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raj\OneDrive\Desktop\JsonKeys\random\vaniplayer\"/>
    </mc:Choice>
  </mc:AlternateContent>
  <xr:revisionPtr revIDLastSave="0" documentId="13_ncr:1_{7C995BDF-EB8A-4783-B20E-B9D3E58DDA4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P-Iskcon desire tree" sheetId="2" r:id="rId1"/>
    <sheet name="HHRNSM" sheetId="3" r:id="rId2"/>
    <sheet name="Vaishnav Songs" sheetId="4" r:id="rId3"/>
    <sheet name="HHBRSM" sheetId="5" r:id="rId4"/>
  </sheets>
  <definedNames>
    <definedName name="_xlnm._FilterDatabase" localSheetId="3" hidden="1">HHBRSM!$A$1:$B$153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82" i="3" l="1"/>
  <c r="C6881" i="3"/>
  <c r="C6880" i="3"/>
  <c r="C6879" i="3"/>
  <c r="C6878" i="3"/>
  <c r="C6877" i="3"/>
  <c r="C6876" i="3"/>
  <c r="C6875" i="3"/>
  <c r="C6874" i="3"/>
  <c r="C6873" i="3"/>
  <c r="C6872" i="3"/>
  <c r="C6871" i="3"/>
  <c r="C6870" i="3"/>
  <c r="C6869" i="3"/>
  <c r="C6868" i="3"/>
  <c r="C6867" i="3"/>
  <c r="C6866" i="3"/>
  <c r="C6865" i="3"/>
  <c r="C6864" i="3"/>
  <c r="C6863" i="3"/>
  <c r="C6862" i="3"/>
  <c r="C6861" i="3"/>
  <c r="C6860" i="3"/>
  <c r="C6859" i="3"/>
  <c r="C6858" i="3"/>
  <c r="C6857" i="3"/>
  <c r="C6856" i="3"/>
  <c r="C6855" i="3"/>
  <c r="C6854" i="3"/>
  <c r="C6853" i="3"/>
  <c r="C6852" i="3"/>
  <c r="C6851" i="3"/>
  <c r="C6850" i="3"/>
  <c r="C6849" i="3"/>
  <c r="C6848" i="3"/>
  <c r="C6847" i="3"/>
  <c r="C6846" i="3"/>
  <c r="C6845" i="3"/>
  <c r="C6844" i="3"/>
  <c r="C6843" i="3"/>
  <c r="C6842" i="3"/>
  <c r="C6841" i="3"/>
  <c r="C6840" i="3"/>
  <c r="C6839" i="3"/>
  <c r="C6838" i="3"/>
  <c r="C6837" i="3"/>
  <c r="C6836" i="3"/>
  <c r="C6835" i="3"/>
  <c r="C6834" i="3"/>
  <c r="C6833" i="3"/>
  <c r="C6832" i="3"/>
  <c r="C6831" i="3"/>
  <c r="C6830" i="3"/>
  <c r="C6829" i="3"/>
  <c r="C6828" i="3"/>
  <c r="C6827" i="3"/>
  <c r="C6826" i="3"/>
  <c r="C6825" i="3"/>
  <c r="C6824" i="3"/>
  <c r="C6823" i="3"/>
  <c r="C6822" i="3"/>
  <c r="C6821" i="3"/>
  <c r="C6820" i="3"/>
  <c r="C6819" i="3"/>
  <c r="C6818" i="3"/>
  <c r="C6817" i="3"/>
  <c r="C6816" i="3"/>
  <c r="C6815" i="3"/>
  <c r="C6814" i="3"/>
  <c r="C6813" i="3"/>
  <c r="C6812" i="3"/>
  <c r="C6811" i="3"/>
  <c r="C6810" i="3"/>
  <c r="C6809" i="3"/>
  <c r="C6808" i="3"/>
  <c r="C6807" i="3"/>
  <c r="C6806" i="3"/>
  <c r="C6805" i="3"/>
  <c r="C6804" i="3"/>
  <c r="C6803" i="3"/>
  <c r="C6802" i="3"/>
  <c r="C6801" i="3"/>
  <c r="C6800" i="3"/>
  <c r="C6799" i="3"/>
  <c r="C6798" i="3"/>
  <c r="C6797" i="3"/>
  <c r="C6796" i="3"/>
  <c r="C6795" i="3"/>
  <c r="C6794" i="3"/>
  <c r="C6793" i="3"/>
  <c r="C6792" i="3"/>
  <c r="C6791" i="3"/>
  <c r="C6790" i="3"/>
  <c r="C6789" i="3"/>
  <c r="C6788" i="3"/>
  <c r="C6787" i="3"/>
  <c r="C6786" i="3"/>
  <c r="C6785" i="3"/>
  <c r="C6784" i="3"/>
  <c r="C6783" i="3"/>
  <c r="C6782" i="3"/>
  <c r="C6781" i="3"/>
  <c r="C6780" i="3"/>
  <c r="C6779" i="3"/>
  <c r="C6778" i="3"/>
  <c r="C6777" i="3"/>
  <c r="C6776" i="3"/>
  <c r="C6775" i="3"/>
  <c r="C6774" i="3"/>
  <c r="C6773" i="3"/>
  <c r="C6772" i="3"/>
  <c r="C6771" i="3"/>
  <c r="C6770" i="3"/>
  <c r="C6769" i="3"/>
  <c r="C6768" i="3"/>
  <c r="C6767" i="3"/>
  <c r="C6766" i="3"/>
  <c r="C6765" i="3"/>
  <c r="C6764" i="3"/>
  <c r="C6763" i="3"/>
  <c r="C6762" i="3"/>
  <c r="C6761" i="3"/>
  <c r="C6760" i="3"/>
  <c r="C6759" i="3"/>
  <c r="C6758" i="3"/>
  <c r="C6757" i="3"/>
  <c r="C6756" i="3"/>
  <c r="C6755" i="3"/>
  <c r="C6754" i="3"/>
  <c r="C6753" i="3"/>
  <c r="C6752" i="3"/>
  <c r="C6751" i="3"/>
  <c r="C6750" i="3"/>
  <c r="C6749" i="3"/>
  <c r="C6748" i="3"/>
  <c r="C6747" i="3"/>
  <c r="C6746" i="3"/>
  <c r="C6745" i="3"/>
  <c r="C6744" i="3"/>
  <c r="C6743" i="3"/>
  <c r="C6742" i="3"/>
  <c r="C6741" i="3"/>
  <c r="C6740" i="3"/>
  <c r="C6739" i="3"/>
  <c r="C6738" i="3"/>
  <c r="C6737" i="3"/>
  <c r="C6736" i="3"/>
  <c r="C6735" i="3"/>
  <c r="C6734" i="3"/>
  <c r="C6733" i="3"/>
  <c r="C6732" i="3"/>
  <c r="C6731" i="3"/>
  <c r="C6730" i="3"/>
  <c r="C6729" i="3"/>
  <c r="C6728" i="3"/>
  <c r="C6727" i="3"/>
  <c r="C6726" i="3"/>
  <c r="C6725" i="3"/>
  <c r="C6724" i="3"/>
  <c r="C6723" i="3"/>
  <c r="C6722" i="3"/>
  <c r="C6721" i="3"/>
  <c r="C6720" i="3"/>
  <c r="C6719" i="3"/>
  <c r="C6718" i="3"/>
  <c r="C6717" i="3"/>
  <c r="C6716" i="3"/>
  <c r="C6715" i="3"/>
  <c r="C6714" i="3"/>
  <c r="C6713" i="3"/>
  <c r="C6712" i="3"/>
  <c r="C6711" i="3"/>
  <c r="C6710" i="3"/>
  <c r="C6709" i="3"/>
  <c r="C6708" i="3"/>
  <c r="C6707" i="3"/>
  <c r="C6706" i="3"/>
  <c r="C6705" i="3"/>
  <c r="C6704" i="3"/>
  <c r="C6703" i="3"/>
  <c r="C6702" i="3"/>
  <c r="C6701" i="3"/>
  <c r="C6700" i="3"/>
  <c r="C6699" i="3"/>
  <c r="C6698" i="3"/>
  <c r="C6697" i="3"/>
  <c r="C6696" i="3"/>
  <c r="C6695" i="3"/>
  <c r="C6694" i="3"/>
  <c r="C6693" i="3"/>
  <c r="C6692" i="3"/>
  <c r="C6691" i="3"/>
  <c r="C6690" i="3"/>
  <c r="C6689" i="3"/>
  <c r="C6688" i="3"/>
  <c r="C6687" i="3"/>
  <c r="C6686" i="3"/>
  <c r="C6685" i="3"/>
  <c r="C6684" i="3"/>
  <c r="C6683" i="3"/>
  <c r="C6682" i="3"/>
  <c r="C6681" i="3"/>
  <c r="C6680" i="3"/>
  <c r="C6679" i="3"/>
  <c r="C6678" i="3"/>
  <c r="C6677" i="3"/>
  <c r="C6676" i="3"/>
  <c r="C6675" i="3"/>
  <c r="C6674" i="3"/>
  <c r="C6673" i="3"/>
  <c r="C6672" i="3"/>
  <c r="C6671" i="3"/>
  <c r="C6670" i="3"/>
  <c r="C6669" i="3"/>
  <c r="C6668" i="3"/>
  <c r="C6667" i="3"/>
  <c r="C6666" i="3"/>
  <c r="C6665" i="3"/>
  <c r="C6664" i="3"/>
  <c r="C6663" i="3"/>
  <c r="C6662" i="3"/>
  <c r="C6661" i="3"/>
  <c r="C6660" i="3"/>
  <c r="C6659" i="3"/>
  <c r="C6658" i="3"/>
  <c r="C6657" i="3"/>
  <c r="C6656" i="3"/>
  <c r="C6655" i="3"/>
  <c r="C6654" i="3"/>
  <c r="C6653" i="3"/>
  <c r="C6652" i="3"/>
  <c r="C6651" i="3"/>
  <c r="C6650" i="3"/>
  <c r="C6649" i="3"/>
  <c r="C6648" i="3"/>
  <c r="C6647" i="3"/>
  <c r="C6646" i="3"/>
  <c r="C6645" i="3"/>
  <c r="C6644" i="3"/>
  <c r="C6643" i="3"/>
  <c r="C6642" i="3"/>
  <c r="C6641" i="3"/>
  <c r="C6640" i="3"/>
  <c r="C6639" i="3"/>
  <c r="C6638" i="3"/>
  <c r="C6637" i="3"/>
  <c r="C6636" i="3"/>
  <c r="C6635" i="3"/>
  <c r="C6634" i="3"/>
  <c r="C6633" i="3"/>
  <c r="C6632" i="3"/>
  <c r="C6631" i="3"/>
  <c r="C6630" i="3"/>
  <c r="C6629" i="3"/>
  <c r="C6628" i="3"/>
  <c r="C6627" i="3"/>
  <c r="C6626" i="3"/>
  <c r="C6625" i="3"/>
  <c r="C6624" i="3"/>
  <c r="C6623" i="3"/>
  <c r="C6622" i="3"/>
  <c r="C6621" i="3"/>
  <c r="C6620" i="3"/>
  <c r="C6619" i="3"/>
  <c r="C6618" i="3"/>
  <c r="C6617" i="3"/>
  <c r="C6616" i="3"/>
  <c r="C6615" i="3"/>
  <c r="C6614" i="3"/>
  <c r="C6613" i="3"/>
  <c r="C6612" i="3"/>
  <c r="C6611" i="3"/>
  <c r="C6610" i="3"/>
  <c r="C6609" i="3"/>
  <c r="C6608" i="3"/>
  <c r="C6607" i="3"/>
  <c r="C6606" i="3"/>
  <c r="C6605" i="3"/>
  <c r="C6604" i="3"/>
  <c r="C6603" i="3"/>
  <c r="C6602" i="3"/>
  <c r="C6601" i="3"/>
  <c r="C6600" i="3"/>
  <c r="C6599" i="3"/>
  <c r="C6598" i="3"/>
  <c r="C6597" i="3"/>
  <c r="C6596" i="3"/>
  <c r="C6595" i="3"/>
  <c r="C6594" i="3"/>
  <c r="C6593" i="3"/>
  <c r="C6592" i="3"/>
  <c r="C6591" i="3"/>
  <c r="C6590" i="3"/>
  <c r="C6589" i="3"/>
  <c r="C6588" i="3"/>
  <c r="C6587" i="3"/>
  <c r="C6586" i="3"/>
  <c r="C6585" i="3"/>
  <c r="C6584" i="3"/>
  <c r="C6583" i="3"/>
  <c r="C6582" i="3"/>
  <c r="C6581" i="3"/>
  <c r="C6580" i="3"/>
  <c r="C6579" i="3"/>
  <c r="C6578" i="3"/>
  <c r="C6577" i="3"/>
  <c r="C6576" i="3"/>
  <c r="C6575" i="3"/>
  <c r="C6574" i="3"/>
  <c r="C6573" i="3"/>
  <c r="C6572" i="3"/>
  <c r="C6571" i="3"/>
  <c r="C6570" i="3"/>
  <c r="C6569" i="3"/>
  <c r="C6568" i="3"/>
  <c r="C6567" i="3"/>
  <c r="C6566" i="3"/>
  <c r="C6565" i="3"/>
  <c r="C6564" i="3"/>
  <c r="C6563" i="3"/>
  <c r="C6562" i="3"/>
  <c r="C6561" i="3"/>
  <c r="C6560" i="3"/>
  <c r="C6559" i="3"/>
  <c r="C6558" i="3"/>
  <c r="C6557" i="3"/>
  <c r="C6556" i="3"/>
  <c r="C6555" i="3"/>
  <c r="C6554" i="3"/>
  <c r="C6553" i="3"/>
  <c r="C6552" i="3"/>
  <c r="C6551" i="3"/>
  <c r="C6550" i="3"/>
  <c r="C6549" i="3"/>
  <c r="C6548" i="3"/>
  <c r="C6547" i="3"/>
  <c r="C6546" i="3"/>
  <c r="C6545" i="3"/>
  <c r="C6544" i="3"/>
  <c r="C6543" i="3"/>
  <c r="C6542" i="3"/>
  <c r="C6541" i="3"/>
  <c r="C6540" i="3"/>
  <c r="C6539" i="3"/>
  <c r="C6538" i="3"/>
  <c r="C6537" i="3"/>
  <c r="C6536" i="3"/>
  <c r="C6535" i="3"/>
  <c r="C6534" i="3"/>
  <c r="C6533" i="3"/>
  <c r="C6532" i="3"/>
  <c r="C6531" i="3"/>
  <c r="C6530" i="3"/>
  <c r="C6529" i="3"/>
  <c r="C6528" i="3"/>
  <c r="C6527" i="3"/>
  <c r="C6526" i="3"/>
  <c r="C6525" i="3"/>
  <c r="C6524" i="3"/>
  <c r="C6523" i="3"/>
  <c r="C6522" i="3"/>
  <c r="C6521" i="3"/>
  <c r="C6520" i="3"/>
  <c r="C6519" i="3"/>
  <c r="C6518" i="3"/>
  <c r="C6517" i="3"/>
  <c r="C6516" i="3"/>
  <c r="C6515" i="3"/>
  <c r="C6514" i="3"/>
  <c r="C6513" i="3"/>
  <c r="C6512" i="3"/>
  <c r="C6511" i="3"/>
  <c r="C6510" i="3"/>
  <c r="C6509" i="3"/>
  <c r="C6508" i="3"/>
  <c r="C6507" i="3"/>
  <c r="C6506" i="3"/>
  <c r="C6505" i="3"/>
  <c r="C6504" i="3"/>
  <c r="C6503" i="3"/>
  <c r="C6502" i="3"/>
  <c r="C6501" i="3"/>
  <c r="C6500" i="3"/>
  <c r="C6499" i="3"/>
  <c r="C6498" i="3"/>
  <c r="C6497" i="3"/>
  <c r="C6496" i="3"/>
  <c r="C6495" i="3"/>
  <c r="C6494" i="3"/>
  <c r="C6493" i="3"/>
  <c r="C6492" i="3"/>
  <c r="C6491" i="3"/>
  <c r="C6490" i="3"/>
  <c r="C6489" i="3"/>
  <c r="C6488" i="3"/>
  <c r="C6487" i="3"/>
  <c r="C6486" i="3"/>
  <c r="C6485" i="3"/>
  <c r="C6484" i="3"/>
  <c r="C6483" i="3"/>
  <c r="C6482" i="3"/>
  <c r="C6481" i="3"/>
  <c r="C6480" i="3"/>
  <c r="C6479" i="3"/>
  <c r="C6478" i="3"/>
  <c r="C6477" i="3"/>
  <c r="C6476" i="3"/>
  <c r="C6475" i="3"/>
  <c r="C6474" i="3"/>
  <c r="C6473" i="3"/>
  <c r="C6472" i="3"/>
  <c r="C6471" i="3"/>
  <c r="C6470" i="3"/>
  <c r="C6469" i="3"/>
  <c r="C6468" i="3"/>
  <c r="C6467" i="3"/>
  <c r="C6466" i="3"/>
  <c r="C6465" i="3"/>
  <c r="C6464" i="3"/>
  <c r="C6463" i="3"/>
  <c r="C6462" i="3"/>
  <c r="C6461" i="3"/>
  <c r="C6460" i="3"/>
  <c r="C6459" i="3"/>
  <c r="C6458" i="3"/>
  <c r="C6457" i="3"/>
  <c r="C6456" i="3"/>
  <c r="C6455" i="3"/>
  <c r="C6454" i="3"/>
  <c r="C6453" i="3"/>
  <c r="C6452" i="3"/>
  <c r="C6451" i="3"/>
  <c r="C6450" i="3"/>
  <c r="C6449" i="3"/>
  <c r="C6448" i="3"/>
  <c r="C6447" i="3"/>
  <c r="C6446" i="3"/>
  <c r="C6445" i="3"/>
  <c r="C6444" i="3"/>
  <c r="C6443" i="3"/>
  <c r="C6442" i="3"/>
  <c r="C6441" i="3"/>
  <c r="C6440" i="3"/>
  <c r="C6439" i="3"/>
  <c r="C6438" i="3"/>
  <c r="C6437" i="3"/>
  <c r="C6436" i="3"/>
  <c r="C6435" i="3"/>
  <c r="C6434" i="3"/>
  <c r="C6433" i="3"/>
  <c r="C6432" i="3"/>
  <c r="C6431" i="3"/>
  <c r="C6430" i="3"/>
  <c r="C6429" i="3"/>
  <c r="C6428" i="3"/>
  <c r="C6427" i="3"/>
  <c r="C6426" i="3"/>
  <c r="C6425" i="3"/>
  <c r="C6424" i="3"/>
  <c r="C6423" i="3"/>
  <c r="C6422" i="3"/>
  <c r="C6421" i="3"/>
  <c r="C6420" i="3"/>
  <c r="C6419" i="3"/>
  <c r="C6418" i="3"/>
  <c r="C6417" i="3"/>
  <c r="C6416" i="3"/>
  <c r="C6415" i="3"/>
  <c r="C6414" i="3"/>
  <c r="C6413" i="3"/>
  <c r="C6412" i="3"/>
  <c r="C6411" i="3"/>
  <c r="C6410" i="3"/>
  <c r="C6409" i="3"/>
  <c r="C6408" i="3"/>
  <c r="C6407" i="3"/>
  <c r="C6406" i="3"/>
  <c r="C6405" i="3"/>
  <c r="C6404" i="3"/>
  <c r="C6403" i="3"/>
  <c r="C6402" i="3"/>
  <c r="C6401" i="3"/>
  <c r="C6400" i="3"/>
  <c r="C6399" i="3"/>
  <c r="C6398" i="3"/>
  <c r="C6397" i="3"/>
  <c r="C6396" i="3"/>
  <c r="C6395" i="3"/>
  <c r="C6394" i="3"/>
  <c r="C6393" i="3"/>
  <c r="C6392" i="3"/>
  <c r="C6391" i="3"/>
  <c r="C6390" i="3"/>
  <c r="C6389" i="3"/>
  <c r="C6388" i="3"/>
  <c r="C6387" i="3"/>
  <c r="C6386" i="3"/>
  <c r="C6385" i="3"/>
  <c r="C6384" i="3"/>
  <c r="C6383" i="3"/>
  <c r="C6382" i="3"/>
  <c r="C6381" i="3"/>
  <c r="C6380" i="3"/>
  <c r="C6379" i="3"/>
  <c r="C6378" i="3"/>
  <c r="C6377" i="3"/>
  <c r="C6376" i="3"/>
  <c r="C6375" i="3"/>
  <c r="C6374" i="3"/>
  <c r="C6373" i="3"/>
  <c r="C6372" i="3"/>
  <c r="C6371" i="3"/>
  <c r="C6370" i="3"/>
  <c r="C6369" i="3"/>
  <c r="C6368" i="3"/>
  <c r="C6367" i="3"/>
  <c r="C6366" i="3"/>
  <c r="C6365" i="3"/>
  <c r="C6364" i="3"/>
  <c r="C6363" i="3"/>
  <c r="C6362" i="3"/>
  <c r="C6361" i="3"/>
  <c r="C6360" i="3"/>
  <c r="C6359" i="3"/>
  <c r="C6358" i="3"/>
  <c r="C6357" i="3"/>
  <c r="C6356" i="3"/>
  <c r="C6355" i="3"/>
  <c r="C6354" i="3"/>
  <c r="C6353" i="3"/>
  <c r="C6352" i="3"/>
  <c r="C6351" i="3"/>
  <c r="C6350" i="3"/>
  <c r="C6349" i="3"/>
  <c r="C6348" i="3"/>
  <c r="C6347" i="3"/>
  <c r="C6346" i="3"/>
  <c r="C6345" i="3"/>
  <c r="C6344" i="3"/>
  <c r="C6343" i="3"/>
  <c r="C6342" i="3"/>
  <c r="C6341" i="3"/>
  <c r="C6340" i="3"/>
  <c r="C6339" i="3"/>
  <c r="C6338" i="3"/>
  <c r="C6337" i="3"/>
  <c r="C6336" i="3"/>
  <c r="C6335" i="3"/>
  <c r="C6334" i="3"/>
  <c r="C6333" i="3"/>
  <c r="C6332" i="3"/>
  <c r="C6331" i="3"/>
  <c r="C6330" i="3"/>
  <c r="C6329" i="3"/>
  <c r="C6328" i="3"/>
  <c r="C6327" i="3"/>
  <c r="C6326" i="3"/>
  <c r="C6325" i="3"/>
  <c r="C6324" i="3"/>
  <c r="C6323" i="3"/>
  <c r="C6322" i="3"/>
  <c r="C6321" i="3"/>
  <c r="C6320" i="3"/>
  <c r="C6319" i="3"/>
  <c r="C6318" i="3"/>
  <c r="C6317" i="3"/>
  <c r="C6316" i="3"/>
  <c r="C6315" i="3"/>
  <c r="C6314" i="3"/>
  <c r="C6313" i="3"/>
  <c r="C6312" i="3"/>
  <c r="C6311" i="3"/>
  <c r="C6310" i="3"/>
  <c r="C6309" i="3"/>
  <c r="C6308" i="3"/>
  <c r="C6307" i="3"/>
  <c r="C6306" i="3"/>
  <c r="C6305" i="3"/>
  <c r="C6304" i="3"/>
  <c r="C6303" i="3"/>
  <c r="C6302" i="3"/>
  <c r="C6301" i="3"/>
  <c r="C6300" i="3"/>
  <c r="C6299" i="3"/>
  <c r="C6298" i="3"/>
  <c r="C6297" i="3"/>
  <c r="C6296" i="3"/>
  <c r="C6295" i="3"/>
  <c r="C6294" i="3"/>
  <c r="C6293" i="3"/>
  <c r="C6292" i="3"/>
  <c r="C6291" i="3"/>
  <c r="C6290" i="3"/>
  <c r="C6289" i="3"/>
  <c r="C6288" i="3"/>
  <c r="C6287" i="3"/>
  <c r="C6286" i="3"/>
  <c r="C6285" i="3"/>
  <c r="C6284" i="3"/>
  <c r="C6283" i="3"/>
  <c r="C6282" i="3"/>
  <c r="C6281" i="3"/>
  <c r="C6280" i="3"/>
  <c r="C6279" i="3"/>
  <c r="C6278" i="3"/>
  <c r="C6277" i="3"/>
  <c r="C6276" i="3"/>
  <c r="C6275" i="3"/>
  <c r="C6274" i="3"/>
  <c r="C6273" i="3"/>
  <c r="C6272" i="3"/>
  <c r="C6271" i="3"/>
  <c r="C6270" i="3"/>
  <c r="C6269" i="3"/>
  <c r="C6268" i="3"/>
  <c r="C6267" i="3"/>
  <c r="C6266" i="3"/>
  <c r="C6265" i="3"/>
  <c r="C6264" i="3"/>
  <c r="C6263" i="3"/>
  <c r="C6262" i="3"/>
  <c r="C6261" i="3"/>
  <c r="C6260" i="3"/>
  <c r="C6259" i="3"/>
  <c r="C6258" i="3"/>
  <c r="C6257" i="3"/>
  <c r="C6256" i="3"/>
  <c r="C6255" i="3"/>
  <c r="C6254" i="3"/>
  <c r="C6253" i="3"/>
  <c r="C6252" i="3"/>
  <c r="C6251" i="3"/>
  <c r="C6250" i="3"/>
  <c r="C6249" i="3"/>
  <c r="C6248" i="3"/>
  <c r="C6247" i="3"/>
  <c r="C6246" i="3"/>
  <c r="C6245" i="3"/>
  <c r="C6244" i="3"/>
  <c r="C6243" i="3"/>
  <c r="C6242" i="3"/>
  <c r="C6241" i="3"/>
  <c r="C6240" i="3"/>
  <c r="C6239" i="3"/>
  <c r="C6238" i="3"/>
  <c r="C6237" i="3"/>
  <c r="C6236" i="3"/>
  <c r="C6235" i="3"/>
  <c r="C6234" i="3"/>
  <c r="C6233" i="3"/>
  <c r="C6232" i="3"/>
  <c r="C6231" i="3"/>
  <c r="C6230" i="3"/>
  <c r="C6229" i="3"/>
  <c r="C6228" i="3"/>
  <c r="C6227" i="3"/>
  <c r="C6226" i="3"/>
  <c r="C6225" i="3"/>
  <c r="C6224" i="3"/>
  <c r="C6223" i="3"/>
  <c r="C6222" i="3"/>
  <c r="C6221" i="3"/>
  <c r="C6220" i="3"/>
  <c r="C6219" i="3"/>
  <c r="C6218" i="3"/>
  <c r="C6217" i="3"/>
  <c r="C6216" i="3"/>
  <c r="C6215" i="3"/>
  <c r="C6214" i="3"/>
  <c r="C6213" i="3"/>
  <c r="C6212" i="3"/>
  <c r="C6211" i="3"/>
  <c r="C6210" i="3"/>
  <c r="C6209" i="3"/>
  <c r="C6208" i="3"/>
  <c r="C6207" i="3"/>
  <c r="C6206" i="3"/>
  <c r="C6205" i="3"/>
  <c r="C6204" i="3"/>
  <c r="C6203" i="3"/>
  <c r="C6202" i="3"/>
  <c r="C6201" i="3"/>
  <c r="C6200" i="3"/>
  <c r="C6199" i="3"/>
  <c r="C6198" i="3"/>
  <c r="C6197" i="3"/>
  <c r="C6196" i="3"/>
  <c r="C6195" i="3"/>
  <c r="C6194" i="3"/>
  <c r="C6193" i="3"/>
  <c r="C6192" i="3"/>
  <c r="C6191" i="3"/>
  <c r="C6190" i="3"/>
  <c r="C6189" i="3"/>
  <c r="C6188" i="3"/>
  <c r="C6187" i="3"/>
  <c r="C6186" i="3"/>
  <c r="C6185" i="3"/>
  <c r="C6184" i="3"/>
  <c r="C6183" i="3"/>
  <c r="C6182" i="3"/>
  <c r="C6181" i="3"/>
  <c r="C6180" i="3"/>
  <c r="C6179" i="3"/>
  <c r="C6178" i="3"/>
  <c r="C6177" i="3"/>
  <c r="C6176" i="3"/>
  <c r="C6175" i="3"/>
  <c r="C6174" i="3"/>
  <c r="C6173" i="3"/>
  <c r="C6172" i="3"/>
  <c r="C6171" i="3"/>
  <c r="C6170" i="3"/>
  <c r="C6169" i="3"/>
  <c r="C6168" i="3"/>
  <c r="C6167" i="3"/>
  <c r="C6166" i="3"/>
  <c r="C6165" i="3"/>
  <c r="C6164" i="3"/>
  <c r="C6163" i="3"/>
  <c r="C6162" i="3"/>
  <c r="C6161" i="3"/>
  <c r="C6160" i="3"/>
  <c r="C6159" i="3"/>
  <c r="C6158" i="3"/>
  <c r="C6157" i="3"/>
  <c r="C6156" i="3"/>
  <c r="C6155" i="3"/>
  <c r="C6154" i="3"/>
  <c r="C6153" i="3"/>
  <c r="C6152" i="3"/>
  <c r="C6151" i="3"/>
  <c r="C6150" i="3"/>
  <c r="C6149" i="3"/>
  <c r="C6148" i="3"/>
  <c r="C6147" i="3"/>
  <c r="C6146" i="3"/>
  <c r="C6145" i="3"/>
  <c r="C6144" i="3"/>
  <c r="C6143" i="3"/>
  <c r="C6142" i="3"/>
  <c r="C6141" i="3"/>
  <c r="C6140" i="3"/>
  <c r="C6139" i="3"/>
  <c r="C6138" i="3"/>
  <c r="C6137" i="3"/>
  <c r="C6136" i="3"/>
  <c r="C6135" i="3"/>
  <c r="C6134" i="3"/>
  <c r="C6133" i="3"/>
  <c r="C6132" i="3"/>
  <c r="C6131" i="3"/>
  <c r="C6130" i="3"/>
  <c r="C6129" i="3"/>
  <c r="C6128" i="3"/>
  <c r="C6127" i="3"/>
  <c r="C6126" i="3"/>
  <c r="C6125" i="3"/>
  <c r="C6124" i="3"/>
  <c r="C6123" i="3"/>
  <c r="C6122" i="3"/>
  <c r="C6121" i="3"/>
  <c r="C6120" i="3"/>
  <c r="C6119" i="3"/>
  <c r="C6118" i="3"/>
  <c r="C6117" i="3"/>
  <c r="C6116" i="3"/>
  <c r="C6115" i="3"/>
  <c r="C6114" i="3"/>
  <c r="C6113" i="3"/>
  <c r="C6112" i="3"/>
  <c r="C6111" i="3"/>
  <c r="C6110" i="3"/>
  <c r="C6109" i="3"/>
  <c r="C6108" i="3"/>
  <c r="C6107" i="3"/>
  <c r="C6106" i="3"/>
  <c r="C6105" i="3"/>
  <c r="C6104" i="3"/>
  <c r="C6103" i="3"/>
  <c r="C6102" i="3"/>
  <c r="C6101" i="3"/>
  <c r="C6100" i="3"/>
  <c r="C6099" i="3"/>
  <c r="C6098" i="3"/>
  <c r="C6097" i="3"/>
  <c r="C6096" i="3"/>
  <c r="C6095" i="3"/>
  <c r="C6094" i="3"/>
  <c r="C6093" i="3"/>
  <c r="C6092" i="3"/>
  <c r="C6091" i="3"/>
  <c r="C6090" i="3"/>
  <c r="C6089" i="3"/>
  <c r="C6088" i="3"/>
  <c r="C6087" i="3"/>
  <c r="C6086" i="3"/>
  <c r="C6085" i="3"/>
  <c r="C6084" i="3"/>
  <c r="C6083" i="3"/>
  <c r="C6082" i="3"/>
  <c r="C6081" i="3"/>
  <c r="C6080" i="3"/>
  <c r="C6079" i="3"/>
  <c r="C6078" i="3"/>
  <c r="C6077" i="3"/>
  <c r="C6076" i="3"/>
  <c r="C6075" i="3"/>
  <c r="C6074" i="3"/>
  <c r="C6073" i="3"/>
  <c r="C6072" i="3"/>
  <c r="C6071" i="3"/>
  <c r="C6070" i="3"/>
  <c r="C6069" i="3"/>
  <c r="C6068" i="3"/>
  <c r="C6067" i="3"/>
  <c r="C6066" i="3"/>
  <c r="C6065" i="3"/>
  <c r="C6064" i="3"/>
  <c r="C6063" i="3"/>
  <c r="C6062" i="3"/>
  <c r="C6061" i="3"/>
  <c r="C6060" i="3"/>
  <c r="C6059" i="3"/>
  <c r="C6058" i="3"/>
  <c r="C6057" i="3"/>
  <c r="C6056" i="3"/>
  <c r="C6055" i="3"/>
  <c r="C6054" i="3"/>
  <c r="C6053" i="3"/>
  <c r="C6052" i="3"/>
  <c r="C6051" i="3"/>
  <c r="C6050" i="3"/>
  <c r="C6049" i="3"/>
  <c r="C6048" i="3"/>
  <c r="C6047" i="3"/>
  <c r="C6046" i="3"/>
  <c r="C6045" i="3"/>
  <c r="C6044" i="3"/>
  <c r="C6043" i="3"/>
  <c r="C6042" i="3"/>
  <c r="C6041" i="3"/>
  <c r="C6040" i="3"/>
  <c r="C6039" i="3"/>
  <c r="C6038" i="3"/>
  <c r="C6037" i="3"/>
  <c r="C6036" i="3"/>
  <c r="C6035" i="3"/>
  <c r="C6034" i="3"/>
  <c r="C6033" i="3"/>
  <c r="C6032" i="3"/>
  <c r="C6031" i="3"/>
  <c r="C6030" i="3"/>
  <c r="C6029" i="3"/>
  <c r="C6028" i="3"/>
  <c r="C6027" i="3"/>
  <c r="C6026" i="3"/>
  <c r="C6025" i="3"/>
  <c r="C6024" i="3"/>
  <c r="C6023" i="3"/>
  <c r="C6022" i="3"/>
  <c r="C6021" i="3"/>
  <c r="C6020" i="3"/>
  <c r="C6019" i="3"/>
  <c r="C6018" i="3"/>
  <c r="C6017" i="3"/>
  <c r="C6016" i="3"/>
  <c r="C6015" i="3"/>
  <c r="C6014" i="3"/>
  <c r="C6013" i="3"/>
  <c r="C6012" i="3"/>
  <c r="C6011" i="3"/>
  <c r="C6010" i="3"/>
  <c r="C6009" i="3"/>
  <c r="C6008" i="3"/>
  <c r="C6007" i="3"/>
  <c r="C6006" i="3"/>
  <c r="C6005" i="3"/>
  <c r="C6004" i="3"/>
  <c r="C6003" i="3"/>
  <c r="C6002" i="3"/>
  <c r="C6001" i="3"/>
  <c r="C6000" i="3"/>
  <c r="C5999" i="3"/>
  <c r="C5998" i="3"/>
  <c r="C5997" i="3"/>
  <c r="C5996" i="3"/>
  <c r="C5995" i="3"/>
  <c r="C5994" i="3"/>
  <c r="C5993" i="3"/>
  <c r="C5992" i="3"/>
  <c r="C5991" i="3"/>
  <c r="C5990" i="3"/>
  <c r="C5989" i="3"/>
  <c r="C5988" i="3"/>
  <c r="C5987" i="3"/>
  <c r="C5986" i="3"/>
  <c r="C5985" i="3"/>
  <c r="C5984" i="3"/>
  <c r="C5983" i="3"/>
  <c r="C5982" i="3"/>
  <c r="C5981" i="3"/>
  <c r="C5980" i="3"/>
  <c r="C5979" i="3"/>
  <c r="C5978" i="3"/>
  <c r="C5977" i="3"/>
  <c r="C5976" i="3"/>
  <c r="C5975" i="3"/>
  <c r="C5974" i="3"/>
  <c r="C5973" i="3"/>
  <c r="C5972" i="3"/>
  <c r="C5971" i="3"/>
  <c r="C5970" i="3"/>
  <c r="C5969" i="3"/>
  <c r="C5968" i="3"/>
  <c r="C5967" i="3"/>
  <c r="C5966" i="3"/>
  <c r="C5965" i="3"/>
  <c r="C5964" i="3"/>
  <c r="C5963" i="3"/>
  <c r="C5962" i="3"/>
  <c r="C5961" i="3"/>
  <c r="C5960" i="3"/>
  <c r="C5959" i="3"/>
  <c r="C5958" i="3"/>
  <c r="C5957" i="3"/>
  <c r="C5956" i="3"/>
  <c r="C5955" i="3"/>
  <c r="C5954" i="3"/>
  <c r="C5953" i="3"/>
  <c r="C5952" i="3"/>
  <c r="C5951" i="3"/>
  <c r="C5950" i="3"/>
  <c r="C5949" i="3"/>
  <c r="C5948" i="3"/>
  <c r="C5947" i="3"/>
  <c r="C5946" i="3"/>
  <c r="C5945" i="3"/>
  <c r="C5944" i="3"/>
  <c r="C5943" i="3"/>
  <c r="C5942" i="3"/>
  <c r="C5941" i="3"/>
  <c r="C5940" i="3"/>
  <c r="C5939" i="3"/>
  <c r="C5938" i="3"/>
  <c r="C5937" i="3"/>
  <c r="C5936" i="3"/>
  <c r="C5935" i="3"/>
  <c r="C5934" i="3"/>
  <c r="C5933" i="3"/>
  <c r="C5932" i="3"/>
  <c r="C5931" i="3"/>
  <c r="C5930" i="3"/>
  <c r="C5929" i="3"/>
  <c r="C5928" i="3"/>
  <c r="C5927" i="3"/>
  <c r="C5926" i="3"/>
  <c r="C5925" i="3"/>
  <c r="C5924" i="3"/>
  <c r="C5923" i="3"/>
  <c r="C5922" i="3"/>
  <c r="C5921" i="3"/>
  <c r="C5920" i="3"/>
  <c r="C5919" i="3"/>
  <c r="C5918" i="3"/>
  <c r="C5917" i="3"/>
  <c r="C5916" i="3"/>
  <c r="C5915" i="3"/>
  <c r="C5914" i="3"/>
  <c r="C5913" i="3"/>
  <c r="C5912" i="3"/>
  <c r="C5911" i="3"/>
  <c r="C5910" i="3"/>
  <c r="C5909" i="3"/>
  <c r="C5908" i="3"/>
  <c r="C5907" i="3"/>
  <c r="C5906" i="3"/>
  <c r="C5905" i="3"/>
  <c r="C5904" i="3"/>
  <c r="C5903" i="3"/>
  <c r="C5902" i="3"/>
  <c r="C5901" i="3"/>
  <c r="C5900" i="3"/>
  <c r="C5899" i="3"/>
  <c r="C5898" i="3"/>
  <c r="C5897" i="3"/>
  <c r="C5896" i="3"/>
  <c r="C5895" i="3"/>
  <c r="C5894" i="3"/>
  <c r="C5893" i="3"/>
  <c r="C5892" i="3"/>
  <c r="C5891" i="3"/>
  <c r="C5890" i="3"/>
  <c r="C5889" i="3"/>
  <c r="C5888" i="3"/>
  <c r="C5887" i="3"/>
  <c r="C5886" i="3"/>
  <c r="C5885" i="3"/>
  <c r="C5884" i="3"/>
  <c r="C5883" i="3"/>
  <c r="C5882" i="3"/>
  <c r="C5881" i="3"/>
  <c r="C5880" i="3"/>
  <c r="C5879" i="3"/>
  <c r="C5878" i="3"/>
  <c r="C5877" i="3"/>
  <c r="C5876" i="3"/>
  <c r="C5875" i="3"/>
  <c r="C5874" i="3"/>
  <c r="C5873" i="3"/>
  <c r="C5872" i="3"/>
  <c r="C5871" i="3"/>
  <c r="C5870" i="3"/>
  <c r="C5869" i="3"/>
  <c r="C5868" i="3"/>
  <c r="C5867" i="3"/>
  <c r="C5866" i="3"/>
  <c r="C5865" i="3"/>
  <c r="C5864" i="3"/>
  <c r="C5863" i="3"/>
  <c r="C5862" i="3"/>
  <c r="C5861" i="3"/>
  <c r="C5860" i="3"/>
  <c r="C5859" i="3"/>
  <c r="C5858" i="3"/>
  <c r="C5857" i="3"/>
  <c r="C5856" i="3"/>
  <c r="C5855" i="3"/>
  <c r="C5854" i="3"/>
  <c r="C5853" i="3"/>
  <c r="C5852" i="3"/>
  <c r="C5851" i="3"/>
  <c r="C5850" i="3"/>
  <c r="C5849" i="3"/>
  <c r="C5848" i="3"/>
  <c r="C5847" i="3"/>
  <c r="C5846" i="3"/>
  <c r="C5845" i="3"/>
  <c r="C5844" i="3"/>
  <c r="C5843" i="3"/>
  <c r="C5842" i="3"/>
  <c r="C5841" i="3"/>
  <c r="C5840" i="3"/>
  <c r="C5839" i="3"/>
  <c r="C5838" i="3"/>
  <c r="C5837" i="3"/>
  <c r="C5836" i="3"/>
  <c r="C5835" i="3"/>
  <c r="C5834" i="3"/>
  <c r="C5833" i="3"/>
  <c r="C5832" i="3"/>
  <c r="C5831" i="3"/>
  <c r="C5830" i="3"/>
  <c r="C5829" i="3"/>
  <c r="C5828" i="3"/>
  <c r="C5827" i="3"/>
  <c r="C5826" i="3"/>
  <c r="C5825" i="3"/>
  <c r="C5824" i="3"/>
  <c r="C5823" i="3"/>
  <c r="C5822" i="3"/>
  <c r="C5821" i="3"/>
  <c r="C5820" i="3"/>
  <c r="C5819" i="3"/>
  <c r="C5818" i="3"/>
  <c r="C5817" i="3"/>
  <c r="C5816" i="3"/>
  <c r="C5815" i="3"/>
  <c r="C5814" i="3"/>
  <c r="C5813" i="3"/>
  <c r="C5812" i="3"/>
  <c r="C5811" i="3"/>
  <c r="C5810" i="3"/>
  <c r="C5809" i="3"/>
  <c r="C5808" i="3"/>
  <c r="C5807" i="3"/>
  <c r="C5806" i="3"/>
  <c r="C5805" i="3"/>
  <c r="C5804" i="3"/>
  <c r="C5803" i="3"/>
  <c r="C5802" i="3"/>
  <c r="C5801" i="3"/>
  <c r="C5800" i="3"/>
  <c r="C5799" i="3"/>
  <c r="C5798" i="3"/>
  <c r="C5797" i="3"/>
  <c r="C5796" i="3"/>
  <c r="C5795" i="3"/>
  <c r="C5794" i="3"/>
  <c r="C5793" i="3"/>
  <c r="C5792" i="3"/>
  <c r="C5791" i="3"/>
  <c r="C5790" i="3"/>
  <c r="C5789" i="3"/>
  <c r="C5788" i="3"/>
  <c r="C5787" i="3"/>
  <c r="C5786" i="3"/>
  <c r="C5785" i="3"/>
  <c r="C5784" i="3"/>
  <c r="C5783" i="3"/>
  <c r="C5782" i="3"/>
  <c r="C5781" i="3"/>
  <c r="C5780" i="3"/>
  <c r="C5779" i="3"/>
  <c r="C5778" i="3"/>
  <c r="C5777" i="3"/>
  <c r="C5776" i="3"/>
  <c r="C5775" i="3"/>
  <c r="C5774" i="3"/>
  <c r="C5773" i="3"/>
  <c r="C5772" i="3"/>
  <c r="C5771" i="3"/>
  <c r="C5770" i="3"/>
  <c r="C5769" i="3"/>
  <c r="C5768" i="3"/>
  <c r="C5767" i="3"/>
  <c r="C5766" i="3"/>
  <c r="C5765" i="3"/>
  <c r="C5764" i="3"/>
  <c r="C5763" i="3"/>
  <c r="C5762" i="3"/>
  <c r="C5761" i="3"/>
  <c r="C5760" i="3"/>
  <c r="C5759" i="3"/>
  <c r="C5758" i="3"/>
  <c r="C5757" i="3"/>
  <c r="C5756" i="3"/>
  <c r="C5755" i="3"/>
  <c r="C5754" i="3"/>
  <c r="C5753" i="3"/>
  <c r="C5752" i="3"/>
  <c r="C5751" i="3"/>
  <c r="C5750" i="3"/>
  <c r="C5749" i="3"/>
  <c r="C5748" i="3"/>
  <c r="C5747" i="3"/>
  <c r="C5746" i="3"/>
  <c r="C5745" i="3"/>
  <c r="C5744" i="3"/>
  <c r="C5743" i="3"/>
  <c r="C5742" i="3"/>
  <c r="C5741" i="3"/>
  <c r="C5740" i="3"/>
  <c r="C5739" i="3"/>
  <c r="C5738" i="3"/>
  <c r="C5737" i="3"/>
  <c r="C5736" i="3"/>
  <c r="C5735" i="3"/>
  <c r="C5734" i="3"/>
  <c r="C5733" i="3"/>
  <c r="C5732" i="3"/>
  <c r="C5731" i="3"/>
  <c r="C5730" i="3"/>
  <c r="C5729" i="3"/>
  <c r="C5728" i="3"/>
  <c r="C5727" i="3"/>
  <c r="C5726" i="3"/>
  <c r="C5725" i="3"/>
  <c r="C5724" i="3"/>
  <c r="C5723" i="3"/>
  <c r="C5722" i="3"/>
  <c r="C5721" i="3"/>
  <c r="C5720" i="3"/>
  <c r="C5719" i="3"/>
  <c r="C5718" i="3"/>
  <c r="C5717" i="3"/>
  <c r="C5716" i="3"/>
  <c r="C5715" i="3"/>
  <c r="C5714" i="3"/>
  <c r="C5713" i="3"/>
  <c r="C5712" i="3"/>
  <c r="C5711" i="3"/>
  <c r="C5710" i="3"/>
  <c r="C5709" i="3"/>
  <c r="C5708" i="3"/>
  <c r="C5707" i="3"/>
  <c r="C5706" i="3"/>
  <c r="C5705" i="3"/>
  <c r="C5704" i="3"/>
  <c r="C5703" i="3"/>
  <c r="C5702" i="3"/>
  <c r="C5701" i="3"/>
  <c r="C5700" i="3"/>
  <c r="C5699" i="3"/>
  <c r="C5698" i="3"/>
  <c r="C5697" i="3"/>
  <c r="C5696" i="3"/>
  <c r="C5695" i="3"/>
  <c r="C5694" i="3"/>
  <c r="C5693" i="3"/>
  <c r="C5692" i="3"/>
  <c r="C5691" i="3"/>
  <c r="C5690" i="3"/>
  <c r="C5689" i="3"/>
  <c r="C5688" i="3"/>
  <c r="C5687" i="3"/>
  <c r="C5686" i="3"/>
  <c r="C5685" i="3"/>
  <c r="C5684" i="3"/>
  <c r="C5683" i="3"/>
  <c r="C5682" i="3"/>
  <c r="C5681" i="3"/>
  <c r="C5680" i="3"/>
  <c r="C5679" i="3"/>
  <c r="C5678" i="3"/>
  <c r="C5677" i="3"/>
  <c r="C5676" i="3"/>
  <c r="C5675" i="3"/>
  <c r="C5674" i="3"/>
  <c r="C5673" i="3"/>
  <c r="C5672" i="3"/>
  <c r="C5671" i="3"/>
  <c r="C5670" i="3"/>
  <c r="C5669" i="3"/>
  <c r="C5668" i="3"/>
  <c r="C5667" i="3"/>
  <c r="C5666" i="3"/>
  <c r="C5665" i="3"/>
  <c r="C5664" i="3"/>
  <c r="C5663" i="3"/>
  <c r="C5662" i="3"/>
  <c r="C5661" i="3"/>
  <c r="C5660" i="3"/>
  <c r="C5659" i="3"/>
  <c r="C5658" i="3"/>
  <c r="C5657" i="3"/>
  <c r="C5656" i="3"/>
  <c r="C5655" i="3"/>
  <c r="C5654" i="3"/>
  <c r="C5653" i="3"/>
  <c r="C5652" i="3"/>
  <c r="C5651" i="3"/>
  <c r="C5650" i="3"/>
  <c r="C5649" i="3"/>
  <c r="C5648" i="3"/>
  <c r="C5647" i="3"/>
  <c r="C5646" i="3"/>
  <c r="C5645" i="3"/>
  <c r="C5644" i="3"/>
  <c r="C5643" i="3"/>
  <c r="C5642" i="3"/>
  <c r="C5641" i="3"/>
  <c r="C5640" i="3"/>
  <c r="C5639" i="3"/>
  <c r="C5638" i="3"/>
  <c r="C5637" i="3"/>
  <c r="C5636" i="3"/>
  <c r="C5635" i="3"/>
  <c r="C5634" i="3"/>
  <c r="C5633" i="3"/>
  <c r="C5632" i="3"/>
  <c r="C5631" i="3"/>
  <c r="C5630" i="3"/>
  <c r="C5629" i="3"/>
  <c r="C5628" i="3"/>
  <c r="C5627" i="3"/>
  <c r="C5626" i="3"/>
  <c r="C5625" i="3"/>
  <c r="C5624" i="3"/>
  <c r="C5623" i="3"/>
  <c r="C5622" i="3"/>
  <c r="C5621" i="3"/>
  <c r="C5620" i="3"/>
  <c r="C5619" i="3"/>
  <c r="C5618" i="3"/>
  <c r="C5617" i="3"/>
  <c r="C5616" i="3"/>
  <c r="C5615" i="3"/>
  <c r="C5614" i="3"/>
  <c r="C5613" i="3"/>
  <c r="C5612" i="3"/>
  <c r="C5611" i="3"/>
  <c r="C5610" i="3"/>
  <c r="C5609" i="3"/>
  <c r="C5608" i="3"/>
  <c r="C5607" i="3"/>
  <c r="C5606" i="3"/>
  <c r="C5605" i="3"/>
  <c r="C5604" i="3"/>
  <c r="C5603" i="3"/>
  <c r="C5602" i="3"/>
  <c r="C5601" i="3"/>
  <c r="C5600" i="3"/>
  <c r="C5599" i="3"/>
  <c r="C5598" i="3"/>
  <c r="C5597" i="3"/>
  <c r="C5596" i="3"/>
  <c r="C5595" i="3"/>
  <c r="C5594" i="3"/>
  <c r="C5593" i="3"/>
  <c r="C5592" i="3"/>
  <c r="C5591" i="3"/>
  <c r="C5590" i="3"/>
  <c r="C5589" i="3"/>
  <c r="C5588" i="3"/>
  <c r="C5587" i="3"/>
  <c r="C5586" i="3"/>
  <c r="C5585" i="3"/>
  <c r="C5584" i="3"/>
  <c r="C5583" i="3"/>
  <c r="C5582" i="3"/>
  <c r="C5581" i="3"/>
  <c r="C5580" i="3"/>
  <c r="C5579" i="3"/>
  <c r="C5578" i="3"/>
  <c r="C5577" i="3"/>
  <c r="C5576" i="3"/>
  <c r="C5575" i="3"/>
  <c r="C5574" i="3"/>
  <c r="C5573" i="3"/>
  <c r="C5572" i="3"/>
  <c r="C5571" i="3"/>
  <c r="C5570" i="3"/>
  <c r="C5569" i="3"/>
  <c r="C5568" i="3"/>
  <c r="C5567" i="3"/>
  <c r="C5566" i="3"/>
  <c r="C5565" i="3"/>
  <c r="C5564" i="3"/>
  <c r="C5563" i="3"/>
  <c r="C5562" i="3"/>
  <c r="C5561" i="3"/>
  <c r="C5560" i="3"/>
  <c r="C5559" i="3"/>
  <c r="C5558" i="3"/>
  <c r="C5557" i="3"/>
  <c r="C5556" i="3"/>
  <c r="C5555" i="3"/>
  <c r="C5554" i="3"/>
  <c r="C5553" i="3"/>
  <c r="C5552" i="3"/>
  <c r="C5551" i="3"/>
  <c r="C5550" i="3"/>
  <c r="C5549" i="3"/>
  <c r="C5548" i="3"/>
  <c r="C5547" i="3"/>
  <c r="C5546" i="3"/>
  <c r="C5545" i="3"/>
  <c r="C5544" i="3"/>
  <c r="C5543" i="3"/>
  <c r="C5542" i="3"/>
  <c r="C5541" i="3"/>
  <c r="C5540" i="3"/>
  <c r="C5539" i="3"/>
  <c r="C5538" i="3"/>
  <c r="C5537" i="3"/>
  <c r="C5536" i="3"/>
  <c r="C5535" i="3"/>
  <c r="C5534" i="3"/>
  <c r="C5533" i="3"/>
  <c r="C5532" i="3"/>
  <c r="C5531" i="3"/>
  <c r="C5530" i="3"/>
  <c r="C5529" i="3"/>
  <c r="C5528" i="3"/>
  <c r="C5527" i="3"/>
  <c r="C5526" i="3"/>
  <c r="C5525" i="3"/>
  <c r="C5524" i="3"/>
  <c r="C5523" i="3"/>
  <c r="C5522" i="3"/>
  <c r="C5521" i="3"/>
  <c r="C5520" i="3"/>
  <c r="C5519" i="3"/>
  <c r="C5518" i="3"/>
  <c r="C5517" i="3"/>
  <c r="C5516" i="3"/>
  <c r="C5515" i="3"/>
  <c r="C5514" i="3"/>
  <c r="C5513" i="3"/>
  <c r="C5512" i="3"/>
  <c r="C5511" i="3"/>
  <c r="C5510" i="3"/>
  <c r="C5509" i="3"/>
  <c r="C5508" i="3"/>
  <c r="C5507" i="3"/>
  <c r="C5506" i="3"/>
  <c r="C5505" i="3"/>
  <c r="C5504" i="3"/>
  <c r="C5503" i="3"/>
  <c r="C5502" i="3"/>
  <c r="C5501" i="3"/>
  <c r="C5500" i="3"/>
  <c r="C5499" i="3"/>
  <c r="C5498" i="3"/>
  <c r="C5497" i="3"/>
  <c r="C5496" i="3"/>
  <c r="C5495" i="3"/>
  <c r="C5494" i="3"/>
  <c r="C5493" i="3"/>
  <c r="C5492" i="3"/>
  <c r="C5491" i="3"/>
  <c r="C5490" i="3"/>
  <c r="C5489" i="3"/>
  <c r="C5488" i="3"/>
  <c r="C5487" i="3"/>
  <c r="C5486" i="3"/>
  <c r="C5485" i="3"/>
  <c r="C5484" i="3"/>
  <c r="C5483" i="3"/>
  <c r="C5482" i="3"/>
  <c r="C5481" i="3"/>
  <c r="C5480" i="3"/>
  <c r="C5479" i="3"/>
  <c r="C5478" i="3"/>
  <c r="C5477" i="3"/>
  <c r="C5476" i="3"/>
  <c r="C5475" i="3"/>
  <c r="C5474" i="3"/>
  <c r="C5473" i="3"/>
  <c r="C5472" i="3"/>
  <c r="C5471" i="3"/>
  <c r="C5470" i="3"/>
  <c r="C5469" i="3"/>
  <c r="C5468" i="3"/>
  <c r="C5467" i="3"/>
  <c r="C5466" i="3"/>
  <c r="C5465" i="3"/>
  <c r="C5464" i="3"/>
  <c r="C5463" i="3"/>
  <c r="C5462" i="3"/>
  <c r="C5461" i="3"/>
  <c r="C5460" i="3"/>
  <c r="C5459" i="3"/>
  <c r="C5458" i="3"/>
  <c r="C5457" i="3"/>
  <c r="C5456" i="3"/>
  <c r="C5455" i="3"/>
  <c r="C5454" i="3"/>
  <c r="C5453" i="3"/>
  <c r="C5452" i="3"/>
  <c r="C5451" i="3"/>
  <c r="C5450" i="3"/>
  <c r="C5449" i="3"/>
  <c r="C5448" i="3"/>
  <c r="C5447" i="3"/>
  <c r="C5446" i="3"/>
  <c r="C5445" i="3"/>
  <c r="C5444" i="3"/>
  <c r="C5443" i="3"/>
  <c r="C5442" i="3"/>
  <c r="C5441" i="3"/>
  <c r="C5440" i="3"/>
  <c r="C5439" i="3"/>
  <c r="C5438" i="3"/>
  <c r="C5437" i="3"/>
  <c r="C5436" i="3"/>
  <c r="C5435" i="3"/>
  <c r="C5434" i="3"/>
  <c r="C5433" i="3"/>
  <c r="C5432" i="3"/>
  <c r="C5431" i="3"/>
  <c r="C5430" i="3"/>
  <c r="C5429" i="3"/>
  <c r="C5428" i="3"/>
  <c r="C5427" i="3"/>
  <c r="C5426" i="3"/>
  <c r="C5425" i="3"/>
  <c r="C5424" i="3"/>
  <c r="C5423" i="3"/>
  <c r="C5422" i="3"/>
  <c r="C5421" i="3"/>
  <c r="C5420" i="3"/>
  <c r="C5419" i="3"/>
  <c r="C5418" i="3"/>
  <c r="C5417" i="3"/>
  <c r="C5416" i="3"/>
  <c r="C5415" i="3"/>
  <c r="C5414" i="3"/>
  <c r="C5413" i="3"/>
  <c r="C5412" i="3"/>
  <c r="C5411" i="3"/>
  <c r="C5410" i="3"/>
  <c r="C5409" i="3"/>
  <c r="C5408" i="3"/>
  <c r="C5407" i="3"/>
  <c r="C5406" i="3"/>
  <c r="C5405" i="3"/>
  <c r="C5404" i="3"/>
  <c r="C5403" i="3"/>
  <c r="C5402" i="3"/>
  <c r="C5401" i="3"/>
  <c r="C5400" i="3"/>
  <c r="C5399" i="3"/>
  <c r="C5398" i="3"/>
  <c r="C5397" i="3"/>
  <c r="C5396" i="3"/>
  <c r="C5395" i="3"/>
  <c r="C5394" i="3"/>
  <c r="C5393" i="3"/>
  <c r="C5392" i="3"/>
  <c r="C5391" i="3"/>
  <c r="C5390" i="3"/>
  <c r="C5389" i="3"/>
  <c r="C5388" i="3"/>
  <c r="C5387" i="3"/>
  <c r="C5386" i="3"/>
  <c r="C5385" i="3"/>
  <c r="C5384" i="3"/>
  <c r="C5383" i="3"/>
  <c r="C5382" i="3"/>
  <c r="C5381" i="3"/>
  <c r="C5380" i="3"/>
  <c r="C5379" i="3"/>
  <c r="C5378" i="3"/>
  <c r="C5377" i="3"/>
  <c r="C5376" i="3"/>
  <c r="C5375" i="3"/>
  <c r="C5374" i="3"/>
  <c r="C5373" i="3"/>
  <c r="C5372" i="3"/>
  <c r="C5371" i="3"/>
  <c r="C5370" i="3"/>
  <c r="C5369" i="3"/>
  <c r="C5368" i="3"/>
  <c r="C5367" i="3"/>
  <c r="C5366" i="3"/>
  <c r="C5365" i="3"/>
  <c r="C5364" i="3"/>
  <c r="C5363" i="3"/>
  <c r="C5362" i="3"/>
  <c r="C5361" i="3"/>
  <c r="C5360" i="3"/>
  <c r="C5359" i="3"/>
  <c r="C5358" i="3"/>
  <c r="C5357" i="3"/>
  <c r="C5356" i="3"/>
  <c r="C5355" i="3"/>
  <c r="C5354" i="3"/>
  <c r="C5353" i="3"/>
  <c r="C5352" i="3"/>
  <c r="C5351" i="3"/>
  <c r="C5350" i="3"/>
  <c r="C5349" i="3"/>
  <c r="C5348" i="3"/>
  <c r="C5347" i="3"/>
  <c r="C5346" i="3"/>
  <c r="C5345" i="3"/>
  <c r="C5344" i="3"/>
  <c r="C5343" i="3"/>
  <c r="C5342" i="3"/>
  <c r="C5341" i="3"/>
  <c r="C5340" i="3"/>
  <c r="C5339" i="3"/>
  <c r="C5338" i="3"/>
  <c r="C5337" i="3"/>
  <c r="C5336" i="3"/>
  <c r="C5335" i="3"/>
  <c r="C5334" i="3"/>
  <c r="C5333" i="3"/>
  <c r="C5332" i="3"/>
  <c r="C5331" i="3"/>
  <c r="C5330" i="3"/>
  <c r="C5329" i="3"/>
  <c r="C5328" i="3"/>
  <c r="C5327" i="3"/>
  <c r="C5326" i="3"/>
  <c r="C5325" i="3"/>
  <c r="C5324" i="3"/>
  <c r="C5323" i="3"/>
  <c r="C5322" i="3"/>
  <c r="C5321" i="3"/>
  <c r="C5320" i="3"/>
  <c r="C5319" i="3"/>
  <c r="C5318" i="3"/>
  <c r="C5317" i="3"/>
  <c r="C5316" i="3"/>
  <c r="C5315" i="3"/>
  <c r="C5314" i="3"/>
  <c r="C5313" i="3"/>
  <c r="C5312" i="3"/>
  <c r="C5311" i="3"/>
  <c r="C5310" i="3"/>
  <c r="C5309" i="3"/>
  <c r="C5308" i="3"/>
  <c r="C5307" i="3"/>
  <c r="C5306" i="3"/>
  <c r="C5305" i="3"/>
  <c r="C5304" i="3"/>
  <c r="C5303" i="3"/>
  <c r="C5302" i="3"/>
  <c r="C5301" i="3"/>
  <c r="C5300" i="3"/>
  <c r="C5299" i="3"/>
  <c r="C5298" i="3"/>
  <c r="C5297" i="3"/>
  <c r="C5296" i="3"/>
  <c r="C5295" i="3"/>
  <c r="C5294" i="3"/>
  <c r="C5293" i="3"/>
  <c r="C5292" i="3"/>
  <c r="C5291" i="3"/>
  <c r="C5290" i="3"/>
  <c r="C5289" i="3"/>
  <c r="C5288" i="3"/>
  <c r="C5287" i="3"/>
  <c r="C5286" i="3"/>
  <c r="C5285" i="3"/>
  <c r="C5284" i="3"/>
  <c r="C5283" i="3"/>
  <c r="C5282" i="3"/>
  <c r="C5281" i="3"/>
  <c r="C5280" i="3"/>
  <c r="C5279" i="3"/>
  <c r="C5278" i="3"/>
  <c r="C5277" i="3"/>
  <c r="C5276" i="3"/>
  <c r="C5275" i="3"/>
  <c r="C5274" i="3"/>
  <c r="C5273" i="3"/>
  <c r="C5272" i="3"/>
  <c r="C5271" i="3"/>
  <c r="C5270" i="3"/>
  <c r="C5269" i="3"/>
  <c r="C5268" i="3"/>
  <c r="C5267" i="3"/>
  <c r="C5266" i="3"/>
  <c r="C5265" i="3"/>
  <c r="C5264" i="3"/>
  <c r="C5263" i="3"/>
  <c r="C5262" i="3"/>
  <c r="C5261" i="3"/>
  <c r="C5260" i="3"/>
  <c r="C5259" i="3"/>
  <c r="C5258" i="3"/>
  <c r="C5257" i="3"/>
  <c r="C5256" i="3"/>
  <c r="C5255" i="3"/>
  <c r="C5254" i="3"/>
  <c r="C5253" i="3"/>
  <c r="C5252" i="3"/>
  <c r="C5251" i="3"/>
  <c r="C5250" i="3"/>
  <c r="C5249" i="3"/>
  <c r="C5248" i="3"/>
  <c r="C5247" i="3"/>
  <c r="C5246" i="3"/>
  <c r="C5245" i="3"/>
  <c r="C5244" i="3"/>
  <c r="C5243" i="3"/>
  <c r="C5242" i="3"/>
  <c r="C5241" i="3"/>
  <c r="C5240" i="3"/>
  <c r="C5239" i="3"/>
  <c r="C5238" i="3"/>
  <c r="C5237" i="3"/>
  <c r="C5236" i="3"/>
  <c r="C5235" i="3"/>
  <c r="C5234" i="3"/>
  <c r="C5233" i="3"/>
  <c r="C5232" i="3"/>
  <c r="C5231" i="3"/>
  <c r="C5230" i="3"/>
  <c r="C5229" i="3"/>
  <c r="C5228" i="3"/>
  <c r="C5227" i="3"/>
  <c r="C5226" i="3"/>
  <c r="C5225" i="3"/>
  <c r="C5224" i="3"/>
  <c r="C5223" i="3"/>
  <c r="C5222" i="3"/>
  <c r="C5221" i="3"/>
  <c r="C5220" i="3"/>
  <c r="C5219" i="3"/>
  <c r="C5218" i="3"/>
  <c r="C5217" i="3"/>
  <c r="C5216" i="3"/>
  <c r="C5215" i="3"/>
  <c r="C5214" i="3"/>
  <c r="C5213" i="3"/>
  <c r="C5212" i="3"/>
  <c r="C5211" i="3"/>
  <c r="C5210" i="3"/>
  <c r="C5209" i="3"/>
  <c r="C5208" i="3"/>
  <c r="C5207" i="3"/>
  <c r="C5206" i="3"/>
  <c r="C5205" i="3"/>
  <c r="C5204" i="3"/>
  <c r="C5203" i="3"/>
  <c r="C5202" i="3"/>
  <c r="C5201" i="3"/>
  <c r="C5200" i="3"/>
  <c r="C5199" i="3"/>
  <c r="C5198" i="3"/>
  <c r="C5197" i="3"/>
  <c r="C5196" i="3"/>
  <c r="C5195" i="3"/>
  <c r="C5194" i="3"/>
  <c r="C5193" i="3"/>
  <c r="C5192" i="3"/>
  <c r="C5191" i="3"/>
  <c r="C5190" i="3"/>
  <c r="C5189" i="3"/>
  <c r="C5188" i="3"/>
  <c r="C5187" i="3"/>
  <c r="C5186" i="3"/>
  <c r="C5185" i="3"/>
  <c r="C5184" i="3"/>
  <c r="C5183" i="3"/>
  <c r="C5182" i="3"/>
  <c r="C5181" i="3"/>
  <c r="C5180" i="3"/>
  <c r="C5179" i="3"/>
  <c r="C5178" i="3"/>
  <c r="C5177" i="3"/>
  <c r="C5176" i="3"/>
  <c r="C5175" i="3"/>
  <c r="C5174" i="3"/>
  <c r="C5173" i="3"/>
  <c r="C5172" i="3"/>
  <c r="C5171" i="3"/>
  <c r="C5170" i="3"/>
  <c r="C5169" i="3"/>
  <c r="C5168" i="3"/>
  <c r="C5167" i="3"/>
  <c r="C5166" i="3"/>
  <c r="C5165" i="3"/>
  <c r="C5164" i="3"/>
  <c r="C5163" i="3"/>
  <c r="C5162" i="3"/>
  <c r="C5161" i="3"/>
  <c r="C5160" i="3"/>
  <c r="C5159" i="3"/>
  <c r="C5158" i="3"/>
  <c r="C5157" i="3"/>
  <c r="C5156" i="3"/>
  <c r="C5155" i="3"/>
  <c r="C5154" i="3"/>
  <c r="C5153" i="3"/>
  <c r="C5152" i="3"/>
  <c r="C5151" i="3"/>
  <c r="C5150" i="3"/>
  <c r="C5149" i="3"/>
  <c r="C5148" i="3"/>
  <c r="C5147" i="3"/>
  <c r="C5146" i="3"/>
  <c r="C5145" i="3"/>
  <c r="C5144" i="3"/>
  <c r="C5143" i="3"/>
  <c r="C5142" i="3"/>
  <c r="C5141" i="3"/>
  <c r="C5140" i="3"/>
  <c r="C5139" i="3"/>
  <c r="C5138" i="3"/>
  <c r="C5137" i="3"/>
  <c r="C5136" i="3"/>
  <c r="C5135" i="3"/>
  <c r="C5134" i="3"/>
  <c r="C5133" i="3"/>
  <c r="C5132" i="3"/>
  <c r="C5131" i="3"/>
  <c r="C5130" i="3"/>
  <c r="C5129" i="3"/>
  <c r="C5128" i="3"/>
  <c r="C5127" i="3"/>
  <c r="C5126" i="3"/>
  <c r="C5125" i="3"/>
  <c r="C5124" i="3"/>
  <c r="C5123" i="3"/>
  <c r="C5122" i="3"/>
  <c r="C5121" i="3"/>
  <c r="C5120" i="3"/>
  <c r="C5119" i="3"/>
  <c r="C5118" i="3"/>
  <c r="C5117" i="3"/>
  <c r="C5116" i="3"/>
  <c r="C5115" i="3"/>
  <c r="C5114" i="3"/>
  <c r="C5113" i="3"/>
  <c r="C5112" i="3"/>
  <c r="C5111" i="3"/>
  <c r="C5110" i="3"/>
  <c r="C5109" i="3"/>
  <c r="C5108" i="3"/>
  <c r="C5107" i="3"/>
  <c r="C5106" i="3"/>
  <c r="C5105" i="3"/>
  <c r="C5104" i="3"/>
  <c r="C5103" i="3"/>
  <c r="C5102" i="3"/>
  <c r="C5101" i="3"/>
  <c r="C5100" i="3"/>
  <c r="C5099" i="3"/>
  <c r="C5098" i="3"/>
  <c r="C5097" i="3"/>
  <c r="C5096" i="3"/>
  <c r="C5095" i="3"/>
  <c r="C5094" i="3"/>
  <c r="C5093" i="3"/>
  <c r="C5092" i="3"/>
  <c r="C5091" i="3"/>
  <c r="C5090" i="3"/>
  <c r="C5089" i="3"/>
  <c r="C5088" i="3"/>
  <c r="C5087" i="3"/>
  <c r="C5086" i="3"/>
  <c r="C5085" i="3"/>
  <c r="C5084" i="3"/>
  <c r="C5083" i="3"/>
  <c r="C5082" i="3"/>
  <c r="C5081" i="3"/>
  <c r="C5080" i="3"/>
  <c r="C5079" i="3"/>
  <c r="C5078" i="3"/>
  <c r="C5077" i="3"/>
  <c r="C5076" i="3"/>
  <c r="C5075" i="3"/>
  <c r="C5074" i="3"/>
  <c r="C5073" i="3"/>
  <c r="C5072" i="3"/>
  <c r="C5071" i="3"/>
  <c r="C5070" i="3"/>
  <c r="C5069" i="3"/>
  <c r="C5068" i="3"/>
  <c r="C5067" i="3"/>
  <c r="C5066" i="3"/>
  <c r="C5065" i="3"/>
  <c r="C5064" i="3"/>
  <c r="C5063" i="3"/>
  <c r="C5062" i="3"/>
  <c r="C5061" i="3"/>
  <c r="C5060" i="3"/>
  <c r="C5059" i="3"/>
  <c r="C5058" i="3"/>
  <c r="C5057" i="3"/>
  <c r="C5056" i="3"/>
  <c r="C5055" i="3"/>
  <c r="C5054" i="3"/>
  <c r="C5053" i="3"/>
  <c r="C5052" i="3"/>
  <c r="C5051" i="3"/>
  <c r="C5050" i="3"/>
  <c r="C5049" i="3"/>
  <c r="C5048" i="3"/>
  <c r="C5047" i="3"/>
  <c r="C5046" i="3"/>
  <c r="C5045" i="3"/>
  <c r="C5044" i="3"/>
  <c r="C5043" i="3"/>
  <c r="C5042" i="3"/>
  <c r="C5041" i="3"/>
  <c r="C5040" i="3"/>
  <c r="C5039" i="3"/>
  <c r="C5038" i="3"/>
  <c r="C5037" i="3"/>
  <c r="C5036" i="3"/>
  <c r="C5035" i="3"/>
  <c r="C5034" i="3"/>
  <c r="C5033" i="3"/>
  <c r="C5032" i="3"/>
  <c r="C5031" i="3"/>
  <c r="C5030" i="3"/>
  <c r="C5029" i="3"/>
  <c r="C5028" i="3"/>
  <c r="C5027" i="3"/>
  <c r="C5026" i="3"/>
  <c r="C5025" i="3"/>
  <c r="C5024" i="3"/>
  <c r="C5023" i="3"/>
  <c r="C5022" i="3"/>
  <c r="C5021" i="3"/>
  <c r="C5020" i="3"/>
  <c r="C5019" i="3"/>
  <c r="C5018" i="3"/>
  <c r="C5017" i="3"/>
  <c r="C5016" i="3"/>
  <c r="C5015" i="3"/>
  <c r="C5014" i="3"/>
  <c r="C5013" i="3"/>
  <c r="C5012" i="3"/>
  <c r="C5011" i="3"/>
  <c r="C5010" i="3"/>
  <c r="C5009" i="3"/>
  <c r="C5008" i="3"/>
  <c r="C5007" i="3"/>
  <c r="C5006" i="3"/>
  <c r="C5005" i="3"/>
  <c r="C5004" i="3"/>
  <c r="C5003" i="3"/>
  <c r="C5002" i="3"/>
  <c r="C5001" i="3"/>
  <c r="C5000" i="3"/>
  <c r="C4999" i="3"/>
  <c r="C4998" i="3"/>
  <c r="C4997" i="3"/>
  <c r="C4996" i="3"/>
  <c r="C4995" i="3"/>
  <c r="C4994" i="3"/>
  <c r="C4993" i="3"/>
  <c r="C4992" i="3"/>
  <c r="C4991" i="3"/>
  <c r="C4990" i="3"/>
  <c r="C4989" i="3"/>
  <c r="C4988" i="3"/>
  <c r="C4987" i="3"/>
  <c r="C4986" i="3"/>
  <c r="C4985" i="3"/>
  <c r="C4984" i="3"/>
  <c r="C4983" i="3"/>
  <c r="C4982" i="3"/>
  <c r="C4981" i="3"/>
  <c r="C4980" i="3"/>
  <c r="C4979" i="3"/>
  <c r="C4978" i="3"/>
  <c r="C4977" i="3"/>
  <c r="C4976" i="3"/>
  <c r="C4975" i="3"/>
  <c r="C4974" i="3"/>
  <c r="C4973" i="3"/>
  <c r="C4972" i="3"/>
  <c r="C4971" i="3"/>
  <c r="C4970" i="3"/>
  <c r="C4969" i="3"/>
  <c r="C4968" i="3"/>
  <c r="C4967" i="3"/>
  <c r="C4966" i="3"/>
  <c r="C4965" i="3"/>
  <c r="C4964" i="3"/>
  <c r="C4963" i="3"/>
  <c r="C4962" i="3"/>
  <c r="C4961" i="3"/>
  <c r="C4960" i="3"/>
  <c r="C4959" i="3"/>
  <c r="C4958" i="3"/>
  <c r="C4957" i="3"/>
  <c r="C4956" i="3"/>
  <c r="C4955" i="3"/>
  <c r="C4954" i="3"/>
  <c r="C4953" i="3"/>
  <c r="C4952" i="3"/>
  <c r="C4951" i="3"/>
  <c r="C4950" i="3"/>
  <c r="C4949" i="3"/>
  <c r="C4948" i="3"/>
  <c r="C4947" i="3"/>
  <c r="C4946" i="3"/>
  <c r="C4945" i="3"/>
  <c r="C4944" i="3"/>
  <c r="C4943" i="3"/>
  <c r="C4942" i="3"/>
  <c r="C4941" i="3"/>
  <c r="C4940" i="3"/>
  <c r="C4939" i="3"/>
  <c r="C4938" i="3"/>
  <c r="C4937" i="3"/>
  <c r="C4936" i="3"/>
  <c r="C4935" i="3"/>
  <c r="C4934" i="3"/>
  <c r="C4933" i="3"/>
  <c r="C4932" i="3"/>
  <c r="C4931" i="3"/>
  <c r="C4930" i="3"/>
  <c r="C4929" i="3"/>
  <c r="C4928" i="3"/>
  <c r="C4927" i="3"/>
  <c r="C4926" i="3"/>
  <c r="C4925" i="3"/>
  <c r="C4924" i="3"/>
  <c r="C4923" i="3"/>
  <c r="C4922" i="3"/>
  <c r="C4921" i="3"/>
  <c r="C4920" i="3"/>
  <c r="C4919" i="3"/>
  <c r="C4918" i="3"/>
  <c r="C4917" i="3"/>
  <c r="C4916" i="3"/>
  <c r="C4915" i="3"/>
  <c r="C4914" i="3"/>
  <c r="C4913" i="3"/>
  <c r="C4912" i="3"/>
  <c r="C4911" i="3"/>
  <c r="C4910" i="3"/>
  <c r="C4909" i="3"/>
  <c r="C4908" i="3"/>
  <c r="C4907" i="3"/>
  <c r="C4906" i="3"/>
  <c r="C4905" i="3"/>
  <c r="C4904" i="3"/>
  <c r="C4903" i="3"/>
  <c r="C4902" i="3"/>
  <c r="C4901" i="3"/>
  <c r="C4900" i="3"/>
  <c r="C4899" i="3"/>
  <c r="C4898" i="3"/>
  <c r="C4897" i="3"/>
  <c r="C4896" i="3"/>
  <c r="C4895" i="3"/>
  <c r="C4894" i="3"/>
  <c r="C4893" i="3"/>
  <c r="C4892" i="3"/>
  <c r="C4891" i="3"/>
  <c r="C4890" i="3"/>
  <c r="C4889" i="3"/>
  <c r="C4888" i="3"/>
  <c r="C4887" i="3"/>
  <c r="C4886" i="3"/>
  <c r="C4885" i="3"/>
  <c r="C4884" i="3"/>
  <c r="C4883" i="3"/>
  <c r="C4882" i="3"/>
  <c r="C4881" i="3"/>
  <c r="C4880" i="3"/>
  <c r="C4879" i="3"/>
  <c r="C4878" i="3"/>
  <c r="C4877" i="3"/>
  <c r="C4876" i="3"/>
  <c r="C4875" i="3"/>
  <c r="C4874" i="3"/>
  <c r="C4873" i="3"/>
  <c r="C4872" i="3"/>
  <c r="C4871" i="3"/>
  <c r="C4870" i="3"/>
  <c r="C4869" i="3"/>
  <c r="C4868" i="3"/>
  <c r="C4867" i="3"/>
  <c r="C4866" i="3"/>
  <c r="C4865" i="3"/>
  <c r="C4864" i="3"/>
  <c r="C4863" i="3"/>
  <c r="C4862" i="3"/>
  <c r="C4861" i="3"/>
  <c r="C4860" i="3"/>
  <c r="C4859" i="3"/>
  <c r="C4858" i="3"/>
  <c r="C4857" i="3"/>
  <c r="C4856" i="3"/>
  <c r="C4855" i="3"/>
  <c r="C4854" i="3"/>
  <c r="C4853" i="3"/>
  <c r="C4852" i="3"/>
  <c r="C4851" i="3"/>
  <c r="C4850" i="3"/>
  <c r="C4849" i="3"/>
  <c r="C4848" i="3"/>
  <c r="C4847" i="3"/>
  <c r="C4846" i="3"/>
  <c r="C4845" i="3"/>
  <c r="C4844" i="3"/>
  <c r="C4843" i="3"/>
  <c r="C4842" i="3"/>
  <c r="C4841" i="3"/>
  <c r="C4840" i="3"/>
  <c r="C4839" i="3"/>
  <c r="C4838" i="3"/>
  <c r="C4837" i="3"/>
  <c r="C4836" i="3"/>
  <c r="C4835" i="3"/>
  <c r="C4834" i="3"/>
  <c r="C4833" i="3"/>
  <c r="C4832" i="3"/>
  <c r="C4831" i="3"/>
  <c r="C4830" i="3"/>
  <c r="C4829" i="3"/>
  <c r="C4828" i="3"/>
  <c r="C4827" i="3"/>
  <c r="C4826" i="3"/>
  <c r="C4825" i="3"/>
  <c r="C4824" i="3"/>
  <c r="C4823" i="3"/>
  <c r="C4822" i="3"/>
  <c r="C4821" i="3"/>
  <c r="C4820" i="3"/>
  <c r="C4819" i="3"/>
  <c r="C4818" i="3"/>
  <c r="C4817" i="3"/>
  <c r="C4816" i="3"/>
  <c r="C4815" i="3"/>
  <c r="C4814" i="3"/>
  <c r="C4813" i="3"/>
  <c r="C4812" i="3"/>
  <c r="C4811" i="3"/>
  <c r="C4810" i="3"/>
  <c r="C4809" i="3"/>
  <c r="C4808" i="3"/>
  <c r="C4807" i="3"/>
  <c r="C4806" i="3"/>
  <c r="C4805" i="3"/>
  <c r="C4804" i="3"/>
  <c r="C4803" i="3"/>
  <c r="C4802" i="3"/>
  <c r="C4801" i="3"/>
  <c r="C4800" i="3"/>
  <c r="C4799" i="3"/>
  <c r="C4798" i="3"/>
  <c r="C4797" i="3"/>
  <c r="C4796" i="3"/>
  <c r="C4795" i="3"/>
  <c r="C4794" i="3"/>
  <c r="C4793" i="3"/>
  <c r="C4792" i="3"/>
  <c r="C4791" i="3"/>
  <c r="C4790" i="3"/>
  <c r="C4789" i="3"/>
  <c r="C4788" i="3"/>
  <c r="C4787" i="3"/>
  <c r="C4786" i="3"/>
  <c r="C4785" i="3"/>
  <c r="C4784" i="3"/>
  <c r="C4783" i="3"/>
  <c r="C4782" i="3"/>
  <c r="C4781" i="3"/>
  <c r="C4780" i="3"/>
  <c r="C4779" i="3"/>
  <c r="C4778" i="3"/>
  <c r="C4777" i="3"/>
  <c r="C4776" i="3"/>
  <c r="C4775" i="3"/>
  <c r="C4774" i="3"/>
  <c r="C4773" i="3"/>
  <c r="C4772" i="3"/>
  <c r="C4771" i="3"/>
  <c r="C4770" i="3"/>
  <c r="C4769" i="3"/>
  <c r="C4768" i="3"/>
  <c r="C4767" i="3"/>
  <c r="C4766" i="3"/>
  <c r="C4765" i="3"/>
  <c r="C4764" i="3"/>
  <c r="C4763" i="3"/>
  <c r="C4762" i="3"/>
  <c r="C4761" i="3"/>
  <c r="C4760" i="3"/>
  <c r="C4759" i="3"/>
  <c r="C4758" i="3"/>
  <c r="C4757" i="3"/>
  <c r="C4756" i="3"/>
  <c r="C4755" i="3"/>
  <c r="C4754" i="3"/>
  <c r="C4753" i="3"/>
  <c r="C4752" i="3"/>
  <c r="C4751" i="3"/>
  <c r="C4750" i="3"/>
  <c r="C4749" i="3"/>
  <c r="C4748" i="3"/>
  <c r="C4747" i="3"/>
  <c r="C4746" i="3"/>
  <c r="C4745" i="3"/>
  <c r="C4744" i="3"/>
  <c r="C4743" i="3"/>
  <c r="C4742" i="3"/>
  <c r="C4741" i="3"/>
  <c r="C4740" i="3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<sst xmlns="http://schemas.openxmlformats.org/spreadsheetml/2006/main" count="28748" uniqueCount="19215">
  <si>
    <t>title</t>
  </si>
  <si>
    <t>link</t>
  </si>
  <si>
    <t>Interview</t>
  </si>
  <si>
    <t>Theme</t>
  </si>
  <si>
    <t>Date</t>
  </si>
  <si>
    <t>More</t>
  </si>
  <si>
    <t>SP_BG_00-01_New_York_1966-02-19_-20_Intro_1_to_Bhagavad_Gita.mp3</t>
  </si>
  <si>
    <t>https://audio.iskcondesiretree.com/01_-_Srila_Prabhupada/01_-_Lectures/01_-_English/01_-_Topic_wise/Bhagavad_Gita/More/SP_BG_00-01_New_York_1966-02-19_-20_Intro_1_to_Bhagavad_Gita.mp3</t>
  </si>
  <si>
    <t>SP_BG_00-02_New_York_1966-02-19_-20_Intro_2_to_Bhagavad_Gita.mp3</t>
  </si>
  <si>
    <t>https://audio.iskcondesiretree.com/01_-_Srila_Prabhupada/01_-_Lectures/01_-_English/01_-_Topic_wise/Bhagavad_Gita/More/SP_BG_00-02_New_York_1966-02-19_-20_Intro_2_to_Bhagavad_Gita.mp3</t>
  </si>
  <si>
    <t>SP_BG_00-03_New_York_1966-02-19_-20_Intro_3_to_Bhagavad_Gita.mp3</t>
  </si>
  <si>
    <t>https://audio.iskcondesiretree.com/01_-_Srila_Prabhupada/01_-_Lectures/01_-_English/01_-_Topic_wise/Bhagavad_Gita/More/SP_BG_00-03_New_York_1966-02-19_-20_Intro_3_to_Bhagavad_Gita.mp3</t>
  </si>
  <si>
    <t>Bg_00-01_NY_1966-02-19_20_Intro_1--_to_Bhagavad_Gita.mp3</t>
  </si>
  <si>
    <t>https://audio.iskcondesiretree.com/01_-_Srila_Prabhupada/01_-_Lectures/01_-_English/02_-_Month_wise/02_-_Feburary/19/Bg_00-01_NY_1966-02-19_20_Intro_1--_to_Bhagavad_Gita.mp3</t>
  </si>
  <si>
    <t>Bg_00-02_NY_1966-02-19_20_Intro_2--_to_Bhagavad_Gita.mp3</t>
  </si>
  <si>
    <t>https://audio.iskcondesiretree.com/01_-_Srila_Prabhupada/01_-_Lectures/01_-_English/02_-_Month_wise/02_-_Feburary/19/Bg_00-02_NY_1966-02-19_20_Intro_2--_to_Bhagavad_Gita.mp3</t>
  </si>
  <si>
    <t>Bg_00-03_NY_1966-02-19_20_Intro_3--_to_Bhagavad_Gita.mp3</t>
  </si>
  <si>
    <t>https://audio.iskcondesiretree.com/01_-_Srila_Prabhupada/01_-_Lectures/01_-_English/02_-_Month_wise/02_-_Feburary/19/Bg_00-03_NY_1966-02-19_20_Intro_3--_to_Bhagavad_Gita.mp3</t>
  </si>
  <si>
    <t>Chapter-02</t>
  </si>
  <si>
    <t>SP_BG_02-07-11_New_York_1966-03-02-The_Unavoidable_Battle--etc.mp3</t>
  </si>
  <si>
    <t>https://audio.iskcondesiretree.com/01_-_Srila_Prabhupada/01_-_Lectures/01_-_English/01_-_Topic_wise/Bhagavad_Gita/Chapter-02/SP_BG_02-07-11_New_York_1966-03-02-The_Unavoidable_Battle--etc.mp3</t>
  </si>
  <si>
    <t>Bg_02-07_NY_1966-03-02_Part_1_The_Unavoidable_Battle_etc.mp3</t>
  </si>
  <si>
    <t>https://audio.iskcondesiretree.com/01_-_Srila_Prabhupada/01_-_Lectures/01_-_English/02_-_Month_wise/03_-_March/02/Bg_02-07_NY_1966-03-02_Part_1_The_Unavoidable_Battle_etc.mp3</t>
  </si>
  <si>
    <t>Bg_02-07_NY_1966-03-02_Part_2_The_Unavoidable_Battle_etc.mp3</t>
  </si>
  <si>
    <t>https://audio.iskcondesiretree.com/01_-_Srila_Prabhupada/01_-_Lectures/01_-_English/02_-_Month_wise/03_-_March/02/Bg_02-07_NY_1966-03-02_Part_2_The_Unavoidable_Battle_etc.mp3</t>
  </si>
  <si>
    <t>Bg_02-07_NY_1966-03-02_Part_3_The_Unavoidable_Battle_etc.mp3</t>
  </si>
  <si>
    <t>https://audio.iskcondesiretree.com/01_-_Srila_Prabhupada/01_-_Lectures/01_-_English/02_-_Month_wise/03_-_March/02/Bg_02-07_NY_1966-03-02_Part_3_The_Unavoidable_Battle_etc.mp3</t>
  </si>
  <si>
    <t>SP_BG_02-11_New_York_1966-03-04_The_Fragrance_of_the_Soul--etc.mp3</t>
  </si>
  <si>
    <t>https://audio.iskcondesiretree.com/01_-_Srila_Prabhupada/01_-_Lectures/01_-_English/01_-_Topic_wise/Bhagavad_Gita/Chapter-02/SP_BG_02-11_New_York_1966-03-04_The_Fragrance_of_the_Soul--etc.mp3</t>
  </si>
  <si>
    <t>Bg_02-11_NY_1966-03-04_The_Fragrance_of_the_Soul_etc.mp3</t>
  </si>
  <si>
    <t>https://audio.iskcondesiretree.com/01_-_Srila_Prabhupada/01_-_Lectures/01_-_English/02_-_Month_wise/03_-_March/04/Bg_02-11_NY_1966-03-04_The_Fragrance_of_the_Soul_etc.mp3</t>
  </si>
  <si>
    <t>SP_BG_02-12_New_York_1966-03-09_God_Is_Individual_Person.mp3</t>
  </si>
  <si>
    <t>https://audio.iskcondesiretree.com/01_-_Srila_Prabhupada/01_-_Lectures/01_-_English/01_-_Topic_wise/Bhagavad_Gita/Chapter-02/SP_BG_02-12_New_York_1966-03-09_God_Is_Individual_Person.mp3</t>
  </si>
  <si>
    <t>Bg_02-12_NY_1966-03-09_God_Is_Individual_Person.mp3</t>
  </si>
  <si>
    <t>https://audio.iskcondesiretree.com/01_-_Srila_Prabhupada/01_-_Lectures/01_-_English/02_-_Month_wise/03_-_March/09/Bg_02-12_NY_1966-03-09_God_Is_Individual_Person.mp3</t>
  </si>
  <si>
    <t>SP_BG_02-13_New_York_1966-03-11_A_Disturbed_Mind_Is_Due_to_Ignorance.mp3</t>
  </si>
  <si>
    <t>https://audio.iskcondesiretree.com/01_-_Srila_Prabhupada/01_-_Lectures/01_-_English/01_-_Topic_wise/Bhagavad_Gita/Chapter-02/SP_BG_02-13_New_York_1966-03-11_A_Disturbed_Mind_Is_Due_to_Ignorance.mp3</t>
  </si>
  <si>
    <t>Bg_02-13_NY_1966-03-11_A_Disturbed_Mind_Is_Due_to_Ignorance.mp3</t>
  </si>
  <si>
    <t>https://audio.iskcondesiretree.com/01_-_Srila_Prabhupada/01_-_Lectures/01_-_English/02_-_Month_wise/03_-_March/11/Bg_02-13_NY_1966-03-11_A_Disturbed_Mind_Is_Due_to_Ignorance.mp3</t>
  </si>
  <si>
    <t>by_Lilananda_Prabhu</t>
  </si>
  <si>
    <t>SP_BG_02-13_NY_1966-03-11_Uma_Mente_Perturbada_e_Devido_a_Ignorancia.mp3</t>
  </si>
  <si>
    <t>https://audio.iskcondesiretree.com/01_-_Srila_Prabhupada/01_-_Lectures/04_-_Translation/Portuguese/by_Lilananda_Prabhu/SP_BG_02-13_NY_1966-03-11_Uma_Mente_Perturbada_e_Devido_a_Ignorancia.mp3</t>
  </si>
  <si>
    <t>Canto-01</t>
  </si>
  <si>
    <t>SP_SB_1-02-17_New_York_1966-03-25_Krishna_Is_Omnipotent.mp3</t>
  </si>
  <si>
    <t>https://audio.iskcondesiretree.com/01_-_Srila_Prabhupada/01_-_Lectures/01_-_English/01_-_Topic_wise/Srimad_Bhagavatam/Canto-01/SP_SB_1-02-17_New_York_1966-03-25_Krishna_Is_Omnipotent.mp3</t>
  </si>
  <si>
    <t>SB_1-02-17_NY_1966-03-25_Krishna_Is_Omnipotent.mp3</t>
  </si>
  <si>
    <t>https://audio.iskcondesiretree.com/01_-_Srila_Prabhupada/01_-_Lectures/01_-_English/02_-_Month_wise/03_-_March/25/SB_1-02-17_NY_1966-03-25_Krishna_Is_Omnipotent.mp3</t>
  </si>
  <si>
    <t>SP_BG_02-47_New_York_1966-03-28_Soul%27s_Constitutional_Position.mp3</t>
  </si>
  <si>
    <t>https://audio.iskcondesiretree.com/01_-_Srila_Prabhupada/01_-_Lectures/01_-_English/01_-_Topic_wise/Bhagavad_Gita/Chapter-02/SP_BG_02-47_New_York_1966-03-28_Soul%27s_Constitutional_Position.mp3</t>
  </si>
  <si>
    <t>Bg_02-47_NY_1966-03-28_Soul%27s_Constitutional_Position.mp3</t>
  </si>
  <si>
    <t>https://audio.iskcondesiretree.com/01_-_Srila_Prabhupada/01_-_Lectures/01_-_English/02_-_Month_wise/03_-_March/28/Bg_02-47_NY_1966-03-28_Soul%27s_Constitutional_Position.mp3</t>
  </si>
  <si>
    <t>SP_BG_02-48_New_York_1966-04-01_Keeping_in_Touch_with_the_Supreme.mp3</t>
  </si>
  <si>
    <t>https://audio.iskcondesiretree.com/01_-_Srila_Prabhupada/01_-_Lectures/01_-_English/01_-_Topic_wise/Bhagavad_Gita/Chapter-02/SP_BG_02-48_New_York_1966-04-01_Keeping_in_Touch_with_the_Supreme.mp3</t>
  </si>
  <si>
    <t>Bg_02-48_NY_1966-04-01_Keeping_in_Touch_with_the_Supreme.mp3</t>
  </si>
  <si>
    <t>https://audio.iskcondesiretree.com/01_-_Srila_Prabhupada/01_-_Lectures/01_-_English/02_-_Month_wise/04_-_April/01/Bg_02-48_NY_1966-04-01_Keeping_in_Touch_with_the_Supreme.mp3</t>
  </si>
  <si>
    <t>SP_BG_02-49_New_York_1966-04-05_One_Should_Spend_All_Energies--etc.mp3</t>
  </si>
  <si>
    <t>https://audio.iskcondesiretree.com/01_-_Srila_Prabhupada/01_-_Lectures/01_-_English/01_-_Topic_wise/Bhagavad_Gita/Chapter-02/SP_BG_02-49_New_York_1966-04-05_One_Should_Spend_All_Energies--etc.mp3</t>
  </si>
  <si>
    <t>Bg_02-49_NY_1966-04-05_One_Should_Spend_All_Energies_etc.mp3</t>
  </si>
  <si>
    <t>https://audio.iskcondesiretree.com/01_-_Srila_Prabhupada/01_-_Lectures/01_-_English/02_-_Month_wise/04_-_April/05/Bg_02-49_NY_1966-04-05_One_Should_Spend_All_Energies_etc.mp3</t>
  </si>
  <si>
    <t>SP_BG_02-51-54_New_York_1966-04-12_Dovetailing_Yourself_with_the_Supreme.mp3</t>
  </si>
  <si>
    <t>https://audio.iskcondesiretree.com/01_-_Srila_Prabhupada/01_-_Lectures/01_-_English/01_-_Topic_wise/Bhagavad_Gita/Chapter-02/SP_BG_02-51-54_New_York_1966-04-12_Dovetailing_Yourself_with_the_Supreme.mp3</t>
  </si>
  <si>
    <t>Bg_02-51_NY_1966-04-12_Dovetailing_Yourself_with_the_Supreme.mp3</t>
  </si>
  <si>
    <t>https://audio.iskcondesiretree.com/01_-_Srila_Prabhupada/01_-_Lectures/01_-_English/02_-_Month_wise/04_-_April/12/Bg_02-51_NY_1966-04-12_Dovetailing_Yourself_with_the_Supreme.mp3</t>
  </si>
  <si>
    <t>SP_BG_02-55_New_York_1966-04-15_Coming_Off_the_Mental_Platform.mp3</t>
  </si>
  <si>
    <t>https://audio.iskcondesiretree.com/01_-_Srila_Prabhupada/01_-_Lectures/01_-_English/01_-_Topic_wise/Bhagavad_Gita/Chapter-02/SP_BG_02-55_New_York_1966-04-15_Coming_Off_the_Mental_Platform.mp3</t>
  </si>
  <si>
    <t>Bg_02-55_NY_1966-04-15_Coming_Off_the_Mental_Platform.mp3</t>
  </si>
  <si>
    <t>https://audio.iskcondesiretree.com/01_-_Srila_Prabhupada/01_-_Lectures/01_-_English/02_-_Month_wise/04_-_April/15/Bg_02-55_NY_1966-04-15_Coming_Off_the_Mental_Platform.mp3</t>
  </si>
  <si>
    <t>SP_BG_02-55_New_York_1966-04-19_Engaging_in_Devotional_Service--etc.mp3</t>
  </si>
  <si>
    <t>https://audio.iskcondesiretree.com/01_-_Srila_Prabhupada/01_-_Lectures/01_-_English/01_-_Topic_wise/Bhagavad_Gita/Chapter-02/SP_BG_02-55_New_York_1966-04-19_Engaging_in_Devotional_Service--etc.mp3</t>
  </si>
  <si>
    <t>Bg_02-55_NY_1966-04-19_Engaging_in_Devotional_Service_etc.mp3</t>
  </si>
  <si>
    <t>https://audio.iskcondesiretree.com/01_-_Srila_Prabhupada/01_-_Lectures/01_-_English/02_-_Month_wise/04_-_April/19/Bg_02-55_NY_1966-04-19_Engaging_in_Devotional_Service_etc.mp3</t>
  </si>
  <si>
    <t>SP_BG_02-58_New_York_1966-04-27_The_Secret_of_Detachment.mp3</t>
  </si>
  <si>
    <t>https://audio.iskcondesiretree.com/01_-_Srila_Prabhupada/01_-_Lectures/01_-_English/01_-_Topic_wise/Bhagavad_Gita/Chapter-02/SP_BG_02-58_New_York_1966-04-27_The_Secret_of_Detachment.mp3</t>
  </si>
  <si>
    <t>Bg_02-58_NY_1966-04-27_The_Secret_of_Detachment.mp3</t>
  </si>
  <si>
    <t>https://audio.iskcondesiretree.com/01_-_Srila_Prabhupada/01_-_Lectures/01_-_English/02_-_Month_wise/04_-_April/27/Bg_02-58_NY_1966-04-27_The_Secret_of_Detachment.mp3</t>
  </si>
  <si>
    <t>Chapter-03</t>
  </si>
  <si>
    <t>SP_BG_03-08-13_New_York_1966-05-20_Yajna_Means_Work_for_Vishnu.mp3</t>
  </si>
  <si>
    <t>https://audio.iskcondesiretree.com/01_-_Srila_Prabhupada/01_-_Lectures/01_-_English/01_-_Topic_wise/Bhagavad_Gita/Chapter-03/SP_BG_03-08-13_New_York_1966-05-20_Yajna_Means_Work_for_Vishnu.mp3</t>
  </si>
  <si>
    <t>Bg_03-08_NY_1966-05-20_Yajna_Means_Work_for_Vishnu.mp3</t>
  </si>
  <si>
    <t>https://audio.iskcondesiretree.com/01_-_Srila_Prabhupada/01_-_Lectures/01_-_English/02_-_Month_wise/05_-_May/20/Bg_03-08_NY_1966-05-20_Yajna_Means_Work_for_Vishnu.mp3</t>
  </si>
  <si>
    <t>SP_BG_03-13-16_New_York_1966-05-23_Karma-yoga-_Becoming_God%27s_Yes_Man.mp3</t>
  </si>
  <si>
    <t>https://audio.iskcondesiretree.com/01_-_Srila_Prabhupada/01_-_Lectures/01_-_English/01_-_Topic_wise/Bhagavad_Gita/Chapter-03/SP_BG_03-13-16_New_York_1966-05-23_Karma-yoga-_Becoming_God%27s_Yes_Man.mp3</t>
  </si>
  <si>
    <t>Bg_03-13_NY_1966-05-23_Karma-yoga_Becoming_God%27s_Yes_Man.mp3</t>
  </si>
  <si>
    <t>https://audio.iskcondesiretree.com/01_-_Srila_Prabhupada/01_-_Lectures/01_-_English/02_-_Month_wise/05_-_May/23/Bg_03-13_NY_1966-05-23_Karma-yoga_Becoming_God%27s_Yes_Man.mp3</t>
  </si>
  <si>
    <t>SP_BG_03-16_New_York_1966-05-25_You_Have_to_Love_Through_God.mp3</t>
  </si>
  <si>
    <t>https://audio.iskcondesiretree.com/01_-_Srila_Prabhupada/01_-_Lectures/01_-_English/01_-_Topic_wise/Bhagavad_Gita/Chapter-03/SP_BG_03-16_New_York_1966-05-25_You_Have_to_Love_Through_God.mp3</t>
  </si>
  <si>
    <t>Bg_03-16_NY_1966-05-25_You_Have_to_Love_Through_God.mp3</t>
  </si>
  <si>
    <t>https://audio.iskcondesiretree.com/01_-_Srila_Prabhupada/01_-_Lectures/01_-_English/02_-_Month_wise/05_-_May/25/Bg_03-16_NY_1966-05-25_You_Have_to_Love_Through_God.mp3</t>
  </si>
  <si>
    <t>SP_BG_03-17_New_York_1966-05-27_Bhagavad-gita--_for_the_Common_Man.mp3</t>
  </si>
  <si>
    <t>https://audio.iskcondesiretree.com/01_-_Srila_Prabhupada/01_-_Lectures/01_-_English/01_-_Topic_wise/Bhagavad_Gita/Chapter-03/SP_BG_03-17_New_York_1966-05-27_Bhagavad-gita--_for_the_Common_Man.mp3</t>
  </si>
  <si>
    <t>Bg_03-17_NY_1966-05-27_Bhagavad-gita_for_the_Common_Man.mp3</t>
  </si>
  <si>
    <t>https://audio.iskcondesiretree.com/01_-_Srila_Prabhupada/01_-_Lectures/01_-_English/02_-_Month_wise/05_-_May/27/Bg_03-17_NY_1966-05-27_Bhagavad-gita_for_the_Common_Man.mp3</t>
  </si>
  <si>
    <t>SP_BG_03-21-24_New_York_1966-05-30_How_to_Become_An_Ideal_Person.mp3</t>
  </si>
  <si>
    <t>https://audio.iskcondesiretree.com/01_-_Srila_Prabhupada/01_-_Lectures/01_-_English/01_-_Topic_wise/Bhagavad_Gita/Chapter-03/SP_BG_03-21-24_New_York_1966-05-30_How_to_Become_An_Ideal_Person.mp3</t>
  </si>
  <si>
    <t>Bg_03-21_NY_1966-05-30_How_to_Become_An_Ideal_Person.mp3</t>
  </si>
  <si>
    <t>https://audio.iskcondesiretree.com/01_-_Srila_Prabhupada/01_-_Lectures/01_-_English/02_-_Month_wise/05_-_May/30/Bg_03-21_NY_1966-05-30_How_to_Become_An_Ideal_Person.mp3</t>
  </si>
  <si>
    <t>Chapter-04</t>
  </si>
  <si>
    <t>SP_BG_04-03-06_New_York_1966-07-18_Forgetfulness_of_the_Lord.mp3</t>
  </si>
  <si>
    <t>https://audio.iskcondesiretree.com/01_-_Srila_Prabhupada/01_-_Lectures/01_-_English/01_-_Topic_wise/Bhagavad_Gita/Chapter-04/SP_BG_04-03-06_New_York_1966-07-18_Forgetfulness_of_the_Lord.mp3</t>
  </si>
  <si>
    <t>Bg_04-03_NY_1966-07-18_Forgetfulness_of_the_Lord.mp3</t>
  </si>
  <si>
    <t>https://audio.iskcondesiretree.com/01_-_Srila_Prabhupada/01_-_Lectures/01_-_English/02_-_Month_wise/07_-_July/18/Bg_04-03_NY_1966-07-18_Forgetfulness_of_the_Lord.mp3</t>
  </si>
  <si>
    <t>SP_BG_04-06-08_New_York_1966-07-20_Why_the_Lord_and_His--etc.mp3</t>
  </si>
  <si>
    <t>https://audio.iskcondesiretree.com/01_-_Srila_Prabhupada/01_-_Lectures/01_-_English/01_-_Topic_wise/Bhagavad_Gita/Chapter-04/SP_BG_04-06-08_New_York_1966-07-20_Why_the_Lord_and_His--etc.mp3</t>
  </si>
  <si>
    <t>Bg_04-06_NY_1966-07-20_Why_the_Lord_and_His_etc.mp3</t>
  </si>
  <si>
    <t>https://audio.iskcondesiretree.com/01_-_Srila_Prabhupada/01_-_Lectures/01_-_English/02_-_Month_wise/07_-_July/20/Bg_04-06_NY_1966-07-20_Why_the_Lord_and_His_etc.mp3</t>
  </si>
  <si>
    <t>SP_BG_04-09_New_York_1966-07-25_Take_Assistance_From_A_Person--etc.mp3</t>
  </si>
  <si>
    <t>https://audio.iskcondesiretree.com/01_-_Srila_Prabhupada/01_-_Lectures/01_-_English/01_-_Topic_wise/Bhagavad_Gita/Chapter-04/SP_BG_04-09_New_York_1966-07-25_Take_Assistance_From_A_Person--etc.mp3</t>
  </si>
  <si>
    <t>Bg_04-09_NY_1966-07-25_Take_Assistance_From_A_Person_etc.mp3</t>
  </si>
  <si>
    <t>https://audio.iskcondesiretree.com/01_-_Srila_Prabhupada/01_-_Lectures/01_-_English/02_-_Month_wise/07_-_July/25/Bg_04-09_NY_1966-07-25_Take_Assistance_From_A_Person_etc.mp3</t>
  </si>
  <si>
    <t>SP_BG_04-11_New_York_1966-07-28_Know_Krishna--Get_Liberation.mp3</t>
  </si>
  <si>
    <t>https://audio.iskcondesiretree.com/01_-_Srila_Prabhupada/01_-_Lectures/01_-_English/01_-_Topic_wise/Bhagavad_Gita/Chapter-04/SP_BG_04-11_New_York_1966-07-28_Know_Krishna--Get_Liberation.mp3</t>
  </si>
  <si>
    <t>Bg_04-11_NY_1966-07-28_Know_Krishna-Get_Liberation.mp3</t>
  </si>
  <si>
    <t>https://audio.iskcondesiretree.com/01_-_Srila_Prabhupada/01_-_Lectures/01_-_English/02_-_Month_wise/07_-_July/28/Bg_04-11_NY_1966-07-28_Know_Krishna-Get_Liberation.mp3</t>
  </si>
  <si>
    <t>SP_BG_04-12-13_New_York_1966-07-30_Become_Brahmana--Twice-born.mp3</t>
  </si>
  <si>
    <t>https://audio.iskcondesiretree.com/01_-_Srila_Prabhupada/01_-_Lectures/01_-_English/01_-_Topic_wise/Bhagavad_Gita/Chapter-04/SP_BG_04-12-13_New_York_1966-07-30_Become_Brahmana--Twice-born.mp3</t>
  </si>
  <si>
    <t>Bg_04-12_NY_1966-07-30_Become_Brahmana_Twice-born.mp3</t>
  </si>
  <si>
    <t>https://audio.iskcondesiretree.com/01_-_Srila_Prabhupada/01_-_Lectures/01_-_English/02_-_Month_wise/07_-_July/30/Bg_04-12_NY_1966-07-30_Become_Brahmana_Twice-born.mp3</t>
  </si>
  <si>
    <t>SP_BG_04-13-14_New_York_1966-08-01_Divisions_of_Human_Society.mp3</t>
  </si>
  <si>
    <t>https://audio.iskcondesiretree.com/01_-_Srila_Prabhupada/01_-_Lectures/01_-_English/01_-_Topic_wise/Bhagavad_Gita/Chapter-04/SP_BG_04-13-14_New_York_1966-08-01_Divisions_of_Human_Society.mp3</t>
  </si>
  <si>
    <t>Bg_04-13_NY_1966-08-01_Divisions_of_Human_Society.mp3</t>
  </si>
  <si>
    <t>https://audio.iskcondesiretree.com/01_-_Srila_Prabhupada/01_-_Lectures/01_-_English/02_-_Month_wise/08_-_August/01/Bg_04-13_NY_1966-08-01_Divisions_of_Human_Society.mp3</t>
  </si>
  <si>
    <t>SP_BG_04-14-19_New_York_1966-08-03_Karma-Akarma.mp3</t>
  </si>
  <si>
    <t>https://audio.iskcondesiretree.com/01_-_Srila_Prabhupada/01_-_Lectures/01_-_English/01_-_Topic_wise/Bhagavad_Gita/Chapter-04/SP_BG_04-14-19_New_York_1966-08-03_Karma-Akarma.mp3</t>
  </si>
  <si>
    <t>Bg_04-14_NY_1966-08-03_Karma_Akarma.mp3</t>
  </si>
  <si>
    <t>https://audio.iskcondesiretree.com/01_-_Srila_Prabhupada/01_-_Lectures/01_-_English/02_-_Month_wise/08_-_August/03/Bg_04-14_NY_1966-08-03_Karma_Akarma.mp3</t>
  </si>
  <si>
    <t>SP_BG_04-19-22_New_York_1966-08-08_How_to_Satisfy_Krishna.mp3</t>
  </si>
  <si>
    <t>https://audio.iskcondesiretree.com/01_-_Srila_Prabhupada/01_-_Lectures/01_-_English/01_-_Topic_wise/Bhagavad_Gita/Chapter-04/SP_BG_04-19-22_New_York_1966-08-08_How_to_Satisfy_Krishna.mp3</t>
  </si>
  <si>
    <t>SP_BG_04-19_New_York_1966-08-08_How_to_Satisfy_Krishna.mp3</t>
  </si>
  <si>
    <t>https://audio.iskcondesiretree.com/01_-_Srila_Prabhupada/01_-_Lectures/01_-_English/01_-_Topic_wise/Bhagavad_Gita/Chapter-04/SP_BG_04-19_New_York_1966-08-08_How_to_Satisfy_Krishna.mp3</t>
  </si>
  <si>
    <t>Bg_04-19_NY_1966-08-08_How_to_Satisfy_Krishna.mp3</t>
  </si>
  <si>
    <t>https://audio.iskcondesiretree.com/01_-_Srila_Prabhupada/01_-_Lectures/01_-_English/02_-_Month_wise/08_-_August/08/Bg_04-19_NY_1966-08-08_How_to_Satisfy_Krishna.mp3</t>
  </si>
  <si>
    <t>SP_BG_04-20-24_New_York_1966-08-09_Varieties_of_Sacrifice.mp3</t>
  </si>
  <si>
    <t>https://audio.iskcondesiretree.com/01_-_Srila_Prabhupada/01_-_Lectures/01_-_English/01_-_Topic_wise/Bhagavad_Gita/Chapter-04/SP_BG_04-20-24_New_York_1966-08-09_Varieties_of_Sacrifice.mp3</t>
  </si>
  <si>
    <t>Bg_04-20_NY_1966-08-09_Varieties_of_Sacrifice.mp3</t>
  </si>
  <si>
    <t>https://audio.iskcondesiretree.com/01_-_Srila_Prabhupada/01_-_Lectures/01_-_English/02_-_Month_wise/08_-_August/09/Bg_04-20_NY_1966-08-09_Varieties_of_Sacrifice.mp3</t>
  </si>
  <si>
    <t>SP_BG_04-24-34_New_York_1966-08-12_Varnasrama_Dharma.mp3</t>
  </si>
  <si>
    <t>https://audio.iskcondesiretree.com/01_-_Srila_Prabhupada/01_-_Lectures/01_-_English/01_-_Topic_wise/Bhagavad_Gita/Chapter-04/SP_BG_04-24-34_New_York_1966-08-12_Varnasrama_Dharma.mp3</t>
  </si>
  <si>
    <t>Bg_04-24_NY_1966-08-12_Varnasrama_Dharma.mp3</t>
  </si>
  <si>
    <t>https://audio.iskcondesiretree.com/01_-_Srila_Prabhupada/01_-_Lectures/01_-_English/02_-_Month_wise/08_-_August/12/Bg_04-24_NY_1966-08-12_Varnasrama_Dharma.mp3</t>
  </si>
  <si>
    <t>SP_BG_04-34_New_York_1966-08-17_Only_Think_of_Krishna.mp3</t>
  </si>
  <si>
    <t>https://audio.iskcondesiretree.com/01_-_Srila_Prabhupada/01_-_Lectures/01_-_English/01_-_Topic_wise/Bhagavad_Gita/Chapter-04/SP_BG_04-34_New_York_1966-08-17_Only_Think_of_Krishna.mp3</t>
  </si>
  <si>
    <t>Chapter-05</t>
  </si>
  <si>
    <t>SP_BG_05-07-14_New_York_1966-08-27_Krsna_and_We-Very_Intimately_Connected.mp3</t>
  </si>
  <si>
    <t>https://audio.iskcondesiretree.com/01_-_Srila_Prabhupada/01_-_Lectures/01_-_English/01_-_Topic_wise/Bhagavad_Gita/Chapter-05/SP_BG_05-07-14_New_York_1966-08-27_Krsna_and_We-Very_Intimately_Connected.mp3</t>
  </si>
  <si>
    <t>Bg_05-07_NY_1966-08-27_Krsna_and_We-Very_Intimately_Connected.mp3</t>
  </si>
  <si>
    <t>https://audio.iskcondesiretree.com/01_-_Srila_Prabhupada/01_-_Lectures/01_-_English/02_-_Month_wise/08_-_August/27/Bg_05-07_NY_1966-08-27_Krsna_and_We-Very_Intimately_Connected.mp3</t>
  </si>
  <si>
    <t>SP_BG_05-22_New_York_1966-08-31_Actual_Sense_Pleasure.mp3</t>
  </si>
  <si>
    <t>https://audio.iskcondesiretree.com/01_-_Srila_Prabhupada/01_-_Lectures/01_-_English/01_-_Topic_wise/Bhagavad_Gita/Chapter-05/SP_BG_05-22_New_York_1966-08-31_Actual_Sense_Pleasure.mp3</t>
  </si>
  <si>
    <t>Bg_05-22_NY_1966-08-31_Actual_Sense_Pleasure.mp3</t>
  </si>
  <si>
    <t>https://audio.iskcondesiretree.com/01_-_Srila_Prabhupada/01_-_Lectures/01_-_English/02_-_Month_wise/08_-_August/31/Bg_05-22_NY_1966-08-31_Actual_Sense_Pleasure.mp3</t>
  </si>
  <si>
    <t>Chapter-06</t>
  </si>
  <si>
    <t>SP_BG_06-01-04_New_York_1966-09-02_You_Serve_Krishna_or_Maya.mp3</t>
  </si>
  <si>
    <t>https://audio.iskcondesiretree.com/01_-_Srila_Prabhupada/01_-_Lectures/01_-_English/01_-_Topic_wise/Bhagavad_Gita/Chapter-06/SP_BG_06-01-04_New_York_1966-09-02_You_Serve_Krishna_or_Maya.mp3</t>
  </si>
  <si>
    <t>Bg_06-01_NY_1966-09-02_You_Serve_Krishna_or_Maya.mp3</t>
  </si>
  <si>
    <t>https://audio.iskcondesiretree.com/01_-_Srila_Prabhupada/01_-_Lectures/01_-_English/02_-_Month_wise/09_-_September/02/Bg_06-01_NY_1966-09-02_You_Serve_Krishna_or_Maya.mp3</t>
  </si>
  <si>
    <t>SP_BG_06-04-09_New_York_1966-09-04_Engaging_the_Mind_in_Krsna_Consciousness.mp3</t>
  </si>
  <si>
    <t>https://audio.iskcondesiretree.com/01_-_Srila_Prabhupada/01_-_Lectures/01_-_English/01_-_Topic_wise/Bhagavad_Gita/Chapter-06/SP_BG_06-04-09_New_York_1966-09-04_Engaging_the_Mind_in_Krsna_Consciousness.mp3</t>
  </si>
  <si>
    <t>Bg_06-04_NY_1966-09-04_Engaging_the_Mind_in_Krsna_Consciousness.mp3</t>
  </si>
  <si>
    <t>https://audio.iskcondesiretree.com/01_-_Srila_Prabhupada/01_-_Lectures/01_-_English/02_-_Month_wise/09_-_September/04/Bg_06-04_NY_1966-09-04_Engaging_the_Mind_in_Krsna_Consciousness.mp3</t>
  </si>
  <si>
    <t>SP_BG_06-04-09_New_York_1966-09-07_How_One_Should_Perform_Yoga.mp3</t>
  </si>
  <si>
    <t>https://audio.iskcondesiretree.com/01_-_Srila_Prabhupada/01_-_Lectures/01_-_English/01_-_Topic_wise/Bhagavad_Gita/Chapter-06/SP_BG_06-04-09_New_York_1966-09-07_How_One_Should_Perform_Yoga.mp3</t>
  </si>
  <si>
    <t>SP_BG_06-11-19_New_York_1966-09-07_Yoga_System--Chant_the_Holy--etc.mp3</t>
  </si>
  <si>
    <t>https://audio.iskcondesiretree.com/01_-_Srila_Prabhupada/01_-_Lectures/01_-_English/01_-_Topic_wise/Bhagavad_Gita/Chapter-06/SP_BG_06-11-19_New_York_1966-09-07_Yoga_System--Chant_the_Holy--etc.mp3</t>
  </si>
  <si>
    <t>Bg_06-04_NY_1966-09-07_How_One_Should_Perform_Yoga.mp3</t>
  </si>
  <si>
    <t>https://audio.iskcondesiretree.com/01_-_Srila_Prabhupada/01_-_Lectures/01_-_English/02_-_Month_wise/09_-_September/07/Bg_06-04_NY_1966-09-07_How_One_Should_Perform_Yoga.mp3</t>
  </si>
  <si>
    <t>Bg_06-11_NY_1966-09-07_Yoga_System-Chant_the_Holy_etc.mp3</t>
  </si>
  <si>
    <t>https://audio.iskcondesiretree.com/01_-_Srila_Prabhupada/01_-_Lectures/01_-_English/02_-_Month_wise/09_-_September/07/Bg_06-11_NY_1966-09-07_Yoga_System-Chant_the_Holy_etc.mp3</t>
  </si>
  <si>
    <t>Various</t>
  </si>
  <si>
    <t>SP_Lecture_New_York_1966-09-08_Introduction_to_Maha-mantra.mp3</t>
  </si>
  <si>
    <t>https://audio.iskcondesiretree.com/01_-_Srila_Prabhupada/01_-_Lectures/01_-_English/01_-_Topic_wise/Various/SP_Lecture_New_York_1966-09-08_Introduction_to_Maha-mantra.mp3</t>
  </si>
  <si>
    <t>Lect_NY_1966-09-08_Introduction_to_Maha_mantra.mp3</t>
  </si>
  <si>
    <t>https://audio.iskcondesiretree.com/01_-_Srila_Prabhupada/01_-_Lectures/01_-_English/02_-_Month_wise/09_-_September/08/Lect_NY_1966-09-08_Introduction_to_Maha_mantra.mp3</t>
  </si>
  <si>
    <t>SP_BG_06-21-25_New_York_1966-09-09_Yoga_System--Searching_After--etc.mp3</t>
  </si>
  <si>
    <t>https://audio.iskcondesiretree.com/01_-_Srila_Prabhupada/01_-_Lectures/01_-_English/01_-_Topic_wise/Bhagavad_Gita/Chapter-06/SP_BG_06-21-25_New_York_1966-09-09_Yoga_System--Searching_After--etc.mp3</t>
  </si>
  <si>
    <t>Bg_06-21_NY_1966-09-09_Yoga_System_Searching_After_etc.mp3</t>
  </si>
  <si>
    <t>https://audio.iskcondesiretree.com/01_-_Srila_Prabhupada/01_-_Lectures/01_-_English/02_-_Month_wise/09_-_September/09/Bg_06-21_NY_1966-09-09_Yoga_System_Searching_After_etc.mp3</t>
  </si>
  <si>
    <t>SP_BG_06-32_New_York_1966-09-14_Yoga_System--Vairagya_It%27s--etc.mp3</t>
  </si>
  <si>
    <t>https://audio.iskcondesiretree.com/01_-_Srila_Prabhupada/01_-_Lectures/01_-_English/01_-_Topic_wise/Bhagavad_Gita/Chapter-06/SP_BG_06-32_New_York_1966-09-14_Yoga_System--Vairagya_It%27s--etc.mp3</t>
  </si>
  <si>
    <t>Bg_06-32_NY_1966-09-14_Yoga_System-Vairagya_It%27s_etc.mp3</t>
  </si>
  <si>
    <t>https://audio.iskcondesiretree.com/01_-_Srila_Prabhupada/01_-_Lectures/01_-_English/02_-_Month_wise/09_-_September/14/Bg_06-32_NY_1966-09-14_Yoga_System-Vairagya_It%27s_etc.mp3</t>
  </si>
  <si>
    <t>SP_BG_06-40-43_New_York_1966-09-18_Yoga_System--There_Is_No_Loss--etc.mp3</t>
  </si>
  <si>
    <t>https://audio.iskcondesiretree.com/01_-_Srila_Prabhupada/01_-_Lectures/01_-_English/01_-_Topic_wise/Bhagavad_Gita/Chapter-06/SP_BG_06-40-43_New_York_1966-09-18_Yoga_System--There_Is_No_Loss--etc.mp3</t>
  </si>
  <si>
    <t>Bg_06-40_NY_1966-09-18_Yoga_System--There_Is_No_Loss_etc.mp3</t>
  </si>
  <si>
    <t>https://audio.iskcondesiretree.com/01_-_Srila_Prabhupada/01_-_Lectures/01_-_English/02_-_Month_wise/09_-_September/18/Bg_06-40_NY_1966-09-18_Yoga_System--There_Is_No_Loss_etc.mp3</t>
  </si>
  <si>
    <t>Chapter-07</t>
  </si>
  <si>
    <t>SP_BG_07-08-14_New_York_1966-10-02_Remembering_Krishna_24_Hours_a_Day.mp3</t>
  </si>
  <si>
    <t>https://audio.iskcondesiretree.com/01_-_Srila_Prabhupada/01_-_Lectures/01_-_English/01_-_Topic_wise/Bhagavad_Gita/Chapter-07/SP_BG_07-08-14_New_York_1966-10-02_Remembering_Krishna_24_Hours_a_Day.mp3</t>
  </si>
  <si>
    <t>Bg_07-08_NY_1966-10-02_Remembering_Krishna_24_Hours_a_Day.mp3</t>
  </si>
  <si>
    <t>https://audio.iskcondesiretree.com/01_-_Srila_Prabhupada/01_-_Lectures/01_-_English/02_-_Month_wise/10_-_October/02/Bg_07-08_NY_1966-10-02_Remembering_Krishna_24_Hours_a_Day.mp3</t>
  </si>
  <si>
    <t>SP_BG_07-15-18_New_York_1966-10-09_Four_Classes_of_Men_Come_to_God.mp3</t>
  </si>
  <si>
    <t>https://audio.iskcondesiretree.com/01_-_Srila_Prabhupada/01_-_Lectures/01_-_English/01_-_Topic_wise/Bhagavad_Gita/Chapter-07/SP_BG_07-15-18_New_York_1966-10-09_Four_Classes_of_Men_Come_to_God.mp3</t>
  </si>
  <si>
    <t>Bg_07-15_NY_1966-10-09_Four_Classes_of_Men_Come_to_God.mp3</t>
  </si>
  <si>
    <t>https://audio.iskcondesiretree.com/01_-_Srila_Prabhupada/01_-_Lectures/01_-_English/02_-_Month_wise/10_-_October/09/Bg_07-15_NY_1966-10-09_Four_Classes_of_Men_Come_to_God.mp3</t>
  </si>
  <si>
    <t>SP_BG_07-27-30_New_York_1966-10-23_Discovering_Your_REAL_Interest.mp3</t>
  </si>
  <si>
    <t>https://audio.iskcondesiretree.com/01_-_Srila_Prabhupada/01_-_Lectures/01_-_English/01_-_Topic_wise/Bhagavad_Gita/Chapter-07/SP_BG_07-27-30_New_York_1966-10-23_Discovering_Your_REAL_Interest.mp3</t>
  </si>
  <si>
    <t>Bg_07-28_NY_1966-10-23_Discovering_Your_REAL_Interest.mp3</t>
  </si>
  <si>
    <t>https://audio.iskcondesiretree.com/01_-_Srila_Prabhupada/01_-_Lectures/01_-_English/02_-_Month_wise/10_-_October/23/Bg_07-28_NY_1966-10-23_Discovering_Your_REAL_Interest.mp3</t>
  </si>
  <si>
    <t>Festivals</t>
  </si>
  <si>
    <t>SP_Festivals_New_York_1966-11-04_Govardhana_Puja.mp3</t>
  </si>
  <si>
    <t>https://audio.iskcondesiretree.com/01_-_Srila_Prabhupada/01_-_Lectures/01_-_English/01_-_Topic_wise/Festivals/SP_Festivals_New_York_1966-11-04_Govardhana_Puja.mp3</t>
  </si>
  <si>
    <t>Fest_NY_1966-11-04_Govardhana_Puja.mp3</t>
  </si>
  <si>
    <t>https://audio.iskcondesiretree.com/01_-_Srila_Prabhupada/01_-_Lectures/01_-_English/02_-_Month_wise/11_-_November/04/Fest_NY_1966-11-04_Govardhana_Puja.mp3</t>
  </si>
  <si>
    <t>Chapter-08</t>
  </si>
  <si>
    <t>SP_BG_08-12-14_New_York_1966-11-15_Make_Sure_to_Pass_that_Final--etc.mp3</t>
  </si>
  <si>
    <t>https://audio.iskcondesiretree.com/01_-_Srila_Prabhupada/01_-_Lectures/01_-_English/01_-_Topic_wise/Bhagavad_Gita/Chapter-08/SP_BG_08-12-14_New_York_1966-11-15_Make_Sure_to_Pass_that_Final--etc.mp3</t>
  </si>
  <si>
    <t>Bg_08-12_NY_1966-11-15_Make_Sure_to_Pass_that_Final_etc.mp3</t>
  </si>
  <si>
    <t>https://audio.iskcondesiretree.com/01_-_Srila_Prabhupada/01_-_Lectures/01_-_English/02_-_Month_wise/11_-_November/15/Bg_08-12_NY_1966-11-15_Make_Sure_to_Pass_that_Final_etc.mp3</t>
  </si>
  <si>
    <t>SP_BG_08-14-15_New_York_1966-11-16_Remember_Krishna_Without_Deviation.mp3</t>
  </si>
  <si>
    <t>https://audio.iskcondesiretree.com/01_-_Srila_Prabhupada/01_-_Lectures/01_-_English/01_-_Topic_wise/Bhagavad_Gita/Chapter-08/SP_BG_08-14-15_New_York_1966-11-16_Remember_Krishna_Without_Deviation.mp3</t>
  </si>
  <si>
    <t>Madhya_Lila</t>
  </si>
  <si>
    <t>SP_CC_M_20-125_New_York_1966-11-16_Engage_Your_Mind_Always_in--etc.mp3</t>
  </si>
  <si>
    <t>https://audio.iskcondesiretree.com/01_-_Srila_Prabhupada/01_-_Lectures/01_-_English/01_-_Topic_wise/Chaitanya_Charitamrita/Madhya_Lila/SP_CC_M_20-125_New_York_1966-11-16_Engage_Your_Mind_Always_in--etc.mp3</t>
  </si>
  <si>
    <t>Bg_08-14_NY_1966-11-16_Remember_Krishna_Without_Deviation.mp3</t>
  </si>
  <si>
    <t>https://audio.iskcondesiretree.com/01_-_Srila_Prabhupada/01_-_Lectures/01_-_English/02_-_Month_wise/11_-_November/16/Bg_08-14_NY_1966-11-16_Remember_Krishna_Without_Deviation.mp3</t>
  </si>
  <si>
    <t>Cc_M_20-125_NY_1966-11-16_Engage_Your_Mind_Always_in_etc.mp3</t>
  </si>
  <si>
    <t>https://audio.iskcondesiretree.com/01_-_Srila_Prabhupada/01_-_Lectures/01_-_English/02_-_Month_wise/11_-_November/16/Cc_M_20-125_NY_1966-11-16_Engage_Your_Mind_Always_in_etc.mp3</t>
  </si>
  <si>
    <t>SP_BG_08-15-20_New_York_1966-11-17_Nature_of_the_Material_World--etc.mp3</t>
  </si>
  <si>
    <t>https://audio.iskcondesiretree.com/01_-_Srila_Prabhupada/01_-_Lectures/01_-_English/01_-_Topic_wise/Bhagavad_Gita/Chapter-08/SP_BG_08-15-20_New_York_1966-11-17_Nature_of_the_Material_World--etc.mp3</t>
  </si>
  <si>
    <t>Bg_08-15_NY_1966-11-17_Nature_of_the_Material_World_etc.mp3</t>
  </si>
  <si>
    <t>https://audio.iskcondesiretree.com/01_-_Srila_Prabhupada/01_-_Lectures/01_-_English/02_-_Month_wise/11_-_November/17/Bg_08-15_NY_1966-11-17_Nature_of_the_Material_World_etc.mp3</t>
  </si>
  <si>
    <t>SP_BG_08-20-22_New_York_1966-11-18_There_Is_Another--etc.mp3</t>
  </si>
  <si>
    <t>https://audio.iskcondesiretree.com/01_-_Srila_Prabhupada/01_-_Lectures/01_-_English/01_-_Topic_wise/Bhagavad_Gita/Chapter-08/SP_BG_08-20-22_New_York_1966-11-18_There_Is_Another--etc.mp3</t>
  </si>
  <si>
    <t>Bg_08-20_NY_1966-11-18_There_Is_Another_etc.mp3</t>
  </si>
  <si>
    <t>https://audio.iskcondesiretree.com/01_-_Srila_Prabhupada/01_-_Lectures/01_-_English/02_-_Month_wise/11_-_November/18/Bg_08-20_NY_1966-11-18_There_Is_Another_etc.mp3</t>
  </si>
  <si>
    <t>SP_BG_08-21-22_New_York_1966-11-19_The_Supreme_Abode--Attainable--etc.mp3</t>
  </si>
  <si>
    <t>https://audio.iskcondesiretree.com/01_-_Srila_Prabhupada/01_-_Lectures/01_-_English/01_-_Topic_wise/Bhagavad_Gita/Chapter-08/SP_BG_08-21-22_New_York_1966-11-19_The_Supreme_Abode--Attainable--etc.mp3</t>
  </si>
  <si>
    <t>Bg_08-21_NY_1966-11-19_The_Supreme_Abode-Attainable_etc.mp3</t>
  </si>
  <si>
    <t>https://audio.iskcondesiretree.com/01_-_Srila_Prabhupada/01_-_Lectures/01_-_English/02_-_Month_wise/11_-_November/19/Bg_08-21_NY_1966-11-19_The_Supreme_Abode-Attainable_etc.mp3</t>
  </si>
  <si>
    <t>SP_BG_08-22-27_New_York_1966-11-20_Only_by_Bhakti_Can_One_Enter--etc.mp3</t>
  </si>
  <si>
    <t>https://audio.iskcondesiretree.com/01_-_Srila_Prabhupada/01_-_Lectures/01_-_English/01_-_Topic_wise/Bhagavad_Gita/Chapter-08/SP_BG_08-22-27_New_York_1966-11-20_Only_by_Bhakti_Can_One_Enter--etc.mp3</t>
  </si>
  <si>
    <t>Bg_08-22_NY_1966-11-20_Only_by_Bhakti_Can_One_Enter_etc.mp3</t>
  </si>
  <si>
    <t>https://audio.iskcondesiretree.com/01_-_Srila_Prabhupada/01_-_Lectures/01_-_English/02_-_Month_wise/11_-_November/20/Bg_08-22_NY_1966-11-20_Only_by_Bhakti_Can_One_Enter_etc.mp3</t>
  </si>
  <si>
    <t>SP_BG_08-28_09-01_New_York_1966-11-21_This_Knowledge_Is_the_King_of--etc.mp3</t>
  </si>
  <si>
    <t>https://audio.iskcondesiretree.com/01_-_Srila_Prabhupada/01_-_Lectures/01_-_English/01_-_Topic_wise/Bhagavad_Gita/Chapter-08/SP_BG_08-28_09-01_New_York_1966-11-21_This_Knowledge_Is_the_King_of--etc.mp3</t>
  </si>
  <si>
    <t>Bg_08-28_NY_1966-11-21_This_Knowledge_Is_the_King_of_etc.mp3</t>
  </si>
  <si>
    <t>https://audio.iskcondesiretree.com/01_-_Srila_Prabhupada/01_-_Lectures/01_-_English/02_-_Month_wise/11_-_November/21/Bg_08-28_NY_1966-11-21_This_Knowledge_Is_the_King_of_etc.mp3</t>
  </si>
  <si>
    <t>Chapter-09</t>
  </si>
  <si>
    <t>SP_BG_09-02_New_York_1966-11-22_It_Is_Everlasting_and_It_Is--etc.mp3</t>
  </si>
  <si>
    <t>https://audio.iskcondesiretree.com/01_-_Srila_Prabhupada/01_-_Lectures/01_-_English/01_-_Topic_wise/Bhagavad_Gita/Chapter-09/SP_BG_09-02_New_York_1966-11-22_It_Is_Everlasting_and_It_Is--etc.mp3</t>
  </si>
  <si>
    <t>SP_CC_M_20-097_New_York_1966-11-22_I_Shall_Give_You_Protection--etc.mp3</t>
  </si>
  <si>
    <t>https://audio.iskcondesiretree.com/01_-_Srila_Prabhupada/01_-_Lectures/01_-_English/01_-_Topic_wise/Chaitanya_Charitamrita/Madhya_Lila/SP_CC_M_20-097_New_York_1966-11-22_I_Shall_Give_You_Protection--etc.mp3</t>
  </si>
  <si>
    <t>SP_CC_M_20-100_New_York_1966-11-22_Sadhu_Inquires_for_the_Sake--etc.mp3</t>
  </si>
  <si>
    <t>https://audio.iskcondesiretree.com/01_-_Srila_Prabhupada/01_-_Lectures/01_-_English/01_-_Topic_wise/Chaitanya_Charitamrita/Madhya_Lila/SP_CC_M_20-100_New_York_1966-11-22_Sadhu_Inquires_for_the_Sake--etc.mp3</t>
  </si>
  <si>
    <t>Bg_09-02_NY_1966-11-22_It_Is_Everlasting%2C_and_It_Is_etc.mp3</t>
  </si>
  <si>
    <t>https://audio.iskcondesiretree.com/01_-_Srila_Prabhupada/01_-_Lectures/01_-_English/02_-_Month_wise/11_-_November/22/Bg_09-02_NY_1966-11-22_It_Is_Everlasting%2C_and_It_Is_etc.mp3</t>
  </si>
  <si>
    <t>Cc_M_20-097_NY_1966-11-22_I_Shall_Give_You_Protection_etc.mp3</t>
  </si>
  <si>
    <t>https://audio.iskcondesiretree.com/01_-_Srila_Prabhupada/01_-_Lectures/01_-_English/02_-_Month_wise/11_-_November/22/Cc_M_20-097_NY_1966-11-22_I_Shall_Give_You_Protection_etc.mp3</t>
  </si>
  <si>
    <t>Cc_M_20-100_NY_1966-11-22_Sadhu_Inquires_for_the_Sake_etc.mp3</t>
  </si>
  <si>
    <t>https://audio.iskcondesiretree.com/01_-_Srila_Prabhupada/01_-_Lectures/01_-_English/02_-_Month_wise/11_-_November/22/Cc_M_20-100_NY_1966-11-22_Sadhu_Inquires_for_the_Sake_etc.mp3</t>
  </si>
  <si>
    <t>SP_BG_09-02-05_New_York_1966-11-23_Everything_Is_Resting_On_Krishna-Shine.mp3</t>
  </si>
  <si>
    <t>https://audio.iskcondesiretree.com/01_-_Srila_Prabhupada/01_-_Lectures/01_-_English/01_-_Topic_wise/Bhagavad_Gita/Chapter-09/SP_BG_09-02-05_New_York_1966-11-23_Everything_Is_Resting_On_Krishna-Shine.mp3</t>
  </si>
  <si>
    <t>SP_CC_M_20-118_New_York_1966-11-23_Material_Infection_Equals--etc.mp3</t>
  </si>
  <si>
    <t>https://audio.iskcondesiretree.com/01_-_Srila_Prabhupada/01_-_Lectures/01_-_English/01_-_Topic_wise/Chaitanya_Charitamrita/Madhya_Lila/SP_CC_M_20-118_New_York_1966-11-23_Material_Infection_Equals--etc.mp3</t>
  </si>
  <si>
    <t>Bg_09-02_NY_1966-11-23_Everything_Is_Resting_On_Krishna-Shine.mp3</t>
  </si>
  <si>
    <t>https://audio.iskcondesiretree.com/01_-_Srila_Prabhupada/01_-_Lectures/01_-_English/02_-_Month_wise/11_-_November/23/Bg_09-02_NY_1966-11-23_Everything_Is_Resting_On_Krishna-Shine.mp3</t>
  </si>
  <si>
    <t>Cc_M_20-118_NY_1966-11-23_Material_Infection_Equals_etc.mp3</t>
  </si>
  <si>
    <t>https://audio.iskcondesiretree.com/01_-_Srila_Prabhupada/01_-_Lectures/01_-_English/02_-_Month_wise/11_-_November/23/Cc_M_20-118_NY_1966-11-23_Material_Infection_Equals_etc.mp3</t>
  </si>
  <si>
    <t>SP_BG_09-04-07_New_York_1966-11-24_Krishna_Is_Everywhere_and--etc.mp3</t>
  </si>
  <si>
    <t>https://audio.iskcondesiretree.com/01_-_Srila_Prabhupada/01_-_Lectures/01_-_English/01_-_Topic_wise/Bhagavad_Gita/Chapter-09/SP_BG_09-04-07_New_York_1966-11-24_Krishna_Is_Everywhere_and--etc.mp3</t>
  </si>
  <si>
    <t>SP_CC_M_20-119_New_York_1966-11-24_Are_We_Krishna%27s_Competitors.mp3</t>
  </si>
  <si>
    <t>https://audio.iskcondesiretree.com/01_-_Srila_Prabhupada/01_-_Lectures/01_-_English/01_-_Topic_wise/Chaitanya_Charitamrita/Madhya_Lila/SP_CC_M_20-119_New_York_1966-11-24_Are_We_Krishna%27s_Competitors.mp3</t>
  </si>
  <si>
    <t>Bg_09-04_NY_1966-11-24_Krishna_Is_Everywhere_and_etc.mp3</t>
  </si>
  <si>
    <t>https://audio.iskcondesiretree.com/01_-_Srila_Prabhupada/01_-_Lectures/01_-_English/02_-_Month_wise/11_-_November/24/Bg_09-04_NY_1966-11-24_Krishna_Is_Everywhere_and_etc.mp3</t>
  </si>
  <si>
    <t>Cc_M_20-119_NY_1966-11-24_Are_We_Krishna%27s_Competitors.mp3</t>
  </si>
  <si>
    <t>https://audio.iskcondesiretree.com/01_-_Srila_Prabhupada/01_-_Lectures/01_-_English/02_-_Month_wise/11_-_November/24/Cc_M_20-119_NY_1966-11-24_Are_We_Krishna%27s_Competitors.mp3</t>
  </si>
  <si>
    <t>SP_CC_M_20-121_New_York_1966-11-25_Vedas_Guru_and_Supersoul.mp3</t>
  </si>
  <si>
    <t>https://audio.iskcondesiretree.com/01_-_Srila_Prabhupada/01_-_Lectures/01_-_English/01_-_Topic_wise/Chaitanya_Charitamrita/Madhya_Lila/SP_CC_M_20-121_New_York_1966-11-25_Vedas_Guru_and_Supersoul.mp3</t>
  </si>
  <si>
    <t>Cc_M_20-121_NY_1966-11-25_Vedas%2C_Guru_and_Supersoul.mp3</t>
  </si>
  <si>
    <t>https://audio.iskcondesiretree.com/01_-_Srila_Prabhupada/01_-_Lectures/01_-_English/02_-_Month_wise/11_-_November/25/Cc_M_20-121_NY_1966-11-25_Vedas%2C_Guru_and_Supersoul.mp3</t>
  </si>
  <si>
    <t>SP_CC_M_20-124_New_York_1966-11-26_Back_to_Godhead--Life%27s_Ultimate_Goal.mp3</t>
  </si>
  <si>
    <t>https://audio.iskcondesiretree.com/01_-_Srila_Prabhupada/01_-_Lectures/01_-_English/01_-_Topic_wise/Chaitanya_Charitamrita/Madhya_Lila/SP_CC_M_20-124_New_York_1966-11-26_Back_to_Godhead--Life%27s_Ultimate_Goal.mp3</t>
  </si>
  <si>
    <t>Cc_M_20-124_NY_1966-11-26_Back_to_Godhead-Life%27s_Ultimate_Goal.mp3</t>
  </si>
  <si>
    <t>https://audio.iskcondesiretree.com/01_-_Srila_Prabhupada/01_-_Lectures/01_-_English/02_-_Month_wise/11_-_November/26/Cc_M_20-124_NY_1966-11-26_Back_to_Godhead-Life%27s_Ultimate_Goal.mp3</t>
  </si>
  <si>
    <t>SP_BG_09-11-14_New_York_1966-11-27_Find_Real_Pleasure_Serving_Krishna.mp3</t>
  </si>
  <si>
    <t>https://audio.iskcondesiretree.com/01_-_Srila_Prabhupada/01_-_Lectures/01_-_English/01_-_Topic_wise/Bhagavad_Gita/Chapter-09/SP_BG_09-11-14_New_York_1966-11-27_Find_Real_Pleasure_Serving_Krishna.mp3</t>
  </si>
  <si>
    <t>SP_CC_M_20-131_New_York_1966-11-27_The_Vedas_Are_Your_Astrologer.mp3</t>
  </si>
  <si>
    <t>https://audio.iskcondesiretree.com/01_-_Srila_Prabhupada/01_-_Lectures/01_-_English/01_-_Topic_wise/Chaitanya_Charitamrita/Madhya_Lila/SP_CC_M_20-131_New_York_1966-11-27_The_Vedas_Are_Your_Astrologer.mp3</t>
  </si>
  <si>
    <t>Bg_09-11_NY_1966-11-27_Find_Real_Pleasure_Serving_Krishna.mp3</t>
  </si>
  <si>
    <t>https://audio.iskcondesiretree.com/01_-_Srila_Prabhupada/01_-_Lectures/01_-_English/02_-_Month_wise/11_-_November/27/Bg_09-11_NY_1966-11-27_Find_Real_Pleasure_Serving_Krishna.mp3</t>
  </si>
  <si>
    <t>Cc_M_20-131_NY_1966-11-27_The_Vedas_Are_Your_Astrologer.mp3</t>
  </si>
  <si>
    <t>https://audio.iskcondesiretree.com/01_-_Srila_Prabhupada/01_-_Lectures/01_-_English/02_-_Month_wise/11_-_November/27/Cc_M_20-131_NY_1966-11-27_The_Vedas_Are_Your_Astrologer.mp3</t>
  </si>
  <si>
    <t>SP_CC_M_20-137_New_York_1966-11-28_I_Am_Attained_By--etc.mp3</t>
  </si>
  <si>
    <t>https://audio.iskcondesiretree.com/01_-_Srila_Prabhupada/01_-_Lectures/01_-_English/01_-_Topic_wise/Chaitanya_Charitamrita/Madhya_Lila/SP_CC_M_20-137_New_York_1966-11-28_I_Am_Attained_By--etc.mp3</t>
  </si>
  <si>
    <t>Cc_M_20-137_NY_1966-11-28_I_Am_Attained_By_etc.mp3</t>
  </si>
  <si>
    <t>https://audio.iskcondesiretree.com/01_-_Srila_Prabhupada/01_-_Lectures/01_-_English/02_-_Month_wise/11_-_November/28/Cc_M_20-137_NY_1966-11-28_I_Am_Attained_By_etc.mp3</t>
  </si>
  <si>
    <t>SP_CC_M_20-137_New_York_1966-11-29_This_System_Is_Called_Abhideya.mp3</t>
  </si>
  <si>
    <t>https://audio.iskcondesiretree.com/01_-_Srila_Prabhupada/01_-_Lectures/01_-_English/01_-_Topic_wise/Chaitanya_Charitamrita/Madhya_Lila/SP_CC_M_20-137_New_York_1966-11-29_This_System_Is_Called_Abhideya.mp3</t>
  </si>
  <si>
    <t>Cc_M_20-137_NY_1966-11-29_This_System_Is_Called_Abhideya.mp3</t>
  </si>
  <si>
    <t>https://audio.iskcondesiretree.com/01_-_Srila_Prabhupada/01_-_Lectures/01_-_English/02_-_Month_wise/11_-_November/29/Cc_M_20-137_NY_1966-11-29_This_System_Is_Called_Abhideya.mp3</t>
  </si>
  <si>
    <t>SP_CC_M_20-142_New_York_1966-11-30_Liberated-When_One_Tastes--etc.mp3</t>
  </si>
  <si>
    <t>https://audio.iskcondesiretree.com/01_-_Srila_Prabhupada/01_-_Lectures/01_-_English/01_-_Topic_wise/Chaitanya_Charitamrita/Madhya_Lila/SP_CC_M_20-142_New_York_1966-11-30_Liberated-When_One_Tastes--etc.mp3</t>
  </si>
  <si>
    <t>Cc_M_20-142_NY_1966-11-30_Liberated-When_One_Tastes_etc.mp3</t>
  </si>
  <si>
    <t>https://audio.iskcondesiretree.com/01_-_Srila_Prabhupada/01_-_Lectures/01_-_English/02_-_Month_wise/11_-_November/30/Cc_M_20-142_NY_1966-11-30_Liberated-When_One_Tastes_etc.mp3</t>
  </si>
  <si>
    <t>SP_BG_09-15_New_York_1966-12-01_Sravanam_Kirtanam_Vishnu.mp3</t>
  </si>
  <si>
    <t>https://audio.iskcondesiretree.com/01_-_Srila_Prabhupada/01_-_Lectures/01_-_English/01_-_Topic_wise/Bhagavad_Gita/Chapter-09/SP_BG_09-15_New_York_1966-12-01_Sravanam_Kirtanam_Vishnu.mp3</t>
  </si>
  <si>
    <t>SP_CC_M_20-144_New_York_1966-12-01_Central_Point_of_Attraction_is_Krsna.mp3</t>
  </si>
  <si>
    <t>https://audio.iskcondesiretree.com/01_-_Srila_Prabhupada/01_-_Lectures/01_-_English/01_-_Topic_wise/Chaitanya_Charitamrita/Madhya_Lila/SP_CC_M_20-144_New_York_1966-12-01_Central_Point_of_Attraction_is_Krsna.mp3</t>
  </si>
  <si>
    <t>Bg_09-15_NY_1966-12-01_Sravanam_Kirtanam_Vishnu.mp3</t>
  </si>
  <si>
    <t>https://audio.iskcondesiretree.com/01_-_Srila_Prabhupada/01_-_Lectures/01_-_English/02_-_Month_wise/12_-_December/01/Bg_09-15_NY_1966-12-01_Sravanam_Kirtanam_Vishnu.mp3</t>
  </si>
  <si>
    <t>Cc_M_20-144_NY_1966-12-01_Central_Point_of_Attraction_is_Krsna.mp3</t>
  </si>
  <si>
    <t>https://audio.iskcondesiretree.com/01_-_Srila_Prabhupada/01_-_Lectures/01_-_English/02_-_Month_wise/12_-_December/01/Cc_M_20-144_NY_1966-12-01_Central_Point_of_Attraction_is_Krsna.mp3</t>
  </si>
  <si>
    <t>SP_BG_09-15-18_New_York_1966-12-02_Everything_Comes_from_God_Including_Maya.mp3</t>
  </si>
  <si>
    <t>https://audio.iskcondesiretree.com/01_-_Srila_Prabhupada/01_-_Lectures/01_-_English/01_-_Topic_wise/Bhagavad_Gita/Chapter-09/SP_BG_09-15-18_New_York_1966-12-02_Everything_Comes_from_God_Including_Maya.mp3</t>
  </si>
  <si>
    <t>Bg_09-15_NY_1966-12-02_Everything_Comes_from_God_Including_Maya.mp3</t>
  </si>
  <si>
    <t>https://audio.iskcondesiretree.com/01_-_Srila_Prabhupada/01_-_Lectures/01_-_English/02_-_Month_wise/12_-_December/02/Bg_09-15_NY_1966-12-02_Everything_Comes_from_God_Including_Maya.mp3</t>
  </si>
  <si>
    <t>SP_CC_M_20-146_New_York_1966-12-03_Vedic_Knowledge_Points_to_Lord_Krsna.mp3</t>
  </si>
  <si>
    <t>https://audio.iskcondesiretree.com/01_-_Srila_Prabhupada/01_-_Lectures/01_-_English/01_-_Topic_wise/Chaitanya_Charitamrita/Madhya_Lila/SP_CC_M_20-146_New_York_1966-12-03_Vedic_Knowledge_Points_to_Lord_Krsna.mp3</t>
  </si>
  <si>
    <t>Cc_M_20-146_NY_1966-12-03_Vedic_Knowledge_Points_to_Lord_Krsna.mp3</t>
  </si>
  <si>
    <t>https://audio.iskcondesiretree.com/01_-_Srila_Prabhupada/01_-_Lectures/01_-_English/02_-_Month_wise/12_-_December/03/Cc_M_20-146_NY_1966-12-03_Vedic_Knowledge_Points_to_Lord_Krsna.mp3</t>
  </si>
  <si>
    <t>SP_BG_09-18-19_New_York_1966-12-04_One_Should_Directly_Approach_Krishna.mp3</t>
  </si>
  <si>
    <t>https://audio.iskcondesiretree.com/01_-_Srila_Prabhupada/01_-_Lectures/01_-_English/01_-_Topic_wise/Bhagavad_Gita/Chapter-09/SP_BG_09-18-19_New_York_1966-12-04_One_Should_Directly_Approach_Krishna.mp3</t>
  </si>
  <si>
    <t>Bg_09-18_NY_1966-12-04_One_Should_Directly_Approach_Krishna.mp3</t>
  </si>
  <si>
    <t>https://audio.iskcondesiretree.com/01_-_Srila_Prabhupada/01_-_Lectures/01_-_English/02_-_Month_wise/12_-_December/04/Bg_09-18_NY_1966-12-04_One_Should_Directly_Approach_Krishna.mp3</t>
  </si>
  <si>
    <t>SP_CC_M_20-152_New_York_1966-12-05_Krishna-Source_of_Everything.mp3</t>
  </si>
  <si>
    <t>https://audio.iskcondesiretree.com/01_-_Srila_Prabhupada/01_-_Lectures/01_-_English/01_-_Topic_wise/Chaitanya_Charitamrita/Madhya_Lila/SP_CC_M_20-152_New_York_1966-12-05_Krishna-Source_of_Everything.mp3</t>
  </si>
  <si>
    <t>Cc_M_20-152_NY_1966-12-05_Krishna-Source_of_Everything.mp3</t>
  </si>
  <si>
    <t>https://audio.iskcondesiretree.com/01_-_Srila_Prabhupada/01_-_Lectures/01_-_English/02_-_Month_wise/12_-_December/05/Cc_M_20-152_NY_1966-12-05_Krishna-Source_of_Everything.mp3</t>
  </si>
  <si>
    <t>SP_BG_09-20-21_New_York_1966-12-06_Heavenly_Planets--Temporary_Happiness.mp3</t>
  </si>
  <si>
    <t>https://audio.iskcondesiretree.com/01_-_Srila_Prabhupada/01_-_Lectures/01_-_English/01_-_Topic_wise/Bhagavad_Gita/Chapter-09/SP_BG_09-20-21_New_York_1966-12-06_Heavenly_Planets--Temporary_Happiness.mp3</t>
  </si>
  <si>
    <t>Bg_09-20_NY_1966-12-06_Heavenly_Planets-Temporary_Happiness.mp3</t>
  </si>
  <si>
    <t>https://audio.iskcondesiretree.com/01_-_Srila_Prabhupada/01_-_Lectures/01_-_English/02_-_Month_wise/12_-_December/06/Bg_09-20_NY_1966-12-06_Heavenly_Planets-Temporary_Happiness.mp3</t>
  </si>
  <si>
    <t>SP_CC_M_20-154_New_York_1966-12-07_Can_There_Be_Peace_Without--etc.mp3</t>
  </si>
  <si>
    <t>https://audio.iskcondesiretree.com/01_-_Srila_Prabhupada/01_-_Lectures/01_-_English/01_-_Topic_wise/Chaitanya_Charitamrita/Madhya_Lila/SP_CC_M_20-154_New_York_1966-12-07_Can_There_Be_Peace_Without--etc.mp3</t>
  </si>
  <si>
    <t>Cc_M_20-154_NY_1966-12-07_Can_There_Be_Peace_Without_etc.mp3</t>
  </si>
  <si>
    <t>https://audio.iskcondesiretree.com/01_-_Srila_Prabhupada/01_-_Lectures/01_-_English/02_-_Month_wise/12_-_December/07/Cc_M_20-154_NY_1966-12-07_Can_There_Be_Peace_Without_etc.mp3</t>
  </si>
  <si>
    <t>SP_BG_09-22-23_New_York_1966-12-08_God_Is_Open_for_Everyone.mp3</t>
  </si>
  <si>
    <t>https://audio.iskcondesiretree.com/01_-_Srila_Prabhupada/01_-_Lectures/01_-_English/01_-_Topic_wise/Bhagavad_Gita/Chapter-09/SP_BG_09-22-23_New_York_1966-12-08_God_Is_Open_for_Everyone.mp3</t>
  </si>
  <si>
    <t>Bg_09-22_NY_1966-12-08_God_Is_Open_for_Everyone.mp3</t>
  </si>
  <si>
    <t>https://audio.iskcondesiretree.com/01_-_Srila_Prabhupada/01_-_Lectures/01_-_English/02_-_Month_wise/12_-_December/08/Bg_09-22_NY_1966-12-08_God_Is_Open_for_Everyone.mp3</t>
  </si>
  <si>
    <t>SP_BG_09-23_New_York_1966-12-10_I_Am_the_Only_Enjoyer_and_the--etc.mp3</t>
  </si>
  <si>
    <t>https://audio.iskcondesiretree.com/01_-_Srila_Prabhupada/01_-_Lectures/01_-_English/01_-_Topic_wise/Bhagavad_Gita/Chapter-09/SP_BG_09-23_New_York_1966-12-10_I_Am_the_Only_Enjoyer_and_the--etc.mp3</t>
  </si>
  <si>
    <t>Bg_09-23_NY_1966-12-10_I_Am_the_Only_Enjoyer_and_the_etc.mp3</t>
  </si>
  <si>
    <t>https://audio.iskcondesiretree.com/01_-_Srila_Prabhupada/01_-_Lectures/01_-_English/02_-_Month_wise/12_-_December/10/Bg_09-23_NY_1966-12-10_I_Am_the_Only_Enjoyer_and_the_etc.mp3</t>
  </si>
  <si>
    <t>SP_CC_M_20-156_New_York_1966-12-11_Intimate_Association_with--etc.mp3</t>
  </si>
  <si>
    <t>https://audio.iskcondesiretree.com/01_-_Srila_Prabhupada/01_-_Lectures/01_-_English/01_-_Topic_wise/Chaitanya_Charitamrita/Madhya_Lila/SP_CC_M_20-156_New_York_1966-12-11_Intimate_Association_with--etc.mp3</t>
  </si>
  <si>
    <t>Cc_M_20-156_NY_1966-12-11_Intimate_Association_with_etc.mp3</t>
  </si>
  <si>
    <t>https://audio.iskcondesiretree.com/01_-_Srila_Prabhupada/01_-_Lectures/01_-_English/02_-_Month_wise/12_-_December/11/Cc_M_20-156_NY_1966-12-11_Intimate_Association_with_etc.mp3</t>
  </si>
  <si>
    <t>SP_BG_09-24-26_New_York_1966-12-12_Those_Who_Do_Not_Recognize_My--etc.mp3</t>
  </si>
  <si>
    <t>https://audio.iskcondesiretree.com/01_-_Srila_Prabhupada/01_-_Lectures/01_-_English/01_-_Topic_wise/Bhagavad_Gita/Chapter-09/SP_BG_09-24-26_New_York_1966-12-12_Those_Who_Do_Not_Recognize_My--etc.mp3</t>
  </si>
  <si>
    <t>Bg_09-24_NY_1966-12-12_Those_Who_Do_Not_Recognize_My_etc.mp3</t>
  </si>
  <si>
    <t>https://audio.iskcondesiretree.com/01_-_Srila_Prabhupada/01_-_Lectures/01_-_English/02_-_Month_wise/12_-_December/12/Bg_09-24_NY_1966-12-12_Those_Who_Do_Not_Recognize_My_etc.mp3</t>
  </si>
  <si>
    <t>SP_CC_M_20-164_New_York_1966-12-13_Only_by_Devotion_Can_One--etc.mp3</t>
  </si>
  <si>
    <t>https://audio.iskcondesiretree.com/01_-_Srila_Prabhupada/01_-_Lectures/01_-_English/01_-_Topic_wise/Chaitanya_Charitamrita/Madhya_Lila/SP_CC_M_20-164_New_York_1966-12-13_Only_by_Devotion_Can_One--etc.mp3</t>
  </si>
  <si>
    <t>Cc_M_20-164_NY_1966-12-13_Only_by_Devotion_Can_One_etc.mp3</t>
  </si>
  <si>
    <t>https://audio.iskcondesiretree.com/01_-_Srila_Prabhupada/01_-_Lectures/01_-_English/02_-_Month_wise/12_-_December/13/Cc_M_20-164_NY_1966-12-13_Only_by_Devotion_Can_One_etc.mp3</t>
  </si>
  <si>
    <t>SP_CC_M_20-172_New_York_1966-12-14_Krishna%27s_Original--etc.mp3</t>
  </si>
  <si>
    <t>https://audio.iskcondesiretree.com/01_-_Srila_Prabhupada/01_-_Lectures/01_-_English/01_-_Topic_wise/Chaitanya_Charitamrita/Madhya_Lila/SP_CC_M_20-172_New_York_1966-12-14_Krishna%27s_Original--etc.mp3</t>
  </si>
  <si>
    <t>Cc_M_20-172_NY_1966-12-14_Krishna%27s_Original_etc.mp3</t>
  </si>
  <si>
    <t>https://audio.iskcondesiretree.com/01_-_Srila_Prabhupada/01_-_Lectures/01_-_English/02_-_Month_wise/12_-_December/14/Cc_M_20-172_NY_1966-12-14_Krishna%27s_Original_etc.mp3</t>
  </si>
  <si>
    <t>SP_BG_09-26-27_New_York_1966-12-16_Do_Everything_As_An_Offering_to_Krsna.mp3</t>
  </si>
  <si>
    <t>https://audio.iskcondesiretree.com/01_-_Srila_Prabhupada/01_-_Lectures/01_-_English/01_-_Topic_wise/Bhagavad_Gita/Chapter-09/SP_BG_09-26-27_New_York_1966-12-16_Do_Everything_As_An_Offering_to_Krsna.mp3</t>
  </si>
  <si>
    <t>SP_CC_M_20-245_New_York_1966-12-16_Six_Types_of_Avataras.mp3</t>
  </si>
  <si>
    <t>https://audio.iskcondesiretree.com/01_-_Srila_Prabhupada/01_-_Lectures/01_-_English/01_-_Topic_wise/Chaitanya_Charitamrita/Madhya_Lila/SP_CC_M_20-245_New_York_1966-12-16_Six_Types_of_Avataras.mp3</t>
  </si>
  <si>
    <t>Bg_09-26_NY_1966-12-16_Do_Everything_As_An_Offering_to_Krsna.mp3</t>
  </si>
  <si>
    <t>https://audio.iskcondesiretree.com/01_-_Srila_Prabhupada/01_-_Lectures/01_-_English/02_-_Month_wise/12_-_December/16/Bg_09-26_NY_1966-12-16_Do_Everything_As_An_Offering_to_Krsna.mp3</t>
  </si>
  <si>
    <t>Cc_M_20-245_NY_1966-12-16_Six_Types_of_Avataras.mp3</t>
  </si>
  <si>
    <t>https://audio.iskcondesiretree.com/01_-_Srila_Prabhupada/01_-_Lectures/01_-_English/02_-_Month_wise/12_-_December/16/Cc_M_20-245_NY_1966-12-16_Six_Types_of_Avataras.mp3</t>
  </si>
  <si>
    <t>SP_CC_M_20-254_New_York_1966-12-17_Krishna%27s_Spiritual_%26_Material_World.mp3</t>
  </si>
  <si>
    <t>https://audio.iskcondesiretree.com/01_-_Srila_Prabhupada/01_-_Lectures/01_-_English/01_-_Topic_wise/Chaitanya_Charitamrita/Madhya_Lila/SP_CC_M_20-254_New_York_1966-12-17_Krishna%27s_Spiritual_%26_Material_World.mp3</t>
  </si>
  <si>
    <t>Cc_M_20-254_NY_1966-12-17_Krishna%27s_Spiritual_%26_Material_World.mp3</t>
  </si>
  <si>
    <t>https://audio.iskcondesiretree.com/01_-_Srila_Prabhupada/01_-_Lectures/01_-_English/02_-_Month_wise/12_-_December/17/Cc_M_20-254_NY_1966-12-17_Krishna%27s_Spiritual_%26_Material_World.mp3</t>
  </si>
  <si>
    <t>SP_CC_M_20-281_New_York_1966-12-18_Manifestation_of_Universe.mp3</t>
  </si>
  <si>
    <t>https://audio.iskcondesiretree.com/01_-_Srila_Prabhupada/01_-_Lectures/01_-_English/01_-_Topic_wise/Chaitanya_Charitamrita/Madhya_Lila/SP_CC_M_20-281_New_York_1966-12-18_Manifestation_of_Universe.mp3</t>
  </si>
  <si>
    <t>Cc_M_20-281_NY_1966-12-18_Manifestation_of_Universe.mp3</t>
  </si>
  <si>
    <t>https://audio.iskcondesiretree.com/01_-_Srila_Prabhupada/01_-_Lectures/01_-_English/02_-_Month_wise/12_-_December/18/Cc_M_20-281_NY_1966-12-18_Manifestation_of_Universe.mp3</t>
  </si>
  <si>
    <t>SP_BG_09-27-29_New_York_1966-12-19_Karma_Love_and_Devotion.mp3</t>
  </si>
  <si>
    <t>https://audio.iskcondesiretree.com/01_-_Srila_Prabhupada/01_-_Lectures/01_-_English/01_-_Topic_wise/Bhagavad_Gita/Chapter-09/SP_BG_09-27-29_New_York_1966-12-19_Karma_Love_and_Devotion.mp3</t>
  </si>
  <si>
    <t>SP_CC_M_20-294_New_York_1966-12-19_Lilavataras--No_End_to_Them.mp3</t>
  </si>
  <si>
    <t>https://audio.iskcondesiretree.com/01_-_Srila_Prabhupada/01_-_Lectures/01_-_English/01_-_Topic_wise/Chaitanya_Charitamrita/Madhya_Lila/SP_CC_M_20-294_New_York_1966-12-19_Lilavataras--No_End_to_Them.mp3</t>
  </si>
  <si>
    <t>Bg_09-27_NY_1966-12-19_Karma_Love_and_Devotion.mp3</t>
  </si>
  <si>
    <t>https://audio.iskcondesiretree.com/01_-_Srila_Prabhupada/01_-_Lectures/01_-_English/02_-_Month_wise/12_-_December/19/Bg_09-27_NY_1966-12-19_Karma_Love_and_Devotion.mp3</t>
  </si>
  <si>
    <t>Cc_M_20-294_NY_1966-12-19_Lilavataras-No_End_to_Them.mp3</t>
  </si>
  <si>
    <t>https://audio.iskcondesiretree.com/01_-_Srila_Prabhupada/01_-_Lectures/01_-_English/02_-_Month_wise/12_-_December/19/Cc_M_20-294_NY_1966-12-19_Lilavataras-No_End_to_Them.mp3</t>
  </si>
  <si>
    <t>SP_BG_09-29-32_New_York_1966-12-20_Krishna%27s_Devotion_to_His_Devotee.mp3</t>
  </si>
  <si>
    <t>https://audio.iskcondesiretree.com/01_-_Srila_Prabhupada/01_-_Lectures/01_-_English/01_-_Topic_wise/Bhagavad_Gita/Chapter-09/SP_BG_09-29-32_New_York_1966-12-20_Krishna%27s_Devotion_to_His_Devotee.mp3</t>
  </si>
  <si>
    <t>SP_CC_M_20-298_New_York_1966-12-20_Gunavataras--The--etc.mp3</t>
  </si>
  <si>
    <t>https://audio.iskcondesiretree.com/01_-_Srila_Prabhupada/01_-_Lectures/01_-_English/01_-_Topic_wise/Chaitanya_Charitamrita/Madhya_Lila/SP_CC_M_20-298_New_York_1966-12-20_Gunavataras--The--etc.mp3</t>
  </si>
  <si>
    <t>Bg_09-29_NY_1966-12-20_Krishna%27s_Devotion_to_His_Devotee.mp3</t>
  </si>
  <si>
    <t>https://audio.iskcondesiretree.com/01_-_Srila_Prabhupada/01_-_Lectures/01_-_English/02_-_Month_wise/12_-_December/20/Bg_09-29_NY_1966-12-20_Krishna%27s_Devotion_to_His_Devotee.mp3</t>
  </si>
  <si>
    <t>Cc_M_20-298_NY_1966-12-20_Gunavataras-The_etc.mp3</t>
  </si>
  <si>
    <t>https://audio.iskcondesiretree.com/01_-_Srila_Prabhupada/01_-_Lectures/01_-_English/02_-_Month_wise/12_-_December/20/Cc_M_20-298_NY_1966-12-20_Gunavataras-The_etc.mp3</t>
  </si>
  <si>
    <t>SP_CC_M_20-313_New_York_1966-12-21_Krishna_Can_See_Everything.mp3</t>
  </si>
  <si>
    <t>https://audio.iskcondesiretree.com/01_-_Srila_Prabhupada/01_-_Lectures/01_-_English/01_-_Topic_wise/Chaitanya_Charitamrita/Madhya_Lila/SP_CC_M_20-313_New_York_1966-12-21_Krishna_Can_See_Everything.mp3</t>
  </si>
  <si>
    <t>Cc_M_20-313_NY_1966-12-21_Krishna_Can_See_Everything.mp3</t>
  </si>
  <si>
    <t>https://audio.iskcondesiretree.com/01_-_Srila_Prabhupada/01_-_Lectures/01_-_English/02_-_Month_wise/12_-_December/21/Cc_M_20-313_NY_1966-12-21_Krishna_Can_See_Everything.mp3</t>
  </si>
  <si>
    <t>SP_CC_M_20-318_New_York_1966-12-22_Manvantara-Avataras----etc.mp3</t>
  </si>
  <si>
    <t>https://audio.iskcondesiretree.com/01_-_Srila_Prabhupada/01_-_Lectures/01_-_English/01_-_Topic_wise/Chaitanya_Charitamrita/Madhya_Lila/SP_CC_M_20-318_New_York_1966-12-22_Manvantara-Avataras----etc.mp3</t>
  </si>
  <si>
    <t>Cc_M_20-318_NY_1966-12-22_Manvantara-Avataras_etc.mp3</t>
  </si>
  <si>
    <t>https://audio.iskcondesiretree.com/01_-_Srila_Prabhupada/01_-_Lectures/01_-_English/02_-_Month_wise/12_-_December/22/Cc_M_20-318_NY_1966-12-22_Manvantara-Avataras_etc.mp3</t>
  </si>
  <si>
    <t>SP_CC_M_20-330_New_York_1966-12-23_Yugavataras--Incarnations--etc.mp3</t>
  </si>
  <si>
    <t>https://audio.iskcondesiretree.com/01_-_Srila_Prabhupada/01_-_Lectures/01_-_English/01_-_Topic_wise/Chaitanya_Charitamrita/Madhya_Lila/SP_CC_M_20-330_New_York_1966-12-23_Yugavataras--Incarnations--etc.mp3</t>
  </si>
  <si>
    <t>Cc_M_20-330_NY_1966-12-23_Yugavataras-Incarnations_etc.mp3</t>
  </si>
  <si>
    <t>https://audio.iskcondesiretree.com/01_-_Srila_Prabhupada/01_-_Lectures/01_-_English/02_-_Month_wise/12_-_December/23/Cc_M_20-330_NY_1966-12-23_Yugavataras-Incarnations_etc.mp3</t>
  </si>
  <si>
    <t>SP_CC_M_20-334_New_York_1966-12-24_Chant_Holy_Name_Together.mp3</t>
  </si>
  <si>
    <t>https://audio.iskcondesiretree.com/01_-_Srila_Prabhupada/01_-_Lectures/01_-_English/01_-_Topic_wise/Chaitanya_Charitamrita/Madhya_Lila/SP_CC_M_20-334_New_York_1966-12-24_Chant_Holy_Name_Together.mp3</t>
  </si>
  <si>
    <t>Cc_M_20-334_NY_1966-12-24_Chant_Holy_Name_Together.mp3</t>
  </si>
  <si>
    <t>https://audio.iskcondesiretree.com/01_-_Srila_Prabhupada/01_-_Lectures/01_-_English/02_-_Month_wise/12_-_December/24/Cc_M_20-334_NY_1966-12-24_Chant_Holy_Name_Together.mp3</t>
  </si>
  <si>
    <t>SP_CC_M_20-337_New_York_1966-12-25_One_Good_Quality_in_Kali-Yuga.mp3</t>
  </si>
  <si>
    <t>https://audio.iskcondesiretree.com/01_-_Srila_Prabhupada/01_-_Lectures/01_-_English/01_-_Topic_wise/Chaitanya_Charitamrita/Madhya_Lila/SP_CC_M_20-337_New_York_1966-12-25_One_Good_Quality_in_Kali-Yuga.mp3</t>
  </si>
  <si>
    <t>Cc_M_20-337_NY_1966-12-25_One_Good_Quality_in_Kali-Yuga.mp3</t>
  </si>
  <si>
    <t>https://audio.iskcondesiretree.com/01_-_Srila_Prabhupada/01_-_Lectures/01_-_English/02_-_Month_wise/12_-_December/25/Cc_M_20-337_NY_1966-12-25_One_Good_Quality_in_Kali-Yuga.mp3</t>
  </si>
  <si>
    <t>SP_BG_09-34_New_York_1966-12-26_Being_Completely_Absorbed_in--etc.mp3</t>
  </si>
  <si>
    <t>https://audio.iskcondesiretree.com/01_-_Srila_Prabhupada/01_-_Lectures/01_-_English/01_-_Topic_wise/Bhagavad_Gita/Chapter-09/SP_BG_09-34_New_York_1966-12-26_Being_Completely_Absorbed_in--etc.mp3</t>
  </si>
  <si>
    <t>SP_CC_M_20-353_New_York_1966-12-26_Scriptural_Test_for_Avataras.mp3</t>
  </si>
  <si>
    <t>https://audio.iskcondesiretree.com/01_-_Srila_Prabhupada/01_-_Lectures/01_-_English/01_-_Topic_wise/Chaitanya_Charitamrita/Madhya_Lila/SP_CC_M_20-353_New_York_1966-12-26_Scriptural_Test_for_Avataras.mp3</t>
  </si>
  <si>
    <t>Bg_09-34_NY_1966-12-26_Being_Completely_Absorbed_in_etc.mp3</t>
  </si>
  <si>
    <t>https://audio.iskcondesiretree.com/01_-_Srila_Prabhupada/01_-_Lectures/01_-_English/02_-_Month_wise/12_-_December/26/Bg_09-34_NY_1966-12-26_Being_Completely_Absorbed_in_etc.mp3</t>
  </si>
  <si>
    <t>Cc_M_20-353_NY_1966-12-26_Scriptural_Test_for_Avataras.mp3</t>
  </si>
  <si>
    <t>https://audio.iskcondesiretree.com/01_-_Srila_Prabhupada/01_-_Lectures/01_-_English/02_-_Month_wise/12_-_December/26/Cc_M_20-353_NY_1966-12-26_Scriptural_Test_for_Avataras.mp3</t>
  </si>
  <si>
    <t>SP_CC_M_20-354_New_York_1966-12-28_Symptoms_of_Saintly_Persons.mp3</t>
  </si>
  <si>
    <t>https://audio.iskcondesiretree.com/01_-_Srila_Prabhupada/01_-_Lectures/01_-_English/01_-_Topic_wise/Chaitanya_Charitamrita/Madhya_Lila/SP_CC_M_20-354_New_York_1966-12-28_Symptoms_of_Saintly_Persons.mp3</t>
  </si>
  <si>
    <t>Cc_M_20-354_NY_1966-12-28_Symptoms_of_Saintly_Persons.mp3</t>
  </si>
  <si>
    <t>https://audio.iskcondesiretree.com/01_-_Srila_Prabhupada/01_-_Lectures/01_-_English/02_-_Month_wise/12_-_December/28/Cc_M_20-354_NY_1966-12-28_Symptoms_of_Saintly_Persons.mp3</t>
  </si>
  <si>
    <t>SP_CC_M_20-360_New_York_1966-12-30_What_Is_the_Use_of_Becoming--etc.mp3</t>
  </si>
  <si>
    <t>https://audio.iskcondesiretree.com/01_-_Srila_Prabhupada/01_-_Lectures/01_-_English/01_-_Topic_wise/Chaitanya_Charitamrita/Madhya_Lila/SP_CC_M_20-360_New_York_1966-12-30_What_Is_the_Use_of_Becoming--etc.mp3</t>
  </si>
  <si>
    <t>Cc_M_20-360_NY_1966-12-30_What_Is_the_Use_of_Becoming_etc.mp3</t>
  </si>
  <si>
    <t>https://audio.iskcondesiretree.com/01_-_Srila_Prabhupada/01_-_Lectures/01_-_English/02_-_Month_wise/12_-_December/30/Cc_M_20-360_NY_1966-12-30_What_Is_the_Use_of_Becoming_etc.mp3</t>
  </si>
  <si>
    <t>SP_CC_M_20-367_New_York_1966-12-31_Chief_Saktyavesa_Avatara.mp3</t>
  </si>
  <si>
    <t>https://audio.iskcondesiretree.com/01_-_Srila_Prabhupada/01_-_Lectures/01_-_English/01_-_Topic_wise/Chaitanya_Charitamrita/Madhya_Lila/SP_CC_M_20-367_New_York_1966-12-31_Chief_Saktyavesa_Avatara.mp3</t>
  </si>
  <si>
    <t>Cc_M_20-367_NY_1966-12-31_Chief_Saktyavesa_Avatara.mp3</t>
  </si>
  <si>
    <t>https://audio.iskcondesiretree.com/01_-_Srila_Prabhupada/01_-_Lectures/01_-_English/02_-_Month_wise/12_-_December/31/Cc_M_20-367_NY_1966-12-31_Chief_Saktyavesa_Avatara.mp3</t>
  </si>
  <si>
    <t>Chapter-10</t>
  </si>
  <si>
    <t>SP_BG_10-02-03_New_York_1967-01-01_The_Process_for_Understanding_God.mp3</t>
  </si>
  <si>
    <t>https://audio.iskcondesiretree.com/01_-_Srila_Prabhupada/01_-_Lectures/01_-_English/01_-_Topic_wise/Bhagavad_Gita/Chapter-10/SP_BG_10-02-03_New_York_1967-01-01_The_Process_for_Understanding_God.mp3</t>
  </si>
  <si>
    <t>BG_10-02_NY_1967-01-01_The_Process_for_Understanding_God.mp3</t>
  </si>
  <si>
    <t>https://audio.iskcondesiretree.com/01_-_Srila_Prabhupada/01_-_Lectures/01_-_English/02_-_Month_wise/01_-_January/01/BG_10-02_NY_1967-01-01_The_Process_for_Understanding_God.mp3</t>
  </si>
  <si>
    <t>SP_CC_M_21-001_New_York_1967-01-03_They_Are_Very_Much_Serious--etc.mp3</t>
  </si>
  <si>
    <t>https://audio.iskcondesiretree.com/01_-_Srila_Prabhupada/01_-_Lectures/01_-_English/01_-_Topic_wise/Chaitanya_Charitamrita/Madhya_Lila/SP_CC_M_21-001_New_York_1967-01-03_They_Are_Very_Much_Serious--etc.mp3</t>
  </si>
  <si>
    <t>Cc_M_21-001_NY_1967-01-03_They_Are_Very_Much_Serious_etc.mp3</t>
  </si>
  <si>
    <t>https://audio.iskcondesiretree.com/01_-_Srila_Prabhupada/01_-_Lectures/01_-_English/02_-_Month_wise/01_-_January/03/Cc_M_21-001_NY_1967-01-03_They_Are_Very_Much_Serious_etc.mp3</t>
  </si>
  <si>
    <t>SP_BG_10-04-05_New_York_1967-01-04_Knowledge--Understanding--etc.mp3</t>
  </si>
  <si>
    <t>https://audio.iskcondesiretree.com/01_-_Srila_Prabhupada/01_-_Lectures/01_-_English/01_-_Topic_wise/Bhagavad_Gita/Chapter-10/SP_BG_10-04-05_New_York_1967-01-04_Knowledge--Understanding--etc.mp3</t>
  </si>
  <si>
    <t>SP_CC_M_21-013_New_York_1967-01-04_Brahma_and_Indra_Were_Astonished.mp3</t>
  </si>
  <si>
    <t>https://audio.iskcondesiretree.com/01_-_Srila_Prabhupada/01_-_Lectures/01_-_English/01_-_Topic_wise/Chaitanya_Charitamrita/Madhya_Lila/SP_CC_M_21-013_New_York_1967-01-04_Brahma_and_Indra_Were_Astonished.mp3</t>
  </si>
  <si>
    <t>Bg_10-04_NY_1967-01-04_Knowledge--Understanding_etc.mp3</t>
  </si>
  <si>
    <t>https://audio.iskcondesiretree.com/01_-_Srila_Prabhupada/01_-_Lectures/01_-_English/02_-_Month_wise/01_-_January/04/Bg_10-04_NY_1967-01-04_Knowledge--Understanding_etc.mp3</t>
  </si>
  <si>
    <t>Cc_M_21-013_NY_1967-01-04_Brahma_and_Indra_Were_Astonished.mp3</t>
  </si>
  <si>
    <t>https://audio.iskcondesiretree.com/01_-_Srila_Prabhupada/01_-_Lectures/01_-_English/02_-_Month_wise/01_-_January/04/Cc_M_21-013_NY_1967-01-04_Brahma_and_Indra_Were_Astonished.mp3</t>
  </si>
  <si>
    <t>SP_CC_M_22-011_New_York_1967-01-09_They_Think%2C_%E2%80%98We_Are_All_Right%E2%80%99.mp3</t>
  </si>
  <si>
    <t>https://audio.iskcondesiretree.com/01_-_Srila_Prabhupada/01_-_Lectures/01_-_English/01_-_Topic_wise/Chaitanya_Charitamrita/Madhya_Lila/SP_CC_M_22-011_New_York_1967-01-09_They_Think%2C_%E2%80%98We_Are_All_Right%E2%80%99.mp3</t>
  </si>
  <si>
    <t>Cc_M_22-011_NY_1967-01-09_They_Think_We_Are_All_Right.mp3</t>
  </si>
  <si>
    <t>https://audio.iskcondesiretree.com/01_-_Srila_Prabhupada/01_-_Lectures/01_-_English/02_-_Month_wise/01_-_January/09/Cc_M_22-011_NY_1967-01-09_They_Think_We_Are_All_Right.mp3</t>
  </si>
  <si>
    <t>SP_CC_M_22-014_New_York_1967-01-10_Nitya-baddhas_Nitya-muktas.mp3</t>
  </si>
  <si>
    <t>https://audio.iskcondesiretree.com/01_-_Srila_Prabhupada/01_-_Lectures/01_-_English/01_-_Topic_wise/Chaitanya_Charitamrita/Madhya_Lila/SP_CC_M_22-014_New_York_1967-01-10_Nitya-baddhas_Nitya-muktas.mp3</t>
  </si>
  <si>
    <t>Cc_M_22-014_NY_1967-01-10_Nitya-baddhas_Nitya-muktas.mp3</t>
  </si>
  <si>
    <t>https://audio.iskcondesiretree.com/01_-_Srila_Prabhupada/01_-_Lectures/01_-_English/02_-_Month_wise/01_-_January/10/Cc_M_22-014_NY_1967-01-10_Nitya-baddhas_Nitya-muktas.mp3</t>
  </si>
  <si>
    <t>SP_CC_M_22-021_New_York_1967-01-11_Devotional_Service_Will--etc.mp3</t>
  </si>
  <si>
    <t>https://audio.iskcondesiretree.com/01_-_Srila_Prabhupada/01_-_Lectures/01_-_English/01_-_Topic_wise/Chaitanya_Charitamrita/Madhya_Lila/SP_CC_M_22-021_New_York_1967-01-11_Devotional_Service_Will--etc.mp3</t>
  </si>
  <si>
    <t>Cc_M_22-021_NY_1967-01-11_Devotional_Service_Will_etc.mp3</t>
  </si>
  <si>
    <t>https://audio.iskcondesiretree.com/01_-_Srila_Prabhupada/01_-_Lectures/01_-_English/02_-_Month_wise/01_-_January/11/Cc_M_22-021_NY_1967-01-11_Devotional_Service_Will_etc.mp3</t>
  </si>
  <si>
    <t>SP_CC_M_22-031_New_York_1967-01-16_Krishna_Is_Sunshine_Maya_Is_Darkness.mp3</t>
  </si>
  <si>
    <t>https://audio.iskcondesiretree.com/01_-_Srila_Prabhupada/01_-_Lectures/01_-_English/01_-_Topic_wise/Chaitanya_Charitamrita/Madhya_Lila/SP_CC_M_22-031_New_York_1967-01-16_Krishna_Is_Sunshine_Maya_Is_Darkness.mp3</t>
  </si>
  <si>
    <t>Cc_M_22-031_NY_1967-01-16_Krishna_Is_Sunshine_Maya_Is_Darkness.mp3</t>
  </si>
  <si>
    <t>https://audio.iskcondesiretree.com/01_-_Srila_Prabhupada/01_-_Lectures/01_-_English/02_-_Month_wise/01_-_January/16/Cc_M_22-031_NY_1967-01-16_Krishna_Is_Sunshine_Maya_Is_Darkness.mp3</t>
  </si>
  <si>
    <t>Canto-07</t>
  </si>
  <si>
    <t>SP_SB_7-07-29_San_Francisco_1967-03-15_Here_Is_A_Personality_to--etc.mp3</t>
  </si>
  <si>
    <t>https://audio.iskcondesiretree.com/01_-_Srila_Prabhupada/01_-_Lectures/01_-_English/01_-_Topic_wise/Srimad_Bhagavatam/Canto-07/SP_SB_7-07-29_San_Francisco_1967-03-15_Here_Is_A_Personality_to--etc.mp3</t>
  </si>
  <si>
    <t>SB_7-07-29_SF_1967-03-15_Here_Is_A_Personality_to_etc.mp3</t>
  </si>
  <si>
    <t>https://audio.iskcondesiretree.com/01_-_Srila_Prabhupada/01_-_Lectures/01_-_English/02_-_Month_wise/03_-_March/15/SB_7-07-29_SF_1967-03-15_Here_Is_A_Personality_to_etc.mp3</t>
  </si>
  <si>
    <t>SP_CC_A_Intro_San_Francisco_1967-03-18_Introduction.mp3</t>
  </si>
  <si>
    <t>https://audio.iskcondesiretree.com/01_-_Srila_Prabhupada/01_-_Lectures/01_-_English/01_-_Topic_wise/Chaitanya_Charitamrita/More/SP_CC_A_Intro_San_Francisco_1967-03-18_Introduction.mp3</t>
  </si>
  <si>
    <t>Cc_A_Intro_SF_1967-03-18_Introduction.mp3</t>
  </si>
  <si>
    <t>https://audio.iskcondesiretree.com/01_-_Srila_Prabhupada/01_-_Lectures/01_-_English/02_-_Month_wise/03_-_March/18/Cc_A_Intro_SF_1967-03-18_Introduction.mp3</t>
  </si>
  <si>
    <t>Room_Conversation</t>
  </si>
  <si>
    <t>SP_Room_Conversation_Sanand_Francisco_1967-04-05_Part_1_Outline_of_Lord_Caitanya_Play.mp3</t>
  </si>
  <si>
    <t>https://audio.iskcondesiretree.com/01_-_Srila_Prabhupada/01_-_Lectures/01_-_English/01_-_Topic_wise/Room_Conversation/SP_Room_Conversation_Sanand_Francisco_1967-04-05_Part_1_Outline_of_Lord_Caitanya_Play.mp3</t>
  </si>
  <si>
    <t>SP_Room_Conversation_Sanand_Francisco_1967-04-05_Part_2_Outline_of_Lord_Caitanya_Play.mp3</t>
  </si>
  <si>
    <t>https://audio.iskcondesiretree.com/01_-_Srila_Prabhupada/01_-_Lectures/01_-_English/01_-_Topic_wise/Room_Conversation/SP_Room_Conversation_Sanand_Francisco_1967-04-05_Part_2_Outline_of_Lord_Caitanya_Play.mp3</t>
  </si>
  <si>
    <t>RC_SF_1967-04-05_Part_1_Outline_of_Lord_Caitanya_Play.mp3</t>
  </si>
  <si>
    <t>https://audio.iskcondesiretree.com/01_-_Srila_Prabhupada/01_-_Lectures/01_-_English/02_-_Month_wise/04_-_April/05/RC_SF_1967-04-05_Part_1_Outline_of_Lord_Caitanya_Play.mp3</t>
  </si>
  <si>
    <t>RC_SF_1967-04-05_Part_2_Outline_of_Lord_Caitanya_Play.mp3</t>
  </si>
  <si>
    <t>https://audio.iskcondesiretree.com/01_-_Srila_Prabhupada/01_-_Lectures/01_-_English/02_-_Month_wise/04_-_April/05/RC_SF_1967-04-05_Part_2_Outline_of_Lord_Caitanya_Play.mp3</t>
  </si>
  <si>
    <t>SP_Lecture_Los_Angeles_1968-02-02_Relish_of_Renunciation_Sweetness--etc.mp3</t>
  </si>
  <si>
    <t>https://audio.iskcondesiretree.com/01_-_Srila_Prabhupada/01_-_Lectures/01_-_English/01_-_Topic_wise/Various/SP_Lecture_Los_Angeles_1968-02-02_Relish_of_Renunciation_Sweetness--etc.mp3</t>
  </si>
  <si>
    <t>Lect_LA_1968-02-02_Relish_of_Renunciation_Sweetness_etc.mp3</t>
  </si>
  <si>
    <t>https://audio.iskcondesiretree.com/01_-_Srila_Prabhupada/01_-_Lectures/01_-_English/02_-_Month_wise/02_-_Feburary/02/Lect_LA_1968-02-02_Relish_of_Renunciation_Sweetness_etc.mp3</t>
  </si>
  <si>
    <t>SP_Interview_San_Francisco_1968-03-09_Radio--KPFK_LA--Transfer_Your--etc.mp3</t>
  </si>
  <si>
    <t>https://audio.iskcondesiretree.com/01_-_Srila_Prabhupada/01_-_Lectures/01_-_English/01_-_Topic_wise/Interview/SP_Interview_San_Francisco_1968-03-09_Radio--KPFK_LA--Transfer_Your--etc.mp3</t>
  </si>
  <si>
    <t>Interv_SF_1968-03-09_Radio--KPFK_LA--Transfer_Your_etc.mp3</t>
  </si>
  <si>
    <t>https://audio.iskcondesiretree.com/01_-_Srila_Prabhupada/01_-_Lectures/01_-_English/02_-_Month_wise/03_-_March/09/Interv_SF_1968-03-09_Radio--KPFK_LA--Transfer_Your_etc.mp3</t>
  </si>
  <si>
    <t>SP_SB_7-06-01_San_Francisco_1968-03-15_A_Way_to_Spend_Your_Time.mp3</t>
  </si>
  <si>
    <t>https://audio.iskcondesiretree.com/01_-_Srila_Prabhupada/01_-_Lectures/01_-_English/01_-_Topic_wise/Srimad_Bhagavatam/Canto-07/SP_SB_7-06-01_San_Francisco_1968-03-15_A_Way_to_Spend_Your_Time.mp3</t>
  </si>
  <si>
    <t>SB_7-06-01_SF_1968-03-15_A_Way_to_Spend_Your_Time.mp3</t>
  </si>
  <si>
    <t>https://audio.iskcondesiretree.com/01_-_Srila_Prabhupada/01_-_Lectures/01_-_English/02_-_Month_wise/03_-_March/15/SB_7-06-01_SF_1968-03-15_A_Way_to_Spend_Your_Time.mp3</t>
  </si>
  <si>
    <t>Morning_Walk</t>
  </si>
  <si>
    <t>SP_Morning_Walk_-_San_Francisco_1968-03-23_Prayer_for_a_Passionate_Planet.mp3</t>
  </si>
  <si>
    <t>https://audio.iskcondesiretree.com/01_-_Srila_Prabhupada/01_-_Lectures/01_-_English/01_-_Topic_wise/Morning_Walk/SP_Morning_Walk_-_San_Francisco_1968-03-23_Prayer_for_a_Passionate_Planet.mp3</t>
  </si>
  <si>
    <t>MW_SF_1968-03-23_Prayer_for_a_Passionate_Planet.mp3</t>
  </si>
  <si>
    <t>https://audio.iskcondesiretree.com/01_-_Srila_Prabhupada/01_-_Lectures/01_-_English/02_-_Month_wise/03_-_March/23/MW_SF_1968-03-23_Prayer_for_a_Passionate_Planet.mp3</t>
  </si>
  <si>
    <t>SP_SB_1-03-01_San_Francisco_1968-03-28_God_Has_New_Orleans_Body_Like_Ours.mp3</t>
  </si>
  <si>
    <t>https://audio.iskcondesiretree.com/01_-_Srila_Prabhupada/01_-_Lectures/01_-_English/01_-_Topic_wise/Srimad_Bhagavatam/Canto-01/SP_SB_1-03-01_San_Francisco_1968-03-28_God_Has_New_Orleans_Body_Like_Ours.mp3</t>
  </si>
  <si>
    <t>SB_1-03-01_SF_1968-03-28_God_Has_No_Body_Like_Ours.mp3</t>
  </si>
  <si>
    <t>https://audio.iskcondesiretree.com/01_-_Srila_Prabhupada/01_-_Lectures/01_-_English/02_-_Month_wise/03_-_March/28/SB_1-03-01_SF_1968-03-28_God_Has_No_Body_Like_Ours.mp3</t>
  </si>
  <si>
    <t>SP_Lecture_San_Francisco_1968-04-02_Skyscraper_Civilization_vs_Soul--etc.mp3</t>
  </si>
  <si>
    <t>https://audio.iskcondesiretree.com/01_-_Srila_Prabhupada/01_-_Lectures/01_-_English/01_-_Topic_wise/Various/SP_Lecture_San_Francisco_1968-04-02_Skyscraper_Civilization_vs_Soul--etc.mp3</t>
  </si>
  <si>
    <t>Lect_SF_1968-04-02_Skyscraper_Civilization_vs_Soul_etc.mp3</t>
  </si>
  <si>
    <t>https://audio.iskcondesiretree.com/01_-_Srila_Prabhupada/01_-_Lectures/01_-_English/02_-_Month_wise/04_-_April/02/Lect_SF_1968-04-02_Skyscraper_Civilization_vs_Soul_etc.mp3</t>
  </si>
  <si>
    <t>SP_Lecture_Montreal_1968-06-11_To_Students_%28young%29--My_and--etc.mp3</t>
  </si>
  <si>
    <t>https://audio.iskcondesiretree.com/01_-_Srila_Prabhupada/01_-_Lectures/01_-_English/01_-_Topic_wise/Various/SP_Lecture_Montreal_1968-06-11_To_Students_%28young%29--My_and--etc.mp3</t>
  </si>
  <si>
    <t>Lect_MON_1968-06-11_To_Students_%28young%29_My_and_etc.mp3</t>
  </si>
  <si>
    <t>https://audio.iskcondesiretree.com/01_-_Srila_Prabhupada/01_-_Lectures/01_-_English/02_-_Month_wise/06_-_June/11/Lect_MON_1968-06-11_To_Students_%28young%29_My_and_etc.mp3</t>
  </si>
  <si>
    <t>SP_SB_7-06-03_Montreal_1968-06-16_Stop_Adjusting_the_Material_World.mp3</t>
  </si>
  <si>
    <t>https://audio.iskcondesiretree.com/01_-_Srila_Prabhupada/01_-_Lectures/01_-_English/01_-_Topic_wise/Srimad_Bhagavatam/Canto-07/SP_SB_7-06-03_Montreal_1968-06-16_Stop_Adjusting_the_Material_World.mp3</t>
  </si>
  <si>
    <t>SB_7-06-03_MON_1968-06-16_Stop_Adjusting_the_Material_World.mp3</t>
  </si>
  <si>
    <t>https://audio.iskcondesiretree.com/01_-_Srila_Prabhupada/01_-_Lectures/01_-_English/02_-_Month_wise/06_-_June/16/SB_7-06-03_MON_1968-06-16_Stop_Adjusting_the_Material_World.mp3</t>
  </si>
  <si>
    <t>SP_SB_7-06-06_Montreal_1968-06-23_Center_Society_on_Spiritual_Profit.mp3</t>
  </si>
  <si>
    <t>https://audio.iskcondesiretree.com/01_-_Srila_Prabhupada/01_-_Lectures/01_-_English/01_-_Topic_wise/Srimad_Bhagavatam/Canto-07/SP_SB_7-06-06_Montreal_1968-06-23_Center_Society_on_Spiritual_Profit.mp3</t>
  </si>
  <si>
    <t>SB_7-06-06_MON_1968-06-23_Center_Society_on_Spiritual_Profit.mp3</t>
  </si>
  <si>
    <t>https://audio.iskcondesiretree.com/01_-_Srila_Prabhupada/01_-_Lectures/01_-_English/02_-_Month_wise/06_-_June/23/SB_7-06-06_MON_1968-06-23_Center_Society_on_Spiritual_Profit.mp3</t>
  </si>
  <si>
    <t>SP_SB_7-09-10_Montreal_1968-07-12_The_Difference_Between_a--etc.mp3</t>
  </si>
  <si>
    <t>https://audio.iskcondesiretree.com/01_-_Srila_Prabhupada/01_-_Lectures/01_-_English/01_-_Topic_wise/Srimad_Bhagavatam/Canto-07/SP_SB_7-09-10_Montreal_1968-07-12_The_Difference_Between_a--etc.mp3</t>
  </si>
  <si>
    <t>SB_7-09-10_MON_1968-07-12_The_Difference_Between_a_etc.mp3</t>
  </si>
  <si>
    <t>https://audio.iskcondesiretree.com/01_-_Srila_Prabhupada/01_-_Lectures/01_-_English/02_-_Month_wise/07_-_July/12/SB_7-09-10_MON_1968-07-12_The_Difference_Between_a_etc.mp3</t>
  </si>
  <si>
    <t>SP_BG_04-07_Montreal_1968-08-13_The_Divine_Descent_of_Our_Duty.mp3</t>
  </si>
  <si>
    <t>https://audio.iskcondesiretree.com/01_-_Srila_Prabhupada/01_-_Lectures/01_-_English/01_-_Topic_wise/Bhagavad_Gita/Chapter-04/SP_BG_04-07_Montreal_1968-08-13_The_Divine_Descent_of_Our_Duty.mp3</t>
  </si>
  <si>
    <t>Bg_04-07_MON_1968-08-13_The_Divine_Descent_of_Our_Duty.mp3</t>
  </si>
  <si>
    <t>https://audio.iskcondesiretree.com/01_-_Srila_Prabhupada/01_-_Lectures/01_-_English/02_-_Month_wise/08_-_August/13/Bg_04-07_MON_1968-08-13_The_Divine_Descent_of_Our_Duty.mp3</t>
  </si>
  <si>
    <t>SP_Festivals_Montreal_1968-08-16_Janmastami.mp3</t>
  </si>
  <si>
    <t>https://audio.iskcondesiretree.com/01_-_Srila_Prabhupada/01_-_Lectures/01_-_English/01_-_Topic_wise/Festivals/SP_Festivals_Montreal_1968-08-16_Janmastami.mp3</t>
  </si>
  <si>
    <t>Fest_MON_1968-08-16_Janmastami.mp3</t>
  </si>
  <si>
    <t>https://audio.iskcondesiretree.com/01_-_Srila_Prabhupada/01_-_Lectures/01_-_English/02_-_Month_wise/08_-_August/16/Fest_MON_1968-08-16_Janmastami.mp3</t>
  </si>
  <si>
    <t>SP_SB_7-09-11_Montreal_1968-08-17_Krishna_Is_Begging_Your_Love.mp3</t>
  </si>
  <si>
    <t>https://audio.iskcondesiretree.com/01_-_Srila_Prabhupada/01_-_Lectures/01_-_English/01_-_Topic_wise/Srimad_Bhagavatam/Canto-07/SP_SB_7-09-11_Montreal_1968-08-17_Krishna_Is_Begging_Your_Love.mp3</t>
  </si>
  <si>
    <t>SB_7-09-11_MON_1968-08-17_Krishna_Is_Begging_Your_Love.mp3</t>
  </si>
  <si>
    <t>https://audio.iskcondesiretree.com/01_-_Srila_Prabhupada/01_-_Lectures/01_-_English/02_-_Month_wise/08_-_August/17/SB_7-09-11_MON_1968-08-17_Krishna_Is_Begging_Your_Love.mp3</t>
  </si>
  <si>
    <t>SP_SB_7-09-12_Montreal_1968-08-18_God_is_Dead--The_Vulture%27s_Curse.mp3</t>
  </si>
  <si>
    <t>https://audio.iskcondesiretree.com/01_-_Srila_Prabhupada/01_-_Lectures/01_-_English/01_-_Topic_wise/Srimad_Bhagavatam/Canto-07/SP_SB_7-09-12_Montreal_1968-08-18_God_is_Dead--The_Vulture%27s_Curse.mp3</t>
  </si>
  <si>
    <t>SB_7-09-12_MON_1968-08-18_God_is_Dead_The_Vulture%27s_Curse.mp3</t>
  </si>
  <si>
    <t>https://audio.iskcondesiretree.com/01_-_Srila_Prabhupada/01_-_Lectures/01_-_English/02_-_Month_wise/08_-_August/18/SB_7-09-12_MON_1968-08-18_God_is_Dead_The_Vulture%27s_Curse.mp3</t>
  </si>
  <si>
    <t>SP_SB_7-09-12_Montreal_1968-08-19_God_Only_Cares_How_Much_You_LOVE_Him.mp3</t>
  </si>
  <si>
    <t>https://audio.iskcondesiretree.com/01_-_Srila_Prabhupada/01_-_Lectures/01_-_English/01_-_Topic_wise/Srimad_Bhagavatam/Canto-07/SP_SB_7-09-12_Montreal_1968-08-19_God_Only_Cares_How_Much_You_LOVE_Him.mp3</t>
  </si>
  <si>
    <t>SB_7-09-12_MON_1968-08-19_God_Only_Cares_How_Much_You_LOVE_Him.mp3</t>
  </si>
  <si>
    <t>https://audio.iskcondesiretree.com/01_-_Srila_Prabhupada/01_-_Lectures/01_-_English/02_-_Month_wise/08_-_August/19/SB_7-09-12_MON_1968-08-19_God_Only_Cares_How_Much_You_LOVE_Him.mp3</t>
  </si>
  <si>
    <t>SP_SB_7-09-13_Montreal_1968-08-20_Getting_a_Job_with_the--etc.mp3</t>
  </si>
  <si>
    <t>https://audio.iskcondesiretree.com/01_-_Srila_Prabhupada/01_-_Lectures/01_-_English/01_-_Topic_wise/Srimad_Bhagavatam/Canto-07/SP_SB_7-09-13_Montreal_1968-08-20_Getting_a_Job_with_the--etc.mp3</t>
  </si>
  <si>
    <t>SB_7-09-13_MON_1968-08-20_Getting_a_Job_with_the_etc.mp3</t>
  </si>
  <si>
    <t>https://audio.iskcondesiretree.com/01_-_Srila_Prabhupada/01_-_Lectures/01_-_English/02_-_Month_wise/08_-_August/20/SB_7-09-13_MON_1968-08-20_Getting_a_Job_with_the_etc.mp3</t>
  </si>
  <si>
    <t>SP_Festivals_Montreal_1968-08-30_Radhastami.mp3</t>
  </si>
  <si>
    <t>https://audio.iskcondesiretree.com/01_-_Srila_Prabhupada/01_-_Lectures/01_-_English/01_-_Topic_wise/Festivals/SP_Festivals_Montreal_1968-08-30_Radhastami.mp3</t>
  </si>
  <si>
    <t>Fest_MON_1968-08-30_Radhastami.mp3</t>
  </si>
  <si>
    <t>https://audio.iskcondesiretree.com/01_-_Srila_Prabhupada/01_-_Lectures/01_-_English/02_-_Month_wise/08_-_August/30/Fest_MON_1968-08-30_Radhastami.mp3</t>
  </si>
  <si>
    <t>SP_BG_07-01_San_Francisco_1968-09-10_Yoga--_Our_Confidential--etc.mp3</t>
  </si>
  <si>
    <t>https://audio.iskcondesiretree.com/01_-_Srila_Prabhupada/01_-_Lectures/01_-_English/01_-_Topic_wise/Bhagavad_Gita/Chapter-07/SP_BG_07-01_San_Francisco_1968-09-10_Yoga--_Our_Confidential--etc.mp3</t>
  </si>
  <si>
    <t>Bg_07-01_SF_1968-09-10_Yoga_Our_Confidential_etc.mp3</t>
  </si>
  <si>
    <t>https://audio.iskcondesiretree.com/01_-_Srila_Prabhupada/01_-_Lectures/01_-_English/02_-_Month_wise/09_-_September/10/Bg_07-01_SF_1968-09-10_Yoga_Our_Confidential_etc.mp3</t>
  </si>
  <si>
    <t>SP_BG_07-02_San_Francisco_1968-09-11_Ultimate_Understanding--etc.mp3</t>
  </si>
  <si>
    <t>https://audio.iskcondesiretree.com/01_-_Srila_Prabhupada/01_-_Lectures/01_-_English/01_-_Topic_wise/Bhagavad_Gita/Chapter-07/SP_BG_07-02_San_Francisco_1968-09-11_Ultimate_Understanding--etc.mp3</t>
  </si>
  <si>
    <t>Bg_07-02_SF_1968-09-11_Ultimate_Understanding_etc.mp3</t>
  </si>
  <si>
    <t>https://audio.iskcondesiretree.com/01_-_Srila_Prabhupada/01_-_Lectures/01_-_English/02_-_Month_wise/09_-_September/11/Bg_07-02_SF_1968-09-11_Ultimate_Understanding_etc.mp3</t>
  </si>
  <si>
    <t>SP_Lecture_Seattle_1968-09-25_Spiritual_Liberation_and_Beyond.mp3</t>
  </si>
  <si>
    <t>https://audio.iskcondesiretree.com/01_-_Srila_Prabhupada/01_-_Lectures/01_-_English/01_-_Topic_wise/Various/SP_Lecture_Seattle_1968-09-25_Spiritual_Liberation_and_Beyond.mp3</t>
  </si>
  <si>
    <t>Lect_SEA_1968-09-25_Spiritual_Liberation_and_Beyond.mp3</t>
  </si>
  <si>
    <t>https://audio.iskcondesiretree.com/01_-_Srila_Prabhupada/01_-_Lectures/01_-_English/02_-_Month_wise/09_-_September/25/Lect_SEA_1968-09-25_Spiritual_Liberation_and_Beyond.mp3</t>
  </si>
  <si>
    <t>SP_Lecture_Seattle_1968-09-27_How_to_Go_from_Misery_to_Mastery.mp3</t>
  </si>
  <si>
    <t>https://audio.iskcondesiretree.com/01_-_Srila_Prabhupada/01_-_Lectures/01_-_English/01_-_Topic_wise/Various/SP_Lecture_Seattle_1968-09-27_How_to_Go_from_Misery_to_Mastery.mp3</t>
  </si>
  <si>
    <t>Lect_SEA_1968-09-27_How_to_Go_from_Misery_to_Mastery.mp3</t>
  </si>
  <si>
    <t>https://audio.iskcondesiretree.com/01_-_Srila_Prabhupada/01_-_Lectures/01_-_English/02_-_Month_wise/09_-_September/27/Lect_SEA_1968-09-27_How_to_Go_from_Misery_to_Mastery.mp3</t>
  </si>
  <si>
    <t>SP_Lecture_Seattle_1968-09-30_Beyond_Frustration-Science_of_Loving_God.mp3</t>
  </si>
  <si>
    <t>https://audio.iskcondesiretree.com/01_-_Srila_Prabhupada/01_-_Lectures/01_-_English/01_-_Topic_wise/Various/SP_Lecture_Seattle_1968-09-30_Beyond_Frustration-Science_of_Loving_God.mp3</t>
  </si>
  <si>
    <t>Lect_SEA_1968-09-30_Beyond_Frustration-Science_of_Loving_God.mp3</t>
  </si>
  <si>
    <t>https://audio.iskcondesiretree.com/01_-_Srila_Prabhupada/01_-_Lectures/01_-_English/02_-_Month_wise/09_-_September/30/Lect_SEA_1968-09-30_Beyond_Frustration-Science_of_Loving_God.mp3</t>
  </si>
  <si>
    <t>SP_Lecture_Seattle_1968-10-02_The_Pulse_of_Universal_Body.mp3</t>
  </si>
  <si>
    <t>https://audio.iskcondesiretree.com/01_-_Srila_Prabhupada/01_-_Lectures/01_-_English/01_-_Topic_wise/Various/SP_Lecture_Seattle_1968-10-02_The_Pulse_of_Universal_Body.mp3</t>
  </si>
  <si>
    <t>Lect_SEA_1968-10-02_The_Pulse_of_Universal_Body.mp3</t>
  </si>
  <si>
    <t>https://audio.iskcondesiretree.com/01_-_Srila_Prabhupada/01_-_Lectures/01_-_English/02_-_Month_wise/10_-_October/02/Lect_SEA_1968-10-02_The_Pulse_of_Universal_Body.mp3</t>
  </si>
  <si>
    <t>SP_Lecture_Seattle_1968-10-04_If_You_Know_Krishna_You_Know_Everything.mp3</t>
  </si>
  <si>
    <t>https://audio.iskcondesiretree.com/01_-_Srila_Prabhupada/01_-_Lectures/01_-_English/01_-_Topic_wise/Various/SP_Lecture_Seattle_1968-10-04_If_You_Know_Krishna_You_Know_Everything.mp3</t>
  </si>
  <si>
    <t>Lect_SEA_1968-10-04_If_You_Know_Krishna%2C_You_Know_Everything.mp3</t>
  </si>
  <si>
    <t>https://audio.iskcondesiretree.com/01_-_Srila_Prabhupada/01_-_Lectures/01_-_English/02_-_Month_wise/10_-_October/04/Lect_SEA_1968-10-04_If_You_Know_Krishna%2C_You_Know_Everything.mp3</t>
  </si>
  <si>
    <t>SP_Lecture_Seattle_1968-10-07_It_is_Very_Pleasant_to_Become_a--etc.mp3</t>
  </si>
  <si>
    <t>https://audio.iskcondesiretree.com/01_-_Srila_Prabhupada/01_-_Lectures/01_-_English/01_-_Topic_wise/Various/SP_Lecture_Seattle_1968-10-07_It_is_Very_Pleasant_to_Become_a--etc.mp3</t>
  </si>
  <si>
    <t>Lect_SEA_1968-10-07_It_is_Very_Pleasant_to_Become_a_etc.mp3</t>
  </si>
  <si>
    <t>https://audio.iskcondesiretree.com/01_-_Srila_Prabhupada/01_-_Lectures/01_-_English/02_-_Month_wise/10_-_October/07/Lect_SEA_1968-10-07_It_is_Very_Pleasant_to_Become_a_etc.mp3</t>
  </si>
  <si>
    <t>SP_Lecture_Seattle_1968-10-18_Transcendental_Television.mp3</t>
  </si>
  <si>
    <t>https://audio.iskcondesiretree.com/01_-_Srila_Prabhupada/01_-_Lectures/01_-_English/01_-_Topic_wise/Various/SP_Lecture_Seattle_1968-10-18_Transcendental_Television.mp3</t>
  </si>
  <si>
    <t>Lect_SEA_1968-10-18_Transcendental_Television.mp3</t>
  </si>
  <si>
    <t>https://audio.iskcondesiretree.com/01_-_Srila_Prabhupada/01_-_Lectures/01_-_English/02_-_Month_wise/10_-_October/18/Lect_SEA_1968-10-18_Transcendental_Television.mp3</t>
  </si>
  <si>
    <t>SP_Lecture_Seattle_1968-10-20_Initiation--Counteract_Age_of_Quarrel.mp3</t>
  </si>
  <si>
    <t>https://audio.iskcondesiretree.com/01_-_Srila_Prabhupada/01_-_Lectures/01_-_English/01_-_Topic_wise/Various/SP_Lecture_Seattle_1968-10-20_Initiation--Counteract_Age_of_Quarrel.mp3</t>
  </si>
  <si>
    <t>SP_Lecture_Seattle_1968-10-20_Initiation--On_the_Maha-Mantra.mp3</t>
  </si>
  <si>
    <t>https://audio.iskcondesiretree.com/01_-_Srila_Prabhupada/01_-_Lectures/01_-_English/01_-_Topic_wise/Various/SP_Lecture_Seattle_1968-10-20_Initiation--On_the_Maha-Mantra.mp3</t>
  </si>
  <si>
    <t>SP_Lecture_Seattle_1968-10-20_To_Students--From_Tiger_to_Rat.mp3</t>
  </si>
  <si>
    <t>https://audio.iskcondesiretree.com/01_-_Srila_Prabhupada/01_-_Lectures/01_-_English/01_-_Topic_wise/Various/SP_Lecture_Seattle_1968-10-20_To_Students--From_Tiger_to_Rat.mp3</t>
  </si>
  <si>
    <t>Lect_SEA_1968-10-20_Initiation-Counteract_Age_of_Quarrel.mp3</t>
  </si>
  <si>
    <t>https://audio.iskcondesiretree.com/01_-_Srila_Prabhupada/01_-_Lectures/01_-_English/02_-_Month_wise/10_-_October/20/Lect_SEA_1968-10-20_Initiation-Counteract_Age_of_Quarrel.mp3</t>
  </si>
  <si>
    <t>Lect_SEA_1968-10-20_Initiation-On_the_Maha-Mantra.mp3</t>
  </si>
  <si>
    <t>https://audio.iskcondesiretree.com/01_-_Srila_Prabhupada/01_-_Lectures/01_-_English/02_-_Month_wise/10_-_October/20/Lect_SEA_1968-10-20_Initiation-On_the_Maha-Mantra.mp3</t>
  </si>
  <si>
    <t>Lect_SEA_1968-10-20_To_Students-From_Tiger_to_Rat.mp3</t>
  </si>
  <si>
    <t>https://audio.iskcondesiretree.com/01_-_Srila_Prabhupada/01_-_Lectures/01_-_English/02_-_Month_wise/10_-_October/20/Lect_SEA_1968-10-20_To_Students-From_Tiger_to_Rat.mp3</t>
  </si>
  <si>
    <t>SP_Festivals_Seattle_1968-10-21_Disappearance_of_Keshava_Maharaja.mp3</t>
  </si>
  <si>
    <t>https://audio.iskcondesiretree.com/01_-_Srila_Prabhupada/01_-_Lectures/01_-_English/01_-_Topic_wise/Festivals/SP_Festivals_Seattle_1968-10-21_Disappearance_of_Keshava_Maharaja.mp3</t>
  </si>
  <si>
    <t>SP_SB_7-09-08_Germany_1968-10-21_Nobody_Can_Exist_Without_God.mp3</t>
  </si>
  <si>
    <t>https://audio.iskcondesiretree.com/01_-_Srila_Prabhupada/01_-_Lectures/01_-_English/01_-_Topic_wise/Srimad_Bhagavatam/Canto-07/SP_SB_7-09-08_Germany_1968-10-21_Nobody_Can_Exist_Without_God.mp3</t>
  </si>
  <si>
    <t>Fest_SEA_1968-10-21_Disappearance_of_Keshava_Maharaja.mp3</t>
  </si>
  <si>
    <t>https://audio.iskcondesiretree.com/01_-_Srila_Prabhupada/01_-_Lectures/01_-_English/02_-_Month_wise/10_-_October/21/Fest_SEA_1968-10-21_Disappearance_of_Keshava_Maharaja.mp3</t>
  </si>
  <si>
    <t>SB_7-09-08_SEA_1968-10-21_Nobody_Can_Exist_Without_God.mp3</t>
  </si>
  <si>
    <t>https://audio.iskcondesiretree.com/01_-_Srila_Prabhupada/01_-_Lectures/01_-_English/02_-_Month_wise/10_-_October/21/SB_7-09-08_SEA_1968-10-21_Nobody_Can_Exist_Without_God.mp3</t>
  </si>
  <si>
    <t>Canto-02</t>
  </si>
  <si>
    <t>SP_SB_2-01-02_Montreal_1968-10-23_Leer_and_Fear...or_Hear.mp3</t>
  </si>
  <si>
    <t>https://audio.iskcondesiretree.com/01_-_Srila_Prabhupada/01_-_Lectures/01_-_English/01_-_Topic_wise/Srimad_Bhagavatam/Canto-02/SP_SB_2-01-02_Montreal_1968-10-23_Leer_and_Fear...or_Hear.mp3</t>
  </si>
  <si>
    <t>SB_2-01-02_MON_1968-10-23_Leer_and_Fear_or_Hear.mp3</t>
  </si>
  <si>
    <t>https://audio.iskcondesiretree.com/01_-_Srila_Prabhupada/01_-_Lectures/01_-_English/02_-_Month_wise/10_-_October/23/SB_2-01-02_MON_1968-10-23_Leer_and_Fear_or_Hear.mp3</t>
  </si>
  <si>
    <t>SP_Lecture_Los_Angeles_1968-11-08_Brahma_Samhita_29--The_Spiritual--etc.mp3</t>
  </si>
  <si>
    <t>https://audio.iskcondesiretree.com/01_-_Srila_Prabhupada/01_-_Lectures/01_-_English/01_-_Topic_wise/Various/SP_Lecture_Los_Angeles_1968-11-08_Brahma_Samhita_29--The_Spiritual--etc.mp3</t>
  </si>
  <si>
    <t>Lect_LA_1968-11-08_Brahma_Samhita_29-The_Spiritual_etc.mp3</t>
  </si>
  <si>
    <t>https://audio.iskcondesiretree.com/01_-_Srila_Prabhupada/01_-_Lectures/01_-_English/02_-_Month_wise/11_-_November/08/Lect_LA_1968-11-08_Brahma_Samhita_29-The_Spiritual_etc.mp3</t>
  </si>
  <si>
    <t>SP_Lecture_Los_Angeles_1968-11-13_I_Have_Passed_My_Life_Uselessly.mp3</t>
  </si>
  <si>
    <t>https://audio.iskcondesiretree.com/01_-_Srila_Prabhupada/01_-_Lectures/01_-_English/01_-_Topic_wise/Various/SP_Lecture_Los_Angeles_1968-11-13_I_Have_Passed_My_Life_Uselessly.mp3</t>
  </si>
  <si>
    <t>Lect_LA_1968-11-13_I_Have_Passed_My_Life_Uselessly.mp3</t>
  </si>
  <si>
    <t>https://audio.iskcondesiretree.com/01_-_Srila_Prabhupada/01_-_Lectures/01_-_English/02_-_Month_wise/11_-_November/13/Lect_LA_1968-11-13_I_Have_Passed_My_Life_Uselessly.mp3</t>
  </si>
  <si>
    <t>SP_Lecture_Los_Angeles_1968-11-15_Dipping_Into_Ocean_of_Love_of_Krishna.mp3</t>
  </si>
  <si>
    <t>https://audio.iskcondesiretree.com/01_-_Srila_Prabhupada/01_-_Lectures/01_-_English/01_-_Topic_wise/Various/SP_Lecture_Los_Angeles_1968-11-15_Dipping_Into_Ocean_of_Love_of_Krishna.mp3</t>
  </si>
  <si>
    <t>Lect_LA_1968-11-15_Dipping_Into_Ocean_of_Love_of_Krishna.mp3</t>
  </si>
  <si>
    <t>https://audio.iskcondesiretree.com/01_-_Srila_Prabhupada/01_-_Lectures/01_-_English/02_-_Month_wise/11_-_November/15/Lect_LA_1968-11-15_Dipping_Into_Ocean_of_Love_of_Krishna.mp3</t>
  </si>
  <si>
    <t>SP_Festivals_Los_Angeles_1968-11-18_Bhajan%2C_Lect%2C_Kirtan_on_Six_Goswamis.mp3</t>
  </si>
  <si>
    <t>https://audio.iskcondesiretree.com/01_-_Srila_Prabhupada/01_-_Lectures/01_-_English/01_-_Topic_wise/Festivals/SP_Festivals_Los_Angeles_1968-11-18_Bhajan%2C_Lect%2C_Kirtan_on_Six_Goswamis.mp3</t>
  </si>
  <si>
    <t>SP_Lecture_Los_Angeles_1968-11-18_Getting_Outside_of_the_Material_Boundaries.mp3</t>
  </si>
  <si>
    <t>https://audio.iskcondesiretree.com/01_-_Srila_Prabhupada/01_-_Lectures/01_-_English/01_-_Topic_wise/Various/SP_Lecture_Los_Angeles_1968-11-18_Getting_Outside_of_the_Material_Boundaries.mp3</t>
  </si>
  <si>
    <t>Fest_LA_1968-11-18_Bhajan%2C_Lect%2C_Kirtan_on_Six_Goswamis.mp3</t>
  </si>
  <si>
    <t>https://audio.iskcondesiretree.com/01_-_Srila_Prabhupada/01_-_Lectures/01_-_English/02_-_Month_wise/11_-_November/18/Fest_LA_1968-11-18_Bhajan%2C_Lect%2C_Kirtan_on_Six_Goswamis.mp3</t>
  </si>
  <si>
    <t>Lect_LA_1968-11-18_Getting_Outside_of_the_Material_Boundaries.mp3</t>
  </si>
  <si>
    <t>https://audio.iskcondesiretree.com/01_-_Srila_Prabhupada/01_-_Lectures/01_-_English/02_-_Month_wise/11_-_November/18/Lect_LA_1968-11-18_Getting_Outside_of_the_Material_Boundaries.mp3</t>
  </si>
  <si>
    <t>SP_BG_02-01-10_Los_Angeles_1968-11-25_The_Missing_Self-Understanding.mp3</t>
  </si>
  <si>
    <t>https://audio.iskcondesiretree.com/01_-_Srila_Prabhupada/01_-_Lectures/01_-_English/01_-_Topic_wise/Bhagavad_Gita/Chapter-02/SP_BG_02-01-10_Los_Angeles_1968-11-25_The_Missing_Self-Understanding.mp3</t>
  </si>
  <si>
    <t>Bg_02-01_LA_1968-11-25_The_Missing_Self-Understanding.mp3</t>
  </si>
  <si>
    <t>https://audio.iskcondesiretree.com/01_-_Srila_Prabhupada/01_-_Lectures/01_-_English/02_-_Month_wise/11_-_November/25/Bg_02-01_LA_1968-11-25_The_Missing_Self-Understanding.mp3</t>
  </si>
  <si>
    <t>SP_BG_02-08-12_Los_Angeles_1968-11-27_Revive_Our_Relationship_with_Krishna.mp3</t>
  </si>
  <si>
    <t>https://audio.iskcondesiretree.com/01_-_Srila_Prabhupada/01_-_Lectures/01_-_English/01_-_Topic_wise/Bhagavad_Gita/Chapter-02/SP_BG_02-08-12_Los_Angeles_1968-11-27_Revive_Our_Relationship_with_Krishna.mp3</t>
  </si>
  <si>
    <t>Bg_02-08_LA_1968-11-27_Revive_Our_Relationship_with_Krishna.mp3</t>
  </si>
  <si>
    <t>https://audio.iskcondesiretree.com/01_-_Srila_Prabhupada/01_-_Lectures/01_-_English/02_-_Month_wise/11_-_November/27/Bg_02-08_LA_1968-11-27_Revive_Our_Relationship_with_Krishna.mp3</t>
  </si>
  <si>
    <t>SP_BG_02-13-17_Los_Angeles_1968-11-29_Staying_Undisturbed_in_Distress.mp3</t>
  </si>
  <si>
    <t>https://audio.iskcondesiretree.com/01_-_Srila_Prabhupada/01_-_Lectures/01_-_English/01_-_Topic_wise/Bhagavad_Gita/Chapter-02/SP_BG_02-13-17_Los_Angeles_1968-11-29_Staying_Undisturbed_in_Distress.mp3</t>
  </si>
  <si>
    <t>Bg_02-13_LA_1968-11-29_Staying_Undisturbed_in_Distress.mp3</t>
  </si>
  <si>
    <t>https://audio.iskcondesiretree.com/01_-_Srila_Prabhupada/01_-_Lectures/01_-_English/02_-_Month_wise/11_-_November/29/Bg_02-13_LA_1968-11-29_Staying_Undisturbed_in_Distress.mp3</t>
  </si>
  <si>
    <t>SP_Lecture_Los_Angeles_1968-12-01_Initiation--The_Path_of_Purification.mp3</t>
  </si>
  <si>
    <t>https://audio.iskcondesiretree.com/01_-_Srila_Prabhupada/01_-_Lectures/01_-_English/01_-_Topic_wise/Various/SP_Lecture_Los_Angeles_1968-12-01_Initiation--The_Path_of_Purification.mp3</t>
  </si>
  <si>
    <t>Lect_LA_1968-12-01_Initiation-The_Path_of_Purification.mp3</t>
  </si>
  <si>
    <t>https://audio.iskcondesiretree.com/01_-_Srila_Prabhupada/01_-_Lectures/01_-_English/02_-_Month_wise/12_-_December/01/Lect_LA_1968-12-01_Initiation-The_Path_of_Purification.mp3</t>
  </si>
  <si>
    <t>SP_BG_07-01_Los_Angeles_1968-12-02_Pros_and_Cons_of_the_Material_World.mp3</t>
  </si>
  <si>
    <t>https://audio.iskcondesiretree.com/01_-_Srila_Prabhupada/01_-_Lectures/01_-_English/01_-_Topic_wise/Bhagavad_Gita/Chapter-07/SP_BG_07-01_Los_Angeles_1968-12-02_Pros_and_Cons_of_the_Material_World.mp3</t>
  </si>
  <si>
    <t>SP_SB_2-02-05_Los_Angeles_1968-12-02_Serving_Krishna_Not_Ordinary_Thing.mp3</t>
  </si>
  <si>
    <t>https://audio.iskcondesiretree.com/01_-_Srila_Prabhupada/01_-_Lectures/01_-_English/01_-_Topic_wise/Srimad_Bhagavatam/Canto-02/SP_SB_2-02-05_Los_Angeles_1968-12-02_Serving_Krishna_Not_Ordinary_Thing.mp3</t>
  </si>
  <si>
    <t>Bg_07-01_LA_1968-12-02_Pros_and_Cons_of_the_Material_World.mp3</t>
  </si>
  <si>
    <t>https://audio.iskcondesiretree.com/01_-_Srila_Prabhupada/01_-_Lectures/01_-_English/02_-_Month_wise/12_-_December/02/Bg_07-01_LA_1968-12-02_Pros_and_Cons_of_the_Material_World.mp3</t>
  </si>
  <si>
    <t>SB_2-02-05_LA_1968-12-02_Serving_Krishna_Not_Ordinary_Thing.mp3</t>
  </si>
  <si>
    <t>https://audio.iskcondesiretree.com/01_-_Srila_Prabhupada/01_-_Lectures/01_-_English/02_-_Month_wise/12_-_December/02/SB_2-02-05_LA_1968-12-02_Serving_Krishna_Not_Ordinary_Thing.mp3</t>
  </si>
  <si>
    <t>SP_BG_02-26_Los_Angeles_1968-12-06_Evolution_and_Other_Rubbish.mp3</t>
  </si>
  <si>
    <t>https://audio.iskcondesiretree.com/01_-_Srila_Prabhupada/01_-_Lectures/01_-_English/01_-_Topic_wise/Bhagavad_Gita/Chapter-02/SP_BG_02-26_Los_Angeles_1968-12-06_Evolution_and_Other_Rubbish.mp3</t>
  </si>
  <si>
    <t>Bg_02-26_LA_1968-12-06_Evolution_and_Other_Rubbish.mp3</t>
  </si>
  <si>
    <t>https://audio.iskcondesiretree.com/01_-_Srila_Prabhupada/01_-_Lectures/01_-_English/02_-_Month_wise/12_-_December/06/Bg_02-26_LA_1968-12-06_Evolution_and_Other_Rubbish.mp3</t>
  </si>
  <si>
    <t>SP_Festivals_Los_Angeles_1968-12-09_Disappearance--Bhaktisiddhanta_Sarasvati.mp3</t>
  </si>
  <si>
    <t>https://audio.iskcondesiretree.com/01_-_Srila_Prabhupada/01_-_Lectures/01_-_English/01_-_Topic_wise/Festivals/SP_Festivals_Los_Angeles_1968-12-09_Disappearance--Bhaktisiddhanta_Sarasvati.mp3</t>
  </si>
  <si>
    <t>Fest_LA_1968-12-09_Disappearance_Bhaktisiddhanta_Sarasvati.mp3</t>
  </si>
  <si>
    <t>https://audio.iskcondesiretree.com/01_-_Srila_Prabhupada/01_-_Lectures/01_-_English/02_-_Month_wise/12_-_December/09/Fest_LA_1968-12-09_Disappearance_Bhaktisiddhanta_Sarasvati.mp3</t>
  </si>
  <si>
    <t>SP_BG_02-28-38_Los_Angeles_1968-12-11_Some_Look_On_the_Soul_As_Amazing.mp3</t>
  </si>
  <si>
    <t>https://audio.iskcondesiretree.com/01_-_Srila_Prabhupada/01_-_Lectures/01_-_English/01_-_Topic_wise/Bhagavad_Gita/Chapter-02/SP_BG_02-28-38_Los_Angeles_1968-12-11_Some_Look_On_the_Soul_As_Amazing.mp3</t>
  </si>
  <si>
    <t>Bg_02-28_LA_1968-12-11_Some_Look_On_the_Soul_As_Amazing.mp3</t>
  </si>
  <si>
    <t>https://audio.iskcondesiretree.com/01_-_Srila_Prabhupada/01_-_Lectures/01_-_English/02_-_Month_wise/12_-_December/11/Bg_02-28_LA_1968-12-11_Some_Look_On_the_Soul_As_Amazing.mp3</t>
  </si>
  <si>
    <t>SP_BG_02-40-45_Los_Angeles_1968-12-13_Material_vs._Spiritual_Culture.mp3</t>
  </si>
  <si>
    <t>https://audio.iskcondesiretree.com/01_-_Srila_Prabhupada/01_-_Lectures/01_-_English/01_-_Topic_wise/Bhagavad_Gita/Chapter-02/SP_BG_02-40-45_Los_Angeles_1968-12-13_Material_vs._Spiritual_Culture.mp3</t>
  </si>
  <si>
    <t>SP_BG_02-40_Los_Angeles_1968-12-13_Material_vs._Spiritual_Culture.mp3</t>
  </si>
  <si>
    <t>https://audio.iskcondesiretree.com/01_-_Srila_Prabhupada/01_-_Lectures/01_-_English/01_-_Topic_wise/Bhagavad_Gita/Chapter-02/SP_BG_02-40_Los_Angeles_1968-12-13_Material_vs._Spiritual_Culture.mp3</t>
  </si>
  <si>
    <t>Bg_02-40_LA_1968-12-13_Material_vs_Spiritual_Culture.mp3</t>
  </si>
  <si>
    <t>https://audio.iskcondesiretree.com/01_-_Srila_Prabhupada/01_-_Lectures/01_-_English/02_-_Month_wise/12_-_December/13/Bg_02-40_LA_1968-12-13_Material_vs_Spiritual_Culture.mp3</t>
  </si>
  <si>
    <t>SP_BG_02-19-25_Los_Angeles_1968-12-14_Learning_the_Science_of_the_Soul.mp3</t>
  </si>
  <si>
    <t>https://audio.iskcondesiretree.com/01_-_Srila_Prabhupada/01_-_Lectures/01_-_English/01_-_Topic_wise/Bhagavad_Gita/Chapter-02/SP_BG_02-19-25_Los_Angeles_1968-12-14_Learning_the_Science_of_the_Soul.mp3</t>
  </si>
  <si>
    <t>Bg_02-19_LA_1968-12-14_Learning_the_Science_of_the_Soul.mp3</t>
  </si>
  <si>
    <t>https://audio.iskcondesiretree.com/01_-_Srila_Prabhupada/01_-_Lectures/01_-_English/02_-_Month_wise/12_-_December/14/Bg_02-19_LA_1968-12-14_Learning_the_Science_of_the_Soul.mp3</t>
  </si>
  <si>
    <t>SP_BG_02-46-62_Los_Angeles_1968-12-16_The_Miser_and_the_Mahatma.mp3</t>
  </si>
  <si>
    <t>https://audio.iskcondesiretree.com/01_-_Srila_Prabhupada/01_-_Lectures/01_-_English/01_-_Topic_wise/Bhagavad_Gita/Chapter-02/SP_BG_02-46-62_Los_Angeles_1968-12-16_The_Miser_and_the_Mahatma.mp3</t>
  </si>
  <si>
    <t>Bg_02-46_LA_1968-12-16_The_Miser_and_the_Mahatma.mp3</t>
  </si>
  <si>
    <t>https://audio.iskcondesiretree.com/01_-_Srila_Prabhupada/01_-_Lectures/01_-_English/02_-_Month_wise/12_-_December/16/Bg_02-46_LA_1968-12-16_The_Miser_and_the_Mahatma.mp3</t>
  </si>
  <si>
    <t>SP_BG_02-62-72_Los_Angeles_1968-12-19_Secret_of_Controlling_the_Senses.mp3</t>
  </si>
  <si>
    <t>https://audio.iskcondesiretree.com/01_-_Srila_Prabhupada/01_-_Lectures/01_-_English/01_-_Topic_wise/Bhagavad_Gita/Chapter-02/SP_BG_02-62-72_Los_Angeles_1968-12-19_Secret_of_Controlling_the_Senses.mp3</t>
  </si>
  <si>
    <t>SP_Lecture_Los_Angeles_1968-12-19_Initiation--Avoiding_the_Ten_Offenses.mp3</t>
  </si>
  <si>
    <t>https://audio.iskcondesiretree.com/01_-_Srila_Prabhupada/01_-_Lectures/01_-_English/01_-_Topic_wise/Various/SP_Lecture_Los_Angeles_1968-12-19_Initiation--Avoiding_the_Ten_Offenses.mp3</t>
  </si>
  <si>
    <t>Bg_02-62_LA_1968-12-19_Secret_of_Controlling_the_Senses.mp3</t>
  </si>
  <si>
    <t>https://audio.iskcondesiretree.com/01_-_Srila_Prabhupada/01_-_Lectures/01_-_English/02_-_Month_wise/12_-_December/19/Bg_02-62_LA_1968-12-19_Secret_of_Controlling_the_Senses.mp3</t>
  </si>
  <si>
    <t>Lect_LA_1968-12-19_Initiation-Avoiding_the_Ten_Offenses.mp3</t>
  </si>
  <si>
    <t>https://audio.iskcondesiretree.com/01_-_Srila_Prabhupada/01_-_Lectures/01_-_English/02_-_Month_wise/12_-_December/19/Lect_LA_1968-12-19_Initiation-Avoiding_the_Ten_Offenses.mp3</t>
  </si>
  <si>
    <t>SP_BG_03-01-05_Los_Angeles_1968-12-20_Philosophy_%26_Religion_Combined.mp3</t>
  </si>
  <si>
    <t>https://audio.iskcondesiretree.com/01_-_Srila_Prabhupada/01_-_Lectures/01_-_English/01_-_Topic_wise/Bhagavad_Gita/Chapter-03/SP_BG_03-01-05_Los_Angeles_1968-12-20_Philosophy_%26_Religion_Combined.mp3</t>
  </si>
  <si>
    <t>Bg_03-01_LA_1968-12-20_Philosophy_%26_Religion_Combined.mp3</t>
  </si>
  <si>
    <t>https://audio.iskcondesiretree.com/01_-_Srila_Prabhupada/01_-_Lectures/01_-_English/02_-_Month_wise/12_-_December/20/Bg_03-01_LA_1968-12-20_Philosophy_%26_Religion_Combined.mp3</t>
  </si>
  <si>
    <t>SP_Interview_Los_Angeles_1968-12-22_Press--Manifesto_of_Krsna_Consciousness.mp3</t>
  </si>
  <si>
    <t>https://audio.iskcondesiretree.com/01_-_Srila_Prabhupada/01_-_Lectures/01_-_English/01_-_Topic_wise/Interview/SP_Interview_Los_Angeles_1968-12-22_Press--Manifesto_of_Krsna_Consciousness.mp3</t>
  </si>
  <si>
    <t>Interv_LA_1968-12-22_Press--Manifesto_of_Krsna_Consciousness.mp3</t>
  </si>
  <si>
    <t>https://audio.iskcondesiretree.com/01_-_Srila_Prabhupada/01_-_Lectures/01_-_English/02_-_Month_wise/12_-_December/22/Interv_LA_1968-12-22_Press--Manifesto_of_Krsna_Consciousness.mp3</t>
  </si>
  <si>
    <t>SP_BG_03-06-10_Los_Angeles_1968-12-23_From_Pretension_to_Purity.mp3</t>
  </si>
  <si>
    <t>https://audio.iskcondesiretree.com/01_-_Srila_Prabhupada/01_-_Lectures/01_-_English/01_-_Topic_wise/Bhagavad_Gita/Chapter-03/SP_BG_03-06-10_Los_Angeles_1968-12-23_From_Pretension_to_Purity.mp3</t>
  </si>
  <si>
    <t>SP_Lecture_Los_Angeles_1968-12-23_Message_to_London_Temple.mp3</t>
  </si>
  <si>
    <t>https://audio.iskcondesiretree.com/01_-_Srila_Prabhupada/01_-_Lectures/01_-_English/01_-_Topic_wise/Various/SP_Lecture_Los_Angeles_1968-12-23_Message_to_London_Temple.mp3</t>
  </si>
  <si>
    <t>Bg_03-06_LA_1968-12-23_From_Pretension_to_Purity.mp3</t>
  </si>
  <si>
    <t>https://audio.iskcondesiretree.com/01_-_Srila_Prabhupada/01_-_Lectures/01_-_English/02_-_Month_wise/12_-_December/23/Bg_03-06_LA_1968-12-23_From_Pretension_to_Purity.mp3</t>
  </si>
  <si>
    <t>Lect_LA_1968-12-23_Message_to_London_Temple.mp3</t>
  </si>
  <si>
    <t>https://audio.iskcondesiretree.com/01_-_Srila_Prabhupada/01_-_Lectures/01_-_English/02_-_Month_wise/12_-_December/23/Lect_LA_1968-12-23_Message_to_London_Temple.mp3</t>
  </si>
  <si>
    <t>SP_Interview_Los_Angeles_1968-12-26_Press-LA_Times--Lunacy_of_Moon_Mission.mp3</t>
  </si>
  <si>
    <t>https://audio.iskcondesiretree.com/01_-_Srila_Prabhupada/01_-_Lectures/01_-_English/01_-_Topic_wise/Interview/SP_Interview_Los_Angeles_1968-12-26_Press-LA_Times--Lunacy_of_Moon_Mission.mp3</t>
  </si>
  <si>
    <t>Interv_LA_1968-12-26_Press-LA_Times-Lunacy_of_Moon_Mission.mp3</t>
  </si>
  <si>
    <t>https://audio.iskcondesiretree.com/01_-_Srila_Prabhupada/01_-_Lectures/01_-_English/02_-_Month_wise/12_-_December/26/Interv_LA_1968-12-26_Press-LA_Times-Lunacy_of_Moon_Mission.mp3</t>
  </si>
  <si>
    <t>SP_BG_03-11-19_Los_Angeles_1968-12-27_There_Is_No_Overpopulation.mp3</t>
  </si>
  <si>
    <t>https://audio.iskcondesiretree.com/01_-_Srila_Prabhupada/01_-_Lectures/01_-_English/01_-_Topic_wise/Bhagavad_Gita/Chapter-03/SP_BG_03-11-19_Los_Angeles_1968-12-27_There_Is_No_Overpopulation.mp3</t>
  </si>
  <si>
    <t>Bg_03-11_LA_1968-12-27_There_Is_No_Overpopulation.mp3</t>
  </si>
  <si>
    <t>https://audio.iskcondesiretree.com/01_-_Srila_Prabhupada/01_-_Lectures/01_-_English/02_-_Month_wise/12_-_December/27/Bg_03-11_LA_1968-12-27_There_Is_No_Overpopulation.mp3</t>
  </si>
  <si>
    <t>SP_BG_03-18-30_Los_Angeles_1968-12-30_How_a_Self_Realized_Soul_Acts.mp3</t>
  </si>
  <si>
    <t>https://audio.iskcondesiretree.com/01_-_Srila_Prabhupada/01_-_Lectures/01_-_English/01_-_Topic_wise/Bhagavad_Gita/Chapter-03/SP_BG_03-18-30_Los_Angeles_1968-12-30_How_a_Self_Realized_Soul_Acts.mp3</t>
  </si>
  <si>
    <t>SP_Interview_Los_Angeles_1968-12-30_Press-New_Cosmic_Star--Progress--etc.mp3</t>
  </si>
  <si>
    <t>https://audio.iskcondesiretree.com/01_-_Srila_Prabhupada/01_-_Lectures/01_-_English/01_-_Topic_wise/Interview/SP_Interview_Los_Angeles_1968-12-30_Press-New_Cosmic_Star--Progress--etc.mp3</t>
  </si>
  <si>
    <t>Bg_03-18_LA_1968-12-30_How_a_Self_Realized_Soul_Acts.mp3</t>
  </si>
  <si>
    <t>https://audio.iskcondesiretree.com/01_-_Srila_Prabhupada/01_-_Lectures/01_-_English/02_-_Month_wise/12_-_December/30/Bg_03-18_LA_1968-12-30_How_a_Self_Realized_Soul_Acts.mp3</t>
  </si>
  <si>
    <t>Interv_LA_1968-12-30_Press-New_Cosmic_Star_Progress_etc.mp3</t>
  </si>
  <si>
    <t>https://audio.iskcondesiretree.com/01_-_Srila_Prabhupada/01_-_Lectures/01_-_English/02_-_Month_wise/12_-_December/30/Interv_LA_1968-12-30_Press-New_Cosmic_Star_Progress_etc.mp3</t>
  </si>
  <si>
    <t>SP_BG_03-29-43_Los_Angeles_1969-01-01_Servant_of_God_or_Dog.mp3</t>
  </si>
  <si>
    <t>https://audio.iskcondesiretree.com/01_-_Srila_Prabhupada/01_-_Lectures/01_-_English/01_-_Topic_wise/Bhagavad_Gita/Chapter-03/SP_BG_03-29-43_Los_Angeles_1969-01-01_Servant_of_God_or_Dog.mp3</t>
  </si>
  <si>
    <t>BG_03-31_LA_1969-01-01_Servant_of_God_or_Dog.mp3</t>
  </si>
  <si>
    <t>https://audio.iskcondesiretree.com/01_-_Srila_Prabhupada/01_-_Lectures/01_-_English/02_-_Month_wise/01_-_January/01/BG_03-31_LA_1969-01-01_Servant_of_God_or_Dog.mp3</t>
  </si>
  <si>
    <t>SP_BG_04-01-06_Los_Angeles_1969-01-03_The_Most_Important_Knowledge.mp3</t>
  </si>
  <si>
    <t>https://audio.iskcondesiretree.com/01_-_Srila_Prabhupada/01_-_Lectures/01_-_English/01_-_Topic_wise/Bhagavad_Gita/Chapter-04/SP_BG_04-01-06_Los_Angeles_1969-01-03_The_Most_Important_Knowledge.mp3</t>
  </si>
  <si>
    <t>Bg_04-01_LA_1969-01-03_The_Most_Important_Knowledge.mp3</t>
  </si>
  <si>
    <t>https://audio.iskcondesiretree.com/01_-_Srila_Prabhupada/01_-_Lectures/01_-_English/02_-_Month_wise/01_-_January/03/Bg_04-01_LA_1969-01-03_The_Most_Important_Knowledge.mp3</t>
  </si>
  <si>
    <t>SP_Lecture_Los_Angeles_1969-01-05_Purport_to_a_Song_by_Narottama_dasa_Thakura.mp3</t>
  </si>
  <si>
    <t>https://audio.iskcondesiretree.com/01_-_Srila_Prabhupada/01_-_Lectures/01_-_English/01_-_Topic_wise/Various/SP_Lecture_Los_Angeles_1969-01-05_Purport_to_a_Song_by_Narottama_dasa_Thakura.mp3</t>
  </si>
  <si>
    <t>Lect_LA_1969-01-05_Purport_to_a_Song_by_Narottama_dasa_Thakura.mp3</t>
  </si>
  <si>
    <t>https://audio.iskcondesiretree.com/01_-_Srila_Prabhupada/01_-_Lectures/01_-_English/02_-_Month_wise/01_-_January/05/Lect_LA_1969-01-05_Purport_to_a_Song_by_Narottama_dasa_Thakura.mp3</t>
  </si>
  <si>
    <t>SP_BG_04-06-10_Los_Angeles_1969-01-06_The_Krishna_Consciousness--etc.mp3</t>
  </si>
  <si>
    <t>https://audio.iskcondesiretree.com/01_-_Srila_Prabhupada/01_-_Lectures/01_-_English/01_-_Topic_wise/Bhagavad_Gita/Chapter-04/SP_BG_04-06-10_Los_Angeles_1969-01-06_The_Krishna_Consciousness--etc.mp3</t>
  </si>
  <si>
    <t>Bg_04-07_LA_1969-01-06_The_Krishna_Consciousness_etc.mp3</t>
  </si>
  <si>
    <t>https://audio.iskcondesiretree.com/01_-_Srila_Prabhupada/01_-_Lectures/01_-_English/02_-_Month_wise/01_-_January/06/Bg_04-07_LA_1969-01-06_The_Krishna_Consciousness_etc.mp3</t>
  </si>
  <si>
    <t>SP_Lecture_New_York_1969-01-07_Purport_to_a_Song_by_Govinda_Dasa.mp3</t>
  </si>
  <si>
    <t>https://audio.iskcondesiretree.com/01_-_Srila_Prabhupada/01_-_Lectures/01_-_English/01_-_Topic_wise/Various/SP_Lecture_New_York_1969-01-07_Purport_to_a_Song_by_Govinda_Dasa.mp3</t>
  </si>
  <si>
    <t>Lect_NY_1969-01-07_Purport_to_a_Song_by_Govinda_Dasa.mp3</t>
  </si>
  <si>
    <t>https://audio.iskcondesiretree.com/01_-_Srila_Prabhupada/01_-_Lectures/01_-_English/02_-_Month_wise/01_-_January/07/Lect_NY_1969-01-07_Purport_to_a_Song_by_Govinda_Dasa.mp3</t>
  </si>
  <si>
    <t>SP_BG_04-11-18_Los_Angeles_1969-01-08_Krishna_Belongs_to_Everyone.mp3</t>
  </si>
  <si>
    <t>https://audio.iskcondesiretree.com/01_-_Srila_Prabhupada/01_-_Lectures/01_-_English/01_-_Topic_wise/Bhagavad_Gita/Chapter-04/SP_BG_04-11-18_Los_Angeles_1969-01-08_Krishna_Belongs_to_Everyone.mp3</t>
  </si>
  <si>
    <t>Bg_04-11_LA_1969-01-08_Krishna_Belongs_to_Everyone.mp3</t>
  </si>
  <si>
    <t>https://audio.iskcondesiretree.com/01_-_Srila_Prabhupada/01_-_Lectures/01_-_English/02_-_Month_wise/01_-_January/08/Bg_04-11_LA_1969-01-08_Krishna_Belongs_to_Everyone.mp3</t>
  </si>
  <si>
    <t>SP_BG_04-19-25_Los_Angeles_1969-01-10_Curing_the_Material_Disease.mp3</t>
  </si>
  <si>
    <t>https://audio.iskcondesiretree.com/01_-_Srila_Prabhupada/01_-_Lectures/01_-_English/01_-_Topic_wise/Bhagavad_Gita/Chapter-04/SP_BG_04-19-25_Los_Angeles_1969-01-10_Curing_the_Material_Disease.mp3</t>
  </si>
  <si>
    <t>Bg_04-19_LA_1969-01-10_Curing_the_Material_Disease.mp3</t>
  </si>
  <si>
    <t>https://audio.iskcondesiretree.com/01_-_Srila_Prabhupada/01_-_Lectures/01_-_English/02_-_Month_wise/01_-_January/10/Bg_04-19_LA_1969-01-10_Curing_the_Material_Disease.mp3</t>
  </si>
  <si>
    <t>SP_Festivals_Los_Angeles_1969-01-31_Nityananda_Appearance--Song_%26_Purport.mp3</t>
  </si>
  <si>
    <t>https://audio.iskcondesiretree.com/01_-_Srila_Prabhupada/01_-_Lectures/01_-_English/01_-_Topic_wise/Festivals/SP_Festivals_Los_Angeles_1969-01-31_Nityananda_Appearance--Song_%26_Purport.mp3</t>
  </si>
  <si>
    <t>Fest_LA_1969-01-31_Nityananda_Appearance--Song_%26_Purport.mp3</t>
  </si>
  <si>
    <t>https://audio.iskcondesiretree.com/01_-_Srila_Prabhupada/01_-_Lectures/01_-_English/02_-_Month_wise/01_-_January/31/Fest_LA_1969-01-31_Nityananda_Appearance--Song_%26_Purport.mp3</t>
  </si>
  <si>
    <t>SP_Festivals_Los_Angeles_1969-02-07_Bhaktisiddhanta_Appearance.mp3</t>
  </si>
  <si>
    <t>https://audio.iskcondesiretree.com/01_-_Srila_Prabhupada/01_-_Lectures/01_-_English/01_-_Topic_wise/Festivals/SP_Festivals_Los_Angeles_1969-02-07_Bhaktisiddhanta_Appearance.mp3</t>
  </si>
  <si>
    <t>Fest_LA_1969-02-07_Bhaktisiddhanta_Appearance.mp3</t>
  </si>
  <si>
    <t>https://audio.iskcondesiretree.com/01_-_Srila_Prabhupada/01_-_Lectures/01_-_English/02_-_Month_wise/02_-_Feburary/07/Fest_LA_1969-02-07_Bhaktisiddhanta_Appearance.mp3</t>
  </si>
  <si>
    <t>SP_Lecture_Los_Angeles_1969-02-09_Guaranteed_Relief.mp3</t>
  </si>
  <si>
    <t>https://audio.iskcondesiretree.com/01_-_Srila_Prabhupada/01_-_Lectures/01_-_English/01_-_Topic_wise/Various/SP_Lecture_Los_Angeles_1969-02-09_Guaranteed_Relief.mp3</t>
  </si>
  <si>
    <t>Lect_LA_1969-02-09_Guaranteed_Relief.mp3</t>
  </si>
  <si>
    <t>https://audio.iskcondesiretree.com/01_-_Srila_Prabhupada/01_-_Lectures/01_-_English/02_-_Month_wise/02_-_Feburary/09/Lect_LA_1969-02-09_Guaranteed_Relief.mp3</t>
  </si>
  <si>
    <t>SP_Lecture_Los_Angeles_1969-02-10_Our_Natural_Nectarean_Life.mp3</t>
  </si>
  <si>
    <t>https://audio.iskcondesiretree.com/01_-_Srila_Prabhupada/01_-_Lectures/01_-_English/01_-_Topic_wise/Various/SP_Lecture_Los_Angeles_1969-02-10_Our_Natural_Nectarean_Life.mp3</t>
  </si>
  <si>
    <t>Lect_LA_1969-02-10_Our_Natural_Nectarean_Life.mp3</t>
  </si>
  <si>
    <t>https://audio.iskcondesiretree.com/01_-_Srila_Prabhupada/01_-_Lectures/01_-_English/02_-_Month_wise/02_-_Feburary/10/Lect_LA_1969-02-10_Our_Natural_Nectarean_Life.mp3</t>
  </si>
  <si>
    <t>SP_BG_06-01_Los_Angeles_1969-02-13_Yoga_System--Everything_Is_Spiritual.mp3</t>
  </si>
  <si>
    <t>https://audio.iskcondesiretree.com/01_-_Srila_Prabhupada/01_-_Lectures/01_-_English/01_-_Topic_wise/Bhagavad_Gita/Chapter-06/SP_BG_06-01_Los_Angeles_1969-02-13_Yoga_System--Everything_Is_Spiritual.mp3</t>
  </si>
  <si>
    <t>Bg_06-01_LA_1969-02-13_Yoga_System--Everything_Is_Spiritual.mp3</t>
  </si>
  <si>
    <t>https://audio.iskcondesiretree.com/01_-_Srila_Prabhupada/01_-_Lectures/01_-_English/02_-_Month_wise/02_-_Feburary/13/Bg_06-01_LA_1969-02-13_Yoga_System--Everything_Is_Spiritual.mp3</t>
  </si>
  <si>
    <t>SP_BG_06-02-05_Los_Angeles_1969-02-14_Yoga_System--The_Yoga_Ladder.mp3</t>
  </si>
  <si>
    <t>https://audio.iskcondesiretree.com/01_-_Srila_Prabhupada/01_-_Lectures/01_-_English/01_-_Topic_wise/Bhagavad_Gita/Chapter-06/SP_BG_06-02-05_Los_Angeles_1969-02-14_Yoga_System--The_Yoga_Ladder.mp3</t>
  </si>
  <si>
    <t>Bg_06-02_LA_1969-02-14_Yoga_System--The_Yoga_Ladder.mp3</t>
  </si>
  <si>
    <t>https://audio.iskcondesiretree.com/01_-_Srila_Prabhupada/01_-_Lectures/01_-_English/02_-_Month_wise/02_-_Feburary/14/Bg_06-02_LA_1969-02-14_Yoga_System--The_Yoga_Ladder.mp3</t>
  </si>
  <si>
    <t>SP_BG_06-06_Los_Angeles_1969-02-15_Yoga_System--Conquering_the_Mind.mp3</t>
  </si>
  <si>
    <t>https://audio.iskcondesiretree.com/01_-_Srila_Prabhupada/01_-_Lectures/01_-_English/01_-_Topic_wise/Bhagavad_Gita/Chapter-06/SP_BG_06-06_Los_Angeles_1969-02-15_Yoga_System--Conquering_the_Mind.mp3</t>
  </si>
  <si>
    <t>Bg_06-06_LA_1969-02-15_Yoga_System--Conquering_the_Mind.mp3</t>
  </si>
  <si>
    <t>https://audio.iskcondesiretree.com/01_-_Srila_Prabhupada/01_-_Lectures/01_-_English/02_-_Month_wise/02_-_Feburary/15/Bg_06-06_LA_1969-02-15_Yoga_System--Conquering_the_Mind.mp3</t>
  </si>
  <si>
    <t>SP_BG_06-13-15_Los_Angeles_1969-02-16_Yoga_System--We_Want_Something--etc.mp3</t>
  </si>
  <si>
    <t>https://audio.iskcondesiretree.com/01_-_Srila_Prabhupada/01_-_Lectures/01_-_English/01_-_Topic_wise/Bhagavad_Gita/Chapter-06/SP_BG_06-13-15_Los_Angeles_1969-02-16_Yoga_System--We_Want_Something--etc.mp3</t>
  </si>
  <si>
    <t>Bg_06-13_LA_1969-02-16_Yoga_System--We_Want_Something_etc.mp3</t>
  </si>
  <si>
    <t>https://audio.iskcondesiretree.com/01_-_Srila_Prabhupada/01_-_Lectures/01_-_English/02_-_Month_wise/02_-_Feburary/16/Bg_06-13_LA_1969-02-16_Yoga_System--We_Want_Something_etc.mp3</t>
  </si>
  <si>
    <t>SP_BG_06-16-24_Los_Angeles_1969-02-17_Yoga_System--Keep_This_Useless_Body_Fit.mp3</t>
  </si>
  <si>
    <t>https://audio.iskcondesiretree.com/01_-_Srila_Prabhupada/01_-_Lectures/01_-_English/01_-_Topic_wise/Bhagavad_Gita/Chapter-06/SP_BG_06-16-24_Los_Angeles_1969-02-17_Yoga_System--Keep_This_Useless_Body_Fit.mp3</t>
  </si>
  <si>
    <t>Bg_06-16_LA_1969-02-17_Yoga_System--Keep_This_Useless_Body_Fit.mp3</t>
  </si>
  <si>
    <t>https://audio.iskcondesiretree.com/01_-_Srila_Prabhupada/01_-_Lectures/01_-_English/02_-_Month_wise/02_-_Feburary/17/Bg_06-16_LA_1969-02-17_Yoga_System--Keep_This_Useless_Body_Fit.mp3</t>
  </si>
  <si>
    <t>SP_BG_06-25-29_Los_Angeles_1969-02-18_Yoga_System--Be_Self-Centered.mp3</t>
  </si>
  <si>
    <t>https://audio.iskcondesiretree.com/01_-_Srila_Prabhupada/01_-_Lectures/01_-_English/01_-_Topic_wise/Bhagavad_Gita/Chapter-06/SP_BG_06-25-29_Los_Angeles_1969-02-18_Yoga_System--Be_Self-Centered.mp3</t>
  </si>
  <si>
    <t>Bg_06-25_LA_1969-02-18_Yoga_System--Be_Self-Centered.mp3</t>
  </si>
  <si>
    <t>https://audio.iskcondesiretree.com/01_-_Srila_Prabhupada/01_-_Lectures/01_-_English/02_-_Month_wise/02_-_Feburary/18/Bg_06-25_LA_1969-02-18_Yoga_System--Be_Self-Centered.mp3</t>
  </si>
  <si>
    <t>SP_BG_06-30-34_Los_Angeles_1969-02-19_Yoga_System--UNIVERSAL_LOVE----etc.mp3</t>
  </si>
  <si>
    <t>https://audio.iskcondesiretree.com/01_-_Srila_Prabhupada/01_-_Lectures/01_-_English/01_-_Topic_wise/Bhagavad_Gita/Chapter-06/SP_BG_06-30-34_Los_Angeles_1969-02-19_Yoga_System--UNIVERSAL_LOVE----etc.mp3</t>
  </si>
  <si>
    <t>Bg_06-30_LA_1969-02-19_Yoga_System--UNIVERSAL_LOVE_etc.mp3</t>
  </si>
  <si>
    <t>https://audio.iskcondesiretree.com/01_-_Srila_Prabhupada/01_-_Lectures/01_-_English/02_-_Month_wise/02_-_Feburary/19/Bg_06-30_LA_1969-02-19_Yoga_System--UNIVERSAL_LOVE_etc.mp3</t>
  </si>
  <si>
    <t>SP_Festivals_Hawaii_1969-03-05_Day_After_Gaura_Purnima-01.mp3</t>
  </si>
  <si>
    <t>https://audio.iskcondesiretree.com/01_-_Srila_Prabhupada/01_-_Lectures/01_-_English/01_-_Topic_wise/Festivals/SP_Festivals_Hawaii_1969-03-05_Day_After_Gaura_Purnima-01.mp3</t>
  </si>
  <si>
    <t>SP_Festivals_Hawaii_1969-03-05_Day_After_Gaura_Purnima-02.mp3</t>
  </si>
  <si>
    <t>https://audio.iskcondesiretree.com/01_-_Srila_Prabhupada/01_-_Lectures/01_-_English/01_-_Topic_wise/Festivals/SP_Festivals_Hawaii_1969-03-05_Day_After_Gaura_Purnima-02.mp3</t>
  </si>
  <si>
    <t>Fest_HAW_1969-03-05_Day_After_Gaura_Purnima-A.mp3</t>
  </si>
  <si>
    <t>https://audio.iskcondesiretree.com/01_-_Srila_Prabhupada/01_-_Lectures/01_-_English/02_-_Month_wise/03_-_March/05/Fest_HAW_1969-03-05_Day_After_Gaura_Purnima-A.mp3</t>
  </si>
  <si>
    <t>Fest_HAW_1969-03-05_Day_After_Gaura_Purnima-B.mp3</t>
  </si>
  <si>
    <t>https://audio.iskcondesiretree.com/01_-_Srila_Prabhupada/01_-_Lectures/01_-_English/02_-_Month_wise/03_-_March/05/Fest_HAW_1969-03-05_Day_After_Gaura_Purnima-B.mp3</t>
  </si>
  <si>
    <t>SP_Lecture_Honolulu_1969-03-23_Everyone_Can_Get_the_Highest--etc.mp3</t>
  </si>
  <si>
    <t>https://audio.iskcondesiretree.com/01_-_Srila_Prabhupada/01_-_Lectures/01_-_English/01_-_Topic_wise/Various/SP_Lecture_Honolulu_1969-03-23_Everyone_Can_Get_the_Highest--etc.mp3</t>
  </si>
  <si>
    <t>Lect_HON_1969-03-23_Everyone_Can_Get_the_Highest_etc.mp3</t>
  </si>
  <si>
    <t>https://audio.iskcondesiretree.com/01_-_Srila_Prabhupada/01_-_Lectures/01_-_English/02_-_Month_wise/03_-_March/23/Lect_HON_1969-03-23_Everyone_Can_Get_the_Highest_etc.mp3</t>
  </si>
  <si>
    <t>SP_SB_7-09-11_Honolulu_1969-03-24_Krishna_Help_Me_Forget_You.--etc.mp3</t>
  </si>
  <si>
    <t>https://audio.iskcondesiretree.com/01_-_Srila_Prabhupada/01_-_Lectures/01_-_English/01_-_Topic_wise/Srimad_Bhagavatam/Canto-07/SP_SB_7-09-11_Honolulu_1969-03-24_Krishna_Help_Me_Forget_You.--etc.mp3</t>
  </si>
  <si>
    <t>SB_7-09-11_HON_1969-03-24_Krishna_Help_Me_Forget_You_etc.mp3</t>
  </si>
  <si>
    <t>https://audio.iskcondesiretree.com/01_-_Srila_Prabhupada/01_-_Lectures/01_-_English/02_-_Month_wise/03_-_March/24/SB_7-09-11_HON_1969-03-24_Krishna_Help_Me_Forget_You_etc.mp3</t>
  </si>
  <si>
    <t>SP_Festivals_Hawaii_1969-03-27_Rama_Navami.mp3</t>
  </si>
  <si>
    <t>https://audio.iskcondesiretree.com/01_-_Srila_Prabhupada/01_-_Lectures/01_-_English/01_-_Topic_wise/Festivals/SP_Festivals_Hawaii_1969-03-27_Rama_Navami.mp3</t>
  </si>
  <si>
    <t>Fest_HAW_1969-03-27_Rama_Navami.mp3</t>
  </si>
  <si>
    <t>https://audio.iskcondesiretree.com/01_-_Srila_Prabhupada/01_-_Lectures/01_-_English/02_-_Month_wise/03_-_March/27/Fest_HAW_1969-03-27_Rama_Navami.mp3</t>
  </si>
  <si>
    <t>SP_SB_7-06-01_New_York_1969-04-09_Why_Are_You_Spoiling_My_Boy.mp3</t>
  </si>
  <si>
    <t>https://audio.iskcondesiretree.com/01_-_Srila_Prabhupada/01_-_Lectures/01_-_English/01_-_Topic_wise/Srimad_Bhagavatam/Canto-07/SP_SB_7-06-01_New_York_1969-04-09_Why_Are_You_Spoiling_My_Boy.mp3</t>
  </si>
  <si>
    <t>SP_Lecture_New_York_1969-04-09_Practical_Renunciation.mp3</t>
  </si>
  <si>
    <t>https://audio.iskcondesiretree.com/01_-_Srila_Prabhupada/01_-_Lectures/01_-_English/01_-_Topic_wise/Various/SP_Lecture_New_York_1969-04-09_Practical_Renunciation.mp3</t>
  </si>
  <si>
    <t>Lect_NY_1969-04-09_Practical_Renunciation.mp3</t>
  </si>
  <si>
    <t>https://audio.iskcondesiretree.com/01_-_Srila_Prabhupada/01_-_Lectures/01_-_English/02_-_Month_wise/04_-_April/09/Lect_NY_1969-04-09_Practical_Renunciation.mp3</t>
  </si>
  <si>
    <t>SB_7-06-01_NY_1969-04-09_Why_Are_You_Spoiling_My_Boy.mp3</t>
  </si>
  <si>
    <t>https://audio.iskcondesiretree.com/01_-_Srila_Prabhupada/01_-_Lectures/01_-_English/02_-_Month_wise/04_-_April/09/SB_7-06-01_NY_1969-04-09_Why_Are_You_Spoiling_My_Boy.mp3</t>
  </si>
  <si>
    <t>SP_SB_2-01-01_New_York_1969-04-10_The_Krishna-Approaching_Body.mp3</t>
  </si>
  <si>
    <t>https://audio.iskcondesiretree.com/01_-_Srila_Prabhupada/01_-_Lectures/01_-_English/01_-_Topic_wise/Srimad_Bhagavatam/Canto-02/SP_SB_2-01-01_New_York_1969-04-10_The_Krishna-Approaching_Body.mp3</t>
  </si>
  <si>
    <t>SB_2-01-01_NY_1969-04-10_The_Krishna-Approaching_Body.mp3</t>
  </si>
  <si>
    <t>https://audio.iskcondesiretree.com/01_-_Srila_Prabhupada/01_-_Lectures/01_-_English/02_-_Month_wise/04_-_April/10/SB_2-01-01_NY_1969-04-10_The_Krishna-Approaching_Body.mp3</t>
  </si>
  <si>
    <t>SP_Lecture_New_York_1969-04-11_One_Who_Does_Not_Understand--etc.mp3</t>
  </si>
  <si>
    <t>https://audio.iskcondesiretree.com/01_-_Srila_Prabhupada/01_-_Lectures/01_-_English/01_-_Topic_wise/Various/SP_Lecture_New_York_1969-04-11_One_Who_Does_Not_Understand--etc.mp3</t>
  </si>
  <si>
    <t>Lect_NY_1969-04-11_One_Who_Does_Not_Understand_etc.mp3</t>
  </si>
  <si>
    <t>https://audio.iskcondesiretree.com/01_-_Srila_Prabhupada/01_-_Lectures/01_-_English/02_-_Month_wise/04_-_April/11/Lect_NY_1969-04-11_One_Who_Does_Not_Understand_etc.mp3</t>
  </si>
  <si>
    <t>Canto-11</t>
  </si>
  <si>
    <t>SP_SB_11-03-21_New_York_1969-04-13_Commanders-in-Chief_in_the--etc.mp3</t>
  </si>
  <si>
    <t>https://audio.iskcondesiretree.com/01_-_Srila_Prabhupada/01_-_Lectures/01_-_English/01_-_Topic_wise/Srimad_Bhagavatam/Canto-11/SP_SB_11-03-21_New_York_1969-04-13_Commanders-in-Chief_in_the--etc.mp3</t>
  </si>
  <si>
    <t>SB_E-11-03-21_NY_1969-04-13_Commanders-in-Chief_in_the_etc.mp3</t>
  </si>
  <si>
    <t>https://audio.iskcondesiretree.com/01_-_Srila_Prabhupada/01_-_Lectures/01_-_English/02_-_Month_wise/04_-_April/13/SB_E-11-03-21_NY_1969-04-13_Commanders-in-Chief_in_the_etc.mp3</t>
  </si>
  <si>
    <t>SP_Lecture_New_York_1969-04-17_Krishna_Obliged_Me_to_Come_With--etc.mp3</t>
  </si>
  <si>
    <t>https://audio.iskcondesiretree.com/01_-_Srila_Prabhupada/01_-_Lectures/01_-_English/01_-_Topic_wise/Various/SP_Lecture_New_York_1969-04-17_Krishna_Obliged_Me_to_Come_With--etc.mp3</t>
  </si>
  <si>
    <t>Lect_NY_1969-04-17_Krishna_Obliged_Me_to_Come_With_etc.mp3</t>
  </si>
  <si>
    <t>https://audio.iskcondesiretree.com/01_-_Srila_Prabhupada/01_-_Lectures/01_-_English/02_-_Month_wise/04_-_April/17/Lect_NY_1969-04-17_Krishna_Obliged_Me_to_Come_With_etc.mp3</t>
  </si>
  <si>
    <t>SP_Room_Conversation_Boston_1969-04-29_Hippies_Mayapur_Be_Sinners_But_We_Raise_Them.mp3</t>
  </si>
  <si>
    <t>https://audio.iskcondesiretree.com/01_-_Srila_Prabhupada/01_-_Lectures/01_-_English/01_-_Topic_wise/Room_Conversation/SP_Room_Conversation_Boston_1969-04-29_Hippies_Mayapur_Be_Sinners_But_We_Raise_Them.mp3</t>
  </si>
  <si>
    <t>RC_BOS_1969-04-29_Hippies_May_Be_Sinners_But_We_Raise_Them.mp3</t>
  </si>
  <si>
    <t>https://audio.iskcondesiretree.com/01_-_Srila_Prabhupada/01_-_Lectures/01_-_English/02_-_Month_wise/04_-_April/29/RC_BOS_1969-04-29_Hippies_May_Be_Sinners_But_We_Raise_Them.mp3</t>
  </si>
  <si>
    <t>SP_Festivals_Boston_1969-05-01_Lord_Nrsimhadevas_Appearance.mp3</t>
  </si>
  <si>
    <t>https://audio.iskcondesiretree.com/01_-_Srila_Prabhupada/01_-_Lectures/01_-_English/01_-_Topic_wise/Festivals/SP_Festivals_Boston_1969-05-01_Lord_Nrsimhadevas_Appearance.mp3</t>
  </si>
  <si>
    <t>SP_Lecture_Boston_1969-05-01_Krishna_Conscious_-_Very_Kind.mp3</t>
  </si>
  <si>
    <t>https://audio.iskcondesiretree.com/01_-_Srila_Prabhupada/01_-_Lectures/01_-_English/01_-_Topic_wise/Various/SP_Lecture_Boston_1969-05-01_Krishna_Conscious_-_Very_Kind.mp3</t>
  </si>
  <si>
    <t>Fest_BOS_1969-05-01_Lord_Nrsimhadevas_Appearance.mp3</t>
  </si>
  <si>
    <t>https://audio.iskcondesiretree.com/01_-_Srila_Prabhupada/01_-_Lectures/01_-_English/02_-_Month_wise/05_-_May/01/Fest_BOS_1969-05-01_Lord_Nrsimhadevas_Appearance.mp3</t>
  </si>
  <si>
    <t>Lect_BOS_1969-05-01_Krishna_Conscious_Very_Kind.mp3</t>
  </si>
  <si>
    <t>https://audio.iskcondesiretree.com/01_-_Srila_Prabhupada/01_-_Lectures/01_-_English/02_-_Month_wise/05_-_May/01/Lect_BOS_1969-05-01_Krishna_Conscious_Very_Kind.mp3</t>
  </si>
  <si>
    <t>SP_Lecture_Boston_1969-05-03_To_Students--Well_Centered--etc.mp3</t>
  </si>
  <si>
    <t>https://audio.iskcondesiretree.com/01_-_Srila_Prabhupada/01_-_Lectures/01_-_English/01_-_Topic_wise/Various/SP_Lecture_Boston_1969-05-03_To_Students--Well_Centered--etc.mp3</t>
  </si>
  <si>
    <t>Lect_BOS_1969-05-03_To_Students_Well_Centered_etc.mp3</t>
  </si>
  <si>
    <t>https://audio.iskcondesiretree.com/01_-_Srila_Prabhupada/01_-_Lectures/01_-_English/02_-_Month_wise/05_-_May/03/Lect_BOS_1969-05-03_To_Students_Well_Centered_etc.mp3</t>
  </si>
  <si>
    <t>SP_BG_04-01-02_Columbus_1969-05-09_Big_Scholars_Can%27t_Get_What--etc.mp3</t>
  </si>
  <si>
    <t>https://audio.iskcondesiretree.com/01_-_Srila_Prabhupada/01_-_Lectures/01_-_English/01_-_Topic_wise/Bhagavad_Gita/Chapter-04/SP_BG_04-01-02_Columbus_1969-05-09_Big_Scholars_Can%27t_Get_What--etc.mp3</t>
  </si>
  <si>
    <t>SP_BG_04-01_Columbus_1969-05-09_Big_Scholars_Can%27t_Get_What--etc.mp3</t>
  </si>
  <si>
    <t>https://audio.iskcondesiretree.com/01_-_Srila_Prabhupada/01_-_Lectures/01_-_English/01_-_Topic_wise/Bhagavad_Gita/Chapter-04/SP_BG_04-01_Columbus_1969-05-09_Big_Scholars_Can%27t_Get_What--etc.mp3</t>
  </si>
  <si>
    <t>SP_Festivals_Columbus_1969-05-09_Temple_Opening--Religion_Means--etc.mp3</t>
  </si>
  <si>
    <t>https://audio.iskcondesiretree.com/01_-_Srila_Prabhupada/01_-_Lectures/01_-_English/01_-_Topic_wise/Festivals/SP_Festivals_Columbus_1969-05-09_Temple_Opening--Religion_Means--etc.mp3</t>
  </si>
  <si>
    <t>Bg_04-01_COL_1969-05-09_Big_Scholars_Can%27t_Get_What_etc.mp3</t>
  </si>
  <si>
    <t>https://audio.iskcondesiretree.com/01_-_Srila_Prabhupada/01_-_Lectures/01_-_English/02_-_Month_wise/05_-_May/09/Bg_04-01_COL_1969-05-09_Big_Scholars_Can%27t_Get_What_etc.mp3</t>
  </si>
  <si>
    <t>Fest_COL_1969-05-09_Temple_Opening--Religion_Means_etc.mp3</t>
  </si>
  <si>
    <t>https://audio.iskcondesiretree.com/01_-_Srila_Prabhupada/01_-_Lectures/01_-_English/02_-_Month_wise/05_-_May/09/Fest_COL_1969-05-09_Temple_Opening--Religion_Means_etc.mp3</t>
  </si>
  <si>
    <t>SP_Room_Conversation_Columbus_1969-05-10_Follow_Christ_or_Buddha_or_Krishna--etc.mp3</t>
  </si>
  <si>
    <t>https://audio.iskcondesiretree.com/01_-_Srila_Prabhupada/01_-_Lectures/01_-_English/01_-_Topic_wise/Room_Conversation/SP_Room_Conversation_Columbus_1969-05-10_Follow_Christ_or_Buddha_or_Krishna--etc.mp3</t>
  </si>
  <si>
    <t>SP_Room_Conversation_Columbus_1969-05-10_Seed_of_Frustration.mp3</t>
  </si>
  <si>
    <t>https://audio.iskcondesiretree.com/01_-_Srila_Prabhupada/01_-_Lectures/01_-_English/01_-_Topic_wise/Room_Conversation/SP_Room_Conversation_Columbus_1969-05-10_Seed_of_Frustration.mp3</t>
  </si>
  <si>
    <t>RC_COL_1969-05-10_Follow_Christ_or_Buddha_or_Krishna_etc.mp3</t>
  </si>
  <si>
    <t>https://audio.iskcondesiretree.com/01_-_Srila_Prabhupada/01_-_Lectures/01_-_English/02_-_Month_wise/05_-_May/10/RC_COL_1969-05-10_Follow_Christ_or_Buddha_or_Krishna_etc.mp3</t>
  </si>
  <si>
    <t>RC_COL_1969-05-10_Seed_of_Frustration.mp3</t>
  </si>
  <si>
    <t>https://audio.iskcondesiretree.com/01_-_Srila_Prabhupada/01_-_Lectures/01_-_English/02_-_Month_wise/05_-_May/10/RC_COL_1969-05-10_Seed_of_Frustration.mp3</t>
  </si>
  <si>
    <t>Arrival_Address</t>
  </si>
  <si>
    <t>SP_Address_Columbus_1969-05-11_Addr_to_Indian_Association.mp3</t>
  </si>
  <si>
    <t>https://audio.iskcondesiretree.com/01_-_Srila_Prabhupada/01_-_Lectures/01_-_English/01_-_Topic_wise/Arrival_Address/SP_Address_Columbus_1969-05-11_Addr_to_Indian_Association.mp3</t>
  </si>
  <si>
    <t>SP_Room_Conversation_Columbus_1969-05-11_Allen_Ginsberg--Freedom_Is_Frustration.mp3</t>
  </si>
  <si>
    <t>https://audio.iskcondesiretree.com/01_-_Srila_Prabhupada/01_-_Lectures/01_-_English/01_-_Topic_wise/Room_Conversation/SP_Room_Conversation_Columbus_1969-05-11_Allen_Ginsberg--Freedom_Is_Frustration.mp3</t>
  </si>
  <si>
    <t>Addr_COL_1969-05-11_Addr_to_Indian_Association.mp3</t>
  </si>
  <si>
    <t>https://audio.iskcondesiretree.com/01_-_Srila_Prabhupada/01_-_Lectures/01_-_English/02_-_Month_wise/05_-_May/11/Addr_COL_1969-05-11_Addr_to_Indian_Association.mp3</t>
  </si>
  <si>
    <t>RC_COL_1969-05-11_Allen_Ginsberg_Freedom_Is_Frustration.mp3</t>
  </si>
  <si>
    <t>https://audio.iskcondesiretree.com/01_-_Srila_Prabhupada/01_-_Lectures/01_-_English/02_-_Month_wise/05_-_May/11/RC_COL_1969-05-11_Allen_Ginsberg_Freedom_Is_Frustration.mp3</t>
  </si>
  <si>
    <t>SP_Room_Conversation_Columbus_1969-05-12_Allen_Ginsberg--Our_Krishna_is_Love.mp3</t>
  </si>
  <si>
    <t>https://audio.iskcondesiretree.com/01_-_Srila_Prabhupada/01_-_Lectures/01_-_English/01_-_Topic_wise/Room_Conversation/SP_Room_Conversation_Columbus_1969-05-12_Allen_Ginsberg--Our_Krishna_is_Love.mp3</t>
  </si>
  <si>
    <t>SP_Lecture_Columbus_1969-05-12_To_Students--We_Are_Begging--etc.mp3</t>
  </si>
  <si>
    <t>https://audio.iskcondesiretree.com/01_-_Srila_Prabhupada/01_-_Lectures/01_-_English/01_-_Topic_wise/Various/SP_Lecture_Columbus_1969-05-12_To_Students--We_Are_Begging--etc.mp3</t>
  </si>
  <si>
    <t>Lect_COL_1969-05-12_To_Students_We_Are_Begging_etc.mp3</t>
  </si>
  <si>
    <t>https://audio.iskcondesiretree.com/01_-_Srila_Prabhupada/01_-_Lectures/01_-_English/02_-_Month_wise/05_-_May/12/Lect_COL_1969-05-12_To_Students_We_Are_Begging_etc.mp3</t>
  </si>
  <si>
    <t>RC_COL_1969-05-12_Allen_Ginsberg_Our_Krishna_is_Love.mp3</t>
  </si>
  <si>
    <t>https://audio.iskcondesiretree.com/01_-_Srila_Prabhupada/01_-_Lectures/01_-_English/02_-_Month_wise/05_-_May/12/RC_COL_1969-05-12_Allen_Ginsberg_Our_Krishna_is_Love.mp3</t>
  </si>
  <si>
    <t>SP_Room_Conversation_Columbus_1969-05-13_Allen_Ginsberg--Walk_Through_Kali_Yuga.mp3</t>
  </si>
  <si>
    <t>https://audio.iskcondesiretree.com/01_-_Srila_Prabhupada/01_-_Lectures/01_-_English/01_-_Topic_wise/Room_Conversation/SP_Room_Conversation_Columbus_1969-05-13_Allen_Ginsberg--Walk_Through_Kali_Yuga.mp3</t>
  </si>
  <si>
    <t>RC_COL_1969-05-13_Allen_Ginsberg-Walk_Through_Kali_Yuga.mp3</t>
  </si>
  <si>
    <t>https://audio.iskcondesiretree.com/01_-_Srila_Prabhupada/01_-_Lectures/01_-_English/02_-_Month_wise/05_-_May/13/RC_COL_1969-05-13_Allen_Ginsberg-Walk_Through_Kali_Yuga.mp3</t>
  </si>
  <si>
    <t>SP_Room_Conversation_Columbus_1969-05-14_Allen_Ginsberg--The_Senses_Come_to--etc.mp3</t>
  </si>
  <si>
    <t>https://audio.iskcondesiretree.com/01_-_Srila_Prabhupada/01_-_Lectures/01_-_English/01_-_Topic_wise/Room_Conversation/SP_Room_Conversation_Columbus_1969-05-14_Allen_Ginsberg--The_Senses_Come_to--etc.mp3</t>
  </si>
  <si>
    <t>SP_Lecture_Columbus_1969-05-14_Caste_System_Cast_Out.mp3</t>
  </si>
  <si>
    <t>https://audio.iskcondesiretree.com/01_-_Srila_Prabhupada/01_-_Lectures/01_-_English/01_-_Topic_wise/Various/SP_Lecture_Columbus_1969-05-14_Caste_System_Cast_Out.mp3</t>
  </si>
  <si>
    <t>Lect_COL_1969-05-14_Caste_System_Cast_Out.mp3</t>
  </si>
  <si>
    <t>https://audio.iskcondesiretree.com/01_-_Srila_Prabhupada/01_-_Lectures/01_-_English/02_-_Month_wise/05_-_May/14/Lect_COL_1969-05-14_Caste_System_Cast_Out.mp3</t>
  </si>
  <si>
    <t>RC_COL_1969-05-14_Allen_Ginsberg-The_Senses_Come_to_etc.mp3</t>
  </si>
  <si>
    <t>https://audio.iskcondesiretree.com/01_-_Srila_Prabhupada/01_-_Lectures/01_-_English/02_-_Month_wise/05_-_May/14/RC_COL_1969-05-14_Allen_Ginsberg-The_Senses_Come_to_etc.mp3</t>
  </si>
  <si>
    <t>SP_SB_1-05-02_New_Vrindavan_1969-05-23_Don%27t_Change_Activities...--etc.mp3</t>
  </si>
  <si>
    <t>https://audio.iskcondesiretree.com/01_-_Srila_Prabhupada/01_-_Lectures/01_-_English/01_-_Topic_wise/Srimad_Bhagavatam/Canto-01/SP_SB_1-05-02_New_Vrindavan_1969-05-23_Don%27t_Change_Activities...--etc.mp3</t>
  </si>
  <si>
    <t>SB_1-05-02_NV_1969-05-23_Don%27t_Change_Activities_etc.mp3</t>
  </si>
  <si>
    <t>https://audio.iskcondesiretree.com/01_-_Srila_Prabhupada/01_-_Lectures/01_-_English/02_-_Month_wise/05_-_May/23/SB_1-05-02_NV_1969-05-23_Don%27t_Change_Activities_etc.mp3</t>
  </si>
  <si>
    <t>SP_SB_1-05-08_New_Vrindavan_1969-05-24_Sky_Flowers_and_Horse_Eggs.mp3</t>
  </si>
  <si>
    <t>https://audio.iskcondesiretree.com/01_-_Srila_Prabhupada/01_-_Lectures/01_-_English/01_-_Topic_wise/Srimad_Bhagavatam/Canto-01/SP_SB_1-05-08_New_Vrindavan_1969-05-24_Sky_Flowers_and_Horse_Eggs.mp3</t>
  </si>
  <si>
    <t>SB_1-05-08_NV_1969-05-24_Sky_Flowers_and_Horse_Eggs.mp3</t>
  </si>
  <si>
    <t>https://audio.iskcondesiretree.com/01_-_Srila_Prabhupada/01_-_Lectures/01_-_English/02_-_Month_wise/05_-_May/24/SB_1-05-08_NV_1969-05-24_Sky_Flowers_and_Horse_Eggs.mp3</t>
  </si>
  <si>
    <t>SP_Lecture_New_Vrindavan_1969-06-04_Initiation--This_World_Is_Hong_Kong_Flu.mp3</t>
  </si>
  <si>
    <t>https://audio.iskcondesiretree.com/01_-_Srila_Prabhupada/01_-_Lectures/01_-_English/01_-_Topic_wise/Various/SP_Lecture_New_Vrindavan_1969-06-04_Initiation--This_World_Is_Hong_Kong_Flu.mp3</t>
  </si>
  <si>
    <t>Lect_NV_1969-06-04_Initiation-This_World_Is_Hong_Kong_Flu.mp3</t>
  </si>
  <si>
    <t>https://audio.iskcondesiretree.com/01_-_Srila_Prabhupada/01_-_Lectures/01_-_English/02_-_Month_wise/06_-_June/04/Lect_NV_1969-06-04_Initiation-This_World_Is_Hong_Kong_Flu.mp3</t>
  </si>
  <si>
    <t>SP_SB_1-05-09_New_Vrindavan_1969-06-06_First_Business--Protect_Your_Soul.mp3</t>
  </si>
  <si>
    <t>https://audio.iskcondesiretree.com/01_-_Srila_Prabhupada/01_-_Lectures/01_-_English/01_-_Topic_wise/Srimad_Bhagavatam/Canto-01/SP_SB_1-05-09_New_Vrindavan_1969-06-06_First_Business--Protect_Your_Soul.mp3</t>
  </si>
  <si>
    <t>SB_1-05-09_NV_1969-06-06_First_Business_Protect_Your_Soul.mp3</t>
  </si>
  <si>
    <t>https://audio.iskcondesiretree.com/01_-_Srila_Prabhupada/01_-_Lectures/01_-_English/02_-_Month_wise/06_-_June/06/SB_1-05-09_NV_1969-06-06_First_Business_Protect_Your_Soul.mp3</t>
  </si>
  <si>
    <t>SP_SB_1-05-11_New_Vrindavan_1969-06-10_Spiritual_Aesthetics_-_Swanlike_Men.mp3</t>
  </si>
  <si>
    <t>https://audio.iskcondesiretree.com/01_-_Srila_Prabhupada/01_-_Lectures/01_-_English/01_-_Topic_wise/Srimad_Bhagavatam/Canto-01/SP_SB_1-05-11_New_Vrindavan_1969-06-10_Spiritual_Aesthetics_-_Swanlike_Men.mp3</t>
  </si>
  <si>
    <t>SB_1-05-11_NV_1969-06-10_Spiritual_Aesthetics-Swanlike_Men.mp3</t>
  </si>
  <si>
    <t>https://audio.iskcondesiretree.com/01_-_Srila_Prabhupada/01_-_Lectures/01_-_English/02_-_Month_wise/06_-_June/10/SB_1-05-11_NV_1969-06-10_Spiritual_Aesthetics-Swanlike_Men.mp3</t>
  </si>
  <si>
    <t>SP_SB_1-05-12_New_Vrindavan_1969-06-11_Unnecessary_Necessities_and--etc.mp3</t>
  </si>
  <si>
    <t>https://audio.iskcondesiretree.com/01_-_Srila_Prabhupada/01_-_Lectures/01_-_English/01_-_Topic_wise/Srimad_Bhagavatam/Canto-01/SP_SB_1-05-12_New_Vrindavan_1969-06-11_Unnecessary_Necessities_and--etc.mp3</t>
  </si>
  <si>
    <t>SB_1-05-12_NV_1969-06-11_Unnecessary_Necessities_and_etc.mp3</t>
  </si>
  <si>
    <t>https://audio.iskcondesiretree.com/01_-_Srila_Prabhupada/01_-_Lectures/01_-_English/02_-_Month_wise/06_-_June/11/SB_1-05-12_NV_1969-06-11_Unnecessary_Necessities_and_etc.mp3</t>
  </si>
  <si>
    <t>SP_SB_1-05-13_New_Vrindavan_1969-06-13_Wonderful_Cure_for_Illusion.mp3</t>
  </si>
  <si>
    <t>https://audio.iskcondesiretree.com/01_-_Srila_Prabhupada/01_-_Lectures/01_-_English/01_-_Topic_wise/Srimad_Bhagavatam/Canto-01/SP_SB_1-05-13_New_Vrindavan_1969-06-13_Wonderful_Cure_for_Illusion.mp3</t>
  </si>
  <si>
    <t>SB_1-05-13_NV_1969-06-13_Wonderful_Cure_for_Illusion.mp3</t>
  </si>
  <si>
    <t>https://audio.iskcondesiretree.com/01_-_Srila_Prabhupada/01_-_Lectures/01_-_English/02_-_Month_wise/06_-_June/13/SB_1-05-13_NV_1969-06-13_Wonderful_Cure_for_Illusion.mp3</t>
  </si>
  <si>
    <t>SP_SB_1-05-14_New_Vrindavan_1969-06-16_One_Has_to_Live_in_God.mp3</t>
  </si>
  <si>
    <t>https://audio.iskcondesiretree.com/01_-_Srila_Prabhupada/01_-_Lectures/01_-_English/01_-_Topic_wise/Srimad_Bhagavatam/Canto-01/SP_SB_1-05-14_New_Vrindavan_1969-06-16_One_Has_to_Live_in_God.mp3</t>
  </si>
  <si>
    <t>SB_1-05-14_NV_1969-06-16_One_Has_to_Live_in_God.mp3</t>
  </si>
  <si>
    <t>https://audio.iskcondesiretree.com/01_-_Srila_Prabhupada/01_-_Lectures/01_-_English/02_-_Month_wise/06_-_June/16/SB_1-05-14_NV_1969-06-16_One_Has_to_Live_in_God.mp3</t>
  </si>
  <si>
    <t>SP_SB_1-05-14_New_Vrindavan_1969-06-18_Abominable_Nonsense--Don%27t--etc.mp3</t>
  </si>
  <si>
    <t>https://audio.iskcondesiretree.com/01_-_Srila_Prabhupada/01_-_Lectures/01_-_English/01_-_Topic_wise/Srimad_Bhagavatam/Canto-01/SP_SB_1-05-14_New_Vrindavan_1969-06-18_Abominable_Nonsense--Don%27t--etc.mp3</t>
  </si>
  <si>
    <t>SB_1-05-14_NV_1969-06-18_Abominable_Nonsense_Don%27t_etc.mp3</t>
  </si>
  <si>
    <t>https://audio.iskcondesiretree.com/01_-_Srila_Prabhupada/01_-_Lectures/01_-_English/02_-_Month_wise/06_-_June/18/SB_1-05-14_NV_1969-06-18_Abominable_Nonsense_Don%27t_etc.mp3</t>
  </si>
  <si>
    <t>SP_SB_1-05-15_New_Vrindavan_1969-06-19_At_Least_Lift_Your_Anchor.mp3</t>
  </si>
  <si>
    <t>https://audio.iskcondesiretree.com/01_-_Srila_Prabhupada/01_-_Lectures/01_-_English/01_-_Topic_wise/Srimad_Bhagavatam/Canto-01/SP_SB_1-05-15_New_Vrindavan_1969-06-19_At_Least_Lift_Your_Anchor.mp3</t>
  </si>
  <si>
    <t>SB_1-05-15_NV_1969-06-19_At_Least_Lift_Your_Anchor.mp3</t>
  </si>
  <si>
    <t>https://audio.iskcondesiretree.com/01_-_Srila_Prabhupada/01_-_Lectures/01_-_English/02_-_Month_wise/06_-_June/19/SB_1-05-15_NV_1969-06-19_At_Least_Lift_Your_Anchor.mp3</t>
  </si>
  <si>
    <t>SP_SB_1-05-18_New_Vrindavan_1969-06-22_Krishna%27s_Hypnotism.mp3</t>
  </si>
  <si>
    <t>https://audio.iskcondesiretree.com/01_-_Srila_Prabhupada/01_-_Lectures/01_-_English/01_-_Topic_wise/Srimad_Bhagavatam/Canto-01/SP_SB_1-05-18_New_Vrindavan_1969-06-22_Krishna%27s_Hypnotism.mp3</t>
  </si>
  <si>
    <t>SB_1-05-18_NV_1969-06-22_Krishna%27s_Hypnotism.mp3</t>
  </si>
  <si>
    <t>https://audio.iskcondesiretree.com/01_-_Srila_Prabhupada/01_-_Lectures/01_-_English/02_-_Month_wise/06_-_June/22/SB_1-05-18_NV_1969-06-22_Krishna%27s_Hypnotism.mp3</t>
  </si>
  <si>
    <t>SP_SB_Lect_Los_Angeles_1969-07-12_This_Life_Is_Very_Valuable.mp3</t>
  </si>
  <si>
    <t>https://audio.iskcondesiretree.com/01_-_Srila_Prabhupada/01_-_Lectures/01_-_English/01_-_Topic_wise/Srimad_Bhagavatam/More/SP_SB_Lect_Los_Angeles_1969-07-12_This_Life_Is_Very_Valuable.mp3</t>
  </si>
  <si>
    <t>SB_Lect_LA_1969-07-12_This_Life_Is_Very_Valuable.mp3</t>
  </si>
  <si>
    <t>https://audio.iskcondesiretree.com/01_-_Srila_Prabhupada/01_-_Lectures/01_-_English/02_-_Month_wise/07_-_July/12/SB_Lect_LA_1969-07-12_This_Life_Is_Very_Valuable.mp3</t>
  </si>
  <si>
    <t>SP_Festivals_Los_Angeles_1969-07-16_Deity_Installation.mp3</t>
  </si>
  <si>
    <t>https://audio.iskcondesiretree.com/01_-_Srila_Prabhupada/01_-_Lectures/01_-_English/01_-_Topic_wise/Festivals/SP_Festivals_Los_Angeles_1969-07-16_Deity_Installation.mp3</t>
  </si>
  <si>
    <t>Fest_LA_1969-07-16_Deity_Installation.mp3</t>
  </si>
  <si>
    <t>https://audio.iskcondesiretree.com/01_-_Srila_Prabhupada/01_-_Lectures/01_-_English/02_-_Month_wise/07_-_July/16/Fest_LA_1969-07-16_Deity_Installation.mp3</t>
  </si>
  <si>
    <t>SP_Festivals_Hamburg_1969-09-04_Janmastami--Fearlessness--There--etc.mp3</t>
  </si>
  <si>
    <t>https://audio.iskcondesiretree.com/01_-_Srila_Prabhupada/01_-_Lectures/01_-_English/01_-_Topic_wise/Festivals/SP_Festivals_Hamburg_1969-09-04_Janmastami--Fearlessness--There--etc.mp3</t>
  </si>
  <si>
    <t>SP_Lecture_Hamburg_1969-09-04_Initiation--The_Sense_to--etc.mp3</t>
  </si>
  <si>
    <t>https://audio.iskcondesiretree.com/01_-_Srila_Prabhupada/01_-_Lectures/01_-_English/01_-_Topic_wise/Various/SP_Lecture_Hamburg_1969-09-04_Initiation--The_Sense_to--etc.mp3</t>
  </si>
  <si>
    <t>Fest_HAM_1969-09-04_Janmastami-Fearlessness_There_etc.mp3</t>
  </si>
  <si>
    <t>https://audio.iskcondesiretree.com/01_-_Srila_Prabhupada/01_-_Lectures/01_-_English/02_-_Month_wise/09_-_September/04/Fest_HAM_1969-09-04_Janmastami-Fearlessness_There_etc.mp3</t>
  </si>
  <si>
    <t>Lect_HAM_1969-09-04_Initiation-The_Sense_to_etc.mp3</t>
  </si>
  <si>
    <t>https://audio.iskcondesiretree.com/01_-_Srila_Prabhupada/01_-_Lectures/01_-_English/02_-_Month_wise/09_-_September/04/Lect_HAM_1969-09-04_Initiation-The_Sense_to_etc.mp3</t>
  </si>
  <si>
    <t>SP_Festivals_Hamburg_1969-09-05_Vyasa-puja.mp3</t>
  </si>
  <si>
    <t>https://audio.iskcondesiretree.com/01_-_Srila_Prabhupada/01_-_Lectures/01_-_English/01_-_Topic_wise/Festivals/SP_Festivals_Hamburg_1969-09-05_Vyasa-puja.mp3</t>
  </si>
  <si>
    <t>Fest_HAM_1969-09-05_Vyasa-puja.mp3</t>
  </si>
  <si>
    <t>https://audio.iskcondesiretree.com/01_-_Srila_Prabhupada/01_-_Lectures/01_-_English/02_-_Month_wise/09_-_September/05/Fest_HAM_1969-09-05_Vyasa-puja.mp3</t>
  </si>
  <si>
    <t>SP_BG_07-14_Hamburg_1969-09-08_Let_Us_Die_Like--etc.mp3</t>
  </si>
  <si>
    <t>https://audio.iskcondesiretree.com/01_-_Srila_Prabhupada/01_-_Lectures/01_-_English/01_-_Topic_wise/Bhagavad_Gita/Chapter-07/SP_BG_07-14_Hamburg_1969-09-08_Let_Us_Die_Like--etc.mp3</t>
  </si>
  <si>
    <t>Bg_07-14_HAM_1969-09-08_Let_Us_Die_Like_etc.mp3</t>
  </si>
  <si>
    <t>https://audio.iskcondesiretree.com/01_-_Srila_Prabhupada/01_-_Lectures/01_-_English/02_-_Month_wise/09_-_September/08/Bg_07-14_HAM_1969-09-08_Let_Us_Die_Like_etc.mp3</t>
  </si>
  <si>
    <t>SP_Arrival_London_1969-09-11_I_Teach_What_You_Have_Forgotten.mp3</t>
  </si>
  <si>
    <t>https://audio.iskcondesiretree.com/01_-_Srila_Prabhupada/01_-_Lectures/01_-_English/01_-_Topic_wise/Arrival_Address/SP_Arrival_London_1969-09-11_I_Teach_What_You_Have_Forgotten.mp3</t>
  </si>
  <si>
    <t>SP_Room_Conversation_London_1969-09-11_Harrison_Lennon_%26_Yoko_Ono.mp3</t>
  </si>
  <si>
    <t>https://audio.iskcondesiretree.com/01_-_Srila_Prabhupada/01_-_Lectures/01_-_English/01_-_Topic_wise/Room_Conversation/SP_Room_Conversation_London_1969-09-11_Harrison_Lennon_%26_Yoko_Ono.mp3</t>
  </si>
  <si>
    <t>Arr_LON_1969-09-11_I_Teach_What_You_Have_Forgotten.mp3</t>
  </si>
  <si>
    <t>https://audio.iskcondesiretree.com/01_-_Srila_Prabhupada/01_-_Lectures/01_-_English/02_-_Month_wise/09_-_September/11/Arr_LON_1969-09-11_I_Teach_What_You_Have_Forgotten.mp3</t>
  </si>
  <si>
    <t>RC_LON_1969-09-11_Harrison_Lennon_%26_Yoko_Ono.mp3</t>
  </si>
  <si>
    <t>https://audio.iskcondesiretree.com/01_-_Srila_Prabhupada/01_-_Lectures/01_-_English/02_-_Month_wise/09_-_September/11/RC_LON_1969-09-11_Harrison_Lennon_%26_Yoko_Ono.mp3</t>
  </si>
  <si>
    <t>Canto-05</t>
  </si>
  <si>
    <t>SP_SB_5-05-01_London_1969-09-12_Depend_On_Krishna.mp3</t>
  </si>
  <si>
    <t>https://audio.iskcondesiretree.com/01_-_Srila_Prabhupada/01_-_Lectures/01_-_English/01_-_Topic_wise/Srimad_Bhagavatam/Canto-05/SP_SB_5-05-01_London_1969-09-12_Depend_On_Krishna.mp3</t>
  </si>
  <si>
    <t>SB_5-05-01_LON_1969-09-12_Depend_On_Krishna.mp3</t>
  </si>
  <si>
    <t>https://audio.iskcondesiretree.com/01_-_Srila_Prabhupada/01_-_Lectures/01_-_English/02_-_Month_wise/09_-_September/12/SB_5-05-01_LON_1969-09-12_Depend_On_Krishna.mp3</t>
  </si>
  <si>
    <t>SP_Lecture_London_1969-09-15_At_Conway_Hall--I_Teach_What_You--etc.mp3</t>
  </si>
  <si>
    <t>https://audio.iskcondesiretree.com/01_-_Srila_Prabhupada/01_-_Lectures/01_-_English/01_-_Topic_wise/Various/SP_Lecture_London_1969-09-15_At_Conway_Hall--I_Teach_What_You--etc.mp3</t>
  </si>
  <si>
    <t>Lect_LON_1969-09-15_At_Conway_Hall-I_Teach_What_You_etc.mp3</t>
  </si>
  <si>
    <t>https://audio.iskcondesiretree.com/01_-_Srila_Prabhupada/01_-_Lectures/01_-_English/02_-_Month_wise/09_-_September/15/Lect_LON_1969-09-15_At_Conway_Hall-I_Teach_What_You_etc.mp3</t>
  </si>
  <si>
    <t>SP_Address_London_1969-09-16_Go_to_the_Dazzling-bright_Sky_of_Freedom.mp3</t>
  </si>
  <si>
    <t>https://audio.iskcondesiretree.com/01_-_Srila_Prabhupada/01_-_Lectures/01_-_English/01_-_Topic_wise/Arrival_Address/SP_Address_London_1969-09-16_Go_to_the_Dazzling-bright_Sky_of_Freedom.mp3</t>
  </si>
  <si>
    <t>Addr_LON_1969-09-16_Go_to_the_Dazzling-bright_Sky_of_Freedom.mp3</t>
  </si>
  <si>
    <t>https://audio.iskcondesiretree.com/01_-_Srila_Prabhupada/01_-_Lectures/01_-_English/02_-_Month_wise/09_-_September/16/Addr_LON_1969-09-16_Go_to_the_Dazzling-bright_Sky_of_Freedom.mp3</t>
  </si>
  <si>
    <t>SP_SB_5-05-02_London_1969-09-17_We_Spirit_Souls_Have_Immense_Power.mp3</t>
  </si>
  <si>
    <t>https://audio.iskcondesiretree.com/01_-_Srila_Prabhupada/01_-_Lectures/01_-_English/01_-_Topic_wise/Srimad_Bhagavatam/Canto-05/SP_SB_5-05-02_London_1969-09-17_We_Spirit_Souls_Have_Immense_Power.mp3</t>
  </si>
  <si>
    <t>SB_5-05-02_LON_1969-09-17_We_Spirit_Souls_Have_Immense_Power.mp3</t>
  </si>
  <si>
    <t>https://audio.iskcondesiretree.com/01_-_Srila_Prabhupada/01_-_Lectures/01_-_English/02_-_Month_wise/09_-_September/17/SB_5-05-02_LON_1969-09-17_We_Spirit_Souls_Have_Immense_Power.mp3</t>
  </si>
  <si>
    <t>SP_Festivals_London_1969-09-18_Radhastami.mp3</t>
  </si>
  <si>
    <t>https://audio.iskcondesiretree.com/01_-_Srila_Prabhupada/01_-_Lectures/01_-_English/01_-_Topic_wise/Festivals/SP_Festivals_London_1969-09-18_Radhastami.mp3</t>
  </si>
  <si>
    <t>Fest_LON_1969-09-18_Radhastami.mp3</t>
  </si>
  <si>
    <t>https://audio.iskcondesiretree.com/01_-_Srila_Prabhupada/01_-_Lectures/01_-_English/02_-_Month_wise/09_-_September/18/Fest_LON_1969-09-18_Radhastami.mp3</t>
  </si>
  <si>
    <t>SP_Festivals_London_1969-09-23_Bhaktivinode_Appearance.mp3</t>
  </si>
  <si>
    <t>https://audio.iskcondesiretree.com/01_-_Srila_Prabhupada/01_-_Lectures/01_-_English/01_-_Topic_wise/Festivals/SP_Festivals_London_1969-09-23_Bhaktivinode_Appearance.mp3</t>
  </si>
  <si>
    <t>Fest_LON_1969-09-23_Bhaktivinode_Appearance.mp3</t>
  </si>
  <si>
    <t>https://audio.iskcondesiretree.com/01_-_Srila_Prabhupada/01_-_Lectures/01_-_English/02_-_Month_wise/09_-_September/23/Fest_LON_1969-09-23_Bhaktivinode_Appearance.mp3</t>
  </si>
  <si>
    <t>SP_Festivals_Los_Angeles_1969-12-09_Bhaktisiddhanta_Disappearance.mp3</t>
  </si>
  <si>
    <t>https://audio.iskcondesiretree.com/01_-_Srila_Prabhupada/01_-_Lectures/01_-_English/01_-_Topic_wise/Festivals/SP_Festivals_Los_Angeles_1969-12-09_Bhaktisiddhanta_Disappearance.mp3</t>
  </si>
  <si>
    <t>Fest_LA_1969-12-09_Bhaktisiddhanta_Disappearance.mp3</t>
  </si>
  <si>
    <t>https://audio.iskcondesiretree.com/01_-_Srila_Prabhupada/01_-_Lectures/01_-_English/02_-_Month_wise/12_-_December/09/Fest_LA_1969-12-09_Bhaktisiddhanta_Disappearance.mp3</t>
  </si>
  <si>
    <t>SP_SB_2-01-01_Boston_1969-12-22_Self-Realized_vs._Body-Realized.mp3</t>
  </si>
  <si>
    <t>https://audio.iskcondesiretree.com/01_-_Srila_Prabhupada/01_-_Lectures/01_-_English/01_-_Topic_wise/Srimad_Bhagavatam/Canto-02/SP_SB_2-01-01_Boston_1969-12-22_Self-Realized_vs._Body-Realized.mp3</t>
  </si>
  <si>
    <t>SB_2-01-01_BOS_1969-12-22_Self-Realized_vs_Body_Realized.mp3</t>
  </si>
  <si>
    <t>https://audio.iskcondesiretree.com/01_-_Srila_Prabhupada/01_-_Lectures/01_-_English/02_-_Month_wise/12_-_December/22/SB_2-01-01_BOS_1969-12-22_Self-Realized_vs_Body_Realized.mp3</t>
  </si>
  <si>
    <t>Canto-06</t>
  </si>
  <si>
    <t>SP_SB_6-01-12_Los_Angeles_1970-01-09_Vedic_Culture_vs._Industrialism.mp3</t>
  </si>
  <si>
    <t>https://audio.iskcondesiretree.com/01_-_Srila_Prabhupada/01_-_Lectures/01_-_English/01_-_Topic_wise/Srimad_Bhagavatam/Canto-06/SP_SB_6-01-12_Los_Angeles_1970-01-09_Vedic_Culture_vs._Industrialism.mp3</t>
  </si>
  <si>
    <t>SB_6-01-12_LA_1970-01-09_Vedic_Culture_vs_Industrialism.mp3</t>
  </si>
  <si>
    <t>https://audio.iskcondesiretree.com/01_-_Srila_Prabhupada/01_-_Lectures/01_-_English/02_-_Month_wise/01_-_January/09/SB_6-01-12_LA_1970-01-09_Vedic_Culture_vs_Industrialism.mp3</t>
  </si>
  <si>
    <t>SP_SB_6-01-21_Los_Angeles_1970-01-17_Purity_Made_Easy.mp3</t>
  </si>
  <si>
    <t>https://audio.iskcondesiretree.com/01_-_Srila_Prabhupada/01_-_Lectures/01_-_English/01_-_Topic_wise/Srimad_Bhagavatam/Canto-06/SP_SB_6-01-21_Los_Angeles_1970-01-17_Purity_Made_Easy.mp3</t>
  </si>
  <si>
    <t>SB_6-01-21_LA_1970-01-17_Purity_Made_Easy.mp3</t>
  </si>
  <si>
    <t>https://audio.iskcondesiretree.com/01_-_Srila_Prabhupada/01_-_Lectures/01_-_English/02_-_Month_wise/01_-_January/17/SB_6-01-21_LA_1970-01-17_Purity_Made_Easy.mp3</t>
  </si>
  <si>
    <t>SP_Festivals_Los_Angeles_1970-02-18_Varaha_Appearance.mp3</t>
  </si>
  <si>
    <t>https://audio.iskcondesiretree.com/01_-_Srila_Prabhupada/01_-_Lectures/01_-_English/01_-_Topic_wise/Festivals/SP_Festivals_Los_Angeles_1970-02-18_Varaha_Appearance.mp3</t>
  </si>
  <si>
    <t>Fest_LA_1970-02-18_Varaha_Appearance.mp3</t>
  </si>
  <si>
    <t>https://audio.iskcondesiretree.com/01_-_Srila_Prabhupada/01_-_Lectures/01_-_English/02_-_Month_wise/02_-_Feburary/18/Fest_LA_1970-02-18_Varaha_Appearance.mp3</t>
  </si>
  <si>
    <t>SP_Lecture_Los_Angeles_1970-02-20_Initiation--Ten_Offenses_to_be_Avoided.mp3</t>
  </si>
  <si>
    <t>https://audio.iskcondesiretree.com/01_-_Srila_Prabhupada/01_-_Lectures/01_-_English/01_-_Topic_wise/Various/SP_Lecture_Los_Angeles_1970-02-20_Initiation--Ten_Offenses_to_be_Avoided.mp3</t>
  </si>
  <si>
    <t>SP_Lecture_Los_Angeles_1970-02-20_Initiation_Sannyasa--The_Spiritual--etc.mp3</t>
  </si>
  <si>
    <t>https://audio.iskcondesiretree.com/01_-_Srila_Prabhupada/01_-_Lectures/01_-_English/01_-_Topic_wise/Various/SP_Lecture_Los_Angeles_1970-02-20_Initiation_Sannyasa--The_Spiritual--etc.mp3</t>
  </si>
  <si>
    <t>Lect_LA_1970-02-20_Initiation--Ten_Offenses_to_be_Avoided.mp3</t>
  </si>
  <si>
    <t>https://audio.iskcondesiretree.com/01_-_Srila_Prabhupada/01_-_Lectures/01_-_English/02_-_Month_wise/02_-_Feburary/20/Lect_LA_1970-02-20_Initiation--Ten_Offenses_to_be_Avoided.mp3</t>
  </si>
  <si>
    <t>Lect_LA_1970-02-20_Initiation_Sannyasa--The_Spiritual_etc.mp3</t>
  </si>
  <si>
    <t>https://audio.iskcondesiretree.com/01_-_Srila_Prabhupada/01_-_Lectures/01_-_English/02_-_Month_wise/02_-_Feburary/20/Lect_LA_1970-02-20_Initiation_Sannyasa--The_Spiritual_etc.mp3</t>
  </si>
  <si>
    <t>SP_Lecture_Los_Angeles_1970-04-16_Get_Some_Land_and_a_Cow_and_Find_Your_Spirit.mp3</t>
  </si>
  <si>
    <t>https://audio.iskcondesiretree.com/01_-_Srila_Prabhupada/01_-_Lectures/01_-_English/01_-_Topic_wise/Various/SP_Lecture_Los_Angeles_1970-04-16_Get_Some_Land_and_a_Cow_and_Find_Your_Spirit.mp3</t>
  </si>
  <si>
    <t>Lect_LA_1970-04-16_Get_Some_Land_and_a_Cow_and_Find_Your_Spirit.mp3</t>
  </si>
  <si>
    <t>https://audio.iskcondesiretree.com/01_-_Srila_Prabhupada/01_-_Lectures/01_-_English/02_-_Month_wise/04_-_April/16/Lect_LA_1970-04-16_Get_Some_Land_and_a_Cow_and_Find_Your_Spirit.mp3</t>
  </si>
  <si>
    <t>Isopanishad</t>
  </si>
  <si>
    <t>SP_Isopanisad_00_Los_Angeles_1970-04-27_Our_Foolishness_Equals_Our_Defeat.mp3</t>
  </si>
  <si>
    <t>https://audio.iskcondesiretree.com/01_-_Srila_Prabhupada/01_-_Lectures/01_-_English/01_-_Topic_wise/Isopanishad/SP_Isopanisad_00_Los_Angeles_1970-04-27_Our_Foolishness_Equals_Our_Defeat.mp3</t>
  </si>
  <si>
    <t>Iso_00_LA_1970-04-27_Our_Foolishness_Equals_Our_Defeat.mp3</t>
  </si>
  <si>
    <t>https://audio.iskcondesiretree.com/01_-_Srila_Prabhupada/01_-_Lectures/01_-_English/02_-_Month_wise/04_-_April/27/Iso_00_LA_1970-04-27_Our_Foolishness_Equals_Our_Defeat.mp3</t>
  </si>
  <si>
    <t>SP_Isopanisad_01_Los_Angeles_1970-04-29_Our_Foolishness.mp3</t>
  </si>
  <si>
    <t>https://audio.iskcondesiretree.com/01_-_Srila_Prabhupada/01_-_Lectures/01_-_English/01_-_Topic_wise/Isopanishad/SP_Isopanisad_01_Los_Angeles_1970-04-29_Our_Foolishness.mp3</t>
  </si>
  <si>
    <t>Iso_01_LA_1970-04-29_Our_Foolishness.mp3</t>
  </si>
  <si>
    <t>https://audio.iskcondesiretree.com/01_-_Srila_Prabhupada/01_-_Lectures/01_-_English/02_-_Month_wise/04_-_April/29/Iso_01_LA_1970-04-29_Our_Foolishness.mp3</t>
  </si>
  <si>
    <t>SP_Isopanisad_01_Los_Angeles_1970-04-30_Our_Defeat.mp3</t>
  </si>
  <si>
    <t>https://audio.iskcondesiretree.com/01_-_Srila_Prabhupada/01_-_Lectures/01_-_English/01_-_Topic_wise/Isopanishad/SP_Isopanisad_01_Los_Angeles_1970-04-30_Our_Defeat.mp3</t>
  </si>
  <si>
    <t>Iso_01_LA_1970-04-30_Our_Defeat.mp3</t>
  </si>
  <si>
    <t>https://audio.iskcondesiretree.com/01_-_Srila_Prabhupada/01_-_Lectures/01_-_English/02_-_Month_wise/04_-_April/30/Iso_01_LA_1970-04-30_Our_Defeat.mp3</t>
  </si>
  <si>
    <t>SP_Isopanisad_00_Los_Angeles_1970-05-02_Matter_Has_No_Power.mp3</t>
  </si>
  <si>
    <t>https://audio.iskcondesiretree.com/01_-_Srila_Prabhupada/01_-_Lectures/01_-_English/01_-_Topic_wise/Isopanishad/SP_Isopanisad_00_Los_Angeles_1970-05-02_Matter_Has_No_Power.mp3</t>
  </si>
  <si>
    <t>Iso_00_LA_1970-05-02_Matter_Has_No_Power.mp3</t>
  </si>
  <si>
    <t>https://audio.iskcondesiretree.com/01_-_Srila_Prabhupada/01_-_Lectures/01_-_English/02_-_Month_wise/05_-_May/02/Iso_00_LA_1970-05-02_Matter_Has_No_Power.mp3</t>
  </si>
  <si>
    <t>SP_Isopanisad_02_Los_Angeles_1970-05-06_Everyone_Is_Seeing_Krishna.mp3</t>
  </si>
  <si>
    <t>https://audio.iskcondesiretree.com/01_-_Srila_Prabhupada/01_-_Lectures/01_-_English/01_-_Topic_wise/Isopanishad/SP_Isopanisad_02_Los_Angeles_1970-05-06_Everyone_Is_Seeing_Krishna.mp3</t>
  </si>
  <si>
    <t>Iso_02_LA_1970-05-06_Everyone_Is_Seeing_Krishna.mp3</t>
  </si>
  <si>
    <t>https://audio.iskcondesiretree.com/01_-_Srila_Prabhupada/01_-_Lectures/01_-_English/02_-_Month_wise/05_-_May/06/Iso_02_LA_1970-05-06_Everyone_Is_Seeing_Krishna.mp3</t>
  </si>
  <si>
    <t>SP_Isopanisad_10_Los_Angeles_1970-05-14_The_Senses.mp3</t>
  </si>
  <si>
    <t>https://audio.iskcondesiretree.com/01_-_Srila_Prabhupada/01_-_Lectures/01_-_English/01_-_Topic_wise/Isopanishad/SP_Isopanisad_10_Los_Angeles_1970-05-14_The_Senses.mp3</t>
  </si>
  <si>
    <t>Iso_10_LA_1970-05-14_The_Senses.mp3</t>
  </si>
  <si>
    <t>https://audio.iskcondesiretree.com/01_-_Srila_Prabhupada/01_-_Lectures/01_-_English/02_-_Month_wise/05_-_May/14/Iso_10_LA_1970-05-14_The_Senses.mp3</t>
  </si>
  <si>
    <t>SP_Isopanisad_15_Los_Angeles_1970-05-18_The_Senses_Defanged.mp3</t>
  </si>
  <si>
    <t>https://audio.iskcondesiretree.com/01_-_Srila_Prabhupada/01_-_Lectures/01_-_English/01_-_Topic_wise/Isopanishad/SP_Isopanisad_15_Los_Angeles_1970-05-18_The_Senses_Defanged.mp3</t>
  </si>
  <si>
    <t>Iso_15_LA_1970-05-18_The_Senses_Defanged.mp3</t>
  </si>
  <si>
    <t>https://audio.iskcondesiretree.com/01_-_Srila_Prabhupada/01_-_Lectures/01_-_English/02_-_Month_wise/05_-_May/18/Iso_15_LA_1970-05-18_The_Senses_Defanged.mp3</t>
  </si>
  <si>
    <t>Nectar_Of_Devotion</t>
  </si>
  <si>
    <t>SP_NOD_Los_Angles_1970-06-23_-_We_Don%27t_Want_Petty_Gods.mp3</t>
  </si>
  <si>
    <t>https://audio.iskcondesiretree.com/01_-_Srila_Prabhupada/01_-_Lectures/01_-_English/01_-_Topic_wise/Nectar_Of_Devotion/SP_NOD_Los_Angles_1970-06-23_-_We_Don%27t_Want_Petty_Gods.mp3</t>
  </si>
  <si>
    <t>NOD_Lect_LA_1970-06-23_We_Don%27t_Want_Petty_Gods.mp3</t>
  </si>
  <si>
    <t>https://audio.iskcondesiretree.com/01_-_Srila_Prabhupada/01_-_Lectures/01_-_English/02_-_Month_wise/06_-_June/23/NOD_Lect_LA_1970-06-23_We_Don%27t_Want_Petty_Gods.mp3</t>
  </si>
  <si>
    <t>SP_SB_2-01-01_Los_Angeles_1970-07-01_Death_Is_As_Sure_As_Death.mp3</t>
  </si>
  <si>
    <t>https://audio.iskcondesiretree.com/01_-_Srila_Prabhupada/01_-_Lectures/01_-_English/01_-_Topic_wise/Srimad_Bhagavatam/Canto-02/SP_SB_2-01-01_Los_Angeles_1970-07-01_Death_Is_As_Sure_As_Death.mp3</t>
  </si>
  <si>
    <t>SB_2-01-01_LA_1970-07-01_Death_Is_As_Sure_As_Death.mp3</t>
  </si>
  <si>
    <t>https://audio.iskcondesiretree.com/01_-_Srila_Prabhupada/01_-_Lectures/01_-_English/02_-_Month_wise/07_-_July/01/SB_2-01-01_LA_1970-07-01_Death_Is_As_Sure_As_Death.mp3</t>
  </si>
  <si>
    <t>SP_Festivals_San_Francisco_1970-07-04_Gundica_Marjana.mp3</t>
  </si>
  <si>
    <t>https://audio.iskcondesiretree.com/01_-_Srila_Prabhupada/01_-_Lectures/01_-_English/01_-_Topic_wise/Festivals/SP_Festivals_San_Francisco_1970-07-04_Gundica_Marjana.mp3</t>
  </si>
  <si>
    <t>Fest_SF_1970-07-04_Gundica_Marjana.mp3</t>
  </si>
  <si>
    <t>https://audio.iskcondesiretree.com/01_-_Srila_Prabhupada/01_-_Lectures/01_-_English/02_-_Month_wise/07_-_July/04/Fest_SF_1970-07-04_Gundica_Marjana.mp3</t>
  </si>
  <si>
    <t>SP_Festivals_Gorakhpur_1971-02-15_Bhaktisiddhanta_Appearance_AM.mp3</t>
  </si>
  <si>
    <t>https://audio.iskcondesiretree.com/01_-_Srila_Prabhupada/01_-_Lectures/01_-_English/01_-_Topic_wise/Festivals/SP_Festivals_Gorakhpur_1971-02-15_Bhaktisiddhanta_Appearance_AM.mp3</t>
  </si>
  <si>
    <t>SP_Festivals_Gorakhpur_1971-02-15_Bhaktisiddhanta_Appearance_PM.mp3</t>
  </si>
  <si>
    <t>https://audio.iskcondesiretree.com/01_-_Srila_Prabhupada/01_-_Lectures/01_-_English/01_-_Topic_wise/Festivals/SP_Festivals_Gorakhpur_1971-02-15_Bhaktisiddhanta_Appearance_PM.mp3</t>
  </si>
  <si>
    <t>Fest_GOR_1971-02-15_Bhaktisiddhanta_Appearance_AM.mp3</t>
  </si>
  <si>
    <t>https://audio.iskcondesiretree.com/01_-_Srila_Prabhupada/01_-_Lectures/01_-_English/02_-_Month_wise/02_-_Feburary/15/Fest_GOR_1971-02-15_Bhaktisiddhanta_Appearance_AM.mp3</t>
  </si>
  <si>
    <t>Fest_GOR_1971-02-15_Bhaktisiddhanta_Appearance_PM.mp3</t>
  </si>
  <si>
    <t>https://audio.iskcondesiretree.com/01_-_Srila_Prabhupada/01_-_Lectures/01_-_English/02_-_Month_wise/02_-_Feburary/15/Fest_GOR_1971-02-15_Bhaktisiddhanta_Appearance_PM.mp3</t>
  </si>
  <si>
    <t>SP_Lecture_Bombay_1971-03-17_Take_Shelter_of_the_Six_Goswamis.mp3</t>
  </si>
  <si>
    <t>https://audio.iskcondesiretree.com/01_-_Srila_Prabhupada/01_-_Lectures/01_-_English/01_-_Topic_wise/Various/SP_Lecture_Bombay_1971-03-17_Take_Shelter_of_the_Six_Goswamis.mp3</t>
  </si>
  <si>
    <t>Lect_BOM_1971-03-17_Take_Shelter_of_the_Six_Goswamis.mp3</t>
  </si>
  <si>
    <t>https://audio.iskcondesiretree.com/01_-_Srila_Prabhupada/01_-_Lectures/01_-_English/02_-_Month_wise/03_-_March/17/Lect_BOM_1971-03-17_Take_Shelter_of_the_Six_Goswamis.mp3</t>
  </si>
  <si>
    <t>SP_SB_7-07-19_Bombay_1971-03-18_Designations_-_Demoniac.mp3</t>
  </si>
  <si>
    <t>https://audio.iskcondesiretree.com/01_-_Srila_Prabhupada/01_-_Lectures/01_-_English/01_-_Topic_wise/Srimad_Bhagavatam/Canto-07/SP_SB_7-07-19_Bombay_1971-03-18_Designations_-_Demoniac.mp3</t>
  </si>
  <si>
    <t>SB_7-07-19_BOM_1971-03-18_Designations_Demoniac.mp3</t>
  </si>
  <si>
    <t>https://audio.iskcondesiretree.com/01_-_Srila_Prabhupada/01_-_Lectures/01_-_English/02_-_Month_wise/03_-_March/18/SB_7-07-19_BOM_1971-03-18_Designations_Demoniac.mp3</t>
  </si>
  <si>
    <t>SP_Lecture_Los_Angeles_1971-05-28_Just_Learn_How_to_Love_Krishna.mp3</t>
  </si>
  <si>
    <t>https://audio.iskcondesiretree.com/01_-_Srila_Prabhupada/01_-_Lectures/01_-_English/01_-_Topic_wise/Various/SP_Lecture_Los_Angeles_1971-05-28_Just_Learn_How_to_Love_Krishna.mp3</t>
  </si>
  <si>
    <t>SP_Lecture_Los_Angeles_1971-05-28_The_Most_Wonderful_Thing--And_One--etc.mp3</t>
  </si>
  <si>
    <t>https://audio.iskcondesiretree.com/01_-_Srila_Prabhupada/01_-_Lectures/01_-_English/01_-_Topic_wise/Various/SP_Lecture_Los_Angeles_1971-05-28_The_Most_Wonderful_Thing--And_One--etc.mp3</t>
  </si>
  <si>
    <t>Lect_LA_1971-05-28_Just_Learn_How_to_Love_Krishna.mp3</t>
  </si>
  <si>
    <t>https://audio.iskcondesiretree.com/01_-_Srila_Prabhupada/01_-_Lectures/01_-_English/02_-_Month_wise/05_-_May/28/Lect_LA_1971-05-28_Just_Learn_How_to_Love_Krishna.mp3</t>
  </si>
  <si>
    <t>Lect_LA_1971-05-28_The_Most_Wonderful_Thing_And_One_etc.mp3</t>
  </si>
  <si>
    <t>https://audio.iskcondesiretree.com/01_-_Srila_Prabhupada/01_-_Lectures/01_-_English/02_-_Month_wise/05_-_May/28/Lect_LA_1971-05-28_The_Most_Wonderful_Thing_And_One_etc.mp3</t>
  </si>
  <si>
    <t>SP_Festivals_San_Francisco_1971-06-27_Ratha-yatra--Do_Not_Think_There_is--etc.mp3</t>
  </si>
  <si>
    <t>https://audio.iskcondesiretree.com/01_-_Srila_Prabhupada/01_-_Lectures/01_-_English/01_-_Topic_wise/Festivals/SP_Festivals_San_Francisco_1971-06-27_Ratha-yatra--Do_Not_Think_There_is--etc.mp3</t>
  </si>
  <si>
    <t>SP_Festivals_San_Francisco_1971-06-27_Ratha-yatra--Spiritualize_Your--etc.mp3</t>
  </si>
  <si>
    <t>https://audio.iskcondesiretree.com/01_-_Srila_Prabhupada/01_-_Lectures/01_-_English/01_-_Topic_wise/Festivals/SP_Festivals_San_Francisco_1971-06-27_Ratha-yatra--Spiritualize_Your--etc.mp3</t>
  </si>
  <si>
    <t>SP_Lecture_San_Francisco_1971-06-27_On_Six_Goswamis--etc.mp3</t>
  </si>
  <si>
    <t>https://audio.iskcondesiretree.com/01_-_Srila_Prabhupada/01_-_Lectures/01_-_English/01_-_Topic_wise/Various/SP_Lecture_San_Francisco_1971-06-27_On_Six_Goswamis--etc.mp3</t>
  </si>
  <si>
    <t>Fest_SF_1971-06-27_Ratha-yatra-Do_Not_Think_There_is_etc.mp3</t>
  </si>
  <si>
    <t>https://audio.iskcondesiretree.com/01_-_Srila_Prabhupada/01_-_Lectures/01_-_English/02_-_Month_wise/06_-_June/27/Fest_SF_1971-06-27_Ratha-yatra-Do_Not_Think_There_is_etc.mp3</t>
  </si>
  <si>
    <t>Fest_SF_1971-06-27_Ratha-yatra-Spiritualize_Your_etc.mp3</t>
  </si>
  <si>
    <t>https://audio.iskcondesiretree.com/01_-_Srila_Prabhupada/01_-_Lectures/01_-_English/02_-_Month_wise/06_-_June/27/Fest_SF_1971-06-27_Ratha-yatra-Spiritualize_Your_etc.mp3</t>
  </si>
  <si>
    <t>Lect_SF_1971-06-27_On_Six_Goswamis_etc.mp3</t>
  </si>
  <si>
    <t>https://audio.iskcondesiretree.com/01_-_Srila_Prabhupada/01_-_Lectures/01_-_English/02_-_Month_wise/06_-_June/27/Lect_SF_1971-06-27_On_Six_Goswamis_etc.mp3</t>
  </si>
  <si>
    <t>SP_Festivals_Los_Angeles_1971-07-01_Ratha_Yatra.mp3</t>
  </si>
  <si>
    <t>https://audio.iskcondesiretree.com/01_-_Srila_Prabhupada/01_-_Lectures/01_-_English/01_-_Topic_wise/Festivals/SP_Festivals_Los_Angeles_1971-07-01_Ratha_Yatra.mp3</t>
  </si>
  <si>
    <t>Fest_LA_1971-07-01_Ratha_Yatra.mp3</t>
  </si>
  <si>
    <t>https://audio.iskcondesiretree.com/01_-_Srila_Prabhupada/01_-_Lectures/01_-_English/02_-_Month_wise/07_-_July/01/Fest_LA_1971-07-01_Ratha_Yatra.mp3</t>
  </si>
  <si>
    <t>SP_SB_6-01-11_New_York_1971-07-15_Karma_and_Again-and-Again_Cures.mp3</t>
  </si>
  <si>
    <t>https://audio.iskcondesiretree.com/01_-_Srila_Prabhupada/01_-_Lectures/01_-_English/01_-_Topic_wise/Srimad_Bhagavatam/Canto-06/SP_SB_6-01-11_New_York_1971-07-15_Karma_and_Again-and-Again_Cures.mp3</t>
  </si>
  <si>
    <t>SB_6-01-11_NY_1971-07-15_Karma_and_Again-and-Again_Cures.mp3</t>
  </si>
  <si>
    <t>https://audio.iskcondesiretree.com/01_-_Srila_Prabhupada/01_-_Lectures/01_-_English/02_-_Month_wise/07_-_July/15/SB_6-01-11_NY_1971-07-15_Karma_and_Again-and-Again_Cures.mp3</t>
  </si>
  <si>
    <t>SP_Lecture_Detroit_1971-07-17_Initiation--This_Kartala-Playing--etc.mp3</t>
  </si>
  <si>
    <t>https://audio.iskcondesiretree.com/01_-_Srila_Prabhupada/01_-_Lectures/01_-_English/01_-_Topic_wise/Various/SP_Lecture_Detroit_1971-07-17_Initiation--This_Kartala-Playing--etc.mp3</t>
  </si>
  <si>
    <t>Lect_DET_1971-07-17_Initiation-This_Kartala_Playing_etc.mp3</t>
  </si>
  <si>
    <t>https://audio.iskcondesiretree.com/01_-_Srila_Prabhupada/01_-_Lectures/01_-_English/02_-_Month_wise/07_-_July/17/Lect_DET_1971-07-17_Initiation-This_Kartala_Playing_etc.mp3</t>
  </si>
  <si>
    <t>SP_Lecture_New_York_1971-07-20_Horseless_Carriage_-_Wingless--etc.mp3</t>
  </si>
  <si>
    <t>https://audio.iskcondesiretree.com/01_-_Srila_Prabhupada/01_-_Lectures/01_-_English/01_-_Topic_wise/Various/SP_Lecture_New_York_1971-07-20_Horseless_Carriage_-_Wingless--etc.mp3</t>
  </si>
  <si>
    <t>Lect_NY_1971-07-20_Horseless_Carriage_Wingless_etc.mp3</t>
  </si>
  <si>
    <t>https://audio.iskcondesiretree.com/01_-_Srila_Prabhupada/01_-_Lectures/01_-_English/02_-_Month_wise/07_-_July/20/Lect_NY_1971-07-20_Horseless_Carriage_Wingless_etc.mp3</t>
  </si>
  <si>
    <t>SP_SB_6-01-08_New_York_1971-07-22_Krishna_Is--etc.mp3</t>
  </si>
  <si>
    <t>https://audio.iskcondesiretree.com/01_-_Srila_Prabhupada/01_-_Lectures/01_-_English/01_-_Topic_wise/Srimad_Bhagavatam/Canto-06/SP_SB_6-01-08_New_York_1971-07-22_Krishna_Is--etc.mp3</t>
  </si>
  <si>
    <t>SB_6-01-08_NY_1971-07-22_Krishna_Is_etc.mp3</t>
  </si>
  <si>
    <t>https://audio.iskcondesiretree.com/01_-_Srila_Prabhupada/01_-_Lectures/01_-_English/02_-_Month_wise/07_-_July/22/SB_6-01-08_NY_1971-07-22_Krishna_Is_etc.mp3</t>
  </si>
  <si>
    <t>SP_SB_6-01-09_New_York_1971-07-24_Heinous_Proposals_-_Heinous_Habits.mp3</t>
  </si>
  <si>
    <t>https://audio.iskcondesiretree.com/01_-_Srila_Prabhupada/01_-_Lectures/01_-_English/01_-_Topic_wise/Srimad_Bhagavatam/Canto-06/SP_SB_6-01-09_New_York_1971-07-24_Heinous_Proposals_-_Heinous_Habits.mp3</t>
  </si>
  <si>
    <t>SB_6-01-09_NY_1971-07-24_Heinous_Proposals_Heinous_Habits.mp3</t>
  </si>
  <si>
    <t>https://audio.iskcondesiretree.com/01_-_Srila_Prabhupada/01_-_Lectures/01_-_English/02_-_Month_wise/07_-_July/24/SB_6-01-09_NY_1971-07-24_Heinous_Proposals_Heinous_Habits.mp3</t>
  </si>
  <si>
    <t>SP_Arrival_Gainesville_1971-07-29_Everyone_Has_Got_Love_For_Krishna.mp3</t>
  </si>
  <si>
    <t>https://audio.iskcondesiretree.com/01_-_Srila_Prabhupada/01_-_Lectures/01_-_English/01_-_Topic_wise/Arrival_Address/SP_Arrival_Gainesville_1971-07-29_Everyone_Has_Got_Love_For_Krishna.mp3</t>
  </si>
  <si>
    <t>SP_BG_07-01_Gainesville_1971-07-29_This_Movement_Appeals--etc.mp3</t>
  </si>
  <si>
    <t>https://audio.iskcondesiretree.com/01_-_Srila_Prabhupada/01_-_Lectures/01_-_English/01_-_Topic_wise/Bhagavad_Gita/Chapter-07/SP_BG_07-01_Gainesville_1971-07-29_This_Movement_Appeals--etc.mp3</t>
  </si>
  <si>
    <t>SP_Interview_Gainesville_1971-07-29_The_Only_Way_to_Love_God_In_This_Age.mp3</t>
  </si>
  <si>
    <t>https://audio.iskcondesiretree.com/01_-_Srila_Prabhupada/01_-_Lectures/01_-_English/01_-_Topic_wise/Interview/SP_Interview_Gainesville_1971-07-29_The_Only_Way_to_Love_God_In_This_Age.mp3</t>
  </si>
  <si>
    <t>Arr_GAI_1971-07-29_Everyone_Has_Got_Love_For_Krishna.mp3</t>
  </si>
  <si>
    <t>https://audio.iskcondesiretree.com/01_-_Srila_Prabhupada/01_-_Lectures/01_-_English/02_-_Month_wise/07_-_July/29/Arr_GAI_1971-07-29_Everyone_Has_Got_Love_For_Krishna.mp3</t>
  </si>
  <si>
    <t>Bg_07-01_GAI_1971-07-29_This_Movement_Appeals_etc.mp3</t>
  </si>
  <si>
    <t>https://audio.iskcondesiretree.com/01_-_Srila_Prabhupada/01_-_Lectures/01_-_English/02_-_Month_wise/07_-_July/29/Bg_07-01_GAI_1971-07-29_This_Movement_Appeals_etc.mp3</t>
  </si>
  <si>
    <t>Interv_GAI_1971-07-29_The_Only_Way_to_Love_God_In_This_Age.mp3</t>
  </si>
  <si>
    <t>https://audio.iskcondesiretree.com/01_-_Srila_Prabhupada/01_-_Lectures/01_-_English/02_-_Month_wise/07_-_July/29/Interv_GAI_1971-07-29_The_Only_Way_to_Love_God_In_This_Age.mp3</t>
  </si>
  <si>
    <t>SP_SB_6-01-15_London_1971-08-03_Understand_Krishna-Be_Liberated.mp3</t>
  </si>
  <si>
    <t>https://audio.iskcondesiretree.com/01_-_Srila_Prabhupada/01_-_Lectures/01_-_English/01_-_Topic_wise/Srimad_Bhagavatam/Canto-06/SP_SB_6-01-15_London_1971-08-03_Understand_Krishna-Be_Liberated.mp3</t>
  </si>
  <si>
    <t>SB_6-01-15_LON_1971-08-03_Understand_Krishna-Be_Liberated.mp3</t>
  </si>
  <si>
    <t>https://audio.iskcondesiretree.com/01_-_Srila_Prabhupada/01_-_Lectures/01_-_English/02_-_Month_wise/08_-_August/03/SB_6-01-15_LON_1971-08-03_Understand_Krishna-Be_Liberated.mp3</t>
  </si>
  <si>
    <t>SP_BG_07-01_London_1971-08-04_Beauty_of_Brahminical_Culture.mp3</t>
  </si>
  <si>
    <t>https://audio.iskcondesiretree.com/01_-_Srila_Prabhupada/01_-_Lectures/01_-_English/01_-_Topic_wise/Bhagavad_Gita/Chapter-07/SP_BG_07-01_London_1971-08-04_Beauty_of_Brahminical_Culture.mp3</t>
  </si>
  <si>
    <t>Bg_07-01_LON_1971-08-04_Beauty_of_Brahminical_Culture.mp3</t>
  </si>
  <si>
    <t>https://audio.iskcondesiretree.com/01_-_Srila_Prabhupada/01_-_Lectures/01_-_English/02_-_Month_wise/08_-_August/04/Bg_07-01_LON_1971-08-04_Beauty_of_Brahminical_Culture.mp3</t>
  </si>
  <si>
    <t>Chapter-16</t>
  </si>
  <si>
    <t>SP_BG_16-05_Calcutta_1972-02-23_Some_Way_or_Other_Become--etc.mp3</t>
  </si>
  <si>
    <t>https://audio.iskcondesiretree.com/01_-_Srila_Prabhupada/01_-_Lectures/01_-_English/01_-_Topic_wise/Bhagavad_Gita/Chapter-16/SP_BG_16-05_Calcutta_1972-02-23_Some_Way_or_Other_Become--etc.mp3</t>
  </si>
  <si>
    <t>SP_SB_1-02-06_Calcutta_1972-02-23_The_Spirit_of_Giving_to--etc.mp3</t>
  </si>
  <si>
    <t>https://audio.iskcondesiretree.com/01_-_Srila_Prabhupada/01_-_Lectures/01_-_English/01_-_Topic_wise/Srimad_Bhagavatam/Canto-01/SP_SB_1-02-06_Calcutta_1972-02-23_The_Spirit_of_Giving_to--etc.mp3</t>
  </si>
  <si>
    <t>Bg_16-05_CAL_1972-02-23_Some_Way_or_Other_Become_etc.mp3</t>
  </si>
  <si>
    <t>https://audio.iskcondesiretree.com/01_-_Srila_Prabhupada/01_-_Lectures/01_-_English/02_-_Month_wise/02_-_Feburary/23/Bg_16-05_CAL_1972-02-23_Some_Way_or_Other_Become_etc.mp3</t>
  </si>
  <si>
    <t>SB_1-02-06_CAL_1972-02-23_The_Spirit_of_Giving_to_etc.mp3</t>
  </si>
  <si>
    <t>https://audio.iskcondesiretree.com/01_-_Srila_Prabhupada/01_-_Lectures/01_-_English/02_-_Month_wise/02_-_Feburary/23/SB_1-02-06_CAL_1972-02-23_The_Spirit_of_Giving_to_etc.mp3</t>
  </si>
  <si>
    <t>SP_Lecture_Calcutta_1972-02-24_The_Origin_Was_A_Chunk--We_Are--etc.mp3</t>
  </si>
  <si>
    <t>https://audio.iskcondesiretree.com/01_-_Srila_Prabhupada/01_-_Lectures/01_-_English/01_-_Topic_wise/Various/SP_Lecture_Calcutta_1972-02-24_The_Origin_Was_A_Chunk--We_Are--etc.mp3</t>
  </si>
  <si>
    <t>Lect_CAL_1972-02-24_The_Origin_Was_A_Chunk--We_Are_etc.mp3</t>
  </si>
  <si>
    <t>https://audio.iskcondesiretree.com/01_-_Srila_Prabhupada/01_-_Lectures/01_-_English/02_-_Month_wise/02_-_Feburary/24/Lect_CAL_1972-02-24_The_Origin_Was_A_Chunk--We_Are_etc.mp3</t>
  </si>
  <si>
    <t>SP_Lecture_Calcutta_1972-03-06_Elevating_The_Low-Born--_and_the_High-Born.mp3</t>
  </si>
  <si>
    <t>https://audio.iskcondesiretree.com/01_-_Srila_Prabhupada/01_-_Lectures/01_-_English/01_-_Topic_wise/Various/SP_Lecture_Calcutta_1972-03-06_Elevating_The_Low-Born--_and_the_High-Born.mp3</t>
  </si>
  <si>
    <t>Lect_CAL_1972-03-06_Elevating_The_Low-Born--_and_the_High-Born.mp3</t>
  </si>
  <si>
    <t>https://audio.iskcondesiretree.com/01_-_Srila_Prabhupada/01_-_Lectures/01_-_English/02_-_Month_wise/03_-_March/06/Lect_CAL_1972-03-06_Elevating_The_Low-Born--_and_the_High-Born.mp3</t>
  </si>
  <si>
    <t>SP_Arrival_Los_Angeles_1972-05-18_Seeing_the_Source_of_This_Love.mp3</t>
  </si>
  <si>
    <t>https://audio.iskcondesiretree.com/01_-_Srila_Prabhupada/01_-_Lectures/01_-_English/01_-_Topic_wise/Arrival_Address/SP_Arrival_Los_Angeles_1972-05-18_Seeing_the_Source_of_This_Love.mp3</t>
  </si>
  <si>
    <t>SP_Lecture_Los_Angeles_1972-05-18_Krishna-All_Attractive_Just_Imagine.mp3</t>
  </si>
  <si>
    <t>https://audio.iskcondesiretree.com/01_-_Srila_Prabhupada/01_-_Lectures/01_-_English/01_-_Topic_wise/Various/SP_Lecture_Los_Angeles_1972-05-18_Krishna-All_Attractive_Just_Imagine.mp3</t>
  </si>
  <si>
    <t>Arr_LA_1972-05-18_Seeing_the_Source_of_This_Love.mp3</t>
  </si>
  <si>
    <t>https://audio.iskcondesiretree.com/01_-_Srila_Prabhupada/01_-_Lectures/01_-_English/02_-_Month_wise/05_-_May/18/Arr_LA_1972-05-18_Seeing_the_Source_of_This_Love.mp3</t>
  </si>
  <si>
    <t>Lect_LA_1972-05-18_Krishna-All_Attractive_Just_Imagine.mp3</t>
  </si>
  <si>
    <t>https://audio.iskcondesiretree.com/01_-_Srila_Prabhupada/01_-_Lectures/01_-_English/02_-_Month_wise/05_-_May/18/Lect_LA_1972-05-18_Krishna-All_Attractive_Just_Imagine.mp3</t>
  </si>
  <si>
    <t>SP_SB_2-03-01_Los_Angeles_1972-05-19_Who_Can_Say_%27I%27m_Not_on_the--etc.mp3</t>
  </si>
  <si>
    <t>https://audio.iskcondesiretree.com/01_-_Srila_Prabhupada/01_-_Lectures/01_-_English/01_-_Topic_wise/Srimad_Bhagavatam/Canto-02/SP_SB_2-03-01_Los_Angeles_1972-05-19_Who_Can_Say_%27I%27m_Not_on_the--etc.mp3</t>
  </si>
  <si>
    <t>SB_2-03-01_LA_1972-05-19_Who_Can_Say_I_m_Not_on_the_etc.mp3</t>
  </si>
  <si>
    <t>https://audio.iskcondesiretree.com/01_-_Srila_Prabhupada/01_-_Lectures/01_-_English/02_-_Month_wise/05_-_May/19/SB_2-03-01_LA_1972-05-19_Who_Can_Say_I_m_Not_on_the_etc.mp3</t>
  </si>
  <si>
    <t>SP_SB_2-03-02_Los_Angeles_1972-05-20_Why_Are_You_Going_to_Hell.mp3</t>
  </si>
  <si>
    <t>https://audio.iskcondesiretree.com/01_-_Srila_Prabhupada/01_-_Lectures/01_-_English/01_-_Topic_wise/Srimad_Bhagavatam/Canto-02/SP_SB_2-03-02_Los_Angeles_1972-05-20_Why_Are_You_Going_to_Hell.mp3</t>
  </si>
  <si>
    <t>SB_2-03-02_LA_1972-05-20_Why_Are_You_Going_to_Hell.mp3</t>
  </si>
  <si>
    <t>https://audio.iskcondesiretree.com/01_-_Srila_Prabhupada/01_-_Lectures/01_-_English/02_-_Month_wise/05_-_May/20/SB_2-03-02_LA_1972-05-20_Why_Are_You_Going_to_Hell.mp3</t>
  </si>
  <si>
    <t>SP_Lecture_Los_Angeles_1972-05-21_Sunday_Feast--The_Higher_Science.mp3</t>
  </si>
  <si>
    <t>https://audio.iskcondesiretree.com/01_-_Srila_Prabhupada/01_-_Lectures/01_-_English/01_-_Topic_wise/Various/SP_Lecture_Los_Angeles_1972-05-21_Sunday_Feast--The_Higher_Science.mp3</t>
  </si>
  <si>
    <t>Lect_LA_1972-05-21_Sunday_Feast--The_Higher_Science.mp3</t>
  </si>
  <si>
    <t>https://audio.iskcondesiretree.com/01_-_Srila_Prabhupada/01_-_Lectures/01_-_English/02_-_Month_wise/05_-_May/21/Lect_LA_1972-05-21_Sunday_Feast--The_Higher_Science.mp3</t>
  </si>
  <si>
    <t>SP_SB_2-03-01_Los_Angeles_1972-05-22_If_You_Want_Vagina_Instead_of_Krishna.mp3</t>
  </si>
  <si>
    <t>https://audio.iskcondesiretree.com/01_-_Srila_Prabhupada/01_-_Lectures/01_-_English/01_-_Topic_wise/Srimad_Bhagavatam/Canto-02/SP_SB_2-03-01_Los_Angeles_1972-05-22_If_You_Want_Vagina_Instead_of_Krishna.mp3</t>
  </si>
  <si>
    <t>SB_2-03-01_LA_1972-05-22_If_You_Want_Vagina_Instead_of_Krishna.mp3</t>
  </si>
  <si>
    <t>https://audio.iskcondesiretree.com/01_-_Srila_Prabhupada/01_-_Lectures/01_-_English/02_-_Month_wise/05_-_May/22/SB_2-03-01_LA_1972-05-22_If_You_Want_Vagina_Instead_of_Krishna.mp3</t>
  </si>
  <si>
    <t>SP_SB_2-03-09_Los_Angeles_1972-05-26_If_You_Actually_Want_Freedom--etc.mp3</t>
  </si>
  <si>
    <t>https://audio.iskcondesiretree.com/01_-_Srila_Prabhupada/01_-_Lectures/01_-_English/01_-_Topic_wise/Srimad_Bhagavatam/Canto-02/SP_SB_2-03-09_Los_Angeles_1972-05-26_If_You_Actually_Want_Freedom--etc.mp3</t>
  </si>
  <si>
    <t>SB_2-03-09_LA_1972-05-26_If_You_Actually_Want_Freedom_etc.mp3</t>
  </si>
  <si>
    <t>https://audio.iskcondesiretree.com/01_-_Srila_Prabhupada/01_-_Lectures/01_-_English/02_-_Month_wise/05_-_May/26/SB_2-03-09_LA_1972-05-26_If_You_Actually_Want_Freedom_etc.mp3</t>
  </si>
  <si>
    <t>SP_Festivals_Los_Angeles_1972-05-27_Nrsimhadeva_Appearance--Divinity%2C--etc.mp3</t>
  </si>
  <si>
    <t>https://audio.iskcondesiretree.com/01_-_Srila_Prabhupada/01_-_Lectures/01_-_English/01_-_Topic_wise/Festivals/SP_Festivals_Los_Angeles_1972-05-27_Nrsimhadeva_Appearance--Divinity%2C--etc.mp3</t>
  </si>
  <si>
    <t>SP_Lecture_Los_Angeles_1972-05-27_Initiation--This_Foolish_Civilization.mp3</t>
  </si>
  <si>
    <t>https://audio.iskcondesiretree.com/01_-_Srila_Prabhupada/01_-_Lectures/01_-_English/01_-_Topic_wise/Various/SP_Lecture_Los_Angeles_1972-05-27_Initiation--This_Foolish_Civilization.mp3</t>
  </si>
  <si>
    <t>Fest_LA_1972-05-27_Nrsimhadeva_Appearance_Divinity_etc.mp3</t>
  </si>
  <si>
    <t>https://audio.iskcondesiretree.com/01_-_Srila_Prabhupada/01_-_Lectures/01_-_English/02_-_Month_wise/05_-_May/27/Fest_LA_1972-05-27_Nrsimhadeva_Appearance_Divinity_etc.mp3</t>
  </si>
  <si>
    <t>Lect_LA_1972-05-27_Initiation-This_Foolish_Civilization.mp3</t>
  </si>
  <si>
    <t>https://audio.iskcondesiretree.com/01_-_Srila_Prabhupada/01_-_Lectures/01_-_English/02_-_Month_wise/05_-_May/27/Lect_LA_1972-05-27_Initiation-This_Foolish_Civilization.mp3</t>
  </si>
  <si>
    <t>Lect_LA_1972-05-27_Initiation_Sannyasa.mp3</t>
  </si>
  <si>
    <t>https://audio.iskcondesiretree.com/01_-_Srila_Prabhupada/01_-_Lectures/01_-_English/02_-_Month_wise/05_-_May/27/Lect_LA_1972-05-27_Initiation_Sannyasa.mp3</t>
  </si>
  <si>
    <t>SP_SB_2-03-10_Los_Angeles_1972-05-28_Only_a_Devotee_of_Krishna--etc.mp3</t>
  </si>
  <si>
    <t>https://audio.iskcondesiretree.com/01_-_Srila_Prabhupada/01_-_Lectures/01_-_English/01_-_Topic_wise/Srimad_Bhagavatam/Canto-02/SP_SB_2-03-10_Los_Angeles_1972-05-28_Only_a_Devotee_of_Krishna--etc.mp3</t>
  </si>
  <si>
    <t>SB_2-03-10_LA_1972-05-28_Only_a_Devotee_of_Krishna_etc.mp3</t>
  </si>
  <si>
    <t>https://audio.iskcondesiretree.com/01_-_Srila_Prabhupada/01_-_Lectures/01_-_English/02_-_Month_wise/05_-_May/28/SB_2-03-10_LA_1972-05-28_Only_a_Devotee_of_Krishna_etc.mp3</t>
  </si>
  <si>
    <t>SP_SB_2-03-13_Los_Angeles_1972-05-30_A_Devotee_Is_Kind.mp3</t>
  </si>
  <si>
    <t>https://audio.iskcondesiretree.com/01_-_Srila_Prabhupada/01_-_Lectures/01_-_English/01_-_Topic_wise/Srimad_Bhagavatam/Canto-02/SP_SB_2-03-13_Los_Angeles_1972-05-30_A_Devotee_Is_Kind.mp3</t>
  </si>
  <si>
    <t>SB_2-03-13_LA_1972-05-30_A_Devotee_Is_Kind.mp3</t>
  </si>
  <si>
    <t>https://audio.iskcondesiretree.com/01_-_Srila_Prabhupada/01_-_Lectures/01_-_English/02_-_Month_wise/05_-_May/30/SB_2-03-13_LA_1972-05-30_A_Devotee_Is_Kind.mp3</t>
  </si>
  <si>
    <t>SP_SB_2-03-14-15_Los_Angeles_1972-05-31_If_You_Actually_Feel_for_People.mp3</t>
  </si>
  <si>
    <t>https://audio.iskcondesiretree.com/01_-_Srila_Prabhupada/01_-_Lectures/01_-_English/01_-_Topic_wise/Srimad_Bhagavatam/Canto-02/SP_SB_2-03-14-15_Los_Angeles_1972-05-31_If_You_Actually_Feel_for_People.mp3</t>
  </si>
  <si>
    <t>SP_SB_2-03-14_Los_Angeles_1972-05-31_If_You_Actually_Feel_for_People.mp3</t>
  </si>
  <si>
    <t>https://audio.iskcondesiretree.com/01_-_Srila_Prabhupada/01_-_Lectures/01_-_English/01_-_Topic_wise/Srimad_Bhagavatam/Canto-02/SP_SB_2-03-14_Los_Angeles_1972-05-31_If_You_Actually_Feel_for_People.mp3</t>
  </si>
  <si>
    <t>SB_2-03-14_LA_1972-05-31_If_You_Actually_Feel_for_People.mp3</t>
  </si>
  <si>
    <t>https://audio.iskcondesiretree.com/01_-_Srila_Prabhupada/01_-_Lectures/01_-_English/02_-_Month_wise/05_-_May/31/SB_2-03-14_LA_1972-05-31_If_You_Actually_Feel_for_People.mp3</t>
  </si>
  <si>
    <t>SP_SB_2-03-15_Los_Angeles_1972-06-01_Devotion_to_Krishna.mp3</t>
  </si>
  <si>
    <t>https://audio.iskcondesiretree.com/01_-_Srila_Prabhupada/01_-_Lectures/01_-_English/01_-_Topic_wise/Srimad_Bhagavatam/Canto-02/SP_SB_2-03-15_Los_Angeles_1972-06-01_Devotion_to_Krishna.mp3</t>
  </si>
  <si>
    <t>SB_2-03-15_LA_1972-06-01_Devotion_to_Krishna.mp3</t>
  </si>
  <si>
    <t>https://audio.iskcondesiretree.com/01_-_Srila_Prabhupada/01_-_Lectures/01_-_English/02_-_Month_wise/06_-_June/01/SB_2-03-15_LA_1972-06-01_Devotion_to_Krishna.mp3</t>
  </si>
  <si>
    <t>SP_SB_2-03-17_Los_Angeles_1972-06-12_If_You_Want_to_Live_Forever.mp3</t>
  </si>
  <si>
    <t>https://audio.iskcondesiretree.com/01_-_Srila_Prabhupada/01_-_Lectures/01_-_English/01_-_Topic_wise/Srimad_Bhagavatam/Canto-02/SP_SB_2-03-17_Los_Angeles_1972-06-12_If_You_Want_to_Live_Forever.mp3</t>
  </si>
  <si>
    <t>SB_2-03-17_LA_1972-06-12_If_You_Want_to_Live_Forever.mp3</t>
  </si>
  <si>
    <t>https://audio.iskcondesiretree.com/01_-_Srila_Prabhupada/01_-_Lectures/01_-_English/02_-_Month_wise/06_-_June/12/SB_2-03-17_LA_1972-06-12_If_You_Want_to_Live_Forever.mp3</t>
  </si>
  <si>
    <t>SP_SB_2-03-18-19_Los_Angeles_1972-06-13_Hogs_Dogs_Camels_and_Asses.mp3</t>
  </si>
  <si>
    <t>https://audio.iskcondesiretree.com/01_-_Srila_Prabhupada/01_-_Lectures/01_-_English/01_-_Topic_wise/Srimad_Bhagavatam/Canto-02/SP_SB_2-03-18-19_Los_Angeles_1972-06-13_Hogs_Dogs_Camels_and_Asses.mp3</t>
  </si>
  <si>
    <t>SP_SB_2-03-18_Los_Angeles_1972-06-13_Hogs_Dogs_Camels_and_Asses.mp3</t>
  </si>
  <si>
    <t>https://audio.iskcondesiretree.com/01_-_Srila_Prabhupada/01_-_Lectures/01_-_English/01_-_Topic_wise/Srimad_Bhagavatam/Canto-02/SP_SB_2-03-18_Los_Angeles_1972-06-13_Hogs_Dogs_Camels_and_Asses.mp3</t>
  </si>
  <si>
    <t>SP_SB_2-03-19_Los_Angeles_1972-06-13_Doghouse_or_Igloo-_Home_Sweet_Home.mp3</t>
  </si>
  <si>
    <t>https://audio.iskcondesiretree.com/01_-_Srila_Prabhupada/01_-_Lectures/01_-_English/01_-_Topic_wise/Srimad_Bhagavatam/Canto-02/SP_SB_2-03-19_Los_Angeles_1972-06-13_Doghouse_or_Igloo-_Home_Sweet_Home.mp3</t>
  </si>
  <si>
    <t>SB_2-03-18_LA_1972-06-13_Hogs%2C_Dogs%2C_Camels_and_Asses.mp3</t>
  </si>
  <si>
    <t>https://audio.iskcondesiretree.com/01_-_Srila_Prabhupada/01_-_Lectures/01_-_English/02_-_Month_wise/06_-_June/13/SB_2-03-18_LA_1972-06-13_Hogs%2C_Dogs%2C_Camels_and_Asses.mp3</t>
  </si>
  <si>
    <t>SB_2-03-19_LA_1972-06-13_Doghouse_or_Igloo-_Home_Sweet_Home.mp3</t>
  </si>
  <si>
    <t>https://audio.iskcondesiretree.com/01_-_Srila_Prabhupada/01_-_Lectures/01_-_English/02_-_Month_wise/06_-_June/13/SB_2-03-19_LA_1972-06-13_Doghouse_or_Igloo-_Home_Sweet_Home.mp3</t>
  </si>
  <si>
    <t>SP_SB_2-03-19_Los_Angeles_1972-06-15_A_Thorn_Chewing--etc.mp3</t>
  </si>
  <si>
    <t>https://audio.iskcondesiretree.com/01_-_Srila_Prabhupada/01_-_Lectures/01_-_English/01_-_Topic_wise/Srimad_Bhagavatam/Canto-02/SP_SB_2-03-19_Los_Angeles_1972-06-15_A_Thorn_Chewing--etc.mp3</t>
  </si>
  <si>
    <t>SB_2-03-19_LA_1972-06-15_A_Thorn_Chewing_etc.mp3</t>
  </si>
  <si>
    <t>https://audio.iskcondesiretree.com/01_-_Srila_Prabhupada/01_-_Lectures/01_-_English/02_-_Month_wise/06_-_June/15/SB_2-03-19_LA_1972-06-15_A_Thorn_Chewing_etc.mp3</t>
  </si>
  <si>
    <t>SP_SB_2-03-20-21_Los_Angeles_1972-06-16_Ear_Holes_Like_Snake_Holes.mp3</t>
  </si>
  <si>
    <t>https://audio.iskcondesiretree.com/01_-_Srila_Prabhupada/01_-_Lectures/01_-_English/01_-_Topic_wise/Srimad_Bhagavatam/Canto-02/SP_SB_2-03-20-21_Los_Angeles_1972-06-16_Ear_Holes_Like_Snake_Holes.mp3</t>
  </si>
  <si>
    <t>SP_SB_2-03-20_Los_Angeles_1972-06-16_Ear_Holes_Like_Snake_Holes.mp3</t>
  </si>
  <si>
    <t>https://audio.iskcondesiretree.com/01_-_Srila_Prabhupada/01_-_Lectures/01_-_English/01_-_Topic_wise/Srimad_Bhagavatam/Canto-02/SP_SB_2-03-20_Los_Angeles_1972-06-16_Ear_Holes_Like_Snake_Holes.mp3</t>
  </si>
  <si>
    <t>SB_2-03-20_LA_1972-06-16_Ear_Holes_Like_Snake_Holes.mp3</t>
  </si>
  <si>
    <t>https://audio.iskcondesiretree.com/01_-_Srila_Prabhupada/01_-_Lectures/01_-_English/02_-_Month_wise/06_-_June/16/SB_2-03-20_LA_1972-06-16_Ear_Holes_Like_Snake_Holes.mp3</t>
  </si>
  <si>
    <t>SP_SB_2-03-20_Los_Angeles_1972-06-17_Criminal_Enjoyment.mp3</t>
  </si>
  <si>
    <t>https://audio.iskcondesiretree.com/01_-_Srila_Prabhupada/01_-_Lectures/01_-_English/01_-_Topic_wise/Srimad_Bhagavatam/Canto-02/SP_SB_2-03-20_Los_Angeles_1972-06-17_Criminal_Enjoyment.mp3</t>
  </si>
  <si>
    <t>SB_2-03-20_LA_1972-06-17_Criminal_Enjoyment.mp3</t>
  </si>
  <si>
    <t>https://audio.iskcondesiretree.com/01_-_Srila_Prabhupada/01_-_Lectures/01_-_English/02_-_Month_wise/06_-_June/17/SB_2-03-20_LA_1972-06-17_Criminal_Enjoyment.mp3</t>
  </si>
  <si>
    <t>SP_SB_2-03-21_Los_Angeles_1972-06-18_Lifting_the_Burden_from_Society.mp3</t>
  </si>
  <si>
    <t>https://audio.iskcondesiretree.com/01_-_Srila_Prabhupada/01_-_Lectures/01_-_English/01_-_Topic_wise/Srimad_Bhagavatam/Canto-02/SP_SB_2-03-21_Los_Angeles_1972-06-18_Lifting_the_Burden_from_Society.mp3</t>
  </si>
  <si>
    <t>SB_2-03-21_LA_1972-06-18_Lifting_the_Burden_from_Society.mp3</t>
  </si>
  <si>
    <t>https://audio.iskcondesiretree.com/01_-_Srila_Prabhupada/01_-_Lectures/01_-_English/02_-_Month_wise/06_-_June/18/SB_2-03-21_LA_1972-06-18_Lifting_the_Burden_from_Society.mp3</t>
  </si>
  <si>
    <t>SP_SB_2-03-22_Los_Angeles_1972-06-19_Peacock-plume_Eyes.mp3</t>
  </si>
  <si>
    <t>https://audio.iskcondesiretree.com/01_-_Srila_Prabhupada/01_-_Lectures/01_-_English/01_-_Topic_wise/Srimad_Bhagavatam/Canto-02/SP_SB_2-03-22_Los_Angeles_1972-06-19_Peacock-plume_Eyes.mp3</t>
  </si>
  <si>
    <t>SB_2-03-22_LA_1972-06-19_Peacock-plume_Eyes.mp3</t>
  </si>
  <si>
    <t>https://audio.iskcondesiretree.com/01_-_Srila_Prabhupada/01_-_Lectures/01_-_English/02_-_Month_wise/06_-_June/19/SB_2-03-22_LA_1972-06-19_Peacock-plume_Eyes.mp3</t>
  </si>
  <si>
    <t>SP_SB_2-03-23_Los_Angeles_1972-06-20_Only_a_Devotee_of_a_Devotee--etc.mp3</t>
  </si>
  <si>
    <t>https://audio.iskcondesiretree.com/01_-_Srila_Prabhupada/01_-_Lectures/01_-_English/01_-_Topic_wise/Srimad_Bhagavatam/Canto-02/SP_SB_2-03-23_Los_Angeles_1972-06-20_Only_a_Devotee_of_a_Devotee--etc.mp3</t>
  </si>
  <si>
    <t>SB_2-03-23_LA_1972-06-20_Only_a_Devotee_of_a_Devotee_etc.mp3</t>
  </si>
  <si>
    <t>https://audio.iskcondesiretree.com/01_-_Srila_Prabhupada/01_-_Lectures/01_-_English/02_-_Month_wise/06_-_June/20/SB_2-03-23_LA_1972-06-20_Only_a_Devotee_of_a_Devotee_etc.mp3</t>
  </si>
  <si>
    <t>SP_SB_2-03-24_Los_Angeles_1972-06-22_Steel-framed_Hearts.mp3</t>
  </si>
  <si>
    <t>https://audio.iskcondesiretree.com/01_-_Srila_Prabhupada/01_-_Lectures/01_-_English/01_-_Topic_wise/Srimad_Bhagavatam/Canto-02/SP_SB_2-03-24_Los_Angeles_1972-06-22_Steel-framed_Hearts.mp3</t>
  </si>
  <si>
    <t>SB_2-03-24_LA_1972-06-22_Steel_framed_Hearts.mp3</t>
  </si>
  <si>
    <t>https://audio.iskcondesiretree.com/01_-_Srila_Prabhupada/01_-_Lectures/01_-_English/02_-_Month_wise/06_-_June/22/SB_2-03-24_LA_1972-06-22_Steel_framed_Hearts.mp3</t>
  </si>
  <si>
    <t>SP_SB_2-03-25_Los_Angeles_1972-06-23_Spiritual_Realization--etc.mp3</t>
  </si>
  <si>
    <t>https://audio.iskcondesiretree.com/01_-_Srila_Prabhupada/01_-_Lectures/01_-_English/01_-_Topic_wise/Srimad_Bhagavatam/Canto-02/SP_SB_2-03-25_Los_Angeles_1972-06-23_Spiritual_Realization--etc.mp3</t>
  </si>
  <si>
    <t>SB_2-03-25_LA_1972-06-23_Spiritual_Realization_etc.mp3</t>
  </si>
  <si>
    <t>https://audio.iskcondesiretree.com/01_-_Srila_Prabhupada/01_-_Lectures/01_-_English/02_-_Month_wise/06_-_June/23/SB_2-03-25_LA_1972-06-23_Spiritual_Realization_etc.mp3</t>
  </si>
  <si>
    <t>SP_SB_2-04-01_Los_Angeles_1972-06-24_Searching_After_Krishna.mp3</t>
  </si>
  <si>
    <t>https://audio.iskcondesiretree.com/01_-_Srila_Prabhupada/01_-_Lectures/01_-_English/01_-_Topic_wise/Srimad_Bhagavatam/Canto-02/SP_SB_2-04-01_Los_Angeles_1972-06-24_Searching_After_Krishna.mp3</t>
  </si>
  <si>
    <t>SB_2-04-01_LA_1972-06-24_Searching_After_Krishna.mp3</t>
  </si>
  <si>
    <t>https://audio.iskcondesiretree.com/01_-_Srila_Prabhupada/01_-_Lectures/01_-_English/02_-_Month_wise/06_-_June/24/SB_2-04-01_LA_1972-06-24_Searching_After_Krishna.mp3</t>
  </si>
  <si>
    <t>SP_SB_2-04-02_Los_Angeles_1972-06-25_Simply_Negating_Is_New_Orleans_Good.mp3</t>
  </si>
  <si>
    <t>https://audio.iskcondesiretree.com/01_-_Srila_Prabhupada/01_-_Lectures/01_-_English/01_-_Topic_wise/Srimad_Bhagavatam/Canto-02/SP_SB_2-04-02_Los_Angeles_1972-06-25_Simply_Negating_Is_New_Orleans_Good.mp3</t>
  </si>
  <si>
    <t>SB_2-04-02_LA_1972-06-25_Simply_Negating_Is_No_Good.mp3</t>
  </si>
  <si>
    <t>https://audio.iskcondesiretree.com/01_-_Srila_Prabhupada/01_-_Lectures/01_-_English/02_-_Month_wise/06_-_June/25/SB_2-04-02_LA_1972-06-25_Simply_Negating_Is_No_Good.mp3</t>
  </si>
  <si>
    <t>SP_SB_2-04-02_Los_Angeles_1972-06-26_Fight_for_Freedom.mp3</t>
  </si>
  <si>
    <t>https://audio.iskcondesiretree.com/01_-_Srila_Prabhupada/01_-_Lectures/01_-_English/01_-_Topic_wise/Srimad_Bhagavatam/Canto-02/SP_SB_2-04-02_Los_Angeles_1972-06-26_Fight_for_Freedom.mp3</t>
  </si>
  <si>
    <t>SB_2-04-02_LA_1972-06-26_Fight_for_Freedom.mp3</t>
  </si>
  <si>
    <t>https://audio.iskcondesiretree.com/01_-_Srila_Prabhupada/01_-_Lectures/01_-_English/02_-_Month_wise/06_-_June/26/SB_2-04-02_LA_1972-06-26_Fight_for_Freedom.mp3</t>
  </si>
  <si>
    <t>SP_SB_2-04-03_Los_Angeles_1972-06-27_Make_Krishna_Your_Beloved.mp3</t>
  </si>
  <si>
    <t>https://audio.iskcondesiretree.com/01_-_Srila_Prabhupada/01_-_Lectures/01_-_English/01_-_Topic_wise/Srimad_Bhagavatam/Canto-02/SP_SB_2-04-03_Los_Angeles_1972-06-27_Make_Krishna_Your_Beloved.mp3</t>
  </si>
  <si>
    <t>SB_2-04-03_LA_1972-06-27_Make_Krishna_Your_Beloved.mp3</t>
  </si>
  <si>
    <t>https://audio.iskcondesiretree.com/01_-_Srila_Prabhupada/01_-_Lectures/01_-_English/02_-_Month_wise/06_-_June/27/SB_2-04-03_LA_1972-06-27_Make_Krishna_Your_Beloved.mp3</t>
  </si>
  <si>
    <t>SP_Room_Conversation_Sanand_Diego_1972-06-29_Wherever_You_Go_Your_Fortune_or--etc.mp3</t>
  </si>
  <si>
    <t>https://audio.iskcondesiretree.com/01_-_Srila_Prabhupada/01_-_Lectures/01_-_English/01_-_Topic_wise/Room_Conversation/SP_Room_Conversation_Sanand_Diego_1972-06-29_Wherever_You_Go_Your_Fortune_or--etc.mp3</t>
  </si>
  <si>
    <t>RC_SD_1972-06-29_Wherever_You_Go_Your_Fortune_or_etc.mp3</t>
  </si>
  <si>
    <t>https://audio.iskcondesiretree.com/01_-_Srila_Prabhupada/01_-_Lectures/01_-_English/02_-_Month_wise/06_-_June/29/RC_SD_1972-06-29_Wherever_You_Go_Your_Fortune_or_etc.mp3</t>
  </si>
  <si>
    <t>SP_Morning_Walk_-_San_Diego_1972-06-30_Scientists--Envious_Bombastic_Rascals.mp3</t>
  </si>
  <si>
    <t>https://audio.iskcondesiretree.com/01_-_Srila_Prabhupada/01_-_Lectures/01_-_English/01_-_Topic_wise/Morning_Walk/SP_Morning_Walk_-_San_Diego_1972-06-30_Scientists--Envious_Bombastic_Rascals.mp3</t>
  </si>
  <si>
    <t>SP_Lecture_San_Diego_1972-06-30_Initiation--Svaha_for_Krishna_or_for_Maya.mp3</t>
  </si>
  <si>
    <t>https://audio.iskcondesiretree.com/01_-_Srila_Prabhupada/01_-_Lectures/01_-_English/01_-_Topic_wise/Various/SP_Lecture_San_Diego_1972-06-30_Initiation--Svaha_for_Krishna_or_for_Maya.mp3</t>
  </si>
  <si>
    <t>Lect_SD_1972-06-30_Initiation-Svaha_for_Krishna_or_for_Maya.mp3</t>
  </si>
  <si>
    <t>https://audio.iskcondesiretree.com/01_-_Srila_Prabhupada/01_-_Lectures/01_-_English/02_-_Month_wise/06_-_June/30/Lect_SD_1972-06-30_Initiation-Svaha_for_Krishna_or_for_Maya.mp3</t>
  </si>
  <si>
    <t>MW_SD_1972-06-30_Scientists-Envious_Bombastic_Rascals.mp3</t>
  </si>
  <si>
    <t>https://audio.iskcondesiretree.com/01_-_Srila_Prabhupada/01_-_Lectures/01_-_English/02_-_Month_wise/06_-_June/30/MW_SD_1972-06-30_Scientists-Envious_Bombastic_Rascals.mp3</t>
  </si>
  <si>
    <t>SP_BG_07-01_San_Diego_1972-07-01_Life%27s_Aim_Is_Self-Realization.mp3</t>
  </si>
  <si>
    <t>https://audio.iskcondesiretree.com/01_-_Srila_Prabhupada/01_-_Lectures/01_-_English/01_-_Topic_wise/Bhagavad_Gita/Chapter-07/SP_BG_07-01_San_Diego_1972-07-01_Life%27s_Aim_Is_Self-Realization.mp3</t>
  </si>
  <si>
    <t>SP_Festivals_San_Diego_1972-07-01_At_Balboa_Park--World_Is_Enchanted_by_Sex.mp3</t>
  </si>
  <si>
    <t>https://audio.iskcondesiretree.com/01_-_Srila_Prabhupada/01_-_Lectures/01_-_English/01_-_Topic_wise/Festivals/SP_Festivals_San_Diego_1972-07-01_At_Balboa_Park--World_Is_Enchanted_by_Sex.mp3</t>
  </si>
  <si>
    <t>Bg_07-01_SD_1972-07-01_Life%27s_Aim_Is_Self-Realization.mp3</t>
  </si>
  <si>
    <t>https://audio.iskcondesiretree.com/01_-_Srila_Prabhupada/01_-_Lectures/01_-_English/02_-_Month_wise/07_-_July/01/Bg_07-01_SD_1972-07-01_Life%27s_Aim_Is_Self-Realization.mp3</t>
  </si>
  <si>
    <t>Fest_SD_1972-07-01_At_Balboa_Park-World_Is_Enchanted_by_Sex.mp3</t>
  </si>
  <si>
    <t>https://audio.iskcondesiretree.com/01_-_Srila_Prabhupada/01_-_Lectures/01_-_English/02_-_Month_wise/07_-_July/01/Fest_SD_1972-07-01_At_Balboa_Park-World_Is_Enchanted_by_Sex.mp3</t>
  </si>
  <si>
    <t>SP_Festivals_London_1972-07-13_Ratha_Yatra_Parts_1_%26_2.mp3</t>
  </si>
  <si>
    <t>https://audio.iskcondesiretree.com/01_-_Srila_Prabhupada/01_-_Lectures/01_-_English/01_-_Topic_wise/Festivals/SP_Festivals_London_1972-07-13_Ratha_Yatra_Parts_1_%26_2.mp3</t>
  </si>
  <si>
    <t>Fest_LON_1972-07-13_Ratha_Yatra_Parts_1_%26_2.mp3</t>
  </si>
  <si>
    <t>https://audio.iskcondesiretree.com/01_-_Srila_Prabhupada/01_-_Lectures/01_-_English/02_-_Month_wise/07_-_July/13/Fest_LON_1972-07-13_Ratha_Yatra_Parts_1_%26_2.mp3</t>
  </si>
  <si>
    <t>SP_Arrival_Paris_1972-07-20_Why_Study_the_Perishable.mp3</t>
  </si>
  <si>
    <t>https://audio.iskcondesiretree.com/01_-_Srila_Prabhupada/01_-_Lectures/01_-_English/01_-_Topic_wise/Arrival_Address/SP_Arrival_Paris_1972-07-20_Why_Study_the_Perishable.mp3</t>
  </si>
  <si>
    <t>Arr_PAR_1972-07-20_Why_Study_the_Perishable.mp3</t>
  </si>
  <si>
    <t>https://audio.iskcondesiretree.com/01_-_Srila_Prabhupada/01_-_Lectures/01_-_English/02_-_Month_wise/07_-_July/20/Arr_PAR_1972-07-20_Why_Study_the_Perishable.mp3</t>
  </si>
  <si>
    <t>SP_SB_1-02-12_Los_Angeles_1972-08-15_Become_Very_Eager_to_See_Krishna.mp3</t>
  </si>
  <si>
    <t>https://audio.iskcondesiretree.com/01_-_Srila_Prabhupada/01_-_Lectures/01_-_English/01_-_Topic_wise/Srimad_Bhagavatam/Canto-01/SP_SB_1-02-12_Los_Angeles_1972-08-15_Become_Very_Eager_to_See_Krishna.mp3</t>
  </si>
  <si>
    <t>SB_1-02-12_LA_1972-08-15_Become_Very_Eager_to_See_Krishna.mp3</t>
  </si>
  <si>
    <t>https://audio.iskcondesiretree.com/01_-_Srila_Prabhupada/01_-_Lectures/01_-_English/02_-_Month_wise/08_-_August/15/SB_1-02-12_LA_1972-08-15_Become_Very_Eager_to_See_Krishna.mp3</t>
  </si>
  <si>
    <t>SP_SB_1-02-14_Los_Angeles_1972-08-17_Make_Four_Social_Classes.mp3</t>
  </si>
  <si>
    <t>https://audio.iskcondesiretree.com/01_-_Srila_Prabhupada/01_-_Lectures/01_-_English/01_-_Topic_wise/Srimad_Bhagavatam/Canto-01/SP_SB_1-02-14_Los_Angeles_1972-08-17_Make_Four_Social_Classes.mp3</t>
  </si>
  <si>
    <t>SB_1-02-14_LA_1972-08-17_Make_Four_Social_Classes.mp3</t>
  </si>
  <si>
    <t>https://audio.iskcondesiretree.com/01_-_Srila_Prabhupada/01_-_Lectures/01_-_English/02_-_Month_wise/08_-_August/17/SB_1-02-14_LA_1972-08-17_Make_Four_Social_Classes.mp3</t>
  </si>
  <si>
    <t>SP_SB_1-02-15_Los_Angeles_1972-08-18_Cutting_the_Knots_of_Karma.mp3</t>
  </si>
  <si>
    <t>https://audio.iskcondesiretree.com/01_-_Srila_Prabhupada/01_-_Lectures/01_-_English/01_-_Topic_wise/Srimad_Bhagavatam/Canto-01/SP_SB_1-02-15_Los_Angeles_1972-08-18_Cutting_the_Knots_of_Karma.mp3</t>
  </si>
  <si>
    <t>SB_1-02-15_LA_1972-08-18_Cutting_the_Knots_of_Karma.mp3</t>
  </si>
  <si>
    <t>https://audio.iskcondesiretree.com/01_-_Srila_Prabhupada/01_-_Lectures/01_-_English/02_-_Month_wise/08_-_August/18/SB_1-02-15_LA_1972-08-18_Cutting_the_Knots_of_Karma.mp3</t>
  </si>
  <si>
    <t>SP_SB_1-02-16_Los_Angeles_1972-08-19_The_Way_to_Go_Back_to_Godhead.mp3</t>
  </si>
  <si>
    <t>https://audio.iskcondesiretree.com/01_-_Srila_Prabhupada/01_-_Lectures/01_-_English/01_-_Topic_wise/Srimad_Bhagavatam/Canto-01/SP_SB_1-02-16_Los_Angeles_1972-08-19_The_Way_to_Go_Back_to_Godhead.mp3</t>
  </si>
  <si>
    <t>SB_1-02-16_LA_1972-08-19_The_Way_to_Go_Back_to_Godhead.mp3</t>
  </si>
  <si>
    <t>https://audio.iskcondesiretree.com/01_-_Srila_Prabhupada/01_-_Lectures/01_-_English/02_-_Month_wise/08_-_August/19/SB_1-02-16_LA_1972-08-19_The_Way_to_Go_Back_to_Godhead.mp3</t>
  </si>
  <si>
    <t>SP_SB_1-02-17_Los_Angeles_1972-08-20_Krsna_Is_Selfish--_He_Wants--etc.mp3</t>
  </si>
  <si>
    <t>https://audio.iskcondesiretree.com/01_-_Srila_Prabhupada/01_-_Lectures/01_-_English/01_-_Topic_wise/Srimad_Bhagavatam/Canto-01/SP_SB_1-02-17_Los_Angeles_1972-08-20_Krsna_Is_Selfish--_He_Wants--etc.mp3</t>
  </si>
  <si>
    <t>SB_1-02-17_LA_1972-08-20_Krsna_Is_Selfish_He_Wants_etc.mp3</t>
  </si>
  <si>
    <t>https://audio.iskcondesiretree.com/01_-_Srila_Prabhupada/01_-_Lectures/01_-_English/02_-_Month_wise/08_-_August/20/SB_1-02-17_LA_1972-08-20_Krsna_Is_Selfish_He_Wants_etc.mp3</t>
  </si>
  <si>
    <t>SP_SB_1-02-18_Los_Angeles_1972-08-21_The_Choice-Krishna_or_Maya.mp3</t>
  </si>
  <si>
    <t>https://audio.iskcondesiretree.com/01_-_Srila_Prabhupada/01_-_Lectures/01_-_English/01_-_Topic_wise/Srimad_Bhagavatam/Canto-01/SP_SB_1-02-18_Los_Angeles_1972-08-21_The_Choice-Krishna_or_Maya.mp3</t>
  </si>
  <si>
    <t>SB_1-02-18_LA_1972-08-21_The_Choice-Krishna_or_Maya.mp3</t>
  </si>
  <si>
    <t>https://audio.iskcondesiretree.com/01_-_Srila_Prabhupada/01_-_Lectures/01_-_English/02_-_Month_wise/08_-_August/21/SB_1-02-18_LA_1972-08-21_The_Choice-Krishna_or_Maya.mp3</t>
  </si>
  <si>
    <t>SP_SB_1-02-19_Los_Angeles_1972-08-22_The_Bhakti_Lift_to_Love_and--etc.mp3</t>
  </si>
  <si>
    <t>https://audio.iskcondesiretree.com/01_-_Srila_Prabhupada/01_-_Lectures/01_-_English/01_-_Topic_wise/Srimad_Bhagavatam/Canto-01/SP_SB_1-02-19_Los_Angeles_1972-08-22_The_Bhakti_Lift_to_Love_and--etc.mp3</t>
  </si>
  <si>
    <t>SB_1-02-19_LA_1972-08-22_The_Bhakti_Lift_to_Love_and_etc.mp3</t>
  </si>
  <si>
    <t>https://audio.iskcondesiretree.com/01_-_Srila_Prabhupada/01_-_Lectures/01_-_English/02_-_Month_wise/08_-_August/22/SB_1-02-19_LA_1972-08-22_The_Bhakti_Lift_to_Love_and_etc.mp3</t>
  </si>
  <si>
    <t>SP_SB_1-02-20_Los_Angeles_1972-08-23_Spiritual_Life_Is_Scientific.mp3</t>
  </si>
  <si>
    <t>https://audio.iskcondesiretree.com/01_-_Srila_Prabhupada/01_-_Lectures/01_-_English/01_-_Topic_wise/Srimad_Bhagavatam/Canto-01/SP_SB_1-02-20_Los_Angeles_1972-08-23_Spiritual_Life_Is_Scientific.mp3</t>
  </si>
  <si>
    <t>SB_1-02-20_LA_1972-08-23_Spiritual_Life_Is_Scientific.mp3</t>
  </si>
  <si>
    <t>https://audio.iskcondesiretree.com/01_-_Srila_Prabhupada/01_-_Lectures/01_-_English/02_-_Month_wise/08_-_August/23/SB_1-02-20_LA_1972-08-23_Spiritual_Life_Is_Scientific.mp3</t>
  </si>
  <si>
    <t>SP_SB_1-02-21_Los_Angeles_1972-08-24_In_This_Material_World_We--etc.mp3</t>
  </si>
  <si>
    <t>https://audio.iskcondesiretree.com/01_-_Srila_Prabhupada/01_-_Lectures/01_-_English/01_-_Topic_wise/Srimad_Bhagavatam/Canto-01/SP_SB_1-02-21_Los_Angeles_1972-08-24_In_This_Material_World_We--etc.mp3</t>
  </si>
  <si>
    <t>SB_1-02-21_LA_1972-08-24_In_This_Material_World_We_etc.mp3</t>
  </si>
  <si>
    <t>https://audio.iskcondesiretree.com/01_-_Srila_Prabhupada/01_-_Lectures/01_-_English/02_-_Month_wise/08_-_August/24/SB_1-02-21_LA_1972-08-24_In_This_Material_World_We_etc.mp3</t>
  </si>
  <si>
    <t>SP_SB_1-02-22_Los_Angeles_1972-08-25_A_First-class_Devotee_Is--etc.mp3</t>
  </si>
  <si>
    <t>https://audio.iskcondesiretree.com/01_-_Srila_Prabhupada/01_-_Lectures/01_-_English/01_-_Topic_wise/Srimad_Bhagavatam/Canto-01/SP_SB_1-02-22_Los_Angeles_1972-08-25_A_First-class_Devotee_Is--etc.mp3</t>
  </si>
  <si>
    <t>SB_1-02-22_LA_1972-08-25_A_First-class_Devotee_Is_etc.mp3</t>
  </si>
  <si>
    <t>https://audio.iskcondesiretree.com/01_-_Srila_Prabhupada/01_-_Lectures/01_-_English/02_-_Month_wise/08_-_August/25/SB_1-02-22_LA_1972-08-25_A_First-class_Devotee_Is_etc.mp3</t>
  </si>
  <si>
    <t>SP_SB_1-02-23_Los_Angeles_1972-08-26_The_Material_World-A_Chance.mp3</t>
  </si>
  <si>
    <t>https://audio.iskcondesiretree.com/01_-_Srila_Prabhupada/01_-_Lectures/01_-_English/01_-_Topic_wise/Srimad_Bhagavatam/Canto-01/SP_SB_1-02-23_Los_Angeles_1972-08-26_The_Material_World-A_Chance.mp3</t>
  </si>
  <si>
    <t>SB_1-02-23_LA_1972-08-26_The_Material_World-A_Chance.mp3</t>
  </si>
  <si>
    <t>https://audio.iskcondesiretree.com/01_-_Srila_Prabhupada/01_-_Lectures/01_-_English/02_-_Month_wise/08_-_August/26/SB_1-02-23_LA_1972-08-26_The_Material_World-A_Chance.mp3</t>
  </si>
  <si>
    <t>SP_SB_1-02-24_Los_Angeles_1972-08-27_How_to_See_the_Absolute_Truth.mp3</t>
  </si>
  <si>
    <t>https://audio.iskcondesiretree.com/01_-_Srila_Prabhupada/01_-_Lectures/01_-_English/01_-_Topic_wise/Srimad_Bhagavatam/Canto-01/SP_SB_1-02-24_Los_Angeles_1972-08-27_How_to_See_the_Absolute_Truth.mp3</t>
  </si>
  <si>
    <t>SB_1-02-24_LA_1972-08-27_How_to_See_the_Absolute_Truth.mp3</t>
  </si>
  <si>
    <t>https://audio.iskcondesiretree.com/01_-_Srila_Prabhupada/01_-_Lectures/01_-_English/02_-_Month_wise/08_-_August/27/SB_1-02-24_LA_1972-08-27_How_to_See_the_Absolute_Truth.mp3</t>
  </si>
  <si>
    <t>SP_SB_1-02-25_Los_Angeles_1972-08-28_Paltry_Research_Work.mp3</t>
  </si>
  <si>
    <t>https://audio.iskcondesiretree.com/01_-_Srila_Prabhupada/01_-_Lectures/01_-_English/01_-_Topic_wise/Srimad_Bhagavatam/Canto-01/SP_SB_1-02-25_Los_Angeles_1972-08-28_Paltry_Research_Work.mp3</t>
  </si>
  <si>
    <t>SB_1-02-25_LA_1972-08-28_Paltry_Research_Work.mp3</t>
  </si>
  <si>
    <t>https://audio.iskcondesiretree.com/01_-_Srila_Prabhupada/01_-_Lectures/01_-_English/02_-_Month_wise/08_-_August/28/SB_1-02-25_LA_1972-08-28_Paltry_Research_Work.mp3</t>
  </si>
  <si>
    <t>SP_Address_New_Vrindavan_1972-08-31_Just_Hear_About_Krishna.mp3</t>
  </si>
  <si>
    <t>https://audio.iskcondesiretree.com/01_-_Srila_Prabhupada/01_-_Lectures/01_-_English/01_-_Topic_wise/Arrival_Address/SP_Address_New_Vrindavan_1972-08-31_Just_Hear_About_Krishna.mp3</t>
  </si>
  <si>
    <t>Addr_NV_1972-08-31_Just_Hear_About_Krishna.mp3</t>
  </si>
  <si>
    <t>https://audio.iskcondesiretree.com/01_-_Srila_Prabhupada/01_-_Lectures/01_-_English/02_-_Month_wise/08_-_August/31/Addr_NV_1972-08-31_Just_Hear_About_Krishna.mp3</t>
  </si>
  <si>
    <t>SP_Festivals_New_Vrindavan_1972-09-02_Vyasa-puja.mp3</t>
  </si>
  <si>
    <t>https://audio.iskcondesiretree.com/01_-_Srila_Prabhupada/01_-_Lectures/01_-_English/01_-_Topic_wise/Festivals/SP_Festivals_New_Vrindavan_1972-09-02_Vyasa-puja.mp3</t>
  </si>
  <si>
    <t>Fest_NV_1972-09-02_Vyasa-puja.mp3</t>
  </si>
  <si>
    <t>https://audio.iskcondesiretree.com/01_-_Srila_Prabhupada/01_-_Lectures/01_-_English/02_-_Month_wise/09_-_September/02/Fest_NV_1972-09-02_Vyasa-puja.mp3</t>
  </si>
  <si>
    <t>SP_SB_1-02-05_New_Vrindavan_1972-09-04_This_Bhagavatam_Culture_is--etc.mp3</t>
  </si>
  <si>
    <t>https://audio.iskcondesiretree.com/01_-_Srila_Prabhupada/01_-_Lectures/01_-_English/01_-_Topic_wise/Srimad_Bhagavatam/Canto-01/SP_SB_1-02-05_New_Vrindavan_1972-09-04_This_Bhagavatam_Culture_is--etc.mp3</t>
  </si>
  <si>
    <t>SB_1-02-05_NV_1972-09-04_This_Bhagavatam_Culture_is_etc.mp3</t>
  </si>
  <si>
    <t>https://audio.iskcondesiretree.com/01_-_Srila_Prabhupada/01_-_Lectures/01_-_English/02_-_Month_wise/09_-_September/04/SB_1-02-05_NV_1972-09-04_This_Bhagavatam_Culture_is_etc.mp3</t>
  </si>
  <si>
    <t>SP_SB_1-02-06_New_Vrindavan_1972-09-05_This_Nice_Caracas_Is_Rotten.mp3</t>
  </si>
  <si>
    <t>https://audio.iskcondesiretree.com/01_-_Srila_Prabhupada/01_-_Lectures/01_-_English/01_-_Topic_wise/Srimad_Bhagavatam/Canto-01/SP_SB_1-02-06_New_Vrindavan_1972-09-05_This_Nice_Caracas_Is_Rotten.mp3</t>
  </si>
  <si>
    <t>SB_1-02-06_NV_1972-09-05_This_Nice_Car_Is_Rotten.mp3</t>
  </si>
  <si>
    <t>https://audio.iskcondesiretree.com/01_-_Srila_Prabhupada/01_-_Lectures/01_-_English/02_-_Month_wise/09_-_September/05/SB_1-02-06_NV_1972-09-05_This_Nice_Car_Is_Rotten.mp3</t>
  </si>
  <si>
    <t>SP_SB_1-02-08_New_Vrindavan_1972-09-06_Spiritualize_Your_Subtle_Body.mp3</t>
  </si>
  <si>
    <t>https://audio.iskcondesiretree.com/01_-_Srila_Prabhupada/01_-_Lectures/01_-_English/01_-_Topic_wise/Srimad_Bhagavatam/Canto-01/SP_SB_1-02-08_New_Vrindavan_1972-09-06_Spiritualize_Your_Subtle_Body.mp3</t>
  </si>
  <si>
    <t>SB_1-02-08_NV_1972-09-06_Spiritualize_Your_Subtle_Body.mp3</t>
  </si>
  <si>
    <t>https://audio.iskcondesiretree.com/01_-_Srila_Prabhupada/01_-_Lectures/01_-_English/02_-_Month_wise/09_-_September/06/SB_1-02-08_NV_1972-09-06_Spiritualize_Your_Subtle_Body.mp3</t>
  </si>
  <si>
    <t>SP_SB_1-02-09_New_Vrindavan_1972-09-07_The_Art_of_Knowing_What_to--etc.mp3</t>
  </si>
  <si>
    <t>https://audio.iskcondesiretree.com/01_-_Srila_Prabhupada/01_-_Lectures/01_-_English/01_-_Topic_wise/Srimad_Bhagavatam/Canto-01/SP_SB_1-02-09_New_Vrindavan_1972-09-07_The_Art_of_Knowing_What_to--etc.mp3</t>
  </si>
  <si>
    <t>SB_1-02-09_NV_1972-09-07_The_Art_of_Knowing_What_to_etc.mp3</t>
  </si>
  <si>
    <t>https://audio.iskcondesiretree.com/01_-_Srila_Prabhupada/01_-_Lectures/01_-_English/02_-_Month_wise/09_-_September/07/SB_1-02-09_NV_1972-09-07_The_Art_of_Knowing_What_to_etc.mp3</t>
  </si>
  <si>
    <t>SP_BG_02-13_Pittsburgh_1972-09-08_Hear_from_the_Authority-Krishna.mp3</t>
  </si>
  <si>
    <t>https://audio.iskcondesiretree.com/01_-_Srila_Prabhupada/01_-_Lectures/01_-_English/01_-_Topic_wise/Bhagavad_Gita/Chapter-02/SP_BG_02-13_Pittsburgh_1972-09-08_Hear_from_the_Authority-Krishna.mp3</t>
  </si>
  <si>
    <t>Bg_02-13_PIT_1972-09-08_Hear_from_the_Authority-Krishna.mp3</t>
  </si>
  <si>
    <t>https://audio.iskcondesiretree.com/01_-_Srila_Prabhupada/01_-_Lectures/01_-_English/02_-_Month_wise/09_-_September/08/Bg_02-13_PIT_1972-09-08_Hear_from_the_Authority-Krishna.mp3</t>
  </si>
  <si>
    <t>SP_SB_1-03-07_Los_Angeles_1972-09-13_Krishna_Will_Save_You.mp3</t>
  </si>
  <si>
    <t>https://audio.iskcondesiretree.com/01_-_Srila_Prabhupada/01_-_Lectures/01_-_English/01_-_Topic_wise/Srimad_Bhagavatam/Canto-01/SP_SB_1-03-07_Los_Angeles_1972-09-13_Krishna_Will_Save_You.mp3</t>
  </si>
  <si>
    <t>SB_1-03-07_LA_1972-09-13_Krishna_Will_Save_You.mp3</t>
  </si>
  <si>
    <t>https://audio.iskcondesiretree.com/01_-_Srila_Prabhupada/01_-_Lectures/01_-_English/02_-_Month_wise/09_-_September/13/SB_1-03-07_LA_1972-09-13_Krishna_Will_Save_You.mp3</t>
  </si>
  <si>
    <t>SP_SB_1-03-10_Los_Angeles_1972-09-16_Modern_Facilities-Beneficial--etc.mp3</t>
  </si>
  <si>
    <t>https://audio.iskcondesiretree.com/01_-_Srila_Prabhupada/01_-_Lectures/01_-_English/01_-_Topic_wise/Srimad_Bhagavatam/Canto-01/SP_SB_1-03-10_Los_Angeles_1972-09-16_Modern_Facilities-Beneficial--etc.mp3</t>
  </si>
  <si>
    <t>SB_1-03-10_LA_1972-09-16_Modern_Facilities-Beneficial_etc.mp3</t>
  </si>
  <si>
    <t>https://audio.iskcondesiretree.com/01_-_Srila_Prabhupada/01_-_Lectures/01_-_English/02_-_Month_wise/09_-_September/16/SB_1-03-10_LA_1972-09-16_Modern_Facilities-Beneficial_etc.mp3</t>
  </si>
  <si>
    <t>SP_SB_1-03-11_Los_Angeles_1972-09-17_How_a_Devotee_Approaches_Krishna.mp3</t>
  </si>
  <si>
    <t>https://audio.iskcondesiretree.com/01_-_Srila_Prabhupada/01_-_Lectures/01_-_English/01_-_Topic_wise/Srimad_Bhagavatam/Canto-01/SP_SB_1-03-11_Los_Angeles_1972-09-17_How_a_Devotee_Approaches_Krishna.mp3</t>
  </si>
  <si>
    <t>SB_1-03-11_LA_1972-09-17_How_a_Devotee_Approaches_Krishna.mp3</t>
  </si>
  <si>
    <t>https://audio.iskcondesiretree.com/01_-_Srila_Prabhupada/01_-_Lectures/01_-_English/02_-_Month_wise/09_-_September/17/SB_1-03-11_LA_1972-09-17_How_a_Devotee_Approaches_Krishna.mp3</t>
  </si>
  <si>
    <t>SP_SB_1-03-13_Los_Angeles_1972-09-18_You_Must_First_Be_Gentle.mp3</t>
  </si>
  <si>
    <t>https://audio.iskcondesiretree.com/01_-_Srila_Prabhupada/01_-_Lectures/01_-_English/01_-_Topic_wise/Srimad_Bhagavatam/Canto-01/SP_SB_1-03-13_Los_Angeles_1972-09-18_You_Must_First_Be_Gentle.mp3</t>
  </si>
  <si>
    <t>SB_1-03-13_LA_1972-09-18_You_Must_First_Be_Gentle.mp3</t>
  </si>
  <si>
    <t>https://audio.iskcondesiretree.com/01_-_Srila_Prabhupada/01_-_Lectures/01_-_English/02_-_Month_wise/09_-_September/18/SB_1-03-13_LA_1972-09-18_You_Must_First_Be_Gentle.mp3</t>
  </si>
  <si>
    <t>SP_SB_1-03-14_Los_Angeles_1972-09-19_Today%27s_Civilized_Man--Less--etc.mp3</t>
  </si>
  <si>
    <t>https://audio.iskcondesiretree.com/01_-_Srila_Prabhupada/01_-_Lectures/01_-_English/01_-_Topic_wise/Srimad_Bhagavatam/Canto-01/SP_SB_1-03-14_Los_Angeles_1972-09-19_Today%27s_Civilized_Man--Less--etc.mp3</t>
  </si>
  <si>
    <t>SB_1-03-14_LA_1972-09-19_Today%27s_Civilized_Man_Less_etc.mp3</t>
  </si>
  <si>
    <t>https://audio.iskcondesiretree.com/01_-_Srila_Prabhupada/01_-_Lectures/01_-_English/02_-_Month_wise/09_-_September/19/SB_1-03-14_LA_1972-09-19_Today%27s_Civilized_Man_Less_etc.mp3</t>
  </si>
  <si>
    <t>SP_SB_1-03-15_Los_Angeles_1972-09-20_Don%27t_Be_Carried_Away_by_Maya.mp3</t>
  </si>
  <si>
    <t>https://audio.iskcondesiretree.com/01_-_Srila_Prabhupada/01_-_Lectures/01_-_English/01_-_Topic_wise/Srimad_Bhagavatam/Canto-01/SP_SB_1-03-15_Los_Angeles_1972-09-20_Don%27t_Be_Carried_Away_by_Maya.mp3</t>
  </si>
  <si>
    <t>SB_1-03-15_LA_1972-09-20_Don%27t_Be_Carried_Away_by_Maya.mp3</t>
  </si>
  <si>
    <t>https://audio.iskcondesiretree.com/01_-_Srila_Prabhupada/01_-_Lectures/01_-_English/02_-_Month_wise/09_-_September/20/SB_1-03-15_LA_1972-09-20_Don%27t_Be_Carried_Away_by_Maya.mp3</t>
  </si>
  <si>
    <t>SP_SB_1-03-16_Los_Angeles_1972-09-21_Don%27t_Think_You_Are_All_in_All.mp3</t>
  </si>
  <si>
    <t>https://audio.iskcondesiretree.com/01_-_Srila_Prabhupada/01_-_Lectures/01_-_English/01_-_Topic_wise/Srimad_Bhagavatam/Canto-01/SP_SB_1-03-16_Los_Angeles_1972-09-21_Don%27t_Think_You_Are_All_in_All.mp3</t>
  </si>
  <si>
    <t>SB_1-03-16_LA_1972-09-21_Don%27t_Think_You_Are_All_in_All.mp3</t>
  </si>
  <si>
    <t>https://audio.iskcondesiretree.com/01_-_Srila_Prabhupada/01_-_Lectures/01_-_English/02_-_Month_wise/09_-_September/21/SB_1-03-16_LA_1972-09-21_Don%27t_Think_You_Are_All_in_All.mp3</t>
  </si>
  <si>
    <t>SP_SB_1-03-17_Los_Angeles_1972-09-22_Ideal_Married_Life.mp3</t>
  </si>
  <si>
    <t>https://audio.iskcondesiretree.com/01_-_Srila_Prabhupada/01_-_Lectures/01_-_English/01_-_Topic_wise/Srimad_Bhagavatam/Canto-01/SP_SB_1-03-17_Los_Angeles_1972-09-22_Ideal_Married_Life.mp3</t>
  </si>
  <si>
    <t>SB_1-03-17_LA_1972-09-22_Ideal_Married_Life.mp3</t>
  </si>
  <si>
    <t>https://audio.iskcondesiretree.com/01_-_Srila_Prabhupada/01_-_Lectures/01_-_English/02_-_Month_wise/09_-_September/22/SB_1-03-17_LA_1972-09-22_Ideal_Married_Life.mp3</t>
  </si>
  <si>
    <t>SP_SB_1-03-19_Los_Angeles_1972-09-24_Offering_Everything_to_Krishna.mp3</t>
  </si>
  <si>
    <t>https://audio.iskcondesiretree.com/01_-_Srila_Prabhupada/01_-_Lectures/01_-_English/01_-_Topic_wise/Srimad_Bhagavatam/Canto-01/SP_SB_1-03-19_Los_Angeles_1972-09-24_Offering_Everything_to_Krishna.mp3</t>
  </si>
  <si>
    <t>SB_1-03-19_LA_1972-09-24_Offering_Everything_to_Krishna.mp3</t>
  </si>
  <si>
    <t>https://audio.iskcondesiretree.com/01_-_Srila_Prabhupada/01_-_Lectures/01_-_English/02_-_Month_wise/09_-_September/24/SB_1-03-19_LA_1972-09-24_Offering_Everything_to_Krishna.mp3</t>
  </si>
  <si>
    <t>SP_SB_1-03-20_Los_Angeles_1972-09-25_This_Tax_That_Tax-Tax_Tax_Tax.mp3</t>
  </si>
  <si>
    <t>https://audio.iskcondesiretree.com/01_-_Srila_Prabhupada/01_-_Lectures/01_-_English/01_-_Topic_wise/Srimad_Bhagavatam/Canto-01/SP_SB_1-03-20_Los_Angeles_1972-09-25_This_Tax_That_Tax-Tax_Tax_Tax.mp3</t>
  </si>
  <si>
    <t>SB_1-03-20_LA_1972-09-25_This_Tax_That_Tax-Tax_Tax_Tax.mp3</t>
  </si>
  <si>
    <t>https://audio.iskcondesiretree.com/01_-_Srila_Prabhupada/01_-_Lectures/01_-_English/02_-_Month_wise/09_-_September/25/SB_1-03-20_LA_1972-09-25_This_Tax_That_Tax-Tax_Tax_Tax.mp3</t>
  </si>
  <si>
    <t>SP_SB_1-03-21_Los_Angeles_1972-09-26_Intelligent_Words_for_This_Age.mp3</t>
  </si>
  <si>
    <t>https://audio.iskcondesiretree.com/01_-_Srila_Prabhupada/01_-_Lectures/01_-_English/01_-_Topic_wise/Srimad_Bhagavatam/Canto-01/SP_SB_1-03-21_Los_Angeles_1972-09-26_Intelligent_Words_for_This_Age.mp3</t>
  </si>
  <si>
    <t>SB_1-03-21_LA_1972-09-26_Intelligent_Words_for_This_Age.mp3</t>
  </si>
  <si>
    <t>https://audio.iskcondesiretree.com/01_-_Srila_Prabhupada/01_-_Lectures/01_-_English/02_-_Month_wise/09_-_September/26/SB_1-03-21_LA_1972-09-26_Intelligent_Words_for_This_Age.mp3</t>
  </si>
  <si>
    <t>SP_SB_1-03-22_Los_Angeles_1972-09-27_Incarnation_of_God_Isn%27t_Cheap.mp3</t>
  </si>
  <si>
    <t>https://audio.iskcondesiretree.com/01_-_Srila_Prabhupada/01_-_Lectures/01_-_English/01_-_Topic_wise/Srimad_Bhagavatam/Canto-01/SP_SB_1-03-22_Los_Angeles_1972-09-27_Incarnation_of_God_Isn%27t_Cheap.mp3</t>
  </si>
  <si>
    <t>SB_1-03-22_LA_1972-09-27_Incarnation_of_God_Isn%27t_Cheap.mp3</t>
  </si>
  <si>
    <t>https://audio.iskcondesiretree.com/01_-_Srila_Prabhupada/01_-_Lectures/01_-_English/02_-_Month_wise/09_-_September/27/SB_1-03-22_LA_1972-09-27_Incarnation_of_God_Isn%27t_Cheap.mp3</t>
  </si>
  <si>
    <t>SP_SB_1-03-23_Los_Angeles_1972-09-28_What_Is_Actual_Happiness.mp3</t>
  </si>
  <si>
    <t>https://audio.iskcondesiretree.com/01_-_Srila_Prabhupada/01_-_Lectures/01_-_English/01_-_Topic_wise/Srimad_Bhagavatam/Canto-01/SP_SB_1-03-23_Los_Angeles_1972-09-28_What_Is_Actual_Happiness.mp3</t>
  </si>
  <si>
    <t>SB_1-03-23_LA_1972-09-28_What_Is_Actual_Happiness.mp3</t>
  </si>
  <si>
    <t>https://audio.iskcondesiretree.com/01_-_Srila_Prabhupada/01_-_Lectures/01_-_English/02_-_Month_wise/09_-_September/28/SB_1-03-23_LA_1972-09-28_What_Is_Actual_Happiness.mp3</t>
  </si>
  <si>
    <t>SP_SB_1-03-24_Los_Angeles_1972-09-29_Lord_Buddha--Tricking_the--etc.mp3</t>
  </si>
  <si>
    <t>https://audio.iskcondesiretree.com/01_-_Srila_Prabhupada/01_-_Lectures/01_-_English/01_-_Topic_wise/Srimad_Bhagavatam/Canto-01/SP_SB_1-03-24_Los_Angeles_1972-09-29_Lord_Buddha--Tricking_the--etc.mp3</t>
  </si>
  <si>
    <t>SB_1-03-24_LA_1972-09-29_Lord_Buddha-Tricking_the_etc.mp3</t>
  </si>
  <si>
    <t>https://audio.iskcondesiretree.com/01_-_Srila_Prabhupada/01_-_Lectures/01_-_English/02_-_Month_wise/09_-_September/29/SB_1-03-24_LA_1972-09-29_Lord_Buddha-Tricking_the_etc.mp3</t>
  </si>
  <si>
    <t>SP_SB_1-03-25_Los_Angeles_1972-09-30_The_Folly_of_Our_Age.mp3</t>
  </si>
  <si>
    <t>https://audio.iskcondesiretree.com/01_-_Srila_Prabhupada/01_-_Lectures/01_-_English/01_-_Topic_wise/Srimad_Bhagavatam/Canto-01/SP_SB_1-03-25_Los_Angeles_1972-09-30_The_Folly_of_Our_Age.mp3</t>
  </si>
  <si>
    <t>SP_Lecture_Laguna_Beach_1972-09-30_Beyond_Mirage_to_the_Real_World.mp3</t>
  </si>
  <si>
    <t>https://audio.iskcondesiretree.com/01_-_Srila_Prabhupada/01_-_Lectures/01_-_English/01_-_Topic_wise/Various/SP_Lecture_Laguna_Beach_1972-09-30_Beyond_Mirage_to_the_Real_World.mp3</t>
  </si>
  <si>
    <t>Lect_LB_1972-09-30_Beyond_Mirage_to_the_Real_World.mp3</t>
  </si>
  <si>
    <t>https://audio.iskcondesiretree.com/01_-_Srila_Prabhupada/01_-_Lectures/01_-_English/02_-_Month_wise/09_-_September/30/Lect_LB_1972-09-30_Beyond_Mirage_to_the_Real_World.mp3</t>
  </si>
  <si>
    <t>SB_1-03-25_LA_1972-09-30_The_Folly_of_Our_Age.mp3</t>
  </si>
  <si>
    <t>https://audio.iskcondesiretree.com/01_-_Srila_Prabhupada/01_-_Lectures/01_-_English/02_-_Month_wise/09_-_September/30/SB_1-03-25_LA_1972-09-30_The_Folly_of_Our_Age.mp3</t>
  </si>
  <si>
    <t>SP_SB_1-03-26_Los_Angeles_1972-10-01_First_Educate_People.mp3</t>
  </si>
  <si>
    <t>https://audio.iskcondesiretree.com/01_-_Srila_Prabhupada/01_-_Lectures/01_-_English/01_-_Topic_wise/Srimad_Bhagavatam/Canto-01/SP_SB_1-03-26_Los_Angeles_1972-10-01_First_Educate_People.mp3</t>
  </si>
  <si>
    <t>SB_1-03-26_LA_1972-10-01_First_Educate_People.mp3</t>
  </si>
  <si>
    <t>https://audio.iskcondesiretree.com/01_-_Srila_Prabhupada/01_-_Lectures/01_-_English/02_-_Month_wise/10_-_October/01/SB_1-03-26_LA_1972-10-01_First_Educate_People.mp3</t>
  </si>
  <si>
    <t>SP_SB_1-03-27_Los_Angeles_1972-10-02_The_Perfect_Philosophy.mp3</t>
  </si>
  <si>
    <t>https://audio.iskcondesiretree.com/01_-_Srila_Prabhupada/01_-_Lectures/01_-_English/01_-_Topic_wise/Srimad_Bhagavatam/Canto-01/SP_SB_1-03-27_Los_Angeles_1972-10-02_The_Perfect_Philosophy.mp3</t>
  </si>
  <si>
    <t>SB_1-03-27_LA_1972-10-02_The_Perfect_Philosophy.mp3</t>
  </si>
  <si>
    <t>https://audio.iskcondesiretree.com/01_-_Srila_Prabhupada/01_-_Lectures/01_-_English/02_-_Month_wise/10_-_October/02/SB_1-03-27_LA_1972-10-02_The_Perfect_Philosophy.mp3</t>
  </si>
  <si>
    <t>SP_SB_1-03-28_Los_Angeles_1972-10-03_ISKCON_Is_Incarnation_of_Krishna.mp3</t>
  </si>
  <si>
    <t>https://audio.iskcondesiretree.com/01_-_Srila_Prabhupada/01_-_Lectures/01_-_English/01_-_Topic_wise/Srimad_Bhagavatam/Canto-01/SP_SB_1-03-28_Los_Angeles_1972-10-03_ISKCON_Is_Incarnation_of_Krishna.mp3</t>
  </si>
  <si>
    <t>SB_1-03-28_LA_1972-10-03_ISKCON_Is_Incarnation_of_Krishna.mp3</t>
  </si>
  <si>
    <t>https://audio.iskcondesiretree.com/01_-_Srila_Prabhupada/01_-_Lectures/01_-_English/02_-_Month_wise/10_-_October/03/SB_1-03-28_LA_1972-10-03_ISKCON_Is_Incarnation_of_Krishna.mp3</t>
  </si>
  <si>
    <t>SP_SB_1-03-29_Los_Angeles_1972-10-04_God_Is_Everywhere.mp3</t>
  </si>
  <si>
    <t>https://audio.iskcondesiretree.com/01_-_Srila_Prabhupada/01_-_Lectures/01_-_English/01_-_Topic_wise/Srimad_Bhagavatam/Canto-01/SP_SB_1-03-29_Los_Angeles_1972-10-04_God_Is_Everywhere.mp3</t>
  </si>
  <si>
    <t>SB_1-03-29_LA_1972-10-04_God_Is_Everywhere.mp3</t>
  </si>
  <si>
    <t>https://audio.iskcondesiretree.com/01_-_Srila_Prabhupada/01_-_Lectures/01_-_English/02_-_Month_wise/10_-_October/04/SB_1-03-29_LA_1972-10-04_God_Is_Everywhere.mp3</t>
  </si>
  <si>
    <t>SP_SB_1-03-30_Los_Angeles_1972-10-05_Krishna_Is_Within_Every_Atom.mp3</t>
  </si>
  <si>
    <t>https://audio.iskcondesiretree.com/01_-_Srila_Prabhupada/01_-_Lectures/01_-_English/01_-_Topic_wise/Srimad_Bhagavatam/Canto-01/SP_SB_1-03-30_Los_Angeles_1972-10-05_Krishna_Is_Within_Every_Atom.mp3</t>
  </si>
  <si>
    <t>SB_1-03-30_LA_1972-10-05_Krishna_Is_Within_Every_Atom.mp3</t>
  </si>
  <si>
    <t>https://audio.iskcondesiretree.com/01_-_Srila_Prabhupada/01_-_Lectures/01_-_English/02_-_Month_wise/10_-_October/05/SB_1-03-30_LA_1972-10-05_Krishna_Is_Within_Every_Atom.mp3</t>
  </si>
  <si>
    <t>SP_Address_Los_Angeles_1972-10-06_The_Original_Person--Perfect_Knowledge.mp3</t>
  </si>
  <si>
    <t>https://audio.iskcondesiretree.com/01_-_Srila_Prabhupada/01_-_Lectures/01_-_English/01_-_Topic_wise/Arrival_Address/SP_Address_Los_Angeles_1972-10-06_The_Original_Person--Perfect_Knowledge.mp3</t>
  </si>
  <si>
    <t>Addr_LA_1972-10-06_The_Original_Person-Perfect_Knowledge.mp3</t>
  </si>
  <si>
    <t>https://audio.iskcondesiretree.com/01_-_Srila_Prabhupada/01_-_Lectures/01_-_English/02_-_Month_wise/10_-_October/06/Addr_LA_1972-10-06_The_Original_Person-Perfect_Knowledge.mp3</t>
  </si>
  <si>
    <t>SP_Festivals_Vrindavan_1972-10-19_Krsna_Dasa_Kaviraja_Appearance.mp3</t>
  </si>
  <si>
    <t>https://audio.iskcondesiretree.com/01_-_Srila_Prabhupada/01_-_Lectures/01_-_English/01_-_Topic_wise/Festivals/SP_Festivals_Vrindavan_1972-10-19_Krsna_Dasa_Kaviraja_Appearance.mp3</t>
  </si>
  <si>
    <t>Fest_VRN_1972-10-19_Krsna_Dasa_Kaviraja_Appearance.mp3</t>
  </si>
  <si>
    <t>https://audio.iskcondesiretree.com/01_-_Srila_Prabhupada/01_-_Lectures/01_-_English/02_-_Month_wise/10_-_October/19/Fest_VRN_1972-10-19_Krsna_Dasa_Kaviraja_Appearance.mp3</t>
  </si>
  <si>
    <t>SP_NOD_01_Vrindavan_1972-10-20_-_The_Complete_Science_of_Bhakti_Yoga.mp3</t>
  </si>
  <si>
    <t>https://audio.iskcondesiretree.com/01_-_Srila_Prabhupada/01_-_Lectures/01_-_English/01_-_Topic_wise/Nectar_Of_Devotion/SP_NOD_01_Vrindavan_1972-10-20_-_The_Complete_Science_of_Bhakti_Yoga.mp3</t>
  </si>
  <si>
    <t>SP_SB_1-02-09_Vrindavan_1972-10-20_Everyone_Can_Serve_Krishna.mp3</t>
  </si>
  <si>
    <t>https://audio.iskcondesiretree.com/01_-_Srila_Prabhupada/01_-_Lectures/01_-_English/01_-_Topic_wise/Srimad_Bhagavatam/Canto-01/SP_SB_1-02-09_Vrindavan_1972-10-20_Everyone_Can_Serve_Krishna.mp3</t>
  </si>
  <si>
    <t>NOD_01_VRN_1972-10-20_The_Complete_Science_of_Bhakti-Yoga.mp3</t>
  </si>
  <si>
    <t>https://audio.iskcondesiretree.com/01_-_Srila_Prabhupada/01_-_Lectures/01_-_English/02_-_Month_wise/10_-_October/20/NOD_01_VRN_1972-10-20_The_Complete_Science_of_Bhakti-Yoga.mp3</t>
  </si>
  <si>
    <t>SB_1-02-09_VRN_1972-10-20_Everyone_Can_Serve_Krishna.mp3</t>
  </si>
  <si>
    <t>https://audio.iskcondesiretree.com/01_-_Srila_Prabhupada/01_-_Lectures/01_-_English/02_-_Month_wise/10_-_October/20/SB_1-02-09_VRN_1972-10-20_Everyone_Can_Serve_Krishna.mp3</t>
  </si>
  <si>
    <t>SP_NOD_02_Vrindavan_1972-10-21_-_The_Complete_Science_of_Bhakti_Yoga.mp3</t>
  </si>
  <si>
    <t>https://audio.iskcondesiretree.com/01_-_Srila_Prabhupada/01_-_Lectures/01_-_English/01_-_Topic_wise/Nectar_Of_Devotion/SP_NOD_02_Vrindavan_1972-10-21_-_The_Complete_Science_of_Bhakti_Yoga.mp3</t>
  </si>
  <si>
    <t>SP_SB_1-02-10_Vrindavan_1972-10-21_New_Orleans_Industrial_Development.mp3</t>
  </si>
  <si>
    <t>https://audio.iskcondesiretree.com/01_-_Srila_Prabhupada/01_-_Lectures/01_-_English/01_-_Topic_wise/Srimad_Bhagavatam/Canto-01/SP_SB_1-02-10_Vrindavan_1972-10-21_New_Orleans_Industrial_Development.mp3</t>
  </si>
  <si>
    <t>NOD_02_VRN_1972-10-21_The_Complete_Science_of_Bhakti-Yoga.mp3</t>
  </si>
  <si>
    <t>https://audio.iskcondesiretree.com/01_-_Srila_Prabhupada/01_-_Lectures/01_-_English/02_-_Month_wise/10_-_October/21/NOD_02_VRN_1972-10-21_The_Complete_Science_of_Bhakti-Yoga.mp3</t>
  </si>
  <si>
    <t>SB_1-02-10_VRN_1972-10-21_No_Industrial_Development.mp3</t>
  </si>
  <si>
    <t>https://audio.iskcondesiretree.com/01_-_Srila_Prabhupada/01_-_Lectures/01_-_English/02_-_Month_wise/10_-_October/21/SB_1-02-10_VRN_1972-10-21_No_Industrial_Development.mp3</t>
  </si>
  <si>
    <t>SP_SB_1-02-11_Vrindavan_1972-10-22_The_Last_Word_in_Understanding.mp3</t>
  </si>
  <si>
    <t>https://audio.iskcondesiretree.com/01_-_Srila_Prabhupada/01_-_Lectures/01_-_English/01_-_Topic_wise/Srimad_Bhagavatam/Canto-01/SP_SB_1-02-11_Vrindavan_1972-10-22_The_Last_Word_in_Understanding.mp3</t>
  </si>
  <si>
    <t>SB_1-02-11_VRN_1972-10-22_The_Last_Word_in_Understanding.mp3</t>
  </si>
  <si>
    <t>https://audio.iskcondesiretree.com/01_-_Srila_Prabhupada/01_-_Lectures/01_-_English/02_-_Month_wise/10_-_October/22/SB_1-02-11_VRN_1972-10-22_The_Last_Word_in_Understanding.mp3</t>
  </si>
  <si>
    <t>SP_NOD_Vrindavan_1972-10-23_-_An_Advanced_Devotee_Never-etc.mp3</t>
  </si>
  <si>
    <t>https://audio.iskcondesiretree.com/01_-_Srila_Prabhupada/01_-_Lectures/01_-_English/01_-_Topic_wise/Nectar_Of_Devotion/SP_NOD_Vrindavan_1972-10-23_-_An_Advanced_Devotee_Never-etc.mp3</t>
  </si>
  <si>
    <t>SP_SB_1-02-12_Vrindavan_1972-10-23_Beyond_Business_of_Hogs_and_Dogs.mp3</t>
  </si>
  <si>
    <t>https://audio.iskcondesiretree.com/01_-_Srila_Prabhupada/01_-_Lectures/01_-_English/01_-_Topic_wise/Srimad_Bhagavatam/Canto-01/SP_SB_1-02-12_Vrindavan_1972-10-23_Beyond_Business_of_Hogs_and_Dogs.mp3</t>
  </si>
  <si>
    <t>NOD_Lect_VRN_1972-10-23_An_Advanced_Devotee_Never_etc.mp3</t>
  </si>
  <si>
    <t>https://audio.iskcondesiretree.com/01_-_Srila_Prabhupada/01_-_Lectures/01_-_English/02_-_Month_wise/10_-_October/23/NOD_Lect_VRN_1972-10-23_An_Advanced_Devotee_Never_etc.mp3</t>
  </si>
  <si>
    <t>SB_1-02-12_VRN_1972-10-23_Beyond_Business_of_Hogs_and_Dogs.mp3</t>
  </si>
  <si>
    <t>https://audio.iskcondesiretree.com/01_-_Srila_Prabhupada/01_-_Lectures/01_-_English/02_-_Month_wise/10_-_October/23/SB_1-02-12_VRN_1972-10-23_Beyond_Business_of_Hogs_and_Dogs.mp3</t>
  </si>
  <si>
    <t>SP_NOD_03_Vrindavan_1972-10-24_-_The_Complete_Science_of_Bhakti_Yoga.mp3</t>
  </si>
  <si>
    <t>https://audio.iskcondesiretree.com/01_-_Srila_Prabhupada/01_-_Lectures/01_-_English/01_-_Topic_wise/Nectar_Of_Devotion/SP_NOD_03_Vrindavan_1972-10-24_-_The_Complete_Science_of_Bhakti_Yoga.mp3</t>
  </si>
  <si>
    <t>SP_SB_1-02-13_Vrindavan_1972-10-24_If_Krishna_Says_All--etc.mp3</t>
  </si>
  <si>
    <t>https://audio.iskcondesiretree.com/01_-_Srila_Prabhupada/01_-_Lectures/01_-_English/01_-_Topic_wise/Srimad_Bhagavatam/Canto-01/SP_SB_1-02-13_Vrindavan_1972-10-24_If_Krishna_Says_All--etc.mp3</t>
  </si>
  <si>
    <t>NOD_03_VRN_1972-10-24_The_Complete_Science_of_Bhakti_Yoga.mp3</t>
  </si>
  <si>
    <t>https://audio.iskcondesiretree.com/01_-_Srila_Prabhupada/01_-_Lectures/01_-_English/02_-_Month_wise/10_-_October/24/NOD_03_VRN_1972-10-24_The_Complete_Science_of_Bhakti_Yoga.mp3</t>
  </si>
  <si>
    <t>SB_1-02-13_VRN_1972-10-24_If_Krishna_Says_All_etc.mp3</t>
  </si>
  <si>
    <t>https://audio.iskcondesiretree.com/01_-_Srila_Prabhupada/01_-_Lectures/01_-_English/02_-_Month_wise/10_-_October/24/SB_1-02-13_VRN_1972-10-24_If_Krishna_Says_All_etc.mp3</t>
  </si>
  <si>
    <t>SP_NOD_04_Vrindavan_1972-10-26_-_The_Complete_Science_of_Bhakti_Yoga.mp3</t>
  </si>
  <si>
    <t>https://audio.iskcondesiretree.com/01_-_Srila_Prabhupada/01_-_Lectures/01_-_English/01_-_Topic_wise/Nectar_Of_Devotion/SP_NOD_04_Vrindavan_1972-10-26_-_The_Complete_Science_of_Bhakti_Yoga.mp3</t>
  </si>
  <si>
    <t>NOD_04_VRN_1972-10-26_The_Complete_Science_of_Bhakti-Yoga.mp3</t>
  </si>
  <si>
    <t>https://audio.iskcondesiretree.com/01_-_Srila_Prabhupada/01_-_Lectures/01_-_English/02_-_Month_wise/10_-_October/26/NOD_04_VRN_1972-10-26_The_Complete_Science_of_Bhakti-Yoga.mp3</t>
  </si>
  <si>
    <t>SP_NOD_Vrindavan_1972-10-27_-_From_Low_Grade_Society_to_the-etc.mp3</t>
  </si>
  <si>
    <t>https://audio.iskcondesiretree.com/01_-_Srila_Prabhupada/01_-_Lectures/01_-_English/01_-_Topic_wise/Nectar_Of_Devotion/SP_NOD_Vrindavan_1972-10-27_-_From_Low_Grade_Society_to_the-etc.mp3</t>
  </si>
  <si>
    <t>SP_SB_1-02-16_Vrindavan_1972-10-27_Developing_Taste_for_the--etc.mp3</t>
  </si>
  <si>
    <t>https://audio.iskcondesiretree.com/01_-_Srila_Prabhupada/01_-_Lectures/01_-_English/01_-_Topic_wise/Srimad_Bhagavatam/Canto-01/SP_SB_1-02-16_Vrindavan_1972-10-27_Developing_Taste_for_the--etc.mp3</t>
  </si>
  <si>
    <t>NOD_Lect_VRN_1972-10-27_From_Low-Grade_Society_to_the_etc.mp3</t>
  </si>
  <si>
    <t>https://audio.iskcondesiretree.com/01_-_Srila_Prabhupada/01_-_Lectures/01_-_English/02_-_Month_wise/10_-_October/27/NOD_Lect_VRN_1972-10-27_From_Low-Grade_Society_to_the_etc.mp3</t>
  </si>
  <si>
    <t>SB_1-02-16_VRN_1972-10-27_Developing_Taste_for_the_etc.mp3</t>
  </si>
  <si>
    <t>https://audio.iskcondesiretree.com/01_-_Srila_Prabhupada/01_-_Lectures/01_-_English/02_-_Month_wise/10_-_October/27/SB_1-02-16_VRN_1972-10-27_Developing_Taste_for_the_etc.mp3</t>
  </si>
  <si>
    <t>SP_NOD_05_Vrindavan_1972-10-28_-_The_Complete_Science_of_Bhakti_Yoga.mp3</t>
  </si>
  <si>
    <t>https://audio.iskcondesiretree.com/01_-_Srila_Prabhupada/01_-_Lectures/01_-_English/01_-_Topic_wise/Nectar_Of_Devotion/SP_NOD_05_Vrindavan_1972-10-28_-_The_Complete_Science_of_Bhakti_Yoga.mp3</t>
  </si>
  <si>
    <t>SP_SB_1-02-17_Vrindavan_1972-10-28_Taking_Help_from_the_Friend--etc.mp3</t>
  </si>
  <si>
    <t>https://audio.iskcondesiretree.com/01_-_Srila_Prabhupada/01_-_Lectures/01_-_English/01_-_Topic_wise/Srimad_Bhagavatam/Canto-01/SP_SB_1-02-17_Vrindavan_1972-10-28_Taking_Help_from_the_Friend--etc.mp3</t>
  </si>
  <si>
    <t>NOD_05_VRN_1972-10-28_The_Complete_Science_of_Bhakti-Yoga.mp3</t>
  </si>
  <si>
    <t>https://audio.iskcondesiretree.com/01_-_Srila_Prabhupada/01_-_Lectures/01_-_English/02_-_Month_wise/10_-_October/28/NOD_05_VRN_1972-10-28_The_Complete_Science_of_Bhakti-Yoga.mp3</t>
  </si>
  <si>
    <t>SB_1-02-17_VRN_1972-10-28_Taking_Help_from_the_Friend_etc.mp3</t>
  </si>
  <si>
    <t>https://audio.iskcondesiretree.com/01_-_Srila_Prabhupada/01_-_Lectures/01_-_English/02_-_Month_wise/10_-_October/28/SB_1-02-17_VRN_1972-10-28_Taking_Help_from_the_Friend_etc.mp3</t>
  </si>
  <si>
    <t>SP_NOD_Vrindavan_1972-10-29_-_The_Mental_Culture_of_Krsna-etc.mp3</t>
  </si>
  <si>
    <t>https://audio.iskcondesiretree.com/01_-_Srila_Prabhupada/01_-_Lectures/01_-_English/01_-_Topic_wise/Nectar_Of_Devotion/SP_NOD_Vrindavan_1972-10-29_-_The_Mental_Culture_of_Krsna-etc.mp3</t>
  </si>
  <si>
    <t>SP_SB_1-02-18_Vrindavan_1972-10-29_All_That_Is_Troublesome_to--etc.mp3</t>
  </si>
  <si>
    <t>https://audio.iskcondesiretree.com/01_-_Srila_Prabhupada/01_-_Lectures/01_-_English/01_-_Topic_wise/Srimad_Bhagavatam/Canto-01/SP_SB_1-02-18_Vrindavan_1972-10-29_All_That_Is_Troublesome_to--etc.mp3</t>
  </si>
  <si>
    <t>NOD_Lect_VRN_1972-10-29_The_Mental_Culture_of_Krsna_etc.mp3</t>
  </si>
  <si>
    <t>https://audio.iskcondesiretree.com/01_-_Srila_Prabhupada/01_-_Lectures/01_-_English/02_-_Month_wise/10_-_October/29/NOD_Lect_VRN_1972-10-29_The_Mental_Culture_of_Krsna_etc.mp3</t>
  </si>
  <si>
    <t>SB_1-02-18_VRN_1972-10-29_All_That_Is_Troublesome_to_etc.mp3</t>
  </si>
  <si>
    <t>https://audio.iskcondesiretree.com/01_-_Srila_Prabhupada/01_-_Lectures/01_-_English/02_-_Month_wise/10_-_October/29/SB_1-02-18_VRN_1972-10-29_All_That_Is_Troublesome_to_etc.mp3</t>
  </si>
  <si>
    <t>SP_NOD_07_Vrindavan_1972-10-30_-_The_Complete_Science_of_Bhakti_Yoga.mp3</t>
  </si>
  <si>
    <t>https://audio.iskcondesiretree.com/01_-_Srila_Prabhupada/01_-_Lectures/01_-_English/01_-_Topic_wise/Nectar_Of_Devotion/SP_NOD_07_Vrindavan_1972-10-30_-_The_Complete_Science_of_Bhakti_Yoga.mp3</t>
  </si>
  <si>
    <t>SP_SB_1-02-19_Vrindavan_1972-10-30_Above_Nature%27s_Modes_to_Happiness.mp3</t>
  </si>
  <si>
    <t>https://audio.iskcondesiretree.com/01_-_Srila_Prabhupada/01_-_Lectures/01_-_English/01_-_Topic_wise/Srimad_Bhagavatam/Canto-01/SP_SB_1-02-19_Vrindavan_1972-10-30_Above_Nature%27s_Modes_to_Happiness.mp3</t>
  </si>
  <si>
    <t>NOD_07_VRN_1972-10-30_The_Complete_Science_of_Bhakti-Yoga.mp3</t>
  </si>
  <si>
    <t>https://audio.iskcondesiretree.com/01_-_Srila_Prabhupada/01_-_Lectures/01_-_English/02_-_Month_wise/10_-_October/30/NOD_07_VRN_1972-10-30_The_Complete_Science_of_Bhakti-Yoga.mp3</t>
  </si>
  <si>
    <t>SB_1-02-19_VRN_1972-10-30_Above_Nature%27s_Modes_to_Happiness.mp3</t>
  </si>
  <si>
    <t>https://audio.iskcondesiretree.com/01_-_Srila_Prabhupada/01_-_Lectures/01_-_English/02_-_Month_wise/10_-_October/30/SB_1-02-19_VRN_1972-10-30_Above_Nature%27s_Modes_to_Happiness.mp3</t>
  </si>
  <si>
    <t>SP_NOD_06_Vrindavan_1972-10-31_-_The_Complete_Science_of_Bhakti_Yoga.mp3</t>
  </si>
  <si>
    <t>https://audio.iskcondesiretree.com/01_-_Srila_Prabhupada/01_-_Lectures/01_-_English/01_-_Topic_wise/Nectar_Of_Devotion/SP_NOD_06_Vrindavan_1972-10-31_-_The_Complete_Science_of_Bhakti_Yoga.mp3</t>
  </si>
  <si>
    <t>SP_SB_1-02-20_Vrindavan_1972-10-31_Spiritual_Life_Means_Joyfulness.mp3</t>
  </si>
  <si>
    <t>https://audio.iskcondesiretree.com/01_-_Srila_Prabhupada/01_-_Lectures/01_-_English/01_-_Topic_wise/Srimad_Bhagavatam/Canto-01/SP_SB_1-02-20_Vrindavan_1972-10-31_Spiritual_Life_Means_Joyfulness.mp3</t>
  </si>
  <si>
    <t>NOD_06_VRN_1972-10-31_The_Complete_Science_of_Bhakti-Yoga.mp3</t>
  </si>
  <si>
    <t>https://audio.iskcondesiretree.com/01_-_Srila_Prabhupada/01_-_Lectures/01_-_English/02_-_Month_wise/10_-_October/31/NOD_06_VRN_1972-10-31_The_Complete_Science_of_Bhakti-Yoga.mp3</t>
  </si>
  <si>
    <t>SB_1-02-20_VRN_1972-10-31_Spiritual_Life_Means_Joyfulness.mp3</t>
  </si>
  <si>
    <t>https://audio.iskcondesiretree.com/01_-_Srila_Prabhupada/01_-_Lectures/01_-_English/02_-_Month_wise/10_-_October/31/SB_1-02-20_VRN_1972-10-31_Spiritual_Life_Means_Joyfulness.mp3</t>
  </si>
  <si>
    <t>SP_NOD_Vrindavan_1972-11-01_-_Devotion_Is_Action_Without_Designation.mp3</t>
  </si>
  <si>
    <t>https://audio.iskcondesiretree.com/01_-_Srila_Prabhupada/01_-_Lectures/01_-_English/01_-_Topic_wise/Nectar_Of_Devotion/SP_NOD_Vrindavan_1972-11-01_-_Devotion_Is_Action_Without_Designation.mp3</t>
  </si>
  <si>
    <t>SP_SB_1-02-21_Vrindavan_1972-11-01_Untying_the_Knot_Between--etc.mp3</t>
  </si>
  <si>
    <t>https://audio.iskcondesiretree.com/01_-_Srila_Prabhupada/01_-_Lectures/01_-_English/01_-_Topic_wise/Srimad_Bhagavatam/Canto-01/SP_SB_1-02-21_Vrindavan_1972-11-01_Untying_the_Knot_Between--etc.mp3</t>
  </si>
  <si>
    <t>NOD_Lect_VRN_1972-11-01_Devotion_Is_Action_Without_Designation.mp3</t>
  </si>
  <si>
    <t>https://audio.iskcondesiretree.com/01_-_Srila_Prabhupada/01_-_Lectures/01_-_English/02_-_Month_wise/11_-_November/01/NOD_Lect_VRN_1972-11-01_Devotion_Is_Action_Without_Designation.mp3</t>
  </si>
  <si>
    <t>SB_1-02-21_VRN_1972-11-01_Untying_the_Knot_Between_etc.mp3</t>
  </si>
  <si>
    <t>https://audio.iskcondesiretree.com/01_-_Srila_Prabhupada/01_-_Lectures/01_-_English/02_-_Month_wise/11_-_November/01/SB_1-02-21_VRN_1972-11-01_Untying_the_Knot_Between_etc.mp3</t>
  </si>
  <si>
    <t>SP_NOD_08_Vrindavan_1972-11-02_-_The_Complete_Science_of_Bhakti_Yoga.mp3</t>
  </si>
  <si>
    <t>https://audio.iskcondesiretree.com/01_-_Srila_Prabhupada/01_-_Lectures/01_-_English/01_-_Topic_wise/Nectar_Of_Devotion/SP_NOD_08_Vrindavan_1972-11-02_-_The_Complete_Science_of_Bhakti_Yoga.mp3</t>
  </si>
  <si>
    <t>SP_SB_1-02-22_Vrindavan_1972-11-02_Enlivening_to_the_Self.mp3</t>
  </si>
  <si>
    <t>https://audio.iskcondesiretree.com/01_-_Srila_Prabhupada/01_-_Lectures/01_-_English/01_-_Topic_wise/Srimad_Bhagavatam/Canto-01/SP_SB_1-02-22_Vrindavan_1972-11-02_Enlivening_to_the_Self.mp3</t>
  </si>
  <si>
    <t>NOD_08_VRN_1972-11-02_The_Complete_Science_of_Bhakti-Yoga.mp3</t>
  </si>
  <si>
    <t>https://audio.iskcondesiretree.com/01_-_Srila_Prabhupada/01_-_Lectures/01_-_English/02_-_Month_wise/11_-_November/02/NOD_08_VRN_1972-11-02_The_Complete_Science_of_Bhakti-Yoga.mp3</t>
  </si>
  <si>
    <t>SB_1-02-22_VRN_1972-11-02_Enlivening_to_the_Self.mp3</t>
  </si>
  <si>
    <t>https://audio.iskcondesiretree.com/01_-_Srila_Prabhupada/01_-_Lectures/01_-_English/02_-_Month_wise/11_-_November/02/SB_1-02-22_VRN_1972-11-02_Enlivening_to_the_Self.mp3</t>
  </si>
  <si>
    <t>SP_NOD_Vrindavan_1972-11-03_-_People_Want_Hodge_podge_Not-etc.mp3</t>
  </si>
  <si>
    <t>https://audio.iskcondesiretree.com/01_-_Srila_Prabhupada/01_-_Lectures/01_-_English/01_-_Topic_wise/Nectar_Of_Devotion/SP_NOD_Vrindavan_1972-11-03_-_People_Want_Hodge_podge_Not-etc.mp3</t>
  </si>
  <si>
    <t>SP_SB_1-02-23_Vrindavan_1972-11-03_How_to_Derive_the_Ultimate_Benefit.mp3</t>
  </si>
  <si>
    <t>https://audio.iskcondesiretree.com/01_-_Srila_Prabhupada/01_-_Lectures/01_-_English/01_-_Topic_wise/Srimad_Bhagavatam/Canto-01/SP_SB_1-02-23_Vrindavan_1972-11-03_How_to_Derive_the_Ultimate_Benefit.mp3</t>
  </si>
  <si>
    <t>NOD_Lect_VRN_1972-11-03_People_Want_Hodgepodge_Not_etc.mp3</t>
  </si>
  <si>
    <t>https://audio.iskcondesiretree.com/01_-_Srila_Prabhupada/01_-_Lectures/01_-_English/02_-_Month_wise/11_-_November/03/NOD_Lect_VRN_1972-11-03_People_Want_Hodgepodge_Not_etc.mp3</t>
  </si>
  <si>
    <t>SB_1-02-23_VRN_1972-11-03_How_to_Derive_the_Ultimate_Benefit.mp3</t>
  </si>
  <si>
    <t>https://audio.iskcondesiretree.com/01_-_Srila_Prabhupada/01_-_Lectures/01_-_English/02_-_Month_wise/11_-_November/03/SB_1-02-23_VRN_1972-11-03_How_to_Derive_the_Ultimate_Benefit.mp3</t>
  </si>
  <si>
    <t>SP_NOD_09_Vrindavan_1972-11-04_-_The_Complete_Science_of_Bhakti_Yoga.mp3</t>
  </si>
  <si>
    <t>https://audio.iskcondesiretree.com/01_-_Srila_Prabhupada/01_-_Lectures/01_-_English/01_-_Topic_wise/Nectar_Of_Devotion/SP_NOD_09_Vrindavan_1972-11-04_-_The_Complete_Science_of_Bhakti_Yoga.mp3</t>
  </si>
  <si>
    <t>SP_SB_1-02-24_Vrindavan_1972-11-04_Rising_Beyond_the_Modes.mp3</t>
  </si>
  <si>
    <t>https://audio.iskcondesiretree.com/01_-_Srila_Prabhupada/01_-_Lectures/01_-_English/01_-_Topic_wise/Srimad_Bhagavatam/Canto-01/SP_SB_1-02-24_Vrindavan_1972-11-04_Rising_Beyond_the_Modes.mp3</t>
  </si>
  <si>
    <t>NOD_09_VRN_1972-11-04_The_Complete_Science_of_Bhakti-Yoga.mp3</t>
  </si>
  <si>
    <t>https://audio.iskcondesiretree.com/01_-_Srila_Prabhupada/01_-_Lectures/01_-_English/02_-_Month_wise/11_-_November/04/NOD_09_VRN_1972-11-04_The_Complete_Science_of_Bhakti-Yoga.mp3</t>
  </si>
  <si>
    <t>SB_1-02-24_VRN_1972-11-04_Rising_Beyond_the_Modes.mp3</t>
  </si>
  <si>
    <t>https://audio.iskcondesiretree.com/01_-_Srila_Prabhupada/01_-_Lectures/01_-_English/02_-_Month_wise/11_-_November/04/SB_1-02-24_VRN_1972-11-04_Rising_Beyond_the_Modes.mp3</t>
  </si>
  <si>
    <t>SP_NOD_10_Vrindavan_1972-11-05_-_The_Complete_Science_of_Bhakti_Yoga.mp3</t>
  </si>
  <si>
    <t>https://audio.iskcondesiretree.com/01_-_Srila_Prabhupada/01_-_Lectures/01_-_English/01_-_Topic_wise/Nectar_Of_Devotion/SP_NOD_10_Vrindavan_1972-11-05_-_The_Complete_Science_of_Bhakti_Yoga.mp3</t>
  </si>
  <si>
    <t>SP_SB_1-02-25_Vrindavan_1972-11-05_Impersonalists_Misguide_People.mp3</t>
  </si>
  <si>
    <t>https://audio.iskcondesiretree.com/01_-_Srila_Prabhupada/01_-_Lectures/01_-_English/01_-_Topic_wise/Srimad_Bhagavatam/Canto-01/SP_SB_1-02-25_Vrindavan_1972-11-05_Impersonalists_Misguide_People.mp3</t>
  </si>
  <si>
    <t>NOD_10_VRN_1972-11-05_The_Complete_Science_of_Bhakti-Yoga.mp3</t>
  </si>
  <si>
    <t>https://audio.iskcondesiretree.com/01_-_Srila_Prabhupada/01_-_Lectures/01_-_English/02_-_Month_wise/11_-_November/05/NOD_10_VRN_1972-11-05_The_Complete_Science_of_Bhakti-Yoga.mp3</t>
  </si>
  <si>
    <t>SB_1-02-25_VRN_1972-11-05_Impersonalists_Misguide_People.mp3</t>
  </si>
  <si>
    <t>https://audio.iskcondesiretree.com/01_-_Srila_Prabhupada/01_-_Lectures/01_-_English/02_-_Month_wise/11_-_November/05/SB_1-02-25_VRN_1972-11-05_Impersonalists_Misguide_People.mp3</t>
  </si>
  <si>
    <t>SP_NOD_Vrindavan_1972-11-06_-_Advantages_of_Taking_to_Krsna-etc.mp3</t>
  </si>
  <si>
    <t>https://audio.iskcondesiretree.com/01_-_Srila_Prabhupada/01_-_Lectures/01_-_English/01_-_Topic_wise/Nectar_Of_Devotion/SP_NOD_Vrindavan_1972-11-06_-_Advantages_of_Taking_to_Krsna-etc.mp3</t>
  </si>
  <si>
    <t>SP_SB_1-02-26_Vrindavan_1972-11-06_People_Are_Being_Killed.mp3</t>
  </si>
  <si>
    <t>https://audio.iskcondesiretree.com/01_-_Srila_Prabhupada/01_-_Lectures/01_-_English/01_-_Topic_wise/Srimad_Bhagavatam/Canto-01/SP_SB_1-02-26_Vrindavan_1972-11-06_People_Are_Being_Killed.mp3</t>
  </si>
  <si>
    <t>NOD_Lect_VRN_1972-11-06_Advantages_of_Taking_to_Krsna_etc.mp3</t>
  </si>
  <si>
    <t>https://audio.iskcondesiretree.com/01_-_Srila_Prabhupada/01_-_Lectures/01_-_English/02_-_Month_wise/11_-_November/06/NOD_Lect_VRN_1972-11-06_Advantages_of_Taking_to_Krsna_etc.mp3</t>
  </si>
  <si>
    <t>SB_1-02-26_VRN_1972-11-06_People_Are_Being_Killed.mp3</t>
  </si>
  <si>
    <t>https://audio.iskcondesiretree.com/01_-_Srila_Prabhupada/01_-_Lectures/01_-_English/02_-_Month_wise/11_-_November/06/SB_1-02-26_VRN_1972-11-06_People_Are_Being_Killed.mp3</t>
  </si>
  <si>
    <t>SP_NOD_11_Vrindavan_1972-11-07_-_The_Complete_Science_of_Bhakti_Yoga.mp3</t>
  </si>
  <si>
    <t>https://audio.iskcondesiretree.com/01_-_Srila_Prabhupada/01_-_Lectures/01_-_English/01_-_Topic_wise/Nectar_Of_Devotion/SP_NOD_11_Vrindavan_1972-11-07_-_The_Complete_Science_of_Bhakti_Yoga.mp3</t>
  </si>
  <si>
    <t>SP_SB_1-02-27_Vrindavan_1972-11-07_Devotee_Doesn%27t_Want_Anything.mp3</t>
  </si>
  <si>
    <t>https://audio.iskcondesiretree.com/01_-_Srila_Prabhupada/01_-_Lectures/01_-_English/01_-_Topic_wise/Srimad_Bhagavatam/Canto-01/SP_SB_1-02-27_Vrindavan_1972-11-07_Devotee_Doesn%27t_Want_Anything.mp3</t>
  </si>
  <si>
    <t>NOD_11_VRN_1972-11-07_The_Complete_Science_of_Bhakti-Yoga.mp3</t>
  </si>
  <si>
    <t>https://audio.iskcondesiretree.com/01_-_Srila_Prabhupada/01_-_Lectures/01_-_English/02_-_Month_wise/11_-_November/07/NOD_11_VRN_1972-11-07_The_Complete_Science_of_Bhakti-Yoga.mp3</t>
  </si>
  <si>
    <t>SB_1-02-27_VRN_1972-11-07_Devotee_Doesn%27t_Want_Anything.mp3</t>
  </si>
  <si>
    <t>https://audio.iskcondesiretree.com/01_-_Srila_Prabhupada/01_-_Lectures/01_-_English/02_-_Month_wise/11_-_November/07/SB_1-02-27_VRN_1972-11-07_Devotee_Doesn%27t_Want_Anything.mp3</t>
  </si>
  <si>
    <t>SP_NOD_12_Vrindavan_1972-11-08_-_The_Complete_Science_of_Bhakti_Yoga.mp3</t>
  </si>
  <si>
    <t>https://audio.iskcondesiretree.com/01_-_Srila_Prabhupada/01_-_Lectures/01_-_English/01_-_Topic_wise/Nectar_Of_Devotion/SP_NOD_12_Vrindavan_1972-11-08_-_The_Complete_Science_of_Bhakti_Yoga.mp3</t>
  </si>
  <si>
    <t>SP_SB_1-02-28_Vrindavan_1972-11-08_Kamsa%27s_and_Ravana%27s_Secular_State.mp3</t>
  </si>
  <si>
    <t>https://audio.iskcondesiretree.com/01_-_Srila_Prabhupada/01_-_Lectures/01_-_English/01_-_Topic_wise/Srimad_Bhagavatam/Canto-01/SP_SB_1-02-28_Vrindavan_1972-11-08_Kamsa%27s_and_Ravana%27s_Secular_State.mp3</t>
  </si>
  <si>
    <t>NOD_12_VRN_1972-11-08_The_Complete_Science_of_Bhakti-Yoga.mp3</t>
  </si>
  <si>
    <t>https://audio.iskcondesiretree.com/01_-_Srila_Prabhupada/01_-_Lectures/01_-_English/02_-_Month_wise/11_-_November/08/NOD_12_VRN_1972-11-08_The_Complete_Science_of_Bhakti-Yoga.mp3</t>
  </si>
  <si>
    <t>SB_1-02-28_VRN_1972-11-08_Kamsa%27s_and_Ravana%27s_Secular_State.mp3</t>
  </si>
  <si>
    <t>https://audio.iskcondesiretree.com/01_-_Srila_Prabhupada/01_-_Lectures/01_-_English/02_-_Month_wise/11_-_November/08/SB_1-02-28_VRN_1972-11-08_Kamsa%27s_and_Ravana%27s_Secular_State.mp3</t>
  </si>
  <si>
    <t>SP_NOD_Vrindavan_1972-11-09_-_Dance_with_Krishna_Not_Alone-etc.mp3</t>
  </si>
  <si>
    <t>https://audio.iskcondesiretree.com/01_-_Srila_Prabhupada/01_-_Lectures/01_-_English/01_-_Topic_wise/Nectar_Of_Devotion/SP_NOD_Vrindavan_1972-11-09_-_Dance_with_Krishna_Not_Alone-etc.mp3</t>
  </si>
  <si>
    <t>SP_SB_1-02-30_Vrindavan_1972-11-09_We_Are_Controlled.mp3</t>
  </si>
  <si>
    <t>https://audio.iskcondesiretree.com/01_-_Srila_Prabhupada/01_-_Lectures/01_-_English/01_-_Topic_wise/Srimad_Bhagavatam/Canto-01/SP_SB_1-02-30_Vrindavan_1972-11-09_We_Are_Controlled.mp3</t>
  </si>
  <si>
    <t>NOD_Lect_VRN_1972-11-09_Dance_with_Krishna-Not_Alone_etc.mp3</t>
  </si>
  <si>
    <t>https://audio.iskcondesiretree.com/01_-_Srila_Prabhupada/01_-_Lectures/01_-_English/02_-_Month_wise/11_-_November/09/NOD_Lect_VRN_1972-11-09_Dance_with_Krishna-Not_Alone_etc.mp3</t>
  </si>
  <si>
    <t>SB_1-02-30_VRN_1972-11-09_We_Are_Controlled.mp3</t>
  </si>
  <si>
    <t>https://audio.iskcondesiretree.com/01_-_Srila_Prabhupada/01_-_Lectures/01_-_English/02_-_Month_wise/11_-_November/09/SB_1-02-30_VRN_1972-11-09_We_Are_Controlled.mp3</t>
  </si>
  <si>
    <t>SP_NOD_13_Vrindavan_1972-11-10_-_The_Complete_Science_of_Bhakti_Yoga.mp3</t>
  </si>
  <si>
    <t>https://audio.iskcondesiretree.com/01_-_Srila_Prabhupada/01_-_Lectures/01_-_English/01_-_Topic_wise/Nectar_Of_Devotion/SP_NOD_13_Vrindavan_1972-11-10_-_The_Complete_Science_of_Bhakti_Yoga.mp3</t>
  </si>
  <si>
    <t>SP_SB_1-02-31_Vrindavan_1972-11-10_Getting_in_Touch_With_Krishna.mp3</t>
  </si>
  <si>
    <t>https://audio.iskcondesiretree.com/01_-_Srila_Prabhupada/01_-_Lectures/01_-_English/01_-_Topic_wise/Srimad_Bhagavatam/Canto-01/SP_SB_1-02-31_Vrindavan_1972-11-10_Getting_in_Touch_With_Krishna.mp3</t>
  </si>
  <si>
    <t>NOD_13_VRN_1972-11-10_The_Complete_Science_of_Bhakti-Yoga.mp3</t>
  </si>
  <si>
    <t>https://audio.iskcondesiretree.com/01_-_Srila_Prabhupada/01_-_Lectures/01_-_English/02_-_Month_wise/11_-_November/10/NOD_13_VRN_1972-11-10_The_Complete_Science_of_Bhakti-Yoga.mp3</t>
  </si>
  <si>
    <t>SB_1-02-31_VRN_1972-11-10_Getting_in_Touch_With_Krishna.mp3</t>
  </si>
  <si>
    <t>https://audio.iskcondesiretree.com/01_-_Srila_Prabhupada/01_-_Lectures/01_-_English/02_-_Month_wise/11_-_November/10/SB_1-02-31_VRN_1972-11-10_Getting_in_Touch_With_Krishna.mp3</t>
  </si>
  <si>
    <t>SP_NOD_Vrindavan_1972-11-11_-_Engage_All_Beautiful_Women_in-etc.mp3</t>
  </si>
  <si>
    <t>https://audio.iskcondesiretree.com/01_-_Srila_Prabhupada/01_-_Lectures/01_-_English/01_-_Topic_wise/Nectar_Of_Devotion/SP_NOD_Vrindavan_1972-11-11_-_Engage_All_Beautiful_Women_in-etc.mp3</t>
  </si>
  <si>
    <t>SP_SB_1-02-32_Vrindavan_1972-11-11_Oneness_Is_Variety.mp3</t>
  </si>
  <si>
    <t>https://audio.iskcondesiretree.com/01_-_Srila_Prabhupada/01_-_Lectures/01_-_English/01_-_Topic_wise/Srimad_Bhagavatam/Canto-01/SP_SB_1-02-32_Vrindavan_1972-11-11_Oneness_Is_Variety.mp3</t>
  </si>
  <si>
    <t>NOD_Lect_VRN_1972-11-11_Engage_All_Beautiful_Women_in_etc.mp3</t>
  </si>
  <si>
    <t>https://audio.iskcondesiretree.com/01_-_Srila_Prabhupada/01_-_Lectures/01_-_English/02_-_Month_wise/11_-_November/11/NOD_Lect_VRN_1972-11-11_Engage_All_Beautiful_Women_in_etc.mp3</t>
  </si>
  <si>
    <t>SB_1-02-32_VRN_1972-11-11_Oneness_Is_Variety.mp3</t>
  </si>
  <si>
    <t>https://audio.iskcondesiretree.com/01_-_Srila_Prabhupada/01_-_Lectures/01_-_English/02_-_Month_wise/11_-_November/11/SB_1-02-32_VRN_1972-11-11_Oneness_Is_Variety.mp3</t>
  </si>
  <si>
    <t>SP_NOD_14_Vrindavan_1972-11-12_-_The_Complete_Science_of_Bhakti_Yoga.mp3</t>
  </si>
  <si>
    <t>https://audio.iskcondesiretree.com/01_-_Srila_Prabhupada/01_-_Lectures/01_-_English/01_-_Topic_wise/Nectar_Of_Devotion/SP_NOD_14_Vrindavan_1972-11-12_-_The_Complete_Science_of_Bhakti_Yoga.mp3</t>
  </si>
  <si>
    <t>SP_SB_1-02-33_Vrindavan_1972-11-12_Subtle_Cosmic_Button-Pusher.mp3</t>
  </si>
  <si>
    <t>https://audio.iskcondesiretree.com/01_-_Srila_Prabhupada/01_-_Lectures/01_-_English/01_-_Topic_wise/Srimad_Bhagavatam/Canto-01/SP_SB_1-02-33_Vrindavan_1972-11-12_Subtle_Cosmic_Button-Pusher.mp3</t>
  </si>
  <si>
    <t>NOD_14_VRN_1972-11-12_The_Complete_Science_of_Bhakti-Yoga.mp3</t>
  </si>
  <si>
    <t>https://audio.iskcondesiretree.com/01_-_Srila_Prabhupada/01_-_Lectures/01_-_English/02_-_Month_wise/11_-_November/12/NOD_14_VRN_1972-11-12_The_Complete_Science_of_Bhakti-Yoga.mp3</t>
  </si>
  <si>
    <t>SB_1-02-33_VRN_1972-11-12_Subtle_Cosmic_Button-Pusher.mp3</t>
  </si>
  <si>
    <t>https://audio.iskcondesiretree.com/01_-_Srila_Prabhupada/01_-_Lectures/01_-_English/02_-_Month_wise/11_-_November/12/SB_1-02-33_VRN_1972-11-12_Subtle_Cosmic_Button-Pusher.mp3</t>
  </si>
  <si>
    <t>SP_NOD_15_Vrindavan_1972-11-13_-_The_Complete_Science_of_Bhakti_Yoga.mp3</t>
  </si>
  <si>
    <t>https://audio.iskcondesiretree.com/01_-_Srila_Prabhupada/01_-_Lectures/01_-_English/01_-_Topic_wise/Nectar_Of_Devotion/SP_NOD_15_Vrindavan_1972-11-13_-_The_Complete_Science_of_Bhakti_Yoga.mp3</t>
  </si>
  <si>
    <t>SP_SB_1-02-34_Vrindavan_1972-11-13_The_Rascals%27_Business...Is--etc.mp3</t>
  </si>
  <si>
    <t>https://audio.iskcondesiretree.com/01_-_Srila_Prabhupada/01_-_Lectures/01_-_English/01_-_Topic_wise/Srimad_Bhagavatam/Canto-01/SP_SB_1-02-34_Vrindavan_1972-11-13_The_Rascals%27_Business...Is--etc.mp3</t>
  </si>
  <si>
    <t>NOD_15_VRN_1972-11-13_The_Complete_Science_of_Bhakti-Yoga.mp3</t>
  </si>
  <si>
    <t>https://audio.iskcondesiretree.com/01_-_Srila_Prabhupada/01_-_Lectures/01_-_English/02_-_Month_wise/11_-_November/13/NOD_15_VRN_1972-11-13_The_Complete_Science_of_Bhakti-Yoga.mp3</t>
  </si>
  <si>
    <t>SB_1-02-34_VRN_1972-11-13_The_Rascals_Business_Is_etc.mp3</t>
  </si>
  <si>
    <t>https://audio.iskcondesiretree.com/01_-_Srila_Prabhupada/01_-_Lectures/01_-_English/02_-_Month_wise/11_-_November/13/SB_1-02-34_VRN_1972-11-13_The_Rascals_Business_Is_etc.mp3</t>
  </si>
  <si>
    <t>SP_SB_1-03-01_Vrindavan_1972-11-14_Our_Eternal_Position.mp3</t>
  </si>
  <si>
    <t>https://audio.iskcondesiretree.com/01_-_Srila_Prabhupada/01_-_Lectures/01_-_English/01_-_Topic_wise/Srimad_Bhagavatam/Canto-01/SP_SB_1-03-01_Vrindavan_1972-11-14_Our_Eternal_Position.mp3</t>
  </si>
  <si>
    <t>SB_1-03-01_VRN_1972-11-14_Our_Eternal_Position.mp3</t>
  </si>
  <si>
    <t>https://audio.iskcondesiretree.com/01_-_Srila_Prabhupada/01_-_Lectures/01_-_English/02_-_Month_wise/11_-_November/14/SB_1-03-01_VRN_1972-11-14_Our_Eternal_Position.mp3</t>
  </si>
  <si>
    <t>SP_BG_02-12_Hyderabad_1972-11-17_Meaning_of_Dhira.mp3</t>
  </si>
  <si>
    <t>https://audio.iskcondesiretree.com/01_-_Srila_Prabhupada/01_-_Lectures/01_-_English/01_-_Topic_wise/Bhagavad_Gita/Chapter-02/SP_BG_02-12_Hyderabad_1972-11-17_Meaning_of_Dhira.mp3</t>
  </si>
  <si>
    <t>Bg_02-12_HYD_1972-11-17_Meaning_of_Dhira.mp3</t>
  </si>
  <si>
    <t>https://audio.iskcondesiretree.com/01_-_Srila_Prabhupada/01_-_Lectures/01_-_English/02_-_Month_wise/11_-_November/17/Bg_02-12_HYD_1972-11-17_Meaning_of_Dhira.mp3</t>
  </si>
  <si>
    <t>SP_BG_02-13_Hyderabad_1972-11-18_We_Are_All_Servants.mp3</t>
  </si>
  <si>
    <t>https://audio.iskcondesiretree.com/01_-_Srila_Prabhupada/01_-_Lectures/01_-_English/01_-_Topic_wise/Bhagavad_Gita/Chapter-02/SP_BG_02-13_Hyderabad_1972-11-18_We_Are_All_Servants.mp3</t>
  </si>
  <si>
    <t>Bg_02-13_HYD_1972-11-18_We_Are_All_Servants.mp3</t>
  </si>
  <si>
    <t>https://audio.iskcondesiretree.com/01_-_Srila_Prabhupada/01_-_Lectures/01_-_English/02_-_Month_wise/11_-_November/18/Bg_02-13_HYD_1972-11-18_We_Are_All_Servants.mp3</t>
  </si>
  <si>
    <t>SP_BG_02-13_Hyderabad_1972-11-19_Not_One_Became_Devotee.mp3</t>
  </si>
  <si>
    <t>https://audio.iskcondesiretree.com/01_-_Srila_Prabhupada/01_-_Lectures/01_-_English/01_-_Topic_wise/Bhagavad_Gita/Chapter-02/SP_BG_02-13_Hyderabad_1972-11-19_Not_One_Became_Devotee.mp3</t>
  </si>
  <si>
    <t>Bg_02-13_HYD_1972-11-19_Not_One_Became_Devotee.mp3</t>
  </si>
  <si>
    <t>https://audio.iskcondesiretree.com/01_-_Srila_Prabhupada/01_-_Lectures/01_-_English/02_-_Month_wise/11_-_November/19/Bg_02-13_HYD_1972-11-19_Not_One_Became_Devotee.mp3</t>
  </si>
  <si>
    <t>SP_BG_02-15_Hyderabad_1972-11-21_I_Am_Not_This_Dream.mp3</t>
  </si>
  <si>
    <t>https://audio.iskcondesiretree.com/01_-_Srila_Prabhupada/01_-_Lectures/01_-_English/01_-_Topic_wise/Bhagavad_Gita/Chapter-02/SP_BG_02-15_Hyderabad_1972-11-21_I_Am_Not_This_Dream.mp3</t>
  </si>
  <si>
    <t>Bg_02-15_HYD_1972-11-21_I_Am_Not_This_Dream.mp3</t>
  </si>
  <si>
    <t>https://audio.iskcondesiretree.com/01_-_Srila_Prabhupada/01_-_Lectures/01_-_English/02_-_Month_wise/11_-_November/21/Bg_02-15_HYD_1972-11-21_I_Am_Not_This_Dream.mp3</t>
  </si>
  <si>
    <t>SP_BG_02-17_Hyderabad_1972-11-22_Material_Body_Is_Dead_Body.mp3</t>
  </si>
  <si>
    <t>https://audio.iskcondesiretree.com/01_-_Srila_Prabhupada/01_-_Lectures/01_-_English/01_-_Topic_wise/Bhagavad_Gita/Chapter-02/SP_BG_02-17_Hyderabad_1972-11-22_Material_Body_Is_Dead_Body.mp3</t>
  </si>
  <si>
    <t>Bg_02-17_HYD_1972-11-22_Material_Body_Is_Dead_Body.mp3</t>
  </si>
  <si>
    <t>https://audio.iskcondesiretree.com/01_-_Srila_Prabhupada/01_-_Lectures/01_-_English/02_-_Month_wise/11_-_November/22/Bg_02-17_HYD_1972-11-22_Material_Body_Is_Dead_Body.mp3</t>
  </si>
  <si>
    <t>SP_BG_02-18_Hyderabad_1972-11-23_Chant-Cleanse_Your_Brain.mp3</t>
  </si>
  <si>
    <t>https://audio.iskcondesiretree.com/01_-_Srila_Prabhupada/01_-_Lectures/01_-_English/01_-_Topic_wise/Bhagavad_Gita/Chapter-02/SP_BG_02-18_Hyderabad_1972-11-23_Chant-Cleanse_Your_Brain.mp3</t>
  </si>
  <si>
    <t>SP_BG_07-05_Hyderabad_1972-11-23_Serving_the_Material_World---etc.mp3</t>
  </si>
  <si>
    <t>https://audio.iskcondesiretree.com/01_-_Srila_Prabhupada/01_-_Lectures/01_-_English/01_-_Topic_wise/Bhagavad_Gita/Chapter-07/SP_BG_07-05_Hyderabad_1972-11-23_Serving_the_Material_World---etc.mp3</t>
  </si>
  <si>
    <t>Bg_02-18_HYD_1972-11-23_Chant-Cleanse_Your_Brain.mp3</t>
  </si>
  <si>
    <t>https://audio.iskcondesiretree.com/01_-_Srila_Prabhupada/01_-_Lectures/01_-_English/02_-_Month_wise/11_-_November/23/Bg_02-18_HYD_1972-11-23_Chant-Cleanse_Your_Brain.mp3</t>
  </si>
  <si>
    <t>Bg_07-05_HYD_1972-11-23_Serving_the_Material_World_etc.mp3</t>
  </si>
  <si>
    <t>https://audio.iskcondesiretree.com/01_-_Srila_Prabhupada/01_-_Lectures/01_-_English/02_-_Month_wise/11_-_November/23/Bg_07-05_HYD_1972-11-23_Serving_the_Material_World_etc.mp3</t>
  </si>
  <si>
    <t>SP_BG_02-20_Hyderabad_1972-11-25_Birth_and_Death_Caused_by_Maya.mp3</t>
  </si>
  <si>
    <t>https://audio.iskcondesiretree.com/01_-_Srila_Prabhupada/01_-_Lectures/01_-_English/01_-_Topic_wise/Bhagavad_Gita/Chapter-02/SP_BG_02-20_Hyderabad_1972-11-25_Birth_and_Death_Caused_by_Maya.mp3</t>
  </si>
  <si>
    <t>Bg_02-20_HYD_1972-11-25_Birth_and_Death_Caused_by_Maya.mp3</t>
  </si>
  <si>
    <t>https://audio.iskcondesiretree.com/01_-_Srila_Prabhupada/01_-_Lectures/01_-_English/02_-_Month_wise/11_-_November/25/Bg_02-20_HYD_1972-11-25_Birth_and_Death_Caused_by_Maya.mp3</t>
  </si>
  <si>
    <t>SP_BG_02-22_Hyderabad_1972-11-26_Rain_Depends_on_Krishna--Not--etc.mp3</t>
  </si>
  <si>
    <t>https://audio.iskcondesiretree.com/01_-_Srila_Prabhupada/01_-_Lectures/01_-_English/01_-_Topic_wise/Bhagavad_Gita/Chapter-02/SP_BG_02-22_Hyderabad_1972-11-26_Rain_Depends_on_Krishna--Not--etc.mp3</t>
  </si>
  <si>
    <t>Bg_02-22_HYD_1972-11-26_Rain_Depends_on_Krishna-Not_etc.mp3</t>
  </si>
  <si>
    <t>https://audio.iskcondesiretree.com/01_-_Srila_Prabhupada/01_-_Lectures/01_-_English/02_-_Month_wise/11_-_November/26/Bg_02-22_HYD_1972-11-26_Rain_Depends_on_Krishna-Not_etc.mp3</t>
  </si>
  <si>
    <t>SP_BG_02-23_Hyderabad_1972-11-27_The_Indestructible_Soul.mp3</t>
  </si>
  <si>
    <t>https://audio.iskcondesiretree.com/01_-_Srila_Prabhupada/01_-_Lectures/01_-_English/01_-_Topic_wise/Bhagavad_Gita/Chapter-02/SP_BG_02-23_Hyderabad_1972-11-27_The_Indestructible_Soul.mp3</t>
  </si>
  <si>
    <t>Bg_02-23_HYD_1972-11-27_The_Indestructible_Soul.mp3</t>
  </si>
  <si>
    <t>https://audio.iskcondesiretree.com/01_-_Srila_Prabhupada/01_-_Lectures/01_-_English/02_-_Month_wise/11_-_November/27/Bg_02-23_HYD_1972-11-27_The_Indestructible_Soul.mp3</t>
  </si>
  <si>
    <t>SP_BG_02-24_Hyderabad_1972-11-28_Sanatana...Another_Nature.mp3</t>
  </si>
  <si>
    <t>https://audio.iskcondesiretree.com/01_-_Srila_Prabhupada/01_-_Lectures/01_-_English/01_-_Topic_wise/Bhagavad_Gita/Chapter-02/SP_BG_02-24_Hyderabad_1972-11-28_Sanatana...Another_Nature.mp3</t>
  </si>
  <si>
    <t>Bg_02-24_HYD_1972-11-28_Sanatana_Another_Nature.mp3</t>
  </si>
  <si>
    <t>https://audio.iskcondesiretree.com/01_-_Srila_Prabhupada/01_-_Lectures/01_-_English/02_-_Month_wise/11_-_November/28/Bg_02-24_HYD_1972-11-28_Sanatana_Another_Nature.mp3</t>
  </si>
  <si>
    <t>SP_Address_Hyderabad_1972-11-29_To_Rotary_Club--Three_Aspects_of--etc.mp3</t>
  </si>
  <si>
    <t>https://audio.iskcondesiretree.com/01_-_Srila_Prabhupada/01_-_Lectures/01_-_English/01_-_Topic_wise/Arrival_Address/SP_Address_Hyderabad_1972-11-29_To_Rotary_Club--Three_Aspects_of--etc.mp3</t>
  </si>
  <si>
    <t>SP_BG_02-25_Hyderabad_1972-11-29_Transfer_Your_Love_to_Krishna.mp3</t>
  </si>
  <si>
    <t>https://audio.iskcondesiretree.com/01_-_Srila_Prabhupada/01_-_Lectures/01_-_English/01_-_Topic_wise/Bhagavad_Gita/Chapter-02/SP_BG_02-25_Hyderabad_1972-11-29_Transfer_Your_Love_to_Krishna.mp3</t>
  </si>
  <si>
    <t>Addr_HYD_1972-11-29_To_Rotary_Club-Three_Aspects_of_etc.mp3</t>
  </si>
  <si>
    <t>https://audio.iskcondesiretree.com/01_-_Srila_Prabhupada/01_-_Lectures/01_-_English/02_-_Month_wise/11_-_November/29/Addr_HYD_1972-11-29_To_Rotary_Club-Three_Aspects_of_etc.mp3</t>
  </si>
  <si>
    <t>Bg_02-25_HYD_1972-11-29_Transfer_Your_Love_to_Krishna.mp3</t>
  </si>
  <si>
    <t>https://audio.iskcondesiretree.com/01_-_Srila_Prabhupada/01_-_Lectures/01_-_English/02_-_Month_wise/11_-_November/29/Bg_02-25_HYD_1972-11-29_Transfer_Your_Love_to_Krishna.mp3</t>
  </si>
  <si>
    <t>SP_BG_02-26-29_Hyderabad_1972-11-30_Vedic_and_Parampara_System.mp3</t>
  </si>
  <si>
    <t>https://audio.iskcondesiretree.com/01_-_Srila_Prabhupada/01_-_Lectures/01_-_English/01_-_Topic_wise/Bhagavad_Gita/Chapter-02/SP_BG_02-26-29_Hyderabad_1972-11-30_Vedic_and_Parampara_System.mp3</t>
  </si>
  <si>
    <t>Bg_02-26_HYD_1972-11-30_Vedic_and_Parampara_System.mp3</t>
  </si>
  <si>
    <t>https://audio.iskcondesiretree.com/01_-_Srila_Prabhupada/01_-_Lectures/01_-_English/02_-_Month_wise/11_-_November/30/Bg_02-26_HYD_1972-11-30_Vedic_and_Parampara_System.mp3</t>
  </si>
  <si>
    <t>SP_Lecture_Ahmedabad_1972-12-05_At_Rotary_Club--There_Are_So_Many_Anomalies.mp3</t>
  </si>
  <si>
    <t>https://audio.iskcondesiretree.com/01_-_Srila_Prabhupada/01_-_Lectures/01_-_English/01_-_Topic_wise/Various/SP_Lecture_Ahmedabad_1972-12-05_At_Rotary_Club--There_Are_So_Many_Anomalies.mp3</t>
  </si>
  <si>
    <t>Lect_AHM_1972-12-05_At_Rotary_Club-There_Are_So_Many_Anomalies.mp3</t>
  </si>
  <si>
    <t>https://audio.iskcondesiretree.com/01_-_Srila_Prabhupada/01_-_Lectures/01_-_English/02_-_Month_wise/12_-_December/05/Lect_AHM_1972-12-05_At_Rotary_Club-There_Are_So_Many_Anomalies.mp3</t>
  </si>
  <si>
    <t>SP_BG_02-01_Ahmedabad_1972-12-06_Krishna_Gave_Bhagavad-gita_to--etc.mp3</t>
  </si>
  <si>
    <t>https://audio.iskcondesiretree.com/01_-_Srila_Prabhupada/01_-_Lectures/01_-_English/01_-_Topic_wise/Bhagavad_Gita/Chapter-02/SP_BG_02-01_Ahmedabad_1972-12-06_Krishna_Gave_Bhagavad-gita_to--etc.mp3</t>
  </si>
  <si>
    <t>Bg_02-01_AHM_1972-12-06_Krishna_Gave_Bhagavad-gita_to_etc.mp3</t>
  </si>
  <si>
    <t>https://audio.iskcondesiretree.com/01_-_Srila_Prabhupada/01_-_Lectures/01_-_English/02_-_Month_wise/12_-_December/06/Bg_02-01_AHM_1972-12-06_Krishna_Gave_Bhagavad-gita_to_etc.mp3</t>
  </si>
  <si>
    <t>SP_BG_02-01_Ahmedabad_1972-12-07_Signs_of_Ignorance_of_Self.mp3</t>
  </si>
  <si>
    <t>https://audio.iskcondesiretree.com/01_-_Srila_Prabhupada/01_-_Lectures/01_-_English/01_-_Topic_wise/Bhagavad_Gita/Chapter-02/SP_BG_02-01_Ahmedabad_1972-12-07_Signs_of_Ignorance_of_Self.mp3</t>
  </si>
  <si>
    <t>Bg_02-01_AHM_1972-12-07_Signs_of_Ignorance_of_Self.mp3</t>
  </si>
  <si>
    <t>https://audio.iskcondesiretree.com/01_-_Srila_Prabhupada/01_-_Lectures/01_-_English/02_-_Month_wise/12_-_December/07/Bg_02-01_AHM_1972-12-07_Signs_of_Ignorance_of_Self.mp3</t>
  </si>
  <si>
    <t>SP_Lecture_Ahmedabad_1972-12-08_Sankaracarya_Is_Not_Original.mp3</t>
  </si>
  <si>
    <t>https://audio.iskcondesiretree.com/01_-_Srila_Prabhupada/01_-_Lectures/01_-_English/01_-_Topic_wise/Various/SP_Lecture_Ahmedabad_1972-12-08_Sankaracarya_Is_Not_Original.mp3</t>
  </si>
  <si>
    <t>Lect_AHM_1972-12-08_Sankaracarya_Is_Not_Original.mp3</t>
  </si>
  <si>
    <t>https://audio.iskcondesiretree.com/01_-_Srila_Prabhupada/01_-_Lectures/01_-_English/02_-_Month_wise/12_-_December/08/Lect_AHM_1972-12-08_Sankaracarya_Is_Not_Original.mp3</t>
  </si>
  <si>
    <t>Chapter-18</t>
  </si>
  <si>
    <t>SP_BG_18-67_Ahmedabad_1972-12-09_What_Will_Max_Muller--etc.mp3</t>
  </si>
  <si>
    <t>https://audio.iskcondesiretree.com/01_-_Srila_Prabhupada/01_-_Lectures/01_-_English/01_-_Topic_wise/Bhagavad_Gita/Chapter-18/SP_BG_18-67_Ahmedabad_1972-12-09_What_Will_Max_Muller--etc.mp3</t>
  </si>
  <si>
    <t>Bg_18-67_AHM_1972-12-09_What_Will_Max_Muller_etc.mp3</t>
  </si>
  <si>
    <t>https://audio.iskcondesiretree.com/01_-_Srila_Prabhupada/01_-_Lectures/01_-_English/02_-_Month_wise/12_-_December/09/Bg_18-67_AHM_1972-12-09_What_Will_Max_Muller_etc.mp3</t>
  </si>
  <si>
    <t>SP_BG_18-67_Ahmedabad_1972-12-10_Human_Form_of_Life_Is_for.mp3</t>
  </si>
  <si>
    <t>https://audio.iskcondesiretree.com/01_-_Srila_Prabhupada/01_-_Lectures/01_-_English/01_-_Topic_wise/Bhagavad_Gita/Chapter-18/SP_BG_18-67_Ahmedabad_1972-12-10_Human_Form_of_Life_Is_for.mp3</t>
  </si>
  <si>
    <t>Bg_18-67_AHM_1972-12-10_Human_Form_of_Life_Is_for.mp3</t>
  </si>
  <si>
    <t>https://audio.iskcondesiretree.com/01_-_Srila_Prabhupada/01_-_Lectures/01_-_English/02_-_Month_wise/12_-_December/10/Bg_18-67_AHM_1972-12-10_Human_Form_of_Life_Is_for.mp3</t>
  </si>
  <si>
    <t>SP_BG_02-02_Ahmedabad_1972-12-11_Classless_Aryanism.mp3</t>
  </si>
  <si>
    <t>https://audio.iskcondesiretree.com/01_-_Srila_Prabhupada/01_-_Lectures/01_-_English/01_-_Topic_wise/Bhagavad_Gita/Chapter-02/SP_BG_02-02_Ahmedabad_1972-12-11_Classless_Aryanism.mp3</t>
  </si>
  <si>
    <t>Bg_02-02_AHM_1972-12-11_Classless_Aryanism.mp3</t>
  </si>
  <si>
    <t>https://audio.iskcondesiretree.com/01_-_Srila_Prabhupada/01_-_Lectures/01_-_English/02_-_Month_wise/12_-_December/11/Bg_02-02_AHM_1972-12-11_Classless_Aryanism.mp3</t>
  </si>
  <si>
    <t>SP_BG_06-47_Ahmedabad_1972-12-12_Blockhead_to_Bhakta.mp3</t>
  </si>
  <si>
    <t>https://audio.iskcondesiretree.com/01_-_Srila_Prabhupada/01_-_Lectures/01_-_English/01_-_Topic_wise/Bhagavad_Gita/Chapter-06/SP_BG_06-47_Ahmedabad_1972-12-12_Blockhead_to_Bhakta.mp3</t>
  </si>
  <si>
    <t>Bg_06-47_AHM_1972-12-12_Blockhead_to_Bhakta.mp3</t>
  </si>
  <si>
    <t>https://audio.iskcondesiretree.com/01_-_Srila_Prabhupada/01_-_Lectures/01_-_English/02_-_Month_wise/12_-_December/12/Bg_06-47_AHM_1972-12-12_Blockhead_to_Bhakta.mp3</t>
  </si>
  <si>
    <t>SP_BG_07-01_Ahmedabad_1972-12-13_Kanistha_Madhyama_Uttama.mp3</t>
  </si>
  <si>
    <t>https://audio.iskcondesiretree.com/01_-_Srila_Prabhupada/01_-_Lectures/01_-_English/01_-_Topic_wise/Bhagavad_Gita/Chapter-07/SP_BG_07-01_Ahmedabad_1972-12-13_Kanistha_Madhyama_Uttama.mp3</t>
  </si>
  <si>
    <t>Bg_07-01_AHM_1972-12-13_Kanistha_Madhyama_Uttama.mp3</t>
  </si>
  <si>
    <t>https://audio.iskcondesiretree.com/01_-_Srila_Prabhupada/01_-_Lectures/01_-_English/02_-_Month_wise/12_-_December/13/Bg_07-01_AHM_1972-12-13_Kanistha_Madhyama_Uttama.mp3</t>
  </si>
  <si>
    <t>SP_BG_07-01_Ahmedabad_1972-12-14_Theory_of_Uncertainty.mp3</t>
  </si>
  <si>
    <t>https://audio.iskcondesiretree.com/01_-_Srila_Prabhupada/01_-_Lectures/01_-_English/01_-_Topic_wise/Bhagavad_Gita/Chapter-07/SP_BG_07-01_Ahmedabad_1972-12-14_Theory_of_Uncertainty.mp3</t>
  </si>
  <si>
    <t>Bg_07-01_AHM_1972-12-14_Theory_of_Uncertainty.mp3</t>
  </si>
  <si>
    <t>https://audio.iskcondesiretree.com/01_-_Srila_Prabhupada/01_-_Lectures/01_-_English/02_-_Month_wise/12_-_December/14/Bg_07-01_AHM_1972-12-14_Theory_of_Uncertainty.mp3</t>
  </si>
  <si>
    <t>SP_NOD_Pg-10_Bombay_1972-12-26_-_Transcendental_Morality.mp3</t>
  </si>
  <si>
    <t>https://audio.iskcondesiretree.com/01_-_Srila_Prabhupada/01_-_Lectures/01_-_English/01_-_Topic_wise/Nectar_Of_Devotion/SP_NOD_Pg-10_Bombay_1972-12-26_-_Transcendental_Morality.mp3</t>
  </si>
  <si>
    <t>NOD_Pg-10_BOM_1972-12-26_Transcendental_Morality.mp3</t>
  </si>
  <si>
    <t>https://audio.iskcondesiretree.com/01_-_Srila_Prabhupada/01_-_Lectures/01_-_English/02_-_Month_wise/12_-_December/26/NOD_Pg-10_BOM_1972-12-26_Transcendental_Morality.mp3</t>
  </si>
  <si>
    <t>SP_NOD_Pg-12_Bombay_1972-12-27_-_Real_Liberation_Is_Bhakti_Yoga.mp3</t>
  </si>
  <si>
    <t>https://audio.iskcondesiretree.com/01_-_Srila_Prabhupada/01_-_Lectures/01_-_English/01_-_Topic_wise/Nectar_Of_Devotion/SP_NOD_Pg-12_Bombay_1972-12-27_-_Real_Liberation_Is_Bhakti_Yoga.mp3</t>
  </si>
  <si>
    <t>NOD_Pg-12_BOM_1972-12-27_Real_Liberation_Is_Bhakti-Yoga.mp3</t>
  </si>
  <si>
    <t>https://audio.iskcondesiretree.com/01_-_Srila_Prabhupada/01_-_Lectures/01_-_English/02_-_Month_wise/12_-_December/27/NOD_Pg-12_BOM_1972-12-27_Real_Liberation_Is_Bhakti-Yoga.mp3</t>
  </si>
  <si>
    <t>SP_NOD_Bombay_1972-12-28_-_Surrender_to_Krishna_or_Crocodiles.mp3</t>
  </si>
  <si>
    <t>https://audio.iskcondesiretree.com/01_-_Srila_Prabhupada/01_-_Lectures/01_-_English/01_-_Topic_wise/Nectar_Of_Devotion/SP_NOD_Bombay_1972-12-28_-_Surrender_to_Krishna_or_Crocodiles.mp3</t>
  </si>
  <si>
    <t>SP_NOD_Pg-12_Bombay_1972-12-28_-_The_Superiority_of_Devotional_Mellows.mp3</t>
  </si>
  <si>
    <t>https://audio.iskcondesiretree.com/01_-_Srila_Prabhupada/01_-_Lectures/01_-_English/01_-_Topic_wise/Nectar_Of_Devotion/SP_NOD_Pg-12_Bombay_1972-12-28_-_The_Superiority_of_Devotional_Mellows.mp3</t>
  </si>
  <si>
    <t>NOD_Lect_BOM_1972-12-28_Surrender_to_Krishna_or_Crocodiles.mp3</t>
  </si>
  <si>
    <t>https://audio.iskcondesiretree.com/01_-_Srila_Prabhupada/01_-_Lectures/01_-_English/02_-_Month_wise/12_-_December/28/NOD_Lect_BOM_1972-12-28_Surrender_to_Krishna_or_Crocodiles.mp3</t>
  </si>
  <si>
    <t>NOD_Pg-12_BOM_1972-12-28_The_Superiority_of_Devotional_Mellows.mp3</t>
  </si>
  <si>
    <t>https://audio.iskcondesiretree.com/01_-_Srila_Prabhupada/01_-_Lectures/01_-_English/02_-_Month_wise/12_-_December/28/NOD_Pg-12_BOM_1972-12-28_The_Superiority_of_Devotional_Mellows.mp3</t>
  </si>
  <si>
    <t>Chapter-13</t>
  </si>
  <si>
    <t>SP_BG_13-01-02_Bombay_1972-12-29_Bodily_Field_and_the_Tiller.mp3</t>
  </si>
  <si>
    <t>https://audio.iskcondesiretree.com/01_-_Srila_Prabhupada/01_-_Lectures/01_-_English/01_-_Topic_wise/Bhagavad_Gita/Chapter-13/SP_BG_13-01-02_Bombay_1972-12-29_Bodily_Field_and_the_Tiller.mp3</t>
  </si>
  <si>
    <t>Bg_13-01_BOM_1972-12-29_Bodily_Field_and_the_Tiller.mp3</t>
  </si>
  <si>
    <t>https://audio.iskcondesiretree.com/01_-_Srila_Prabhupada/01_-_Lectures/01_-_English/02_-_Month_wise/12_-_December/29/Bg_13-01_BOM_1972-12-29_Bodily_Field_and_the_Tiller.mp3</t>
  </si>
  <si>
    <t>SP_BG_13-03_Bombay_1972-12-30_Occupant_and_Owner_of_Body.mp3</t>
  </si>
  <si>
    <t>https://audio.iskcondesiretree.com/01_-_Srila_Prabhupada/01_-_Lectures/01_-_English/01_-_Topic_wise/Bhagavad_Gita/Chapter-13/SP_BG_13-03_Bombay_1972-12-30_Occupant_and_Owner_of_Body.mp3</t>
  </si>
  <si>
    <t>Bg_13-03_BOM_1972-12-30_Occupant_and_Owner_of_Body.mp3</t>
  </si>
  <si>
    <t>https://audio.iskcondesiretree.com/01_-_Srila_Prabhupada/01_-_Lectures/01_-_English/02_-_Month_wise/12_-_December/30/Bg_13-03_BOM_1972-12-30_Occupant_and_Owner_of_Body.mp3</t>
  </si>
  <si>
    <t>SP_NOD_Pg-13_Bombay_1973-01-01_-_What_Devotees_Want_and_Don%27t_Want.mp3</t>
  </si>
  <si>
    <t>https://audio.iskcondesiretree.com/01_-_Srila_Prabhupada/01_-_Lectures/01_-_English/01_-_Topic_wise/Nectar_Of_Devotion/SP_NOD_Pg-13_Bombay_1973-01-01_-_What_Devotees_Want_and_Don%27t_Want.mp3</t>
  </si>
  <si>
    <t>NOD_Pg-13_BOM_1973-01-01_What_Devotees_Want_and_Don%27t_Want.mp3</t>
  </si>
  <si>
    <t>https://audio.iskcondesiretree.com/01_-_Srila_Prabhupada/01_-_Lectures/01_-_English/02_-_Month_wise/01_-_January/01/NOD_Pg-13_BOM_1973-01-01_What_Devotees_Want_and_Don%27t_Want.mp3</t>
  </si>
  <si>
    <t>SP_Lecture_Bombay_1973-01-03_Brahma-samhita--Nobody_Knows_Krishna.mp3</t>
  </si>
  <si>
    <t>https://audio.iskcondesiretree.com/01_-_Srila_Prabhupada/01_-_Lectures/01_-_English/01_-_Topic_wise/Various/SP_Lecture_Bombay_1973-01-03_Brahma-samhita--Nobody_Knows_Krishna.mp3</t>
  </si>
  <si>
    <t>Lect_BOM_1973-01-03_Brahma-samhita-Nobody_Knows_Krishna.mp3</t>
  </si>
  <si>
    <t>https://audio.iskcondesiretree.com/01_-_Srila_Prabhupada/01_-_Lectures/01_-_English/02_-_Month_wise/01_-_January/03/Lect_BOM_1973-01-03_Brahma-samhita-Nobody_Knows_Krishna.mp3</t>
  </si>
  <si>
    <t>SP_NOD_Pg-13_Bombay_1973-01-04_-_Without_KC_There_Cannot_Be_Bliss.mp3</t>
  </si>
  <si>
    <t>https://audio.iskcondesiretree.com/01_-_Srila_Prabhupada/01_-_Lectures/01_-_English/01_-_Topic_wise/Nectar_Of_Devotion/SP_NOD_Pg-13_Bombay_1973-01-04_-_Without_KC_There_Cannot_Be_Bliss.mp3</t>
  </si>
  <si>
    <t>NOD_Pg-13_BOM_1973-01-04_Without_KC_There_Cannot_Be_Bliss.mp3</t>
  </si>
  <si>
    <t>https://audio.iskcondesiretree.com/01_-_Srila_Prabhupada/01_-_Lectures/01_-_English/02_-_Month_wise/01_-_January/04/NOD_Pg-13_BOM_1973-01-04_Without_KC_There_Cannot_Be_Bliss.mp3</t>
  </si>
  <si>
    <t>SP_NOD_Bombay_1973-01-05_-_Why_Krishna_Spoke_to_a-etc.mp3</t>
  </si>
  <si>
    <t>https://audio.iskcondesiretree.com/01_-_Srila_Prabhupada/01_-_Lectures/01_-_English/01_-_Topic_wise/Nectar_Of_Devotion/SP_NOD_Bombay_1973-01-05_-_Why_Krishna_Spoke_to_a-etc.mp3</t>
  </si>
  <si>
    <t>SP_NOD_Pg-14_Bombay_1973-01-05_-_Invoking_Natural_Love_to_Krishna.mp3</t>
  </si>
  <si>
    <t>https://audio.iskcondesiretree.com/01_-_Srila_Prabhupada/01_-_Lectures/01_-_English/01_-_Topic_wise/Nectar_Of_Devotion/SP_NOD_Pg-14_Bombay_1973-01-05_-_Invoking_Natural_Love_to_Krishna.mp3</t>
  </si>
  <si>
    <t>NOD_Lect_BOM_1973-01-05_Why_Krishna_Spoke_to_a_etc.mp3</t>
  </si>
  <si>
    <t>https://audio.iskcondesiretree.com/01_-_Srila_Prabhupada/01_-_Lectures/01_-_English/02_-_Month_wise/01_-_January/05/NOD_Lect_BOM_1973-01-05_Why_Krishna_Spoke_to_a_etc.mp3</t>
  </si>
  <si>
    <t>NOD_Pg-14_BOM_1973-01-05_Invoking_Natural_Love_to_Krishna.mp3</t>
  </si>
  <si>
    <t>https://audio.iskcondesiretree.com/01_-_Srila_Prabhupada/01_-_Lectures/01_-_English/02_-_Month_wise/01_-_January/05/NOD_Pg-14_BOM_1973-01-05_Invoking_Natural_Love_to_Krishna.mp3</t>
  </si>
  <si>
    <t>SP_NOD_Pg-17_Bombay_1973-01-07_-_Some_how_or_Other-etc.mp3</t>
  </si>
  <si>
    <t>https://audio.iskcondesiretree.com/01_-_Srila_Prabhupada/01_-_Lectures/01_-_English/01_-_Topic_wise/Nectar_Of_Devotion/SP_NOD_Pg-17_Bombay_1973-01-07_-_Some_how_or_Other-etc.mp3</t>
  </si>
  <si>
    <t>NOD_Pg-17_BOM_1973-01-07_Somehow_or_Other_etc.mp3</t>
  </si>
  <si>
    <t>https://audio.iskcondesiretree.com/01_-_Srila_Prabhupada/01_-_Lectures/01_-_English/02_-_Month_wise/01_-_January/07/NOD_Pg-17_BOM_1973-01-07_Somehow_or_Other_etc.mp3</t>
  </si>
  <si>
    <t>SP_NOD_Pg-19_Bombay_1973-01-11_-_If_You_Don%27t_Serve_God.mp3</t>
  </si>
  <si>
    <t>https://audio.iskcondesiretree.com/01_-_Srila_Prabhupada/01_-_Lectures/01_-_English/01_-_Topic_wise/Nectar_Of_Devotion/SP_NOD_Pg-19_Bombay_1973-01-11_-_If_You_Don%27t_Serve_God.mp3</t>
  </si>
  <si>
    <t>NOD_Pg-19_BOM_1973-01-11_If_You_Don%27t_Serve_God.mp3</t>
  </si>
  <si>
    <t>https://audio.iskcondesiretree.com/01_-_Srila_Prabhupada/01_-_Lectures/01_-_English/02_-_Month_wise/01_-_January/11/NOD_Pg-19_BOM_1973-01-11_If_You_Don%27t_Serve_God.mp3</t>
  </si>
  <si>
    <t>SP_SB_Lect_Bombay_1973-01-12_At_Pandal--Glories_of_Srimad-Bhagavatam.mp3</t>
  </si>
  <si>
    <t>https://audio.iskcondesiretree.com/01_-_Srila_Prabhupada/01_-_Lectures/01_-_English/01_-_Topic_wise/Srimad_Bhagavatam/More/SP_SB_Lect_Bombay_1973-01-12_At_Pandal--Glories_of_Srimad-Bhagavatam.mp3</t>
  </si>
  <si>
    <t>SB_Lect_BOM_1973-01-12_At_Pandal--Glories_of_Srimad-Bhagavatam.mp3</t>
  </si>
  <si>
    <t>https://audio.iskcondesiretree.com/01_-_Srila_Prabhupada/01_-_Lectures/01_-_English/02_-_Month_wise/01_-_January/12/SB_Lect_BOM_1973-01-12_At_Pandal--Glories_of_Srimad-Bhagavatam.mp3</t>
  </si>
  <si>
    <t>SP_BG_07-01_Bombay_1973-01-13_At_Pandal--Rise_to_Platform--etc.mp3</t>
  </si>
  <si>
    <t>https://audio.iskcondesiretree.com/01_-_Srila_Prabhupada/01_-_Lectures/01_-_English/01_-_Topic_wise/Bhagavad_Gita/Chapter-07/SP_BG_07-01_Bombay_1973-01-13_At_Pandal--Rise_to_Platform--etc.mp3</t>
  </si>
  <si>
    <t>Bg_07-01_BOM_1973-01-13_At_Pandal--Rise_to_Platform_etc.mp3</t>
  </si>
  <si>
    <t>https://audio.iskcondesiretree.com/01_-_Srila_Prabhupada/01_-_Lectures/01_-_English/02_-_Month_wise/01_-_January/13/Bg_07-01_BOM_1973-01-13_At_Pandal--Rise_to_Platform_etc.mp3</t>
  </si>
  <si>
    <t>SP_Lecture_Bombay_1973-01-14_At_Pandal--It_Is_Not_that_Only--etc.mp3</t>
  </si>
  <si>
    <t>https://audio.iskcondesiretree.com/01_-_Srila_Prabhupada/01_-_Lectures/01_-_English/01_-_Topic_wise/Various/SP_Lecture_Bombay_1973-01-14_At_Pandal--It_Is_Not_that_Only--etc.mp3</t>
  </si>
  <si>
    <t>Lect_BOM_1973-01-14_At_Pandal--It_Is_Not_that_Only_etc.mp3</t>
  </si>
  <si>
    <t>https://audio.iskcondesiretree.com/01_-_Srila_Prabhupada/01_-_Lectures/01_-_English/02_-_Month_wise/01_-_January/14/Lect_BOM_1973-01-14_At_Pandal--It_Is_Not_that_Only_etc.mp3</t>
  </si>
  <si>
    <t>SP_NOD_Calcutta_1973-01-25_-_Remember_Krsna_and_Never_Forget_Him.mp3</t>
  </si>
  <si>
    <t>https://audio.iskcondesiretree.com/01_-_Srila_Prabhupada/01_-_Lectures/01_-_English/01_-_Topic_wise/Nectar_Of_Devotion/SP_NOD_Calcutta_1973-01-25_-_Remember_Krsna_and_Never_Forget_Him.mp3</t>
  </si>
  <si>
    <t>NOD_Lect_CAL_1973-01-25_Remember_Krsna--and_Never_Forget_Him.mp3</t>
  </si>
  <si>
    <t>https://audio.iskcondesiretree.com/01_-_Srila_Prabhupada/01_-_Lectures/01_-_English/02_-_Month_wise/01_-_January/25/NOD_Lect_CAL_1973-01-25_Remember_Krsna--and_Never_Forget_Him.mp3</t>
  </si>
  <si>
    <t>SP_Lecture_Calcutta_1973-01-26_Initiation_Sannyasa--When_I_Went--etc.mp3</t>
  </si>
  <si>
    <t>https://audio.iskcondesiretree.com/01_-_Srila_Prabhupada/01_-_Lectures/01_-_English/01_-_Topic_wise/Various/SP_Lecture_Calcutta_1973-01-26_Initiation_Sannyasa--When_I_Went--etc.mp3</t>
  </si>
  <si>
    <t>Lect_CAL_1973-01-26_Initiation_Sannyasa--When_I_Went_etc.mp3</t>
  </si>
  <si>
    <t>https://audio.iskcondesiretree.com/01_-_Srila_Prabhupada/01_-_Lectures/01_-_English/02_-_Month_wise/01_-_January/26/Lect_CAL_1973-01-26_Initiation_Sannyasa--When_I_Went_etc.mp3</t>
  </si>
  <si>
    <t>SP_BG_07-01_Calcutta_1973-01-27_The_Only_Way_to_Understand_God.mp3</t>
  </si>
  <si>
    <t>https://audio.iskcondesiretree.com/01_-_Srila_Prabhupada/01_-_Lectures/01_-_English/01_-_Topic_wise/Bhagavad_Gita/Chapter-07/SP_BG_07-01_Calcutta_1973-01-27_The_Only_Way_to_Understand_God.mp3</t>
  </si>
  <si>
    <t>SP_NOD_Calcutta_1973-01-27_-_The_Common_Cause_Is_Krishna.mp3</t>
  </si>
  <si>
    <t>https://audio.iskcondesiretree.com/01_-_Srila_Prabhupada/01_-_Lectures/01_-_English/01_-_Topic_wise/Nectar_Of_Devotion/SP_NOD_Calcutta_1973-01-27_-_The_Common_Cause_Is_Krishna.mp3</t>
  </si>
  <si>
    <t>Bg_07-01_CAL_1973-01-27_The_Only_Way_to_Understand_God.mp3</t>
  </si>
  <si>
    <t>https://audio.iskcondesiretree.com/01_-_Srila_Prabhupada/01_-_Lectures/01_-_English/02_-_Month_wise/01_-_January/27/Bg_07-01_CAL_1973-01-27_The_Only_Way_to_Understand_God.mp3</t>
  </si>
  <si>
    <t>NOD_Lect_CAL_1973-01-27_The_Common_Cause_Is_Krishna.mp3</t>
  </si>
  <si>
    <t>https://audio.iskcondesiretree.com/01_-_Srila_Prabhupada/01_-_Lectures/01_-_English/02_-_Month_wise/01_-_January/27/NOD_Lect_CAL_1973-01-27_The_Common_Cause_Is_Krishna.mp3</t>
  </si>
  <si>
    <t>SP_NOD_Pg-32_Calcutta_1973-01-29_-_Three_Kinds_of_Happiness.mp3</t>
  </si>
  <si>
    <t>https://audio.iskcondesiretree.com/01_-_Srila_Prabhupada/01_-_Lectures/01_-_English/01_-_Topic_wise/Nectar_Of_Devotion/SP_NOD_Pg-32_Calcutta_1973-01-29_-_Three_Kinds_of_Happiness.mp3</t>
  </si>
  <si>
    <t>SP_Lecture_Calcutta_1973-01-29_To_Students--Something_Tangible.mp3</t>
  </si>
  <si>
    <t>https://audio.iskcondesiretree.com/01_-_Srila_Prabhupada/01_-_Lectures/01_-_English/01_-_Topic_wise/Various/SP_Lecture_Calcutta_1973-01-29_To_Students--Something_Tangible.mp3</t>
  </si>
  <si>
    <t>Lect_CAL_1973-01-29_To_Students--Something_Tangible.mp3</t>
  </si>
  <si>
    <t>https://audio.iskcondesiretree.com/01_-_Srila_Prabhupada/01_-_Lectures/01_-_English/02_-_Month_wise/01_-_January/29/Lect_CAL_1973-01-29_To_Students--Something_Tangible.mp3</t>
  </si>
  <si>
    <t>NOD_Pg-32_CAL_1973-01-29_Three_Kinds_of_Happiness.mp3</t>
  </si>
  <si>
    <t>https://audio.iskcondesiretree.com/01_-_Srila_Prabhupada/01_-_Lectures/01_-_English/02_-_Month_wise/01_-_January/29/NOD_Pg-32_CAL_1973-01-29_Three_Kinds_of_Happiness.mp3</t>
  </si>
  <si>
    <t>SP_NOD_Pg-33_Calcutta_1973-01-30_-_A_Devotee%27s_Pleasure.mp3</t>
  </si>
  <si>
    <t>https://audio.iskcondesiretree.com/01_-_Srila_Prabhupada/01_-_Lectures/01_-_English/01_-_Topic_wise/Nectar_Of_Devotion/SP_NOD_Pg-33_Calcutta_1973-01-30_-_A_Devotee%27s_Pleasure.mp3</t>
  </si>
  <si>
    <t>SP_Lecture_Calcutta_1973-01-30_To_Businessmen--Business_%26--etc.mp3</t>
  </si>
  <si>
    <t>https://audio.iskcondesiretree.com/01_-_Srila_Prabhupada/01_-_Lectures/01_-_English/01_-_Topic_wise/Various/SP_Lecture_Calcutta_1973-01-30_To_Businessmen--Business_%26--etc.mp3</t>
  </si>
  <si>
    <t>Lect_CAL_1973-01-30_To_Businessmen--Business_%26_etc.mp3</t>
  </si>
  <si>
    <t>https://audio.iskcondesiretree.com/01_-_Srila_Prabhupada/01_-_Lectures/01_-_English/02_-_Month_wise/01_-_January/30/Lect_CAL_1973-01-30_To_Businessmen--Business_%26_etc.mp3</t>
  </si>
  <si>
    <t>NOD_Pg-33_CAL_1973-01-30_A_Devotee%27s_Pleasure.mp3</t>
  </si>
  <si>
    <t>https://audio.iskcondesiretree.com/01_-_Srila_Prabhupada/01_-_Lectures/01_-_English/02_-_Month_wise/01_-_January/30/NOD_Pg-33_CAL_1973-01-30_A_Devotee%27s_Pleasure.mp3</t>
  </si>
  <si>
    <t>SP_NOD_Pg-35_Calcutta_1973-01-31_-_Real_Self_Interest.mp3</t>
  </si>
  <si>
    <t>https://audio.iskcondesiretree.com/01_-_Srila_Prabhupada/01_-_Lectures/01_-_English/01_-_Topic_wise/Nectar_Of_Devotion/SP_NOD_Pg-35_Calcutta_1973-01-31_-_Real_Self_Interest.mp3</t>
  </si>
  <si>
    <t>SP_Lecture_Calcutta_1973-01-31_At_Indo-American--etc.mp3</t>
  </si>
  <si>
    <t>https://audio.iskcondesiretree.com/01_-_Srila_Prabhupada/01_-_Lectures/01_-_English/01_-_Topic_wise/Various/SP_Lecture_Calcutta_1973-01-31_At_Indo-American--etc.mp3</t>
  </si>
  <si>
    <t>Lect_CAL_1973-01-31_At_Indo-American_etc.mp3</t>
  </si>
  <si>
    <t>https://audio.iskcondesiretree.com/01_-_Srila_Prabhupada/01_-_Lectures/01_-_English/02_-_Month_wise/01_-_January/31/Lect_CAL_1973-01-31_At_Indo-American_etc.mp3</t>
  </si>
  <si>
    <t>NOD_Pg-35_CAL_1973-01-31_Real_Self-Interest.mp3</t>
  </si>
  <si>
    <t>https://audio.iskcondesiretree.com/01_-_Srila_Prabhupada/01_-_Lectures/01_-_English/02_-_Month_wise/01_-_January/31/NOD_Pg-35_CAL_1973-01-31_Real_Self-Interest.mp3</t>
  </si>
  <si>
    <t>SP_BG_07-01_Sydney_1973-02-16_Connect_With_the_Supreme_Lord.mp3</t>
  </si>
  <si>
    <t>https://audio.iskcondesiretree.com/01_-_Srila_Prabhupada/01_-_Lectures/01_-_English/01_-_Topic_wise/Bhagavad_Gita/Chapter-07/SP_BG_07-01_Sydney_1973-02-16_Connect_With_the_Supreme_Lord.mp3</t>
  </si>
  <si>
    <t>Bg_07-01_SYD_1973-02-16_Connect_With_the_Supreme_Lord.mp3</t>
  </si>
  <si>
    <t>https://audio.iskcondesiretree.com/01_-_Srila_Prabhupada/01_-_Lectures/01_-_English/02_-_Month_wise/02_-_Feburary/16/Bg_07-01_SYD_1973-02-16_Connect_With_the_Supreme_Lord.mp3</t>
  </si>
  <si>
    <t>SP_SB_1-01-19_Auckland_1973-02-20_The_Acharya_Knows_How_to--etc.mp3</t>
  </si>
  <si>
    <t>https://audio.iskcondesiretree.com/01_-_Srila_Prabhupada/01_-_Lectures/01_-_English/01_-_Topic_wise/Srimad_Bhagavatam/Canto-01/SP_SB_1-01-19_Auckland_1973-02-20_The_Acharya_Knows_How_to--etc.mp3</t>
  </si>
  <si>
    <t>SB_1-01-19_AUC_1973-02-20_The_Acharya_Knows_How_to_etc.mp3</t>
  </si>
  <si>
    <t>https://audio.iskcondesiretree.com/01_-_Srila_Prabhupada/01_-_Lectures/01_-_English/02_-_Month_wise/02_-_Feburary/20/SB_1-01-19_AUC_1973-02-20_The_Acharya_Knows_How_to_etc.mp3</t>
  </si>
  <si>
    <t>SP_BG_10-01_Calcutta_1973-03-06_More_or_Less_Demons--Still--etc.mp3</t>
  </si>
  <si>
    <t>https://audio.iskcondesiretree.com/01_-_Srila_Prabhupada/01_-_Lectures/01_-_English/01_-_Topic_wise/Bhagavad_Gita/Chapter-10/SP_BG_10-01_Calcutta_1973-03-06_More_or_Less_Demons--Still--etc.mp3</t>
  </si>
  <si>
    <t>Bg_10-01_CAL_1973-03-06_More_or_Less_Demons--Still_etc.mp3</t>
  </si>
  <si>
    <t>https://audio.iskcondesiretree.com/01_-_Srila_Prabhupada/01_-_Lectures/01_-_English/02_-_Month_wise/03_-_March/06/Bg_10-01_CAL_1973-03-06_More_or_Less_Demons--Still_etc.mp3</t>
  </si>
  <si>
    <t>02_-_Bengali</t>
  </si>
  <si>
    <t>1973-03-12_Lecture_-_Calcutta.mp3</t>
  </si>
  <si>
    <t>https://audio.iskcondesiretree.com/01_-_Srila_Prabhupada/01_-_Lectures/02_-_Bengali/1973-03-12_Lecture_-_Calcutta.mp3</t>
  </si>
  <si>
    <t>1973-03-13_Lecture_-_Calcutta.mp3</t>
  </si>
  <si>
    <t>https://audio.iskcondesiretree.com/01_-_Srila_Prabhupada/01_-_Lectures/02_-_Bengali/1973-03-13_Lecture_-_Calcutta.mp3</t>
  </si>
  <si>
    <t>1973-03-16_Lecture_-_Mayapur.mp3</t>
  </si>
  <si>
    <t>https://audio.iskcondesiretree.com/01_-_Srila_Prabhupada/01_-_Lectures/02_-_Bengali/1973-03-16_Lecture_-_Mayapur.mp3</t>
  </si>
  <si>
    <t>SP_Arrival_New_York_1973-04-05_This_Life_is_Not_Very_Congenial.mp3</t>
  </si>
  <si>
    <t>https://audio.iskcondesiretree.com/01_-_Srila_Prabhupada/01_-_Lectures/01_-_English/01_-_Topic_wise/Arrival_Address/SP_Arrival_New_York_1973-04-05_This_Life_is_Not_Very_Congenial.mp3</t>
  </si>
  <si>
    <t>Arr_NY_1973-04-05_This_Life_is_Not_Very_Congenial.mp3</t>
  </si>
  <si>
    <t>https://audio.iskcondesiretree.com/01_-_Srila_Prabhupada/01_-_Lectures/01_-_English/02_-_Month_wise/04_-_April/05/Arr_NY_1973-04-05_This_Life_is_Not_Very_Congenial.mp3</t>
  </si>
  <si>
    <t>SP_BG_04-13_New_York_1973-04-08_Sunday_Feast--The_Social_Body--etc.mp3</t>
  </si>
  <si>
    <t>https://audio.iskcondesiretree.com/01_-_Srila_Prabhupada/01_-_Lectures/01_-_English/01_-_Topic_wise/Bhagavad_Gita/Chapter-04/SP_BG_04-13_New_York_1973-04-08_Sunday_Feast--The_Social_Body--etc.mp3</t>
  </si>
  <si>
    <t>Bg_04-13_NY_1973-04-08_Sunday_Feast_The_Social_Body_etc.mp3</t>
  </si>
  <si>
    <t>https://audio.iskcondesiretree.com/01_-_Srila_Prabhupada/01_-_Lectures/01_-_English/02_-_Month_wise/04_-_April/08/Bg_04-13_NY_1973-04-08_Sunday_Feast_The_Social_Body_etc.mp3</t>
  </si>
  <si>
    <t>SP_SB_1-08-18_New_York_1973-04-10_How_to_See_Greatness_of_God.mp3</t>
  </si>
  <si>
    <t>https://audio.iskcondesiretree.com/01_-_Srila_Prabhupada/01_-_Lectures/01_-_English/01_-_Topic_wise/Srimad_Bhagavatam/Canto-01/SP_SB_1-08-18_New_York_1973-04-10_How_to_See_Greatness_of_God.mp3</t>
  </si>
  <si>
    <t>SB_1-08-18_NY_1973-04-10_How_to_See_Greatness_of_God.mp3</t>
  </si>
  <si>
    <t>https://audio.iskcondesiretree.com/01_-_Srila_Prabhupada/01_-_Lectures/01_-_English/02_-_Month_wise/04_-_April/10/SB_1-08-18_NY_1973-04-10_How_to_See_Greatness_of_God.mp3</t>
  </si>
  <si>
    <t>SP_SB_1-08-20_New_York_1973-04-12_Queen_Kunti%27s_Humility.mp3</t>
  </si>
  <si>
    <t>https://audio.iskcondesiretree.com/01_-_Srila_Prabhupada/01_-_Lectures/01_-_English/01_-_Topic_wise/Srimad_Bhagavatam/Canto-01/SP_SB_1-08-20_New_York_1973-04-12_Queen_Kunti%27s_Humility.mp3</t>
  </si>
  <si>
    <t>SB_1-08-20_NY_1973-04-12_Queen_Kunti%27s_Humility.mp3</t>
  </si>
  <si>
    <t>https://audio.iskcondesiretree.com/01_-_Srila_Prabhupada/01_-_Lectures/01_-_English/02_-_Month_wise/04_-_April/12/SB_1-08-20_NY_1973-04-12_Queen_Kunti%27s_Humility.mp3</t>
  </si>
  <si>
    <t>SP_Arrival_Los_Angeles_1973-04-13_My_Lord%2C_I_Don%27t_Want_Anything_Material.mp3</t>
  </si>
  <si>
    <t>https://audio.iskcondesiretree.com/01_-_Srila_Prabhupada/01_-_Lectures/01_-_English/01_-_Topic_wise/Arrival_Address/SP_Arrival_Los_Angeles_1973-04-13_My_Lord%2C_I_Don%27t_Want_Anything_Material.mp3</t>
  </si>
  <si>
    <t>SP_SB_1-08-21_New_York_1973-04-13_Spiritual_Sense_Gratification.mp3</t>
  </si>
  <si>
    <t>https://audio.iskcondesiretree.com/01_-_Srila_Prabhupada/01_-_Lectures/01_-_English/01_-_Topic_wise/Srimad_Bhagavatam/Canto-01/SP_SB_1-08-21_New_York_1973-04-13_Spiritual_Sense_Gratification.mp3</t>
  </si>
  <si>
    <t>Arr_LA_1973-04-13_My_Lord%2C_I_Don%27t_Want_Anything_Material.mp3</t>
  </si>
  <si>
    <t>https://audio.iskcondesiretree.com/01_-_Srila_Prabhupada/01_-_Lectures/01_-_English/02_-_Month_wise/04_-_April/13/Arr_LA_1973-04-13_My_Lord%2C_I_Don%27t_Want_Anything_Material.mp3</t>
  </si>
  <si>
    <t>SB_1-08-21_NY_1973-04-13_Spiritual_Sense_Gratification.mp3</t>
  </si>
  <si>
    <t>https://audio.iskcondesiretree.com/01_-_Srila_Prabhupada/01_-_Lectures/01_-_English/02_-_Month_wise/04_-_April/13/SB_1-08-21_NY_1973-04-13_Spiritual_Sense_Gratification.mp3</t>
  </si>
  <si>
    <t>SP_BG_02-13_Los_Angeles_1973-04-14_The_First_Lesson-Not_This_Body.mp3</t>
  </si>
  <si>
    <t>https://audio.iskcondesiretree.com/01_-_Srila_Prabhupada/01_-_Lectures/01_-_English/01_-_Topic_wise/Bhagavad_Gita/Chapter-02/SP_BG_02-13_Los_Angeles_1973-04-14_The_First_Lesson-Not_This_Body.mp3</t>
  </si>
  <si>
    <t>SP_SB_1-08-22_Los_Angeles_1973-04-14_If_You_Actually_Love_God_You--etc.mp3</t>
  </si>
  <si>
    <t>https://audio.iskcondesiretree.com/01_-_Srila_Prabhupada/01_-_Lectures/01_-_English/01_-_Topic_wise/Srimad_Bhagavatam/Canto-01/SP_SB_1-08-22_Los_Angeles_1973-04-14_If_You_Actually_Love_God_You--etc.mp3</t>
  </si>
  <si>
    <t>Bg_02-13_LA_1973-04-14_The_First_Lesson-Not_This_Body.mp3</t>
  </si>
  <si>
    <t>https://audio.iskcondesiretree.com/01_-_Srila_Prabhupada/01_-_Lectures/01_-_English/02_-_Month_wise/04_-_April/14/Bg_02-13_LA_1973-04-14_The_First_Lesson-Not_This_Body.mp3</t>
  </si>
  <si>
    <t>SB_1-08-22_LA_1973-04-14_If_You_Actually_Love_God_You_etc.mp3</t>
  </si>
  <si>
    <t>https://audio.iskcondesiretree.com/01_-_Srila_Prabhupada/01_-_Lectures/01_-_English/02_-_Month_wise/04_-_April/14/SB_1-08-22_LA_1973-04-14_If_You_Actually_Love_God_You_etc.mp3</t>
  </si>
  <si>
    <t>SP_SB_1-08-23_Los_Angeles_1973-04-15_Beginning_of_Material_Life_is_Envy.mp3</t>
  </si>
  <si>
    <t>https://audio.iskcondesiretree.com/01_-_Srila_Prabhupada/01_-_Lectures/01_-_English/01_-_Topic_wise/Srimad_Bhagavatam/Canto-01/SP_SB_1-08-23_Los_Angeles_1973-04-15_Beginning_of_Material_Life_is_Envy.mp3</t>
  </si>
  <si>
    <t>SB_1-08-23_LA_1973-04-15_Beginning_of_Material_Life_is_Envy.mp3</t>
  </si>
  <si>
    <t>https://audio.iskcondesiretree.com/01_-_Srila_Prabhupada/01_-_Lectures/01_-_English/02_-_Month_wise/04_-_April/15/SB_1-08-23_LA_1973-04-15_Beginning_of_Material_Life_is_Envy.mp3</t>
  </si>
  <si>
    <t>SP_SB_1-08-24_Los_Angeles_1973-04-16_If_Krishna_Wants_to_Protect--etc.mp3</t>
  </si>
  <si>
    <t>https://audio.iskcondesiretree.com/01_-_Srila_Prabhupada/01_-_Lectures/01_-_English/01_-_Topic_wise/Srimad_Bhagavatam/Canto-01/SP_SB_1-08-24_Los_Angeles_1973-04-16_If_Krishna_Wants_to_Protect--etc.mp3</t>
  </si>
  <si>
    <t>SB_1-08-24_LA_1973-04-16_If_Krishna_Wants_to_Protect_etc.mp3</t>
  </si>
  <si>
    <t>https://audio.iskcondesiretree.com/01_-_Srila_Prabhupada/01_-_Lectures/01_-_English/02_-_Month_wise/04_-_April/16/SB_1-08-24_LA_1973-04-16_If_Krishna_Wants_to_Protect_etc.mp3</t>
  </si>
  <si>
    <t>SP_SB_1-08-25_Los_Angeles_1973-04-17_Cross_This_Ocean_of_Danger.mp3</t>
  </si>
  <si>
    <t>https://audio.iskcondesiretree.com/01_-_Srila_Prabhupada/01_-_Lectures/01_-_English/01_-_Topic_wise/Srimad_Bhagavatam/Canto-01/SP_SB_1-08-25_Los_Angeles_1973-04-17_Cross_This_Ocean_of_Danger.mp3</t>
  </si>
  <si>
    <t>SB_1-08-25_LA_1973-04-17_Cross_This_Ocean_of_Danger.mp3</t>
  </si>
  <si>
    <t>https://audio.iskcondesiretree.com/01_-_Srila_Prabhupada/01_-_Lectures/01_-_English/02_-_Month_wise/04_-_April/17/SB_1-08-25_LA_1973-04-17_Cross_This_Ocean_of_Danger.mp3</t>
  </si>
  <si>
    <t>SP_SB_1-08-26_Los_Angeles_1973-04-18_Krishna_Conscious_Communism.mp3</t>
  </si>
  <si>
    <t>https://audio.iskcondesiretree.com/01_-_Srila_Prabhupada/01_-_Lectures/01_-_English/01_-_Topic_wise/Srimad_Bhagavatam/Canto-01/SP_SB_1-08-26_Los_Angeles_1973-04-18_Krishna_Conscious_Communism.mp3</t>
  </si>
  <si>
    <t>SB_1-08-26_LA_1973-04-18_Krishna_Conscious_Communism.mp3</t>
  </si>
  <si>
    <t>https://audio.iskcondesiretree.com/01_-_Srila_Prabhupada/01_-_Lectures/01_-_English/02_-_Month_wise/04_-_April/18/SB_1-08-26_LA_1973-04-18_Krishna_Conscious_Communism.mp3</t>
  </si>
  <si>
    <t>SP_Morning_Walk_-_Los_Angeles_1973-04-19_The_Scientists%27_Bluff.mp3</t>
  </si>
  <si>
    <t>https://audio.iskcondesiretree.com/01_-_Srila_Prabhupada/01_-_Lectures/01_-_English/01_-_Topic_wise/Morning_Walk/SP_Morning_Walk_-_Los_Angeles_1973-04-19_The_Scientists%27_Bluff.mp3</t>
  </si>
  <si>
    <t>SP_SB_1-08-27_Los_Angeles_1973-04-19_Predominator_to_Predominated.mp3</t>
  </si>
  <si>
    <t>https://audio.iskcondesiretree.com/01_-_Srila_Prabhupada/01_-_Lectures/01_-_English/01_-_Topic_wise/Srimad_Bhagavatam/Canto-01/SP_SB_1-08-27_Los_Angeles_1973-04-19_Predominator_to_Predominated.mp3</t>
  </si>
  <si>
    <t>MW_LA_1973-04-19_The_Scientists_Bluff.mp3</t>
  </si>
  <si>
    <t>https://audio.iskcondesiretree.com/01_-_Srila_Prabhupada/01_-_Lectures/01_-_English/02_-_Month_wise/04_-_April/19/MW_LA_1973-04-19_The_Scientists_Bluff.mp3</t>
  </si>
  <si>
    <t>SB_1-08-27_LA_1973-04-19_Predominator_to_Predominated.mp3</t>
  </si>
  <si>
    <t>https://audio.iskcondesiretree.com/01_-_Srila_Prabhupada/01_-_Lectures/01_-_English/02_-_Month_wise/04_-_April/19/SB_1-08-27_LA_1973-04-19_Predominator_to_Predominated.mp3</t>
  </si>
  <si>
    <t>SP_SB_1-08-28_Los_Angeles_1973-04-20_Krishna_Is_Equal_to_Everyone.mp3</t>
  </si>
  <si>
    <t>https://audio.iskcondesiretree.com/01_-_Srila_Prabhupada/01_-_Lectures/01_-_English/01_-_Topic_wise/Srimad_Bhagavatam/Canto-01/SP_SB_1-08-28_Los_Angeles_1973-04-20_Krishna_Is_Equal_to_Everyone.mp3</t>
  </si>
  <si>
    <t>SB_1-08-28_LA_1973-04-20_Krishna_Is_Equal_to_Everyone.mp3</t>
  </si>
  <si>
    <t>https://audio.iskcondesiretree.com/01_-_Srila_Prabhupada/01_-_Lectures/01_-_English/02_-_Month_wise/04_-_April/20/SB_1-08-28_LA_1973-04-20_Krishna_Is_Equal_to_Everyone.mp3</t>
  </si>
  <si>
    <t>SP_SB_1-08-29_Los_Angeles_1973-04-21_Try_to_Satisfy_Krishna.mp3</t>
  </si>
  <si>
    <t>https://audio.iskcondesiretree.com/01_-_Srila_Prabhupada/01_-_Lectures/01_-_English/01_-_Topic_wise/Srimad_Bhagavatam/Canto-01/SP_SB_1-08-29_Los_Angeles_1973-04-21_Try_to_Satisfy_Krishna.mp3</t>
  </si>
  <si>
    <t>SB_1-08-29_LA_1973-04-21_Try_to_Satisfy_Krishna.mp3</t>
  </si>
  <si>
    <t>https://audio.iskcondesiretree.com/01_-_Srila_Prabhupada/01_-_Lectures/01_-_English/02_-_Month_wise/04_-_April/21/SB_1-08-29_LA_1973-04-21_Try_to_Satisfy_Krishna.mp3</t>
  </si>
  <si>
    <t>SP_SB_1-08-30_Los_Angeles_1973-04-22_Chant_Chant_Chant--Can%27t--etc.mp3</t>
  </si>
  <si>
    <t>https://audio.iskcondesiretree.com/01_-_Srila_Prabhupada/01_-_Lectures/01_-_English/01_-_Topic_wise/Srimad_Bhagavatam/Canto-01/SP_SB_1-08-30_Los_Angeles_1973-04-22_Chant_Chant_Chant--Can%27t--etc.mp3</t>
  </si>
  <si>
    <t>SB_1-08-30_LA_1973-04-22_Chant_Chant_Chant_Can%27t_etc.mp3</t>
  </si>
  <si>
    <t>https://audio.iskcondesiretree.com/01_-_Srila_Prabhupada/01_-_Lectures/01_-_English/02_-_Month_wise/04_-_April/22/SB_1-08-30_LA_1973-04-22_Chant_Chant_Chant_Can%27t_etc.mp3</t>
  </si>
  <si>
    <t>SP_SB_1-08-31_Los_Angeles_1973-04-23_Increase_Your_Love_for_Krishna.mp3</t>
  </si>
  <si>
    <t>https://audio.iskcondesiretree.com/01_-_Srila_Prabhupada/01_-_Lectures/01_-_English/01_-_Topic_wise/Srimad_Bhagavatam/Canto-01/SP_SB_1-08-31_Los_Angeles_1973-04-23_Increase_Your_Love_for_Krishna.mp3</t>
  </si>
  <si>
    <t>SB_1-08-31_LA_1973-04-23_Increase_Your_Love_for_Krishna.mp3</t>
  </si>
  <si>
    <t>https://audio.iskcondesiretree.com/01_-_Srila_Prabhupada/01_-_Lectures/01_-_English/02_-_Month_wise/04_-_April/23/SB_1-08-31_LA_1973-04-23_Increase_Your_Love_for_Krishna.mp3</t>
  </si>
  <si>
    <t>SP_SB_1-08-32_Los_Angeles_1973-04-24_Why_Does_the_Unborn_Take_Birth.mp3</t>
  </si>
  <si>
    <t>https://audio.iskcondesiretree.com/01_-_Srila_Prabhupada/01_-_Lectures/01_-_English/01_-_Topic_wise/Srimad_Bhagavatam/Canto-01/SP_SB_1-08-32_Los_Angeles_1973-04-24_Why_Does_the_Unborn_Take_Birth.mp3</t>
  </si>
  <si>
    <t>SB_1-08-32_LA_1973-04-24_Why_Does_the_Unborn_Take_Birth.mp3</t>
  </si>
  <si>
    <t>https://audio.iskcondesiretree.com/01_-_Srila_Prabhupada/01_-_Lectures/01_-_English/02_-_Month_wise/04_-_April/24/SB_1-08-32_LA_1973-04-24_Why_Does_the_Unborn_Take_Birth.mp3</t>
  </si>
  <si>
    <t>SP_SB_1-08-33_Los_Angeles_1973-04-25_Converting_Crows_Into_Swans.mp3</t>
  </si>
  <si>
    <t>https://audio.iskcondesiretree.com/01_-_Srila_Prabhupada/01_-_Lectures/01_-_English/01_-_Topic_wise/Srimad_Bhagavatam/Canto-01/SP_SB_1-08-33_Los_Angeles_1973-04-25_Converting_Crows_Into_Swans.mp3</t>
  </si>
  <si>
    <t>SB_1-08-33_LA_1973-04-25_Converting_Crows_Into_Swans.mp3</t>
  </si>
  <si>
    <t>https://audio.iskcondesiretree.com/01_-_Srila_Prabhupada/01_-_Lectures/01_-_English/02_-_Month_wise/04_-_April/25/SB_1-08-33_LA_1973-04-25_Converting_Crows_Into_Swans.mp3</t>
  </si>
  <si>
    <t>SP_SB_1-08-34_Los_Angeles_1973-04-26_Seeing_the_World%27s_Soul.mp3</t>
  </si>
  <si>
    <t>https://audio.iskcondesiretree.com/01_-_Srila_Prabhupada/01_-_Lectures/01_-_English/01_-_Topic_wise/Srimad_Bhagavatam/Canto-01/SP_SB_1-08-34_Los_Angeles_1973-04-26_Seeing_the_World%27s_Soul.mp3</t>
  </si>
  <si>
    <t>SB_1-08-34_LA_1973-04-26_Seeing_the_World%27s_Soul.mp3</t>
  </si>
  <si>
    <t>https://audio.iskcondesiretree.com/01_-_Srila_Prabhupada/01_-_Lectures/01_-_English/02_-_Month_wise/04_-_April/26/SB_1-08-34_LA_1973-04-26_Seeing_the_World%27s_Soul.mp3</t>
  </si>
  <si>
    <t>SP_Morning_Walk_-_Los_Angeles_1973-04-28_Greedy_Pushy_Scientists.mp3</t>
  </si>
  <si>
    <t>https://audio.iskcondesiretree.com/01_-_Srila_Prabhupada/01_-_Lectures/01_-_English/01_-_Topic_wise/Morning_Walk/SP_Morning_Walk_-_Los_Angeles_1973-04-28_Greedy_Pushy_Scientists.mp3</t>
  </si>
  <si>
    <t>SP_SB_1-08-36_Los_Angeles_1973-04-28_Just_Go_On_Hearing_About_Krishna.mp3</t>
  </si>
  <si>
    <t>https://audio.iskcondesiretree.com/01_-_Srila_Prabhupada/01_-_Lectures/01_-_English/01_-_Topic_wise/Srimad_Bhagavatam/Canto-01/SP_SB_1-08-36_Los_Angeles_1973-04-28_Just_Go_On_Hearing_About_Krishna.mp3</t>
  </si>
  <si>
    <t>MW_LA_1973-04-28_Greedy_Pushy_Scientists.mp3</t>
  </si>
  <si>
    <t>https://audio.iskcondesiretree.com/01_-_Srila_Prabhupada/01_-_Lectures/01_-_English/02_-_Month_wise/04_-_April/28/MW_LA_1973-04-28_Greedy_Pushy_Scientists.mp3</t>
  </si>
  <si>
    <t>SB_1-08-36_LA_1973-04-28_Just_Go_On_Hearing_About_Krishna.mp3</t>
  </si>
  <si>
    <t>https://audio.iskcondesiretree.com/01_-_Srila_Prabhupada/01_-_Lectures/01_-_English/02_-_Month_wise/04_-_April/28/SB_1-08-36_LA_1973-04-28_Just_Go_On_Hearing_About_Krishna.mp3</t>
  </si>
  <si>
    <t>SP_SB_1-08-37_Los_Angeles_1973-04-29_We_Are_in_Dangerous_Position.mp3</t>
  </si>
  <si>
    <t>https://audio.iskcondesiretree.com/01_-_Srila_Prabhupada/01_-_Lectures/01_-_English/01_-_Topic_wise/Srimad_Bhagavatam/Canto-01/SP_SB_1-08-37_Los_Angeles_1973-04-29_We_Are_in_Dangerous_Position.mp3</t>
  </si>
  <si>
    <t>SB_1-08-37_LA_1973-04-29_We_Are_in_Dangerous_Position.mp3</t>
  </si>
  <si>
    <t>https://audio.iskcondesiretree.com/01_-_Srila_Prabhupada/01_-_Lectures/01_-_English/02_-_Month_wise/04_-_April/29/SB_1-08-37_LA_1973-04-29_We_Are_in_Dangerous_Position.mp3</t>
  </si>
  <si>
    <t>SP_SB_1-08-38_Los_Angeles_1973-04-30_Our_Senses_Belong_to_Krishna.mp3</t>
  </si>
  <si>
    <t>https://audio.iskcondesiretree.com/01_-_Srila_Prabhupada/01_-_Lectures/01_-_English/01_-_Topic_wise/Srimad_Bhagavatam/Canto-01/SP_SB_1-08-38_Los_Angeles_1973-04-30_Our_Senses_Belong_to_Krishna.mp3</t>
  </si>
  <si>
    <t>SB_1-08-38_LA_1973-04-30_Our_Senses_Belong_to_Krishna.mp3</t>
  </si>
  <si>
    <t>https://audio.iskcondesiretree.com/01_-_Srila_Prabhupada/01_-_Lectures/01_-_English/02_-_Month_wise/04_-_April/30/SB_1-08-38_LA_1973-04-30_Our_Senses_Belong_to_Krishna.mp3</t>
  </si>
  <si>
    <t>SP_SB_1-08-39_Los_Angeles_1973-05-01_How_Everything_Can_Become_Beautiful.mp3</t>
  </si>
  <si>
    <t>https://audio.iskcondesiretree.com/01_-_Srila_Prabhupada/01_-_Lectures/01_-_English/01_-_Topic_wise/Srimad_Bhagavatam/Canto-01/SP_SB_1-08-39_Los_Angeles_1973-05-01_How_Everything_Can_Become_Beautiful.mp3</t>
  </si>
  <si>
    <t>SB_1-08-39_LA_1973-05-01_How_Everything_Can_Become_Beautiful.mp3</t>
  </si>
  <si>
    <t>https://audio.iskcondesiretree.com/01_-_Srila_Prabhupada/01_-_Lectures/01_-_English/02_-_Month_wise/05_-_May/01/SB_1-08-39_LA_1973-05-01_How_Everything_Can_Become_Beautiful.mp3</t>
  </si>
  <si>
    <t>SP_SB_1-08-40_Los_Angeles_1973-05-02_By_Krishna%27s_Glance_All_Is_OK.mp3</t>
  </si>
  <si>
    <t>https://audio.iskcondesiretree.com/01_-_Srila_Prabhupada/01_-_Lectures/01_-_English/01_-_Topic_wise/Srimad_Bhagavatam/Canto-01/SP_SB_1-08-40_Los_Angeles_1973-05-02_By_Krishna%27s_Glance_All_Is_OK.mp3</t>
  </si>
  <si>
    <t>SB_1-08-40_LA_1973-05-02_By_Krishna%27s_Glance_All_Is_OK.mp3</t>
  </si>
  <si>
    <t>https://audio.iskcondesiretree.com/01_-_Srila_Prabhupada/01_-_Lectures/01_-_English/02_-_Month_wise/05_-_May/02/SB_1-08-40_LA_1973-05-02_By_Krishna%27s_Glance_All_Is_OK.mp3</t>
  </si>
  <si>
    <t>SP_SB_1-08-41_Los_Angeles_1973-05-03_The_Greatest_Enemy_of_Human_Society.mp3</t>
  </si>
  <si>
    <t>https://audio.iskcondesiretree.com/01_-_Srila_Prabhupada/01_-_Lectures/01_-_English/01_-_Topic_wise/Srimad_Bhagavatam/Canto-01/SP_SB_1-08-41_Los_Angeles_1973-05-03_The_Greatest_Enemy_of_Human_Society.mp3</t>
  </si>
  <si>
    <t>SB_1-08-41_LA_1973-05-03_The_Greatest_Enemy_of_Human_Society.mp3</t>
  </si>
  <si>
    <t>https://audio.iskcondesiretree.com/01_-_Srila_Prabhupada/01_-_Lectures/01_-_English/02_-_Month_wise/05_-_May/03/SB_1-08-41_LA_1973-05-03_The_Greatest_Enemy_of_Human_Society.mp3</t>
  </si>
  <si>
    <t>SP_SB_1-08-42_Los_Angeles_1973-05-04_How_Not_to_Be_in_the_Material_World.mp3</t>
  </si>
  <si>
    <t>https://audio.iskcondesiretree.com/01_-_Srila_Prabhupada/01_-_Lectures/01_-_English/01_-_Topic_wise/Srimad_Bhagavatam/Canto-01/SP_SB_1-08-42_Los_Angeles_1973-05-04_How_Not_to_Be_in_the_Material_World.mp3</t>
  </si>
  <si>
    <t>SB_1-08-42_LA_1973-05-04_How_Not_to_Be_in_the_Material_World.mp3</t>
  </si>
  <si>
    <t>https://audio.iskcondesiretree.com/01_-_Srila_Prabhupada/01_-_Lectures/01_-_English/02_-_Month_wise/05_-_May/04/SB_1-08-42_LA_1973-05-04_How_Not_to_Be_in_the_Material_World.mp3</t>
  </si>
  <si>
    <t>SP_Morning_Walk_-_Los_Angeles_1973-05-05_In_the_Ocean_Frogs_are_Conspicuous--etc.mp3</t>
  </si>
  <si>
    <t>https://audio.iskcondesiretree.com/01_-_Srila_Prabhupada/01_-_Lectures/01_-_English/01_-_Topic_wise/Morning_Walk/SP_Morning_Walk_-_Los_Angeles_1973-05-05_In_the_Ocean_Frogs_are_Conspicuous--etc.mp3</t>
  </si>
  <si>
    <t>SP_SB_1-08-43_Los_Angeles_1973-05-05_Protector_of_Cows_and_Brahmanas.mp3</t>
  </si>
  <si>
    <t>https://audio.iskcondesiretree.com/01_-_Srila_Prabhupada/01_-_Lectures/01_-_English/01_-_Topic_wise/Srimad_Bhagavatam/Canto-01/SP_SB_1-08-43_Los_Angeles_1973-05-05_Protector_of_Cows_and_Brahmanas.mp3</t>
  </si>
  <si>
    <t>MW_LA_1973-05-05_In_the_Ocean_Frogs_are_Conspicuous_etc.mp3</t>
  </si>
  <si>
    <t>https://audio.iskcondesiretree.com/01_-_Srila_Prabhupada/01_-_Lectures/01_-_English/02_-_Month_wise/05_-_May/05/MW_LA_1973-05-05_In_the_Ocean_Frogs_are_Conspicuous_etc.mp3</t>
  </si>
  <si>
    <t>SB_1-08-43_LA_1973-05-05_Protector_of_Cows_and_Brahmanas.mp3</t>
  </si>
  <si>
    <t>https://audio.iskcondesiretree.com/01_-_Srila_Prabhupada/01_-_Lectures/01_-_English/02_-_Month_wise/05_-_May/05/SB_1-08-43_LA_1973-05-05_Protector_of_Cows_and_Brahmanas.mp3</t>
  </si>
  <si>
    <t>SP_SB_1-08-44_Los_Angeles_1973-05-06_Approaching_All-Good_Absolute.mp3</t>
  </si>
  <si>
    <t>https://audio.iskcondesiretree.com/01_-_Srila_Prabhupada/01_-_Lectures/01_-_English/01_-_Topic_wise/Srimad_Bhagavatam/Canto-01/SP_SB_1-08-44_Los_Angeles_1973-05-06_Approaching_All-Good_Absolute.mp3</t>
  </si>
  <si>
    <t>SB_1-08-44_LA_1973-05-06_Approaching_All-Good_Absolute.mp3</t>
  </si>
  <si>
    <t>https://audio.iskcondesiretree.com/01_-_Srila_Prabhupada/01_-_Lectures/01_-_English/02_-_Month_wise/05_-_May/06/SB_1-08-44_LA_1973-05-06_Approaching_All-Good_Absolute.mp3</t>
  </si>
  <si>
    <t>SP_SB_1-08-45_Los_Angeles_1973-05-07_We_Can_Purchase_Krishna_by_Love.mp3</t>
  </si>
  <si>
    <t>https://audio.iskcondesiretree.com/01_-_Srila_Prabhupada/01_-_Lectures/01_-_English/01_-_Topic_wise/Srimad_Bhagavatam/Canto-01/SP_SB_1-08-45_Los_Angeles_1973-05-07_We_Can_Purchase_Krishna_by_Love.mp3</t>
  </si>
  <si>
    <t>SB_1-08-45_LA_1973-05-07_We_Can_Purchase_Krishna_by_Love.mp3</t>
  </si>
  <si>
    <t>https://audio.iskcondesiretree.com/01_-_Srila_Prabhupada/01_-_Lectures/01_-_English/02_-_Month_wise/05_-_May/07/SB_1-08-45_LA_1973-05-07_We_Can_Purchase_Krishna_by_Love.mp3</t>
  </si>
  <si>
    <t>SP_SB_1-08-46_Los_Angeles_1973-05-08_The_Ksatriya_Spirit.mp3</t>
  </si>
  <si>
    <t>https://audio.iskcondesiretree.com/01_-_Srila_Prabhupada/01_-_Lectures/01_-_English/01_-_Topic_wise/Srimad_Bhagavatam/Canto-01/SP_SB_1-08-46_Los_Angeles_1973-05-08_The_Ksatriya_Spirit.mp3</t>
  </si>
  <si>
    <t>SB_1-08-46_LA_1973-05-08_The_Ksatriya_Spirit.mp3</t>
  </si>
  <si>
    <t>https://audio.iskcondesiretree.com/01_-_Srila_Prabhupada/01_-_Lectures/01_-_English/02_-_Month_wise/05_-_May/08/SB_1-08-46_LA_1973-05-08_The_Ksatriya_Spirit.mp3</t>
  </si>
  <si>
    <t>SP_SB_1-08-48_Los_Angeles_1973-05-10_This_Body_Belongs_to_Others.mp3</t>
  </si>
  <si>
    <t>https://audio.iskcondesiretree.com/01_-_Srila_Prabhupada/01_-_Lectures/01_-_English/01_-_Topic_wise/Srimad_Bhagavatam/Canto-01/SP_SB_1-08-48_Los_Angeles_1973-05-10_This_Body_Belongs_to_Others.mp3</t>
  </si>
  <si>
    <t>SB_1-08-48_LA_1973-05-10_This_Body_Belongs_to_Others.mp3</t>
  </si>
  <si>
    <t>https://audio.iskcondesiretree.com/01_-_Srila_Prabhupada/01_-_Lectures/01_-_English/02_-_Month_wise/05_-_May/10/SB_1-08-48_LA_1973-05-10_This_Body_Belongs_to_Others.mp3</t>
  </si>
  <si>
    <t>SP_SB_1-08-50_Los_Angeles_1973-05-12_When_to_Be_Nonviolent_-_Violent.mp3</t>
  </si>
  <si>
    <t>https://audio.iskcondesiretree.com/01_-_Srila_Prabhupada/01_-_Lectures/01_-_English/01_-_Topic_wise/Srimad_Bhagavatam/Canto-01/SP_SB_1-08-50_Los_Angeles_1973-05-12_When_to_Be_Nonviolent_-_Violent.mp3</t>
  </si>
  <si>
    <t>SB_1-08-50_LA_1973-05-12_When_to_Be_Nonviolent_Violent.mp3</t>
  </si>
  <si>
    <t>https://audio.iskcondesiretree.com/01_-_Srila_Prabhupada/01_-_Lectures/01_-_English/02_-_Month_wise/05_-_May/12/SB_1-08-50_LA_1973-05-12_When_to_Be_Nonviolent_Violent.mp3</t>
  </si>
  <si>
    <t>SP_Morning_Walk_-_Los_Angeles_1973-05-13_Evolution_Devolution_and_Elevation.mp3</t>
  </si>
  <si>
    <t>https://audio.iskcondesiretree.com/01_-_Srila_Prabhupada/01_-_Lectures/01_-_English/01_-_Topic_wise/Morning_Walk/SP_Morning_Walk_-_Los_Angeles_1973-05-13_Evolution_Devolution_and_Elevation.mp3</t>
  </si>
  <si>
    <t>SP_Morning_Walk_-_Los_Angeles_1973-05-13_Sudras_Hear_from_Scientists.mp3</t>
  </si>
  <si>
    <t>https://audio.iskcondesiretree.com/01_-_Srila_Prabhupada/01_-_Lectures/01_-_English/01_-_Topic_wise/Morning_Walk/SP_Morning_Walk_-_Los_Angeles_1973-05-13_Sudras_Hear_from_Scientists.mp3</t>
  </si>
  <si>
    <t>SP_SB_1-08-51_Los_Angeles_1973-05-13_Responsibilities_of_Fathers--etc.mp3</t>
  </si>
  <si>
    <t>https://audio.iskcondesiretree.com/01_-_Srila_Prabhupada/01_-_Lectures/01_-_English/01_-_Topic_wise/Srimad_Bhagavatam/Canto-01/SP_SB_1-08-51_Los_Angeles_1973-05-13_Responsibilities_of_Fathers--etc.mp3</t>
  </si>
  <si>
    <t>MW_LA_1973-05-13_Evolution_Devolution_and_Elevation.mp3</t>
  </si>
  <si>
    <t>https://audio.iskcondesiretree.com/01_-_Srila_Prabhupada/01_-_Lectures/01_-_English/02_-_Month_wise/05_-_May/13/MW_LA_1973-05-13_Evolution_Devolution_and_Elevation.mp3</t>
  </si>
  <si>
    <t>MW_LA_1973-05-13_Sudras_Hear_from_Scientists.mp3</t>
  </si>
  <si>
    <t>https://audio.iskcondesiretree.com/01_-_Srila_Prabhupada/01_-_Lectures/01_-_English/02_-_Month_wise/05_-_May/13/MW_LA_1973-05-13_Sudras_Hear_from_Scientists.mp3</t>
  </si>
  <si>
    <t>SB_1-08-51_LA_1973-05-13_Responsibilities_of_Fathers_etc.mp3</t>
  </si>
  <si>
    <t>https://audio.iskcondesiretree.com/01_-_Srila_Prabhupada/01_-_Lectures/01_-_English/02_-_Month_wise/05_-_May/13/SB_1-08-51_LA_1973-05-13_Responsibilities_of_Fathers_etc.mp3</t>
  </si>
  <si>
    <t>SP_SB_1-08-52_Los_Angeles_1973-05-14_Slaughterhouse_Victims_Were--etc.mp3</t>
  </si>
  <si>
    <t>https://audio.iskcondesiretree.com/01_-_Srila_Prabhupada/01_-_Lectures/01_-_English/01_-_Topic_wise/Srimad_Bhagavatam/Canto-01/SP_SB_1-08-52_Los_Angeles_1973-05-14_Slaughterhouse_Victims_Were--etc.mp3</t>
  </si>
  <si>
    <t>SB_1-08-52_LA_1973-05-14_Slaughterhouse_Victims_Were_etc.mp3</t>
  </si>
  <si>
    <t>https://audio.iskcondesiretree.com/01_-_Srila_Prabhupada/01_-_Lectures/01_-_English/02_-_Month_wise/05_-_May/14/SB_1-08-52_LA_1973-05-14_Slaughterhouse_Victims_Were_etc.mp3</t>
  </si>
  <si>
    <t>SP_Morning_Walk_-_Los_Angeles_1973-05-15_Science_vs._Veda_vs._Religion.mp3</t>
  </si>
  <si>
    <t>https://audio.iskcondesiretree.com/01_-_Srila_Prabhupada/01_-_Lectures/01_-_English/01_-_Topic_wise/Morning_Walk/SP_Morning_Walk_-_Los_Angeles_1973-05-15_Science_vs._Veda_vs._Religion.mp3</t>
  </si>
  <si>
    <t>SP_SB_1-09-01_Los_Angeles_1973-05-15_Equality-How.mp3</t>
  </si>
  <si>
    <t>https://audio.iskcondesiretree.com/01_-_Srila_Prabhupada/01_-_Lectures/01_-_English/01_-_Topic_wise/Srimad_Bhagavatam/Canto-01/SP_SB_1-09-01_Los_Angeles_1973-05-15_Equality-How.mp3</t>
  </si>
  <si>
    <t>MW_LA_1973-05-15_Science_Vs_Veda_Vs_Religion.mp3</t>
  </si>
  <si>
    <t>https://audio.iskcondesiretree.com/01_-_Srila_Prabhupada/01_-_Lectures/01_-_English/02_-_Month_wise/05_-_May/15/MW_LA_1973-05-15_Science_Vs_Veda_Vs_Religion.mp3</t>
  </si>
  <si>
    <t>SB_1-09-01_LA_1973-05-15_Equality-How.mp3</t>
  </si>
  <si>
    <t>https://audio.iskcondesiretree.com/01_-_Srila_Prabhupada/01_-_Lectures/01_-_English/02_-_Month_wise/05_-_May/15/SB_1-09-01_LA_1973-05-15_Equality-How.mp3</t>
  </si>
  <si>
    <t>SP_SB_1-09-02_Los_Angeles_1973-05-16_The_Opulence_of_Krsna_Consciousness.mp3</t>
  </si>
  <si>
    <t>https://audio.iskcondesiretree.com/01_-_Srila_Prabhupada/01_-_Lectures/01_-_English/01_-_Topic_wise/Srimad_Bhagavatam/Canto-01/SP_SB_1-09-02_Los_Angeles_1973-05-16_The_Opulence_of_Krsna_Consciousness.mp3</t>
  </si>
  <si>
    <t>SB_1-09-02_LA_1973-05-16_The_Opulence_of_Krsna_Consciousness.mp3</t>
  </si>
  <si>
    <t>https://audio.iskcondesiretree.com/01_-_Srila_Prabhupada/01_-_Lectures/01_-_English/02_-_Month_wise/05_-_May/16/SB_1-09-02_LA_1973-05-16_The_Opulence_of_Krsna_Consciousness.mp3</t>
  </si>
  <si>
    <t>SP_Morning_Walk_-_Los_Angeles_1973-05-17_Taking_the_Mystery_Out_of_Mystic_Power.mp3</t>
  </si>
  <si>
    <t>https://audio.iskcondesiretree.com/01_-_Srila_Prabhupada/01_-_Lectures/01_-_English/01_-_Topic_wise/Morning_Walk/SP_Morning_Walk_-_Los_Angeles_1973-05-17_Taking_the_Mystery_Out_of_Mystic_Power.mp3</t>
  </si>
  <si>
    <t>SP_SB_1-09-03_Los_Angeles_1973-05-17_Qualifications_of_Bhakta_and_Bhagavan.mp3</t>
  </si>
  <si>
    <t>https://audio.iskcondesiretree.com/01_-_Srila_Prabhupada/01_-_Lectures/01_-_English/01_-_Topic_wise/Srimad_Bhagavatam/Canto-01/SP_SB_1-09-03_Los_Angeles_1973-05-17_Qualifications_of_Bhakta_and_Bhagavan.mp3</t>
  </si>
  <si>
    <t>MW_LA_1973-05-17_Taking_the_Mystery_Out_of_Mystic_Power.mp3</t>
  </si>
  <si>
    <t>https://audio.iskcondesiretree.com/01_-_Srila_Prabhupada/01_-_Lectures/01_-_English/02_-_Month_wise/05_-_May/17/MW_LA_1973-05-17_Taking_the_Mystery_Out_of_Mystic_Power.mp3</t>
  </si>
  <si>
    <t>SB_1-09-03_LA_1973-05-17_Qualifications_of_Bhakta_and_Bhagavan.mp3</t>
  </si>
  <si>
    <t>https://audio.iskcondesiretree.com/01_-_Srila_Prabhupada/01_-_Lectures/01_-_English/02_-_Month_wise/05_-_May/17/SB_1-09-03_LA_1973-05-17_Qualifications_of_Bhakta_and_Bhagavan.mp3</t>
  </si>
  <si>
    <t>SP_Lecture_Dallas_1973-05-19_Why_We_Can%27t_Forget_About_God.mp3</t>
  </si>
  <si>
    <t>https://audio.iskcondesiretree.com/01_-_Srila_Prabhupada/01_-_Lectures/01_-_English/01_-_Topic_wise/Various/SP_Lecture_Dallas_1973-05-19_Why_We_Can%27t_Forget_About_God.mp3</t>
  </si>
  <si>
    <t>Lect_DAL_1973-05-19_Why_We_Can%27t_Forget_About_God.mp3</t>
  </si>
  <si>
    <t>https://audio.iskcondesiretree.com/01_-_Srila_Prabhupada/01_-_Lectures/01_-_English/02_-_Month_wise/05_-_May/19/Lect_DAL_1973-05-19_Why_We_Can%27t_Forget_About_God.mp3</t>
  </si>
  <si>
    <t>Canto-03</t>
  </si>
  <si>
    <t>SP_SB_3-01-10_Dallas_1973-05-21_Sage_Advice_For_Human_Society.mp3</t>
  </si>
  <si>
    <t>https://audio.iskcondesiretree.com/01_-_Srila_Prabhupada/01_-_Lectures/01_-_English/01_-_Topic_wise/Srimad_Bhagavatam/Canto-03/SP_SB_3-01-10_Dallas_1973-05-21_Sage_Advice_For_Human_Society.mp3</t>
  </si>
  <si>
    <t>SB_3-01-10_DAL_1973-05-21_Sage_Advice_For_Human_Society.mp3</t>
  </si>
  <si>
    <t>https://audio.iskcondesiretree.com/01_-_Srila_Prabhupada/01_-_Lectures/01_-_English/02_-_Month_wise/05_-_May/21/SB_3-01-10_DAL_1973-05-21_Sage_Advice_For_Human_Society.mp3</t>
  </si>
  <si>
    <t>SP_SB_1-09-40_New_York_1973-05-22_We_Alone_Teach_%27You%27re_Not_This_Body%27.mp3</t>
  </si>
  <si>
    <t>https://audio.iskcondesiretree.com/01_-_Srila_Prabhupada/01_-_Lectures/01_-_English/01_-_Topic_wise/Srimad_Bhagavatam/Canto-01/SP_SB_1-09-40_New_York_1973-05-22_We_Alone_Teach_%27You%27re_Not_This_Body%27.mp3</t>
  </si>
  <si>
    <t>SB_1-09-40_NY_1973-05-22_We_Alone_Teach_You%27re_Not_This_Body.mp3</t>
  </si>
  <si>
    <t>https://audio.iskcondesiretree.com/01_-_Srila_Prabhupada/01_-_Lectures/01_-_English/02_-_Month_wise/05_-_May/22/SB_1-09-40_NY_1973-05-22_We_Alone_Teach_You%27re_Not_This_Body.mp3</t>
  </si>
  <si>
    <t>SP_SB_1-09-48_Mayapur_1973-06-14_Gandhari-Chaste_and_Faithful.mp3</t>
  </si>
  <si>
    <t>https://audio.iskcondesiretree.com/01_-_Srila_Prabhupada/01_-_Lectures/01_-_English/01_-_Topic_wise/Srimad_Bhagavatam/Canto-01/SP_SB_1-09-48_Mayapur_1973-06-14_Gandhari-Chaste_and_Faithful.mp3</t>
  </si>
  <si>
    <t>SB_1-09-48_MAY_1973-06-14_Gandhari-Chaste_and_Faithful.mp3</t>
  </si>
  <si>
    <t>https://audio.iskcondesiretree.com/01_-_Srila_Prabhupada/01_-_Lectures/01_-_English/02_-_Month_wise/06_-_June/14/SB_1-09-48_MAY_1973-06-14_Gandhari-Chaste_and_Faithful.mp3</t>
  </si>
  <si>
    <t>SP_SB_1-09-49_Mayapur_1973-06-15_Ruling_by_Religious_Principles.mp3</t>
  </si>
  <si>
    <t>https://audio.iskcondesiretree.com/01_-_Srila_Prabhupada/01_-_Lectures/01_-_English/01_-_Topic_wise/Srimad_Bhagavatam/Canto-01/SP_SB_1-09-49_Mayapur_1973-06-15_Ruling_by_Religious_Principles.mp3</t>
  </si>
  <si>
    <t>SB_1-09-49_MAY_1973-06-15_Ruling_by_Religious_Principles.mp3</t>
  </si>
  <si>
    <t>https://audio.iskcondesiretree.com/01_-_Srila_Prabhupada/01_-_Lectures/01_-_English/02_-_Month_wise/06_-_June/15/SB_1-09-49_MAY_1973-06-15_Ruling_by_Religious_Principles.mp3</t>
  </si>
  <si>
    <t>SP_SB_1-10-01_Mayapur_1973-06-16_Yudhisthira-Perfect_Surrender.mp3</t>
  </si>
  <si>
    <t>https://audio.iskcondesiretree.com/01_-_Srila_Prabhupada/01_-_Lectures/01_-_English/01_-_Topic_wise/Srimad_Bhagavatam/Canto-01/SP_SB_1-10-01_Mayapur_1973-06-16_Yudhisthira-Perfect_Surrender.mp3</t>
  </si>
  <si>
    <t>SB_1-10-01_MAY_1973-06-16_Yudhisthira-Perfect_Surrender.mp3</t>
  </si>
  <si>
    <t>https://audio.iskcondesiretree.com/01_-_Srila_Prabhupada/01_-_Lectures/01_-_English/02_-_Month_wise/06_-_June/16/SB_1-10-01_MAY_1973-06-16_Yudhisthira-Perfect_Surrender.mp3</t>
  </si>
  <si>
    <t>SP_SB_1-10-02_Mayapur_1973-06-17_Seeing_That_Krishna_Is_Satisfied.mp3</t>
  </si>
  <si>
    <t>https://audio.iskcondesiretree.com/01_-_Srila_Prabhupada/01_-_Lectures/01_-_English/01_-_Topic_wise/Srimad_Bhagavatam/Canto-01/SP_SB_1-10-02_Mayapur_1973-06-17_Seeing_That_Krishna_Is_Satisfied.mp3</t>
  </si>
  <si>
    <t>SB_1-10-02_MAY_1973-06-17_Seeing_That_Krishna_Is_Satisfied.mp3</t>
  </si>
  <si>
    <t>https://audio.iskcondesiretree.com/01_-_Srila_Prabhupada/01_-_Lectures/01_-_English/02_-_Month_wise/06_-_June/17/SB_1-10-02_MAY_1973-06-17_Seeing_That_Krishna_Is_Satisfied.mp3</t>
  </si>
  <si>
    <t>SP_SB_1-10-03_Mayapur_1973-06-18_God-Conscious_Monarchy.mp3</t>
  </si>
  <si>
    <t>https://audio.iskcondesiretree.com/01_-_Srila_Prabhupada/01_-_Lectures/01_-_English/01_-_Topic_wise/Srimad_Bhagavatam/Canto-01/SP_SB_1-10-03_Mayapur_1973-06-18_God-Conscious_Monarchy.mp3</t>
  </si>
  <si>
    <t>SB_1-10-03_MAY_1973-06-18_God-Conscious_Monarchy.mp3</t>
  </si>
  <si>
    <t>https://audio.iskcondesiretree.com/01_-_Srila_Prabhupada/01_-_Lectures/01_-_English/02_-_Month_wise/06_-_June/18/SB_1-10-03_MAY_1973-06-18_God-Conscious_Monarchy.mp3</t>
  </si>
  <si>
    <t>SP_SB_1-10-04_Mayapur_1973-06-19_When_People_Become_Demons.mp3</t>
  </si>
  <si>
    <t>https://audio.iskcondesiretree.com/01_-_Srila_Prabhupada/01_-_Lectures/01_-_English/01_-_Topic_wise/Srimad_Bhagavatam/Canto-01/SP_SB_1-10-04_Mayapur_1973-06-19_When_People_Become_Demons.mp3</t>
  </si>
  <si>
    <t>SB_1-10-04_MAY_1973-06-19_When_People_Become_Demons.mp3</t>
  </si>
  <si>
    <t>https://audio.iskcondesiretree.com/01_-_Srila_Prabhupada/01_-_Lectures/01_-_English/02_-_Month_wise/06_-_June/19/SB_1-10-04_MAY_1973-06-19_When_People_Become_Demons.mp3</t>
  </si>
  <si>
    <t>SP_SB_1-10-05_Mayapur_1973-06-20_Comforts_for_the_Body_and_Soul.mp3</t>
  </si>
  <si>
    <t>https://audio.iskcondesiretree.com/01_-_Srila_Prabhupada/01_-_Lectures/01_-_English/01_-_Topic_wise/Srimad_Bhagavatam/Canto-01/SP_SB_1-10-05_Mayapur_1973-06-20_Comforts_for_the_Body_and_Soul.mp3</t>
  </si>
  <si>
    <t>SB_1-10-05_MAY_1973-06-20_Comforts_for_the_Body_and_Soul.mp3</t>
  </si>
  <si>
    <t>https://audio.iskcondesiretree.com/01_-_Srila_Prabhupada/01_-_Lectures/01_-_English/02_-_Month_wise/06_-_June/20/SB_1-10-05_MAY_1973-06-20_Comforts_for_the_Body_and_Soul.mp3</t>
  </si>
  <si>
    <t>SP_SB_1-10-06_Mayapur_1973-06-21_Peaceful_People_in_Kingdom.mp3</t>
  </si>
  <si>
    <t>https://audio.iskcondesiretree.com/01_-_Srila_Prabhupada/01_-_Lectures/01_-_English/01_-_Topic_wise/Srimad_Bhagavatam/Canto-01/SP_SB_1-10-06_Mayapur_1973-06-21_Peaceful_People_in_Kingdom.mp3</t>
  </si>
  <si>
    <t>SB_1-10-06_MAY_1973-06-21_Peaceful_People_in_Kingdom.mp3</t>
  </si>
  <si>
    <t>https://audio.iskcondesiretree.com/01_-_Srila_Prabhupada/01_-_Lectures/01_-_English/02_-_Month_wise/06_-_June/21/SB_1-10-06_MAY_1973-06-21_Peaceful_People_in_Kingdom.mp3</t>
  </si>
  <si>
    <t>SP_SB_1-10-07_Mayapur_1973-06-22_Independence-More_Dependence.mp3</t>
  </si>
  <si>
    <t>https://audio.iskcondesiretree.com/01_-_Srila_Prabhupada/01_-_Lectures/01_-_English/01_-_Topic_wise/Srimad_Bhagavatam/Canto-01/SP_SB_1-10-07_Mayapur_1973-06-22_Independence-More_Dependence.mp3</t>
  </si>
  <si>
    <t>SB_1-10-07_MAY_1973-06-22_Independence-More_Dependence.mp3</t>
  </si>
  <si>
    <t>https://audio.iskcondesiretree.com/01_-_Srila_Prabhupada/01_-_Lectures/01_-_English/02_-_Month_wise/06_-_June/22/SB_1-10-07_MAY_1973-06-22_Independence-More_Dependence.mp3</t>
  </si>
  <si>
    <t>SP_SB_1-10-11_Mayapur_1973-06-25_Satsanga...Asatsanga.mp3</t>
  </si>
  <si>
    <t>https://audio.iskcondesiretree.com/01_-_Srila_Prabhupada/01_-_Lectures/01_-_English/01_-_Topic_wise/Srimad_Bhagavatam/Canto-01/SP_SB_1-10-11_Mayapur_1973-06-25_Satsanga...Asatsanga.mp3</t>
  </si>
  <si>
    <t>SB_1-10-11_MAY_1973-06-25_Satsanga_Asatsanga.mp3</t>
  </si>
  <si>
    <t>https://audio.iskcondesiretree.com/01_-_Srila_Prabhupada/01_-_Lectures/01_-_English/02_-_Month_wise/06_-_June/25/SB_1-10-11_MAY_1973-06-25_Satsanga_Asatsanga.mp3</t>
  </si>
  <si>
    <t>SP_SB_1-10-13_Mayapur_1973-06-26_Associating_with_Krishna.mp3</t>
  </si>
  <si>
    <t>https://audio.iskcondesiretree.com/01_-_Srila_Prabhupada/01_-_Lectures/01_-_English/01_-_Topic_wise/Srimad_Bhagavatam/Canto-01/SP_SB_1-10-13_Mayapur_1973-06-26_Associating_with_Krishna.mp3</t>
  </si>
  <si>
    <t>SB_1-10-13_MAY_1973-06-26_Associating_with_Krishna.mp3</t>
  </si>
  <si>
    <t>https://audio.iskcondesiretree.com/01_-_Srila_Prabhupada/01_-_Lectures/01_-_English/02_-_Month_wise/06_-_June/26/SB_1-10-13_MAY_1973-06-26_Associating_with_Krishna.mp3</t>
  </si>
  <si>
    <t>SP_SB_1-10-14_Mayapur_1973-06-27_Truly_Selfless_Love.mp3</t>
  </si>
  <si>
    <t>https://audio.iskcondesiretree.com/01_-_Srila_Prabhupada/01_-_Lectures/01_-_English/01_-_Topic_wise/Srimad_Bhagavatam/Canto-01/SP_SB_1-10-14_Mayapur_1973-06-27_Truly_Selfless_Love.mp3</t>
  </si>
  <si>
    <t>SB_1-10-14_MAY_1973-06-27_Truly_Selfless_Love.mp3</t>
  </si>
  <si>
    <t>https://audio.iskcondesiretree.com/01_-_Srila_Prabhupada/01_-_Lectures/01_-_English/02_-_Month_wise/06_-_June/27/SB_1-10-14_MAY_1973-06-27_Truly_Selfless_Love.mp3</t>
  </si>
  <si>
    <t>SP_BG_09-10_Calcutta_1973-06-29_Dead_Heads_and_Supreme_Life.mp3</t>
  </si>
  <si>
    <t>https://audio.iskcondesiretree.com/01_-_Srila_Prabhupada/01_-_Lectures/01_-_English/01_-_Topic_wise/Bhagavad_Gita/Chapter-09/SP_BG_09-10_Calcutta_1973-06-29_Dead_Heads_and_Supreme_Life.mp3</t>
  </si>
  <si>
    <t>Bg_09-10_CAL_1973-06-29_Dead_Heads_and_Supreme_Life.mp3</t>
  </si>
  <si>
    <t>https://audio.iskcondesiretree.com/01_-_Srila_Prabhupada/01_-_Lectures/01_-_English/02_-_Month_wise/06_-_June/29/Bg_09-10_CAL_1973-06-29_Dead_Heads_and_Supreme_Life.mp3</t>
  </si>
  <si>
    <t>SP_BG_09-11_Calcutta_1973-06-30_If_You_Want_to_Remain_Mudha....mp3</t>
  </si>
  <si>
    <t>https://audio.iskcondesiretree.com/01_-_Srila_Prabhupada/01_-_Lectures/01_-_English/01_-_Topic_wise/Bhagavad_Gita/Chapter-09/SP_BG_09-11_Calcutta_1973-06-30_If_You_Want_to_Remain_Mudha....mp3</t>
  </si>
  <si>
    <t>Bg_09-11_CAL_1973-06-30_If_You_Want_to_Remain_Mudha.mp3</t>
  </si>
  <si>
    <t>https://audio.iskcondesiretree.com/01_-_Srila_Prabhupada/01_-_Lectures/01_-_English/02_-_Month_wise/06_-_June/30/Bg_09-11_CAL_1973-06-30_If_You_Want_to_Remain_Mudha.mp3</t>
  </si>
  <si>
    <t>SP_Arrival_London_1973-07-07_Bhakti_Science_Is_Very_Simple.mp3</t>
  </si>
  <si>
    <t>https://audio.iskcondesiretree.com/01_-_Srila_Prabhupada/01_-_Lectures/01_-_English/01_-_Topic_wise/Arrival_Address/SP_Arrival_London_1973-07-07_Bhakti_Science_Is_Very_Simple.mp3</t>
  </si>
  <si>
    <t>Chapter-01</t>
  </si>
  <si>
    <t>SP_BG_01-01_London_1973-07-07_The_Material_World_Means--etc.mp3</t>
  </si>
  <si>
    <t>https://audio.iskcondesiretree.com/01_-_Srila_Prabhupada/01_-_Lectures/01_-_English/01_-_Topic_wise/Bhagavad_Gita/Chapter-01/SP_BG_01-01_London_1973-07-07_The_Material_World_Means--etc.mp3</t>
  </si>
  <si>
    <t>Arr_LON_1973-07-07_Bhakti_Science_Is_Very_Simple.mp3</t>
  </si>
  <si>
    <t>https://audio.iskcondesiretree.com/01_-_Srila_Prabhupada/01_-_Lectures/01_-_English/02_-_Month_wise/07_-_July/07/Arr_LON_1973-07-07_Bhakti_Science_Is_Very_Simple.mp3</t>
  </si>
  <si>
    <t>Bg_01-01_LON_1973-07-07_The_Material_World_Means_etc.mp3</t>
  </si>
  <si>
    <t>https://audio.iskcondesiretree.com/01_-_Srila_Prabhupada/01_-_Lectures/01_-_English/02_-_Month_wise/07_-_July/07/Bg_01-01_LON_1973-07-07_The_Material_World_Means_etc.mp3</t>
  </si>
  <si>
    <t>SP_BG_01-02-03_London_1973-07-09_Death_Is_God.mp3</t>
  </si>
  <si>
    <t>https://audio.iskcondesiretree.com/01_-_Srila_Prabhupada/01_-_Lectures/01_-_English/01_-_Topic_wise/Bhagavad_Gita/Chapter-01/SP_BG_01-02-03_London_1973-07-09_Death_Is_God.mp3</t>
  </si>
  <si>
    <t>SP_Room_Conversation_London_1973-07-09_Act_According_to_Krishna%27s_Whims.mp3</t>
  </si>
  <si>
    <t>https://audio.iskcondesiretree.com/01_-_Srila_Prabhupada/01_-_Lectures/01_-_English/01_-_Topic_wise/Room_Conversation/SP_Room_Conversation_London_1973-07-09_Act_According_to_Krishna%27s_Whims.mp3</t>
  </si>
  <si>
    <t>SP_Room_Conversation_London_1973-07-09_Slaughterhouse_School.mp3</t>
  </si>
  <si>
    <t>https://audio.iskcondesiretree.com/01_-_Srila_Prabhupada/01_-_Lectures/01_-_English/01_-_Topic_wise/Room_Conversation/SP_Room_Conversation_London_1973-07-09_Slaughterhouse_School.mp3</t>
  </si>
  <si>
    <t>SP_Room_Conversation_London_1973-07-09_Where_is_the_Education_About_Our_Future_Life.mp3</t>
  </si>
  <si>
    <t>https://audio.iskcondesiretree.com/01_-_Srila_Prabhupada/01_-_Lectures/01_-_English/01_-_Topic_wise/Room_Conversation/SP_Room_Conversation_London_1973-07-09_Where_is_the_Education_About_Our_Future_Life.mp3</t>
  </si>
  <si>
    <t>Bg_01-02_LON_1973-07-09_Death_Is_God.mp3</t>
  </si>
  <si>
    <t>https://audio.iskcondesiretree.com/01_-_Srila_Prabhupada/01_-_Lectures/01_-_English/02_-_Month_wise/07_-_July/09/Bg_01-02_LON_1973-07-09_Death_Is_God.mp3</t>
  </si>
  <si>
    <t>RC_LON_1973-07-09_Act_According_to_Krishna%27s_Whims.mp3</t>
  </si>
  <si>
    <t>https://audio.iskcondesiretree.com/01_-_Srila_Prabhupada/01_-_Lectures/01_-_English/02_-_Month_wise/07_-_July/09/RC_LON_1973-07-09_Act_According_to_Krishna%27s_Whims.mp3</t>
  </si>
  <si>
    <t>RC_LON_1973-07-09_Slaughterhouse_School.mp3</t>
  </si>
  <si>
    <t>https://audio.iskcondesiretree.com/01_-_Srila_Prabhupada/01_-_Lectures/01_-_English/02_-_Month_wise/07_-_July/09/RC_LON_1973-07-09_Slaughterhouse_School.mp3</t>
  </si>
  <si>
    <t>RC_LON_1973-07-09_Where_is_the_Education_About_Our_Future_Life.mp3</t>
  </si>
  <si>
    <t>https://audio.iskcondesiretree.com/01_-_Srila_Prabhupada/01_-_Lectures/01_-_English/02_-_Month_wise/07_-_July/09/RC_LON_1973-07-09_Where_is_the_Education_About_Our_Future_Life.mp3</t>
  </si>
  <si>
    <t>SP_BG_01-04_London_1973-07-10_Everything_Even--etc.mp3</t>
  </si>
  <si>
    <t>https://audio.iskcondesiretree.com/01_-_Srila_Prabhupada/01_-_Lectures/01_-_English/01_-_Topic_wise/Bhagavad_Gita/Chapter-01/SP_BG_01-04_London_1973-07-10_Everything_Even--etc.mp3</t>
  </si>
  <si>
    <t>SP_Room_Conversation_London_1973-07-10_Prof_Waddell_of_Private_Boys--etc.mp3</t>
  </si>
  <si>
    <t>https://audio.iskcondesiretree.com/01_-_Srila_Prabhupada/01_-_Lectures/01_-_English/01_-_Topic_wise/Room_Conversation/SP_Room_Conversation_London_1973-07-10_Prof_Waddell_of_Private_Boys--etc.mp3</t>
  </si>
  <si>
    <t>Bg_01-04_LON_1973-07-10_Everything_Even_etc.mp3</t>
  </si>
  <si>
    <t>https://audio.iskcondesiretree.com/01_-_Srila_Prabhupada/01_-_Lectures/01_-_English/02_-_Month_wise/07_-_July/10/Bg_01-04_LON_1973-07-10_Everything_Even_etc.mp3</t>
  </si>
  <si>
    <t>RC_LON_1973-07-10_Prof._Waddell_of_Private_Boys_etc.mp3</t>
  </si>
  <si>
    <t>https://audio.iskcondesiretree.com/01_-_Srila_Prabhupada/01_-_Lectures/01_-_English/02_-_Month_wise/07_-_July/10/RC_LON_1973-07-10_Prof._Waddell_of_Private_Boys_etc.mp3</t>
  </si>
  <si>
    <t>SP_BG_01-04_-_1973-07-10_London.mp3</t>
  </si>
  <si>
    <t>https://audio.iskcondesiretree.com/01_-_Srila_Prabhupada/01_-_Lectures/04_-_Translation/Portuguese/More/SP_BG_01-04_-_1973-07-10_London.mp3</t>
  </si>
  <si>
    <t>SP_BG_01-07_London_1973-07-11_Vaisnavism_Is_Not_Cowardism.mp3</t>
  </si>
  <si>
    <t>https://audio.iskcondesiretree.com/01_-_Srila_Prabhupada/01_-_Lectures/01_-_English/01_-_Topic_wise/Bhagavad_Gita/Chapter-01/SP_BG_01-07_London_1973-07-11_Vaisnavism_Is_Not_Cowardism.mp3</t>
  </si>
  <si>
    <t>SP_Room_Conversation_London_1973-07-11_Educationists--The_Greatest_Gain.mp3</t>
  </si>
  <si>
    <t>https://audio.iskcondesiretree.com/01_-_Srila_Prabhupada/01_-_Lectures/01_-_English/01_-_Topic_wise/Room_Conversation/SP_Room_Conversation_London_1973-07-11_Educationists--The_Greatest_Gain.mp3</t>
  </si>
  <si>
    <t>SP_Room_Conversation_London_1973-07-11_Guest--Young_Wise_Men_Old_Hypocrites.mp3</t>
  </si>
  <si>
    <t>https://audio.iskcondesiretree.com/01_-_Srila_Prabhupada/01_-_Lectures/01_-_English/01_-_Topic_wise/Room_Conversation/SP_Room_Conversation_London_1973-07-11_Guest--Young_Wise_Men_Old_Hypocrites.mp3</t>
  </si>
  <si>
    <t>SP_Room_Conversation_London_1973-07-11_Guest_%26_Devotees--Yoga_Feeling--etc.mp3</t>
  </si>
  <si>
    <t>https://audio.iskcondesiretree.com/01_-_Srila_Prabhupada/01_-_Lectures/01_-_English/01_-_Topic_wise/Room_Conversation/SP_Room_Conversation_London_1973-07-11_Guest_%26_Devotees--Yoga_Feeling--etc.mp3</t>
  </si>
  <si>
    <t>Bg_01-07_LON_1973-07-11_Vaisnavism_Is_Not_Cowardism.mp3</t>
  </si>
  <si>
    <t>https://audio.iskcondesiretree.com/01_-_Srila_Prabhupada/01_-_Lectures/01_-_English/02_-_Month_wise/07_-_July/11/Bg_01-07_LON_1973-07-11_Vaisnavism_Is_Not_Cowardism.mp3</t>
  </si>
  <si>
    <t>RC_LON_1973-07-11_Educationists-The_Greatest_Gain.mp3</t>
  </si>
  <si>
    <t>https://audio.iskcondesiretree.com/01_-_Srila_Prabhupada/01_-_Lectures/01_-_English/02_-_Month_wise/07_-_July/11/RC_LON_1973-07-11_Educationists-The_Greatest_Gain.mp3</t>
  </si>
  <si>
    <t>RC_LON_1973-07-11_Guest-Young_Wise_Men_Old_Hypocrites.mp3</t>
  </si>
  <si>
    <t>https://audio.iskcondesiretree.com/01_-_Srila_Prabhupada/01_-_Lectures/01_-_English/02_-_Month_wise/07_-_July/11/RC_LON_1973-07-11_Guest-Young_Wise_Men_Old_Hypocrites.mp3</t>
  </si>
  <si>
    <t>RC_LON_1973-07-11_Guest_%26_Devotees-Yoga_Feeling_etc.mp3</t>
  </si>
  <si>
    <t>https://audio.iskcondesiretree.com/01_-_Srila_Prabhupada/01_-_Lectures/01_-_English/02_-_Month_wise/07_-_July/11/RC_LON_1973-07-11_Guest_%26_Devotees-Yoga_Feeling_etc.mp3</t>
  </si>
  <si>
    <t>SP_BG_01-10_London_1973-07-12_The_KC_Movement_Should_Touch--etc.mp3</t>
  </si>
  <si>
    <t>https://audio.iskcondesiretree.com/01_-_Srila_Prabhupada/01_-_Lectures/01_-_English/01_-_Topic_wise/Bhagavad_Gita/Chapter-01/SP_BG_01-10_London_1973-07-12_The_KC_Movement_Should_Touch--etc.mp3</t>
  </si>
  <si>
    <t>SP_Room_Conversation_London_1973-07-12_Schoolmaster--Krishna-More_than_Nirvana.mp3</t>
  </si>
  <si>
    <t>https://audio.iskcondesiretree.com/01_-_Srila_Prabhupada/01_-_Lectures/01_-_English/01_-_Topic_wise/Room_Conversation/SP_Room_Conversation_London_1973-07-12_Schoolmaster--Krishna-More_than_Nirvana.mp3</t>
  </si>
  <si>
    <t>Bg_01-10_LON_1973-07-12_The_KC_Movement_Should_Touch_etc.mp3</t>
  </si>
  <si>
    <t>https://audio.iskcondesiretree.com/01_-_Srila_Prabhupada/01_-_Lectures/01_-_English/02_-_Month_wise/07_-_July/12/Bg_01-10_LON_1973-07-12_The_KC_Movement_Should_Touch_etc.mp3</t>
  </si>
  <si>
    <t>RC_LON_1973-07-12_Schoolmaster-Krishna-More_than_Nirvana.mp3</t>
  </si>
  <si>
    <t>https://audio.iskcondesiretree.com/01_-_Srila_Prabhupada/01_-_Lectures/01_-_English/02_-_Month_wise/07_-_July/12/RC_LON_1973-07-12_Schoolmaster-Krishna-More_than_Nirvana.mp3</t>
  </si>
  <si>
    <t>SP_BG_01-11-12_London_1973-07-13_Wanting_to_Be_Cheated.mp3</t>
  </si>
  <si>
    <t>https://audio.iskcondesiretree.com/01_-_Srila_Prabhupada/01_-_Lectures/01_-_English/01_-_Topic_wise/Bhagavad_Gita/Chapter-01/SP_BG_01-11-12_London_1973-07-13_Wanting_to_Be_Cheated.mp3</t>
  </si>
  <si>
    <t>Bg_01-11_LON_1973-07-13_Wanting_to_Be_Cheated.mp3</t>
  </si>
  <si>
    <t>https://audio.iskcondesiretree.com/01_-_Srila_Prabhupada/01_-_Lectures/01_-_English/02_-_Month_wise/07_-_July/13/Bg_01-11_LON_1973-07-13_Wanting_to_Be_Cheated.mp3</t>
  </si>
  <si>
    <t>SP_BG_01-13_London_1973-07-14_People_Want_to_Be_Cheated.mp3</t>
  </si>
  <si>
    <t>https://audio.iskcondesiretree.com/01_-_Srila_Prabhupada/01_-_Lectures/01_-_English/01_-_Topic_wise/Bhagavad_Gita/Chapter-01/SP_BG_01-13_London_1973-07-14_People_Want_to_Be_Cheated.mp3</t>
  </si>
  <si>
    <t>Bg_01-13_LON_1973-07-14_People_Want_to_Be_Cheated.mp3</t>
  </si>
  <si>
    <t>https://audio.iskcondesiretree.com/01_-_Srila_Prabhupada/01_-_Lectures/01_-_English/02_-_Month_wise/07_-_July/14/Bg_01-13_LON_1973-07-14_People_Want_to_Be_Cheated.mp3</t>
  </si>
  <si>
    <t>SP_BG_01-15_London_1973-07-15_Spiritual--etc.mp3</t>
  </si>
  <si>
    <t>https://audio.iskcondesiretree.com/01_-_Srila_Prabhupada/01_-_Lectures/01_-_English/01_-_Topic_wise/Bhagavad_Gita/Chapter-01/SP_BG_01-15_London_1973-07-15_Spiritual--etc.mp3</t>
  </si>
  <si>
    <t>Bg_01-15_LON_1973-07-15_Spiritual_etc.mp3</t>
  </si>
  <si>
    <t>https://audio.iskcondesiretree.com/01_-_Srila_Prabhupada/01_-_Lectures/01_-_English/02_-_Month_wise/07_-_July/15/Bg_01-15_LON_1973-07-15_Spiritual_etc.mp3</t>
  </si>
  <si>
    <t>SP_BG_01-16-19_London_1973-07-16_Everybody_Wants_to_Be_Served.mp3</t>
  </si>
  <si>
    <t>https://audio.iskcondesiretree.com/01_-_Srila_Prabhupada/01_-_Lectures/01_-_English/01_-_Topic_wise/Bhagavad_Gita/Chapter-01/SP_BG_01-16-19_London_1973-07-16_Everybody_Wants_to_Be_Served.mp3</t>
  </si>
  <si>
    <t>Bg_01-16_LON_1973-07-16_Everybody_Wants_to_Be_Served.mp3</t>
  </si>
  <si>
    <t>https://audio.iskcondesiretree.com/01_-_Srila_Prabhupada/01_-_Lectures/01_-_English/02_-_Month_wise/07_-_July/16/Bg_01-16_LON_1973-07-16_Everybody_Wants_to_Be_Served.mp3</t>
  </si>
  <si>
    <t>SP_BG_01-20_London_1973-07-17_First_Second_and_Third-Class_Rascals.mp3</t>
  </si>
  <si>
    <t>https://audio.iskcondesiretree.com/01_-_Srila_Prabhupada/01_-_Lectures/01_-_English/01_-_Topic_wise/Bhagavad_Gita/Chapter-01/SP_BG_01-20_London_1973-07-17_First_Second_and_Third-Class_Rascals.mp3</t>
  </si>
  <si>
    <t>Bg_01-20_LON_1973-07-17_First_Second_and_Third-Class_Rascals.mp3</t>
  </si>
  <si>
    <t>https://audio.iskcondesiretree.com/01_-_Srila_Prabhupada/01_-_Lectures/01_-_English/02_-_Month_wise/07_-_July/17/Bg_01-20_LON_1973-07-17_First_Second_and_Third-Class_Rascals.mp3</t>
  </si>
  <si>
    <t>SP_BG_01-21_London_1973-07-18_Fallible_%26_Infallible_Religion.mp3</t>
  </si>
  <si>
    <t>https://audio.iskcondesiretree.com/01_-_Srila_Prabhupada/01_-_Lectures/01_-_English/01_-_Topic_wise/Bhagavad_Gita/Chapter-01/SP_BG_01-21_London_1973-07-18_Fallible_%26_Infallible_Religion.mp3</t>
  </si>
  <si>
    <t>Bg_01-21_LON_1973-07-18_Fallible_%26_Infallible_Religion.mp3</t>
  </si>
  <si>
    <t>https://audio.iskcondesiretree.com/01_-_Srila_Prabhupada/01_-_Lectures/01_-_English/02_-_Month_wise/07_-_July/18/Bg_01-21_LON_1973-07-18_Fallible_%26_Infallible_Religion.mp3</t>
  </si>
  <si>
    <t>SP_BG_01-23_London_1973-07-19_How_to_Enjoy_Real_Bliss.mp3</t>
  </si>
  <si>
    <t>https://audio.iskcondesiretree.com/01_-_Srila_Prabhupada/01_-_Lectures/01_-_English/01_-_Topic_wise/Bhagavad_Gita/Chapter-01/SP_BG_01-23_London_1973-07-19_How_to_Enjoy_Real_Bliss.mp3</t>
  </si>
  <si>
    <t>SP_Room_Conversation_London_1973-07-19_Rasas-Variety_of_Liking_Krishna.mp3</t>
  </si>
  <si>
    <t>https://audio.iskcondesiretree.com/01_-_Srila_Prabhupada/01_-_Lectures/01_-_English/01_-_Topic_wise/Room_Conversation/SP_Room_Conversation_London_1973-07-19_Rasas-Variety_of_Liking_Krishna.mp3</t>
  </si>
  <si>
    <t>Bg_01-23_LON_1973-07-19_How_to_Enjoy_Real_Bliss.mp3</t>
  </si>
  <si>
    <t>https://audio.iskcondesiretree.com/01_-_Srila_Prabhupada/01_-_Lectures/01_-_English/02_-_Month_wise/07_-_July/19/Bg_01-23_LON_1973-07-19_How_to_Enjoy_Real_Bliss.mp3</t>
  </si>
  <si>
    <t>RC_LON_1973-07-19_Rasas-Variety_of_Liking_Krishna.mp3</t>
  </si>
  <si>
    <t>https://audio.iskcondesiretree.com/01_-_Srila_Prabhupada/01_-_Lectures/01_-_English/02_-_Month_wise/07_-_July/19/RC_LON_1973-07-19_Rasas-Variety_of_Liking_Krishna.mp3</t>
  </si>
  <si>
    <t>SP_BG_01-24_London_1973-07-20_If_You_Stay_with--etc.mp3</t>
  </si>
  <si>
    <t>https://audio.iskcondesiretree.com/01_-_Srila_Prabhupada/01_-_Lectures/01_-_English/01_-_Topic_wise/Bhagavad_Gita/Chapter-01/SP_BG_01-24_London_1973-07-20_If_You_Stay_with--etc.mp3</t>
  </si>
  <si>
    <t>Bg_01-24_LON_1973-07-20_If_You_Stay_with_etc.mp3</t>
  </si>
  <si>
    <t>https://audio.iskcondesiretree.com/01_-_Srila_Prabhupada/01_-_Lectures/01_-_English/02_-_Month_wise/07_-_July/20/Bg_01-24_LON_1973-07-20_If_You_Stay_with_etc.mp3</t>
  </si>
  <si>
    <t>SP_BG_01-26_London_1973-07-21_Society_Friendship_and_Love.mp3</t>
  </si>
  <si>
    <t>https://audio.iskcondesiretree.com/01_-_Srila_Prabhupada/01_-_Lectures/01_-_English/01_-_Topic_wise/Bhagavad_Gita/Chapter-01/SP_BG_01-26_London_1973-07-21_Society_Friendship_and_Love.mp3</t>
  </si>
  <si>
    <t>SP_Room_Conversation_London_1973-07-21_Alastair_Hardy--It_Is_Also_Vedic_Literature.mp3</t>
  </si>
  <si>
    <t>https://audio.iskcondesiretree.com/01_-_Srila_Prabhupada/01_-_Lectures/01_-_English/01_-_Topic_wise/Room_Conversation/SP_Room_Conversation_London_1973-07-21_Alastair_Hardy--It_Is_Also_Vedic_Literature.mp3</t>
  </si>
  <si>
    <t>Bg_01-26_LON_1973-07-21_Society_Friendship_and_Love.mp3</t>
  </si>
  <si>
    <t>https://audio.iskcondesiretree.com/01_-_Srila_Prabhupada/01_-_Lectures/01_-_English/02_-_Month_wise/07_-_July/21/Bg_01-26_LON_1973-07-21_Society_Friendship_and_Love.mp3</t>
  </si>
  <si>
    <t>RC_LON_1973-07-21_Alastair_Hardy-It_Is_Also_Vedic_Literature.mp3</t>
  </si>
  <si>
    <t>https://audio.iskcondesiretree.com/01_-_Srila_Prabhupada/01_-_Lectures/01_-_English/02_-_Month_wise/07_-_July/21/RC_LON_1973-07-21_Alastair_Hardy-It_Is_Also_Vedic_Literature.mp3</t>
  </si>
  <si>
    <t>SP_BG_01-28_London_1973-07-22_The_Art_of_Preaching.mp3</t>
  </si>
  <si>
    <t>https://audio.iskcondesiretree.com/01_-_Srila_Prabhupada/01_-_Lectures/01_-_English/01_-_Topic_wise/Bhagavad_Gita/Chapter-01/SP_BG_01-28_London_1973-07-22_The_Art_of_Preaching.mp3</t>
  </si>
  <si>
    <t>SP_Room_Conversation_London_1973-07-22_Dr_Arnold_Toynbee--etc.mp3</t>
  </si>
  <si>
    <t>https://audio.iskcondesiretree.com/01_-_Srila_Prabhupada/01_-_Lectures/01_-_English/01_-_Topic_wise/Room_Conversation/SP_Room_Conversation_London_1973-07-22_Dr_Arnold_Toynbee--etc.mp3</t>
  </si>
  <si>
    <t>Bg_01-28_LON_1973-07-22_The_Art_of_Preaching.mp3</t>
  </si>
  <si>
    <t>https://audio.iskcondesiretree.com/01_-_Srila_Prabhupada/01_-_Lectures/01_-_English/02_-_Month_wise/07_-_July/22/Bg_01-28_LON_1973-07-22_The_Art_of_Preaching.mp3</t>
  </si>
  <si>
    <t>RC_LON_1973-07-22_Dr_Arnold_Toynbee_etc.mp3</t>
  </si>
  <si>
    <t>https://audio.iskcondesiretree.com/01_-_Srila_Prabhupada/01_-_Lectures/01_-_English/02_-_Month_wise/07_-_July/22/RC_LON_1973-07-22_Dr_Arnold_Toynbee_etc.mp3</t>
  </si>
  <si>
    <t>SP_BG_01-30_London_1973-07-23_Expanded_Selfishness.mp3</t>
  </si>
  <si>
    <t>https://audio.iskcondesiretree.com/01_-_Srila_Prabhupada/01_-_Lectures/01_-_English/01_-_Topic_wise/Bhagavad_Gita/Chapter-01/SP_BG_01-30_London_1973-07-23_Expanded_Selfishness.mp3</t>
  </si>
  <si>
    <t>SP_Room_Conversation_London_1973-07-23_Lord_Brockway--Our_Service_Bring_Suffering.mp3</t>
  </si>
  <si>
    <t>https://audio.iskcondesiretree.com/01_-_Srila_Prabhupada/01_-_Lectures/01_-_English/01_-_Topic_wise/Room_Conversation/SP_Room_Conversation_London_1973-07-23_Lord_Brockway--Our_Service_Bring_Suffering.mp3</t>
  </si>
  <si>
    <t>SP_SB_1-02-06_London_1973-07-23_East_and_West_Should_Cooperate.mp3</t>
  </si>
  <si>
    <t>https://audio.iskcondesiretree.com/01_-_Srila_Prabhupada/01_-_Lectures/01_-_English/01_-_Topic_wise/Srimad_Bhagavatam/Canto-01/SP_SB_1-02-06_London_1973-07-23_East_and_West_Should_Cooperate.mp3</t>
  </si>
  <si>
    <t>Bg_01-30_LON_1973-07-23_Expanded_Selfishness.mp3</t>
  </si>
  <si>
    <t>https://audio.iskcondesiretree.com/01_-_Srila_Prabhupada/01_-_Lectures/01_-_English/02_-_Month_wise/07_-_July/23/Bg_01-30_LON_1973-07-23_Expanded_Selfishness.mp3</t>
  </si>
  <si>
    <t>RC_LON_1973-07-23_Lord_Brockway-Our_Service_Bring_Suffering.mp3</t>
  </si>
  <si>
    <t>https://audio.iskcondesiretree.com/01_-_Srila_Prabhupada/01_-_Lectures/01_-_English/02_-_Month_wise/07_-_July/23/RC_LON_1973-07-23_Lord_Brockway-Our_Service_Bring_Suffering.mp3</t>
  </si>
  <si>
    <t>SB_1-02-06_LON_1973-07-23_East_and_West_Should_Cooperate.mp3</t>
  </si>
  <si>
    <t>https://audio.iskcondesiretree.com/01_-_Srila_Prabhupada/01_-_Lectures/01_-_English/02_-_Month_wise/07_-_July/23/SB_1-02-06_LON_1973-07-23_East_and_West_Should_Cooperate.mp3</t>
  </si>
  <si>
    <t>SP_BG_01-31_London_1973-07-24_Immediate_vs._Ultimate_Good.mp3</t>
  </si>
  <si>
    <t>https://audio.iskcondesiretree.com/01_-_Srila_Prabhupada/01_-_Lectures/01_-_English/01_-_Topic_wise/Bhagavad_Gita/Chapter-01/SP_BG_01-31_London_1973-07-24_Immediate_vs._Ultimate_Good.mp3</t>
  </si>
  <si>
    <t>SP_Room_Conversation_London_1973-07-24_Reporter--Violent_Nonviolence.mp3</t>
  </si>
  <si>
    <t>https://audio.iskcondesiretree.com/01_-_Srila_Prabhupada/01_-_Lectures/01_-_English/01_-_Topic_wise/Room_Conversation/SP_Room_Conversation_London_1973-07-24_Reporter--Violent_Nonviolence.mp3</t>
  </si>
  <si>
    <t>Bg_01-31_LON_1973-07-24_Immediate_vs_Ultimate_Good.mp3</t>
  </si>
  <si>
    <t>https://audio.iskcondesiretree.com/01_-_Srila_Prabhupada/01_-_Lectures/01_-_English/02_-_Month_wise/07_-_July/24/Bg_01-31_LON_1973-07-24_Immediate_vs_Ultimate_Good.mp3</t>
  </si>
  <si>
    <t>RC_LON_1973-07-24_Reporter-Violent_Nonviolence.mp3</t>
  </si>
  <si>
    <t>https://audio.iskcondesiretree.com/01_-_Srila_Prabhupada/01_-_Lectures/01_-_English/02_-_Month_wise/07_-_July/24/RC_LON_1973-07-24_Reporter-Violent_Nonviolence.mp3</t>
  </si>
  <si>
    <t>SP_BG_01-32_London_1973-07-25_Shortcut_to_Spiritual_Knowledge.mp3</t>
  </si>
  <si>
    <t>https://audio.iskcondesiretree.com/01_-_Srila_Prabhupada/01_-_Lectures/01_-_English/01_-_Topic_wise/Bhagavad_Gita/Chapter-01/SP_BG_01-32_London_1973-07-25_Shortcut_to_Spiritual_Knowledge.mp3</t>
  </si>
  <si>
    <t>SP_Room_Conversation_London_1973-07-25_Devotee%27s_Mother_and_Jesuit_Priest.mp3</t>
  </si>
  <si>
    <t>https://audio.iskcondesiretree.com/01_-_Srila_Prabhupada/01_-_Lectures/01_-_English/01_-_Topic_wise/Room_Conversation/SP_Room_Conversation_London_1973-07-25_Devotee%27s_Mother_and_Jesuit_Priest.mp3</t>
  </si>
  <si>
    <t>Bg_01-32_LON_1973-07-25_Shortcut_to_Spiritual_Knowledge.mp3</t>
  </si>
  <si>
    <t>https://audio.iskcondesiretree.com/01_-_Srila_Prabhupada/01_-_Lectures/01_-_English/02_-_Month_wise/07_-_July/25/Bg_01-32_LON_1973-07-25_Shortcut_to_Spiritual_Knowledge.mp3</t>
  </si>
  <si>
    <t>RC_LON_1973-07-25_Devotee%27s_Mother_and_Jesuit_Priest.mp3</t>
  </si>
  <si>
    <t>https://audio.iskcondesiretree.com/01_-_Srila_Prabhupada/01_-_Lectures/01_-_English/02_-_Month_wise/07_-_July/25/RC_LON_1973-07-25_Devotee%27s_Mother_and_Jesuit_Priest.mp3</t>
  </si>
  <si>
    <t>SP_BG_01-36_London_1973-07-26_Devotee_Has_All_Good_Qualities.mp3</t>
  </si>
  <si>
    <t>https://audio.iskcondesiretree.com/01_-_Srila_Prabhupada/01_-_Lectures/01_-_English/01_-_Topic_wise/Bhagavad_Gita/Chapter-01/SP_BG_01-36_London_1973-07-26_Devotee_Has_All_Good_Qualities.mp3</t>
  </si>
  <si>
    <t>SP_Room_Conversation_London_1973-07-26_Schumacher_%26_Popworth--Purifying--etc.mp3</t>
  </si>
  <si>
    <t>https://audio.iskcondesiretree.com/01_-_Srila_Prabhupada/01_-_Lectures/01_-_English/01_-_Topic_wise/Room_Conversation/SP_Room_Conversation_London_1973-07-26_Schumacher_%26_Popworth--Purifying--etc.mp3</t>
  </si>
  <si>
    <t>Bg_01-36_LON_1973-07-26_Devotee_Has_All_Good_Qualities.mp3</t>
  </si>
  <si>
    <t>https://audio.iskcondesiretree.com/01_-_Srila_Prabhupada/01_-_Lectures/01_-_English/02_-_Month_wise/07_-_July/26/Bg_01-36_LON_1973-07-26_Devotee_Has_All_Good_Qualities.mp3</t>
  </si>
  <si>
    <t>RC_LON_1973-07-26_Schumacher_%26_Popworth_Purifying_etc.mp3</t>
  </si>
  <si>
    <t>https://audio.iskcondesiretree.com/01_-_Srila_Prabhupada/01_-_Lectures/01_-_English/02_-_Month_wise/07_-_July/26/RC_LON_1973-07-26_Schumacher_%26_Popworth_Purifying_etc.mp3</t>
  </si>
  <si>
    <t>SP_BG_01-37-39_London_1973-07-27_The_Way_to_Save_Society.mp3</t>
  </si>
  <si>
    <t>https://audio.iskcondesiretree.com/01_-_Srila_Prabhupada/01_-_Lectures/01_-_English/01_-_Topic_wise/Bhagavad_Gita/Chapter-01/SP_BG_01-37-39_London_1973-07-27_The_Way_to_Save_Society.mp3</t>
  </si>
  <si>
    <t>Bg_01-37_LON_1973-07-27_The_Way_to_Save_Society.mp3</t>
  </si>
  <si>
    <t>https://audio.iskcondesiretree.com/01_-_Srila_Prabhupada/01_-_Lectures/01_-_English/02_-_Month_wise/07_-_July/27/Bg_01-37_LON_1973-07-27_The_Way_to_Save_Society.mp3</t>
  </si>
  <si>
    <t>SP_BG_01-40_London_1973-07-28_The_Psychology_of_Chastity.mp3</t>
  </si>
  <si>
    <t>https://audio.iskcondesiretree.com/01_-_Srila_Prabhupada/01_-_Lectures/01_-_English/01_-_Topic_wise/Bhagavad_Gita/Chapter-01/SP_BG_01-40_London_1973-07-28_The_Psychology_of_Chastity.mp3</t>
  </si>
  <si>
    <t>Bg_01-40_LON_1973-07-28_The_Psychology_of_Chastity.mp3</t>
  </si>
  <si>
    <t>https://audio.iskcondesiretree.com/01_-_Srila_Prabhupada/01_-_Lectures/01_-_English/02_-_Month_wise/07_-_July/28/Bg_01-40_LON_1973-07-28_The_Psychology_of_Chastity.mp3</t>
  </si>
  <si>
    <t>SP_BG_01-41_London_1973-07-29_Relief_from_Today%27s_Hell.mp3</t>
  </si>
  <si>
    <t>https://audio.iskcondesiretree.com/01_-_Srila_Prabhupada/01_-_Lectures/01_-_English/01_-_Topic_wise/Bhagavad_Gita/Chapter-01/SP_BG_01-41_London_1973-07-29_Relief_from_Today%27s_Hell.mp3</t>
  </si>
  <si>
    <t>Bg_01-41_LON_1973-07-29_Relief_from_Today%27s_Hell.mp3</t>
  </si>
  <si>
    <t>https://audio.iskcondesiretree.com/01_-_Srila_Prabhupada/01_-_Lectures/01_-_English/02_-_Month_wise/07_-_July/29/Bg_01-41_LON_1973-07-29_Relief_from_Today%27s_Hell.mp3</t>
  </si>
  <si>
    <t>SP_BG_01-43_London_1973-07-30_There_Is_Only_One_Remedy.mp3</t>
  </si>
  <si>
    <t>https://audio.iskcondesiretree.com/01_-_Srila_Prabhupada/01_-_Lectures/01_-_English/01_-_Topic_wise/Bhagavad_Gita/Chapter-01/SP_BG_01-43_London_1973-07-30_There_Is_Only_One_Remedy.mp3</t>
  </si>
  <si>
    <t>Bg_01-43_LON_1973-07-30_There_Is_Only_One_Remedy.mp3</t>
  </si>
  <si>
    <t>https://audio.iskcondesiretree.com/01_-_Srila_Prabhupada/01_-_Lectures/01_-_English/02_-_Month_wise/07_-_July/30/Bg_01-43_LON_1973-07-30_There_Is_Only_One_Remedy.mp3</t>
  </si>
  <si>
    <t>SP_BG_01-44_London_1973-07-31_Only_Rascal_Says_Krishna_Is_Immoral.mp3</t>
  </si>
  <si>
    <t>https://audio.iskcondesiretree.com/01_-_Srila_Prabhupada/01_-_Lectures/01_-_English/01_-_Topic_wise/Bhagavad_Gita/Chapter-01/SP_BG_01-44_London_1973-07-31_Only_Rascal_Says_Krishna_Is_Immoral.mp3</t>
  </si>
  <si>
    <t>Bg_01-44_LON_1973-07-31_Only_Rascal_Says_Krishna_Is_Immoral.mp3</t>
  </si>
  <si>
    <t>https://audio.iskcondesiretree.com/01_-_Srila_Prabhupada/01_-_Lectures/01_-_English/02_-_Month_wise/07_-_July/31/Bg_01-44_LON_1973-07-31_Only_Rascal_Says_Krishna_Is_Immoral.mp3</t>
  </si>
  <si>
    <t>SP_BG_01-45_London_1973-08-01_Krishna%27s_Order_Is_Final.mp3</t>
  </si>
  <si>
    <t>https://audio.iskcondesiretree.com/01_-_Srila_Prabhupada/01_-_Lectures/01_-_English/01_-_Topic_wise/Bhagavad_Gita/Chapter-01/SP_BG_01-45_London_1973-08-01_Krishna%27s_Order_Is_Final.mp3</t>
  </si>
  <si>
    <t>Bg_01-45_LON_1973-08-01_Krishna%27s_Order_Is_Final.mp3</t>
  </si>
  <si>
    <t>https://audio.iskcondesiretree.com/01_-_Srila_Prabhupada/01_-_Lectures/01_-_English/02_-_Month_wise/08_-_August/01/Bg_01-45_LON_1973-08-01_Krishna%27s_Order_Is_Final.mp3</t>
  </si>
  <si>
    <t>SP_BG_02-02_London_1973-08-03_Becoming_Spiritually_Masterful.mp3</t>
  </si>
  <si>
    <t>https://audio.iskcondesiretree.com/01_-_Srila_Prabhupada/01_-_Lectures/01_-_English/01_-_Topic_wise/Bhagavad_Gita/Chapter-02/SP_BG_02-02_London_1973-08-03_Becoming_Spiritually_Masterful.mp3</t>
  </si>
  <si>
    <t>Bg_02-02_LON_1973-08-03_Becoming_Spiritually_Masterful.mp3</t>
  </si>
  <si>
    <t>https://audio.iskcondesiretree.com/01_-_Srila_Prabhupada/01_-_Lectures/01_-_English/02_-_Month_wise/08_-_August/03/Bg_02-02_LON_1973-08-03_Becoming_Spiritually_Masterful.mp3</t>
  </si>
  <si>
    <t>SP_BG_02-03_London_1973-08-04_Special_Senses_Are_Required.mp3</t>
  </si>
  <si>
    <t>https://audio.iskcondesiretree.com/01_-_Srila_Prabhupada/01_-_Lectures/01_-_English/01_-_Topic_wise/Bhagavad_Gita/Chapter-02/SP_BG_02-03_London_1973-08-04_Special_Senses_Are_Required.mp3</t>
  </si>
  <si>
    <t>Bg_02-03_LON_1973-08-04_Special_Senses_Are_Required.mp3</t>
  </si>
  <si>
    <t>https://audio.iskcondesiretree.com/01_-_Srila_Prabhupada/01_-_Lectures/01_-_English/02_-_Month_wise/08_-_August/04/Bg_02-03_LON_1973-08-04_Special_Senses_Are_Required.mp3</t>
  </si>
  <si>
    <t>SP_BG_02-04-05_London_1973-08-05_When_to_Reject_Guru.mp3</t>
  </si>
  <si>
    <t>https://audio.iskcondesiretree.com/01_-_Srila_Prabhupada/01_-_Lectures/01_-_English/01_-_Topic_wise/Bhagavad_Gita/Chapter-02/SP_BG_02-04-05_London_1973-08-05_When_to_Reject_Guru.mp3</t>
  </si>
  <si>
    <t>Bg_02-04_LON_1973-08-05_When_to_Reject_Guru.mp3</t>
  </si>
  <si>
    <t>https://audio.iskcondesiretree.com/01_-_Srila_Prabhupada/01_-_Lectures/01_-_English/02_-_Month_wise/08_-_August/05/Bg_02-04_LON_1973-08-05_When_to_Reject_Guru.mp3</t>
  </si>
  <si>
    <t>SP_BG_02-06_London_1973-08-06_How_to_Utilize_Fighting_Spirit.mp3</t>
  </si>
  <si>
    <t>https://audio.iskcondesiretree.com/01_-_Srila_Prabhupada/01_-_Lectures/01_-_English/01_-_Topic_wise/Bhagavad_Gita/Chapter-02/SP_BG_02-06_London_1973-08-06_How_to_Utilize_Fighting_Spirit.mp3</t>
  </si>
  <si>
    <t>Bg_02-06_LON_1973-08-06_How_to_Utilize_Fighting_Spirit.mp3</t>
  </si>
  <si>
    <t>https://audio.iskcondesiretree.com/01_-_Srila_Prabhupada/01_-_Lectures/01_-_English/02_-_Month_wise/08_-_August/06/Bg_02-06_LON_1973-08-06_How_to_Utilize_Fighting_Spirit.mp3</t>
  </si>
  <si>
    <t>SP_BG_02-07_London_1973-08-07_You_Must_Approach_Krishna.mp3</t>
  </si>
  <si>
    <t>https://audio.iskcondesiretree.com/01_-_Srila_Prabhupada/01_-_Lectures/01_-_English/01_-_Topic_wise/Bhagavad_Gita/Chapter-02/SP_BG_02-07_London_1973-08-07_You_Must_Approach_Krishna.mp3</t>
  </si>
  <si>
    <t>Bg_02-07_LON_1973-08-07_You_Must_Approach_Krishna.mp3</t>
  </si>
  <si>
    <t>https://audio.iskcondesiretree.com/01_-_Srila_Prabhupada/01_-_Lectures/01_-_English/02_-_Month_wise/08_-_August/07/Bg_02-07_LON_1973-08-07_You_Must_Approach_Krishna.mp3</t>
  </si>
  <si>
    <t>SP_BG_02-08_London_1973-08-08_Surpassing_These_Senses.mp3</t>
  </si>
  <si>
    <t>https://audio.iskcondesiretree.com/01_-_Srila_Prabhupada/01_-_Lectures/01_-_English/01_-_Topic_wise/Bhagavad_Gita/Chapter-02/SP_BG_02-08_London_1973-08-08_Surpassing_These_Senses.mp3</t>
  </si>
  <si>
    <t>Bg_02-08_LON_1973-08-08_Surpassing_These_Senses.mp3</t>
  </si>
  <si>
    <t>https://audio.iskcondesiretree.com/01_-_Srila_Prabhupada/01_-_Lectures/01_-_English/02_-_Month_wise/08_-_August/08/Bg_02-08_LON_1973-08-08_Surpassing_These_Senses.mp3</t>
  </si>
  <si>
    <t>SP_Arrival_Paris_1973-08-09_Understand_This_Movement.mp3</t>
  </si>
  <si>
    <t>https://audio.iskcondesiretree.com/01_-_Srila_Prabhupada/01_-_Lectures/01_-_English/01_-_Topic_wise/Arrival_Address/SP_Arrival_Paris_1973-08-09_Understand_This_Movement.mp3</t>
  </si>
  <si>
    <t>SP_Morning_Walk_-_Paris_1973-08-09_Animal_Killing.mp3</t>
  </si>
  <si>
    <t>https://audio.iskcondesiretree.com/01_-_Srila_Prabhupada/01_-_Lectures/01_-_English/01_-_Topic_wise/Morning_Walk/SP_Morning_Walk_-_Paris_1973-08-09_Animal_Killing.mp3</t>
  </si>
  <si>
    <t>SP_Room_Conversation_Paris_1973-08-09_Priest_Cardinal_Danielou--Thou--etc.mp3</t>
  </si>
  <si>
    <t>https://audio.iskcondesiretree.com/01_-_Srila_Prabhupada/01_-_Lectures/01_-_English/01_-_Topic_wise/Room_Conversation/SP_Room_Conversation_Paris_1973-08-09_Priest_Cardinal_Danielou--Thou--etc.mp3</t>
  </si>
  <si>
    <t>Arr_PAR_1973-08-09_Understand_This_Movement.mp3</t>
  </si>
  <si>
    <t>https://audio.iskcondesiretree.com/01_-_Srila_Prabhupada/01_-_Lectures/01_-_English/02_-_Month_wise/08_-_August/09/Arr_PAR_1973-08-09_Understand_This_Movement.mp3</t>
  </si>
  <si>
    <t>MW_PAR_1973-08-09_Animal_Killing.mp3</t>
  </si>
  <si>
    <t>https://audio.iskcondesiretree.com/01_-_Srila_Prabhupada/01_-_Lectures/01_-_English/02_-_Month_wise/08_-_August/09/MW_PAR_1973-08-09_Animal_Killing.mp3</t>
  </si>
  <si>
    <t>RC_PAR_1973-08-09_Priest_Cardinal_Danielou-Thou_etc.mp3</t>
  </si>
  <si>
    <t>https://audio.iskcondesiretree.com/01_-_Srila_Prabhupada/01_-_Lectures/01_-_English/02_-_Month_wise/08_-_August/09/RC_PAR_1973-08-09_Priest_Cardinal_Danielou-Thou_etc.mp3</t>
  </si>
  <si>
    <t>SP_BG_13-01-02_Paris_1973-08-10_Real_Answers_to_Life%27s_Real_Questions.mp3</t>
  </si>
  <si>
    <t>https://audio.iskcondesiretree.com/01_-_Srila_Prabhupada/01_-_Lectures/01_-_English/01_-_Topic_wise/Bhagavad_Gita/Chapter-13/SP_BG_13-01-02_Paris_1973-08-10_Real_Answers_to_Life%27s_Real_Questions.mp3</t>
  </si>
  <si>
    <t>SP_Room_Conversation_Paris_1973-08-10_Daughter_of_French_Author--Doggish_Knowledge.mp3</t>
  </si>
  <si>
    <t>https://audio.iskcondesiretree.com/01_-_Srila_Prabhupada/01_-_Lectures/01_-_English/01_-_Topic_wise/Room_Conversation/SP_Room_Conversation_Paris_1973-08-10_Daughter_of_French_Author--Doggish_Knowledge.mp3</t>
  </si>
  <si>
    <t>Bg_13-01_PAR_1973-08-10_Real_Answers_to_Life%27s_Real_Questions.mp3</t>
  </si>
  <si>
    <t>https://audio.iskcondesiretree.com/01_-_Srila_Prabhupada/01_-_Lectures/01_-_English/02_-_Month_wise/08_-_August/10/Bg_13-01_PAR_1973-08-10_Real_Answers_to_Life%27s_Real_Questions.mp3</t>
  </si>
  <si>
    <t>RC_PAR_1973-08-10_Daughter_of_French_Author-Doggish_Knowledge.mp3</t>
  </si>
  <si>
    <t>https://audio.iskcondesiretree.com/01_-_Srila_Prabhupada/01_-_Lectures/01_-_English/02_-_Month_wise/08_-_August/10/RC_PAR_1973-08-10_Daughter_of_French_Author-Doggish_Knowledge.mp3</t>
  </si>
  <si>
    <t>SP_BG_13-03_Paris_1973-08-11_Krishna%27s_Definition_of_Knowledge.mp3</t>
  </si>
  <si>
    <t>https://audio.iskcondesiretree.com/01_-_Srila_Prabhupada/01_-_Lectures/01_-_English/01_-_Topic_wise/Bhagavad_Gita/Chapter-13/SP_BG_13-03_Paris_1973-08-11_Krishna%27s_Definition_of_Knowledge.mp3</t>
  </si>
  <si>
    <t>SP_Room_Conversation_Paris_1973-08-11_Our_Freedom-God%27s_Flaw.mp3</t>
  </si>
  <si>
    <t>https://audio.iskcondesiretree.com/01_-_Srila_Prabhupada/01_-_Lectures/01_-_English/01_-_Topic_wise/Room_Conversation/SP_Room_Conversation_Paris_1973-08-11_Our_Freedom-God%27s_Flaw.mp3</t>
  </si>
  <si>
    <t>SP_Room_Conversation_Paris_1973-08-11_UNESCO_Worker--Simply_Wasting_Time--etc.mp3</t>
  </si>
  <si>
    <t>https://audio.iskcondesiretree.com/01_-_Srila_Prabhupada/01_-_Lectures/01_-_English/01_-_Topic_wise/Room_Conversation/SP_Room_Conversation_Paris_1973-08-11_UNESCO_Worker--Simply_Wasting_Time--etc.mp3</t>
  </si>
  <si>
    <t>Bg_13-03_PAR_1973-08-11_Krishna%27s_Definition_of_Knowledge.mp3</t>
  </si>
  <si>
    <t>https://audio.iskcondesiretree.com/01_-_Srila_Prabhupada/01_-_Lectures/01_-_English/02_-_Month_wise/08_-_August/11/Bg_13-03_PAR_1973-08-11_Krishna%27s_Definition_of_Knowledge.mp3</t>
  </si>
  <si>
    <t>RC_PAR_1973-08-11_Our_Freedom-God%27s_Flaw.mp3</t>
  </si>
  <si>
    <t>https://audio.iskcondesiretree.com/01_-_Srila_Prabhupada/01_-_Lectures/01_-_English/02_-_Month_wise/08_-_August/11/RC_PAR_1973-08-11_Our_Freedom-God%27s_Flaw.mp3</t>
  </si>
  <si>
    <t>RC_PAR_1973-08-11_UNESCO_Worker-Simply_Wasting_Time_etc.mp3</t>
  </si>
  <si>
    <t>https://audio.iskcondesiretree.com/01_-_Srila_Prabhupada/01_-_Lectures/01_-_English/02_-_Month_wise/08_-_August/11/RC_PAR_1973-08-11_UNESCO_Worker-Simply_Wasting_Time_etc.mp3</t>
  </si>
  <si>
    <t>SP_BG_13-04_Paris_1973-08-12_Varieties_of_Insanities.mp3</t>
  </si>
  <si>
    <t>https://audio.iskcondesiretree.com/01_-_Srila_Prabhupada/01_-_Lectures/01_-_English/01_-_Topic_wise/Bhagavad_Gita/Chapter-13/SP_BG_13-04_Paris_1973-08-12_Varieties_of_Insanities.mp3</t>
  </si>
  <si>
    <t>SP_Room_Conversation_Paris_1973-08-12_Recalling_a_Life_of_Pure_Devotion.mp3</t>
  </si>
  <si>
    <t>https://audio.iskcondesiretree.com/01_-_Srila_Prabhupada/01_-_Lectures/01_-_English/01_-_Topic_wise/Room_Conversation/SP_Room_Conversation_Paris_1973-08-12_Recalling_a_Life_of_Pure_Devotion.mp3</t>
  </si>
  <si>
    <t>Bg_13-04_PAR_1973-08-12_Varieties_of_Insanities.mp3</t>
  </si>
  <si>
    <t>https://audio.iskcondesiretree.com/01_-_Srila_Prabhupada/01_-_Lectures/01_-_English/02_-_Month_wise/08_-_August/12/Bg_13-04_PAR_1973-08-12_Varieties_of_Insanities.mp3</t>
  </si>
  <si>
    <t>RC_PAR_1973-08-12_Recalling_a_Life_of_Pure_Devotion.mp3</t>
  </si>
  <si>
    <t>https://audio.iskcondesiretree.com/01_-_Srila_Prabhupada/01_-_Lectures/01_-_English/02_-_Month_wise/08_-_August/12/RC_PAR_1973-08-12_Recalling_a_Life_of_Pure_Devotion.mp3</t>
  </si>
  <si>
    <t>SP_BG_13-05_Paris_1973-08-13_Even_the_Lion_Has_to_Struggle.mp3</t>
  </si>
  <si>
    <t>https://audio.iskcondesiretree.com/01_-_Srila_Prabhupada/01_-_Lectures/01_-_English/01_-_Topic_wise/Bhagavad_Gita/Chapter-13/SP_BG_13-05_Paris_1973-08-13_Even_the_Lion_Has_to_Struggle.mp3</t>
  </si>
  <si>
    <t>SP_Room_Conversation_Paris_1973-08-13_About_Guru_Maharaji--What_to_Do--etc.mp3</t>
  </si>
  <si>
    <t>https://audio.iskcondesiretree.com/01_-_Srila_Prabhupada/01_-_Lectures/01_-_English/01_-_Topic_wise/Room_Conversation/SP_Room_Conversation_Paris_1973-08-13_About_Guru_Maharaji--What_to_Do--etc.mp3</t>
  </si>
  <si>
    <t>SP_Room_Conversation_Paris_1973-08-13_French_Nun--First-Class_Mysticism.mp3</t>
  </si>
  <si>
    <t>https://audio.iskcondesiretree.com/01_-_Srila_Prabhupada/01_-_Lectures/01_-_English/01_-_Topic_wise/Room_Conversation/SP_Room_Conversation_Paris_1973-08-13_French_Nun--First-Class_Mysticism.mp3</t>
  </si>
  <si>
    <t>SP_Room_Conversation_Paris_1973-08-13_Rosicrucians--Vague_Bogus_A_Waste_of_Time.mp3</t>
  </si>
  <si>
    <t>https://audio.iskcondesiretree.com/01_-_Srila_Prabhupada/01_-_Lectures/01_-_English/01_-_Topic_wise/Room_Conversation/SP_Room_Conversation_Paris_1973-08-13_Rosicrucians--Vague_Bogus_A_Waste_of_Time.mp3</t>
  </si>
  <si>
    <t>SP_Room_Conversation_Paris_1973-08-13_Sanskrit_Prof--Any_Sane_Man_Will--etc.mp3</t>
  </si>
  <si>
    <t>https://audio.iskcondesiretree.com/01_-_Srila_Prabhupada/01_-_Lectures/01_-_English/01_-_Topic_wise/Room_Conversation/SP_Room_Conversation_Paris_1973-08-13_Sanskrit_Prof--Any_Sane_Man_Will--etc.mp3</t>
  </si>
  <si>
    <t>Bg_13-05_PAR_1973-08-13_Even_the_Lion_Has_to_Struggle.mp3</t>
  </si>
  <si>
    <t>https://audio.iskcondesiretree.com/01_-_Srila_Prabhupada/01_-_Lectures/01_-_English/02_-_Month_wise/08_-_August/13/Bg_13-05_PAR_1973-08-13_Even_the_Lion_Has_to_Struggle.mp3</t>
  </si>
  <si>
    <t>RC_PAR_1973-08-13_About_Guru_Maharaji_What_to_Do_etc.mp3</t>
  </si>
  <si>
    <t>https://audio.iskcondesiretree.com/01_-_Srila_Prabhupada/01_-_Lectures/01_-_English/02_-_Month_wise/08_-_August/13/RC_PAR_1973-08-13_About_Guru_Maharaji_What_to_Do_etc.mp3</t>
  </si>
  <si>
    <t>RC_PAR_1973-08-13_French_Nun_First-Class_Mysticism.mp3</t>
  </si>
  <si>
    <t>https://audio.iskcondesiretree.com/01_-_Srila_Prabhupada/01_-_Lectures/01_-_English/02_-_Month_wise/08_-_August/13/RC_PAR_1973-08-13_French_Nun_First-Class_Mysticism.mp3</t>
  </si>
  <si>
    <t>RC_PAR_1973-08-13_Rosicrucians_Vague_Bogus_A_Waste_of_Time.mp3</t>
  </si>
  <si>
    <t>https://audio.iskcondesiretree.com/01_-_Srila_Prabhupada/01_-_Lectures/01_-_English/02_-_Month_wise/08_-_August/13/RC_PAR_1973-08-13_Rosicrucians_Vague_Bogus_A_Waste_of_Time.mp3</t>
  </si>
  <si>
    <t>RC_PAR_1973-08-13_Sanskrit_Prof_Any_Sane_Man_Will_etc.mp3</t>
  </si>
  <si>
    <t>https://audio.iskcondesiretree.com/01_-_Srila_Prabhupada/01_-_Lectures/01_-_English/02_-_Month_wise/08_-_August/13/RC_PAR_1973-08-13_Sanskrit_Prof_Any_Sane_Man_Will_etc.mp3</t>
  </si>
  <si>
    <t>SP_BG_02-09_London_1973-08-15_Satisfying_the_Senses_and_the_Heart.mp3</t>
  </si>
  <si>
    <t>https://audio.iskcondesiretree.com/01_-_Srila_Prabhupada/01_-_Lectures/01_-_English/01_-_Topic_wise/Bhagavad_Gita/Chapter-02/SP_BG_02-09_London_1973-08-15_Satisfying_the_Senses_and_the_Heart.mp3</t>
  </si>
  <si>
    <t>Bg_02-09_LON_1973-08-15_Satisfying_the_Senses_and_the_Heart.mp3</t>
  </si>
  <si>
    <t>https://audio.iskcondesiretree.com/01_-_Srila_Prabhupada/01_-_Lectures/01_-_English/02_-_Month_wise/08_-_August/15/Bg_02-09_LON_1973-08-15_Satisfying_the_Senses_and_the_Heart.mp3</t>
  </si>
  <si>
    <t>SP_BG_02-10_London_1973-08-16_Arjuna_Playing_the_Role_of_a_Rascal.mp3</t>
  </si>
  <si>
    <t>https://audio.iskcondesiretree.com/01_-_Srila_Prabhupada/01_-_Lectures/01_-_English/01_-_Topic_wise/Bhagavad_Gita/Chapter-02/SP_BG_02-10_London_1973-08-16_Arjuna_Playing_the_Role_of_a_Rascal.mp3</t>
  </si>
  <si>
    <t>Bg_02-10_LON_1973-08-16_Arjuna_Playing_the_Role_of_a_Rascal.mp3</t>
  </si>
  <si>
    <t>https://audio.iskcondesiretree.com/01_-_Srila_Prabhupada/01_-_Lectures/01_-_English/02_-_Month_wise/08_-_August/16/Bg_02-10_LON_1973-08-16_Arjuna_Playing_the_Role_of_a_Rascal.mp3</t>
  </si>
  <si>
    <t>SP_BG_02-11_London_1973-08-17_You%27re_Talking_Like_a_Learned--etc.mp3</t>
  </si>
  <si>
    <t>https://audio.iskcondesiretree.com/01_-_Srila_Prabhupada/01_-_Lectures/01_-_English/01_-_Topic_wise/Bhagavad_Gita/Chapter-02/SP_BG_02-11_London_1973-08-17_You%27re_Talking_Like_a_Learned--etc.mp3</t>
  </si>
  <si>
    <t>Bg_02-11_LON_1973-08-17_You%27re_Talking_Like_a_Learned_etc.mp3</t>
  </si>
  <si>
    <t>https://audio.iskcondesiretree.com/01_-_Srila_Prabhupada/01_-_Lectures/01_-_English/02_-_Month_wise/08_-_August/17/Bg_02-11_LON_1973-08-17_You%27re_Talking_Like_a_Learned_etc.mp3</t>
  </si>
  <si>
    <t>SP_BG_02-12_London_1973-08-18_What_Abortionists_Don%27t_Know.mp3</t>
  </si>
  <si>
    <t>https://audio.iskcondesiretree.com/01_-_Srila_Prabhupada/01_-_Lectures/01_-_English/01_-_Topic_wise/Bhagavad_Gita/Chapter-02/SP_BG_02-12_London_1973-08-18_What_Abortionists_Don%27t_Know.mp3</t>
  </si>
  <si>
    <t>Bg_02-12_LON_1973-08-18_What_Abortionists_Don%27t_Know.mp3</t>
  </si>
  <si>
    <t>https://audio.iskcondesiretree.com/01_-_Srila_Prabhupada/01_-_Lectures/01_-_English/02_-_Month_wise/08_-_August/18/Bg_02-12_LON_1973-08-18_What_Abortionists_Don%27t_Know.mp3</t>
  </si>
  <si>
    <t>SP_BG_02-13_London_1973-08-19_I_Am_Not_This_Cage.mp3</t>
  </si>
  <si>
    <t>https://audio.iskcondesiretree.com/01_-_Srila_Prabhupada/01_-_Lectures/01_-_English/01_-_Topic_wise/Bhagavad_Gita/Chapter-02/SP_BG_02-13_London_1973-08-19_I_Am_Not_This_Cage.mp3</t>
  </si>
  <si>
    <t>Bg_02-13_LON_1973-08-19_I_Am_Not_This_Cage.mp3</t>
  </si>
  <si>
    <t>https://audio.iskcondesiretree.com/01_-_Srila_Prabhupada/01_-_Lectures/01_-_English/02_-_Month_wise/08_-_August/19/Bg_02-13_LON_1973-08-19_I_Am_Not_This_Cage.mp3</t>
  </si>
  <si>
    <t>SP_BG_02-14_London_1973-08-20_The_Skin_Disease.mp3</t>
  </si>
  <si>
    <t>https://audio.iskcondesiretree.com/01_-_Srila_Prabhupada/01_-_Lectures/01_-_English/01_-_Topic_wise/Bhagavad_Gita/Chapter-02/SP_BG_02-14_London_1973-08-20_The_Skin_Disease.mp3</t>
  </si>
  <si>
    <t>Bg_02-14_LON_1973-08-20_The_Skin_Disease.mp3</t>
  </si>
  <si>
    <t>https://audio.iskcondesiretree.com/01_-_Srila_Prabhupada/01_-_Lectures/01_-_English/02_-_Month_wise/08_-_August/20/Bg_02-14_LON_1973-08-20_The_Skin_Disease.mp3</t>
  </si>
  <si>
    <t>SP_BG_02-15_London_1973-08-21_Don%27t_Cheat_Others.mp3</t>
  </si>
  <si>
    <t>https://audio.iskcondesiretree.com/01_-_Srila_Prabhupada/01_-_Lectures/01_-_English/01_-_Topic_wise/Bhagavad_Gita/Chapter-02/SP_BG_02-15_London_1973-08-21_Don%27t_Cheat_Others.mp3</t>
  </si>
  <si>
    <t>SP_Festivals_London_1973-08-21_Deity_Installation--Purpose_of--etc.mp3</t>
  </si>
  <si>
    <t>https://audio.iskcondesiretree.com/01_-_Srila_Prabhupada/01_-_Lectures/01_-_English/01_-_Topic_wise/Festivals/SP_Festivals_London_1973-08-21_Deity_Installation--Purpose_of--etc.mp3</t>
  </si>
  <si>
    <t>SP_Festivals_London_1973-08-21_Deity_Installation--Why_Krishna--etc.mp3</t>
  </si>
  <si>
    <t>https://audio.iskcondesiretree.com/01_-_Srila_Prabhupada/01_-_Lectures/01_-_English/01_-_Topic_wise/Festivals/SP_Festivals_London_1973-08-21_Deity_Installation--Why_Krishna--etc.mp3</t>
  </si>
  <si>
    <t>SP_Festivals_London_1973-08-21_Deity_Installation.mp3</t>
  </si>
  <si>
    <t>https://audio.iskcondesiretree.com/01_-_Srila_Prabhupada/01_-_Lectures/01_-_English/01_-_Topic_wise/Festivals/SP_Festivals_London_1973-08-21_Deity_Installation.mp3</t>
  </si>
  <si>
    <t>SP_Festivals_London_1973-08-21_Janmastami.mp3</t>
  </si>
  <si>
    <t>https://audio.iskcondesiretree.com/01_-_Srila_Prabhupada/01_-_Lectures/01_-_English/01_-_Topic_wise/Festivals/SP_Festivals_London_1973-08-21_Janmastami.mp3</t>
  </si>
  <si>
    <t>Bg_02-15_LON_1973-08-21_Don%27t_Cheat_Others.mp3</t>
  </si>
  <si>
    <t>https://audio.iskcondesiretree.com/01_-_Srila_Prabhupada/01_-_Lectures/01_-_English/02_-_Month_wise/08_-_August/21/Bg_02-15_LON_1973-08-21_Don%27t_Cheat_Others.mp3</t>
  </si>
  <si>
    <t>Fest_LON_1973-08-21_Deity_Installation-Purpose_of_etc.mp3</t>
  </si>
  <si>
    <t>https://audio.iskcondesiretree.com/01_-_Srila_Prabhupada/01_-_Lectures/01_-_English/02_-_Month_wise/08_-_August/21/Fest_LON_1973-08-21_Deity_Installation-Purpose_of_etc.mp3</t>
  </si>
  <si>
    <t>Fest_LON_1973-08-21_Deity_Installation.mp3</t>
  </si>
  <si>
    <t>https://audio.iskcondesiretree.com/01_-_Srila_Prabhupada/01_-_Lectures/01_-_English/02_-_Month_wise/08_-_August/21/Fest_LON_1973-08-21_Deity_Installation.mp3</t>
  </si>
  <si>
    <t>Fest_LON_1973-08-21_Deity_Installation_Why_Krishna_etc.mp3</t>
  </si>
  <si>
    <t>https://audio.iskcondesiretree.com/01_-_Srila_Prabhupada/01_-_Lectures/01_-_English/02_-_Month_wise/08_-_August/21/Fest_LON_1973-08-21_Deity_Installation_Why_Krishna_etc.mp3</t>
  </si>
  <si>
    <t>Fest_LON_1973-08-21_Janmastami.mp3</t>
  </si>
  <si>
    <t>https://audio.iskcondesiretree.com/01_-_Srila_Prabhupada/01_-_Lectures/01_-_English/02_-_Month_wise/08_-_August/21/Fest_LON_1973-08-21_Janmastami.mp3</t>
  </si>
  <si>
    <t>SP_BG_02-16_London_1973-08-22_Nonexistent_and_Existent.mp3</t>
  </si>
  <si>
    <t>https://audio.iskcondesiretree.com/01_-_Srila_Prabhupada/01_-_Lectures/01_-_English/01_-_Topic_wise/Bhagavad_Gita/Chapter-02/SP_BG_02-16_London_1973-08-22_Nonexistent_and_Existent.mp3</t>
  </si>
  <si>
    <t>SP_Festivals_London_1973-08-22_Vyasa-puja--Thanks_to_the_Original_Guru.mp3</t>
  </si>
  <si>
    <t>https://audio.iskcondesiretree.com/01_-_Srila_Prabhupada/01_-_Lectures/01_-_English/01_-_Topic_wise/Festivals/SP_Festivals_London_1973-08-22_Vyasa-puja--Thanks_to_the_Original_Guru.mp3</t>
  </si>
  <si>
    <t>SP_Festivals_London_1973-08-22_Vyasa-puja--What_Is_Guru.mp3</t>
  </si>
  <si>
    <t>https://audio.iskcondesiretree.com/01_-_Srila_Prabhupada/01_-_Lectures/01_-_English/01_-_Topic_wise/Festivals/SP_Festivals_London_1973-08-22_Vyasa-puja--What_Is_Guru.mp3</t>
  </si>
  <si>
    <t>Bg_02-16_LON_1973-08-22_Nonexistent_and_Existent.mp3</t>
  </si>
  <si>
    <t>https://audio.iskcondesiretree.com/01_-_Srila_Prabhupada/01_-_Lectures/01_-_English/02_-_Month_wise/08_-_August/22/Bg_02-16_LON_1973-08-22_Nonexistent_and_Existent.mp3</t>
  </si>
  <si>
    <t>Fest_LON_1973-08-22_Vyasa-puja--Thanks_to_the_Original_Guru.mp3</t>
  </si>
  <si>
    <t>https://audio.iskcondesiretree.com/01_-_Srila_Prabhupada/01_-_Lectures/01_-_English/02_-_Month_wise/08_-_August/22/Fest_LON_1973-08-22_Vyasa-puja--Thanks_to_the_Original_Guru.mp3</t>
  </si>
  <si>
    <t>Fest_LON_1973-08-22_Vyasa-puja--What_Is_Guru.mp3</t>
  </si>
  <si>
    <t>https://audio.iskcondesiretree.com/01_-_Srila_Prabhupada/01_-_Lectures/01_-_English/02_-_Month_wise/08_-_August/22/Fest_LON_1973-08-22_Vyasa-puja--What_Is_Guru.mp3</t>
  </si>
  <si>
    <t>SP_BG_02-17_London_1973-08-23_We_Are_Individuals_Eternally.mp3</t>
  </si>
  <si>
    <t>https://audio.iskcondesiretree.com/01_-_Srila_Prabhupada/01_-_Lectures/01_-_English/01_-_Topic_wise/Bhagavad_Gita/Chapter-02/SP_BG_02-17_London_1973-08-23_We_Are_Individuals_Eternally.mp3</t>
  </si>
  <si>
    <t>SP_Lecture_London_1973-08-23_What_Is_Religion.mp3</t>
  </si>
  <si>
    <t>https://audio.iskcondesiretree.com/01_-_Srila_Prabhupada/01_-_Lectures/01_-_English/01_-_Topic_wise/Various/SP_Lecture_London_1973-08-23_What_Is_Religion.mp3</t>
  </si>
  <si>
    <t>Bg_02-17_LON_1973-08-23_We_Are_Individuals_Eternally.mp3</t>
  </si>
  <si>
    <t>https://audio.iskcondesiretree.com/01_-_Srila_Prabhupada/01_-_Lectures/01_-_English/02_-_Month_wise/08_-_August/23/Bg_02-17_LON_1973-08-23_We_Are_Individuals_Eternally.mp3</t>
  </si>
  <si>
    <t>Lect_LON_1973-08-23_What_Is_Religion.mp3</t>
  </si>
  <si>
    <t>https://audio.iskcondesiretree.com/01_-_Srila_Prabhupada/01_-_Lectures/01_-_English/02_-_Month_wise/08_-_August/23/Lect_LON_1973-08-23_What_Is_Religion.mp3</t>
  </si>
  <si>
    <t>SP_BG_02-18_London_1973-08-24_The_Soul_Will_Not_Be_Killed.mp3</t>
  </si>
  <si>
    <t>https://audio.iskcondesiretree.com/01_-_Srila_Prabhupada/01_-_Lectures/01_-_English/01_-_Topic_wise/Bhagavad_Gita/Chapter-02/SP_BG_02-18_London_1973-08-24_The_Soul_Will_Not_Be_Killed.mp3</t>
  </si>
  <si>
    <t>Bg_02-18_LON_1973-08-24_The_Soul_Will_Not_Be_Killed.mp3</t>
  </si>
  <si>
    <t>https://audio.iskcondesiretree.com/01_-_Srila_Prabhupada/01_-_Lectures/01_-_English/02_-_Month_wise/08_-_August/24/Bg_02-18_LON_1973-08-24_The_Soul_Will_Not_Be_Killed.mp3</t>
  </si>
  <si>
    <t>SP_BG_02-19-20_London_1973-08-25_Dogs_and_Cats_Don%27t_Need_Freud.mp3</t>
  </si>
  <si>
    <t>https://audio.iskcondesiretree.com/01_-_Srila_Prabhupada/01_-_Lectures/01_-_English/01_-_Topic_wise/Bhagavad_Gita/Chapter-02/SP_BG_02-19-20_London_1973-08-25_Dogs_and_Cats_Don%27t_Need_Freud.mp3</t>
  </si>
  <si>
    <t>Bg_02-19_LON_1973-08-25_Dogs_and_Cats_Don%27t_Need_Freud.mp3</t>
  </si>
  <si>
    <t>https://audio.iskcondesiretree.com/01_-_Srila_Prabhupada/01_-_Lectures/01_-_English/02_-_Month_wise/08_-_August/25/Bg_02-19_LON_1973-08-25_Dogs_and_Cats_Don%27t_Need_Freud.mp3</t>
  </si>
  <si>
    <t>SP_BG_02-21-22_London_1973-08-26_Your_Body_Is_Ready_Sir--Come%21.mp3</t>
  </si>
  <si>
    <t>https://audio.iskcondesiretree.com/01_-_Srila_Prabhupada/01_-_Lectures/01_-_English/01_-_Topic_wise/Bhagavad_Gita/Chapter-02/SP_BG_02-21-22_London_1973-08-26_Your_Body_Is_Ready_Sir--Come%21.mp3</t>
  </si>
  <si>
    <t>SP_Lecture_London_1973-08-26_The_HK_Movement_What_and_Why.mp3</t>
  </si>
  <si>
    <t>https://audio.iskcondesiretree.com/01_-_Srila_Prabhupada/01_-_Lectures/01_-_English/01_-_Topic_wise/Various/SP_Lecture_London_1973-08-26_The_HK_Movement_What_and_Why.mp3</t>
  </si>
  <si>
    <t>Bg_02-21_LON_1973-08-26_Your_Body_Is_Ready_Sir--Come%21.mp3</t>
  </si>
  <si>
    <t>https://audio.iskcondesiretree.com/01_-_Srila_Prabhupada/01_-_Lectures/01_-_English/02_-_Month_wise/08_-_August/26/Bg_02-21_LON_1973-08-26_Your_Body_Is_Ready_Sir--Come%21.mp3</t>
  </si>
  <si>
    <t>Lect_LON_1973-08-26_The_HK_Movement_What_and_Why.mp3</t>
  </si>
  <si>
    <t>https://audio.iskcondesiretree.com/01_-_Srila_Prabhupada/01_-_Lectures/01_-_English/02_-_Month_wise/08_-_August/26/Lect_LON_1973-08-26_The_HK_Movement_What_and_Why.mp3</t>
  </si>
  <si>
    <t>SP_BG_02-23-24_London_1973-08-27_You_Are_a_Sample_of_Krishna.mp3</t>
  </si>
  <si>
    <t>https://audio.iskcondesiretree.com/01_-_Srila_Prabhupada/01_-_Lectures/01_-_English/01_-_Topic_wise/Bhagavad_Gita/Chapter-02/SP_BG_02-23-24_London_1973-08-27_You_Are_a_Sample_of_Krishna.mp3</t>
  </si>
  <si>
    <t>Bg_02-23_LON_1973-08-27_You_Are_a_Sample_of_Krishna.mp3</t>
  </si>
  <si>
    <t>https://audio.iskcondesiretree.com/01_-_Srila_Prabhupada/01_-_Lectures/01_-_English/02_-_Month_wise/08_-_August/27/Bg_02-23_LON_1973-08-27_You_Are_a_Sample_of_Krishna.mp3</t>
  </si>
  <si>
    <t>SP_BG_02-25_London_1973-08-28_Relieving_Our_Bodily_Burden.mp3</t>
  </si>
  <si>
    <t>https://audio.iskcondesiretree.com/01_-_Srila_Prabhupada/01_-_Lectures/01_-_English/01_-_Topic_wise/Bhagavad_Gita/Chapter-02/SP_BG_02-25_London_1973-08-28_Relieving_Our_Bodily_Burden.mp3</t>
  </si>
  <si>
    <t>Bg_02-25_LON_1973-08-28_Relieving_Our_Bodily_Burden.mp3</t>
  </si>
  <si>
    <t>https://audio.iskcondesiretree.com/01_-_Srila_Prabhupada/01_-_Lectures/01_-_English/02_-_Month_wise/08_-_August/28/Bg_02-25_LON_1973-08-28_Relieving_Our_Bodily_Burden.mp3</t>
  </si>
  <si>
    <t>SP_BG_02-26-27_London_1973-08-29_Why_Lament_Over_Chemicals.mp3</t>
  </si>
  <si>
    <t>https://audio.iskcondesiretree.com/01_-_Srila_Prabhupada/01_-_Lectures/01_-_English/01_-_Topic_wise/Bhagavad_Gita/Chapter-02/SP_BG_02-26-27_London_1973-08-29_Why_Lament_Over_Chemicals.mp3</t>
  </si>
  <si>
    <t>Bg_02-26_LON_1973-08-29_Why_Lament_Over_Chemicals.mp3</t>
  </si>
  <si>
    <t>https://audio.iskcondesiretree.com/01_-_Srila_Prabhupada/01_-_Lectures/01_-_English/02_-_Month_wise/08_-_August/29/Bg_02-26_LON_1973-08-29_Why_Lament_Over_Chemicals.mp3</t>
  </si>
  <si>
    <t>SP_BG_02-28_London_1973-08-30_Materialists--What_Do_They_Know.mp3</t>
  </si>
  <si>
    <t>https://audio.iskcondesiretree.com/01_-_Srila_Prabhupada/01_-_Lectures/01_-_English/01_-_Topic_wise/Bhagavad_Gita/Chapter-02/SP_BG_02-28_London_1973-08-30_Materialists--What_Do_They_Know.mp3</t>
  </si>
  <si>
    <t>SP_Morning_Walk_-_London_1973-08-30_With_Schoolmaster--Keeping_People_in_Darkness.mp3</t>
  </si>
  <si>
    <t>https://audio.iskcondesiretree.com/01_-_Srila_Prabhupada/01_-_Lectures/01_-_English/01_-_Topic_wise/Morning_Walk/SP_Morning_Walk_-_London_1973-08-30_With_Schoolmaster--Keeping_People_in_Darkness.mp3</t>
  </si>
  <si>
    <t>SP_Room_Conversation_London_1973-08-30_Schoolmaster--Everybody_Is_Chanting.mp3</t>
  </si>
  <si>
    <t>https://audio.iskcondesiretree.com/01_-_Srila_Prabhupada/01_-_Lectures/01_-_English/01_-_Topic_wise/Room_Conversation/SP_Room_Conversation_London_1973-08-30_Schoolmaster--Everybody_Is_Chanting.mp3</t>
  </si>
  <si>
    <t>Bg_02-28_LON_1973-08-30_Materialists-What_Do_They_Know.mp3</t>
  </si>
  <si>
    <t>https://audio.iskcondesiretree.com/01_-_Srila_Prabhupada/01_-_Lectures/01_-_English/02_-_Month_wise/08_-_August/30/Bg_02-28_LON_1973-08-30_Materialists-What_Do_They_Know.mp3</t>
  </si>
  <si>
    <t>MW_LON_1973-08-30_With_Schoolmaster-Keeping_People_in_Darkness.mp3</t>
  </si>
  <si>
    <t>https://audio.iskcondesiretree.com/01_-_Srila_Prabhupada/01_-_Lectures/01_-_English/02_-_Month_wise/08_-_August/30/MW_LON_1973-08-30_With_Schoolmaster-Keeping_People_in_Darkness.mp3</t>
  </si>
  <si>
    <t>RC_LON_1973-08-30_Schoolmaster-Everybody_Is_Chanting.mp3</t>
  </si>
  <si>
    <t>https://audio.iskcondesiretree.com/01_-_Srila_Prabhupada/01_-_Lectures/01_-_English/02_-_Month_wise/08_-_August/30/RC_LON_1973-08-30_Schoolmaster-Everybody_Is_Chanting.mp3</t>
  </si>
  <si>
    <t>SP_BG_02-30_London_1973-08-31_Matter_Grows_on_the_Platform_of_Spirit.mp3</t>
  </si>
  <si>
    <t>https://audio.iskcondesiretree.com/01_-_Srila_Prabhupada/01_-_Lectures/01_-_English/01_-_Topic_wise/Bhagavad_Gita/Chapter-02/SP_BG_02-30_London_1973-08-31_Matter_Grows_on_the_Platform_of_Spirit.mp3</t>
  </si>
  <si>
    <t>SP_Room_Conversation_London_1973-08-31_God_Is_One-Is_Religion_Two.mp3</t>
  </si>
  <si>
    <t>https://audio.iskcondesiretree.com/01_-_Srila_Prabhupada/01_-_Lectures/01_-_English/01_-_Topic_wise/Room_Conversation/SP_Room_Conversation_London_1973-08-31_God_Is_One-Is_Religion_Two.mp3</t>
  </si>
  <si>
    <t>Bg_02-30_LON_1973-08-31_Matter_Grows_on_the_Platform_of_Spirit.mp3</t>
  </si>
  <si>
    <t>https://audio.iskcondesiretree.com/01_-_Srila_Prabhupada/01_-_Lectures/01_-_English/02_-_Month_wise/08_-_August/31/Bg_02-30_LON_1973-08-31_Matter_Grows_on_the_Platform_of_Spirit.mp3</t>
  </si>
  <si>
    <t>RC_LON_1973-08-31_God_Is_One-Is_Religion_Two.mp3</t>
  </si>
  <si>
    <t>https://audio.iskcondesiretree.com/01_-_Srila_Prabhupada/01_-_Lectures/01_-_English/02_-_Month_wise/08_-_August/31/RC_LON_1973-08-31_God_Is_One-Is_Religion_Two.mp3</t>
  </si>
  <si>
    <t>SP_BG_02-31_London_1973-09-01_Duties_of_the_Body_and_Soul.mp3</t>
  </si>
  <si>
    <t>https://audio.iskcondesiretree.com/01_-_Srila_Prabhupada/01_-_Lectures/01_-_English/01_-_Topic_wise/Bhagavad_Gita/Chapter-02/SP_BG_02-31_London_1973-09-01_Duties_of_the_Body_and_Soul.mp3</t>
  </si>
  <si>
    <t>SP_Room_Conversation_London_1973-09-01_Radharani_Recommends_to_Krishna.mp3</t>
  </si>
  <si>
    <t>https://audio.iskcondesiretree.com/01_-_Srila_Prabhupada/01_-_Lectures/01_-_English/01_-_Topic_wise/Room_Conversation/SP_Room_Conversation_London_1973-09-01_Radharani_Recommends_to_Krishna.mp3</t>
  </si>
  <si>
    <t>Bg_02-31_LON_1973-09-01_Duties_of_the_Body_and_Soul.mp3</t>
  </si>
  <si>
    <t>https://audio.iskcondesiretree.com/01_-_Srila_Prabhupada/01_-_Lectures/01_-_English/02_-_Month_wise/09_-_September/01/Bg_02-31_LON_1973-09-01_Duties_of_the_Body_and_Soul.mp3</t>
  </si>
  <si>
    <t>RC_LON_1973-09-01_Radharani_Recommends_to_Krishna.mp3</t>
  </si>
  <si>
    <t>https://audio.iskcondesiretree.com/01_-_Srila_Prabhupada/01_-_Lectures/01_-_English/02_-_Month_wise/09_-_September/01/RC_LON_1973-09-01_Radharani_Recommends_to_Krishna.mp3</t>
  </si>
  <si>
    <t>SP_BG_02-32_London_1973-09-02_Government_Must_Be_Very_Strict.mp3</t>
  </si>
  <si>
    <t>https://audio.iskcondesiretree.com/01_-_Srila_Prabhupada/01_-_Lectures/01_-_English/01_-_Topic_wise/Bhagavad_Gita/Chapter-02/SP_BG_02-32_London_1973-09-02_Government_Must_Be_Very_Strict.mp3</t>
  </si>
  <si>
    <t>SP_Room_Conversation_London_1973-09-02_We_Can_Defy_All_the_Rascals.mp3</t>
  </si>
  <si>
    <t>https://audio.iskcondesiretree.com/01_-_Srila_Prabhupada/01_-_Lectures/01_-_English/01_-_Topic_wise/Room_Conversation/SP_Room_Conversation_London_1973-09-02_We_Can_Defy_All_the_Rascals.mp3</t>
  </si>
  <si>
    <t>Bg_02-32_LON_1973-09-02_Government_Must_Be_Very_Strict.mp3</t>
  </si>
  <si>
    <t>https://audio.iskcondesiretree.com/01_-_Srila_Prabhupada/01_-_Lectures/01_-_English/02_-_Month_wise/09_-_September/02/Bg_02-32_LON_1973-09-02_Government_Must_Be_Very_Strict.mp3</t>
  </si>
  <si>
    <t>RC_LON_1973-09-02_We_Can_Defy_All_the_Rascals.mp3</t>
  </si>
  <si>
    <t>https://audio.iskcondesiretree.com/01_-_Srila_Prabhupada/01_-_Lectures/01_-_English/02_-_Month_wise/09_-_September/02/RC_LON_1973-09-02_We_Can_Defy_All_the_Rascals.mp3</t>
  </si>
  <si>
    <t>SP_BG_02-33-35_London_1973-09-03_Dishonor_Is_Worse_than_Death.mp3</t>
  </si>
  <si>
    <t>https://audio.iskcondesiretree.com/01_-_Srila_Prabhupada/01_-_Lectures/01_-_English/01_-_Topic_wise/Bhagavad_Gita/Chapter-02/SP_BG_02-33-35_London_1973-09-03_Dishonor_Is_Worse_than_Death.mp3</t>
  </si>
  <si>
    <t>Bg_02-33_LON_1973-09-03_Dishonor_Is_Worse_than_Death.mp3</t>
  </si>
  <si>
    <t>https://audio.iskcondesiretree.com/01_-_Srila_Prabhupada/01_-_Lectures/01_-_English/02_-_Month_wise/09_-_September/03/Bg_02-33_LON_1973-09-03_Dishonor_Is_Worse_than_Death.mp3</t>
  </si>
  <si>
    <t>SP_BG_02-36-38_London_1973-09-04_Compassion_On_the_Battlefield.mp3</t>
  </si>
  <si>
    <t>https://audio.iskcondesiretree.com/01_-_Srila_Prabhupada/01_-_Lectures/01_-_English/01_-_Topic_wise/Bhagavad_Gita/Chapter-02/SP_BG_02-36-38_London_1973-09-04_Compassion_On_the_Battlefield.mp3</t>
  </si>
  <si>
    <t>Bg_02-36_LON_1973-09-04_Compassion_On_the_Battlefield.mp3</t>
  </si>
  <si>
    <t>https://audio.iskcondesiretree.com/01_-_Srila_Prabhupada/01_-_Lectures/01_-_English/02_-_Month_wise/09_-_September/04/Bg_02-36_LON_1973-09-04_Compassion_On_the_Battlefield.mp3</t>
  </si>
  <si>
    <t>SP_Arrival_Stockholm_1973-09-05_Complete_Freedom.mp3</t>
  </si>
  <si>
    <t>https://audio.iskcondesiretree.com/01_-_Srila_Prabhupada/01_-_Lectures/01_-_English/01_-_Topic_wise/Arrival_Address/SP_Arrival_Stockholm_1973-09-05_Complete_Freedom.mp3</t>
  </si>
  <si>
    <t>SP_Festivals_London_1973-09-05_Appearance_Day_of_Srimati_Radharani.mp3</t>
  </si>
  <si>
    <t>https://audio.iskcondesiretree.com/01_-_Srila_Prabhupada/01_-_Lectures/01_-_English/01_-_Topic_wise/Festivals/SP_Festivals_London_1973-09-05_Appearance_Day_of_Srimati_Radharani.mp3</t>
  </si>
  <si>
    <t>Arr_STO_1973-09-05_Complete_Freedom.mp3</t>
  </si>
  <si>
    <t>https://audio.iskcondesiretree.com/01_-_Srila_Prabhupada/01_-_Lectures/01_-_English/02_-_Month_wise/09_-_September/05/Arr_STO_1973-09-05_Complete_Freedom.mp3</t>
  </si>
  <si>
    <t>Fest_LON_1973-09-05_Appearance_Day_of_Srimati_Radharani.mp3</t>
  </si>
  <si>
    <t>https://audio.iskcondesiretree.com/01_-_Srila_Prabhupada/01_-_Lectures/01_-_English/02_-_Month_wise/09_-_September/05/Fest_LON_1973-09-05_Appearance_Day_of_Srimati_Radharani.mp3</t>
  </si>
  <si>
    <t>SP_SB_5-05-01_Stockholm_1973-09-06_%27Isms%27_Are_Sense_Gratification.mp3</t>
  </si>
  <si>
    <t>https://audio.iskcondesiretree.com/01_-_Srila_Prabhupada/01_-_Lectures/01_-_English/01_-_Topic_wise/Srimad_Bhagavatam/Canto-05/SP_SB_5-05-01_Stockholm_1973-09-06_%27Isms%27_Are_Sense_Gratification.mp3</t>
  </si>
  <si>
    <t>SP_Lecture_Stockholm_1973-09-06_To_Students--Brahma_Samhita.mp3</t>
  </si>
  <si>
    <t>https://audio.iskcondesiretree.com/01_-_Srila_Prabhupada/01_-_Lectures/01_-_English/01_-_Topic_wise/Various/SP_Lecture_Stockholm_1973-09-06_To_Students--Brahma_Samhita.mp3</t>
  </si>
  <si>
    <t>Lect_STO_1973-09-06_To_Students--Brahma_Samhita.mp3</t>
  </si>
  <si>
    <t>https://audio.iskcondesiretree.com/01_-_Srila_Prabhupada/01_-_Lectures/01_-_English/02_-_Month_wise/09_-_September/06/Lect_STO_1973-09-06_To_Students--Brahma_Samhita.mp3</t>
  </si>
  <si>
    <t>SB_5-05-01_STO_1973-09-06_%27Isms%27_Are_Sense_Gratification.mp3</t>
  </si>
  <si>
    <t>https://audio.iskcondesiretree.com/01_-_Srila_Prabhupada/01_-_Lectures/01_-_English/02_-_Month_wise/09_-_September/06/SB_5-05-01_STO_1973-09-06_%27Isms%27_Are_Sense_Gratification.mp3</t>
  </si>
  <si>
    <t>SP_BG_13-01-02_Stockholm_1973-09-07_At_University_Nature_the--etc.mp3</t>
  </si>
  <si>
    <t>https://audio.iskcondesiretree.com/01_-_Srila_Prabhupada/01_-_Lectures/01_-_English/01_-_Topic_wise/Bhagavad_Gita/Chapter-13/SP_BG_13-01-02_Stockholm_1973-09-07_At_University_Nature_the--etc.mp3</t>
  </si>
  <si>
    <t>SP_SB_5-05-01_Stockholm_1973-09-07_Horrible_Civilization-Going_to_Hell.mp3</t>
  </si>
  <si>
    <t>https://audio.iskcondesiretree.com/01_-_Srila_Prabhupada/01_-_Lectures/01_-_English/01_-_Topic_wise/Srimad_Bhagavatam/Canto-05/SP_SB_5-05-01_Stockholm_1973-09-07_Horrible_Civilization-Going_to_Hell.mp3</t>
  </si>
  <si>
    <t>SP_SB_5-05-01_Stockholm_1973-09-07_To_Students--Horrible--etc.mp3</t>
  </si>
  <si>
    <t>https://audio.iskcondesiretree.com/01_-_Srila_Prabhupada/01_-_Lectures/01_-_English/01_-_Topic_wise/Srimad_Bhagavatam/Canto-05/SP_SB_5-05-01_Stockholm_1973-09-07_To_Students--Horrible--etc.mp3</t>
  </si>
  <si>
    <t>SP_Lecture_Stockholm_1973-09-07_To_Students_Classless_Society_Impossible.mp3</t>
  </si>
  <si>
    <t>https://audio.iskcondesiretree.com/01_-_Srila_Prabhupada/01_-_Lectures/01_-_English/01_-_Topic_wise/Various/SP_Lecture_Stockholm_1973-09-07_To_Students_Classless_Society_Impossible.mp3</t>
  </si>
  <si>
    <t>Bg_13-01_STO_1973-09-07_At_University_Nature_the_etc.mp3</t>
  </si>
  <si>
    <t>https://audio.iskcondesiretree.com/01_-_Srila_Prabhupada/01_-_Lectures/01_-_English/02_-_Month_wise/09_-_September/07/Bg_13-01_STO_1973-09-07_At_University_Nature_the_etc.mp3</t>
  </si>
  <si>
    <t>Lect_STO_1973-09-07_To_Students_Classless_Society_Impossible.mp3</t>
  </si>
  <si>
    <t>https://audio.iskcondesiretree.com/01_-_Srila_Prabhupada/01_-_Lectures/01_-_English/02_-_Month_wise/09_-_September/07/Lect_STO_1973-09-07_To_Students_Classless_Society_Impossible.mp3</t>
  </si>
  <si>
    <t>SB_5-05-01_STO_1973-09-07_Horrible_Civilization-Going_to_Hell.mp3</t>
  </si>
  <si>
    <t>https://audio.iskcondesiretree.com/01_-_Srila_Prabhupada/01_-_Lectures/01_-_English/02_-_Month_wise/09_-_September/07/SB_5-05-01_STO_1973-09-07_Horrible_Civilization-Going_to_Hell.mp3</t>
  </si>
  <si>
    <t>SB_5-05-01_STO_1973-09-07_To_Students-Horrible_etc.mp3</t>
  </si>
  <si>
    <t>https://audio.iskcondesiretree.com/01_-_Srila_Prabhupada/01_-_Lectures/01_-_English/02_-_Month_wise/09_-_September/07/SB_5-05-01_STO_1973-09-07_To_Students-Horrible_etc.mp3</t>
  </si>
  <si>
    <t>SP_BG_07-01_Stockholm_1973-09-08_At_University_What_Supreme--etc.mp3</t>
  </si>
  <si>
    <t>https://audio.iskcondesiretree.com/01_-_Srila_Prabhupada/01_-_Lectures/01_-_English/01_-_Topic_wise/Bhagavad_Gita/Chapter-07/SP_BG_07-01_Stockholm_1973-09-08_At_University_What_Supreme--etc.mp3</t>
  </si>
  <si>
    <t>SP_SB_5-05-01_Stockholm_1973-09-08_Leaders_Will_Force_You_to--etc.mp3</t>
  </si>
  <si>
    <t>https://audio.iskcondesiretree.com/01_-_Srila_Prabhupada/01_-_Lectures/01_-_English/01_-_Topic_wise/Srimad_Bhagavatam/Canto-05/SP_SB_5-05-01_Stockholm_1973-09-08_Leaders_Will_Force_You_to--etc.mp3</t>
  </si>
  <si>
    <t>Bg_07-01_STO_1973-09-08_At_University_What_Supreme_etc.mp3</t>
  </si>
  <si>
    <t>https://audio.iskcondesiretree.com/01_-_Srila_Prabhupada/01_-_Lectures/01_-_English/02_-_Month_wise/09_-_September/08/Bg_07-01_STO_1973-09-08_At_University_What_Supreme_etc.mp3</t>
  </si>
  <si>
    <t>SB_5-05-01_STO_1973-09-08_Leaders_Will_Force_You_to_etc.mp3</t>
  </si>
  <si>
    <t>https://audio.iskcondesiretree.com/01_-_Srila_Prabhupada/01_-_Lectures/01_-_English/02_-_Month_wise/09_-_September/08/SB_5-05-01_STO_1973-09-08_Leaders_Will_Force_You_to_etc.mp3</t>
  </si>
  <si>
    <t>SP_SB_5-05-03_Stockholm_1973-09-09_Living_Like_Animals.mp3</t>
  </si>
  <si>
    <t>https://audio.iskcondesiretree.com/01_-_Srila_Prabhupada/01_-_Lectures/01_-_English/01_-_Topic_wise/Srimad_Bhagavatam/Canto-05/SP_SB_5-05-03_Stockholm_1973-09-09_Living_Like_Animals.mp3</t>
  </si>
  <si>
    <t>SP_Lecture_Stockholm_1973-09-09_To_Students_on--etc.mp3</t>
  </si>
  <si>
    <t>https://audio.iskcondesiretree.com/01_-_Srila_Prabhupada/01_-_Lectures/01_-_English/01_-_Topic_wise/Various/SP_Lecture_Stockholm_1973-09-09_To_Students_on--etc.mp3</t>
  </si>
  <si>
    <t>Lect_STO_1973-09-09_To_Students_on_etc.mp3</t>
  </si>
  <si>
    <t>https://audio.iskcondesiretree.com/01_-_Srila_Prabhupada/01_-_Lectures/01_-_English/02_-_Month_wise/09_-_September/09/Lect_STO_1973-09-09_To_Students_on_etc.mp3</t>
  </si>
  <si>
    <t>SB_5-05-03_STO_1973-09-09_Living_Like_Animals.mp3</t>
  </si>
  <si>
    <t>https://audio.iskcondesiretree.com/01_-_Srila_Prabhupada/01_-_Lectures/01_-_English/02_-_Month_wise/09_-_September/09/SB_5-05-03_STO_1973-09-09_Living_Like_Animals.mp3</t>
  </si>
  <si>
    <t>SP_BG_07-01-03_Stockholm_1973-09-10_Nothing_More_to_Be_Known.mp3</t>
  </si>
  <si>
    <t>https://audio.iskcondesiretree.com/01_-_Srila_Prabhupada/01_-_Lectures/01_-_English/01_-_Topic_wise/Bhagavad_Gita/Chapter-07/SP_BG_07-01-03_Stockholm_1973-09-10_Nothing_More_to_Be_Known.mp3</t>
  </si>
  <si>
    <t>SP_Room_Conversation_Stockholm_1973-09-10_Psychiatrist--Ours_Is_a_Psychiatric_Movement.mp3</t>
  </si>
  <si>
    <t>https://audio.iskcondesiretree.com/01_-_Srila_Prabhupada/01_-_Lectures/01_-_English/01_-_Topic_wise/Room_Conversation/SP_Room_Conversation_Stockholm_1973-09-10_Psychiatrist--Ours_Is_a_Psychiatric_Movement.mp3</t>
  </si>
  <si>
    <t>SP_SB_5-05-01_Stockholm_1973-09-10_In_Ignorance_All_Is_Defeat.mp3</t>
  </si>
  <si>
    <t>https://audio.iskcondesiretree.com/01_-_Srila_Prabhupada/01_-_Lectures/01_-_English/01_-_Topic_wise/Srimad_Bhagavatam/Canto-05/SP_SB_5-05-01_Stockholm_1973-09-10_In_Ignorance_All_Is_Defeat.mp3</t>
  </si>
  <si>
    <t>Bg_07-01_STO_1973-09-10_Nothing_More_to_Be_Known.mp3</t>
  </si>
  <si>
    <t>https://audio.iskcondesiretree.com/01_-_Srila_Prabhupada/01_-_Lectures/01_-_English/02_-_Month_wise/09_-_September/10/Bg_07-01_STO_1973-09-10_Nothing_More_to_Be_Known.mp3</t>
  </si>
  <si>
    <t>RC_STO_1973-09-10_Psychiatrist-Ours_Is_a_Psychiatric_Movement.mp3</t>
  </si>
  <si>
    <t>https://audio.iskcondesiretree.com/01_-_Srila_Prabhupada/01_-_Lectures/01_-_English/02_-_Month_wise/09_-_September/10/RC_STO_1973-09-10_Psychiatrist-Ours_Is_a_Psychiatric_Movement.mp3</t>
  </si>
  <si>
    <t>SB_5-05-01_STO_1973-09-10_In_Ignorance_All_Is_Defeat.mp3</t>
  </si>
  <si>
    <t>https://audio.iskcondesiretree.com/01_-_Srila_Prabhupada/01_-_Lectures/01_-_English/02_-_Month_wise/09_-_September/10/SB_5-05-01_STO_1973-09-10_In_Ignorance_All_Is_Defeat.mp3</t>
  </si>
  <si>
    <t>SP_BG_02-39_London_1973-09-12_Supreme_Deceiver_and_Lover.mp3</t>
  </si>
  <si>
    <t>https://audio.iskcondesiretree.com/01_-_Srila_Prabhupada/01_-_Lectures/01_-_English/01_-_Topic_wise/Bhagavad_Gita/Chapter-02/SP_BG_02-39_London_1973-09-12_Supreme_Deceiver_and_Lover.mp3</t>
  </si>
  <si>
    <t>SP_SB_1-05-11_London_1973-09-12_Great_Books_for_a_Gross_Age.mp3</t>
  </si>
  <si>
    <t>https://audio.iskcondesiretree.com/01_-_Srila_Prabhupada/01_-_Lectures/01_-_English/01_-_Topic_wise/Srimad_Bhagavatam/Canto-01/SP_SB_1-05-11_London_1973-09-12_Great_Books_for_a_Gross_Age.mp3</t>
  </si>
  <si>
    <t>Bg_02-39_LON_1973-09-12_Supreme_Deceiver_and_Lover.mp3</t>
  </si>
  <si>
    <t>https://audio.iskcondesiretree.com/01_-_Srila_Prabhupada/01_-_Lectures/01_-_English/02_-_Month_wise/09_-_September/12/Bg_02-39_LON_1973-09-12_Supreme_Deceiver_and_Lover.mp3</t>
  </si>
  <si>
    <t>SB_1-05-11_LON_1973-09-12_Great_Books_for_a_Gross_Age.mp3</t>
  </si>
  <si>
    <t>https://audio.iskcondesiretree.com/01_-_Srila_Prabhupada/01_-_Lectures/01_-_English/02_-_Month_wise/09_-_September/12/SB_1-05-11_LON_1973-09-12_Great_Books_for_a_Gross_Age.mp3</t>
  </si>
  <si>
    <t>SP_BG_13-01_Bombay_1973-09-24_Material_Happiness_Is_Not_All.mp3</t>
  </si>
  <si>
    <t>https://audio.iskcondesiretree.com/01_-_Srila_Prabhupada/01_-_Lectures/01_-_English/01_-_Topic_wise/Bhagavad_Gita/Chapter-13/SP_BG_13-01_Bombay_1973-09-24_Material_Happiness_Is_Not_All.mp3</t>
  </si>
  <si>
    <t>Bg_13-01_BOM_1973-09-24_Material_Happiness_Is_Not_All.mp3</t>
  </si>
  <si>
    <t>https://audio.iskcondesiretree.com/01_-_Srila_Prabhupada/01_-_Lectures/01_-_English/02_-_Month_wise/09_-_September/24/Bg_13-01_BOM_1973-09-24_Material_Happiness_Is_Not_All.mp3</t>
  </si>
  <si>
    <t>SP_BG_13-01-02_Bombay_1973-09-25_Knowing_Self_Bodily_%27Land%27--etc.mp3</t>
  </si>
  <si>
    <t>https://audio.iskcondesiretree.com/01_-_Srila_Prabhupada/01_-_Lectures/01_-_English/01_-_Topic_wise/Bhagavad_Gita/Chapter-13/SP_BG_13-01-02_Bombay_1973-09-25_Knowing_Self_Bodily_%27Land%27--etc.mp3</t>
  </si>
  <si>
    <t>SP_BG_13-01_Bombay_1973-09-25_Knowing_Self_Bodily_%27Land%27--etc.mp3</t>
  </si>
  <si>
    <t>https://audio.iskcondesiretree.com/01_-_Srila_Prabhupada/01_-_Lectures/01_-_English/01_-_Topic_wise/Bhagavad_Gita/Chapter-13/SP_BG_13-01_Bombay_1973-09-25_Knowing_Self_Bodily_%27Land%27--etc.mp3</t>
  </si>
  <si>
    <t>SP_Lecture_Bombay_1973-09-25_To_Lifemembers--Goloka_Vrindavan_Is_Everywhere.mp3</t>
  </si>
  <si>
    <t>https://audio.iskcondesiretree.com/01_-_Srila_Prabhupada/01_-_Lectures/01_-_English/01_-_Topic_wise/Various/SP_Lecture_Bombay_1973-09-25_To_Lifemembers--Goloka_Vrindavan_Is_Everywhere.mp3</t>
  </si>
  <si>
    <t>Bg_13-01_BOM_1973-09-25_Knowing_Self%2C_Bodily_Land_etc.mp3</t>
  </si>
  <si>
    <t>https://audio.iskcondesiretree.com/01_-_Srila_Prabhupada/01_-_Lectures/01_-_English/02_-_Month_wise/09_-_September/25/Bg_13-01_BOM_1973-09-25_Knowing_Self%2C_Bodily_Land_etc.mp3</t>
  </si>
  <si>
    <t>Lect_BOM_1973-09-25_To_Lifemembers-Goloka_VRN_Is_Everywhere.mp3</t>
  </si>
  <si>
    <t>https://audio.iskcondesiretree.com/01_-_Srila_Prabhupada/01_-_Lectures/01_-_English/02_-_Month_wise/09_-_September/25/Lect_BOM_1973-09-25_To_Lifemembers-Goloka_VRN_Is_Everywhere.mp3</t>
  </si>
  <si>
    <t>SP_BG_13-03_Bombay_1973-09-26_Forgotten_That_We_Are_Spirit.mp3</t>
  </si>
  <si>
    <t>https://audio.iskcondesiretree.com/01_-_Srila_Prabhupada/01_-_Lectures/01_-_English/01_-_Topic_wise/Bhagavad_Gita/Chapter-13/SP_BG_13-03_Bombay_1973-09-26_Forgotten_That_We_Are_Spirit.mp3</t>
  </si>
  <si>
    <t>Bg_13-03_BOM_1973-09-26_Forgotten_That_We_Are_Spirit.mp3</t>
  </si>
  <si>
    <t>https://audio.iskcondesiretree.com/01_-_Srila_Prabhupada/01_-_Lectures/01_-_English/02_-_Month_wise/09_-_September/26/Bg_13-03_BOM_1973-09-26_Forgotten_That_We_Are_Spirit.mp3</t>
  </si>
  <si>
    <t>SP_BG_13-04_Bombay_1973-09-27_The_Witness_and_the_Wanderer.mp3</t>
  </si>
  <si>
    <t>https://audio.iskcondesiretree.com/01_-_Srila_Prabhupada/01_-_Lectures/01_-_English/01_-_Topic_wise/Bhagavad_Gita/Chapter-13/SP_BG_13-04_Bombay_1973-09-27_The_Witness_and_the_Wanderer.mp3</t>
  </si>
  <si>
    <t>Bg_13-04_BOM_1973-09-27_The_Witness_and_the_Wanderer.mp3</t>
  </si>
  <si>
    <t>https://audio.iskcondesiretree.com/01_-_Srila_Prabhupada/01_-_Lectures/01_-_English/02_-_Month_wise/09_-_September/27/Bg_13-04_BOM_1973-09-27_The_Witness_and_the_Wanderer.mp3</t>
  </si>
  <si>
    <t>SP_BG_13-05_Bombay_1973-09-28_The_Process_of_Progress.mp3</t>
  </si>
  <si>
    <t>https://audio.iskcondesiretree.com/01_-_Srila_Prabhupada/01_-_Lectures/01_-_English/01_-_Topic_wise/Bhagavad_Gita/Chapter-13/SP_BG_13-05_Bombay_1973-09-28_The_Process_of_Progress.mp3</t>
  </si>
  <si>
    <t>Bg_13-05_BOM_1973-09-28_The_Process_of_Progress.mp3</t>
  </si>
  <si>
    <t>https://audio.iskcondesiretree.com/01_-_Srila_Prabhupada/01_-_Lectures/01_-_English/02_-_Month_wise/09_-_September/28/Bg_13-05_BOM_1973-09-28_The_Process_of_Progress.mp3</t>
  </si>
  <si>
    <t>SP_BG_13-06-07_Bombay_1973-09-29_Surrender_to_the_Supreme_Person.mp3</t>
  </si>
  <si>
    <t>https://audio.iskcondesiretree.com/01_-_Srila_Prabhupada/01_-_Lectures/01_-_English/01_-_Topic_wise/Bhagavad_Gita/Chapter-13/SP_BG_13-06-07_Bombay_1973-09-29_Surrender_to_the_Supreme_Person.mp3</t>
  </si>
  <si>
    <t>SP_BG_13-06_Bombay_1973-09-29_Nothing_Is_Material.mp3</t>
  </si>
  <si>
    <t>https://audio.iskcondesiretree.com/01_-_Srila_Prabhupada/01_-_Lectures/01_-_English/01_-_Topic_wise/Bhagavad_Gita/Chapter-13/SP_BG_13-06_Bombay_1973-09-29_Nothing_Is_Material.mp3</t>
  </si>
  <si>
    <t>Bg_13-06_BOM_1973-09-29_Nothing_Is_Material.mp3</t>
  </si>
  <si>
    <t>https://audio.iskcondesiretree.com/01_-_Srila_Prabhupada/01_-_Lectures/01_-_English/02_-_Month_wise/09_-_September/29/Bg_13-06_BOM_1973-09-29_Nothing_Is_Material.mp3</t>
  </si>
  <si>
    <t>Bg_13-08_BOM_1973-09-30_Surrender_to_the_Supreme_Person.mp3</t>
  </si>
  <si>
    <t>https://audio.iskcondesiretree.com/01_-_Srila_Prabhupada/01_-_Lectures/01_-_English/02_-_Month_wise/09_-_September/30/Bg_13-08_BOM_1973-09-30_Surrender_to_the_Supreme_Person.mp3</t>
  </si>
  <si>
    <t>SP_BG_13-08-12_Bombay_1973-10-02_How_to_Go_Beyond_Your_Destiny.mp3</t>
  </si>
  <si>
    <t>https://audio.iskcondesiretree.com/01_-_Srila_Prabhupada/01_-_Lectures/01_-_English/01_-_Topic_wise/Bhagavad_Gita/Chapter-13/SP_BG_13-08-12_Bombay_1973-10-02_How_to_Go_Beyond_Your_Destiny.mp3</t>
  </si>
  <si>
    <t>Bg_13-08_BOM_1973-10-02_How_to_Go_Beyond_Your_Destiny.mp3</t>
  </si>
  <si>
    <t>https://audio.iskcondesiretree.com/01_-_Srila_Prabhupada/01_-_Lectures/01_-_English/02_-_Month_wise/10_-_October/02/Bg_13-08_BOM_1973-10-02_How_to_Go_Beyond_Your_Destiny.mp3</t>
  </si>
  <si>
    <t>SP_Room_Conversation_Bombay_1973-10-04_Evolving_Toward_Perfection.mp3</t>
  </si>
  <si>
    <t>https://audio.iskcondesiretree.com/01_-_Srila_Prabhupada/01_-_Lectures/01_-_English/01_-_Topic_wise/Room_Conversation/SP_Room_Conversation_Bombay_1973-10-04_Evolving_Toward_Perfection.mp3</t>
  </si>
  <si>
    <t>RC_BOM_1973-10-04_Evolving_Toward_Perfection.mp3</t>
  </si>
  <si>
    <t>https://audio.iskcondesiretree.com/01_-_Srila_Prabhupada/01_-_Lectures/01_-_English/02_-_Month_wise/10_-_October/04/RC_BOM_1973-10-04_Evolving_Toward_Perfection.mp3</t>
  </si>
  <si>
    <t>SP_BG_13-08_Bombay_1973-10-05_You_Have_to_Approach_an_Acarya.mp3</t>
  </si>
  <si>
    <t>https://audio.iskcondesiretree.com/01_-_Srila_Prabhupada/01_-_Lectures/01_-_English/01_-_Topic_wise/Bhagavad_Gita/Chapter-13/SP_BG_13-08_Bombay_1973-10-05_You_Have_to_Approach_an_Acarya.mp3</t>
  </si>
  <si>
    <t>Bg_13-08_BOM_1973-10-05_You_Have_to_Approach_an_Acarya.mp3</t>
  </si>
  <si>
    <t>https://audio.iskcondesiretree.com/01_-_Srila_Prabhupada/01_-_Lectures/01_-_English/02_-_Month_wise/10_-_October/05/Bg_13-08_BOM_1973-10-05_You_Have_to_Approach_an_Acarya.mp3</t>
  </si>
  <si>
    <t>SP_BG_13-13_Bombay_1973-10-06_Clutches_of_Birth_and_Death.mp3</t>
  </si>
  <si>
    <t>https://audio.iskcondesiretree.com/01_-_Srila_Prabhupada/01_-_Lectures/01_-_English/01_-_Topic_wise/Bhagavad_Gita/Chapter-13/SP_BG_13-13_Bombay_1973-10-06_Clutches_of_Birth_and_Death.mp3</t>
  </si>
  <si>
    <t>Bg_13-13_BOM_1973-10-06_Clutches_of_Birth_and_Death.mp3</t>
  </si>
  <si>
    <t>https://audio.iskcondesiretree.com/01_-_Srila_Prabhupada/01_-_Lectures/01_-_English/02_-_Month_wise/10_-_October/06/Bg_13-13_BOM_1973-10-06_Clutches_of_Birth_and_Death.mp3</t>
  </si>
  <si>
    <t>SP_BG_13-14_Bombay_1973-10-07_Nondevotees_Miss_the_Object.mp3</t>
  </si>
  <si>
    <t>https://audio.iskcondesiretree.com/01_-_Srila_Prabhupada/01_-_Lectures/01_-_English/01_-_Topic_wise/Bhagavad_Gita/Chapter-13/SP_BG_13-14_Bombay_1973-10-07_Nondevotees_Miss_the_Object.mp3</t>
  </si>
  <si>
    <t>Bg_13-14_BOM_1973-10-07_Nondevotees_Miss_the_Object.mp3</t>
  </si>
  <si>
    <t>https://audio.iskcondesiretree.com/01_-_Srila_Prabhupada/01_-_Lectures/01_-_English/02_-_Month_wise/10_-_October/07/Bg_13-14_BOM_1973-10-07_Nondevotees_Miss_the_Object.mp3</t>
  </si>
  <si>
    <t>SP_BG_13-15_Bombay_1973-10-09_God_Has_No_Material_Body.mp3</t>
  </si>
  <si>
    <t>https://audio.iskcondesiretree.com/01_-_Srila_Prabhupada/01_-_Lectures/01_-_English/01_-_Topic_wise/Bhagavad_Gita/Chapter-13/SP_BG_13-15_Bombay_1973-10-09_God_Has_No_Material_Body.mp3</t>
  </si>
  <si>
    <t>Bg_13-15_BOM_1973-10-09_God_Has_No_Material_Body.mp3</t>
  </si>
  <si>
    <t>https://audio.iskcondesiretree.com/01_-_Srila_Prabhupada/01_-_Lectures/01_-_English/02_-_Month_wise/10_-_October/09/Bg_13-15_BOM_1973-10-09_God_Has_No_Material_Body.mp3</t>
  </si>
  <si>
    <t>SP_BG_13-16_Bombay_1973-10-10_The_Supreme_Truth_Is_a_Person.mp3</t>
  </si>
  <si>
    <t>https://audio.iskcondesiretree.com/01_-_Srila_Prabhupada/01_-_Lectures/01_-_English/01_-_Topic_wise/Bhagavad_Gita/Chapter-13/SP_BG_13-16_Bombay_1973-10-10_The_Supreme_Truth_Is_a_Person.mp3</t>
  </si>
  <si>
    <t>Bg_13-16_BOM_1973-10-10_The_Supreme_Truth_Is_a_Person.mp3</t>
  </si>
  <si>
    <t>https://audio.iskcondesiretree.com/01_-_Srila_Prabhupada/01_-_Lectures/01_-_English/02_-_Month_wise/10_-_October/10/Bg_13-16_BOM_1973-10-10_The_Supreme_Truth_Is_a_Person.mp3</t>
  </si>
  <si>
    <t>SP_BG_13-17_Bombay_1973-10-11_Krishna_Is_Everywhere_in_Full.mp3</t>
  </si>
  <si>
    <t>https://audio.iskcondesiretree.com/01_-_Srila_Prabhupada/01_-_Lectures/01_-_English/01_-_Topic_wise/Bhagavad_Gita/Chapter-13/SP_BG_13-17_Bombay_1973-10-11_Krishna_Is_Everywhere_in_Full.mp3</t>
  </si>
  <si>
    <t>Bg_13-17_BOM_1973-10-11_Krishna_Is_Everywhere_in_Full.mp3</t>
  </si>
  <si>
    <t>https://audio.iskcondesiretree.com/01_-_Srila_Prabhupada/01_-_Lectures/01_-_English/02_-_Month_wise/10_-_October/11/Bg_13-17_BOM_1973-10-11_Krishna_Is_Everywhere_in_Full.mp3</t>
  </si>
  <si>
    <t>SP_BG_13-18_Bombay_1973-10-12_Universal_Effulgence_of_Krishna.mp3</t>
  </si>
  <si>
    <t>https://audio.iskcondesiretree.com/01_-_Srila_Prabhupada/01_-_Lectures/01_-_English/01_-_Topic_wise/Bhagavad_Gita/Chapter-13/SP_BG_13-18_Bombay_1973-10-12_Universal_Effulgence_of_Krishna.mp3</t>
  </si>
  <si>
    <t>Bg_13-18_BOM_1973-10-12_Universal_Effulgence_of_Krishna.mp3</t>
  </si>
  <si>
    <t>https://audio.iskcondesiretree.com/01_-_Srila_Prabhupada/01_-_Lectures/01_-_English/02_-_Month_wise/10_-_October/12/Bg_13-18_BOM_1973-10-12_Universal_Effulgence_of_Krishna.mp3</t>
  </si>
  <si>
    <t>SP_BG_13-19_Bombay_1973-10-13_Object_of_Knowledge.mp3</t>
  </si>
  <si>
    <t>https://audio.iskcondesiretree.com/01_-_Srila_Prabhupada/01_-_Lectures/01_-_English/01_-_Topic_wise/Bhagavad_Gita/Chapter-13/SP_BG_13-19_Bombay_1973-10-13_Object_of_Knowledge.mp3</t>
  </si>
  <si>
    <t>Bg_13-19_BOM_1973-10-13_Object_of_Knowledge.mp3</t>
  </si>
  <si>
    <t>https://audio.iskcondesiretree.com/01_-_Srila_Prabhupada/01_-_Lectures/01_-_English/02_-_Month_wise/10_-_October/13/Bg_13-19_BOM_1973-10-13_Object_of_Knowledge.mp3</t>
  </si>
  <si>
    <t>SP_BG_13-20_Bombay_1973-10-14_The_Enjoying_Spirit.mp3</t>
  </si>
  <si>
    <t>https://audio.iskcondesiretree.com/01_-_Srila_Prabhupada/01_-_Lectures/01_-_English/01_-_Topic_wise/Bhagavad_Gita/Chapter-13/SP_BG_13-20_Bombay_1973-10-14_The_Enjoying_Spirit.mp3</t>
  </si>
  <si>
    <t>Bg_13-20_BOM_1973-10-14_The_Enjoying_Spirit.mp3</t>
  </si>
  <si>
    <t>https://audio.iskcondesiretree.com/01_-_Srila_Prabhupada/01_-_Lectures/01_-_English/02_-_Month_wise/10_-_October/14/Bg_13-20_BOM_1973-10-14_The_Enjoying_Spirit.mp3</t>
  </si>
  <si>
    <t>SP_BG_13-21_Bombay_1973-10-15_An_Abominable_Body.mp3</t>
  </si>
  <si>
    <t>https://audio.iskcondesiretree.com/01_-_Srila_Prabhupada/01_-_Lectures/01_-_English/01_-_Topic_wise/Bhagavad_Gita/Chapter-13/SP_BG_13-21_Bombay_1973-10-15_An_Abominable_Body.mp3</t>
  </si>
  <si>
    <t>Bg_13-21_BOM_1973-10-15_An_Abominable_Body.mp3</t>
  </si>
  <si>
    <t>https://audio.iskcondesiretree.com/01_-_Srila_Prabhupada/01_-_Lectures/01_-_English/02_-_Month_wise/10_-_October/15/Bg_13-21_BOM_1973-10-15_An_Abominable_Body.mp3</t>
  </si>
  <si>
    <t>SP_Lecture_Bombay_1973-10-18_At_Bharati_Vidya_Bhavan.mp3</t>
  </si>
  <si>
    <t>https://audio.iskcondesiretree.com/01_-_Srila_Prabhupada/01_-_Lectures/01_-_English/01_-_Topic_wise/Various/SP_Lecture_Bombay_1973-10-18_At_Bharati_Vidya_Bhavan.mp3</t>
  </si>
  <si>
    <t>Lect_BOM_1973-10-18_At_Bharati_Vidya_Bhavan.mp3</t>
  </si>
  <si>
    <t>https://audio.iskcondesiretree.com/01_-_Srila_Prabhupada/01_-_Lectures/01_-_English/02_-_Month_wise/10_-_October/18/Lect_BOM_1973-10-18_At_Bharati_Vidya_Bhavan.mp3</t>
  </si>
  <si>
    <t>SP_BG_13-22_Bombay_1973-10-20_Through_the_Modes_of_Nature.mp3</t>
  </si>
  <si>
    <t>https://audio.iskcondesiretree.com/01_-_Srila_Prabhupada/01_-_Lectures/01_-_English/01_-_Topic_wise/Bhagavad_Gita/Chapter-13/SP_BG_13-22_Bombay_1973-10-20_Through_the_Modes_of_Nature.mp3</t>
  </si>
  <si>
    <t>Bg_13-22_BOM_1973-10-20_Through_the_Modes_of_Nature.mp3</t>
  </si>
  <si>
    <t>https://audio.iskcondesiretree.com/01_-_Srila_Prabhupada/01_-_Lectures/01_-_English/02_-_Month_wise/10_-_October/20/Bg_13-22_BOM_1973-10-20_Through_the_Modes_of_Nature.mp3</t>
  </si>
  <si>
    <t>SP_BG_13-23_Bombay_1973-10-22_How_to_Understand_the_Overseer.mp3</t>
  </si>
  <si>
    <t>https://audio.iskcondesiretree.com/01_-_Srila_Prabhupada/01_-_Lectures/01_-_English/01_-_Topic_wise/Bhagavad_Gita/Chapter-13/SP_BG_13-23_Bombay_1973-10-22_How_to_Understand_the_Overseer.mp3</t>
  </si>
  <si>
    <t>Bg_13-23_BOM_1973-10-22_How_to_Understand_the_Overseer.mp3</t>
  </si>
  <si>
    <t>https://audio.iskcondesiretree.com/01_-_Srila_Prabhupada/01_-_Lectures/01_-_English/02_-_Month_wise/10_-_October/22/Bg_13-23_BOM_1973-10-22_How_to_Understand_the_Overseer.mp3</t>
  </si>
  <si>
    <t>SP_BG_13-24_Bombay_1973-10-23_Solving_the_Problems_of_Life.mp3</t>
  </si>
  <si>
    <t>https://audio.iskcondesiretree.com/01_-_Srila_Prabhupada/01_-_Lectures/01_-_English/01_-_Topic_wise/Bhagavad_Gita/Chapter-13/SP_BG_13-24_Bombay_1973-10-23_Solving_the_Problems_of_Life.mp3</t>
  </si>
  <si>
    <t>Bg_13-24_BOM_1973-10-23_Solving_the_Problems_of_Life.mp3</t>
  </si>
  <si>
    <t>https://audio.iskcondesiretree.com/01_-_Srila_Prabhupada/01_-_Lectures/01_-_English/02_-_Month_wise/10_-_October/23/Bg_13-24_BOM_1973-10-23_Solving_the_Problems_of_Life.mp3</t>
  </si>
  <si>
    <t>SP_BG_13-26_Bombay_1973-10-25_Birth_and_Death-_Transcending--etc.mp3</t>
  </si>
  <si>
    <t>https://audio.iskcondesiretree.com/01_-_Srila_Prabhupada/01_-_Lectures/01_-_English/01_-_Topic_wise/Bhagavad_Gita/Chapter-13/SP_BG_13-26_Bombay_1973-10-25_Birth_and_Death-_Transcending--etc.mp3</t>
  </si>
  <si>
    <t>Bg_13-26_BOM_1973-10-25_Birth_and_Death_Transcending_etc.mp3</t>
  </si>
  <si>
    <t>https://audio.iskcondesiretree.com/01_-_Srila_Prabhupada/01_-_Lectures/01_-_English/02_-_Month_wise/10_-_October/25/Bg_13-26_BOM_1973-10-25_Birth_and_Death_Transcending_etc.mp3</t>
  </si>
  <si>
    <t>SP_Room_Conversation_Bombay_1973-10-26_At_Airport--That_Is_Not_Perfection.mp3</t>
  </si>
  <si>
    <t>https://audio.iskcondesiretree.com/01_-_Srila_Prabhupada/01_-_Lectures/01_-_English/01_-_Topic_wise/Room_Conversation/SP_Room_Conversation_Bombay_1973-10-26_At_Airport--That_Is_Not_Perfection.mp3</t>
  </si>
  <si>
    <t>RC_BOM_1973-10-26_At_Airport-That_Is_Not_Perfection.mp3</t>
  </si>
  <si>
    <t>https://audio.iskcondesiretree.com/01_-_Srila_Prabhupada/01_-_Lectures/01_-_English/02_-_Month_wise/10_-_October/26/RC_BOM_1973-10-26_At_Airport-That_Is_Not_Perfection.mp3</t>
  </si>
  <si>
    <t>Chapter-15</t>
  </si>
  <si>
    <t>SP_BG_15-01_Bombay_1973-10-28_See_Spiritual_Identity_Everywhere.mp3</t>
  </si>
  <si>
    <t>https://audio.iskcondesiretree.com/01_-_Srila_Prabhupada/01_-_Lectures/01_-_English/01_-_Topic_wise/Bhagavad_Gita/Chapter-15/SP_BG_15-01_Bombay_1973-10-28_See_Spiritual_Identity_Everywhere.mp3</t>
  </si>
  <si>
    <t>Bg_15-01_BOM_1973-10-28_See_Spiritual_Identity_Everywhere.mp3</t>
  </si>
  <si>
    <t>https://audio.iskcondesiretree.com/01_-_Srila_Prabhupada/01_-_Lectures/01_-_English/02_-_Month_wise/10_-_October/28/Bg_15-01_BOM_1973-10-28_See_Spiritual_Identity_Everywhere.mp3</t>
  </si>
  <si>
    <t>SP_Room_Conversation_Vrindavan_1973-10-31_Glories_of_the_Supreme_Lord.mp3</t>
  </si>
  <si>
    <t>https://audio.iskcondesiretree.com/01_-_Srila_Prabhupada/01_-_Lectures/01_-_English/01_-_Topic_wise/Room_Conversation/SP_Room_Conversation_Vrindavan_1973-10-31_Glories_of_the_Supreme_Lord.mp3</t>
  </si>
  <si>
    <t>RC_VRN_1973-10-31_Glories_of_the_Supreme_Lord.mp3</t>
  </si>
  <si>
    <t>https://audio.iskcondesiretree.com/01_-_Srila_Prabhupada/01_-_Lectures/01_-_English/02_-_Month_wise/10_-_October/31/RC_VRN_1973-10-31_Glories_of_the_Supreme_Lord.mp3</t>
  </si>
  <si>
    <t>SP_Room_Conversation_Delhi_1973-11-01_These_Miseries_Will_Follow_You.mp3</t>
  </si>
  <si>
    <t>https://audio.iskcondesiretree.com/01_-_Srila_Prabhupada/01_-_Lectures/01_-_English/01_-_Topic_wise/Room_Conversation/SP_Room_Conversation_Delhi_1973-11-01_These_Miseries_Will_Follow_You.mp3</t>
  </si>
  <si>
    <t>RC_DEL_1973-11-01_These_Miseries_Will_Follow_You.mp3</t>
  </si>
  <si>
    <t>https://audio.iskcondesiretree.com/01_-_Srila_Prabhupada/01_-_Lectures/01_-_English/02_-_Month_wise/11_-_November/01/RC_DEL_1973-11-01_These_Miseries_Will_Follow_You.mp3</t>
  </si>
  <si>
    <t>SP_Room_Conversation_Delhi_1973-11-02_High_Words_Will_Not_Do.mp3</t>
  </si>
  <si>
    <t>https://audio.iskcondesiretree.com/01_-_Srila_Prabhupada/01_-_Lectures/01_-_English/01_-_Topic_wise/Room_Conversation/SP_Room_Conversation_Delhi_1973-11-02_High_Words_Will_Not_Do.mp3</t>
  </si>
  <si>
    <t>RC_DEL_1973-11-02_High_Words_Will_Not_Do.mp3</t>
  </si>
  <si>
    <t>https://audio.iskcondesiretree.com/01_-_Srila_Prabhupada/01_-_Lectures/01_-_English/02_-_Month_wise/11_-_November/02/RC_DEL_1973-11-02_High_Words_Will_Not_Do.mp3</t>
  </si>
  <si>
    <t>SP_BG_04-18_Delhi_1973-11-03_Everyone_Without_Krishna--etc.mp3</t>
  </si>
  <si>
    <t>https://audio.iskcondesiretree.com/01_-_Srila_Prabhupada/01_-_Lectures/01_-_English/01_-_Topic_wise/Bhagavad_Gita/Chapter-04/SP_BG_04-18_Delhi_1973-11-03_Everyone_Without_Krishna--etc.mp3</t>
  </si>
  <si>
    <t>SP_Room_Conversation_Delhi_1973-11-03_Krishna%27s_Special_Favor_Upon_Srila_Prabhupada.mp3</t>
  </si>
  <si>
    <t>https://audio.iskcondesiretree.com/01_-_Srila_Prabhupada/01_-_Lectures/01_-_English/01_-_Topic_wise/Room_Conversation/SP_Room_Conversation_Delhi_1973-11-03_Krishna%27s_Special_Favor_Upon_Srila_Prabhupada.mp3</t>
  </si>
  <si>
    <t>Bg_04-18_DEL_1973-11-03_Everyone_Without_Krishna_etc.mp3</t>
  </si>
  <si>
    <t>https://audio.iskcondesiretree.com/01_-_Srila_Prabhupada/01_-_Lectures/01_-_English/02_-_Month_wise/11_-_November/03/Bg_04-18_DEL_1973-11-03_Everyone_Without_Krishna_etc.mp3</t>
  </si>
  <si>
    <t>RC_DEL_1973-11-03_Krishna%27s_Special_Favor_Upon_Srila_Prabhupada.mp3</t>
  </si>
  <si>
    <t>https://audio.iskcondesiretree.com/01_-_Srila_Prabhupada/01_-_Lectures/01_-_English/02_-_Month_wise/11_-_November/03/RC_DEL_1973-11-03_Krishna%27s_Special_Favor_Upon_Srila_Prabhupada.mp3</t>
  </si>
  <si>
    <t>SP_SB_2-01-01_Delhi_1973-11-04_In_Vrindavan_There_are_More--etc.mp3</t>
  </si>
  <si>
    <t>https://audio.iskcondesiretree.com/01_-_Srila_Prabhupada/01_-_Lectures/01_-_English/01_-_Topic_wise/Srimad_Bhagavatam/Canto-02/SP_SB_2-01-01_Delhi_1973-11-04_In_Vrindavan_There_are_More--etc.mp3</t>
  </si>
  <si>
    <t>SB_2-01-01_DEL_1973-11-04_In_VRN_There_are_More_etc.mp3</t>
  </si>
  <si>
    <t>https://audio.iskcondesiretree.com/01_-_Srila_Prabhupada/01_-_Lectures/01_-_English/02_-_Month_wise/11_-_November/04/SB_2-01-01_DEL_1973-11-04_In_VRN_There_are_More_etc.mp3</t>
  </si>
  <si>
    <t>SP_SB_2-01-03_Delhi_1973-11-06_The_Sighted_and_the_Blind.mp3</t>
  </si>
  <si>
    <t>https://audio.iskcondesiretree.com/01_-_Srila_Prabhupada/01_-_Lectures/01_-_English/01_-_Topic_wise/Srimad_Bhagavatam/Canto-02/SP_SB_2-01-03_Delhi_1973-11-06_The_Sighted_and_the_Blind.mp3</t>
  </si>
  <si>
    <t>SB_2-01-03_DEL_1973-11-06_The_Sighted_and_the_Blind.mp3</t>
  </si>
  <si>
    <t>https://audio.iskcondesiretree.com/01_-_Srila_Prabhupada/01_-_Lectures/01_-_English/02_-_Month_wise/11_-_November/06/SB_2-01-03_DEL_1973-11-06_The_Sighted_and_the_Blind.mp3</t>
  </si>
  <si>
    <t>SP_SB_2-01-04_Delhi_1973-11-07_The_Anatomy_of_Madness.mp3</t>
  </si>
  <si>
    <t>https://audio.iskcondesiretree.com/01_-_Srila_Prabhupada/01_-_Lectures/01_-_English/01_-_Topic_wise/Srimad_Bhagavatam/Canto-02/SP_SB_2-01-04_Delhi_1973-11-07_The_Anatomy_of_Madness.mp3</t>
  </si>
  <si>
    <t>SB_2-01-04_DEL_1973-11-07_The_Anatomy_of_Madness.mp3</t>
  </si>
  <si>
    <t>https://audio.iskcondesiretree.com/01_-_Srila_Prabhupada/01_-_Lectures/01_-_English/02_-_Month_wise/11_-_November/07/SB_2-01-04_DEL_1973-11-07_The_Anatomy_of_Madness.mp3</t>
  </si>
  <si>
    <t>SP_SB_2-01-05_Delhi_1973-11-08_Hearing_Your_Way_Clear.mp3</t>
  </si>
  <si>
    <t>https://audio.iskcondesiretree.com/01_-_Srila_Prabhupada/01_-_Lectures/01_-_English/01_-_Topic_wise/Srimad_Bhagavatam/Canto-02/SP_SB_2-01-05_Delhi_1973-11-08_Hearing_Your_Way_Clear.mp3</t>
  </si>
  <si>
    <t>SB_2-01-05_DEL_1973-11-08_Hearing_Your_Way_Clear.mp3</t>
  </si>
  <si>
    <t>https://audio.iskcondesiretree.com/01_-_Srila_Prabhupada/01_-_Lectures/01_-_English/02_-_Month_wise/11_-_November/08/SB_2-01-05_DEL_1973-11-08_Hearing_Your_Way_Clear.mp3</t>
  </si>
  <si>
    <t>SP_Lecture_Delhi_1973-11-10_At_Pandal--Hog_Happiness_-_Human_Happiness.mp3</t>
  </si>
  <si>
    <t>https://audio.iskcondesiretree.com/01_-_Srila_Prabhupada/01_-_Lectures/01_-_English/01_-_Topic_wise/Various/SP_Lecture_Delhi_1973-11-10_At_Pandal--Hog_Happiness_-_Human_Happiness.mp3</t>
  </si>
  <si>
    <t>Lect_DEL_1973-11-10_At_Pandal-Hog_Happiness_Human_Happiness.mp3</t>
  </si>
  <si>
    <t>https://audio.iskcondesiretree.com/01_-_Srila_Prabhupada/01_-_Lectures/01_-_English/02_-_Month_wise/11_-_November/10/Lect_DEL_1973-11-10_At_Pandal-Hog_Happiness_Human_Happiness.mp3</t>
  </si>
  <si>
    <t>SP_SB_1-02-05_Delhi_1973-11-11_The_Ultimate_Gain_in_Life.mp3</t>
  </si>
  <si>
    <t>https://audio.iskcondesiretree.com/01_-_Srila_Prabhupada/01_-_Lectures/01_-_English/01_-_Topic_wise/Srimad_Bhagavatam/Canto-01/SP_SB_1-02-05_Delhi_1973-11-11_The_Ultimate_Gain_in_Life.mp3</t>
  </si>
  <si>
    <t>SB_1-02-05_DEL_1973-11-11_The_Ultimate_Gain_in_Life.mp3</t>
  </si>
  <si>
    <t>https://audio.iskcondesiretree.com/01_-_Srila_Prabhupada/01_-_Lectures/01_-_English/02_-_Month_wise/11_-_November/11/SB_1-02-05_DEL_1973-11-11_The_Ultimate_Gain_in_Life.mp3</t>
  </si>
  <si>
    <t>SP_SB_1-02-06_Delhi_1973-11-12_Toward_Perfect_Peace_of_Mind.mp3</t>
  </si>
  <si>
    <t>https://audio.iskcondesiretree.com/01_-_Srila_Prabhupada/01_-_Lectures/01_-_English/01_-_Topic_wise/Srimad_Bhagavatam/Canto-01/SP_SB_1-02-06_Delhi_1973-11-12_Toward_Perfect_Peace_of_Mind.mp3</t>
  </si>
  <si>
    <t>SB_1-02-06_DEL_1973-11-12_Toward_Perfect_Peace_of_Mind.mp3</t>
  </si>
  <si>
    <t>https://audio.iskcondesiretree.com/01_-_Srila_Prabhupada/01_-_Lectures/01_-_English/02_-_Month_wise/11_-_November/12/SB_1-02-06_DEL_1973-11-12_Toward_Perfect_Peace_of_Mind.mp3</t>
  </si>
  <si>
    <t>SP_SB_1-02-07_Delhi_1973-11-13_Understand_God_from_God.mp3</t>
  </si>
  <si>
    <t>https://audio.iskcondesiretree.com/01_-_Srila_Prabhupada/01_-_Lectures/01_-_English/01_-_Topic_wise/Srimad_Bhagavatam/Canto-01/SP_SB_1-02-07_Delhi_1973-11-13_Understand_God_from_God.mp3</t>
  </si>
  <si>
    <t>SB_1-02-07_DEL_1973-11-13_Understand_God_from_God.mp3</t>
  </si>
  <si>
    <t>https://audio.iskcondesiretree.com/01_-_Srila_Prabhupada/01_-_Lectures/01_-_English/02_-_Month_wise/11_-_November/13/SB_1-02-07_DEL_1973-11-13_Understand_God_from_God.mp3</t>
  </si>
  <si>
    <t>SP_SB_1-02-09_Delhi_1973-11-14_Real_Dharma-It%27s_Not_Karma.mp3</t>
  </si>
  <si>
    <t>https://audio.iskcondesiretree.com/01_-_Srila_Prabhupada/01_-_Lectures/01_-_English/01_-_Topic_wise/Srimad_Bhagavatam/Canto-01/SP_SB_1-02-09_Delhi_1973-11-14_Real_Dharma-It%27s_Not_Karma.mp3</t>
  </si>
  <si>
    <t>SB_1-02-09_DEL_1973-11-14_Real_Dharma-It%27s_Not_Karma.mp3</t>
  </si>
  <si>
    <t>https://audio.iskcondesiretree.com/01_-_Srila_Prabhupada/01_-_Lectures/01_-_English/02_-_Month_wise/11_-_November/14/SB_1-02-09_DEL_1973-11-14_Real_Dharma-It%27s_Not_Karma.mp3</t>
  </si>
  <si>
    <t>SP_SB_1-02-10_Delhi_1973-11-16_Love_Comes_from_Krishna.mp3</t>
  </si>
  <si>
    <t>https://audio.iskcondesiretree.com/01_-_Srila_Prabhupada/01_-_Lectures/01_-_English/01_-_Topic_wise/Srimad_Bhagavatam/Canto-01/SP_SB_1-02-10_Delhi_1973-11-16_Love_Comes_from_Krishna.mp3</t>
  </si>
  <si>
    <t>SB_1-02-10_DEL_1973-11-16_Love_Comes_from_Krishna.mp3</t>
  </si>
  <si>
    <t>https://audio.iskcondesiretree.com/01_-_Srila_Prabhupada/01_-_Lectures/01_-_English/02_-_Month_wise/11_-_November/16/SB_1-02-10_DEL_1973-11-16_Love_Comes_from_Krishna.mp3</t>
  </si>
  <si>
    <t>SP_SB_1-02-12_Delhi_1973-11-18_Qualifying_to_Dance_with_Krishna.mp3</t>
  </si>
  <si>
    <t>https://audio.iskcondesiretree.com/01_-_Srila_Prabhupada/01_-_Lectures/01_-_English/01_-_Topic_wise/Srimad_Bhagavatam/Canto-01/SP_SB_1-02-12_Delhi_1973-11-18_Qualifying_to_Dance_with_Krishna.mp3</t>
  </si>
  <si>
    <t>SB_1-02-12_DEL_1973-11-18_Qualifying_to_Dance_with_Krishna.mp3</t>
  </si>
  <si>
    <t>https://audio.iskcondesiretree.com/01_-_Srila_Prabhupada/01_-_Lectures/01_-_English/02_-_Month_wise/11_-_November/18/SB_1-02-12_DEL_1973-11-18_Qualifying_to_Dance_with_Krishna.mp3</t>
  </si>
  <si>
    <t>SP_SB_1-10-04_London_1973-11-25_Get_Necessities_from_the_Land.mp3</t>
  </si>
  <si>
    <t>https://audio.iskcondesiretree.com/01_-_Srila_Prabhupada/01_-_Lectures/01_-_English/01_-_Topic_wise/Srimad_Bhagavatam/Canto-01/SP_SB_1-10-04_London_1973-11-25_Get_Necessities_from_the_Land.mp3</t>
  </si>
  <si>
    <t>SB_1-10-04_LON_1973-11-25_Get_Necessities_from_the_Land.mp3</t>
  </si>
  <si>
    <t>https://audio.iskcondesiretree.com/01_-_Srila_Prabhupada/01_-_Lectures/01_-_English/02_-_Month_wise/11_-_November/25/SB_1-10-04_LON_1973-11-25_Get_Necessities_from_the_Land.mp3</t>
  </si>
  <si>
    <t>SP_SB_1-15-01_New_York_1973-11-29_Very_Intimately_Connected.mp3</t>
  </si>
  <si>
    <t>https://audio.iskcondesiretree.com/01_-_Srila_Prabhupada/01_-_Lectures/01_-_English/01_-_Topic_wise/Srimad_Bhagavatam/Canto-01/SP_SB_1-15-01_New_York_1973-11-29_Very_Intimately_Connected.mp3</t>
  </si>
  <si>
    <t>SB_1-15-01_NY_1973-11-29_Very_Intimately_Connected.mp3</t>
  </si>
  <si>
    <t>https://audio.iskcondesiretree.com/01_-_Srila_Prabhupada/01_-_Lectures/01_-_English/02_-_Month_wise/11_-_November/29/SB_1-15-01_NY_1973-11-29_Very_Intimately_Connected.mp3</t>
  </si>
  <si>
    <t>SP_SB_1-15-20_Los_Angeles_1973-11-30_Again_Become_a_Mouse.mp3</t>
  </si>
  <si>
    <t>https://audio.iskcondesiretree.com/01_-_Srila_Prabhupada/01_-_Lectures/01_-_English/01_-_Topic_wise/Srimad_Bhagavatam/Canto-01/SP_SB_1-15-20_Los_Angeles_1973-11-30_Again_Become_a_Mouse.mp3</t>
  </si>
  <si>
    <t>SB_1-15-20_LA_1973-11-30_Again_Become_a_Mouse.mp3</t>
  </si>
  <si>
    <t>https://audio.iskcondesiretree.com/01_-_Srila_Prabhupada/01_-_Lectures/01_-_English/02_-_Month_wise/11_-_November/30/SB_1-15-20_LA_1973-11-30_Again_Become_a_Mouse.mp3</t>
  </si>
  <si>
    <t>SP_SB_1-15-21_Los_Angeles_1973-12-01_Civilization_Minus_Krishna.mp3</t>
  </si>
  <si>
    <t>https://audio.iskcondesiretree.com/01_-_Srila_Prabhupada/01_-_Lectures/01_-_English/01_-_Topic_wise/Srimad_Bhagavatam/Canto-01/SP_SB_1-15-21_Los_Angeles_1973-12-01_Civilization_Minus_Krishna.mp3</t>
  </si>
  <si>
    <t>SB_1-15-21_LA_1973-12-01_Civilization_Minus_Krishna.mp3</t>
  </si>
  <si>
    <t>https://audio.iskcondesiretree.com/01_-_Srila_Prabhupada/01_-_Lectures/01_-_English/02_-_Month_wise/12_-_December/01/SB_1-15-21_LA_1973-12-01_Civilization_Minus_Krishna.mp3</t>
  </si>
  <si>
    <t>SP_Morning_Walk_-_Los_Angeles_1973-12-02_What_the_Heart_Needs.mp3</t>
  </si>
  <si>
    <t>https://audio.iskcondesiretree.com/01_-_Srila_Prabhupada/01_-_Lectures/01_-_English/01_-_Topic_wise/Morning_Walk/SP_Morning_Walk_-_Los_Angeles_1973-12-02_What_the_Heart_Needs.mp3</t>
  </si>
  <si>
    <t>SP_SB_1-15-22_Los_Angeles_1973-12-02_Intoxication_on_Top_of_Intoxication.mp3</t>
  </si>
  <si>
    <t>https://audio.iskcondesiretree.com/01_-_Srila_Prabhupada/01_-_Lectures/01_-_English/01_-_Topic_wise/Srimad_Bhagavatam/Canto-01/SP_SB_1-15-22_Los_Angeles_1973-12-02_Intoxication_on_Top_of_Intoxication.mp3</t>
  </si>
  <si>
    <t>MW_LA_1973-12-02_What_the_Heart_Needs.mp3</t>
  </si>
  <si>
    <t>https://audio.iskcondesiretree.com/01_-_Srila_Prabhupada/01_-_Lectures/01_-_English/02_-_Month_wise/12_-_December/02/MW_LA_1973-12-02_What_the_Heart_Needs.mp3</t>
  </si>
  <si>
    <t>SB_1-15-22_LA_1973-12-02_Intoxication_on_Top_of_Intoxication.mp3</t>
  </si>
  <si>
    <t>https://audio.iskcondesiretree.com/01_-_Srila_Prabhupada/01_-_Lectures/01_-_English/02_-_Month_wise/12_-_December/02/SB_1-15-22_LA_1973-12-02_Intoxication_on_Top_of_Intoxication.mp3</t>
  </si>
  <si>
    <t>SP_Morning_Walk_-_Los_Angeles_1973-12-03_Amino_Asses.mp3</t>
  </si>
  <si>
    <t>https://audio.iskcondesiretree.com/01_-_Srila_Prabhupada/01_-_Lectures/01_-_English/01_-_Topic_wise/Morning_Walk/SP_Morning_Walk_-_Los_Angeles_1973-12-03_Amino_Asses.mp3</t>
  </si>
  <si>
    <t>SP_SB_1-15-24_Los_Angeles_1973-12-03_You_Think_You_Can_Bluff_the--etc.mp3</t>
  </si>
  <si>
    <t>https://audio.iskcondesiretree.com/01_-_Srila_Prabhupada/01_-_Lectures/01_-_English/01_-_Topic_wise/Srimad_Bhagavatam/Canto-01/SP_SB_1-15-24_Los_Angeles_1973-12-03_You_Think_You_Can_Bluff_the--etc.mp3</t>
  </si>
  <si>
    <t>MW_LA_1973-12-03_Amino_Asses.mp3</t>
  </si>
  <si>
    <t>https://audio.iskcondesiretree.com/01_-_Srila_Prabhupada/01_-_Lectures/01_-_English/02_-_Month_wise/12_-_December/03/MW_LA_1973-12-03_Amino_Asses.mp3</t>
  </si>
  <si>
    <t>SB_1-15-24_LA_1973-12-03_You_Think_You_Can_Bluff_the_etc.mp3</t>
  </si>
  <si>
    <t>https://audio.iskcondesiretree.com/01_-_Srila_Prabhupada/01_-_Lectures/01_-_English/02_-_Month_wise/12_-_December/03/SB_1-15-24_LA_1973-12-03_You_Think_You_Can_Bluff_the_etc.mp3</t>
  </si>
  <si>
    <t>SP_Morning_Walk_-_Los_Angeles_1973-12-04_Sincere_Atheist-Honest_Thief.mp3</t>
  </si>
  <si>
    <t>https://audio.iskcondesiretree.com/01_-_Srila_Prabhupada/01_-_Lectures/01_-_English/01_-_Topic_wise/Morning_Walk/SP_Morning_Walk_-_Los_Angeles_1973-12-04_Sincere_Atheist-Honest_Thief.mp3</t>
  </si>
  <si>
    <t>SP_SB_1-15-25_Los_Angeles_1973-12-04_Varnasrama-Overhauling_Hell.mp3</t>
  </si>
  <si>
    <t>https://audio.iskcondesiretree.com/01_-_Srila_Prabhupada/01_-_Lectures/01_-_English/01_-_Topic_wise/Srimad_Bhagavatam/Canto-01/SP_SB_1-15-25_Los_Angeles_1973-12-04_Varnasrama-Overhauling_Hell.mp3</t>
  </si>
  <si>
    <t>MW_LA_1973-12-04_Sincere_Atheist-Honest_Thief.mp3</t>
  </si>
  <si>
    <t>https://audio.iskcondesiretree.com/01_-_Srila_Prabhupada/01_-_Lectures/01_-_English/02_-_Month_wise/12_-_December/04/MW_LA_1973-12-04_Sincere_Atheist-Honest_Thief.mp3</t>
  </si>
  <si>
    <t>SB_1-15-25_LA_1973-12-04_Varnasrama-Overhauling_Hell.mp3</t>
  </si>
  <si>
    <t>https://audio.iskcondesiretree.com/01_-_Srila_Prabhupada/01_-_Lectures/01_-_English/02_-_Month_wise/12_-_December/04/SB_1-15-25_LA_1973-12-04_Varnasrama-Overhauling_Hell.mp3</t>
  </si>
  <si>
    <t>SP_Morning_Walk_-_Los_Angeles_1973-12-05_Don%27t_Do_Your_Own_Thing.mp3</t>
  </si>
  <si>
    <t>https://audio.iskcondesiretree.com/01_-_Srila_Prabhupada/01_-_Lectures/01_-_English/01_-_Topic_wise/Morning_Walk/SP_Morning_Walk_-_Los_Angeles_1973-12-05_Don%27t_Do_Your_Own_Thing.mp3</t>
  </si>
  <si>
    <t>SP_Morning_Walk_-_Los_Angeles_1973-12-05_We_Have_Free_Will.mp3</t>
  </si>
  <si>
    <t>https://audio.iskcondesiretree.com/01_-_Srila_Prabhupada/01_-_Lectures/01_-_English/01_-_Topic_wise/Morning_Walk/SP_Morning_Walk_-_Los_Angeles_1973-12-05_We_Have_Free_Will.mp3</t>
  </si>
  <si>
    <t>SP_SB_1-15-26_Los_Angeles_1973-12-05_Making_the_World_Truly_Aryan.mp3</t>
  </si>
  <si>
    <t>https://audio.iskcondesiretree.com/01_-_Srila_Prabhupada/01_-_Lectures/01_-_English/01_-_Topic_wise/Srimad_Bhagavatam/Canto-01/SP_SB_1-15-26_Los_Angeles_1973-12-05_Making_the_World_Truly_Aryan.mp3</t>
  </si>
  <si>
    <t>SP_SB_1-15-27_Los_Angeles_1973-12-05_Mistaking_Suffering_for_Enjoyment.mp3</t>
  </si>
  <si>
    <t>https://audio.iskcondesiretree.com/01_-_Srila_Prabhupada/01_-_Lectures/01_-_English/01_-_Topic_wise/Srimad_Bhagavatam/Canto-01/SP_SB_1-15-27_Los_Angeles_1973-12-05_Mistaking_Suffering_for_Enjoyment.mp3</t>
  </si>
  <si>
    <t>MW_LA_1973-12-05_Don%27t_Do_Your_Own_Thing.mp3</t>
  </si>
  <si>
    <t>https://audio.iskcondesiretree.com/01_-_Srila_Prabhupada/01_-_Lectures/01_-_English/02_-_Month_wise/12_-_December/05/MW_LA_1973-12-05_Don%27t_Do_Your_Own_Thing.mp3</t>
  </si>
  <si>
    <t>MW_LA_1973-12-05_We_Have_Free_Will.mp3</t>
  </si>
  <si>
    <t>https://audio.iskcondesiretree.com/01_-_Srila_Prabhupada/01_-_Lectures/01_-_English/02_-_Month_wise/12_-_December/05/MW_LA_1973-12-05_We_Have_Free_Will.mp3</t>
  </si>
  <si>
    <t>SB_1-15-26_LA_1973-12-05_Making_the_World_Truly_Aryan.mp3</t>
  </si>
  <si>
    <t>https://audio.iskcondesiretree.com/01_-_Srila_Prabhupada/01_-_Lectures/01_-_English/02_-_Month_wise/12_-_December/05/SB_1-15-26_LA_1973-12-05_Making_the_World_Truly_Aryan.mp3</t>
  </si>
  <si>
    <t>SB_1-15-27_LA_1973-12-05_Mistaking_Suffering_for_Enjoyment.mp3</t>
  </si>
  <si>
    <t>https://audio.iskcondesiretree.com/01_-_Srila_Prabhupada/01_-_Lectures/01_-_English/02_-_Month_wise/12_-_December/05/SB_1-15-27_LA_1973-12-05_Mistaking_Suffering_for_Enjoyment.mp3</t>
  </si>
  <si>
    <t>SP_SB_1-15-28_Los_Angeles_1973-12-06_Who_to_Meditate_On.mp3</t>
  </si>
  <si>
    <t>https://audio.iskcondesiretree.com/01_-_Srila_Prabhupada/01_-_Lectures/01_-_English/01_-_Topic_wise/Srimad_Bhagavatam/Canto-01/SP_SB_1-15-28_Los_Angeles_1973-12-06_Who_to_Meditate_On.mp3</t>
  </si>
  <si>
    <t>SB_1-15-28_LA_1973-12-06_Who_to_Meditate_On.mp3</t>
  </si>
  <si>
    <t>https://audio.iskcondesiretree.com/01_-_Srila_Prabhupada/01_-_Lectures/01_-_English/02_-_Month_wise/12_-_December/06/SB_1-15-28_LA_1973-12-06_Who_to_Meditate_On.mp3</t>
  </si>
  <si>
    <t>SP_Morning_Walk_-_Los_Angeles_1973-12-07_Progress_Towards_Darkness.mp3</t>
  </si>
  <si>
    <t>https://audio.iskcondesiretree.com/01_-_Srila_Prabhupada/01_-_Lectures/01_-_English/01_-_Topic_wise/Morning_Walk/SP_Morning_Walk_-_Los_Angeles_1973-12-07_Progress_Towards_Darkness.mp3</t>
  </si>
  <si>
    <t>SP_SB_1-15-29_Los_Angeles_1973-12-07_Becoming_Anxiety-Less.mp3</t>
  </si>
  <si>
    <t>https://audio.iskcondesiretree.com/01_-_Srila_Prabhupada/01_-_Lectures/01_-_English/01_-_Topic_wise/Srimad_Bhagavatam/Canto-01/SP_SB_1-15-29_Los_Angeles_1973-12-07_Becoming_Anxiety-Less.mp3</t>
  </si>
  <si>
    <t>MW_LA_1973-12-07_Progress_Towards_Darkness.mp3</t>
  </si>
  <si>
    <t>https://audio.iskcondesiretree.com/01_-_Srila_Prabhupada/01_-_Lectures/01_-_English/02_-_Month_wise/12_-_December/07/MW_LA_1973-12-07_Progress_Towards_Darkness.mp3</t>
  </si>
  <si>
    <t>SB_1-15-29_LA_1973-12-07_Becoming_Anxiety-Less.mp3</t>
  </si>
  <si>
    <t>https://audio.iskcondesiretree.com/01_-_Srila_Prabhupada/01_-_Lectures/01_-_English/02_-_Month_wise/12_-_December/07/SB_1-15-29_LA_1973-12-07_Becoming_Anxiety-Less.mp3</t>
  </si>
  <si>
    <t>SP_SB_1-15-30_Los_Angeles_1973-12-08_Hearing_the_Gita_As_Arjuna_Did.mp3</t>
  </si>
  <si>
    <t>https://audio.iskcondesiretree.com/01_-_Srila_Prabhupada/01_-_Lectures/01_-_English/01_-_Topic_wise/Srimad_Bhagavatam/Canto-01/SP_SB_1-15-30_Los_Angeles_1973-12-08_Hearing_the_Gita_As_Arjuna_Did.mp3</t>
  </si>
  <si>
    <t>SB_1-15-30_LA_1973-12-08_Hearing_the_Gita_As_Arjuna_Did.mp3</t>
  </si>
  <si>
    <t>https://audio.iskcondesiretree.com/01_-_Srila_Prabhupada/01_-_Lectures/01_-_English/02_-_Month_wise/12_-_December/08/SB_1-15-30_LA_1973-12-08_Hearing_the_Gita_As_Arjuna_Did.mp3</t>
  </si>
  <si>
    <t>SP_Room_Conversation_Los_Angeles_1973-12-09_Prof--A_Little_Krishna_Consciousness--etc.mp3</t>
  </si>
  <si>
    <t>https://audio.iskcondesiretree.com/01_-_Srila_Prabhupada/01_-_Lectures/01_-_English/01_-_Topic_wise/Room_Conversation/SP_Room_Conversation_Los_Angeles_1973-12-09_Prof--A_Little_Krishna_Consciousness--etc.mp3</t>
  </si>
  <si>
    <t>SP_SB_1-15-31_Los_Angeles_1973-12-09_Illusory_Contemplations.mp3</t>
  </si>
  <si>
    <t>https://audio.iskcondesiretree.com/01_-_Srila_Prabhupada/01_-_Lectures/01_-_English/01_-_Topic_wise/Srimad_Bhagavatam/Canto-01/SP_SB_1-15-31_Los_Angeles_1973-12-09_Illusory_Contemplations.mp3</t>
  </si>
  <si>
    <t>RC_LA_1973-12-09_Prof-A_Little_Krishna_Consciousness_etc.mp3</t>
  </si>
  <si>
    <t>https://audio.iskcondesiretree.com/01_-_Srila_Prabhupada/01_-_Lectures/01_-_English/02_-_Month_wise/12_-_December/09/RC_LA_1973-12-09_Prof-A_Little_Krishna_Consciousness_etc.mp3</t>
  </si>
  <si>
    <t>SB_1-15-31_LA_1973-12-09_Illusory_Contemplations.mp3</t>
  </si>
  <si>
    <t>https://audio.iskcondesiretree.com/01_-_Srila_Prabhupada/01_-_Lectures/01_-_English/02_-_Month_wise/12_-_December/09/SB_1-15-31_LA_1973-12-09_Illusory_Contemplations.mp3</t>
  </si>
  <si>
    <t>SP_Morning_Walk_-_Los_Angeles_1973-12-11_Scientific_Church.mp3</t>
  </si>
  <si>
    <t>https://audio.iskcondesiretree.com/01_-_Srila_Prabhupada/01_-_Lectures/01_-_English/01_-_Topic_wise/Morning_Walk/SP_Morning_Walk_-_Los_Angeles_1973-12-11_Scientific_Church.mp3</t>
  </si>
  <si>
    <t>SP_SB_1-15-33_Los_Angeles_1973-12-11_Separation_and_Search.mp3</t>
  </si>
  <si>
    <t>https://audio.iskcondesiretree.com/01_-_Srila_Prabhupada/01_-_Lectures/01_-_English/01_-_Topic_wise/Srimad_Bhagavatam/Canto-01/SP_SB_1-15-33_Los_Angeles_1973-12-11_Separation_and_Search.mp3</t>
  </si>
  <si>
    <t>MW_LA_1973-12-11_Scientific_Church.mp3</t>
  </si>
  <si>
    <t>https://audio.iskcondesiretree.com/01_-_Srila_Prabhupada/01_-_Lectures/01_-_English/02_-_Month_wise/12_-_December/11/MW_LA_1973-12-11_Scientific_Church.mp3</t>
  </si>
  <si>
    <t>SB_1-15-33_LA_1973-12-11_Separation_and_Search.mp3</t>
  </si>
  <si>
    <t>https://audio.iskcondesiretree.com/01_-_Srila_Prabhupada/01_-_Lectures/01_-_English/02_-_Month_wise/12_-_December/11/SB_1-15-33_LA_1973-12-11_Separation_and_Search.mp3</t>
  </si>
  <si>
    <t>SP_SB_1-15-34_Los_Angeles_1973-12-12_Demonic_Means_Puffed_Up.mp3</t>
  </si>
  <si>
    <t>https://audio.iskcondesiretree.com/01_-_Srila_Prabhupada/01_-_Lectures/01_-_English/01_-_Topic_wise/Srimad_Bhagavatam/Canto-01/SP_SB_1-15-34_Los_Angeles_1973-12-12_Demonic_Means_Puffed_Up.mp3</t>
  </si>
  <si>
    <t>SB_1-15-34_LA_1973-12-12_Demonic_Means_Puffed_Up.mp3</t>
  </si>
  <si>
    <t>https://audio.iskcondesiretree.com/01_-_Srila_Prabhupada/01_-_Lectures/01_-_English/02_-_Month_wise/12_-_December/12/SB_1-15-34_LA_1973-12-12_Demonic_Means_Puffed_Up.mp3</t>
  </si>
  <si>
    <t>SP_Festivals_Los_Angeles_1973-12-13_Bhaktisiddhanta_Disappearance.mp3</t>
  </si>
  <si>
    <t>https://audio.iskcondesiretree.com/01_-_Srila_Prabhupada/01_-_Lectures/01_-_English/01_-_Topic_wise/Festivals/SP_Festivals_Los_Angeles_1973-12-13_Bhaktisiddhanta_Disappearance.mp3</t>
  </si>
  <si>
    <t>SP_Festivals_Los_Angeles_1973-12-13_Disappearance--Bhaktisiddhanta_Sarasvati.mp3</t>
  </si>
  <si>
    <t>https://audio.iskcondesiretree.com/01_-_Srila_Prabhupada/01_-_Lectures/01_-_English/01_-_Topic_wise/Festivals/SP_Festivals_Los_Angeles_1973-12-13_Disappearance--Bhaktisiddhanta_Sarasvati.mp3</t>
  </si>
  <si>
    <t>SP_Morning_Walk_-_Los_Angeles_1973-12-13_America_Has_to_Stop_Demonism.mp3</t>
  </si>
  <si>
    <t>https://audio.iskcondesiretree.com/01_-_Srila_Prabhupada/01_-_Lectures/01_-_English/01_-_Topic_wise/Morning_Walk/SP_Morning_Walk_-_Los_Angeles_1973-12-13_America_Has_to_Stop_Demonism.mp3</t>
  </si>
  <si>
    <t>SP_SB_1-15-35_Los_Angeles_1973-12-13_The_Mantra_of_Meekness.mp3</t>
  </si>
  <si>
    <t>https://audio.iskcondesiretree.com/01_-_Srila_Prabhupada/01_-_Lectures/01_-_English/01_-_Topic_wise/Srimad_Bhagavatam/Canto-01/SP_SB_1-15-35_Los_Angeles_1973-12-13_The_Mantra_of_Meekness.mp3</t>
  </si>
  <si>
    <t>Fest_LA_1973-12-13_Bhaktisiddhanta_Disappearance.mp3</t>
  </si>
  <si>
    <t>https://audio.iskcondesiretree.com/01_-_Srila_Prabhupada/01_-_Lectures/01_-_English/02_-_Month_wise/12_-_December/13/Fest_LA_1973-12-13_Bhaktisiddhanta_Disappearance.mp3</t>
  </si>
  <si>
    <t>Fest_LA_1973-12-13_Disappearance_Bhaktisiddhanta_Sarasvati.mp3</t>
  </si>
  <si>
    <t>https://audio.iskcondesiretree.com/01_-_Srila_Prabhupada/01_-_Lectures/01_-_English/02_-_Month_wise/12_-_December/13/Fest_LA_1973-12-13_Disappearance_Bhaktisiddhanta_Sarasvati.mp3</t>
  </si>
  <si>
    <t>MW_LA_1973-12-13_America_Has_to_Stop_Demonism.mp3</t>
  </si>
  <si>
    <t>https://audio.iskcondesiretree.com/01_-_Srila_Prabhupada/01_-_Lectures/01_-_English/02_-_Month_wise/12_-_December/13/MW_LA_1973-12-13_America_Has_to_Stop_Demonism.mp3</t>
  </si>
  <si>
    <t>SB_1-15-35_LA_1973-12-13_The_Mantra_of_Meekness.mp3</t>
  </si>
  <si>
    <t>https://audio.iskcondesiretree.com/01_-_Srila_Prabhupada/01_-_Lectures/01_-_English/02_-_Month_wise/12_-_December/13/SB_1-15-35_LA_1973-12-13_The_Mantra_of_Meekness.mp3</t>
  </si>
  <si>
    <t>SP_Morning_Walk_-_Los_Angeles_1973-12-14_Demons_Elected_by_Demons.mp3</t>
  </si>
  <si>
    <t>https://audio.iskcondesiretree.com/01_-_Srila_Prabhupada/01_-_Lectures/01_-_English/01_-_Topic_wise/Morning_Walk/SP_Morning_Walk_-_Los_Angeles_1973-12-14_Demons_Elected_by_Demons.mp3</t>
  </si>
  <si>
    <t>SP_SB_1-15-36_Los_Angeles_1973-12-14_From_External_Illusion.mp3</t>
  </si>
  <si>
    <t>https://audio.iskcondesiretree.com/01_-_Srila_Prabhupada/01_-_Lectures/01_-_English/01_-_Topic_wise/Srimad_Bhagavatam/Canto-01/SP_SB_1-15-36_Los_Angeles_1973-12-14_From_External_Illusion.mp3</t>
  </si>
  <si>
    <t>MW_LA_1973-12-14_Demons_Elected_by_Demons.mp3</t>
  </si>
  <si>
    <t>https://audio.iskcondesiretree.com/01_-_Srila_Prabhupada/01_-_Lectures/01_-_English/02_-_Month_wise/12_-_December/14/MW_LA_1973-12-14_Demons_Elected_by_Demons.mp3</t>
  </si>
  <si>
    <t>SB_1-15-36_LA_1973-12-14_From_External_Illusion.mp3</t>
  </si>
  <si>
    <t>https://audio.iskcondesiretree.com/01_-_Srila_Prabhupada/01_-_Lectures/01_-_English/02_-_Month_wise/12_-_December/14/SB_1-15-36_LA_1973-12-14_From_External_Illusion.mp3</t>
  </si>
  <si>
    <t>SP_Morning_Walk_-_Los_Angeles_1973-12-15_Philosophy_of_the_Mad.mp3</t>
  </si>
  <si>
    <t>https://audio.iskcondesiretree.com/01_-_Srila_Prabhupada/01_-_Lectures/01_-_English/01_-_Topic_wise/Morning_Walk/SP_Morning_Walk_-_Los_Angeles_1973-12-15_Philosophy_of_the_Mad.mp3</t>
  </si>
  <si>
    <t>SP_SB_1-15-37_Los_Angeles_1973-12-15_Exalted_Elected_Dogs_and_Asses.mp3</t>
  </si>
  <si>
    <t>https://audio.iskcondesiretree.com/01_-_Srila_Prabhupada/01_-_Lectures/01_-_English/01_-_Topic_wise/Srimad_Bhagavatam/Canto-01/SP_SB_1-15-37_Los_Angeles_1973-12-15_Exalted_Elected_Dogs_and_Asses.mp3</t>
  </si>
  <si>
    <t>MW_LA_1973-12-15_Philosophy_of_the_Mad.mp3</t>
  </si>
  <si>
    <t>https://audio.iskcondesiretree.com/01_-_Srila_Prabhupada/01_-_Lectures/01_-_English/02_-_Month_wise/12_-_December/15/MW_LA_1973-12-15_Philosophy_of_the_Mad.mp3</t>
  </si>
  <si>
    <t>SB_1-15-37_LA_1973-12-15_Exalted_Elected_Dogs_and_Asses.mp3</t>
  </si>
  <si>
    <t>https://audio.iskcondesiretree.com/01_-_Srila_Prabhupada/01_-_Lectures/01_-_English/02_-_Month_wise/12_-_December/15/SB_1-15-37_LA_1973-12-15_Exalted_Elected_Dogs_and_Asses.mp3</t>
  </si>
  <si>
    <t>SP_Morning_Walk_-_Los_Angeles_1973-12-16_The_Absolute_Need_for_God.mp3</t>
  </si>
  <si>
    <t>https://audio.iskcondesiretree.com/01_-_Srila_Prabhupada/01_-_Lectures/01_-_English/01_-_Topic_wise/Morning_Walk/SP_Morning_Walk_-_Los_Angeles_1973-12-16_The_Absolute_Need_for_God.mp3</t>
  </si>
  <si>
    <t>SP_SB_1-15-38_Los_Angeles_1973-12-16_The_Ruler_Should_Be_Devotee.mp3</t>
  </si>
  <si>
    <t>https://audio.iskcondesiretree.com/01_-_Srila_Prabhupada/01_-_Lectures/01_-_English/01_-_Topic_wise/Srimad_Bhagavatam/Canto-01/SP_SB_1-15-38_Los_Angeles_1973-12-16_The_Ruler_Should_Be_Devotee.mp3</t>
  </si>
  <si>
    <t>MW_LA_1973-12-16_The_Absolute_Need_for_God.mp3</t>
  </si>
  <si>
    <t>https://audio.iskcondesiretree.com/01_-_Srila_Prabhupada/01_-_Lectures/01_-_English/02_-_Month_wise/12_-_December/16/MW_LA_1973-12-16_The_Absolute_Need_for_God.mp3</t>
  </si>
  <si>
    <t>SB_1-15-38_LA_1973-12-16_The_Ruler_Should_Be_Devotee.mp3</t>
  </si>
  <si>
    <t>https://audio.iskcondesiretree.com/01_-_Srila_Prabhupada/01_-_Lectures/01_-_English/02_-_Month_wise/12_-_December/16/SB_1-15-38_LA_1973-12-16_The_Ruler_Should_Be_Devotee.mp3</t>
  </si>
  <si>
    <t>SP_Morning_Walk_-_Los_Angeles_1973-12-17_Soul_Science.mp3</t>
  </si>
  <si>
    <t>https://audio.iskcondesiretree.com/01_-_Srila_Prabhupada/01_-_Lectures/01_-_English/01_-_Topic_wise/Morning_Walk/SP_Morning_Walk_-_Los_Angeles_1973-12-17_Soul_Science.mp3</t>
  </si>
  <si>
    <t>SP_SB_1-15-39_Los_Angeles_1973-12-17_Retirement_Timely_and_Transcendental.mp3</t>
  </si>
  <si>
    <t>https://audio.iskcondesiretree.com/01_-_Srila_Prabhupada/01_-_Lectures/01_-_English/01_-_Topic_wise/Srimad_Bhagavatam/Canto-01/SP_SB_1-15-39_Los_Angeles_1973-12-17_Retirement_Timely_and_Transcendental.mp3</t>
  </si>
  <si>
    <t>MW_LA_1973-12-17_Soul_Science.mp3</t>
  </si>
  <si>
    <t>https://audio.iskcondesiretree.com/01_-_Srila_Prabhupada/01_-_Lectures/01_-_English/02_-_Month_wise/12_-_December/17/MW_LA_1973-12-17_Soul_Science.mp3</t>
  </si>
  <si>
    <t>SB_1-15-39_LA_1973-12-17_Retirement%2C_Timely_and_Transcendental.mp3</t>
  </si>
  <si>
    <t>https://audio.iskcondesiretree.com/01_-_Srila_Prabhupada/01_-_Lectures/01_-_English/02_-_Month_wise/12_-_December/17/SB_1-15-39_LA_1973-12-17_Retirement%2C_Timely_and_Transcendental.mp3</t>
  </si>
  <si>
    <t>SP_Morning_Walk_-_Los_Angeles_1973-12-18_In_God_We_Trust-Meaning_What.mp3</t>
  </si>
  <si>
    <t>https://audio.iskcondesiretree.com/01_-_Srila_Prabhupada/01_-_Lectures/01_-_English/01_-_Topic_wise/Morning_Walk/SP_Morning_Walk_-_Los_Angeles_1973-12-18_In_God_We_Trust-Meaning_What.mp3</t>
  </si>
  <si>
    <t>SP_SB_1-15-40_Los_Angeles_1973-12-18_Bondage_and_Freedom.mp3</t>
  </si>
  <si>
    <t>https://audio.iskcondesiretree.com/01_-_Srila_Prabhupada/01_-_Lectures/01_-_English/01_-_Topic_wise/Srimad_Bhagavatam/Canto-01/SP_SB_1-15-40_Los_Angeles_1973-12-18_Bondage_and_Freedom.mp3</t>
  </si>
  <si>
    <t>MW_LA_1973-12-18_In_God_We_Trust-Meaning_What.mp3</t>
  </si>
  <si>
    <t>https://audio.iskcondesiretree.com/01_-_Srila_Prabhupada/01_-_Lectures/01_-_English/02_-_Month_wise/12_-_December/18/MW_LA_1973-12-18_In_God_We_Trust-Meaning_What.mp3</t>
  </si>
  <si>
    <t>SB_1-15-40_LA_1973-12-18_Bondage_and_Freedom.mp3</t>
  </si>
  <si>
    <t>https://audio.iskcondesiretree.com/01_-_Srila_Prabhupada/01_-_Lectures/01_-_English/02_-_Month_wise/12_-_December/18/SB_1-15-40_LA_1973-12-18_Bondage_and_Freedom.mp3</t>
  </si>
  <si>
    <t>SP_SB_1-15-41_Los_Angeles_1973-12-19_Aural_Concentration.mp3</t>
  </si>
  <si>
    <t>https://audio.iskcondesiretree.com/01_-_Srila_Prabhupada/01_-_Lectures/01_-_English/01_-_Topic_wise/Srimad_Bhagavatam/Canto-01/SP_SB_1-15-41_Los_Angeles_1973-12-19_Aural_Concentration.mp3</t>
  </si>
  <si>
    <t>SB_1-15-41_LA_1973-12-19_Aural_Concentration.mp3</t>
  </si>
  <si>
    <t>https://audio.iskcondesiretree.com/01_-_Srila_Prabhupada/01_-_Lectures/01_-_English/02_-_Month_wise/12_-_December/19/SB_1-15-41_LA_1973-12-19_Aural_Concentration.mp3</t>
  </si>
  <si>
    <t>SP_SB_1-15-42_Los_Angeles_1973-12-20_Trust_a_God_You_Don%27t_Know.mp3</t>
  </si>
  <si>
    <t>https://audio.iskcondesiretree.com/01_-_Srila_Prabhupada/01_-_Lectures/01_-_English/01_-_Topic_wise/Srimad_Bhagavatam/Canto-01/SP_SB_1-15-42_Los_Angeles_1973-12-20_Trust_a_God_You_Don%27t_Know.mp3</t>
  </si>
  <si>
    <t>SB_1-15-42_LA_1973-12-20_Trust_a_God_You_Don%27t_Know.mp3</t>
  </si>
  <si>
    <t>https://audio.iskcondesiretree.com/01_-_Srila_Prabhupada/01_-_Lectures/01_-_English/02_-_Month_wise/12_-_December/20/SB_1-15-42_LA_1973-12-20_Trust_a_God_You_Don%27t_Know.mp3</t>
  </si>
  <si>
    <t>SP_SB_1-15-44_Los_Angeles_1973-12-22_Our_Real_Problem_Isn%27t_Petrol.mp3</t>
  </si>
  <si>
    <t>https://audio.iskcondesiretree.com/01_-_Srila_Prabhupada/01_-_Lectures/01_-_English/01_-_Topic_wise/Srimad_Bhagavatam/Canto-01/SP_SB_1-15-44_Los_Angeles_1973-12-22_Our_Real_Problem_Isn%27t_Petrol.mp3</t>
  </si>
  <si>
    <t>SB_1-15-44_LA_1973-12-22_Our_Real_Problem_Isn%27t_Petrol.mp3</t>
  </si>
  <si>
    <t>https://audio.iskcondesiretree.com/01_-_Srila_Prabhupada/01_-_Lectures/01_-_English/02_-_Month_wise/12_-_December/22/SB_1-15-44_LA_1973-12-22_Our_Real_Problem_Isn%27t_Petrol.mp3</t>
  </si>
  <si>
    <t>SP_SB_1-15-45_Los_Angeles_1973-12-23_This_Civilization_Will_Not_Help.mp3</t>
  </si>
  <si>
    <t>https://audio.iskcondesiretree.com/01_-_Srila_Prabhupada/01_-_Lectures/01_-_English/01_-_Topic_wise/Srimad_Bhagavatam/Canto-01/SP_SB_1-15-45_Los_Angeles_1973-12-23_This_Civilization_Will_Not_Help.mp3</t>
  </si>
  <si>
    <t>SB_1-15-45_LA_1973-12-23_This_Civilization_Will_Not_Help.mp3</t>
  </si>
  <si>
    <t>https://audio.iskcondesiretree.com/01_-_Srila_Prabhupada/01_-_Lectures/01_-_English/02_-_Month_wise/12_-_December/23/SB_1-15-45_LA_1973-12-23_This_Civilization_Will_Not_Help.mp3</t>
  </si>
  <si>
    <t>SP_SB_1-15-46_Los_Angeles_1973-12-24_Predictions_for_Age_of_Quarrel.mp3</t>
  </si>
  <si>
    <t>https://audio.iskcondesiretree.com/01_-_Srila_Prabhupada/01_-_Lectures/01_-_English/01_-_Topic_wise/Srimad_Bhagavatam/Canto-01/SP_SB_1-15-46_Los_Angeles_1973-12-24_Predictions_for_Age_of_Quarrel.mp3</t>
  </si>
  <si>
    <t>SB_1-15-46_LA_1973-12-24_Predictions_for_Age_of_Quarrel.mp3</t>
  </si>
  <si>
    <t>https://audio.iskcondesiretree.com/01_-_Srila_Prabhupada/01_-_Lectures/01_-_English/02_-_Month_wise/12_-_December/24/SB_1-15-46_LA_1973-12-24_Predictions_for_Age_of_Quarrel.mp3</t>
  </si>
  <si>
    <t>SP_SB_1-15-47_Los_Angeles_1973-12-25_Seeing_Krishna_Face_to_Face.mp3</t>
  </si>
  <si>
    <t>https://audio.iskcondesiretree.com/01_-_Srila_Prabhupada/01_-_Lectures/01_-_English/01_-_Topic_wise/Srimad_Bhagavatam/Canto-01/SP_SB_1-15-47_Los_Angeles_1973-12-25_Seeing_Krishna_Face_to_Face.mp3</t>
  </si>
  <si>
    <t>SB_1-15-47_LA_1973-12-25_Seeing_Krishna_Face_to_Face.mp3</t>
  </si>
  <si>
    <t>https://audio.iskcondesiretree.com/01_-_Srila_Prabhupada/01_-_Lectures/01_-_English/02_-_Month_wise/12_-_December/25/SB_1-15-47_LA_1973-12-25_Seeing_Krishna_Face_to_Face.mp3</t>
  </si>
  <si>
    <t>SP_SB_1-15-49_Los_Angeles_1973-12-26_What_to_Think_About_at_Death.mp3</t>
  </si>
  <si>
    <t>https://audio.iskcondesiretree.com/01_-_Srila_Prabhupada/01_-_Lectures/01_-_English/01_-_Topic_wise/Srimad_Bhagavatam/Canto-01/SP_SB_1-15-49_Los_Angeles_1973-12-26_What_to_Think_About_at_Death.mp3</t>
  </si>
  <si>
    <t>SB_1-15-49_LA_1973-12-26_What_to_Think_About_at_Death.mp3</t>
  </si>
  <si>
    <t>https://audio.iskcondesiretree.com/01_-_Srila_Prabhupada/01_-_Lectures/01_-_English/02_-_Month_wise/12_-_December/26/SB_1-15-49_LA_1973-12-26_What_to_Think_About_at_Death.mp3</t>
  </si>
  <si>
    <t>SP_SB_1-15-50_Los_Angeles_1973-12-27_Simply_Depending_On_Krishna.mp3</t>
  </si>
  <si>
    <t>https://audio.iskcondesiretree.com/01_-_Srila_Prabhupada/01_-_Lectures/01_-_English/01_-_Topic_wise/Srimad_Bhagavatam/Canto-01/SP_SB_1-15-50_Los_Angeles_1973-12-27_Simply_Depending_On_Krishna.mp3</t>
  </si>
  <si>
    <t>SB_1-15-50_LA_1973-12-27_Simply_Depending_On_Krishna.mp3</t>
  </si>
  <si>
    <t>https://audio.iskcondesiretree.com/01_-_Srila_Prabhupada/01_-_Lectures/01_-_English/02_-_Month_wise/12_-_December/27/SB_1-15-50_LA_1973-12-27_Simply_Depending_On_Krishna.mp3</t>
  </si>
  <si>
    <t>SP_SB_1-15-51_Los_Angeles_1973-12-28_How_to_Become_Very_Dear_to_God.mp3</t>
  </si>
  <si>
    <t>https://audio.iskcondesiretree.com/01_-_Srila_Prabhupada/01_-_Lectures/01_-_English/01_-_Topic_wise/Srimad_Bhagavatam/Canto-01/SP_SB_1-15-51_Los_Angeles_1973-12-28_How_to_Become_Very_Dear_to_God.mp3</t>
  </si>
  <si>
    <t>SB_1-15-51_LA_1973-12-28_How_to_Become_Very_Dear_to_God.mp3</t>
  </si>
  <si>
    <t>https://audio.iskcondesiretree.com/01_-_Srila_Prabhupada/01_-_Lectures/01_-_English/02_-_Month_wise/12_-_December/28/SB_1-15-51_LA_1973-12-28_How_to_Become_Very_Dear_to_God.mp3</t>
  </si>
  <si>
    <t>SP_SB_1-16-01_Los_Angeles_1973-12-29_The_Best_Form_of_Government.mp3</t>
  </si>
  <si>
    <t>https://audio.iskcondesiretree.com/01_-_Srila_Prabhupada/01_-_Lectures/01_-_English/01_-_Topic_wise/Srimad_Bhagavatam/Canto-01/SP_SB_1-16-01_Los_Angeles_1973-12-29_The_Best_Form_of_Government.mp3</t>
  </si>
  <si>
    <t>SB_1-16-01_LA_1973-12-29_The_Best_Form_of_Government.mp3</t>
  </si>
  <si>
    <t>https://audio.iskcondesiretree.com/01_-_Srila_Prabhupada/01_-_Lectures/01_-_English/02_-_Month_wise/12_-_December/29/SB_1-16-01_LA_1973-12-29_The_Best_Form_of_Government.mp3</t>
  </si>
  <si>
    <t>SP_SB_1-16-02_Los_Angeles_1973-12-30_Brahmanas_Slip--Kali-yuga_Starts.mp3</t>
  </si>
  <si>
    <t>https://audio.iskcondesiretree.com/01_-_Srila_Prabhupada/01_-_Lectures/01_-_English/01_-_Topic_wise/Srimad_Bhagavatam/Canto-01/SP_SB_1-16-02_Los_Angeles_1973-12-30_Brahmanas_Slip--Kali-yuga_Starts.mp3</t>
  </si>
  <si>
    <t>SB_1-16-02_LA_1973-12-30_Brahmanas_Slip-Kali-yuga_Starts.mp3</t>
  </si>
  <si>
    <t>https://audio.iskcondesiretree.com/01_-_Srila_Prabhupada/01_-_Lectures/01_-_English/02_-_Month_wise/12_-_December/30/SB_1-16-02_LA_1973-12-30_Brahmanas_Slip-Kali-yuga_Starts.mp3</t>
  </si>
  <si>
    <t>SP_SB_1-16-03_Los_Angeles_1973-12-31_You_Can_See_and_Talk_with_God.mp3</t>
  </si>
  <si>
    <t>https://audio.iskcondesiretree.com/01_-_Srila_Prabhupada/01_-_Lectures/01_-_English/01_-_Topic_wise/Srimad_Bhagavatam/Canto-01/SP_SB_1-16-03_Los_Angeles_1973-12-31_You_Can_See_and_Talk_with_God.mp3</t>
  </si>
  <si>
    <t>SB_1-16-03_LA_1973-12-31_You_Can_See_and_Talk_with_God.mp3</t>
  </si>
  <si>
    <t>https://audio.iskcondesiretree.com/01_-_Srila_Prabhupada/01_-_Lectures/01_-_English/02_-_Month_wise/12_-_December/31/SB_1-16-03_LA_1973-12-31_You_Can_See_and_Talk_with_God.mp3</t>
  </si>
  <si>
    <t>SP_SB_1-16-04_Los_Angeles_1974-01-01_Kali_Began_with_Animal_Killing.mp3</t>
  </si>
  <si>
    <t>https://audio.iskcondesiretree.com/01_-_Srila_Prabhupada/01_-_Lectures/01_-_English/01_-_Topic_wise/Srimad_Bhagavatam/Canto-01/SP_SB_1-16-04_Los_Angeles_1974-01-01_Kali_Began_with_Animal_Killing.mp3</t>
  </si>
  <si>
    <t>SB-01-16-04_1974-01-01-LOS_ANGELES.MP3</t>
  </si>
  <si>
    <t>https://audio.iskcondesiretree.com/01_-_Srila_Prabhupada/01_-_Lectures/01_-_English/02_-_Month_wise/01_-_January/01/SB-01-16-04_1974-01-01-LOS_ANGELES.MP3</t>
  </si>
  <si>
    <t>SB_1-16-04_LA_1974-01-01_Kali_Began_with_Animal_Killing.mp3</t>
  </si>
  <si>
    <t>https://audio.iskcondesiretree.com/01_-_Srila_Prabhupada/01_-_Lectures/01_-_English/02_-_Month_wise/01_-_January/01/SB_1-16-04_LA_1974-01-01_Kali_Began_with_Animal_Killing.mp3</t>
  </si>
  <si>
    <t>SP_SB_1-16-05_Los_Angeles_1974-01-02_Fish_but_Don%27t_Touch_the_Water.mp3</t>
  </si>
  <si>
    <t>https://audio.iskcondesiretree.com/01_-_Srila_Prabhupada/01_-_Lectures/01_-_English/01_-_Topic_wise/Srimad_Bhagavatam/Canto-01/SP_SB_1-16-05_Los_Angeles_1974-01-02_Fish_but_Don%27t_Touch_the_Water.mp3</t>
  </si>
  <si>
    <t>SB-01-16-05_1974-01-02_SB-LOS_ANGELES.MP3</t>
  </si>
  <si>
    <t>https://audio.iskcondesiretree.com/01_-_Srila_Prabhupada/01_-_Lectures/01_-_English/02_-_Month_wise/01_-_January/02/SB-01-16-05_1974-01-02_SB-LOS_ANGELES.MP3</t>
  </si>
  <si>
    <t>SB_1-16-05_LA_1974-01-02_Fish_but_Don%27t_Touch_the_Water.mp3</t>
  </si>
  <si>
    <t>https://audio.iskcondesiretree.com/01_-_Srila_Prabhupada/01_-_Lectures/01_-_English/02_-_Month_wise/01_-_January/02/SB_1-16-05_LA_1974-01-02_Fish_but_Don%27t_Touch_the_Water.mp3</t>
  </si>
  <si>
    <t>SP_Morning_Walk_-_Los_Angeles_1974-01-03_Cats_Dogs_Camels_Goats_%26_Madmen.mp3</t>
  </si>
  <si>
    <t>https://audio.iskcondesiretree.com/01_-_Srila_Prabhupada/01_-_Lectures/01_-_English/01_-_Topic_wise/Morning_Walk/SP_Morning_Walk_-_Los_Angeles_1974-01-03_Cats_Dogs_Camels_Goats_%26_Madmen.mp3</t>
  </si>
  <si>
    <t>SP_SB_1-16-06_Los_Angeles_1974-01-03_The_Medicine_for_Death.mp3</t>
  </si>
  <si>
    <t>https://audio.iskcondesiretree.com/01_-_Srila_Prabhupada/01_-_Lectures/01_-_English/01_-_Topic_wise/Srimad_Bhagavatam/Canto-01/SP_SB_1-16-06_Los_Angeles_1974-01-03_The_Medicine_for_Death.mp3</t>
  </si>
  <si>
    <t>MW_LA_1974-01-03_Cats_Dogs_Camels%2C_Goats_%26_Madmen.mp3</t>
  </si>
  <si>
    <t>https://audio.iskcondesiretree.com/01_-_Srila_Prabhupada/01_-_Lectures/01_-_English/02_-_Month_wise/01_-_January/03/MW_LA_1974-01-03_Cats_Dogs_Camels%2C_Goats_%26_Madmen.mp3</t>
  </si>
  <si>
    <t>SB-01-16-06_1974-01-03_SB-LOS_ANGELES.MP3</t>
  </si>
  <si>
    <t>https://audio.iskcondesiretree.com/01_-_Srila_Prabhupada/01_-_Lectures/01_-_English/02_-_Month_wise/01_-_January/03/SB-01-16-06_1974-01-03_SB-LOS_ANGELES.MP3</t>
  </si>
  <si>
    <t>SB_1-16-06_LA_1974-01-03_The_Medicine_for_Death.mp3</t>
  </si>
  <si>
    <t>https://audio.iskcondesiretree.com/01_-_Srila_Prabhupada/01_-_Lectures/01_-_English/02_-_Month_wise/01_-_January/03/SB_1-16-06_LA_1974-01-03_The_Medicine_for_Death.mp3</t>
  </si>
  <si>
    <t>Walk_1974-01-03_MW-LOS_ANGELES.MP3</t>
  </si>
  <si>
    <t>https://audio.iskcondesiretree.com/01_-_Srila_Prabhupada/01_-_Lectures/01_-_English/02_-_Month_wise/01_-_January/03/Walk_1974-01-03_MW-LOS_ANGELES.MP3</t>
  </si>
  <si>
    <t>SP_SB_1-16-07_Los_Angeles_1974-01-04_Inevitable_Death_and_a_Way_Out.mp3</t>
  </si>
  <si>
    <t>https://audio.iskcondesiretree.com/01_-_Srila_Prabhupada/01_-_Lectures/01_-_English/01_-_Topic_wise/Srimad_Bhagavatam/Canto-01/SP_SB_1-16-07_Los_Angeles_1974-01-04_Inevitable_Death_and_a_Way_Out.mp3</t>
  </si>
  <si>
    <t>SB-01-16-07_1974-01-04_SB-LOS_ANGELES.MP3</t>
  </si>
  <si>
    <t>https://audio.iskcondesiretree.com/01_-_Srila_Prabhupada/01_-_Lectures/01_-_English/02_-_Month_wise/01_-_January/04/SB-01-16-07_1974-01-04_SB-LOS_ANGELES.MP3</t>
  </si>
  <si>
    <t>SB_1-16-07_LA_1974-01-04_Inevitable_Death_and_a_Way_Out.mp3</t>
  </si>
  <si>
    <t>https://audio.iskcondesiretree.com/01_-_Srila_Prabhupada/01_-_Lectures/01_-_English/02_-_Month_wise/01_-_January/04/SB_1-16-07_LA_1974-01-04_Inevitable_Death_and_a_Way_Out.mp3</t>
  </si>
  <si>
    <t>SP_Morning_Walk_-_Los_Angeles_1974-01-05_Dance_Eat_and_Live_Eternally.mp3</t>
  </si>
  <si>
    <t>https://audio.iskcondesiretree.com/01_-_Srila_Prabhupada/01_-_Lectures/01_-_English/01_-_Topic_wise/Morning_Walk/SP_Morning_Walk_-_Los_Angeles_1974-01-05_Dance_Eat_and_Live_Eternally.mp3</t>
  </si>
  <si>
    <t>SP_SB_1-16-08_Los_Angeles_1974-01-05_How_to_Stop_Death.mp3</t>
  </si>
  <si>
    <t>https://audio.iskcondesiretree.com/01_-_Srila_Prabhupada/01_-_Lectures/01_-_English/01_-_Topic_wise/Srimad_Bhagavatam/Canto-01/SP_SB_1-16-08_Los_Angeles_1974-01-05_How_to_Stop_Death.mp3</t>
  </si>
  <si>
    <t>MW_LA_1974-01-05_Dance%2C_Eat_and_Live_Eternally.mp3</t>
  </si>
  <si>
    <t>https://audio.iskcondesiretree.com/01_-_Srila_Prabhupada/01_-_Lectures/01_-_English/02_-_Month_wise/01_-_January/05/MW_LA_1974-01-05_Dance%2C_Eat_and_Live_Eternally.mp3</t>
  </si>
  <si>
    <t>SB-01-16-08_1974-01-05_SB-LOS_ANGELES.MP3</t>
  </si>
  <si>
    <t>https://audio.iskcondesiretree.com/01_-_Srila_Prabhupada/01_-_Lectures/01_-_English/02_-_Month_wise/01_-_January/05/SB-01-16-08_1974-01-05_SB-LOS_ANGELES.MP3</t>
  </si>
  <si>
    <t>SB_1-16-08_LA_1974-01-05_How_to_Stop_Death.mp3</t>
  </si>
  <si>
    <t>https://audio.iskcondesiretree.com/01_-_Srila_Prabhupada/01_-_Lectures/01_-_English/02_-_Month_wise/01_-_January/05/SB_1-16-08_LA_1974-01-05_How_to_Stop_Death.mp3</t>
  </si>
  <si>
    <t>Walk_1974-01-05_MW-LOS_ANGELES.MP3</t>
  </si>
  <si>
    <t>https://audio.iskcondesiretree.com/01_-_Srila_Prabhupada/01_-_Lectures/01_-_English/02_-_Month_wise/01_-_January/05/Walk_1974-01-05_MW-LOS_ANGELES.MP3</t>
  </si>
  <si>
    <t>SP_Morning_Walk_-_Los_Angeles_1974-01-07_What_Is_Real_Leadership.mp3</t>
  </si>
  <si>
    <t>https://audio.iskcondesiretree.com/01_-_Srila_Prabhupada/01_-_Lectures/01_-_English/01_-_Topic_wise/Morning_Walk/SP_Morning_Walk_-_Los_Angeles_1974-01-07_What_Is_Real_Leadership.mp3</t>
  </si>
  <si>
    <t>SP_SB_1-16-10_Los_Angeles_1974-01-07_Pariksit%27s_Answer_to_Kali.mp3</t>
  </si>
  <si>
    <t>https://audio.iskcondesiretree.com/01_-_Srila_Prabhupada/01_-_Lectures/01_-_English/01_-_Topic_wise/Srimad_Bhagavatam/Canto-01/SP_SB_1-16-10_Los_Angeles_1974-01-07_Pariksit%27s_Answer_to_Kali.mp3</t>
  </si>
  <si>
    <t>MW_LA_1974-01-07_What_Is_Real_Leadership.mp3</t>
  </si>
  <si>
    <t>https://audio.iskcondesiretree.com/01_-_Srila_Prabhupada/01_-_Lectures/01_-_English/02_-_Month_wise/01_-_January/07/MW_LA_1974-01-07_What_Is_Real_Leadership.mp3</t>
  </si>
  <si>
    <t>SB-01-16-10_1974-01-07_SB-LOS_ANGELES.MP3</t>
  </si>
  <si>
    <t>https://audio.iskcondesiretree.com/01_-_Srila_Prabhupada/01_-_Lectures/01_-_English/02_-_Month_wise/01_-_January/07/SB-01-16-10_1974-01-07_SB-LOS_ANGELES.MP3</t>
  </si>
  <si>
    <t>SB_1-16-10_LA_1974-01-07_Pariksit%27s_Answer_to_Kali.mp3</t>
  </si>
  <si>
    <t>https://audio.iskcondesiretree.com/01_-_Srila_Prabhupada/01_-_Lectures/01_-_English/02_-_Month_wise/01_-_January/07/SB_1-16-10_LA_1974-01-07_Pariksit%27s_Answer_to_Kali.mp3</t>
  </si>
  <si>
    <t>Walk_1974-01-07_MW-LOS_ANGELES.MP3</t>
  </si>
  <si>
    <t>https://audio.iskcondesiretree.com/01_-_Srila_Prabhupada/01_-_Lectures/01_-_English/02_-_Month_wise/01_-_January/07/Walk_1974-01-07_MW-LOS_ANGELES.MP3</t>
  </si>
  <si>
    <t>SP_Morning_Walk_-_Los_Angeles_1974-01-08.mp3</t>
  </si>
  <si>
    <t>https://audio.iskcondesiretree.com/01_-_Srila_Prabhupada/01_-_Lectures/01_-_English/01_-_Topic_wise/Morning_Walk/SP_Morning_Walk_-_Los_Angeles_1974-01-08.mp3</t>
  </si>
  <si>
    <t>SP_SB_1-16-11_Los_Angeles_1974-01-08_Subduing_the_Demons.mp3</t>
  </si>
  <si>
    <t>https://audio.iskcondesiretree.com/01_-_Srila_Prabhupada/01_-_Lectures/01_-_English/01_-_Topic_wise/Srimad_Bhagavatam/Canto-01/SP_SB_1-16-11_Los_Angeles_1974-01-08_Subduing_the_Demons.mp3</t>
  </si>
  <si>
    <t>SB-01-16-11_1974-01-08_SB-LOS_ANGELES.MP3</t>
  </si>
  <si>
    <t>https://audio.iskcondesiretree.com/01_-_Srila_Prabhupada/01_-_Lectures/01_-_English/02_-_Month_wise/01_-_January/08/SB-01-16-11_1974-01-08_SB-LOS_ANGELES.MP3</t>
  </si>
  <si>
    <t>SB_1-16-11_LA_1974-01-08_Subduing_the_Demons.mp3</t>
  </si>
  <si>
    <t>https://audio.iskcondesiretree.com/01_-_Srila_Prabhupada/01_-_Lectures/01_-_English/02_-_Month_wise/01_-_January/08/SB_1-16-11_LA_1974-01-08_Subduing_the_Demons.mp3</t>
  </si>
  <si>
    <t>Walk_1974-01-08_MW-LOS_ANGELES.MP3</t>
  </si>
  <si>
    <t>https://audio.iskcondesiretree.com/01_-_Srila_Prabhupada/01_-_Lectures/01_-_English/02_-_Month_wise/01_-_January/08/Walk_1974-01-08_MW-LOS_ANGELES.MP3</t>
  </si>
  <si>
    <t>SP_Morning_Walk_-_Los_Angeles_1974-01-09_The_Night-and-Day_Dream.mp3</t>
  </si>
  <si>
    <t>https://audio.iskcondesiretree.com/01_-_Srila_Prabhupada/01_-_Lectures/01_-_English/01_-_Topic_wise/Morning_Walk/SP_Morning_Walk_-_Los_Angeles_1974-01-09_The_Night-and-Day_Dream.mp3</t>
  </si>
  <si>
    <t>SP_SB_1-16-12_Los_Angeles_1974-01-09_Rogues_and_Rascals_Cause_War.mp3</t>
  </si>
  <si>
    <t>https://audio.iskcondesiretree.com/01_-_Srila_Prabhupada/01_-_Lectures/01_-_English/01_-_Topic_wise/Srimad_Bhagavatam/Canto-01/SP_SB_1-16-12_Los_Angeles_1974-01-09_Rogues_and_Rascals_Cause_War.mp3</t>
  </si>
  <si>
    <t>MW_LA_1974-01-09_The_Night-and-Day_Dream.mp3</t>
  </si>
  <si>
    <t>https://audio.iskcondesiretree.com/01_-_Srila_Prabhupada/01_-_Lectures/01_-_English/02_-_Month_wise/01_-_January/09/MW_LA_1974-01-09_The_Night-and-Day_Dream.mp3</t>
  </si>
  <si>
    <t>SB-01-16-12_1974-01-09_SB-LOS_ANGELES.MP3</t>
  </si>
  <si>
    <t>https://audio.iskcondesiretree.com/01_-_Srila_Prabhupada/01_-_Lectures/01_-_English/02_-_Month_wise/01_-_January/09/SB-01-16-12_1974-01-09_SB-LOS_ANGELES.MP3</t>
  </si>
  <si>
    <t>SB_1-16-12_LA_1974-01-09_Rogues_and_Rascals_Cause_War.mp3</t>
  </si>
  <si>
    <t>https://audio.iskcondesiretree.com/01_-_Srila_Prabhupada/01_-_Lectures/01_-_English/02_-_Month_wise/01_-_January/09/SB_1-16-12_LA_1974-01-09_Rogues_and_Rascals_Cause_War.mp3</t>
  </si>
  <si>
    <t>Walk_1974-01-09_MW-LOS_ANGELES.MP3</t>
  </si>
  <si>
    <t>https://audio.iskcondesiretree.com/01_-_Srila_Prabhupada/01_-_Lectures/01_-_English/02_-_Month_wise/01_-_January/09/Walk_1974-01-09_MW-LOS_ANGELES.MP3</t>
  </si>
  <si>
    <t>SP_Morning_Walk_-_Los_Angeles_1974-01-10_Good_and_Not-so-good_Brains.mp3</t>
  </si>
  <si>
    <t>https://audio.iskcondesiretree.com/01_-_Srila_Prabhupada/01_-_Lectures/01_-_English/01_-_Topic_wise/Morning_Walk/SP_Morning_Walk_-_Los_Angeles_1974-01-10_Good_and_Not-so-good_Brains.mp3</t>
  </si>
  <si>
    <t>SP_SB_1-16-13_Los_Angeles_1974-01-10_Mischievous_and_Magnanimous.mp3</t>
  </si>
  <si>
    <t>https://audio.iskcondesiretree.com/01_-_Srila_Prabhupada/01_-_Lectures/01_-_English/01_-_Topic_wise/Srimad_Bhagavatam/Canto-01/SP_SB_1-16-13_Los_Angeles_1974-01-10_Mischievous_and_Magnanimous.mp3</t>
  </si>
  <si>
    <t>Initiations_1974-01-10_IN-LOS_ANGELES.MP3</t>
  </si>
  <si>
    <t>https://audio.iskcondesiretree.com/01_-_Srila_Prabhupada/01_-_Lectures/01_-_English/02_-_Month_wise/01_-_January/10/Initiations_1974-01-10_IN-LOS_ANGELES.MP3</t>
  </si>
  <si>
    <t>MW_LA_1974-01-10_Good_and_Not-so-good_Brains.mp3</t>
  </si>
  <si>
    <t>https://audio.iskcondesiretree.com/01_-_Srila_Prabhupada/01_-_Lectures/01_-_English/02_-_Month_wise/01_-_January/10/MW_LA_1974-01-10_Good_and_Not-so-good_Brains.mp3</t>
  </si>
  <si>
    <t>SB-01-16-13%E2%80%9315_1974-01-10_SB-LOS_ANGELES.MP3</t>
  </si>
  <si>
    <t>https://audio.iskcondesiretree.com/01_-_Srila_Prabhupada/01_-_Lectures/01_-_English/02_-_Month_wise/01_-_January/10/SB-01-16-13%E2%80%9315_1974-01-10_SB-LOS_ANGELES.MP3</t>
  </si>
  <si>
    <t>SB_1-16-13_LA_1974-01-10_Mischievous_and_Magnanimous.mp3</t>
  </si>
  <si>
    <t>https://audio.iskcondesiretree.com/01_-_Srila_Prabhupada/01_-_Lectures/01_-_English/02_-_Month_wise/01_-_January/10/SB_1-16-13_LA_1974-01-10_Mischievous_and_Magnanimous.mp3</t>
  </si>
  <si>
    <t>Walk_1974-01-10_MW-LOS_ANGELES.MP3</t>
  </si>
  <si>
    <t>https://audio.iskcondesiretree.com/01_-_Srila_Prabhupada/01_-_Lectures/01_-_English/02_-_Month_wise/01_-_January/10/Walk_1974-01-10_MW-LOS_ANGELES.MP3</t>
  </si>
  <si>
    <t>SP_Morning_Walk_-_Los_Angeles_1974-01-11.mp3</t>
  </si>
  <si>
    <t>https://audio.iskcondesiretree.com/01_-_Srila_Prabhupada/01_-_Lectures/01_-_English/01_-_Topic_wise/Morning_Walk/SP_Morning_Walk_-_Los_Angeles_1974-01-11.mp3</t>
  </si>
  <si>
    <t>SP_SB_1-16-16_Los_Angeles_1974-01-11_Respects-Who_Will_Chastise.mp3</t>
  </si>
  <si>
    <t>https://audio.iskcondesiretree.com/01_-_Srila_Prabhupada/01_-_Lectures/01_-_English/01_-_Topic_wise/Srimad_Bhagavatam/Canto-01/SP_SB_1-16-16_Los_Angeles_1974-01-11_Respects-Who_Will_Chastise.mp3</t>
  </si>
  <si>
    <t>SB-01-16-16_1974-01-11_SB-LOS_ANGELES.MP3</t>
  </si>
  <si>
    <t>https://audio.iskcondesiretree.com/01_-_Srila_Prabhupada/01_-_Lectures/01_-_English/02_-_Month_wise/01_-_January/11/SB-01-16-16_1974-01-11_SB-LOS_ANGELES.MP3</t>
  </si>
  <si>
    <t>SB_1-16-16_LA_1974-01-11_Respects-Who_Will_Chastise.mp3</t>
  </si>
  <si>
    <t>https://audio.iskcondesiretree.com/01_-_Srila_Prabhupada/01_-_Lectures/01_-_English/02_-_Month_wise/01_-_January/11/SB_1-16-16_LA_1974-01-11_Respects-Who_Will_Chastise.mp3</t>
  </si>
  <si>
    <t>Walk_1974-01-11_MW-LOS_ANGELES.MP3</t>
  </si>
  <si>
    <t>https://audio.iskcondesiretree.com/01_-_Srila_Prabhupada/01_-_Lectures/01_-_English/02_-_Month_wise/01_-_January/11/Walk_1974-01-11_MW-LOS_ANGELES.MP3</t>
  </si>
  <si>
    <t>SP_Morning_Walk_-_Los_Angeles_1974-01-12.mp3</t>
  </si>
  <si>
    <t>https://audio.iskcondesiretree.com/01_-_Srila_Prabhupada/01_-_Lectures/01_-_English/01_-_Topic_wise/Morning_Walk/SP_Morning_Walk_-_Los_Angeles_1974-01-12.mp3</t>
  </si>
  <si>
    <t>SP_SB_1-16-17_Los_Angeles_1974-01-12_Democracy-Elect_Rascal_Monarch.mp3</t>
  </si>
  <si>
    <t>https://audio.iskcondesiretree.com/01_-_Srila_Prabhupada/01_-_Lectures/01_-_English/01_-_Topic_wise/Srimad_Bhagavatam/Canto-01/SP_SB_1-16-17_Los_Angeles_1974-01-12_Democracy-Elect_Rascal_Monarch.mp3</t>
  </si>
  <si>
    <t>SB-01-16-17_1974-01-12_SB-LOS_ANGELES.MP3</t>
  </si>
  <si>
    <t>https://audio.iskcondesiretree.com/01_-_Srila_Prabhupada/01_-_Lectures/01_-_English/02_-_Month_wise/01_-_January/12/SB-01-16-17_1974-01-12_SB-LOS_ANGELES.MP3</t>
  </si>
  <si>
    <t>SB_1-16-17_LA_1974-01-12_Democracy-Elect_Rascal_Monarch.mp3</t>
  </si>
  <si>
    <t>https://audio.iskcondesiretree.com/01_-_Srila_Prabhupada/01_-_Lectures/01_-_English/02_-_Month_wise/01_-_January/12/SB_1-16-17_LA_1974-01-12_Democracy-Elect_Rascal_Monarch.mp3</t>
  </si>
  <si>
    <t>Walk_1974-01-12_MW-LOS_ANGELES.MP3</t>
  </si>
  <si>
    <t>https://audio.iskcondesiretree.com/01_-_Srila_Prabhupada/01_-_Lectures/01_-_English/02_-_Month_wise/01_-_January/12/Walk_1974-01-12_MW-LOS_ANGELES.MP3</t>
  </si>
  <si>
    <t>SP_SB_01-16-18_Los_Angeles_1974-01-13.mp3</t>
  </si>
  <si>
    <t>https://audio.iskcondesiretree.com/01_-_Srila_Prabhupada/01_-_Lectures/01_-_English/01_-_Topic_wise/Srimad_Bhagavatam/Canto-01/SP_SB_01-16-18_Los_Angeles_1974-01-13.mp3</t>
  </si>
  <si>
    <t>SB-01-16-18_1974-01-13_SB-LOS_ANGELES.MP3</t>
  </si>
  <si>
    <t>https://audio.iskcondesiretree.com/01_-_Srila_Prabhupada/01_-_Lectures/01_-_English/02_-_Month_wise/01_-_January/13/SB-01-16-18_1974-01-13_SB-LOS_ANGELES.MP3</t>
  </si>
  <si>
    <t>SP_Morning_Walk_-_Honolulu_1974-01-15.mp3</t>
  </si>
  <si>
    <t>https://audio.iskcondesiretree.com/01_-_Srila_Prabhupada/01_-_Lectures/01_-_English/01_-_Topic_wise/Morning_Walk/SP_Morning_Walk_-_Honolulu_1974-01-15.mp3</t>
  </si>
  <si>
    <t>SP_SB_1-16-19_Hawaii_1974-01-15_Antidotes_for_Contaminated_Age.mp3</t>
  </si>
  <si>
    <t>https://audio.iskcondesiretree.com/01_-_Srila_Prabhupada/01_-_Lectures/01_-_English/01_-_Topic_wise/Srimad_Bhagavatam/Canto-01/SP_SB_1-16-19_Hawaii_1974-01-15_Antidotes_for_Contaminated_Age.mp3</t>
  </si>
  <si>
    <t>SB-01-16-19_1974-01-15_SB-HONOLULU.MP3</t>
  </si>
  <si>
    <t>https://audio.iskcondesiretree.com/01_-_Srila_Prabhupada/01_-_Lectures/01_-_English/02_-_Month_wise/01_-_January/15/SB-01-16-19_1974-01-15_SB-HONOLULU.MP3</t>
  </si>
  <si>
    <t>SB_1-16-19_HAW_1974-01-15_Antidotes_for_Contaminated_Age.mp3</t>
  </si>
  <si>
    <t>https://audio.iskcondesiretree.com/01_-_Srila_Prabhupada/01_-_Lectures/01_-_English/02_-_Month_wise/01_-_January/15/SB_1-16-19_HAW_1974-01-15_Antidotes_for_Contaminated_Age.mp3</t>
  </si>
  <si>
    <t>Walk_1974-01-15_MW-HONOLULU.MP3</t>
  </si>
  <si>
    <t>https://audio.iskcondesiretree.com/01_-_Srila_Prabhupada/01_-_Lectures/01_-_English/02_-_Month_wise/01_-_January/15/Walk_1974-01-15_MW-HONOLULU.MP3</t>
  </si>
  <si>
    <t>SP_Morning_Walk_-_Honolulu_1974-01-16.mp3</t>
  </si>
  <si>
    <t>https://audio.iskcondesiretree.com/01_-_Srila_Prabhupada/01_-_Lectures/01_-_English/01_-_Topic_wise/Morning_Walk/SP_Morning_Walk_-_Honolulu_1974-01-16.mp3</t>
  </si>
  <si>
    <t>SP_SB_1-16-20_Hawaii_1974-01-16_Bad_Good_and_Truly_Good.mp3</t>
  </si>
  <si>
    <t>https://audio.iskcondesiretree.com/01_-_Srila_Prabhupada/01_-_Lectures/01_-_English/01_-_Topic_wise/Srimad_Bhagavatam/Canto-01/SP_SB_1-16-20_Hawaii_1974-01-16_Bad_Good_and_Truly_Good.mp3</t>
  </si>
  <si>
    <t>SB-01-16-20_1974-01-16_SB-HONOLULU.MP3</t>
  </si>
  <si>
    <t>https://audio.iskcondesiretree.com/01_-_Srila_Prabhupada/01_-_Lectures/01_-_English/02_-_Month_wise/01_-_January/16/SB-01-16-20_1974-01-16_SB-HONOLULU.MP3</t>
  </si>
  <si>
    <t>SB_1-16-20_HAW_1974-01-16_Bad_Good_and_Truly_Good.mp3</t>
  </si>
  <si>
    <t>https://audio.iskcondesiretree.com/01_-_Srila_Prabhupada/01_-_Lectures/01_-_English/02_-_Month_wise/01_-_January/16/SB_1-16-20_HAW_1974-01-16_Bad_Good_and_Truly_Good.mp3</t>
  </si>
  <si>
    <t>Walk_1974-01-16_MW-HONOLULU.MP3</t>
  </si>
  <si>
    <t>https://audio.iskcondesiretree.com/01_-_Srila_Prabhupada/01_-_Lectures/01_-_English/02_-_Month_wise/01_-_January/16/Walk_1974-01-16_MW-HONOLULU.MP3</t>
  </si>
  <si>
    <t>SP_SB_1-16-21_Hawaii_1974-01-17_Unlawful_Meat-eaters_Restricted.mp3</t>
  </si>
  <si>
    <t>https://audio.iskcondesiretree.com/01_-_Srila_Prabhupada/01_-_Lectures/01_-_English/01_-_Topic_wise/Srimad_Bhagavatam/Canto-01/SP_SB_1-16-21_Hawaii_1974-01-17_Unlawful_Meat-eaters_Restricted.mp3</t>
  </si>
  <si>
    <t>SB-01-16-21_1974-01-17_SB-HONOLULU.MP3</t>
  </si>
  <si>
    <t>https://audio.iskcondesiretree.com/01_-_Srila_Prabhupada/01_-_Lectures/01_-_English/02_-_Month_wise/01_-_January/17/SB-01-16-21_1974-01-17_SB-HONOLULU.MP3</t>
  </si>
  <si>
    <t>SB_1-16-21_HAW_1974-01-17_Unlawful_Meat-eaters_Restricted.mp3</t>
  </si>
  <si>
    <t>https://audio.iskcondesiretree.com/01_-_Srila_Prabhupada/01_-_Lectures/01_-_English/02_-_Month_wise/01_-_January/17/SB_1-16-21_HAW_1974-01-17_Unlawful_Meat-eaters_Restricted.mp3</t>
  </si>
  <si>
    <t>SP_Morning_Walk_-_Hawaii_1974-01-18_We_Controllers_Are_Getting_Kicked.mp3</t>
  </si>
  <si>
    <t>https://audio.iskcondesiretree.com/01_-_Srila_Prabhupada/01_-_Lectures/01_-_English/01_-_Topic_wise/Morning_Walk/SP_Morning_Walk_-_Hawaii_1974-01-18_We_Controllers_Are_Getting_Kicked.mp3</t>
  </si>
  <si>
    <t>SP_SB_1-16-22_Hawaii_1974-01-18_Cow_Killing-Rascal_Government.mp3</t>
  </si>
  <si>
    <t>https://audio.iskcondesiretree.com/01_-_Srila_Prabhupada/01_-_Lectures/01_-_English/01_-_Topic_wise/Srimad_Bhagavatam/Canto-01/SP_SB_1-16-22_Hawaii_1974-01-18_Cow_Killing-Rascal_Government.mp3</t>
  </si>
  <si>
    <t>SP_SB_02-01-03_Vrindavan_1974-01-18.mp3</t>
  </si>
  <si>
    <t>https://audio.iskcondesiretree.com/01_-_Srila_Prabhupada/01_-_Lectures/01_-_English/01_-_Topic_wise/Srimad_Bhagavatam/Canto-02/SP_SB_02-01-03_Vrindavan_1974-01-18.mp3</t>
  </si>
  <si>
    <t>MW_HAW_1974-01-18_We_Controllers_Are_Getting_Kicked.mp3</t>
  </si>
  <si>
    <t>https://audio.iskcondesiretree.com/01_-_Srila_Prabhupada/01_-_Lectures/01_-_English/02_-_Month_wise/01_-_January/18/MW_HAW_1974-01-18_We_Controllers_Are_Getting_Kicked.mp3</t>
  </si>
  <si>
    <t>SB-01-16-22_1974-01-18_SB-HONOLULU.MP3</t>
  </si>
  <si>
    <t>https://audio.iskcondesiretree.com/01_-_Srila_Prabhupada/01_-_Lectures/01_-_English/02_-_Month_wise/01_-_January/18/SB-01-16-22_1974-01-18_SB-HONOLULU.MP3</t>
  </si>
  <si>
    <t>SB_1-16-22_HAW_1974-01-18_Cow_Killing-Rascal_Government.mp3</t>
  </si>
  <si>
    <t>https://audio.iskcondesiretree.com/01_-_Srila_Prabhupada/01_-_Lectures/01_-_English/02_-_Month_wise/01_-_January/18/SB_1-16-22_HAW_1974-01-18_Cow_Killing-Rascal_Government.mp3</t>
  </si>
  <si>
    <t>Walk_1974-01-18_MW-HONOLULU.MP3</t>
  </si>
  <si>
    <t>https://audio.iskcondesiretree.com/01_-_Srila_Prabhupada/01_-_Lectures/01_-_English/02_-_Month_wise/01_-_January/18/Walk_1974-01-18_MW-HONOLULU.MP3</t>
  </si>
  <si>
    <t>SP_Morning_Walk_-_Honolulu_1974-01-19.mp3</t>
  </si>
  <si>
    <t>https://audio.iskcondesiretree.com/01_-_Srila_Prabhupada/01_-_Lectures/01_-_English/01_-_Topic_wise/Morning_Walk/SP_Morning_Walk_-_Honolulu_1974-01-19.mp3</t>
  </si>
  <si>
    <t>SP_SB_1-16-23_Hawaii_1974-01-19_Beware_the_Busy_Fool.mp3</t>
  </si>
  <si>
    <t>https://audio.iskcondesiretree.com/01_-_Srila_Prabhupada/01_-_Lectures/01_-_English/01_-_Topic_wise/Srimad_Bhagavatam/Canto-01/SP_SB_1-16-23_Hawaii_1974-01-19_Beware_the_Busy_Fool.mp3</t>
  </si>
  <si>
    <t>SB-01-16-23_1974-01-19_SB-HONOLULU.MP3</t>
  </si>
  <si>
    <t>https://audio.iskcondesiretree.com/01_-_Srila_Prabhupada/01_-_Lectures/01_-_English/02_-_Month_wise/01_-_January/19/SB-01-16-23_1974-01-19_SB-HONOLULU.MP3</t>
  </si>
  <si>
    <t>SB_1-16-23_HAW_1974-01-19_Beware_the_Busy_Fool.mp3</t>
  </si>
  <si>
    <t>https://audio.iskcondesiretree.com/01_-_Srila_Prabhupada/01_-_Lectures/01_-_English/02_-_Month_wise/01_-_January/19/SB_1-16-23_HAW_1974-01-19_Beware_the_Busy_Fool.mp3</t>
  </si>
  <si>
    <t>Walk_1974-01-19_MW-HONOLULU.MP3</t>
  </si>
  <si>
    <t>https://audio.iskcondesiretree.com/01_-_Srila_Prabhupada/01_-_Lectures/01_-_English/02_-_Month_wise/01_-_January/19/Walk_1974-01-19_MW-HONOLULU.MP3</t>
  </si>
  <si>
    <t>SP_Morning_Walk_-_Honolulu_1974-01-20.mp3</t>
  </si>
  <si>
    <t>https://audio.iskcondesiretree.com/01_-_Srila_Prabhupada/01_-_Lectures/01_-_English/01_-_Topic_wise/Morning_Walk/SP_Morning_Walk_-_Honolulu_1974-01-20.mp3</t>
  </si>
  <si>
    <t>SP_SB_1-16-24_Hawaii_1974-01-20_Finish_the_Business.mp3</t>
  </si>
  <si>
    <t>https://audio.iskcondesiretree.com/01_-_Srila_Prabhupada/01_-_Lectures/01_-_English/01_-_Topic_wise/Srimad_Bhagavatam/Canto-01/SP_SB_1-16-24_Hawaii_1974-01-20_Finish_the_Business.mp3</t>
  </si>
  <si>
    <t>SB-01-16-24_1974-01-20_SB-HONOLULU.MP3</t>
  </si>
  <si>
    <t>https://audio.iskcondesiretree.com/01_-_Srila_Prabhupada/01_-_Lectures/01_-_English/02_-_Month_wise/01_-_January/20/SB-01-16-24_1974-01-20_SB-HONOLULU.MP3</t>
  </si>
  <si>
    <t>SB_1-16-24_HAW_1974-01-20_Finish_the_Business.mp3</t>
  </si>
  <si>
    <t>https://audio.iskcondesiretree.com/01_-_Srila_Prabhupada/01_-_Lectures/01_-_English/02_-_Month_wise/01_-_January/20/SB_1-16-24_HAW_1974-01-20_Finish_the_Business.mp3</t>
  </si>
  <si>
    <t>Walk_1974-01-20_MW-HONOLULU.MP3</t>
  </si>
  <si>
    <t>https://audio.iskcondesiretree.com/01_-_Srila_Prabhupada/01_-_Lectures/01_-_English/02_-_Month_wise/01_-_January/20/Walk_1974-01-20_MW-HONOLULU.MP3</t>
  </si>
  <si>
    <t>SP_Morning_Walk_-_Honolulu_1974-01-21.mp3</t>
  </si>
  <si>
    <t>https://audio.iskcondesiretree.com/01_-_Srila_Prabhupada/01_-_Lectures/01_-_English/01_-_Topic_wise/Morning_Walk/SP_Morning_Walk_-_Honolulu_1974-01-21.mp3</t>
  </si>
  <si>
    <t>SP_SB_1-16-25_Hawaii_1974-01-21_Finding_Happiness.mp3</t>
  </si>
  <si>
    <t>https://audio.iskcondesiretree.com/01_-_Srila_Prabhupada/01_-_Lectures/01_-_English/01_-_Topic_wise/Srimad_Bhagavatam/Canto-01/SP_SB_1-16-25_Hawaii_1974-01-21_Finding_Happiness.mp3</t>
  </si>
  <si>
    <t>SB-01-16-25%E2%80%9330_1974-01-21_SB-HONOLULU.MP3</t>
  </si>
  <si>
    <t>https://audio.iskcondesiretree.com/01_-_Srila_Prabhupada/01_-_Lectures/01_-_English/02_-_Month_wise/01_-_January/21/SB-01-16-25%E2%80%9330_1974-01-21_SB-HONOLULU.MP3</t>
  </si>
  <si>
    <t>SB_1-16-25_HAW_1974-01-21_Finding_Happiness.mp3</t>
  </si>
  <si>
    <t>https://audio.iskcondesiretree.com/01_-_Srila_Prabhupada/01_-_Lectures/01_-_English/02_-_Month_wise/01_-_January/21/SB_1-16-25_HAW_1974-01-21_Finding_Happiness.mp3</t>
  </si>
  <si>
    <t>Walk_1974-01-21_MW-HONOLULU.MP3</t>
  </si>
  <si>
    <t>https://audio.iskcondesiretree.com/01_-_Srila_Prabhupada/01_-_Lectures/01_-_English/02_-_Month_wise/01_-_January/21/Walk_1974-01-21_MW-HONOLULU.MP3</t>
  </si>
  <si>
    <t>SP_Morning_Walk_-_Hawaii_1974-01-22_The_Greatest_Grandest_Father.mp3</t>
  </si>
  <si>
    <t>https://audio.iskcondesiretree.com/01_-_Srila_Prabhupada/01_-_Lectures/01_-_English/01_-_Topic_wise/Morning_Walk/SP_Morning_Walk_-_Hawaii_1974-01-22_The_Greatest_Grandest_Father.mp3</t>
  </si>
  <si>
    <t>MW_HAW_1974-01-22_The_Greatest_Grandest_Father.mp3</t>
  </si>
  <si>
    <t>https://audio.iskcondesiretree.com/01_-_Srila_Prabhupada/01_-_Lectures/01_-_English/02_-_Month_wise/01_-_January/22/MW_HAW_1974-01-22_The_Greatest_Grandest_Father.mp3</t>
  </si>
  <si>
    <t>Walk_1974-01-22_MW-HONOLULU.MP3</t>
  </si>
  <si>
    <t>https://audio.iskcondesiretree.com/01_-_Srila_Prabhupada/01_-_Lectures/01_-_English/02_-_Month_wise/01_-_January/22/Walk_1974-01-22_MW-HONOLULU.MP3</t>
  </si>
  <si>
    <t>SP_Morning_Walk_-_Honolulu_1974-01-23.mp3</t>
  </si>
  <si>
    <t>https://audio.iskcondesiretree.com/01_-_Srila_Prabhupada/01_-_Lectures/01_-_English/01_-_Topic_wise/Morning_Walk/SP_Morning_Walk_-_Honolulu_1974-01-23.mp3</t>
  </si>
  <si>
    <t>SP_SB_1-16-26_Hawaii_1974-01-23_How_Can_I_Be_God.mp3</t>
  </si>
  <si>
    <t>https://audio.iskcondesiretree.com/01_-_Srila_Prabhupada/01_-_Lectures/01_-_English/01_-_Topic_wise/Srimad_Bhagavatam/Canto-01/SP_SB_1-16-26_Hawaii_1974-01-23_How_Can_I_Be_God.mp3</t>
  </si>
  <si>
    <t>SB-01-16-26%E2%80%9330_1974-01-23_SB-HONOLULU.MP3</t>
  </si>
  <si>
    <t>https://audio.iskcondesiretree.com/01_-_Srila_Prabhupada/01_-_Lectures/01_-_English/02_-_Month_wise/01_-_January/23/SB-01-16-26%E2%80%9330_1974-01-23_SB-HONOLULU.MP3</t>
  </si>
  <si>
    <t>SB_1-16-26_HAW_1974-01-23_How_Can_I_Be_God.mp3</t>
  </si>
  <si>
    <t>https://audio.iskcondesiretree.com/01_-_Srila_Prabhupada/01_-_Lectures/01_-_English/02_-_Month_wise/01_-_January/23/SB_1-16-26_HAW_1974-01-23_How_Can_I_Be_God.mp3</t>
  </si>
  <si>
    <t>Walk_1974-01-23_MW-HONOLULU.MP3</t>
  </si>
  <si>
    <t>https://audio.iskcondesiretree.com/01_-_Srila_Prabhupada/01_-_Lectures/01_-_English/02_-_Month_wise/01_-_January/23/Walk_1974-01-23_MW-HONOLULU.MP3</t>
  </si>
  <si>
    <t>SP_SB_1-16-35_Hawaii_1974-01-28_Initiations_Make_a_Farce-No--etc.mp3</t>
  </si>
  <si>
    <t>https://audio.iskcondesiretree.com/01_-_Srila_Prabhupada/01_-_Lectures/01_-_English/01_-_Topic_wise/Srimad_Bhagavatam/Canto-01/SP_SB_1-16-35_Hawaii_1974-01-28_Initiations_Make_a_Farce-No--etc.mp3</t>
  </si>
  <si>
    <t>SP_Lecture_Honolulu_1974-01-28_Initiation.mp3</t>
  </si>
  <si>
    <t>https://audio.iskcondesiretree.com/01_-_Srila_Prabhupada/01_-_Lectures/01_-_English/01_-_Topic_wise/Various/SP_Lecture_Honolulu_1974-01-28_Initiation.mp3</t>
  </si>
  <si>
    <t>Initiations_1974-01-28_IN-HONOLULU.MP3</t>
  </si>
  <si>
    <t>https://audio.iskcondesiretree.com/01_-_Srila_Prabhupada/01_-_Lectures/01_-_English/02_-_Month_wise/01_-_January/28/Initiations_1974-01-28_IN-HONOLULU.MP3</t>
  </si>
  <si>
    <t>SB-01-16-35_1974-01-28_SB-HONOLULU.MP3</t>
  </si>
  <si>
    <t>https://audio.iskcondesiretree.com/01_-_Srila_Prabhupada/01_-_Lectures/01_-_English/02_-_Month_wise/01_-_January/28/SB-01-16-35_1974-01-28_SB-HONOLULU.MP3</t>
  </si>
  <si>
    <t>SB_1-16-35_HAW_1974-01-28_Initiations_Make_a_Farce-No_etc.mp3</t>
  </si>
  <si>
    <t>https://audio.iskcondesiretree.com/01_-_Srila_Prabhupada/01_-_Lectures/01_-_English/02_-_Month_wise/01_-_January/28/SB_1-16-35_HAW_1974-01-28_Initiations_Make_a_Farce-No_etc.mp3</t>
  </si>
  <si>
    <t>SP_Arrival_Lecture_Tokyo_1974-01-29.mp3</t>
  </si>
  <si>
    <t>https://audio.iskcondesiretree.com/01_-_Srila_Prabhupada/01_-_Lectures/01_-_English/01_-_Topic_wise/Arrival_Address/SP_Arrival_Lecture_Tokyo_1974-01-29.mp3</t>
  </si>
  <si>
    <t>Arrival_1974-01-29_AR-TOKYO.MP3</t>
  </si>
  <si>
    <t>https://audio.iskcondesiretree.com/01_-_Srila_Prabhupada/01_-_Lectures/01_-_English/02_-_Month_wise/01_-_January/29/Arrival_1974-01-29_AR-TOKYO.MP3</t>
  </si>
  <si>
    <t>SP_Morning_Walk_-_Tokyo_1974-01-30.mp3</t>
  </si>
  <si>
    <t>https://audio.iskcondesiretree.com/01_-_Srila_Prabhupada/01_-_Lectures/01_-_English/01_-_Topic_wise/Morning_Walk/SP_Morning_Walk_-_Tokyo_1974-01-30.mp3</t>
  </si>
  <si>
    <t>SP_Room_Conversation_Tokyo_1974-01-30.mp3</t>
  </si>
  <si>
    <t>https://audio.iskcondesiretree.com/01_-_Srila_Prabhupada/01_-_Lectures/01_-_English/01_-_Topic_wise/Room_Conversation/SP_Room_Conversation_Tokyo_1974-01-30.mp3</t>
  </si>
  <si>
    <t>SP_SB_1-16-36_Tokyo_1974-01-30_Kali-yuga--Disagree_with_Guru.mp3</t>
  </si>
  <si>
    <t>https://audio.iskcondesiretree.com/01_-_Srila_Prabhupada/01_-_Lectures/01_-_English/01_-_Topic_wise/Srimad_Bhagavatam/Canto-01/SP_SB_1-16-36_Tokyo_1974-01-30_Kali-yuga--Disagree_with_Guru.mp3</t>
  </si>
  <si>
    <t>Conv_1974-01-30_R1-TOKYO.MP3</t>
  </si>
  <si>
    <t>https://audio.iskcondesiretree.com/01_-_Srila_Prabhupada/01_-_Lectures/01_-_English/02_-_Month_wise/01_-_January/30/Conv_1974-01-30_R1-TOKYO.MP3</t>
  </si>
  <si>
    <t>SB-01-16-36_1974-01-30_SB-TOKYO.MP3</t>
  </si>
  <si>
    <t>https://audio.iskcondesiretree.com/01_-_Srila_Prabhupada/01_-_Lectures/01_-_English/02_-_Month_wise/01_-_January/30/SB-01-16-36_1974-01-30_SB-TOKYO.MP3</t>
  </si>
  <si>
    <t>SB_1-16-36_TOK_1974-01-30_Kali-yuga--Disagree_with_Guru.mp3</t>
  </si>
  <si>
    <t>https://audio.iskcondesiretree.com/01_-_Srila_Prabhupada/01_-_Lectures/01_-_English/02_-_Month_wise/01_-_January/30/SB_1-16-36_TOK_1974-01-30_Kali-yuga--Disagree_with_Guru.mp3</t>
  </si>
  <si>
    <t>Walk_1974-01-30_MW-TOKYO.MP3</t>
  </si>
  <si>
    <t>https://audio.iskcondesiretree.com/01_-_Srila_Prabhupada/01_-_Lectures/01_-_English/02_-_Month_wise/01_-_January/30/Walk_1974-01-30_MW-TOKYO.MP3</t>
  </si>
  <si>
    <t>SP_BG_07-01-05_Hong_Kong_1974-01-31.mp3</t>
  </si>
  <si>
    <t>https://audio.iskcondesiretree.com/01_-_Srila_Prabhupada/01_-_Lectures/01_-_English/01_-_Topic_wise/Bhagavad_Gita/Chapter-07/SP_BG_07-01-05_Hong_Kong_1974-01-31.mp3</t>
  </si>
  <si>
    <t>Bg-07-01%E2%80%9305_1974-01-31_BG-HONG%20KONG.MP3</t>
  </si>
  <si>
    <t>https://audio.iskcondesiretree.com/01_-_Srila_Prabhupada/01_-_Lectures/01_-_English/02_-_Month_wise/01_-_January/31/Bg-07-01%E2%80%9305_1974-01-31_BG-HONG%20KONG.MP3</t>
  </si>
  <si>
    <t>SP_BG_03-09-14_Vrindavan_1974-02-06.mp3</t>
  </si>
  <si>
    <t>https://audio.iskcondesiretree.com/01_-_Srila_Prabhupada/01_-_Lectures/01_-_English/01_-_Topic_wise/Bhagavad_Gita/Chapter-03/SP_BG_03-09-14_Vrindavan_1974-02-06.mp3</t>
  </si>
  <si>
    <t>SP_Room_Conversation_Vrindavan_1974-02-06_Gurudas--Krishna_%26_Guru-Not_in_Every_Birth.mp3</t>
  </si>
  <si>
    <t>https://audio.iskcondesiretree.com/01_-_Srila_Prabhupada/01_-_Lectures/01_-_English/01_-_Topic_wise/Room_Conversation/SP_Room_Conversation_Vrindavan_1974-02-06_Gurudas--Krishna_%26_Guru-Not_in_Every_Birth.mp3</t>
  </si>
  <si>
    <t>Bg-09-01%E2%80%9314_1974-02-06_BG-VRNDAVAN.MP3</t>
  </si>
  <si>
    <t>https://audio.iskcondesiretree.com/01_-_Srila_Prabhupada/01_-_Lectures/01_-_English/02_-_Month_wise/02_-_Feburary/06/Bg-09-01%E2%80%9314_1974-02-06_BG-VRNDAVAN.MP3</t>
  </si>
  <si>
    <t>Conv_1974-02-06_R1-VRNDAVAN.MP3</t>
  </si>
  <si>
    <t>https://audio.iskcondesiretree.com/01_-_Srila_Prabhupada/01_-_Lectures/01_-_English/02_-_Month_wise/02_-_Feburary/06/Conv_1974-02-06_R1-VRNDAVAN.MP3</t>
  </si>
  <si>
    <t>RC_VRN_1974-02-06_Gurudas--Krishna_%26_Guru-Not_in_Every_Birth.mp3</t>
  </si>
  <si>
    <t>https://audio.iskcondesiretree.com/01_-_Srila_Prabhupada/01_-_Lectures/01_-_English/02_-_Month_wise/02_-_Feburary/06/RC_VRN_1974-02-06_Gurudas--Krishna_%26_Guru-Not_in_Every_Birth.mp3</t>
  </si>
  <si>
    <t>SP_BG_04-01_Vrindavan_1974-02-07.mp3</t>
  </si>
  <si>
    <t>https://audio.iskcondesiretree.com/01_-_Srila_Prabhupada/01_-_Lectures/01_-_English/01_-_Topic_wise/Bhagavad_Gita/Chapter-04/SP_BG_04-01_Vrindavan_1974-02-07.mp3</t>
  </si>
  <si>
    <t>Bg-04-01_1974-02-07_BG-VRNDAVAN.MP3</t>
  </si>
  <si>
    <t>https://audio.iskcondesiretree.com/01_-_Srila_Prabhupada/01_-_Lectures/01_-_English/02_-_Month_wise/02_-_Feburary/07/Bg-04-01_1974-02-07_BG-VRNDAVAN.MP3</t>
  </si>
  <si>
    <t>Conv_1974-02-07_R1-VRNDAVAN.MP3</t>
  </si>
  <si>
    <t>https://audio.iskcondesiretree.com/01_-_Srila_Prabhupada/01_-_Lectures/01_-_English/02_-_Month_wise/02_-_Feburary/07/Conv_1974-02-07_R1-VRNDAVAN.MP3</t>
  </si>
  <si>
    <t>SP_BG_04-02_Vrindavan_1974-02-08.mp3</t>
  </si>
  <si>
    <t>https://audio.iskcondesiretree.com/01_-_Srila_Prabhupada/01_-_Lectures/01_-_English/01_-_Topic_wise/Bhagavad_Gita/Chapter-04/SP_BG_04-02_Vrindavan_1974-02-08.mp3</t>
  </si>
  <si>
    <t>SP_Room_Conversation_01_Vrindavan_1974-02-08.mp3</t>
  </si>
  <si>
    <t>https://audio.iskcondesiretree.com/01_-_Srila_Prabhupada/01_-_Lectures/01_-_English/01_-_Topic_wise/Room_Conversation/SP_Room_Conversation_01_Vrindavan_1974-02-08.mp3</t>
  </si>
  <si>
    <t>SP_Room_Conversation_02_Vrindavan_1974-02-08.mp3</t>
  </si>
  <si>
    <t>https://audio.iskcondesiretree.com/01_-_Srila_Prabhupada/01_-_Lectures/01_-_English/01_-_Topic_wise/Room_Conversation/SP_Room_Conversation_02_Vrindavan_1974-02-08.mp3</t>
  </si>
  <si>
    <t>Bg-04-02_1974-02-08_BG-VRNDAVAN.MP3</t>
  </si>
  <si>
    <t>https://audio.iskcondesiretree.com/01_-_Srila_Prabhupada/01_-_Lectures/01_-_English/02_-_Month_wise/02_-_Feburary/08/Bg-04-02_1974-02-08_BG-VRNDAVAN.MP3</t>
  </si>
  <si>
    <t>Conv_1974-02-08_R1-VRNDAVAN.MP3</t>
  </si>
  <si>
    <t>https://audio.iskcondesiretree.com/01_-_Srila_Prabhupada/01_-_Lectures/01_-_English/02_-_Month_wise/02_-_Feburary/08/Conv_1974-02-08_R1-VRNDAVAN.MP3</t>
  </si>
  <si>
    <t>Conv_1974-02-08_R2-VRNDAVAN.MP3</t>
  </si>
  <si>
    <t>https://audio.iskcondesiretree.com/01_-_Srila_Prabhupada/01_-_Lectures/01_-_English/02_-_Month_wise/02_-_Feburary/08/Conv_1974-02-08_R2-VRNDAVAN.MP3</t>
  </si>
  <si>
    <t>SP_Room_Conversation_Vrindavan_1974-02-09.mp3</t>
  </si>
  <si>
    <t>https://audio.iskcondesiretree.com/01_-_Srila_Prabhupada/01_-_Lectures/01_-_English/01_-_Topic_wise/Room_Conversation/SP_Room_Conversation_Vrindavan_1974-02-09.mp3</t>
  </si>
  <si>
    <t>Conv_1974-02-09_R1-VRNDAVAN.MP3</t>
  </si>
  <si>
    <t>https://audio.iskcondesiretree.com/01_-_Srila_Prabhupada/01_-_Lectures/01_-_English/02_-_Month_wise/02_-_Feburary/09/Conv_1974-02-09_R1-VRNDAVAN.MP3</t>
  </si>
  <si>
    <t>SP_BG_04-03_Vrindavan_1974-02-10.mp3</t>
  </si>
  <si>
    <t>https://audio.iskcondesiretree.com/01_-_Srila_Prabhupada/01_-_Lectures/01_-_English/01_-_Topic_wise/Bhagavad_Gita/Chapter-04/SP_BG_04-03_Vrindavan_1974-02-10.mp3</t>
  </si>
  <si>
    <t>Bg-04-03_1974-02-10_BG-VRNDAVAN.MP3</t>
  </si>
  <si>
    <t>https://audio.iskcondesiretree.com/01_-_Srila_Prabhupada/01_-_Lectures/01_-_English/02_-_Month_wise/02_-_Feburary/10/Bg-04-03_1974-02-10_BG-VRNDAVAN.MP3</t>
  </si>
  <si>
    <t>SP_Festivals_Vrindavan_1974-02-11_Appearance_Day_of_Srila_Bhaktisiddhanta_Sarasvati_Thakura.mp3</t>
  </si>
  <si>
    <t>https://audio.iskcondesiretree.com/01_-_Srila_Prabhupada/01_-_Lectures/01_-_English/01_-_Topic_wise/Festivals/SP_Festivals_Vrindavan_1974-02-11_Appearance_Day_of_Srila_Bhaktisiddhanta_Sarasvati_Thakura.mp3</t>
  </si>
  <si>
    <t>SP_Morning_Walk_-_Vrindavan_1974-02-11.mp3</t>
  </si>
  <si>
    <t>https://audio.iskcondesiretree.com/01_-_Srila_Prabhupada/01_-_Lectures/01_-_English/01_-_Topic_wise/Morning_Walk/SP_Morning_Walk_-_Vrindavan_1974-02-11.mp3</t>
  </si>
  <si>
    <t>Bhaktisiddhanta_Appearance_1974-02-11_BA-VRNDAVAN.MP3</t>
  </si>
  <si>
    <t>https://audio.iskcondesiretree.com/01_-_Srila_Prabhupada/01_-_Lectures/01_-_English/02_-_Month_wise/02_-_Feburary/11/Bhaktisiddhanta_Appearance_1974-02-11_BA-VRNDAVAN.MP3</t>
  </si>
  <si>
    <t>Conv_1974-02-11_MW-VRNDAVAN.MP3</t>
  </si>
  <si>
    <t>https://audio.iskcondesiretree.com/01_-_Srila_Prabhupada/01_-_Lectures/01_-_English/02_-_Month_wise/02_-_Feburary/11/Conv_1974-02-11_MW-VRNDAVAN.MP3</t>
  </si>
  <si>
    <t>SP_BG_04-04_Vrindavan_1974-02-12.mp3</t>
  </si>
  <si>
    <t>https://audio.iskcondesiretree.com/01_-_Srila_Prabhupada/01_-_Lectures/01_-_English/01_-_Topic_wise/Bhagavad_Gita/Chapter-04/SP_BG_04-04_Vrindavan_1974-02-12.mp3</t>
  </si>
  <si>
    <t>SP_Lecture_Vrindavan_1974-02-12.mp3</t>
  </si>
  <si>
    <t>https://audio.iskcondesiretree.com/01_-_Srila_Prabhupada/01_-_Lectures/01_-_English/01_-_Topic_wise/Various/SP_Lecture_Vrindavan_1974-02-12.mp3</t>
  </si>
  <si>
    <t>Bg-04-04_1974-02-12_BG-VRNDAVAN.MP3</t>
  </si>
  <si>
    <t>https://audio.iskcondesiretree.com/01_-_Srila_Prabhupada/01_-_Lectures/01_-_English/02_-_Month_wise/02_-_Feburary/12/Bg-04-04_1974-02-12_BG-VRNDAVAN.MP3</t>
  </si>
  <si>
    <t>Lecture_1974-02-12_LE-VRNDAVAN.MP3</t>
  </si>
  <si>
    <t>https://audio.iskcondesiretree.com/01_-_Srila_Prabhupada/01_-_Lectures/01_-_English/02_-_Month_wise/02_-_Feburary/12/Lecture_1974-02-12_LE-VRNDAVAN.MP3</t>
  </si>
  <si>
    <t>SP_BG_04-05_Vrindavan_1974-02-13.mp3</t>
  </si>
  <si>
    <t>https://audio.iskcondesiretree.com/01_-_Srila_Prabhupada/01_-_Lectures/01_-_English/01_-_Topic_wise/Bhagavad_Gita/Chapter-04/SP_BG_04-05_Vrindavan_1974-02-13.mp3</t>
  </si>
  <si>
    <t>SP_Room_Conversation_01_Vrindavan_1974-02-13.mp3</t>
  </si>
  <si>
    <t>https://audio.iskcondesiretree.com/01_-_Srila_Prabhupada/01_-_Lectures/01_-_English/01_-_Topic_wise/Room_Conversation/SP_Room_Conversation_01_Vrindavan_1974-02-13.mp3</t>
  </si>
  <si>
    <t>SP_Room_Conversation_02_Vrindavan_1974-02-13.mp3</t>
  </si>
  <si>
    <t>https://audio.iskcondesiretree.com/01_-_Srila_Prabhupada/01_-_Lectures/01_-_English/01_-_Topic_wise/Room_Conversation/SP_Room_Conversation_02_Vrindavan_1974-02-13.mp3</t>
  </si>
  <si>
    <t>Bg-04-05_1974-02-13_BG-VRNDAVAN.MP3</t>
  </si>
  <si>
    <t>https://audio.iskcondesiretree.com/01_-_Srila_Prabhupada/01_-_Lectures/01_-_English/02_-_Month_wise/02_-_Feburary/13/Bg-04-05_1974-02-13_BG-VRNDAVAN.MP3</t>
  </si>
  <si>
    <t>Conv_1974-02-13_R1-VRNDAVAN.MP3</t>
  </si>
  <si>
    <t>https://audio.iskcondesiretree.com/01_-_Srila_Prabhupada/01_-_Lectures/01_-_English/02_-_Month_wise/02_-_Feburary/13/Conv_1974-02-13_R1-VRNDAVAN.MP3</t>
  </si>
  <si>
    <t>Conv_1974-02-13_R2-VRNDAVAN.MP3</t>
  </si>
  <si>
    <t>https://audio.iskcondesiretree.com/01_-_Srila_Prabhupada/01_-_Lectures/01_-_English/02_-_Month_wise/02_-_Feburary/13/Conv_1974-02-13_R2-VRNDAVAN.MP3</t>
  </si>
  <si>
    <t>Lecture%E2%80%93Hindi_1974-02-13_LE-VRNDAVAN.MP3</t>
  </si>
  <si>
    <t>https://audio.iskcondesiretree.com/01_-_Srila_Prabhupada/01_-_Lectures/01_-_English/02_-_Month_wise/02_-_Feburary/13/Lecture%E2%80%93Hindi_1974-02-13_LE-VRNDAVAN.MP3</t>
  </si>
  <si>
    <t>Conv_1974-02-14_R1-VRNDAVAN.MP3</t>
  </si>
  <si>
    <t>https://audio.iskcondesiretree.com/01_-_Srila_Prabhupada/01_-_Lectures/01_-_English/02_-_Month_wise/02_-_Feburary/14/Conv_1974-02-14_R1-VRNDAVAN.MP3</t>
  </si>
  <si>
    <t>SP_Morning_Walk_-_Hawaii_1974-02-17_Let_Everyone_Be_Happy.mp3</t>
  </si>
  <si>
    <t>https://audio.iskcondesiretree.com/01_-_Srila_Prabhupada/01_-_Lectures/01_-_English/01_-_Topic_wise/Morning_Walk/SP_Morning_Walk_-_Hawaii_1974-02-17_Let_Everyone_Be_Happy.mp3</t>
  </si>
  <si>
    <t>MW_HAW_1974-02-17_Let_Everyone_Be_Happy.mp3</t>
  </si>
  <si>
    <t>https://audio.iskcondesiretree.com/01_-_Srila_Prabhupada/01_-_Lectures/01_-_English/02_-_Month_wise/02_-_Feburary/17/MW_HAW_1974-02-17_Let_Everyone_Be_Happy.mp3</t>
  </si>
  <si>
    <t>Walk_1974-02-17_MW-BOMBAY.MP3</t>
  </si>
  <si>
    <t>https://audio.iskcondesiretree.com/01_-_Srila_Prabhupada/01_-_Lectures/01_-_English/02_-_Month_wise/02_-_Feburary/17/Walk_1974-02-17_MW-BOMBAY.MP3</t>
  </si>
  <si>
    <t>SP_BG_07-03_Bombay_1974-02-18_One_in_Many_Million.mp3</t>
  </si>
  <si>
    <t>https://audio.iskcondesiretree.com/01_-_Srila_Prabhupada/01_-_Lectures/01_-_English/01_-_Topic_wise/Bhagavad_Gita/Chapter-07/SP_BG_07-03_Bombay_1974-02-18_One_in_Many_Million.mp3</t>
  </si>
  <si>
    <t>Bg-07-03_1974-02-18_BG-BOMBAY.MP3</t>
  </si>
  <si>
    <t>https://audio.iskcondesiretree.com/01_-_Srila_Prabhupada/01_-_Lectures/01_-_English/02_-_Month_wise/02_-_Feburary/18/Bg-07-03_1974-02-18_BG-BOMBAY.MP3</t>
  </si>
  <si>
    <t>Bg_07-03_BOM_1974-02-18_One_in_Many_Million.mp3</t>
  </si>
  <si>
    <t>https://audio.iskcondesiretree.com/01_-_Srila_Prabhupada/01_-_Lectures/01_-_English/02_-_Month_wise/02_-_Feburary/18/Bg_07-03_BOM_1974-02-18_One_in_Many_Million.mp3</t>
  </si>
  <si>
    <t>SP_BG_07-04_Bombay_1974-02-19_Chemicals_Come_from_Life.mp3</t>
  </si>
  <si>
    <t>https://audio.iskcondesiretree.com/01_-_Srila_Prabhupada/01_-_Lectures/01_-_English/01_-_Topic_wise/Bhagavad_Gita/Chapter-07/SP_BG_07-04_Bombay_1974-02-19_Chemicals_Come_from_Life.mp3</t>
  </si>
  <si>
    <t>SP_Morning_Walk_-_Bombay_1974-02-19.mp3</t>
  </si>
  <si>
    <t>https://audio.iskcondesiretree.com/01_-_Srila_Prabhupada/01_-_Lectures/01_-_English/01_-_Topic_wise/Morning_Walk/SP_Morning_Walk_-_Bombay_1974-02-19.mp3</t>
  </si>
  <si>
    <t>Bg-07-04_1974-02-19_BG-BOMBAY.MP3</t>
  </si>
  <si>
    <t>https://audio.iskcondesiretree.com/01_-_Srila_Prabhupada/01_-_Lectures/01_-_English/02_-_Month_wise/02_-_Feburary/19/Bg-07-04_1974-02-19_BG-BOMBAY.MP3</t>
  </si>
  <si>
    <t>Bg_07-04_BOM_1974-02-19_Chemicals_Come_from_Life.mp3</t>
  </si>
  <si>
    <t>https://audio.iskcondesiretree.com/01_-_Srila_Prabhupada/01_-_Lectures/01_-_English/02_-_Month_wise/02_-_Feburary/19/Bg_07-04_BOM_1974-02-19_Chemicals_Come_from_Life.mp3</t>
  </si>
  <si>
    <t>Walk_1974-02-19_MW-BOMBAY.MP3</t>
  </si>
  <si>
    <t>https://audio.iskcondesiretree.com/01_-_Srila_Prabhupada/01_-_Lectures/01_-_English/02_-_Month_wise/02_-_Feburary/19/Walk_1974-02-19_MW-BOMBAY.MP3</t>
  </si>
  <si>
    <t>SP_BG_07-05_Bombay_1974-02-20.mp3</t>
  </si>
  <si>
    <t>https://audio.iskcondesiretree.com/01_-_Srila_Prabhupada/01_-_Lectures/01_-_English/01_-_Topic_wise/Bhagavad_Gita/Chapter-07/SP_BG_07-05_Bombay_1974-02-20.mp3</t>
  </si>
  <si>
    <t>SP_Morning_Walk_-_Bombay_1974-02-20.mp3</t>
  </si>
  <si>
    <t>https://audio.iskcondesiretree.com/01_-_Srila_Prabhupada/01_-_Lectures/01_-_English/01_-_Topic_wise/Morning_Walk/SP_Morning_Walk_-_Bombay_1974-02-20.mp3</t>
  </si>
  <si>
    <t>Bg-07-05_1974-02-20_BG-BOMBAY.MP3</t>
  </si>
  <si>
    <t>https://audio.iskcondesiretree.com/01_-_Srila_Prabhupada/01_-_Lectures/01_-_English/02_-_Month_wise/02_-_Feburary/20/Bg-07-05_1974-02-20_BG-BOMBAY.MP3</t>
  </si>
  <si>
    <t>Walk_1974-02-20_MW-BOMBAY.MP3</t>
  </si>
  <si>
    <t>https://audio.iskcondesiretree.com/01_-_Srila_Prabhupada/01_-_Lectures/01_-_English/02_-_Month_wise/02_-_Feburary/20/Walk_1974-02-20_MW-BOMBAY.MP3</t>
  </si>
  <si>
    <t>SP_Room_Conversation_01_Vrindavan_1974-02-21.mp3</t>
  </si>
  <si>
    <t>https://audio.iskcondesiretree.com/01_-_Srila_Prabhupada/01_-_Lectures/01_-_English/01_-_Topic_wise/Room_Conversation/SP_Room_Conversation_01_Vrindavan_1974-02-21.mp3</t>
  </si>
  <si>
    <t>SP_BG_07-07_Bombay_1974-02-22_Superior_to_All_Hodgepodge.mp3</t>
  </si>
  <si>
    <t>https://audio.iskcondesiretree.com/01_-_Srila_Prabhupada/01_-_Lectures/01_-_English/01_-_Topic_wise/Bhagavad_Gita/Chapter-07/SP_BG_07-07_Bombay_1974-02-22_Superior_to_All_Hodgepodge.mp3</t>
  </si>
  <si>
    <t>SP_Morning_Walk_-_Bombay_1974-02-22.mp3</t>
  </si>
  <si>
    <t>https://audio.iskcondesiretree.com/01_-_Srila_Prabhupada/01_-_Lectures/01_-_English/01_-_Topic_wise/Morning_Walk/SP_Morning_Walk_-_Bombay_1974-02-22.mp3</t>
  </si>
  <si>
    <t>Bg-07-07_1974-02-22_BG-BOMBAY.MP3</t>
  </si>
  <si>
    <t>https://audio.iskcondesiretree.com/01_-_Srila_Prabhupada/01_-_Lectures/01_-_English/02_-_Month_wise/02_-_Feburary/22/Bg-07-07_1974-02-22_BG-BOMBAY.MP3</t>
  </si>
  <si>
    <t>Bg_07-07_BOM_1974-02-22_Superior_to_All_Hodgepodge.mp3</t>
  </si>
  <si>
    <t>https://audio.iskcondesiretree.com/01_-_Srila_Prabhupada/01_-_Lectures/01_-_English/02_-_Month_wise/02_-_Feburary/22/Bg_07-07_BOM_1974-02-22_Superior_to_All_Hodgepodge.mp3</t>
  </si>
  <si>
    <t>Walk_1974-02-22_MW-BOMBAY.MP3</t>
  </si>
  <si>
    <t>https://audio.iskcondesiretree.com/01_-_Srila_Prabhupada/01_-_Lectures/01_-_English/02_-_Month_wise/02_-_Feburary/22/Walk_1974-02-22_MW-BOMBAY.MP3</t>
  </si>
  <si>
    <t>SP_BG_07-08_Bombay_1974-02-23_Try_to_Experience_Krishna.mp3</t>
  </si>
  <si>
    <t>https://audio.iskcondesiretree.com/01_-_Srila_Prabhupada/01_-_Lectures/01_-_English/01_-_Topic_wise/Bhagavad_Gita/Chapter-07/SP_BG_07-08_Bombay_1974-02-23_Try_to_Experience_Krishna.mp3</t>
  </si>
  <si>
    <t>SP_Morning_Walk_-_Bombay_1974-02-23_A_Good_Man_%26_a_Kick_in_the_Face.mp3</t>
  </si>
  <si>
    <t>https://audio.iskcondesiretree.com/01_-_Srila_Prabhupada/01_-_Lectures/01_-_English/01_-_Topic_wise/Morning_Walk/SP_Morning_Walk_-_Bombay_1974-02-23_A_Good_Man_%26_a_Kick_in_the_Face.mp3</t>
  </si>
  <si>
    <t>Bg-07-08_1974-02-23_BG-BOMBAY.MP3</t>
  </si>
  <si>
    <t>https://audio.iskcondesiretree.com/01_-_Srila_Prabhupada/01_-_Lectures/01_-_English/02_-_Month_wise/02_-_Feburary/23/Bg-07-08_1974-02-23_BG-BOMBAY.MP3</t>
  </si>
  <si>
    <t>Bg_07-08_BOM_1974-02-23_Try_to_Experience_Krishna.mp3</t>
  </si>
  <si>
    <t>https://audio.iskcondesiretree.com/01_-_Srila_Prabhupada/01_-_Lectures/01_-_English/02_-_Month_wise/02_-_Feburary/23/Bg_07-08_BOM_1974-02-23_Try_to_Experience_Krishna.mp3</t>
  </si>
  <si>
    <t>MW_BOM_1974-02-23_A_Good_Man_%26_a_Kick_in_the_Face.mp3</t>
  </si>
  <si>
    <t>https://audio.iskcondesiretree.com/01_-_Srila_Prabhupada/01_-_Lectures/01_-_English/02_-_Month_wise/02_-_Feburary/23/MW_BOM_1974-02-23_A_Good_Man_%26_a_Kick_in_the_Face.mp3</t>
  </si>
  <si>
    <t>Walk_1974-02-23_MW-BOMBAY.MP3</t>
  </si>
  <si>
    <t>https://audio.iskcondesiretree.com/01_-_Srila_Prabhupada/01_-_Lectures/01_-_English/02_-_Month_wise/02_-_Feburary/23/Walk_1974-02-23_MW-BOMBAY.MP3</t>
  </si>
  <si>
    <t>SP_BG_07-09_Bombay_1974-02-24_No_Brain_Behind_Nature.mp3</t>
  </si>
  <si>
    <t>https://audio.iskcondesiretree.com/01_-_Srila_Prabhupada/01_-_Lectures/01_-_English/01_-_Topic_wise/Bhagavad_Gita/Chapter-07/SP_BG_07-09_Bombay_1974-02-24_No_Brain_Behind_Nature.mp3</t>
  </si>
  <si>
    <t>Bg-07-09%E2%80%9310_1974-02-24_BG-BOMBAY.MP3</t>
  </si>
  <si>
    <t>https://audio.iskcondesiretree.com/01_-_Srila_Prabhupada/01_-_Lectures/01_-_English/02_-_Month_wise/02_-_Feburary/24/Bg-07-09%E2%80%9310_1974-02-24_BG-BOMBAY.MP3</t>
  </si>
  <si>
    <t>Bg_07-09_BOM_1974-02-24_No_Brain_Behind_Nature.mp3</t>
  </si>
  <si>
    <t>https://audio.iskcondesiretree.com/01_-_Srila_Prabhupada/01_-_Lectures/01_-_English/02_-_Month_wise/02_-_Feburary/24/Bg_07-09_BOM_1974-02-24_No_Brain_Behind_Nature.mp3</t>
  </si>
  <si>
    <t>SP_BG_07-11-12_Bombay_1974-02-25_Unplanned_Unwanted_Children.mp3</t>
  </si>
  <si>
    <t>https://audio.iskcondesiretree.com/01_-_Srila_Prabhupada/01_-_Lectures/01_-_English/01_-_Topic_wise/Bhagavad_Gita/Chapter-07/SP_BG_07-11-12_Bombay_1974-02-25_Unplanned_Unwanted_Children.mp3</t>
  </si>
  <si>
    <t>SP_BG_07-11_Bombay_1974-02-25_Unplanned_Unwanted_Children.mp3</t>
  </si>
  <si>
    <t>https://audio.iskcondesiretree.com/01_-_Srila_Prabhupada/01_-_Lectures/01_-_English/01_-_Topic_wise/Bhagavad_Gita/Chapter-07/SP_BG_07-11_Bombay_1974-02-25_Unplanned_Unwanted_Children.mp3</t>
  </si>
  <si>
    <t>SP_Morning_Walk_-_Bombay_1974-02-25.mp3</t>
  </si>
  <si>
    <t>https://audio.iskcondesiretree.com/01_-_Srila_Prabhupada/01_-_Lectures/01_-_English/01_-_Topic_wise/Morning_Walk/SP_Morning_Walk_-_Bombay_1974-02-25.mp3</t>
  </si>
  <si>
    <t>Bg-07-11%E2%80%9312_1974-02-25_BG-BOMBAY.MP3</t>
  </si>
  <si>
    <t>https://audio.iskcondesiretree.com/01_-_Srila_Prabhupada/01_-_Lectures/01_-_English/02_-_Month_wise/02_-_Feburary/25/Bg-07-11%E2%80%9312_1974-02-25_BG-BOMBAY.MP3</t>
  </si>
  <si>
    <t>Bg_07-11_BOM_1974-02-25_Unplanned_Unwanted_Children.mp3</t>
  </si>
  <si>
    <t>https://audio.iskcondesiretree.com/01_-_Srila_Prabhupada/01_-_Lectures/01_-_English/02_-_Month_wise/02_-_Feburary/25/Bg_07-11_BOM_1974-02-25_Unplanned_Unwanted_Children.mp3</t>
  </si>
  <si>
    <t>Walk_1974-02-25_MW-BOMBAY.MP3</t>
  </si>
  <si>
    <t>https://audio.iskcondesiretree.com/01_-_Srila_Prabhupada/01_-_Lectures/01_-_English/02_-_Month_wise/02_-_Feburary/25/Walk_1974-02-25_MW-BOMBAY.MP3</t>
  </si>
  <si>
    <t>SP_BG_15-01_Calcutta_1974-02-26_The_Purpose_of_Vedic_Study.mp3</t>
  </si>
  <si>
    <t>https://audio.iskcondesiretree.com/01_-_Srila_Prabhupada/01_-_Lectures/01_-_English/01_-_Topic_wise/Bhagavad_Gita/Chapter-15/SP_BG_15-01_Calcutta_1974-02-26_The_Purpose_of_Vedic_Study.mp3</t>
  </si>
  <si>
    <t>Bg-15-01_1974-02-26_BG-CALCUTTA.MP3</t>
  </si>
  <si>
    <t>https://audio.iskcondesiretree.com/01_-_Srila_Prabhupada/01_-_Lectures/01_-_English/02_-_Month_wise/02_-_Feburary/26/Bg-15-01_1974-02-26_BG-CALCUTTA.MP3</t>
  </si>
  <si>
    <t>Bg_15-01_CAL_1974-02-26_The_Purpose_of_Vedic_Study.mp3</t>
  </si>
  <si>
    <t>https://audio.iskcondesiretree.com/01_-_Srila_Prabhupada/01_-_Lectures/01_-_English/02_-_Month_wise/02_-_Feburary/26/Bg_15-01_CAL_1974-02-26_The_Purpose_of_Vedic_Study.mp3</t>
  </si>
  <si>
    <t>SP_SB_1-02-06_Calcutta_1974-02-27_Krishna_Takes_Only_the--etc.mp3</t>
  </si>
  <si>
    <t>https://audio.iskcondesiretree.com/01_-_Srila_Prabhupada/01_-_Lectures/01_-_English/01_-_Topic_wise/Srimad_Bhagavatam/Canto-01/SP_SB_1-02-06_Calcutta_1974-02-27_Krishna_Takes_Only_the--etc.mp3</t>
  </si>
  <si>
    <t>SB-01-02-06_1974-02-27_SB-CALCUTTA.MP3</t>
  </si>
  <si>
    <t>https://audio.iskcondesiretree.com/01_-_Srila_Prabhupada/01_-_Lectures/01_-_English/02_-_Month_wise/02_-_Feburary/27/SB-01-02-06_1974-02-27_SB-CALCUTTA.MP3</t>
  </si>
  <si>
    <t>SB_1-02-06_CAL_1974-02-27_Krishna_Takes_Only_the_etc.mp3</t>
  </si>
  <si>
    <t>https://audio.iskcondesiretree.com/01_-_Srila_Prabhupada/01_-_Lectures/01_-_English/02_-_Month_wise/02_-_Feburary/27/SB_1-02-06_CAL_1974-02-27_Krishna_Takes_Only_the_etc.mp3</t>
  </si>
  <si>
    <t>Adi_Lila</t>
  </si>
  <si>
    <t>SP_CC_A_07-01_Mayapur_1974-03-01_Lord_Caitanya--Not%20Killing--etc.mp3</t>
  </si>
  <si>
    <t>https://audio.iskcondesiretree.com/01_-_Srila_Prabhupada/01_-_Lectures/01_-_English/01_-_Topic_wise/Chaitanya_Charitamrita/Adi_Lila/SP_CC_A_07-01_Mayapur_1974-03-01_Lord_Caitanya--Not%20Killing--etc.mp3</t>
  </si>
  <si>
    <t>SP_CC_A_07-01_Mayapur_1974-03-01_Lord_Caitanya--Not_Killing--etc.mp3</t>
  </si>
  <si>
    <t>https://audio.iskcondesiretree.com/01_-_Srila_Prabhupada/01_-_Lectures/01_-_English/01_-_Topic_wise/Chaitanya_Charitamrita/Adi_Lila/SP_CC_A_07-01_Mayapur_1974-03-01_Lord_Caitanya--Not_Killing--etc.mp3</t>
  </si>
  <si>
    <t>Cc_A_7-01_MAY_1974-03-01_Lord_Caitanya--Not_Killing_etc.mp3</t>
  </si>
  <si>
    <t>https://audio.iskcondesiretree.com/01_-_Srila_Prabhupada/01_-_Lectures/01_-_English/02_-_Month_wise/03_-_March/01/Cc_A_7-01_MAY_1974-03-01_Lord_Caitanya--Not_Killing_etc.mp3</t>
  </si>
  <si>
    <t>CcAdi-07-001_1974-03-01_CC-MAYAPUR.MP3</t>
  </si>
  <si>
    <t>https://audio.iskcondesiretree.com/01_-_Srila_Prabhupada/01_-_Lectures/01_-_English/02_-_Month_wise/03_-_March/01/CcAdi-07-001_1974-03-01_CC-MAYAPUR.MP3</t>
  </si>
  <si>
    <t>SP_CC_A_07-02_Mayapur_1974-03-02.mp3</t>
  </si>
  <si>
    <t>https://audio.iskcondesiretree.com/01_-_Srila_Prabhupada/01_-_Lectures/01_-_English/01_-_Topic_wise/Chaitanya_Charitamrita/Adi_Lila/SP_CC_A_07-02_Mayapur_1974-03-02.mp3</t>
  </si>
  <si>
    <t>SP_Morning_Walk_-_Mayapur_1974-03-02.mp3</t>
  </si>
  <si>
    <t>https://audio.iskcondesiretree.com/01_-_Srila_Prabhupada/01_-_Lectures/01_-_English/01_-_Topic_wise/Morning_Walk/SP_Morning_Walk_-_Mayapur_1974-03-02.mp3</t>
  </si>
  <si>
    <t>CcAdi-07-002_1974-03-02_CC-MAYAPUR.MP3</t>
  </si>
  <si>
    <t>https://audio.iskcondesiretree.com/01_-_Srila_Prabhupada/01_-_Lectures/01_-_English/02_-_Month_wise/03_-_March/02/CcAdi-07-002_1974-03-02_CC-MAYAPUR.MP3</t>
  </si>
  <si>
    <t>Walk_1974-03-02_MW-MAYAPUR.MP3</t>
  </si>
  <si>
    <t>https://audio.iskcondesiretree.com/01_-_Srila_Prabhupada/01_-_Lectures/01_-_English/02_-_Month_wise/03_-_March/02/Walk_1974-03-02_MW-MAYAPUR.MP3</t>
  </si>
  <si>
    <t>SP_CC_A_07-03_Mayapur_1974-03-03_Stop_Serving_the_Senses.mp3</t>
  </si>
  <si>
    <t>https://audio.iskcondesiretree.com/01_-_Srila_Prabhupada/01_-_Lectures/01_-_English/01_-_Topic_wise/Chaitanya_Charitamrita/Adi_Lila/SP_CC_A_07-03_Mayapur_1974-03-03_Stop_Serving_the_Senses.mp3</t>
  </si>
  <si>
    <t>SP_Morning_Walk_-_Mayapur_1974-03-03.mp3</t>
  </si>
  <si>
    <t>https://audio.iskcondesiretree.com/01_-_Srila_Prabhupada/01_-_Lectures/01_-_English/01_-_Topic_wise/Morning_Walk/SP_Morning_Walk_-_Mayapur_1974-03-03.mp3</t>
  </si>
  <si>
    <t>Cc_A_7-03_MAY_1974-03-03_Stop_Serving_the_Senses.mp3</t>
  </si>
  <si>
    <t>https://audio.iskcondesiretree.com/01_-_Srila_Prabhupada/01_-_Lectures/01_-_English/02_-_Month_wise/03_-_March/03/Cc_A_7-03_MAY_1974-03-03_Stop_Serving_the_Senses.mp3</t>
  </si>
  <si>
    <t>CcAdi-07-003_1974-03-03_CC-MAYAPUR.MP3</t>
  </si>
  <si>
    <t>https://audio.iskcondesiretree.com/01_-_Srila_Prabhupada/01_-_Lectures/01_-_English/02_-_Month_wise/03_-_March/03/CcAdi-07-003_1974-03-03_CC-MAYAPUR.MP3</t>
  </si>
  <si>
    <t>Walk_1974-03-03_MW-MAYAPUR.MP3</t>
  </si>
  <si>
    <t>https://audio.iskcondesiretree.com/01_-_Srila_Prabhupada/01_-_Lectures/01_-_English/02_-_Month_wise/03_-_March/03/Walk_1974-03-03_MW-MAYAPUR.MP3</t>
  </si>
  <si>
    <t>SP_CC_A_07-04_Mayapur_1974-03-04_No_Mills%2C_No--etc.mp3</t>
  </si>
  <si>
    <t>https://audio.iskcondesiretree.com/01_-_Srila_Prabhupada/01_-_Lectures/01_-_English/01_-_Topic_wise/Chaitanya_Charitamrita/Adi_Lila/SP_CC_A_07-04_Mayapur_1974-03-04_No_Mills%2C_No--etc.mp3</t>
  </si>
  <si>
    <t>SP_Morning_Walk_-_Mayapur_1974-03-04.mp3</t>
  </si>
  <si>
    <t>https://audio.iskcondesiretree.com/01_-_Srila_Prabhupada/01_-_Lectures/01_-_English/01_-_Topic_wise/Morning_Walk/SP_Morning_Walk_-_Mayapur_1974-03-04.mp3</t>
  </si>
  <si>
    <t>Cc_A_7-04_MAY_1974-03-04_No_Mills_No_etc.mp3</t>
  </si>
  <si>
    <t>https://audio.iskcondesiretree.com/01_-_Srila_Prabhupada/01_-_Lectures/01_-_English/02_-_Month_wise/03_-_March/04/Cc_A_7-04_MAY_1974-03-04_No_Mills_No_etc.mp3</t>
  </si>
  <si>
    <t>CcAdi-07-004_1974-03-04_CC-MAYAPUR.MP3</t>
  </si>
  <si>
    <t>https://audio.iskcondesiretree.com/01_-_Srila_Prabhupada/01_-_Lectures/01_-_English/02_-_Month_wise/03_-_March/04/CcAdi-07-004_1974-03-04_CC-MAYAPUR.MP3</t>
  </si>
  <si>
    <t>Walk_1974-03-04_MW-MAYAPUR.MP3</t>
  </si>
  <si>
    <t>https://audio.iskcondesiretree.com/01_-_Srila_Prabhupada/01_-_Lectures/01_-_English/02_-_Month_wise/03_-_March/04/Walk_1974-03-04_MW-MAYAPUR.MP3</t>
  </si>
  <si>
    <t>SP_Morning_Walk_-_Mayapur_1974-03-05.mp3</t>
  </si>
  <si>
    <t>https://audio.iskcondesiretree.com/01_-_Srila_Prabhupada/01_-_Lectures/01_-_English/01_-_Topic_wise/Morning_Walk/SP_Morning_Walk_-_Mayapur_1974-03-05.mp3</t>
  </si>
  <si>
    <t>Walk_1974-03-05_MW-MAYAPUR.MP3</t>
  </si>
  <si>
    <t>https://audio.iskcondesiretree.com/01_-_Srila_Prabhupada/01_-_Lectures/01_-_English/02_-_Month_wise/03_-_March/05/Walk_1974-03-05_MW-MAYAPUR.MP3</t>
  </si>
  <si>
    <t>SP_Morning_Walk_-_Mayapur_1974-03-06_Americans_Must_Smell_a_Machine.mp3</t>
  </si>
  <si>
    <t>https://audio.iskcondesiretree.com/01_-_Srila_Prabhupada/01_-_Lectures/01_-_English/01_-_Topic_wise/Morning_Walk/SP_Morning_Walk_-_Mayapur_1974-03-06_Americans_Must_Smell_a_Machine.mp3</t>
  </si>
  <si>
    <t>MW_MAY_1974-03-06_Americans_Must_Smell_a_Machine.mp3</t>
  </si>
  <si>
    <t>https://audio.iskcondesiretree.com/01_-_Srila_Prabhupada/01_-_Lectures/01_-_English/02_-_Month_wise/03_-_March/06/MW_MAY_1974-03-06_Americans_Must_Smell_a_Machine.mp3</t>
  </si>
  <si>
    <t>Walk_1974-03-06_MW-MAYAPUR.MP3</t>
  </si>
  <si>
    <t>https://audio.iskcondesiretree.com/01_-_Srila_Prabhupada/01_-_Lectures/01_-_English/02_-_Month_wise/03_-_March/06/Walk_1974-03-06_MW-MAYAPUR.MP3</t>
  </si>
  <si>
    <t>SP_CC_A_07-05_Mayapur_1974-03-07_Krishna_Is_the_Ocean_of_Pleasure.mp3</t>
  </si>
  <si>
    <t>https://audio.iskcondesiretree.com/01_-_Srila_Prabhupada/01_-_Lectures/01_-_English/01_-_Topic_wise/Chaitanya_Charitamrita/Adi_Lila/SP_CC_A_07-05_Mayapur_1974-03-07_Krishna_Is_the_Ocean_of_Pleasure.mp3</t>
  </si>
  <si>
    <t>SP_Morning_Walk_-_Mayapur_1974-03-07.mp3</t>
  </si>
  <si>
    <t>https://audio.iskcondesiretree.com/01_-_Srila_Prabhupada/01_-_Lectures/01_-_English/01_-_Topic_wise/Morning_Walk/SP_Morning_Walk_-_Mayapur_1974-03-07.mp3</t>
  </si>
  <si>
    <t>Cc_A_7-05_MAY_1974-03-07_Krishna_Is_the_Ocean_of_Pleasure.mp3</t>
  </si>
  <si>
    <t>https://audio.iskcondesiretree.com/01_-_Srila_Prabhupada/01_-_Lectures/01_-_English/02_-_Month_wise/03_-_March/07/Cc_A_7-05_MAY_1974-03-07_Krishna_Is_the_Ocean_of_Pleasure.mp3</t>
  </si>
  <si>
    <t>CcAdi-07-005_1974-03-07_CC-MAYAPUR.MP3</t>
  </si>
  <si>
    <t>https://audio.iskcondesiretree.com/01_-_Srila_Prabhupada/01_-_Lectures/01_-_English/02_-_Month_wise/03_-_March/07/CcAdi-07-005_1974-03-07_CC-MAYAPUR.MP3</t>
  </si>
  <si>
    <t>Walk_1974-03-07_MW-MAYAPUR.MP3</t>
  </si>
  <si>
    <t>https://audio.iskcondesiretree.com/01_-_Srila_Prabhupada/01_-_Lectures/01_-_English/02_-_Month_wise/03_-_March/07/Walk_1974-03-07_MW-MAYAPUR.MP3</t>
  </si>
  <si>
    <t>SP_CC_A_07-07_Mayapur_1974-03-09_Krishna_Kills_the_Competition.mp3</t>
  </si>
  <si>
    <t>https://audio.iskcondesiretree.com/01_-_Srila_Prabhupada/01_-_Lectures/01_-_English/01_-_Topic_wise/Chaitanya_Charitamrita/Adi_Lila/SP_CC_A_07-07_Mayapur_1974-03-09_Krishna_Kills_the_Competition.mp3</t>
  </si>
  <si>
    <t>SP_Morning_Walk_-_Mayapur_1974-03-09_The_Spirit_of_the_Law.mp3</t>
  </si>
  <si>
    <t>https://audio.iskcondesiretree.com/01_-_Srila_Prabhupada/01_-_Lectures/01_-_English/01_-_Topic_wise/Morning_Walk/SP_Morning_Walk_-_Mayapur_1974-03-09_The_Spirit_of_the_Law.mp3</t>
  </si>
  <si>
    <t>Cc_A_7-07_MAY_1974-03-09_Krishna_Kills_the_Competition.mp3</t>
  </si>
  <si>
    <t>https://audio.iskcondesiretree.com/01_-_Srila_Prabhupada/01_-_Lectures/01_-_English/02_-_Month_wise/03_-_March/09/Cc_A_7-07_MAY_1974-03-09_Krishna_Kills_the_Competition.mp3</t>
  </si>
  <si>
    <t>CcAdi-07-007_1974-03-09_CC-MAYAPUR.MP3</t>
  </si>
  <si>
    <t>https://audio.iskcondesiretree.com/01_-_Srila_Prabhupada/01_-_Lectures/01_-_English/02_-_Month_wise/03_-_March/09/CcAdi-07-007_1974-03-09_CC-MAYAPUR.MP3</t>
  </si>
  <si>
    <t>MW_MAY_1974-03-09_The_Spirit_of_the_Law.mp3</t>
  </si>
  <si>
    <t>https://audio.iskcondesiretree.com/01_-_Srila_Prabhupada/01_-_Lectures/01_-_English/02_-_Month_wise/03_-_March/09/MW_MAY_1974-03-09_The_Spirit_of_the_Law.mp3</t>
  </si>
  <si>
    <t>Walk_1974-03-09_MW-MAYAPUR.MP3</t>
  </si>
  <si>
    <t>https://audio.iskcondesiretree.com/01_-_Srila_Prabhupada/01_-_Lectures/01_-_English/02_-_Month_wise/03_-_March/09/Walk_1974-03-09_MW-MAYAPUR.MP3</t>
  </si>
  <si>
    <t>Lecture%E2%80%93Bengali_1974-03-10_LE-CALCUTTA.MP3</t>
  </si>
  <si>
    <t>https://audio.iskcondesiretree.com/01_-_Srila_Prabhupada/01_-_Lectures/01_-_English/02_-_Month_wise/03_-_March/10/Lecture%E2%80%93Bengali_1974-03-10_LE-CALCUTTA.MP3</t>
  </si>
  <si>
    <t>SP_Morning_Walk_-_Vrindavan_1974-03-12.mp3</t>
  </si>
  <si>
    <t>https://audio.iskcondesiretree.com/01_-_Srila_Prabhupada/01_-_Lectures/01_-_English/01_-_Topic_wise/Morning_Walk/SP_Morning_Walk_-_Vrindavan_1974-03-12.mp3</t>
  </si>
  <si>
    <t>Walk_1974-03-12_MW-VRNDAVAN.MP3</t>
  </si>
  <si>
    <t>https://audio.iskcondesiretree.com/01_-_Srila_Prabhupada/01_-_Lectures/01_-_English/02_-_Month_wise/03_-_March/12/Walk_1974-03-12_MW-VRNDAVAN.MP3</t>
  </si>
  <si>
    <t>SP_CC_A_07-91_Vrindavan_1974-03-13_Singing_in_Saintly_Company.mp3</t>
  </si>
  <si>
    <t>https://audio.iskcondesiretree.com/01_-_Srila_Prabhupada/01_-_Lectures/01_-_English/01_-_Topic_wise/Chaitanya_Charitamrita/Adi_Lila/SP_CC_A_07-91_Vrindavan_1974-03-13_Singing_in_Saintly_Company.mp3</t>
  </si>
  <si>
    <t>SP_Morning_Walk_-_Vrindavan_1974-03-13.mp3</t>
  </si>
  <si>
    <t>https://audio.iskcondesiretree.com/01_-_Srila_Prabhupada/01_-_Lectures/01_-_English/01_-_Topic_wise/Morning_Walk/SP_Morning_Walk_-_Vrindavan_1974-03-13.mp3</t>
  </si>
  <si>
    <t>Cc_A_7-91_VRN_1974-03-13_Singing_in_Saintly_Company.mp3</t>
  </si>
  <si>
    <t>https://audio.iskcondesiretree.com/01_-_Srila_Prabhupada/01_-_Lectures/01_-_English/02_-_Month_wise/03_-_March/13/Cc_A_7-91_VRN_1974-03-13_Singing_in_Saintly_Company.mp3</t>
  </si>
  <si>
    <t>CcAdi-07-091%E2%80%93092_1974-03-13_CC-VRNDAVAN.MP3</t>
  </si>
  <si>
    <t>https://audio.iskcondesiretree.com/01_-_Srila_Prabhupada/01_-_Lectures/01_-_English/02_-_Month_wise/03_-_March/13/CcAdi-07-091%E2%80%93092_1974-03-13_CC-VRNDAVAN.MP3</t>
  </si>
  <si>
    <t>Walk_1974-03-13_MW-VRNDAVAN.MP3</t>
  </si>
  <si>
    <t>https://audio.iskcondesiretree.com/01_-_Srila_Prabhupada/01_-_Lectures/01_-_English/02_-_Month_wise/03_-_March/13/Walk_1974-03-13_MW-VRNDAVAN.MP3</t>
  </si>
  <si>
    <t>SP_Morning_Walk_-_Vrindavan_1974-03-14_Varnashram_College_1--Revise_Human--etc.mp3</t>
  </si>
  <si>
    <t>https://audio.iskcondesiretree.com/01_-_Srila_Prabhupada/01_-_Lectures/01_-_English/01_-_Topic_wise/Morning_Walk/SP_Morning_Walk_-_Vrindavan_1974-03-14_Varnashram_College_1--Revise_Human--etc.mp3</t>
  </si>
  <si>
    <t>Lecture_1974-03-14_LE-VRNDAVAN.MP3</t>
  </si>
  <si>
    <t>https://audio.iskcondesiretree.com/01_-_Srila_Prabhupada/01_-_Lectures/01_-_English/02_-_Month_wise/03_-_March/14/Lecture_1974-03-14_LE-VRNDAVAN.MP3</t>
  </si>
  <si>
    <t>MW_VRN_1974-03-14_Varnashram_College_1--Revise_Human_etc.mp3</t>
  </si>
  <si>
    <t>https://audio.iskcondesiretree.com/01_-_Srila_Prabhupada/01_-_Lectures/01_-_English/02_-_Month_wise/03_-_March/14/MW_VRN_1974-03-14_Varnashram_College_1--Revise_Human_etc.mp3</t>
  </si>
  <si>
    <t>Walk_1974-03-14_MW-VRNDAVAN.MP3</t>
  </si>
  <si>
    <t>https://audio.iskcondesiretree.com/01_-_Srila_Prabhupada/01_-_Lectures/01_-_English/02_-_Month_wise/03_-_March/14/Walk_1974-03-14_MW-VRNDAVAN.MP3</t>
  </si>
  <si>
    <t>SP_CC_A_07-08_Vrindavan_1974-03-15.mp3</t>
  </si>
  <si>
    <t>https://audio.iskcondesiretree.com/01_-_Srila_Prabhupada/01_-_Lectures/01_-_English/01_-_Topic_wise/Chaitanya_Charitamrita/Adi_Lila/SP_CC_A_07-08_Vrindavan_1974-03-15.mp3</t>
  </si>
  <si>
    <t>SP_Morning_Walk_-_Vrindavan_1974-03-15_Varnashram_College_2--One--etc.mp3</t>
  </si>
  <si>
    <t>https://audio.iskcondesiretree.com/01_-_Srila_Prabhupada/01_-_Lectures/01_-_English/01_-_Topic_wise/Morning_Walk/SP_Morning_Walk_-_Vrindavan_1974-03-15_Varnashram_College_2--One--etc.mp3</t>
  </si>
  <si>
    <t>SP_Room_Conversation_with_Sannyasis_Vrindavan_1974-03-15.mp3</t>
  </si>
  <si>
    <t>https://audio.iskcondesiretree.com/01_-_Srila_Prabhupada/01_-_Lectures/01_-_English/01_-_Topic_wise/Room_Conversation/SP_Room_Conversation_with_Sannyasis_Vrindavan_1974-03-15.mp3</t>
  </si>
  <si>
    <t>CcAdi-07-008_1974-03-15_CC-VRNDAVAN.MP3</t>
  </si>
  <si>
    <t>https://audio.iskcondesiretree.com/01_-_Srila_Prabhupada/01_-_Lectures/01_-_English/02_-_Month_wise/03_-_March/15/CcAdi-07-008_1974-03-15_CC-VRNDAVAN.MP3</t>
  </si>
  <si>
    <t>Conv_1974-03-15_R1-VRNDAVAN.MP3</t>
  </si>
  <si>
    <t>https://audio.iskcondesiretree.com/01_-_Srila_Prabhupada/01_-_Lectures/01_-_English/02_-_Month_wise/03_-_March/15/Conv_1974-03-15_R1-VRNDAVAN.MP3</t>
  </si>
  <si>
    <t>MW_VRN_1974-03-15_Varnashram_College_2--One_etc.mp3</t>
  </si>
  <si>
    <t>https://audio.iskcondesiretree.com/01_-_Srila_Prabhupada/01_-_Lectures/01_-_English/02_-_Month_wise/03_-_March/15/MW_VRN_1974-03-15_Varnashram_College_2--One_etc.mp3</t>
  </si>
  <si>
    <t>Walk_1974-03-15_MW-VRNDAVAN.MP3</t>
  </si>
  <si>
    <t>https://audio.iskcondesiretree.com/01_-_Srila_Prabhupada/01_-_Lectures/01_-_English/02_-_Month_wise/03_-_March/15/Walk_1974-03-15_MW-VRNDAVAN.MP3</t>
  </si>
  <si>
    <t>SP_Morning_Walk_-_Vrindavan_1974-03-16.mp3</t>
  </si>
  <si>
    <t>https://audio.iskcondesiretree.com/01_-_Srila_Prabhupada/01_-_Lectures/01_-_English/01_-_Topic_wise/Morning_Walk/SP_Morning_Walk_-_Vrindavan_1974-03-16.mp3</t>
  </si>
  <si>
    <t>SP_Room_Conversation_01_Vrindavan_1974-03-16.mp3</t>
  </si>
  <si>
    <t>https://audio.iskcondesiretree.com/01_-_Srila_Prabhupada/01_-_Lectures/01_-_English/01_-_Topic_wise/Room_Conversation/SP_Room_Conversation_01_Vrindavan_1974-03-16.mp3</t>
  </si>
  <si>
    <t>SP_Room_Conversation_02_Vrindavan_1974-03-16.mp3</t>
  </si>
  <si>
    <t>https://audio.iskcondesiretree.com/01_-_Srila_Prabhupada/01_-_Lectures/01_-_English/01_-_Topic_wise/Room_Conversation/SP_Room_Conversation_02_Vrindavan_1974-03-16.mp3</t>
  </si>
  <si>
    <t>SP_SB_2-01-01_Vrindavan_1974-03-16_How_to_Be_Fearless_at_Death.mp3</t>
  </si>
  <si>
    <t>https://audio.iskcondesiretree.com/01_-_Srila_Prabhupada/01_-_Lectures/01_-_English/01_-_Topic_wise/Srimad_Bhagavatam/Canto-02/SP_SB_2-01-01_Vrindavan_1974-03-16_How_to_Be_Fearless_at_Death.mp3</t>
  </si>
  <si>
    <t>Conv_1974-03-16_R1-VRNDAVAN.MP3</t>
  </si>
  <si>
    <t>https://audio.iskcondesiretree.com/01_-_Srila_Prabhupada/01_-_Lectures/01_-_English/02_-_Month_wise/03_-_March/16/Conv_1974-03-16_R1-VRNDAVAN.MP3</t>
  </si>
  <si>
    <t>Conv_1974-03-16_R2-VRNDAVAN.MP3</t>
  </si>
  <si>
    <t>https://audio.iskcondesiretree.com/01_-_Srila_Prabhupada/01_-_Lectures/01_-_English/02_-_Month_wise/03_-_March/16/Conv_1974-03-16_R2-VRNDAVAN.MP3</t>
  </si>
  <si>
    <t>SB-02-01-01_1974-03-16_SB-VRNDAVAN.MP3</t>
  </si>
  <si>
    <t>https://audio.iskcondesiretree.com/01_-_Srila_Prabhupada/01_-_Lectures/01_-_English/02_-_Month_wise/03_-_March/16/SB-02-01-01_1974-03-16_SB-VRNDAVAN.MP3</t>
  </si>
  <si>
    <t>SB_2-01-01_VRN_1974-03-16_How_to_Be_Fearless_at_Death.mp3</t>
  </si>
  <si>
    <t>https://audio.iskcondesiretree.com/01_-_Srila_Prabhupada/01_-_Lectures/01_-_English/02_-_Month_wise/03_-_March/16/SB_2-01-01_VRN_1974-03-16_How_to_Be_Fearless_at_Death.mp3</t>
  </si>
  <si>
    <t>Walk_1974-03-16_MW-VRNDAVAN.MP3</t>
  </si>
  <si>
    <t>https://audio.iskcondesiretree.com/01_-_Srila_Prabhupada/01_-_Lectures/01_-_English/02_-_Month_wise/03_-_March/16/Walk_1974-03-16_MW-VRNDAVAN.MP3</t>
  </si>
  <si>
    <t>SP_Morning_Walk_-_Vrindavan_1974-03-17_Stop_All_Bogus_Religion.mp3</t>
  </si>
  <si>
    <t>https://audio.iskcondesiretree.com/01_-_Srila_Prabhupada/01_-_Lectures/01_-_English/01_-_Topic_wise/Morning_Walk/SP_Morning_Walk_-_Vrindavan_1974-03-17_Stop_All_Bogus_Religion.mp3</t>
  </si>
  <si>
    <t>SP_SB_2-01-02_Vrindavan_1974-03-17_The_Self-Aware_Command_Respect.mp3</t>
  </si>
  <si>
    <t>https://audio.iskcondesiretree.com/01_-_Srila_Prabhupada/01_-_Lectures/01_-_English/01_-_Topic_wise/Srimad_Bhagavatam/Canto-02/SP_SB_2-01-02_Vrindavan_1974-03-17_The_Self-Aware_Command_Respect.mp3</t>
  </si>
  <si>
    <t>MW_VRN_1974-03-17_Stop_All_Bogus_Religion.mp3</t>
  </si>
  <si>
    <t>https://audio.iskcondesiretree.com/01_-_Srila_Prabhupada/01_-_Lectures/01_-_English/02_-_Month_wise/03_-_March/17/MW_VRN_1974-03-17_Stop_All_Bogus_Religion.mp3</t>
  </si>
  <si>
    <t>SB-02-01-02_1974-03-17_SB-VRNDAVAN.MP3</t>
  </si>
  <si>
    <t>https://audio.iskcondesiretree.com/01_-_Srila_Prabhupada/01_-_Lectures/01_-_English/02_-_Month_wise/03_-_March/17/SB-02-01-02_1974-03-17_SB-VRNDAVAN.MP3</t>
  </si>
  <si>
    <t>SB_2-01-02_VRN_1974-03-17_The_Self-Aware_Command_Respect.mp3</t>
  </si>
  <si>
    <t>https://audio.iskcondesiretree.com/01_-_Srila_Prabhupada/01_-_Lectures/01_-_English/02_-_Month_wise/03_-_March/17/SB_2-01-02_VRN_1974-03-17_The_Self-Aware_Command_Respect.mp3</t>
  </si>
  <si>
    <t>Walk_1974-03-17_MW-VRNDAVAN.MP3</t>
  </si>
  <si>
    <t>https://audio.iskcondesiretree.com/01_-_Srila_Prabhupada/01_-_Lectures/01_-_English/02_-_Month_wise/03_-_March/17/Walk_1974-03-17_MW-VRNDAVAN.MP3</t>
  </si>
  <si>
    <t>SP_Morning_Walk_-_Vrindavan_1974-03-18.mp3</t>
  </si>
  <si>
    <t>https://audio.iskcondesiretree.com/01_-_Srila_Prabhupada/01_-_Lectures/01_-_English/01_-_Topic_wise/Morning_Walk/SP_Morning_Walk_-_Vrindavan_1974-03-18.mp3</t>
  </si>
  <si>
    <t>SB-02-01-03_1974-03-18_SB-VRNDAVAN.MP3</t>
  </si>
  <si>
    <t>https://audio.iskcondesiretree.com/01_-_Srila_Prabhupada/01_-_Lectures/01_-_English/02_-_Month_wise/03_-_March/18/SB-02-01-03_1974-03-18_SB-VRNDAVAN.MP3</t>
  </si>
  <si>
    <t>Walk_1974-03-18_MW-VRNDAVAN.MP3</t>
  </si>
  <si>
    <t>https://audio.iskcondesiretree.com/01_-_Srila_Prabhupada/01_-_Lectures/01_-_English/02_-_Month_wise/03_-_March/18/Walk_1974-03-18_MW-VRNDAVAN.MP3</t>
  </si>
  <si>
    <t>SP_SB_2-01-04_Vrindavan_1974-03-19_A_Madman%27s_So-called_Soldiers.mp3</t>
  </si>
  <si>
    <t>https://audio.iskcondesiretree.com/01_-_Srila_Prabhupada/01_-_Lectures/01_-_English/01_-_Topic_wise/Srimad_Bhagavatam/Canto-02/SP_SB_2-01-04_Vrindavan_1974-03-19_A_Madman%27s_So-called_Soldiers.mp3</t>
  </si>
  <si>
    <t>SB-02-01-04_1974-03-19_SB-VRNDAVAN.MP3</t>
  </si>
  <si>
    <t>https://audio.iskcondesiretree.com/01_-_Srila_Prabhupada/01_-_Lectures/01_-_English/02_-_Month_wise/03_-_March/19/SB-02-01-04_1974-03-19_SB-VRNDAVAN.MP3</t>
  </si>
  <si>
    <t>SB_2-01-04_VRN_1974-03-19_A_Madman%27s_So-called_Soldiers.mp3</t>
  </si>
  <si>
    <t>https://audio.iskcondesiretree.com/01_-_Srila_Prabhupada/01_-_Lectures/01_-_English/02_-_Month_wise/03_-_March/19/SB_2-01-04_VRN_1974-03-19_A_Madman%27s_So-called_Soldiers.mp3</t>
  </si>
  <si>
    <t>SP_Morning_Walk_-_Bombay_1974-03-20.mp3</t>
  </si>
  <si>
    <t>https://audio.iskcondesiretree.com/01_-_Srila_Prabhupada/01_-_Lectures/01_-_English/01_-_Topic_wise/Morning_Walk/SP_Morning_Walk_-_Bombay_1974-03-20.mp3</t>
  </si>
  <si>
    <t>Conv_1974-03-20_R1-BOMBAY.MP3</t>
  </si>
  <si>
    <t>https://audio.iskcondesiretree.com/01_-_Srila_Prabhupada/01_-_Lectures/01_-_English/02_-_Month_wise/03_-_March/20/Conv_1974-03-20_R1-BOMBAY.MP3</t>
  </si>
  <si>
    <t>SP_BG_04-01_Bombay_1974-03-21_Take_Perfect_Knowledge.mp3</t>
  </si>
  <si>
    <t>https://audio.iskcondesiretree.com/01_-_Srila_Prabhupada/01_-_Lectures/01_-_English/01_-_Topic_wise/Bhagavad_Gita/Chapter-04/SP_BG_04-01_Bombay_1974-03-21_Take_Perfect_Knowledge.mp3</t>
  </si>
  <si>
    <t>Bg-04-01_1974-03-21_BG-BOMBAY.MP3</t>
  </si>
  <si>
    <t>https://audio.iskcondesiretree.com/01_-_Srila_Prabhupada/01_-_Lectures/01_-_English/02_-_Month_wise/03_-_March/21/Bg-04-01_1974-03-21_BG-BOMBAY.MP3</t>
  </si>
  <si>
    <t>Bg_04-01_BOM_1974-03-21_Take_Perfect_Knowledge.mp3</t>
  </si>
  <si>
    <t>https://audio.iskcondesiretree.com/01_-_Srila_Prabhupada/01_-_Lectures/01_-_English/02_-_Month_wise/03_-_March/21/Bg_04-01_BOM_1974-03-21_Take_Perfect_Knowledge.mp3</t>
  </si>
  <si>
    <t>SP_BG_04-02_Bombay_1974-03-22_Government%27s_Choice-Krishna--etc.mp3</t>
  </si>
  <si>
    <t>https://audio.iskcondesiretree.com/01_-_Srila_Prabhupada/01_-_Lectures/01_-_English/01_-_Topic_wise/Bhagavad_Gita/Chapter-04/SP_BG_04-02_Bombay_1974-03-22_Government%27s_Choice-Krishna--etc.mp3</t>
  </si>
  <si>
    <t>Bg-04-02_1974-03-22_BG-BOMBAY.MP3</t>
  </si>
  <si>
    <t>https://audio.iskcondesiretree.com/01_-_Srila_Prabhupada/01_-_Lectures/01_-_English/02_-_Month_wise/03_-_March/22/Bg-04-02_1974-03-22_BG-BOMBAY.MP3</t>
  </si>
  <si>
    <t>Bg_04-02_BOM_1974-03-22_Government%27s_Choice-Krishna_etc.mp3</t>
  </si>
  <si>
    <t>https://audio.iskcondesiretree.com/01_-_Srila_Prabhupada/01_-_Lectures/01_-_English/02_-_Month_wise/03_-_March/22/Bg_04-02_BOM_1974-03-22_Government%27s_Choice-Krishna_etc.mp3</t>
  </si>
  <si>
    <t>SP_BG_04-03_Bombay_1974-03-23_Cheating_Religion_Thrown_Out.mp3</t>
  </si>
  <si>
    <t>https://audio.iskcondesiretree.com/01_-_Srila_Prabhupada/01_-_Lectures/01_-_English/01_-_Topic_wise/Bhagavad_Gita/Chapter-04/SP_BG_04-03_Bombay_1974-03-23_Cheating_Religion_Thrown_Out.mp3</t>
  </si>
  <si>
    <t>SP_Morning_Walk_-_Bombay_1974-03-23_A_Kindly_Slap_for_a_Fool.mp3</t>
  </si>
  <si>
    <t>https://audio.iskcondesiretree.com/01_-_Srila_Prabhupada/01_-_Lectures/01_-_English/01_-_Topic_wise/Morning_Walk/SP_Morning_Walk_-_Bombay_1974-03-23_A_Kindly_Slap_for_a_Fool.mp3</t>
  </si>
  <si>
    <t>Bg-04-03_1974-03-23_BG-BOMBAY.MP3</t>
  </si>
  <si>
    <t>https://audio.iskcondesiretree.com/01_-_Srila_Prabhupada/01_-_Lectures/01_-_English/02_-_Month_wise/03_-_March/23/Bg-04-03_1974-03-23_BG-BOMBAY.MP3</t>
  </si>
  <si>
    <t>Bg_04-03_BOM_1974-03-23_Cheating_Religion_Thrown_Out.mp3</t>
  </si>
  <si>
    <t>https://audio.iskcondesiretree.com/01_-_Srila_Prabhupada/01_-_Lectures/01_-_English/02_-_Month_wise/03_-_March/23/Bg_04-03_BOM_1974-03-23_Cheating_Religion_Thrown_Out.mp3</t>
  </si>
  <si>
    <t>MW_BOM_1974-03-23_A_Kindly_Slap_for_a_Fool.mp3</t>
  </si>
  <si>
    <t>https://audio.iskcondesiretree.com/01_-_Srila_Prabhupada/01_-_Lectures/01_-_English/02_-_Month_wise/03_-_March/23/MW_BOM_1974-03-23_A_Kindly_Slap_for_a_Fool.mp3</t>
  </si>
  <si>
    <t>Walk_1974-03-23_MW-BOMBAY.MP3</t>
  </si>
  <si>
    <t>https://audio.iskcondesiretree.com/01_-_Srila_Prabhupada/01_-_Lectures/01_-_English/02_-_Month_wise/03_-_March/23/Walk_1974-03-23_MW-BOMBAY.MP3</t>
  </si>
  <si>
    <t>SP_BG_04-04_Bombay_1974-03-24_Why_We_Forget_and_God_Doesn%27t.mp3</t>
  </si>
  <si>
    <t>https://audio.iskcondesiretree.com/01_-_Srila_Prabhupada/01_-_Lectures/01_-_English/01_-_Topic_wise/Bhagavad_Gita/Chapter-04/SP_BG_04-04_Bombay_1974-03-24_Why_We_Forget_and_God_Doesn%27t.mp3</t>
  </si>
  <si>
    <t>SP_Morning_Walk_-_Bombay_1974-03-24_Everyone_Is_Serving.mp3</t>
  </si>
  <si>
    <t>https://audio.iskcondesiretree.com/01_-_Srila_Prabhupada/01_-_Lectures/01_-_English/01_-_Topic_wise/Morning_Walk/SP_Morning_Walk_-_Bombay_1974-03-24_Everyone_Is_Serving.mp3</t>
  </si>
  <si>
    <t>Bg-04-04_1974-03-24_BG-BOMBAY.MP3</t>
  </si>
  <si>
    <t>https://audio.iskcondesiretree.com/01_-_Srila_Prabhupada/01_-_Lectures/01_-_English/02_-_Month_wise/03_-_March/24/Bg-04-04_1974-03-24_BG-BOMBAY.MP3</t>
  </si>
  <si>
    <t>Bg_04-04_BOM_1974-03-24_Why_We_Forget_and_God_Doesn%27t.mp3</t>
  </si>
  <si>
    <t>https://audio.iskcondesiretree.com/01_-_Srila_Prabhupada/01_-_Lectures/01_-_English/02_-_Month_wise/03_-_March/24/Bg_04-04_BOM_1974-03-24_Why_We_Forget_and_God_Doesn%27t.mp3</t>
  </si>
  <si>
    <t>MW_BOM_1974-03-24_Everyone_Is_Serving.mp3</t>
  </si>
  <si>
    <t>https://audio.iskcondesiretree.com/01_-_Srila_Prabhupada/01_-_Lectures/01_-_English/02_-_Month_wise/03_-_March/24/MW_BOM_1974-03-24_Everyone_Is_Serving.mp3</t>
  </si>
  <si>
    <t>Walk_1974-03-24_MW-BOMBAY.MP3</t>
  </si>
  <si>
    <t>https://audio.iskcondesiretree.com/01_-_Srila_Prabhupada/01_-_Lectures/01_-_English/02_-_Month_wise/03_-_March/24/Walk_1974-03-24_MW-BOMBAY.MP3</t>
  </si>
  <si>
    <t>SP_BG_04-05_Bombay_1974-03-25_Learning_to_Love_Unlimited_One.mp3</t>
  </si>
  <si>
    <t>https://audio.iskcondesiretree.com/01_-_Srila_Prabhupada/01_-_Lectures/01_-_English/01_-_Topic_wise/Bhagavad_Gita/Chapter-04/SP_BG_04-05_Bombay_1974-03-25_Learning_to_Love_Unlimited_One.mp3</t>
  </si>
  <si>
    <t>SP_Morning_Walk_-_Bombay_1974-03-25.mp3</t>
  </si>
  <si>
    <t>https://audio.iskcondesiretree.com/01_-_Srila_Prabhupada/01_-_Lectures/01_-_English/01_-_Topic_wise/Morning_Walk/SP_Morning_Walk_-_Bombay_1974-03-25.mp3</t>
  </si>
  <si>
    <t>Bg-04-05_1974-03-25_BG-BOMBAY.MP3</t>
  </si>
  <si>
    <t>https://audio.iskcondesiretree.com/01_-_Srila_Prabhupada/01_-_Lectures/01_-_English/02_-_Month_wise/03_-_March/25/Bg-04-05_1974-03-25_BG-BOMBAY.MP3</t>
  </si>
  <si>
    <t>Bg_04-05_BOM_1974-03-25_Learning_to_Love_Unlimited_One.mp3</t>
  </si>
  <si>
    <t>https://audio.iskcondesiretree.com/01_-_Srila_Prabhupada/01_-_Lectures/01_-_English/02_-_Month_wise/03_-_March/25/Bg_04-05_BOM_1974-03-25_Learning_to_Love_Unlimited_One.mp3</t>
  </si>
  <si>
    <t>Walk_1974-03-25_MW-BOMBAY.MP3</t>
  </si>
  <si>
    <t>https://audio.iskcondesiretree.com/01_-_Srila_Prabhupada/01_-_Lectures/01_-_English/02_-_Month_wise/03_-_March/25/Walk_1974-03-25_MW-BOMBAY.MP3</t>
  </si>
  <si>
    <t>SP_BG_04-06_Bombay_1974-03-26_Try_to_Be_Godly_-_Not_God.mp3</t>
  </si>
  <si>
    <t>https://audio.iskcondesiretree.com/01_-_Srila_Prabhupada/01_-_Lectures/01_-_English/01_-_Topic_wise/Bhagavad_Gita/Chapter-04/SP_BG_04-06_Bombay_1974-03-26_Try_to_Be_Godly_-_Not_God.mp3</t>
  </si>
  <si>
    <t>SP_Morning_Walk_-_Bombay_1974-03-26.mp3</t>
  </si>
  <si>
    <t>https://audio.iskcondesiretree.com/01_-_Srila_Prabhupada/01_-_Lectures/01_-_English/01_-_Topic_wise/Morning_Walk/SP_Morning_Walk_-_Bombay_1974-03-26.mp3</t>
  </si>
  <si>
    <t>Bg-04-06_1974-03-26_BG-BOMBAY.MP3</t>
  </si>
  <si>
    <t>https://audio.iskcondesiretree.com/01_-_Srila_Prabhupada/01_-_Lectures/01_-_English/02_-_Month_wise/03_-_March/26/Bg-04-06_1974-03-26_BG-BOMBAY.MP3</t>
  </si>
  <si>
    <t>Bg_04-06_BOM_1974-03-26_Try_to_Be_Godly_%28Not_God%29.mp3</t>
  </si>
  <si>
    <t>https://audio.iskcondesiretree.com/01_-_Srila_Prabhupada/01_-_Lectures/01_-_English/02_-_Month_wise/03_-_March/26/Bg_04-06_BOM_1974-03-26_Try_to_Be_Godly_%28Not_God%29.mp3</t>
  </si>
  <si>
    <t>Walk_1974-03-26_MW-BOMBAY.MP3</t>
  </si>
  <si>
    <t>https://audio.iskcondesiretree.com/01_-_Srila_Prabhupada/01_-_Lectures/01_-_English/02_-_Month_wise/03_-_March/26/Walk_1974-03-26_MW-BOMBAY.MP3</t>
  </si>
  <si>
    <t>SP_BG_04-07_Bombay_1974-03-27_Dharma_and_the_Disease.mp3</t>
  </si>
  <si>
    <t>https://audio.iskcondesiretree.com/01_-_Srila_Prabhupada/01_-_Lectures/01_-_English/01_-_Topic_wise/Bhagavad_Gita/Chapter-04/SP_BG_04-07_Bombay_1974-03-27_Dharma_and_the_Disease.mp3</t>
  </si>
  <si>
    <t>SP_Morning_Walk_-_Bombay_1974-03-27.mp3</t>
  </si>
  <si>
    <t>https://audio.iskcondesiretree.com/01_-_Srila_Prabhupada/01_-_Lectures/01_-_English/01_-_Topic_wise/Morning_Walk/SP_Morning_Walk_-_Bombay_1974-03-27.mp3</t>
  </si>
  <si>
    <t>SP_Room_Conversation_Bombay_1974-03-27.mp3</t>
  </si>
  <si>
    <t>https://audio.iskcondesiretree.com/01_-_Srila_Prabhupada/01_-_Lectures/01_-_English/01_-_Topic_wise/Room_Conversation/SP_Room_Conversation_Bombay_1974-03-27.mp3</t>
  </si>
  <si>
    <t>Bg-04-07_1974-03-27_BG-BOMBAY.MP3</t>
  </si>
  <si>
    <t>https://audio.iskcondesiretree.com/01_-_Srila_Prabhupada/01_-_Lectures/01_-_English/02_-_Month_wise/03_-_March/27/Bg-04-07_1974-03-27_BG-BOMBAY.MP3</t>
  </si>
  <si>
    <t>Bg_04-07_BOM_1974-03-27_Dharma_and_the_Disease.mp3</t>
  </si>
  <si>
    <t>https://audio.iskcondesiretree.com/01_-_Srila_Prabhupada/01_-_Lectures/01_-_English/02_-_Month_wise/03_-_March/27/Bg_04-07_BOM_1974-03-27_Dharma_and_the_Disease.mp3</t>
  </si>
  <si>
    <t>Conv_1974-03-27_RF-BOMBAY.MP3</t>
  </si>
  <si>
    <t>https://audio.iskcondesiretree.com/01_-_Srila_Prabhupada/01_-_Lectures/01_-_English/02_-_Month_wise/03_-_March/27/Conv_1974-03-27_RF-BOMBAY.MP3</t>
  </si>
  <si>
    <t>Walk_1974-03-27_MW-BOMBAY.MP3</t>
  </si>
  <si>
    <t>https://audio.iskcondesiretree.com/01_-_Srila_Prabhupada/01_-_Lectures/01_-_English/02_-_Month_wise/03_-_March/27/Walk_1974-03-27_MW-BOMBAY.MP3</t>
  </si>
  <si>
    <t>SP_BG_04-08_Bombay_1974-03-28_Everyone_is_Trying_to_Become_the_Master.mp3</t>
  </si>
  <si>
    <t>https://audio.iskcondesiretree.com/01_-_Srila_Prabhupada/01_-_Lectures/01_-_English/01_-_Topic_wise/Bhagavad_Gita/Chapter-04/SP_BG_04-08_Bombay_1974-03-28_Everyone_is_Trying_to_Become_the_Master.mp3</t>
  </si>
  <si>
    <t>SP_Morning_Walk_-_Bombay_1974-03-28.mp3</t>
  </si>
  <si>
    <t>https://audio.iskcondesiretree.com/01_-_Srila_Prabhupada/01_-_Lectures/01_-_English/01_-_Topic_wise/Morning_Walk/SP_Morning_Walk_-_Bombay_1974-03-28.mp3</t>
  </si>
  <si>
    <t>Bg-04-08_1974-03-28_BG-BOMBAY.MP3</t>
  </si>
  <si>
    <t>https://audio.iskcondesiretree.com/01_-_Srila_Prabhupada/01_-_Lectures/01_-_English/02_-_Month_wise/03_-_March/28/Bg-04-08_1974-03-28_BG-BOMBAY.MP3</t>
  </si>
  <si>
    <t>Bg_04-08_BOM_1974-03-28_Everyone_is_Trying_to_Become_the_Master.mp3</t>
  </si>
  <si>
    <t>https://audio.iskcondesiretree.com/01_-_Srila_Prabhupada/01_-_Lectures/01_-_English/02_-_Month_wise/03_-_March/28/Bg_04-08_BOM_1974-03-28_Everyone_is_Trying_to_Become_the_Master.mp3</t>
  </si>
  <si>
    <t>Walk_1974-03-28_MW-BOMBAY.MP3</t>
  </si>
  <si>
    <t>https://audio.iskcondesiretree.com/01_-_Srila_Prabhupada/01_-_Lectures/01_-_English/02_-_Month_wise/03_-_March/28/Walk_1974-03-28_MW-BOMBAY.MP3</t>
  </si>
  <si>
    <t>SP_BG_04-09_Bombay_1974-03-29_Cheater_Leaders.mp3</t>
  </si>
  <si>
    <t>https://audio.iskcondesiretree.com/01_-_Srila_Prabhupada/01_-_Lectures/01_-_English/01_-_Topic_wise/Bhagavad_Gita/Chapter-04/SP_BG_04-09_Bombay_1974-03-29_Cheater_Leaders.mp3</t>
  </si>
  <si>
    <t>SP_Morning_Walk_-_Bombay_1974-03-29_Misleading_and_Misled.mp3</t>
  </si>
  <si>
    <t>https://audio.iskcondesiretree.com/01_-_Srila_Prabhupada/01_-_Lectures/01_-_English/01_-_Topic_wise/Morning_Walk/SP_Morning_Walk_-_Bombay_1974-03-29_Misleading_and_Misled.mp3</t>
  </si>
  <si>
    <t>Bg-04-09_1974-03-29_BG-BOMBAY.MP3</t>
  </si>
  <si>
    <t>https://audio.iskcondesiretree.com/01_-_Srila_Prabhupada/01_-_Lectures/01_-_English/02_-_Month_wise/03_-_March/29/Bg-04-09_1974-03-29_BG-BOMBAY.MP3</t>
  </si>
  <si>
    <t>Bg_04-09_BOM_1974-03-29_Cheater_Leaders.mp3</t>
  </si>
  <si>
    <t>https://audio.iskcondesiretree.com/01_-_Srila_Prabhupada/01_-_Lectures/01_-_English/02_-_Month_wise/03_-_March/29/Bg_04-09_BOM_1974-03-29_Cheater_Leaders.mp3</t>
  </si>
  <si>
    <t>MW_BOM_1974-03-29_Misleading_and_Misled.mp3</t>
  </si>
  <si>
    <t>https://audio.iskcondesiretree.com/01_-_Srila_Prabhupada/01_-_Lectures/01_-_English/02_-_Month_wise/03_-_March/29/MW_BOM_1974-03-29_Misleading_and_Misled.mp3</t>
  </si>
  <si>
    <t>Walk_1974-03-29_MW-BOMBAY.MP3</t>
  </si>
  <si>
    <t>https://audio.iskcondesiretree.com/01_-_Srila_Prabhupada/01_-_Lectures/01_-_English/02_-_Month_wise/03_-_March/29/Walk_1974-03-29_MW-BOMBAY.MP3</t>
  </si>
  <si>
    <t>SP_BG_04-10_Bombay_1974-03-30_Reducing_our_Animality--etc.mp3</t>
  </si>
  <si>
    <t>https://audio.iskcondesiretree.com/01_-_Srila_Prabhupada/01_-_Lectures/01_-_English/01_-_Topic_wise/Bhagavad_Gita/Chapter-04/SP_BG_04-10_Bombay_1974-03-30_Reducing_our_Animality--etc.mp3</t>
  </si>
  <si>
    <t>SP_Morning_Walk_-_Bombay_1974-03-30_Lesson_in_Humility_and_Tolerance.mp3</t>
  </si>
  <si>
    <t>https://audio.iskcondesiretree.com/01_-_Srila_Prabhupada/01_-_Lectures/01_-_English/01_-_Topic_wise/Morning_Walk/SP_Morning_Walk_-_Bombay_1974-03-30_Lesson_in_Humility_and_Tolerance.mp3</t>
  </si>
  <si>
    <t>Bg-04-10_1974-03-30_BG-BOMBAY.MP3</t>
  </si>
  <si>
    <t>https://audio.iskcondesiretree.com/01_-_Srila_Prabhupada/01_-_Lectures/01_-_English/02_-_Month_wise/03_-_March/30/Bg-04-10_1974-03-30_BG-BOMBAY.MP3</t>
  </si>
  <si>
    <t>Bg_04-10_BOM_1974-03-30_Reducing_our_Animality_etc.mp3</t>
  </si>
  <si>
    <t>https://audio.iskcondesiretree.com/01_-_Srila_Prabhupada/01_-_Lectures/01_-_English/02_-_Month_wise/03_-_March/30/Bg_04-10_BOM_1974-03-30_Reducing_our_Animality_etc.mp3</t>
  </si>
  <si>
    <t>MW_BOM_1974-03-30_Lesson_in_Humility_and_Tolerance.mp3</t>
  </si>
  <si>
    <t>https://audio.iskcondesiretree.com/01_-_Srila_Prabhupada/01_-_Lectures/01_-_English/02_-_Month_wise/03_-_March/30/MW_BOM_1974-03-30_Lesson_in_Humility_and_Tolerance.mp3</t>
  </si>
  <si>
    <t>Walk_1974-03-30_MW-BOMBAY.MP3</t>
  </si>
  <si>
    <t>https://audio.iskcondesiretree.com/01_-_Srila_Prabhupada/01_-_Lectures/01_-_English/02_-_Month_wise/03_-_March/30/Walk_1974-03-30_MW-BOMBAY.MP3</t>
  </si>
  <si>
    <t>SP_BG_04-11_Bombay_1974-03-31_Krishna_Will_Accept_you_Any--etc.mp3</t>
  </si>
  <si>
    <t>https://audio.iskcondesiretree.com/01_-_Srila_Prabhupada/01_-_Lectures/01_-_English/01_-_Topic_wise/Bhagavad_Gita/Chapter-04/SP_BG_04-11_Bombay_1974-03-31_Krishna_Will_Accept_you_Any--etc.mp3</t>
  </si>
  <si>
    <t>SP_Morning_Walk_-_Bombay_1974-03-31_Take_Shelter_of_Eternal_Life.mp3</t>
  </si>
  <si>
    <t>https://audio.iskcondesiretree.com/01_-_Srila_Prabhupada/01_-_Lectures/01_-_English/01_-_Topic_wise/Morning_Walk/SP_Morning_Walk_-_Bombay_1974-03-31_Take_Shelter_of_Eternal_Life.mp3</t>
  </si>
  <si>
    <t>Bg-04-11_1974-03-31_BG-BOMBAY.MP3</t>
  </si>
  <si>
    <t>https://audio.iskcondesiretree.com/01_-_Srila_Prabhupada/01_-_Lectures/01_-_English/02_-_Month_wise/03_-_March/31/Bg-04-11_1974-03-31_BG-BOMBAY.MP3</t>
  </si>
  <si>
    <t>Bg_04-11_BOM_1974-03-31_Krishna_Will_Accept_you_Any_etc.mp3</t>
  </si>
  <si>
    <t>https://audio.iskcondesiretree.com/01_-_Srila_Prabhupada/01_-_Lectures/01_-_English/02_-_Month_wise/03_-_March/31/Bg_04-11_BOM_1974-03-31_Krishna_Will_Accept_you_Any_etc.mp3</t>
  </si>
  <si>
    <t>MW_BOM_1974-03-31_Take_Shelter_of_Eternal_Life.mp3</t>
  </si>
  <si>
    <t>https://audio.iskcondesiretree.com/01_-_Srila_Prabhupada/01_-_Lectures/01_-_English/02_-_Month_wise/03_-_March/31/MW_BOM_1974-03-31_Take_Shelter_of_Eternal_Life.mp3</t>
  </si>
  <si>
    <t>Walk_1974-03-31_MW-BOMBAY.MP3</t>
  </si>
  <si>
    <t>https://audio.iskcondesiretree.com/01_-_Srila_Prabhupada/01_-_Lectures/01_-_English/02_-_Month_wise/03_-_March/31/Walk_1974-03-31_MW-BOMBAY.MP3</t>
  </si>
  <si>
    <t>SP_BG_04-12_Bombay_1974-04-01_Hear_Talk_Chant_Eat_Work--etc.mp3</t>
  </si>
  <si>
    <t>https://audio.iskcondesiretree.com/01_-_Srila_Prabhupada/01_-_Lectures/01_-_English/01_-_Topic_wise/Bhagavad_Gita/Chapter-04/SP_BG_04-12_Bombay_1974-04-01_Hear_Talk_Chant_Eat_Work--etc.mp3</t>
  </si>
  <si>
    <t>SP_Festivals_Bombay_1974-04-01_Lord_Rama_Appearance--Maha-mantra--etc.mp3</t>
  </si>
  <si>
    <t>https://audio.iskcondesiretree.com/01_-_Srila_Prabhupada/01_-_Lectures/01_-_English/01_-_Topic_wise/Festivals/SP_Festivals_Bombay_1974-04-01_Lord_Rama_Appearance--Maha-mantra--etc.mp3</t>
  </si>
  <si>
    <t>SP_Morning_Walk_-_Bombay_1974-04-01_Serve_Krishna_or_Serve_Others.mp3</t>
  </si>
  <si>
    <t>https://audio.iskcondesiretree.com/01_-_Srila_Prabhupada/01_-_Lectures/01_-_English/01_-_Topic_wise/Morning_Walk/SP_Morning_Walk_-_Bombay_1974-04-01_Serve_Krishna_or_Serve_Others.mp3</t>
  </si>
  <si>
    <t>Bg-04-12_1974-04-01_BG-BOMBAY.MP3</t>
  </si>
  <si>
    <t>https://audio.iskcondesiretree.com/01_-_Srila_Prabhupada/01_-_Lectures/01_-_English/02_-_Month_wise/04_-_April/01/Bg-04-12_1974-04-01_BG-BOMBAY.MP3</t>
  </si>
  <si>
    <t>Bg_04-12_BOM_1974-04-01_Hear_Talk_Chant_Eat_Work_etc.mp3</t>
  </si>
  <si>
    <t>https://audio.iskcondesiretree.com/01_-_Srila_Prabhupada/01_-_Lectures/01_-_English/02_-_Month_wise/04_-_April/01/Bg_04-12_BOM_1974-04-01_Hear_Talk_Chant_Eat_Work_etc.mp3</t>
  </si>
  <si>
    <t>CornerStone_1974-04-01_CS-BOMBAY.MP3</t>
  </si>
  <si>
    <t>https://audio.iskcondesiretree.com/01_-_Srila_Prabhupada/01_-_Lectures/01_-_English/02_-_Month_wise/04_-_April/01/CornerStone_1974-04-01_CS-BOMBAY.MP3</t>
  </si>
  <si>
    <t>Fest_BOM_1974-04-01_Lord_Rama_Appearance--Maha-mantra_etc.mp3</t>
  </si>
  <si>
    <t>https://audio.iskcondesiretree.com/01_-_Srila_Prabhupada/01_-_Lectures/01_-_English/02_-_Month_wise/04_-_April/01/Fest_BOM_1974-04-01_Lord_Rama_Appearance--Maha-mantra_etc.mp3</t>
  </si>
  <si>
    <t>MW_BOM_1974-04-01_Serve_Krishna_or_Serve_Others.mp3</t>
  </si>
  <si>
    <t>https://audio.iskcondesiretree.com/01_-_Srila_Prabhupada/01_-_Lectures/01_-_English/02_-_Month_wise/04_-_April/01/MW_BOM_1974-04-01_Serve_Krishna_or_Serve_Others.mp3</t>
  </si>
  <si>
    <t>Ramachandra_Appearance_1974-04-01_BG-BOMBAY.MP3</t>
  </si>
  <si>
    <t>https://audio.iskcondesiretree.com/01_-_Srila_Prabhupada/01_-_Lectures/01_-_English/02_-_Month_wise/04_-_April/01/Ramachandra_Appearance_1974-04-01_BG-BOMBAY.MP3</t>
  </si>
  <si>
    <t>Walk_1974-04-01_MW-BOMBAY.MP3</t>
  </si>
  <si>
    <t>https://audio.iskcondesiretree.com/01_-_Srila_Prabhupada/01_-_Lectures/01_-_English/02_-_Month_wise/04_-_April/01/Walk_1974-04-01_MW-BOMBAY.MP3</t>
  </si>
  <si>
    <t>SP_BG_04-13_Bombay_1974-04-02_Kill_Krishna_Gita_Commentaries.mp3</t>
  </si>
  <si>
    <t>https://audio.iskcondesiretree.com/01_-_Srila_Prabhupada/01_-_Lectures/01_-_English/01_-_Topic_wise/Bhagavad_Gita/Chapter-04/SP_BG_04-13_Bombay_1974-04-02_Kill_Krishna_Gita_Commentaries.mp3</t>
  </si>
  <si>
    <t>SP_Morning_Walk_-_Bombay_1974-04-02_Krishna_Eats_from_Devotee%27s_Hand.mp3</t>
  </si>
  <si>
    <t>https://audio.iskcondesiretree.com/01_-_Srila_Prabhupada/01_-_Lectures/01_-_English/01_-_Topic_wise/Morning_Walk/SP_Morning_Walk_-_Bombay_1974-04-02_Krishna_Eats_from_Devotee%27s_Hand.mp3</t>
  </si>
  <si>
    <t>Bg-04-13_1974-04-02_BG-BOMBAY.MP3</t>
  </si>
  <si>
    <t>https://audio.iskcondesiretree.com/01_-_Srila_Prabhupada/01_-_Lectures/01_-_English/02_-_Month_wise/04_-_April/02/Bg-04-13_1974-04-02_BG-BOMBAY.MP3</t>
  </si>
  <si>
    <t>Bg_04-13_BOM_1974-04-02_Kill_Krishna_Gita_Commentaries.mp3</t>
  </si>
  <si>
    <t>https://audio.iskcondesiretree.com/01_-_Srila_Prabhupada/01_-_Lectures/01_-_English/02_-_Month_wise/04_-_April/02/Bg_04-13_BOM_1974-04-02_Kill_Krishna_Gita_Commentaries.mp3</t>
  </si>
  <si>
    <t>MW_BOM_1974-04-02_Krishna_Eats_from_Devotee%27s_Hand.mp3</t>
  </si>
  <si>
    <t>https://audio.iskcondesiretree.com/01_-_Srila_Prabhupada/01_-_Lectures/01_-_English/02_-_Month_wise/04_-_April/02/MW_BOM_1974-04-02_Krishna_Eats_from_Devotee%27s_Hand.mp3</t>
  </si>
  <si>
    <t>Walk_1974-04-02_MW-BOMBAY.MP3</t>
  </si>
  <si>
    <t>https://audio.iskcondesiretree.com/01_-_Srila_Prabhupada/01_-_Lectures/01_-_English/02_-_Month_wise/04_-_April/02/Walk_1974-04-02_MW-BOMBAY.MP3</t>
  </si>
  <si>
    <t>SP_BG_04-14_Bombay_1974-04-03_Liberated_By_Understanding--etc.mp3</t>
  </si>
  <si>
    <t>https://audio.iskcondesiretree.com/01_-_Srila_Prabhupada/01_-_Lectures/01_-_English/01_-_Topic_wise/Bhagavad_Gita/Chapter-04/SP_BG_04-14_Bombay_1974-04-03_Liberated_By_Understanding--etc.mp3</t>
  </si>
  <si>
    <t>SP_Morning_Walk_-_Bombay_1974-04-03_Brahman_is_Impersonal_But--etc.mp3</t>
  </si>
  <si>
    <t>https://audio.iskcondesiretree.com/01_-_Srila_Prabhupada/01_-_Lectures/01_-_English/01_-_Topic_wise/Morning_Walk/SP_Morning_Walk_-_Bombay_1974-04-03_Brahman_is_Impersonal_But--etc.mp3</t>
  </si>
  <si>
    <t>Bg-04-14_1974-04-03_BG-BOMBAY.MP3</t>
  </si>
  <si>
    <t>https://audio.iskcondesiretree.com/01_-_Srila_Prabhupada/01_-_Lectures/01_-_English/02_-_Month_wise/04_-_April/03/Bg-04-14_1974-04-03_BG-BOMBAY.MP3</t>
  </si>
  <si>
    <t>Bg_04-14_BOM_1974-04-03_Liberated_By_Understanding_etc.mp3</t>
  </si>
  <si>
    <t>https://audio.iskcondesiretree.com/01_-_Srila_Prabhupada/01_-_Lectures/01_-_English/02_-_Month_wise/04_-_April/03/Bg_04-14_BOM_1974-04-03_Liberated_By_Understanding_etc.mp3</t>
  </si>
  <si>
    <t>MW_BOM_1974-04-03_Brahman_is_Impersonal_But_etc.mp3</t>
  </si>
  <si>
    <t>https://audio.iskcondesiretree.com/01_-_Srila_Prabhupada/01_-_Lectures/01_-_English/02_-_Month_wise/04_-_April/03/MW_BOM_1974-04-03_Brahman_is_Impersonal_But_etc.mp3</t>
  </si>
  <si>
    <t>Walk_1974-04-03_MW-BOMBAY.MP3</t>
  </si>
  <si>
    <t>https://audio.iskcondesiretree.com/01_-_Srila_Prabhupada/01_-_Lectures/01_-_English/02_-_Month_wise/04_-_April/03/Walk_1974-04-03_MW-BOMBAY.MP3</t>
  </si>
  <si>
    <t>SP_BG_04-15_Bombay_1974-04-04.mp3</t>
  </si>
  <si>
    <t>https://audio.iskcondesiretree.com/01_-_Srila_Prabhupada/01_-_Lectures/01_-_English/01_-_Topic_wise/Bhagavad_Gita/Chapter-04/SP_BG_04-15_Bombay_1974-04-04.mp3</t>
  </si>
  <si>
    <t>SP_Morning_Walk_-_Bombay_1974-04-04_Unlimited_Is_Not_Impersonal.mp3</t>
  </si>
  <si>
    <t>https://audio.iskcondesiretree.com/01_-_Srila_Prabhupada/01_-_Lectures/01_-_English/01_-_Topic_wise/Morning_Walk/SP_Morning_Walk_-_Bombay_1974-04-04_Unlimited_Is_Not_Impersonal.mp3</t>
  </si>
  <si>
    <t>Bg-04-15_1974-04-04_BG-BOMBAY.MP3</t>
  </si>
  <si>
    <t>https://audio.iskcondesiretree.com/01_-_Srila_Prabhupada/01_-_Lectures/01_-_English/02_-_Month_wise/04_-_April/04/Bg-04-15_1974-04-04_BG-BOMBAY.MP3</t>
  </si>
  <si>
    <t>MW_BOM_1974-04-04_Unlimited_Is_Not_Impersonal.mp3</t>
  </si>
  <si>
    <t>https://audio.iskcondesiretree.com/01_-_Srila_Prabhupada/01_-_Lectures/01_-_English/02_-_Month_wise/04_-_April/04/MW_BOM_1974-04-04_Unlimited_Is_Not_Impersonal.mp3</t>
  </si>
  <si>
    <t>Walk_1974-04-04_MW-BOMBAY.MP3</t>
  </si>
  <si>
    <t>https://audio.iskcondesiretree.com/01_-_Srila_Prabhupada/01_-_Lectures/01_-_English/02_-_Month_wise/04_-_April/04/Walk_1974-04-04_MW-BOMBAY.MP3</t>
  </si>
  <si>
    <t>SP_BG_04-15_Bombay_1974-04-05_Modern_Civilization_Vs._Model--etc.mp3</t>
  </si>
  <si>
    <t>https://audio.iskcondesiretree.com/01_-_Srila_Prabhupada/01_-_Lectures/01_-_English/01_-_Topic_wise/Bhagavad_Gita/Chapter-04/SP_BG_04-15_Bombay_1974-04-05_Modern_Civilization_Vs._Model--etc.mp3</t>
  </si>
  <si>
    <t>SP_BG_04-16_Bombay_1974-04-05_Today%27s_Education.mp3</t>
  </si>
  <si>
    <t>https://audio.iskcondesiretree.com/01_-_Srila_Prabhupada/01_-_Lectures/01_-_English/01_-_Topic_wise/Bhagavad_Gita/Chapter-04/SP_BG_04-16_Bombay_1974-04-05_Today%27s_Education.mp3</t>
  </si>
  <si>
    <t>SP_Morning_Walk_-_Bombay_1974-04-05_Arguments_Smashed.mp3</t>
  </si>
  <si>
    <t>https://audio.iskcondesiretree.com/01_-_Srila_Prabhupada/01_-_Lectures/01_-_English/01_-_Topic_wise/Morning_Walk/SP_Morning_Walk_-_Bombay_1974-04-05_Arguments_Smashed.mp3</t>
  </si>
  <si>
    <t>Bg-04-16_1974-04-05_BG-BOMBAY.MP3</t>
  </si>
  <si>
    <t>https://audio.iskcondesiretree.com/01_-_Srila_Prabhupada/01_-_Lectures/01_-_English/02_-_Month_wise/04_-_April/05/Bg-04-16_1974-04-05_BG-BOMBAY.MP3</t>
  </si>
  <si>
    <t>Bg_04-15_BOM_1974-04-05_Modern_Civilization_Vs._Model_etc.mp3</t>
  </si>
  <si>
    <t>https://audio.iskcondesiretree.com/01_-_Srila_Prabhupada/01_-_Lectures/01_-_English/02_-_Month_wise/04_-_April/05/Bg_04-15_BOM_1974-04-05_Modern_Civilization_Vs._Model_etc.mp3</t>
  </si>
  <si>
    <t>Bg_04-16_BOM_1974-04-05_Today%27s_Education.mp3</t>
  </si>
  <si>
    <t>https://audio.iskcondesiretree.com/01_-_Srila_Prabhupada/01_-_Lectures/01_-_English/02_-_Month_wise/04_-_April/05/Bg_04-16_BOM_1974-04-05_Today%27s_Education.mp3</t>
  </si>
  <si>
    <t>MW_BOM_1974-04-05_Arguments_Smashed.mp3</t>
  </si>
  <si>
    <t>https://audio.iskcondesiretree.com/01_-_Srila_Prabhupada/01_-_Lectures/01_-_English/02_-_Month_wise/04_-_April/05/MW_BOM_1974-04-05_Arguments_Smashed.mp3</t>
  </si>
  <si>
    <t>Walk_1974-04-05_MW-BOMBAY.MP3</t>
  </si>
  <si>
    <t>https://audio.iskcondesiretree.com/01_-_Srila_Prabhupada/01_-_Lectures/01_-_English/02_-_Month_wise/04_-_April/05/Walk_1974-04-05_MW-BOMBAY.MP3</t>
  </si>
  <si>
    <t>SP_BG_04-17_Bombay_1974-04-06_How_to_Act-How_Not_to_Act.mp3</t>
  </si>
  <si>
    <t>https://audio.iskcondesiretree.com/01_-_Srila_Prabhupada/01_-_Lectures/01_-_English/01_-_Topic_wise/Bhagavad_Gita/Chapter-04/SP_BG_04-17_Bombay_1974-04-06_How_to_Act-How_Not_to_Act.mp3</t>
  </si>
  <si>
    <t>SP_Morning_Walk_-_Bombay_1974-04-06.mp3</t>
  </si>
  <si>
    <t>https://audio.iskcondesiretree.com/01_-_Srila_Prabhupada/01_-_Lectures/01_-_English/01_-_Topic_wise/Morning_Walk/SP_Morning_Walk_-_Bombay_1974-04-06.mp3</t>
  </si>
  <si>
    <t>Bg-04-17_1974-04-06_BG-BOMBAY.MP3</t>
  </si>
  <si>
    <t>https://audio.iskcondesiretree.com/01_-_Srila_Prabhupada/01_-_Lectures/01_-_English/02_-_Month_wise/04_-_April/06/Bg-04-17_1974-04-06_BG-BOMBAY.MP3</t>
  </si>
  <si>
    <t>Bg_04-17_BOM_1974-04-06_How_to_Act-How_Not_to_Act.mp3</t>
  </si>
  <si>
    <t>https://audio.iskcondesiretree.com/01_-_Srila_Prabhupada/01_-_Lectures/01_-_English/02_-_Month_wise/04_-_April/06/Bg_04-17_BOM_1974-04-06_How_to_Act-How_Not_to_Act.mp3</t>
  </si>
  <si>
    <t>Walk_1974-04-06_MW-BOMBAY.MP3</t>
  </si>
  <si>
    <t>https://audio.iskcondesiretree.com/01_-_Srila_Prabhupada/01_-_Lectures/01_-_English/02_-_Month_wise/04_-_April/06/Walk_1974-04-06_MW-BOMBAY.MP3</t>
  </si>
  <si>
    <t>SP_BG_04-18_Bombay_1974-04-07_The_Highest_Success_in_Life.mp3</t>
  </si>
  <si>
    <t>https://audio.iskcondesiretree.com/01_-_Srila_Prabhupada/01_-_Lectures/01_-_English/01_-_Topic_wise/Bhagavad_Gita/Chapter-04/SP_BG_04-18_Bombay_1974-04-07_The_Highest_Success_in_Life.mp3</t>
  </si>
  <si>
    <t>SP_Morning_Walk_-_Bombay_1974-04-07.mp3</t>
  </si>
  <si>
    <t>https://audio.iskcondesiretree.com/01_-_Srila_Prabhupada/01_-_Lectures/01_-_English/01_-_Topic_wise/Morning_Walk/SP_Morning_Walk_-_Bombay_1974-04-07.mp3</t>
  </si>
  <si>
    <t>Bg-04-18_1974-04-07_BG-BOMBAY.MP3</t>
  </si>
  <si>
    <t>https://audio.iskcondesiretree.com/01_-_Srila_Prabhupada/01_-_Lectures/01_-_English/02_-_Month_wise/04_-_April/07/Bg-04-18_1974-04-07_BG-BOMBAY.MP3</t>
  </si>
  <si>
    <t>Bg_04-18_BOM_1974-04-07_The_Highest_Success_in_Life.mp3</t>
  </si>
  <si>
    <t>https://audio.iskcondesiretree.com/01_-_Srila_Prabhupada/01_-_Lectures/01_-_English/02_-_Month_wise/04_-_April/07/Bg_04-18_BOM_1974-04-07_The_Highest_Success_in_Life.mp3</t>
  </si>
  <si>
    <t>Walk_1974-04-07_MW-BOMBAY.MP3</t>
  </si>
  <si>
    <t>https://audio.iskcondesiretree.com/01_-_Srila_Prabhupada/01_-_Lectures/01_-_English/02_-_Month_wise/04_-_April/07/Walk_1974-04-07_MW-BOMBAY.MP3</t>
  </si>
  <si>
    <t>SP_BG_04-19_Bombay_1974-04-08_Material_Life-Lusty_Desires.mp3</t>
  </si>
  <si>
    <t>https://audio.iskcondesiretree.com/01_-_Srila_Prabhupada/01_-_Lectures/01_-_English/01_-_Topic_wise/Bhagavad_Gita/Chapter-04/SP_BG_04-19_Bombay_1974-04-08_Material_Life-Lusty_Desires.mp3</t>
  </si>
  <si>
    <t>SP_Morning_Walk_-_Bombay_1974-04-08_All_Philosophies_Are_Mayavadi.mp3</t>
  </si>
  <si>
    <t>https://audio.iskcondesiretree.com/01_-_Srila_Prabhupada/01_-_Lectures/01_-_English/01_-_Topic_wise/Morning_Walk/SP_Morning_Walk_-_Bombay_1974-04-08_All_Philosophies_Are_Mayavadi.mp3</t>
  </si>
  <si>
    <t>Bg-04-19_1974-04-08_BG-BOMBAY.MP3</t>
  </si>
  <si>
    <t>https://audio.iskcondesiretree.com/01_-_Srila_Prabhupada/01_-_Lectures/01_-_English/02_-_Month_wise/04_-_April/08/Bg-04-19_1974-04-08_BG-BOMBAY.MP3</t>
  </si>
  <si>
    <t>Bg_04-19_BOM_1974-04-08_Material_Life_Lusty_Desires.mp3</t>
  </si>
  <si>
    <t>https://audio.iskcondesiretree.com/01_-_Srila_Prabhupada/01_-_Lectures/01_-_English/02_-_Month_wise/04_-_April/08/Bg_04-19_BOM_1974-04-08_Material_Life_Lusty_Desires.mp3</t>
  </si>
  <si>
    <t>MW_BOM_1974-04-08_All_Philosophies_Are_Mayavadi.mp3</t>
  </si>
  <si>
    <t>https://audio.iskcondesiretree.com/01_-_Srila_Prabhupada/01_-_Lectures/01_-_English/02_-_Month_wise/04_-_April/08/MW_BOM_1974-04-08_All_Philosophies_Are_Mayavadi.mp3</t>
  </si>
  <si>
    <t>Walk_1974-04-08_MW-BOMBAY.MP3</t>
  </si>
  <si>
    <t>https://audio.iskcondesiretree.com/01_-_Srila_Prabhupada/01_-_Lectures/01_-_English/02_-_Month_wise/04_-_April/08/Walk_1974-04-08_MW-BOMBAY.MP3</t>
  </si>
  <si>
    <t>SP_BG_04-20_Bombay_1974-04-09_Mundane_and_Divine_Dividends.mp3</t>
  </si>
  <si>
    <t>https://audio.iskcondesiretree.com/01_-_Srila_Prabhupada/01_-_Lectures/01_-_English/01_-_Topic_wise/Bhagavad_Gita/Chapter-04/SP_BG_04-20_Bombay_1974-04-09_Mundane_and_Divine_Dividends.mp3</t>
  </si>
  <si>
    <t>Bg-04-20_1974-04-09_BG-BOMBAY.MP3</t>
  </si>
  <si>
    <t>https://audio.iskcondesiretree.com/01_-_Srila_Prabhupada/01_-_Lectures/01_-_English/02_-_Month_wise/04_-_April/09/Bg-04-20_1974-04-09_BG-BOMBAY.MP3</t>
  </si>
  <si>
    <t>Bg_04-20_BOM_1974-04-09_Mundane_and_Divine_Dividends.mp3</t>
  </si>
  <si>
    <t>https://audio.iskcondesiretree.com/01_-_Srila_Prabhupada/01_-_Lectures/01_-_English/02_-_Month_wise/04_-_April/09/Bg_04-20_BOM_1974-04-09_Mundane_and_Divine_Dividends.mp3</t>
  </si>
  <si>
    <t>SP_BG_04-21_Bombay_1974-04-10_A_Life_of_Purity.mp3</t>
  </si>
  <si>
    <t>https://audio.iskcondesiretree.com/01_-_Srila_Prabhupada/01_-_Lectures/01_-_English/01_-_Topic_wise/Bhagavad_Gita/Chapter-04/SP_BG_04-21_Bombay_1974-04-10_A_Life_of_Purity.mp3</t>
  </si>
  <si>
    <t>SP_Morning_Walk_-_Bombay_1974-04-10_Our_Business_is_to_Point_Out_Who_Is--etc.mp3</t>
  </si>
  <si>
    <t>https://audio.iskcondesiretree.com/01_-_Srila_Prabhupada/01_-_Lectures/01_-_English/01_-_Topic_wise/Morning_Walk/SP_Morning_Walk_-_Bombay_1974-04-10_Our_Business_is_to_Point_Out_Who_Is--etc.mp3</t>
  </si>
  <si>
    <t>Bg-04-21_1974-04-10_BG-BOMBAY.MP3</t>
  </si>
  <si>
    <t>https://audio.iskcondesiretree.com/01_-_Srila_Prabhupada/01_-_Lectures/01_-_English/02_-_Month_wise/04_-_April/10/Bg-04-21_1974-04-10_BG-BOMBAY.MP3</t>
  </si>
  <si>
    <t>Bg_04-21_BOM_1974-04-10_A_Life_of_Purity.mp3</t>
  </si>
  <si>
    <t>https://audio.iskcondesiretree.com/01_-_Srila_Prabhupada/01_-_Lectures/01_-_English/02_-_Month_wise/04_-_April/10/Bg_04-21_BOM_1974-04-10_A_Life_of_Purity.mp3</t>
  </si>
  <si>
    <t>MW_BOM_1974-04-10_Our_Business_is_to_Point_Out_Who_Is_etc.mp3</t>
  </si>
  <si>
    <t>https://audio.iskcondesiretree.com/01_-_Srila_Prabhupada/01_-_Lectures/01_-_English/02_-_Month_wise/04_-_April/10/MW_BOM_1974-04-10_Our_Business_is_to_Point_Out_Who_Is_etc.mp3</t>
  </si>
  <si>
    <t>Walk_1974-04-10_MW-BOMBAY.MP3</t>
  </si>
  <si>
    <t>https://audio.iskcondesiretree.com/01_-_Srila_Prabhupada/01_-_Lectures/01_-_English/02_-_Month_wise/04_-_April/10/Walk_1974-04-10_MW-BOMBAY.MP3</t>
  </si>
  <si>
    <t>SP_BG_04-22_Bombay_1974-04-11_Envious_Gross-bodily_Religions.mp3</t>
  </si>
  <si>
    <t>https://audio.iskcondesiretree.com/01_-_Srila_Prabhupada/01_-_Lectures/01_-_English/01_-_Topic_wise/Bhagavad_Gita/Chapter-04/SP_BG_04-22_Bombay_1974-04-11_Envious_Gross-bodily_Religions.mp3</t>
  </si>
  <si>
    <t>SP_Morning_Walk_-_Bombay_1974-04-11.mp3</t>
  </si>
  <si>
    <t>https://audio.iskcondesiretree.com/01_-_Srila_Prabhupada/01_-_Lectures/01_-_English/01_-_Topic_wise/Morning_Walk/SP_Morning_Walk_-_Bombay_1974-04-11.mp3</t>
  </si>
  <si>
    <t>Bg-04-22_1974-04-11_BG-BOMBAY.MP3</t>
  </si>
  <si>
    <t>https://audio.iskcondesiretree.com/01_-_Srila_Prabhupada/01_-_Lectures/01_-_English/02_-_Month_wise/04_-_April/11/Bg-04-22_1974-04-11_BG-BOMBAY.MP3</t>
  </si>
  <si>
    <t>Bg_04-22_BOM_1974-04-11_Envious%2C_Gross-bodily_Religions.mp3</t>
  </si>
  <si>
    <t>https://audio.iskcondesiretree.com/01_-_Srila_Prabhupada/01_-_Lectures/01_-_English/02_-_Month_wise/04_-_April/11/Bg_04-22_BOM_1974-04-11_Envious%2C_Gross-bodily_Religions.mp3</t>
  </si>
  <si>
    <t>Walk_1974-04-11_MW-BOMBAY.MP3</t>
  </si>
  <si>
    <t>https://audio.iskcondesiretree.com/01_-_Srila_Prabhupada/01_-_Lectures/01_-_English/02_-_Month_wise/04_-_April/11/Walk_1974-04-11_MW-BOMBAY.MP3</t>
  </si>
  <si>
    <t>SP_BG_04-23_Bombay_1974-04-12_Liberation_Guaranteed.mp3</t>
  </si>
  <si>
    <t>https://audio.iskcondesiretree.com/01_-_Srila_Prabhupada/01_-_Lectures/01_-_English/01_-_Topic_wise/Bhagavad_Gita/Chapter-04/SP_BG_04-23_Bombay_1974-04-12_Liberation_Guaranteed.mp3</t>
  </si>
  <si>
    <t>SP_Morning_Walk_-_Bombay_1974-04-12.mp3</t>
  </si>
  <si>
    <t>https://audio.iskcondesiretree.com/01_-_Srila_Prabhupada/01_-_Lectures/01_-_English/01_-_Topic_wise/Morning_Walk/SP_Morning_Walk_-_Bombay_1974-04-12.mp3</t>
  </si>
  <si>
    <t>Bg-04-23_1974-04-12_BG-BOMBAY.MP3</t>
  </si>
  <si>
    <t>https://audio.iskcondesiretree.com/01_-_Srila_Prabhupada/01_-_Lectures/01_-_English/02_-_Month_wise/04_-_April/12/Bg-04-23_1974-04-12_BG-BOMBAY.MP3</t>
  </si>
  <si>
    <t>Bg_04-23_BOM_1974-04-12_Liberation_Guaranteed.mp3</t>
  </si>
  <si>
    <t>https://audio.iskcondesiretree.com/01_-_Srila_Prabhupada/01_-_Lectures/01_-_English/02_-_Month_wise/04_-_April/12/Bg_04-23_BOM_1974-04-12_Liberation_Guaranteed.mp3</t>
  </si>
  <si>
    <t>Walk_1974-04-12_MW-BOMBAY.MP3</t>
  </si>
  <si>
    <t>https://audio.iskcondesiretree.com/01_-_Srila_Prabhupada/01_-_Lectures/01_-_English/02_-_Month_wise/04_-_April/12/Walk_1974-04-12_MW-BOMBAY.MP3</t>
  </si>
  <si>
    <t>SP_BG_04-24_Bombay_1974-04-13_You_Can%27t_Separate_Anything.mp3</t>
  </si>
  <si>
    <t>https://audio.iskcondesiretree.com/01_-_Srila_Prabhupada/01_-_Lectures/01_-_English/01_-_Topic_wise/Bhagavad_Gita/Chapter-04/SP_BG_04-24_Bombay_1974-04-13_You_Can%27t_Separate_Anything.mp3</t>
  </si>
  <si>
    <t>SP_Morning_Walk_-_Bombay_1974-04-13.mp3</t>
  </si>
  <si>
    <t>https://audio.iskcondesiretree.com/01_-_Srila_Prabhupada/01_-_Lectures/01_-_English/01_-_Topic_wise/Morning_Walk/SP_Morning_Walk_-_Bombay_1974-04-13.mp3</t>
  </si>
  <si>
    <t>Bg-04-24_1974-04-13_BG-BOMBAY.MP3</t>
  </si>
  <si>
    <t>https://audio.iskcondesiretree.com/01_-_Srila_Prabhupada/01_-_Lectures/01_-_English/02_-_Month_wise/04_-_April/13/Bg-04-24_1974-04-13_BG-BOMBAY.MP3</t>
  </si>
  <si>
    <t>Bg_04-24_BOM_1974-04-13_You_Can%27t_Separate_Anything.mp3</t>
  </si>
  <si>
    <t>https://audio.iskcondesiretree.com/01_-_Srila_Prabhupada/01_-_Lectures/01_-_English/02_-_Month_wise/04_-_April/13/Bg_04-24_BOM_1974-04-13_You_Can%27t_Separate_Anything.mp3</t>
  </si>
  <si>
    <t>Walk_1974-04-13_MW-BOMBAY.MP3</t>
  </si>
  <si>
    <t>https://audio.iskcondesiretree.com/01_-_Srila_Prabhupada/01_-_Lectures/01_-_English/02_-_Month_wise/04_-_April/13/Walk_1974-04-13_MW-BOMBAY.MP3</t>
  </si>
  <si>
    <t>SP_BG_04-25_Bombay_1974-04-14.mp3</t>
  </si>
  <si>
    <t>https://audio.iskcondesiretree.com/01_-_Srila_Prabhupada/01_-_Lectures/01_-_English/01_-_Topic_wise/Bhagavad_Gita/Chapter-04/SP_BG_04-25_Bombay_1974-04-14.mp3</t>
  </si>
  <si>
    <t>SP_Morning_Walk_-_Bombay_1974-04-14.mp3</t>
  </si>
  <si>
    <t>https://audio.iskcondesiretree.com/01_-_Srila_Prabhupada/01_-_Lectures/01_-_English/01_-_Topic_wise/Morning_Walk/SP_Morning_Walk_-_Bombay_1974-04-14.mp3</t>
  </si>
  <si>
    <t>Bg-04-25_1974-04-14_BG-BOMBAY.MP3</t>
  </si>
  <si>
    <t>https://audio.iskcondesiretree.com/01_-_Srila_Prabhupada/01_-_Lectures/01_-_English/02_-_Month_wise/04_-_April/14/Bg-04-25_1974-04-14_BG-BOMBAY.MP3</t>
  </si>
  <si>
    <t>Walk_1974-04-14_MW-BOMBAY.MP3</t>
  </si>
  <si>
    <t>https://audio.iskcondesiretree.com/01_-_Srila_Prabhupada/01_-_Lectures/01_-_English/02_-_Month_wise/04_-_April/14/Walk_1974-04-14_MW-BOMBAY.MP3</t>
  </si>
  <si>
    <t>SP_BG_04-26_Bombay_1974-04-15_Attracted_by_Spiritual_Affairs.mp3</t>
  </si>
  <si>
    <t>https://audio.iskcondesiretree.com/01_-_Srila_Prabhupada/01_-_Lectures/01_-_English/01_-_Topic_wise/Bhagavad_Gita/Chapter-04/SP_BG_04-26_Bombay_1974-04-15_Attracted_by_Spiritual_Affairs.mp3</t>
  </si>
  <si>
    <t>Bg-04-26_1974-04-15_BG-BOMBAY.MP3</t>
  </si>
  <si>
    <t>https://audio.iskcondesiretree.com/01_-_Srila_Prabhupada/01_-_Lectures/01_-_English/02_-_Month_wise/04_-_April/15/Bg-04-26_1974-04-15_BG-BOMBAY.MP3</t>
  </si>
  <si>
    <t>Bg_04-26_BOM_1974-04-15_Attracted_by_Spiritual_Affairs.mp3</t>
  </si>
  <si>
    <t>https://audio.iskcondesiretree.com/01_-_Srila_Prabhupada/01_-_Lectures/01_-_English/02_-_Month_wise/04_-_April/15/Bg_04-26_BOM_1974-04-15_Attracted_by_Spiritual_Affairs.mp3</t>
  </si>
  <si>
    <t>SP_BG_04-27_Bombay_1974-04-16_Learning_to_Satisfy_the_Right_Senses.mp3</t>
  </si>
  <si>
    <t>https://audio.iskcondesiretree.com/01_-_Srila_Prabhupada/01_-_Lectures/01_-_English/01_-_Topic_wise/Bhagavad_Gita/Chapter-04/SP_BG_04-27_Bombay_1974-04-16_Learning_to_Satisfy_the_Right_Senses.mp3</t>
  </si>
  <si>
    <t>SP_Morning_Walk_-_Bombay_1974-04-16.mp3</t>
  </si>
  <si>
    <t>https://audio.iskcondesiretree.com/01_-_Srila_Prabhupada/01_-_Lectures/01_-_English/01_-_Topic_wise/Morning_Walk/SP_Morning_Walk_-_Bombay_1974-04-16.mp3</t>
  </si>
  <si>
    <t>Bg-04-27_1974-04-16_BG-BOMBAY.MP3</t>
  </si>
  <si>
    <t>https://audio.iskcondesiretree.com/01_-_Srila_Prabhupada/01_-_Lectures/01_-_English/02_-_Month_wise/04_-_April/16/Bg-04-27_1974-04-16_BG-BOMBAY.MP3</t>
  </si>
  <si>
    <t>Bg_04-27_BOM_1974-04-16_Learning_to_Satisfy_the_Right_Senses.mp3</t>
  </si>
  <si>
    <t>https://audio.iskcondesiretree.com/01_-_Srila_Prabhupada/01_-_Lectures/01_-_English/02_-_Month_wise/04_-_April/16/Bg_04-27_BOM_1974-04-16_Learning_to_Satisfy_the_Right_Senses.mp3</t>
  </si>
  <si>
    <t>Walk_1974-04-16_MW-BOMBAY.MP3</t>
  </si>
  <si>
    <t>https://audio.iskcondesiretree.com/01_-_Srila_Prabhupada/01_-_Lectures/01_-_English/02_-_Month_wise/04_-_April/16/Walk_1974-04-16_MW-BOMBAY.MP3</t>
  </si>
  <si>
    <t>SP_BG_04-28_Bombay_1974-04-17_The_Magic_of_Krsna_Consciousness.mp3</t>
  </si>
  <si>
    <t>https://audio.iskcondesiretree.com/01_-_Srila_Prabhupada/01_-_Lectures/01_-_English/01_-_Topic_wise/Bhagavad_Gita/Chapter-04/SP_BG_04-28_Bombay_1974-04-17_The_Magic_of_Krsna_Consciousness.mp3</t>
  </si>
  <si>
    <t>SP_Morning_Walk_-_Bombay_1974-04-17.mp3</t>
  </si>
  <si>
    <t>https://audio.iskcondesiretree.com/01_-_Srila_Prabhupada/01_-_Lectures/01_-_English/01_-_Topic_wise/Morning_Walk/SP_Morning_Walk_-_Bombay_1974-04-17.mp3</t>
  </si>
  <si>
    <t>Bg-04-28_1974-04-17_BG-BOMBAY.MP3</t>
  </si>
  <si>
    <t>https://audio.iskcondesiretree.com/01_-_Srila_Prabhupada/01_-_Lectures/01_-_English/02_-_Month_wise/04_-_April/17/Bg-04-28_1974-04-17_BG-BOMBAY.MP3</t>
  </si>
  <si>
    <t>Bg_04-28_BOM_1974-04-17_The_Magic_of_Krsna_Consciousness.mp3</t>
  </si>
  <si>
    <t>https://audio.iskcondesiretree.com/01_-_Srila_Prabhupada/01_-_Lectures/01_-_English/02_-_Month_wise/04_-_April/17/Bg_04-28_BOM_1974-04-17_The_Magic_of_Krsna_Consciousness.mp3</t>
  </si>
  <si>
    <t>Walk_1974-04-17_MW-BOMBAY.MP3</t>
  </si>
  <si>
    <t>https://audio.iskcondesiretree.com/01_-_Srila_Prabhupada/01_-_Lectures/01_-_English/02_-_Month_wise/04_-_April/17/Walk_1974-04-17_MW-BOMBAY.MP3</t>
  </si>
  <si>
    <t>SP_Interview_Hyderabad_1974-04-18_Press--If_You_Want_a_Good_Society.mp3</t>
  </si>
  <si>
    <t>https://audio.iskcondesiretree.com/01_-_Srila_Prabhupada/01_-_Lectures/01_-_English/01_-_Topic_wise/Interview/SP_Interview_Hyderabad_1974-04-18_Press--If_You_Want_a_Good_Society.mp3</t>
  </si>
  <si>
    <t>SP_Morning_Walk_-_Bombay_1974-04-18.mp3</t>
  </si>
  <si>
    <t>https://audio.iskcondesiretree.com/01_-_Srila_Prabhupada/01_-_Lectures/01_-_English/01_-_Topic_wise/Morning_Walk/SP_Morning_Walk_-_Bombay_1974-04-18.mp3</t>
  </si>
  <si>
    <t>SP_SB_1-02-06_Hyderabad_1974-04-18_Bhakti_Is_Not_a_Business.mp3</t>
  </si>
  <si>
    <t>https://audio.iskcondesiretree.com/01_-_Srila_Prabhupada/01_-_Lectures/01_-_English/01_-_Topic_wise/Srimad_Bhagavatam/Canto-01/SP_SB_1-02-06_Hyderabad_1974-04-18_Bhakti_Is_Not_a_Business.mp3</t>
  </si>
  <si>
    <t>Interv_HYD_1974-04-18_Press--If_You_Want_a_Good_Society.mp3</t>
  </si>
  <si>
    <t>https://audio.iskcondesiretree.com/01_-_Srila_Prabhupada/01_-_Lectures/01_-_English/02_-_Month_wise/04_-_April/18/Interv_HYD_1974-04-18_Press--If_You_Want_a_Good_Society.mp3</t>
  </si>
  <si>
    <t>Interview_1974-04-18-PC-HYDERABAD.MP3</t>
  </si>
  <si>
    <t>https://audio.iskcondesiretree.com/01_-_Srila_Prabhupada/01_-_Lectures/01_-_English/02_-_Month_wise/04_-_April/18/Interview_1974-04-18-PC-HYDERABAD.MP3</t>
  </si>
  <si>
    <t>SB-01-02-06_1974-04-18_SB-HYDERABAD.MP3</t>
  </si>
  <si>
    <t>https://audio.iskcondesiretree.com/01_-_Srila_Prabhupada/01_-_Lectures/01_-_English/02_-_Month_wise/04_-_April/18/SB-01-02-06_1974-04-18_SB-HYDERABAD.MP3</t>
  </si>
  <si>
    <t>SB_1-02-06_HYD_1974-04-18_Bhakti_Is_Not_a_Business.mp3</t>
  </si>
  <si>
    <t>https://audio.iskcondesiretree.com/01_-_Srila_Prabhupada/01_-_Lectures/01_-_English/02_-_Month_wise/04_-_April/18/SB_1-02-06_HYD_1974-04-18_Bhakti_Is_Not_a_Business.mp3</t>
  </si>
  <si>
    <t>Walk_1974-04-18_MW-BOMBAY.MP3</t>
  </si>
  <si>
    <t>https://audio.iskcondesiretree.com/01_-_Srila_Prabhupada/01_-_Lectures/01_-_English/02_-_Month_wise/04_-_April/18/Walk_1974-04-18_MW-BOMBAY.MP3</t>
  </si>
  <si>
    <t>SP_BG_13-03_Hyderabad_1974-04-19_Take_Knowledge_from_Krishna.mp3</t>
  </si>
  <si>
    <t>https://audio.iskcondesiretree.com/01_-_Srila_Prabhupada/01_-_Lectures/01_-_English/01_-_Topic_wise/Bhagavad_Gita/Chapter-13/SP_BG_13-03_Hyderabad_1974-04-19_Take_Knowledge_from_Krishna.mp3</t>
  </si>
  <si>
    <t>SP_Morning_Walk_-_Hyderabad_1974-04-19.mp3</t>
  </si>
  <si>
    <t>https://audio.iskcondesiretree.com/01_-_Srila_Prabhupada/01_-_Lectures/01_-_English/01_-_Topic_wise/Morning_Walk/SP_Morning_Walk_-_Hyderabad_1974-04-19.mp3</t>
  </si>
  <si>
    <t>Bg-13-03_1974-04-19_BG-HYDERABAD.MP3</t>
  </si>
  <si>
    <t>https://audio.iskcondesiretree.com/01_-_Srila_Prabhupada/01_-_Lectures/01_-_English/02_-_Month_wise/04_-_April/19/Bg-13-03_1974-04-19_BG-HYDERABAD.MP3</t>
  </si>
  <si>
    <t>Bg_13-03_HYD_1974-04-19_Take_Knowledge_from_Krishna.mp3</t>
  </si>
  <si>
    <t>https://audio.iskcondesiretree.com/01_-_Srila_Prabhupada/01_-_Lectures/01_-_English/02_-_Month_wise/04_-_April/19/Bg_13-03_HYD_1974-04-19_Take_Knowledge_from_Krishna.mp3</t>
  </si>
  <si>
    <t>Lecture%E2%80%93Hindi_1974-04-19_LE-HYDERABAD.MP3</t>
  </si>
  <si>
    <t>https://audio.iskcondesiretree.com/01_-_Srila_Prabhupada/01_-_Lectures/01_-_English/02_-_Month_wise/04_-_April/19/Lecture%E2%80%93Hindi_1974-04-19_LE-HYDERABAD.MP3</t>
  </si>
  <si>
    <t>Walk_1974-04-19_MW-HYDERABAD.MP3</t>
  </si>
  <si>
    <t>https://audio.iskcondesiretree.com/01_-_Srila_Prabhupada/01_-_Lectures/01_-_English/02_-_Month_wise/04_-_April/19/Walk_1974-04-19_MW-HYDERABAD.MP3</t>
  </si>
  <si>
    <t>SP_BG_13-04_Hyderabad_1974-04-20_The_Knowledge_from_Narayana.mp3</t>
  </si>
  <si>
    <t>https://audio.iskcondesiretree.com/01_-_Srila_Prabhupada/01_-_Lectures/01_-_English/01_-_Topic_wise/Bhagavad_Gita/Chapter-13/SP_BG_13-04_Hyderabad_1974-04-20_The_Knowledge_from_Narayana.mp3</t>
  </si>
  <si>
    <t>SP_Morning_Walk_-_Hyderabad_1974-04-20_You_Have_Not_Seen_God...Liar.mp3</t>
  </si>
  <si>
    <t>https://audio.iskcondesiretree.com/01_-_Srila_Prabhupada/01_-_Lectures/01_-_English/01_-_Topic_wise/Morning_Walk/SP_Morning_Walk_-_Hyderabad_1974-04-20_You_Have_Not_Seen_God...Liar.mp3</t>
  </si>
  <si>
    <t>SP_Room_Conversation_01_Bombay_1974-04-20.mp3</t>
  </si>
  <si>
    <t>https://audio.iskcondesiretree.com/01_-_Srila_Prabhupada/01_-_Lectures/01_-_English/01_-_Topic_wise/Room_Conversation/SP_Room_Conversation_01_Bombay_1974-04-20.mp3</t>
  </si>
  <si>
    <t>Bg-13-04_1974-04-20_BG-HYDERABAD.MP3</t>
  </si>
  <si>
    <t>https://audio.iskcondesiretree.com/01_-_Srila_Prabhupada/01_-_Lectures/01_-_English/02_-_Month_wise/04_-_April/20/Bg-13-04_1974-04-20_BG-HYDERABAD.MP3</t>
  </si>
  <si>
    <t>Bg_13-04_HYD_1974-04-20_The_Knowledge_from_Narayana.mp3</t>
  </si>
  <si>
    <t>https://audio.iskcondesiretree.com/01_-_Srila_Prabhupada/01_-_Lectures/01_-_English/02_-_Month_wise/04_-_April/20/Bg_13-04_HYD_1974-04-20_The_Knowledge_from_Narayana.mp3</t>
  </si>
  <si>
    <t>Conv_1974-04-20_R1-HYDERABAD.MP3</t>
  </si>
  <si>
    <t>https://audio.iskcondesiretree.com/01_-_Srila_Prabhupada/01_-_Lectures/01_-_English/02_-_Month_wise/04_-_April/20/Conv_1974-04-20_R1-HYDERABAD.MP3</t>
  </si>
  <si>
    <t>MW_HYD_1974-04-20_You_Have_Not_Seen_God_Liar.mp3</t>
  </si>
  <si>
    <t>https://audio.iskcondesiretree.com/01_-_Srila_Prabhupada/01_-_Lectures/01_-_English/02_-_Month_wise/04_-_April/20/MW_HYD_1974-04-20_You_Have_Not_Seen_God_Liar.mp3</t>
  </si>
  <si>
    <t>Walk_1974-04-20_MW-HYDERABAD.MP3</t>
  </si>
  <si>
    <t>https://audio.iskcondesiretree.com/01_-_Srila_Prabhupada/01_-_Lectures/01_-_English/02_-_Month_wise/04_-_April/20/Walk_1974-04-20_MW-HYDERABAD.MP3</t>
  </si>
  <si>
    <t>SP_SB_1-02-07_Hyderabad_1974-04-21_Understand_Your_Position.mp3</t>
  </si>
  <si>
    <t>https://audio.iskcondesiretree.com/01_-_Srila_Prabhupada/01_-_Lectures/01_-_English/01_-_Topic_wise/Srimad_Bhagavatam/Canto-01/SP_SB_1-02-07_Hyderabad_1974-04-21_Understand_Your_Position.mp3</t>
  </si>
  <si>
    <t>SB-01-02-07_1974-04-21_SB-HYDERABAD.MP3</t>
  </si>
  <si>
    <t>https://audio.iskcondesiretree.com/01_-_Srila_Prabhupada/01_-_Lectures/01_-_English/02_-_Month_wise/04_-_April/21/SB-01-02-07_1974-04-21_SB-HYDERABAD.MP3</t>
  </si>
  <si>
    <t>SB_1-02-07_HYD_1974-04-21_Understand_Your_Position.mp3</t>
  </si>
  <si>
    <t>https://audio.iskcondesiretree.com/01_-_Srila_Prabhupada/01_-_Lectures/01_-_English/02_-_Month_wise/04_-_April/21/SB_1-02-07_HYD_1974-04-21_Understand_Your_Position.mp3</t>
  </si>
  <si>
    <t>SP_Morning_Walk_-_Hyderabad_1974-04-22_If_You_Love_God...Why_Disobey.mp3</t>
  </si>
  <si>
    <t>https://audio.iskcondesiretree.com/01_-_Srila_Prabhupada/01_-_Lectures/01_-_English/01_-_Topic_wise/Morning_Walk/SP_Morning_Walk_-_Hyderabad_1974-04-22_If_You_Love_God...Why_Disobey.mp3</t>
  </si>
  <si>
    <t>SP_SB_1-02-08_Hyderabad_1974-04-22_Duty...or_a_Waste_of_Time.mp3</t>
  </si>
  <si>
    <t>https://audio.iskcondesiretree.com/01_-_Srila_Prabhupada/01_-_Lectures/01_-_English/01_-_Topic_wise/Srimad_Bhagavatam/Canto-01/SP_SB_1-02-08_Hyderabad_1974-04-22_Duty...or_a_Waste_of_Time.mp3</t>
  </si>
  <si>
    <t>MW_HYD_1974-04-22_If_You_Love_God_Why_Disobey.mp3</t>
  </si>
  <si>
    <t>https://audio.iskcondesiretree.com/01_-_Srila_Prabhupada/01_-_Lectures/01_-_English/02_-_Month_wise/04_-_April/22/MW_HYD_1974-04-22_If_You_Love_God_Why_Disobey.mp3</t>
  </si>
  <si>
    <t>SB-01-02-08_1974-04-22_SB-HYDERABAD.MP3</t>
  </si>
  <si>
    <t>https://audio.iskcondesiretree.com/01_-_Srila_Prabhupada/01_-_Lectures/01_-_English/02_-_Month_wise/04_-_April/22/SB-01-02-08_1974-04-22_SB-HYDERABAD.MP3</t>
  </si>
  <si>
    <t>SB_1-02-08_HYD_1974-04-22_Duty_or_a_Waste_of_Time.mp3</t>
  </si>
  <si>
    <t>https://audio.iskcondesiretree.com/01_-_Srila_Prabhupada/01_-_Lectures/01_-_English/02_-_Month_wise/04_-_April/22/SB_1-02-08_HYD_1974-04-22_Duty_or_a_Waste_of_Time.mp3</t>
  </si>
  <si>
    <t>Walk_1974-04-22_MW-HYDERABAD.MP3</t>
  </si>
  <si>
    <t>https://audio.iskcondesiretree.com/01_-_Srila_Prabhupada/01_-_Lectures/01_-_English/02_-_Month_wise/04_-_April/22/Walk_1974-04-22_MW-HYDERABAD.MP3</t>
  </si>
  <si>
    <t>SP_Morning_Walk_-_Hyderabad_1974-04-23_Protect_Against_Degradation.mp3</t>
  </si>
  <si>
    <t>https://audio.iskcondesiretree.com/01_-_Srila_Prabhupada/01_-_Lectures/01_-_English/01_-_Topic_wise/Morning_Walk/SP_Morning_Walk_-_Hyderabad_1974-04-23_Protect_Against_Degradation.mp3</t>
  </si>
  <si>
    <t>SP_SB_1-02-09_Hyderabad_1974-04-23_Illusion_Realized.mp3</t>
  </si>
  <si>
    <t>https://audio.iskcondesiretree.com/01_-_Srila_Prabhupada/01_-_Lectures/01_-_English/01_-_Topic_wise/Srimad_Bhagavatam/Canto-01/SP_SB_1-02-09_Hyderabad_1974-04-23_Illusion_Realized.mp3</t>
  </si>
  <si>
    <t>Lecture%E2%80%93Hindi_1974-04-23_LE-HYDERABAD.MP3</t>
  </si>
  <si>
    <t>https://audio.iskcondesiretree.com/01_-_Srila_Prabhupada/01_-_Lectures/01_-_English/02_-_Month_wise/04_-_April/23/Lecture%E2%80%93Hindi_1974-04-23_LE-HYDERABAD.MP3</t>
  </si>
  <si>
    <t>MW_HYD_1974-04-23_Protect_Against_Degradation.mp3</t>
  </si>
  <si>
    <t>https://audio.iskcondesiretree.com/01_-_Srila_Prabhupada/01_-_Lectures/01_-_English/02_-_Month_wise/04_-_April/23/MW_HYD_1974-04-23_Protect_Against_Degradation.mp3</t>
  </si>
  <si>
    <t>SB-01-02-09_1974-04-23_SB-HYDERABAD.MP3</t>
  </si>
  <si>
    <t>https://audio.iskcondesiretree.com/01_-_Srila_Prabhupada/01_-_Lectures/01_-_English/02_-_Month_wise/04_-_April/23/SB-01-02-09_1974-04-23_SB-HYDERABAD.MP3</t>
  </si>
  <si>
    <t>SB_1-02-09_HYD_1974-04-23_Illusion_Realized.mp3</t>
  </si>
  <si>
    <t>https://audio.iskcondesiretree.com/01_-_Srila_Prabhupada/01_-_Lectures/01_-_English/02_-_Month_wise/04_-_April/23/SB_1-02-09_HYD_1974-04-23_Illusion_Realized.mp3</t>
  </si>
  <si>
    <t>Walk_1974-04-23_MW-HYDERABAD.MP3</t>
  </si>
  <si>
    <t>https://audio.iskcondesiretree.com/01_-_Srila_Prabhupada/01_-_Lectures/01_-_English/02_-_Month_wise/04_-_April/23/Walk_1974-04-23_MW-HYDERABAD.MP3</t>
  </si>
  <si>
    <t>SP_Morning_Walk_-_Hyderabad_1974-04-24.mp3</t>
  </si>
  <si>
    <t>https://audio.iskcondesiretree.com/01_-_Srila_Prabhupada/01_-_Lectures/01_-_English/01_-_Topic_wise/Morning_Walk/SP_Morning_Walk_-_Hyderabad_1974-04-24.mp3</t>
  </si>
  <si>
    <t>SP_SB_01-02-10_Hyderabad_1974-04-24.mp3</t>
  </si>
  <si>
    <t>https://audio.iskcondesiretree.com/01_-_Srila_Prabhupada/01_-_Lectures/01_-_English/01_-_Topic_wise/Srimad_Bhagavatam/Canto-01/SP_SB_01-02-10_Hyderabad_1974-04-24.mp3</t>
  </si>
  <si>
    <t>SB-01-02-10_1974-04-24_SB-HYDERABAD.MP3</t>
  </si>
  <si>
    <t>https://audio.iskcondesiretree.com/01_-_Srila_Prabhupada/01_-_Lectures/01_-_English/02_-_Month_wise/04_-_April/24/SB-01-02-10_1974-04-24_SB-HYDERABAD.MP3</t>
  </si>
  <si>
    <t>Walk_1974-04-24_MW-HYDERABAD.MP3</t>
  </si>
  <si>
    <t>https://audio.iskcondesiretree.com/01_-_Srila_Prabhupada/01_-_Lectures/01_-_English/02_-_Month_wise/04_-_April/24/Walk_1974-04-24_MW-HYDERABAD.MP3</t>
  </si>
  <si>
    <t>Lecture%E2%80%93Hindi_1974-04-25_LE-TIRUPATI.MP3</t>
  </si>
  <si>
    <t>https://audio.iskcondesiretree.com/01_-_Srila_Prabhupada/01_-_Lectures/01_-_English/02_-_Month_wise/04_-_April/25/Lecture%E2%80%93Hindi_1974-04-25_LE-TIRUPATI.MP3</t>
  </si>
  <si>
    <t>SP_Interview_-_With_Minister_Tirupati_1974-04-26.mp3</t>
  </si>
  <si>
    <t>https://audio.iskcondesiretree.com/01_-_Srila_Prabhupada/01_-_Lectures/01_-_English/01_-_Topic_wise/Interview/SP_Interview_-_With_Minister_Tirupati_1974-04-26.mp3</t>
  </si>
  <si>
    <t>SP_Room_Conversation_01_Tirupati_1974-04-26.mp3</t>
  </si>
  <si>
    <t>https://audio.iskcondesiretree.com/01_-_Srila_Prabhupada/01_-_Lectures/01_-_English/01_-_Topic_wise/Room_Conversation/SP_Room_Conversation_01_Tirupati_1974-04-26.mp3</t>
  </si>
  <si>
    <t>SP_SB_01-02-11_Tirupati_1974-04-26.mp3</t>
  </si>
  <si>
    <t>https://audio.iskcondesiretree.com/01_-_Srila_Prabhupada/01_-_Lectures/01_-_English/01_-_Topic_wise/Srimad_Bhagavatam/Canto-01/SP_SB_01-02-11_Tirupati_1974-04-26.mp3</t>
  </si>
  <si>
    <t>Conv_1974-04-26_R1-TIRUPATI.MP3</t>
  </si>
  <si>
    <t>https://audio.iskcondesiretree.com/01_-_Srila_Prabhupada/01_-_Lectures/01_-_English/02_-_Month_wise/04_-_April/26/Conv_1974-04-26_R1-TIRUPATI.MP3</t>
  </si>
  <si>
    <t>Interview_1974-04-26_IV-TIRUPATI.MP3</t>
  </si>
  <si>
    <t>https://audio.iskcondesiretree.com/01_-_Srila_Prabhupada/01_-_Lectures/01_-_English/02_-_Month_wise/04_-_April/26/Interview_1974-04-26_IV-TIRUPATI.MP3</t>
  </si>
  <si>
    <t>SB-01-02-11_1974-04-26_SB-TIRUPATI.MP3</t>
  </si>
  <si>
    <t>https://audio.iskcondesiretree.com/01_-_Srila_Prabhupada/01_-_Lectures/01_-_English/02_-_Month_wise/04_-_April/26/SB-01-02-11_1974-04-26_SB-TIRUPATI.MP3</t>
  </si>
  <si>
    <t>SP_BG_07-01_Hyderabad_1974-04-27_Krishna_in_His_Vibration_Form.mp3</t>
  </si>
  <si>
    <t>https://audio.iskcondesiretree.com/01_-_Srila_Prabhupada/01_-_Lectures/01_-_English/01_-_Topic_wise/Bhagavad_Gita/Chapter-07/SP_BG_07-01_Hyderabad_1974-04-27_Krishna_in_His_Vibration_Form.mp3</t>
  </si>
  <si>
    <t>Bg-07-01_1974-04-27_BG-HYDERABAD.MP3</t>
  </si>
  <si>
    <t>https://audio.iskcondesiretree.com/01_-_Srila_Prabhupada/01_-_Lectures/01_-_English/02_-_Month_wise/04_-_April/27/Bg-07-01_1974-04-27_BG-HYDERABAD.MP3</t>
  </si>
  <si>
    <t>Bg_07-01_HYD_1974-04-27_Krishna_in_His_Vibration_Form.mp3</t>
  </si>
  <si>
    <t>https://audio.iskcondesiretree.com/01_-_Srila_Prabhupada/01_-_Lectures/01_-_English/02_-_Month_wise/04_-_April/27/Bg_07-01_HYD_1974-04-27_Krishna_in_His_Vibration_Form.mp3</t>
  </si>
  <si>
    <t>SP_BG_07-02_Hyderabad_1974-04-28_Seeing_Krishna_Within_the_Heart.mp3</t>
  </si>
  <si>
    <t>https://audio.iskcondesiretree.com/01_-_Srila_Prabhupada/01_-_Lectures/01_-_English/01_-_Topic_wise/Bhagavad_Gita/Chapter-07/SP_BG_07-02_Hyderabad_1974-04-28_Seeing_Krishna_Within_the_Heart.mp3</t>
  </si>
  <si>
    <t>Bg-07-02_1974-04-28_BG-HYDERABAD.MP3</t>
  </si>
  <si>
    <t>https://audio.iskcondesiretree.com/01_-_Srila_Prabhupada/01_-_Lectures/01_-_English/02_-_Month_wise/04_-_April/28/Bg-07-02_1974-04-28_BG-HYDERABAD.MP3</t>
  </si>
  <si>
    <t>Bg_07-02_HYD_1974-04-28_Seeing_Krishna_Within_the_Heart.mp3</t>
  </si>
  <si>
    <t>https://audio.iskcondesiretree.com/01_-_Srila_Prabhupada/01_-_Lectures/01_-_English/02_-_Month_wise/04_-_April/28/Bg_07-02_HYD_1974-04-28_Seeing_Krishna_Within_the_Heart.mp3</t>
  </si>
  <si>
    <t>SP_Morning_Walk_-_Hyderabad_1974-04-29_Miracles_and_MIRACLES.mp3</t>
  </si>
  <si>
    <t>https://audio.iskcondesiretree.com/01_-_Srila_Prabhupada/01_-_Lectures/01_-_English/01_-_Topic_wise/Morning_Walk/SP_Morning_Walk_-_Hyderabad_1974-04-29_Miracles_and_MIRACLES.mp3</t>
  </si>
  <si>
    <t>MW_HYD_1974-04-29_Miracles_and_MIRACLES.mp3</t>
  </si>
  <si>
    <t>https://audio.iskcondesiretree.com/01_-_Srila_Prabhupada/01_-_Lectures/01_-_English/02_-_Month_wise/04_-_April/29/MW_HYD_1974-04-29_Miracles_and_MIRACLES.mp3</t>
  </si>
  <si>
    <t>Walk_1974-04-29_MW-HYDERABAD.MP3</t>
  </si>
  <si>
    <t>https://audio.iskcondesiretree.com/01_-_Srila_Prabhupada/01_-_Lectures/01_-_English/02_-_Month_wise/04_-_April/29/Walk_1974-04-29_MW-HYDERABAD.MP3</t>
  </si>
  <si>
    <t>SP_Morning_Walk_-_Bombay_1974-05-01.mp3</t>
  </si>
  <si>
    <t>https://audio.iskcondesiretree.com/01_-_Srila_Prabhupada/01_-_Lectures/01_-_English/01_-_Topic_wise/Morning_Walk/SP_Morning_Walk_-_Bombay_1974-05-01.mp3</t>
  </si>
  <si>
    <t>Walk_1974-05-01_MW-BOMBAY.MP3</t>
  </si>
  <si>
    <t>https://audio.iskcondesiretree.com/01_-_Srila_Prabhupada/01_-_Lectures/01_-_English/02_-_Month_wise/05_-_May/01/Walk_1974-05-01_MW-BOMBAY.MP3</t>
  </si>
  <si>
    <t>SP_Morning_Walk_-_Bombay_1974-05-02.mp3</t>
  </si>
  <si>
    <t>https://audio.iskcondesiretree.com/01_-_Srila_Prabhupada/01_-_Lectures/01_-_English/01_-_Topic_wise/Morning_Walk/SP_Morning_Walk_-_Bombay_1974-05-02.mp3</t>
  </si>
  <si>
    <t>Walk_1974-05-02_MW-BOMBAY.MP3</t>
  </si>
  <si>
    <t>https://audio.iskcondesiretree.com/01_-_Srila_Prabhupada/01_-_Lectures/01_-_English/02_-_Month_wise/05_-_May/02/Walk_1974-05-02_MW-BOMBAY.MP3</t>
  </si>
  <si>
    <t>SP_Morning_Walk_-_Bombay_1974-05-03.mp3</t>
  </si>
  <si>
    <t>https://audio.iskcondesiretree.com/01_-_Srila_Prabhupada/01_-_Lectures/01_-_English/01_-_Topic_wise/Morning_Walk/SP_Morning_Walk_-_Bombay_1974-05-03.mp3</t>
  </si>
  <si>
    <t>Walk_1974-05-03_MW-BOMBAY.MP3</t>
  </si>
  <si>
    <t>https://audio.iskcondesiretree.com/01_-_Srila_Prabhupada/01_-_Lectures/01_-_English/02_-_Month_wise/05_-_May/03/Walk_1974-05-03_MW-BOMBAY.MP3</t>
  </si>
  <si>
    <t>SP_Morning_Walk_-_Bombay_1974-05-04.mp3</t>
  </si>
  <si>
    <t>https://audio.iskcondesiretree.com/01_-_Srila_Prabhupada/01_-_Lectures/01_-_English/01_-_Topic_wise/Morning_Walk/SP_Morning_Walk_-_Bombay_1974-05-04.mp3</t>
  </si>
  <si>
    <t>Walk_1974-05-04_MW-BOMBAY.MP3</t>
  </si>
  <si>
    <t>https://audio.iskcondesiretree.com/01_-_Srila_Prabhupada/01_-_Lectures/01_-_English/02_-_Month_wise/05_-_May/04/Walk_1974-05-04_MW-BOMBAY.MP3</t>
  </si>
  <si>
    <t>SP_Festivals_Bombay_1974-05-05_Nrsimhadeva_Appearance.mp3</t>
  </si>
  <si>
    <t>https://audio.iskcondesiretree.com/01_-_Srila_Prabhupada/01_-_Lectures/01_-_English/01_-_Topic_wise/Festivals/SP_Festivals_Bombay_1974-05-05_Nrsimhadeva_Appearance.mp3</t>
  </si>
  <si>
    <t>SP_Morning_Walk_-_Bombay_1974-05-05.mp3</t>
  </si>
  <si>
    <t>https://audio.iskcondesiretree.com/01_-_Srila_Prabhupada/01_-_Lectures/01_-_English/01_-_Topic_wise/Morning_Walk/SP_Morning_Walk_-_Bombay_1974-05-05.mp3</t>
  </si>
  <si>
    <t>Fest_BOM_1974-05-05_Nrsimhadeva_Appearance.mp3</t>
  </si>
  <si>
    <t>https://audio.iskcondesiretree.com/01_-_Srila_Prabhupada/01_-_Lectures/01_-_English/02_-_Month_wise/05_-_May/05/Fest_BOM_1974-05-05_Nrsimhadeva_Appearance.mp3</t>
  </si>
  <si>
    <t>NrsimhaDeva_Appearance_1974-05-05_NA-BOMBAY.MP3</t>
  </si>
  <si>
    <t>https://audio.iskcondesiretree.com/01_-_Srila_Prabhupada/01_-_Lectures/01_-_English/02_-_Month_wise/05_-_May/05/NrsimhaDeva_Appearance_1974-05-05_NA-BOMBAY.MP3</t>
  </si>
  <si>
    <t>Walk_1974-05-05_MW-BOMBAY.MP3</t>
  </si>
  <si>
    <t>https://audio.iskcondesiretree.com/01_-_Srila_Prabhupada/01_-_Lectures/01_-_English/02_-_Month_wise/05_-_May/05/Walk_1974-05-05_MW-BOMBAY.MP3</t>
  </si>
  <si>
    <t>SP_Morning_Walk_-_Bombay_1974-05-06.mp3</t>
  </si>
  <si>
    <t>https://audio.iskcondesiretree.com/01_-_Srila_Prabhupada/01_-_Lectures/01_-_English/01_-_Topic_wise/Morning_Walk/SP_Morning_Walk_-_Bombay_1974-05-06.mp3</t>
  </si>
  <si>
    <t>Walk_1974-05-06_MW-BOMBAY.MP3</t>
  </si>
  <si>
    <t>https://audio.iskcondesiretree.com/01_-_Srila_Prabhupada/01_-_Lectures/01_-_English/02_-_Month_wise/05_-_May/06/Walk_1974-05-06_MW-BOMBAY.MP3</t>
  </si>
  <si>
    <t>SP_Morning_Walk_-_Bombay_1974-05-08.mp3</t>
  </si>
  <si>
    <t>https://audio.iskcondesiretree.com/01_-_Srila_Prabhupada/01_-_Lectures/01_-_English/01_-_Topic_wise/Morning_Walk/SP_Morning_Walk_-_Bombay_1974-05-08.mp3</t>
  </si>
  <si>
    <t>Walk_1974-05-08_MW-BOMBAY.MP3</t>
  </si>
  <si>
    <t>https://audio.iskcondesiretree.com/01_-_Srila_Prabhupada/01_-_Lectures/01_-_English/02_-_Month_wise/05_-_May/08/Walk_1974-05-08_MW-BOMBAY.MP3</t>
  </si>
  <si>
    <t>SP_Morning_Walk_-_Bombay_1974-05-09.mp3</t>
  </si>
  <si>
    <t>https://audio.iskcondesiretree.com/01_-_Srila_Prabhupada/01_-_Lectures/01_-_English/01_-_Topic_wise/Morning_Walk/SP_Morning_Walk_-_Bombay_1974-05-09.mp3</t>
  </si>
  <si>
    <t>Walk_1974-05-09_MW-BOMBAY.MP3</t>
  </si>
  <si>
    <t>https://audio.iskcondesiretree.com/01_-_Srila_Prabhupada/01_-_Lectures/01_-_English/02_-_Month_wise/05_-_May/09/Walk_1974-05-09_MW-BOMBAY.MP3</t>
  </si>
  <si>
    <t>Chapter-12</t>
  </si>
  <si>
    <t>SP_BG_12-13_Bombay_1974-05-12_The_STRUGGLE--Atheists_vs._Theist.mp3</t>
  </si>
  <si>
    <t>https://audio.iskcondesiretree.com/01_-_Srila_Prabhupada/01_-_Lectures/01_-_English/01_-_Topic_wise/Bhagavad_Gita/Chapter-12/SP_BG_12-13_Bombay_1974-05-12_The_STRUGGLE--Atheists_vs._Theist.mp3</t>
  </si>
  <si>
    <t>Bg-12-13%E2%80%9314_1974-05-12_BG-BOMBAY.MP3</t>
  </si>
  <si>
    <t>https://audio.iskcondesiretree.com/01_-_Srila_Prabhupada/01_-_Lectures/01_-_English/02_-_Month_wise/05_-_May/12/Bg-12-13%E2%80%9314_1974-05-12_BG-BOMBAY.MP3</t>
  </si>
  <si>
    <t>Bg_12-13_BOM_1974-05-12_The_STRUGGLE_Atheists_vs_Theist.mp3</t>
  </si>
  <si>
    <t>https://audio.iskcondesiretree.com/01_-_Srila_Prabhupada/01_-_Lectures/01_-_English/02_-_Month_wise/05_-_May/12/Bg_12-13_BOM_1974-05-12_The_STRUGGLE_Atheists_vs_Theist.mp3</t>
  </si>
  <si>
    <t>SP_Room_Conversation_Rome_1974-05-23_Irish_Poet--Dog-ism_Cat-ism.mp3</t>
  </si>
  <si>
    <t>https://audio.iskcondesiretree.com/01_-_Srila_Prabhupada/01_-_Lectures/01_-_English/01_-_Topic_wise/Room_Conversation/SP_Room_Conversation_Rome_1974-05-23_Irish_Poet--Dog-ism_Cat-ism.mp3</t>
  </si>
  <si>
    <t>Conv_1974-05-23_R1-ROME.MP3</t>
  </si>
  <si>
    <t>https://audio.iskcondesiretree.com/01_-_Srila_Prabhupada/01_-_Lectures/01_-_English/02_-_Month_wise/05_-_May/23/Conv_1974-05-23_R1-ROME.MP3</t>
  </si>
  <si>
    <t>RC_ROM_1974-05-23_Irish_Poet--Dogism_Catism.mp3</t>
  </si>
  <si>
    <t>https://audio.iskcondesiretree.com/01_-_Srila_Prabhupada/01_-_Lectures/01_-_English/02_-_Month_wise/05_-_May/23/RC_ROM_1974-05-23_Irish_Poet--Dogism_Catism.mp3</t>
  </si>
  <si>
    <t>SP_Morning_Walk_-_Rome_1974-05-24_Relief--Only_for_First-class_Devotees.mp3</t>
  </si>
  <si>
    <t>https://audio.iskcondesiretree.com/01_-_Srila_Prabhupada/01_-_Lectures/01_-_English/01_-_Topic_wise/Morning_Walk/SP_Morning_Walk_-_Rome_1974-05-24_Relief--Only_for_First-class_Devotees.mp3</t>
  </si>
  <si>
    <t>SP_Room_Conversation_02_Rome_1974-05-24.mp3</t>
  </si>
  <si>
    <t>https://audio.iskcondesiretree.com/01_-_Srila_Prabhupada/01_-_Lectures/01_-_English/01_-_Topic_wise/Room_Conversation/SP_Room_Conversation_02_Rome_1974-05-24.mp3</t>
  </si>
  <si>
    <t>SP_Room_Conversation_Rome_1974-05-24_Rascal_Leasers_-_Putting_People_into_Chaos.mp3</t>
  </si>
  <si>
    <t>https://audio.iskcondesiretree.com/01_-_Srila_Prabhupada/01_-_Lectures/01_-_English/01_-_Topic_wise/Room_Conversation/SP_Room_Conversation_Rome_1974-05-24_Rascal_Leasers_-_Putting_People_into_Chaos.mp3</t>
  </si>
  <si>
    <t>SP_Room_Conversation_Rome_1974-05-24_Secretary_to_the_Pope--Love_for--etc.mp3</t>
  </si>
  <si>
    <t>https://audio.iskcondesiretree.com/01_-_Srila_Prabhupada/01_-_Lectures/01_-_English/01_-_Topic_wise/Room_Conversation/SP_Room_Conversation_Rome_1974-05-24_Secretary_to_the_Pope--Love_for--etc.mp3</t>
  </si>
  <si>
    <t>SP_Room_Conversation_Rome_1974-05-24_The_Head_of_the_Social_Body_Must_be_Clean.mp3</t>
  </si>
  <si>
    <t>https://audio.iskcondesiretree.com/01_-_Srila_Prabhupada/01_-_Lectures/01_-_English/01_-_Topic_wise/Room_Conversation/SP_Room_Conversation_Rome_1974-05-24_The_Head_of_the_Social_Body_Must_be_Clean.mp3</t>
  </si>
  <si>
    <t>SP_SB_1-02-06_Rome_1974-05-24_Body-isms_Like_%27Democracy%27--etc.mp3</t>
  </si>
  <si>
    <t>https://audio.iskcondesiretree.com/01_-_Srila_Prabhupada/01_-_Lectures/01_-_English/01_-_Topic_wise/Srimad_Bhagavatam/Canto-01/SP_SB_1-02-06_Rome_1974-05-24_Body-isms_Like_%27Democracy%27--etc.mp3</t>
  </si>
  <si>
    <t>Conv_1974-05-24_R1-ROME.MP3</t>
  </si>
  <si>
    <t>https://audio.iskcondesiretree.com/01_-_Srila_Prabhupada/01_-_Lectures/01_-_English/02_-_Month_wise/05_-_May/24/Conv_1974-05-24_R1-ROME.MP3</t>
  </si>
  <si>
    <t>Conv_1974-05-24_R2-ROME.MP3</t>
  </si>
  <si>
    <t>https://audio.iskcondesiretree.com/01_-_Srila_Prabhupada/01_-_Lectures/01_-_English/02_-_Month_wise/05_-_May/24/Conv_1974-05-24_R2-ROME.MP3</t>
  </si>
  <si>
    <t>MW_ROM_1974-05-24_Relief-Only_for_First-class_Devotees.mp3</t>
  </si>
  <si>
    <t>https://audio.iskcondesiretree.com/01_-_Srila_Prabhupada/01_-_Lectures/01_-_English/02_-_Month_wise/05_-_May/24/MW_ROM_1974-05-24_Relief-Only_for_First-class_Devotees.mp3</t>
  </si>
  <si>
    <t>RC_ROM_1974-05-24_Rascal_Leasers_Putting_People_into_Chaos.mp3</t>
  </si>
  <si>
    <t>https://audio.iskcondesiretree.com/01_-_Srila_Prabhupada/01_-_Lectures/01_-_English/02_-_Month_wise/05_-_May/24/RC_ROM_1974-05-24_Rascal_Leasers_Putting_People_into_Chaos.mp3</t>
  </si>
  <si>
    <t>RC_ROM_1974-05-24_Secretary_to_the_Pope_Love_for_etc.mp3</t>
  </si>
  <si>
    <t>https://audio.iskcondesiretree.com/01_-_Srila_Prabhupada/01_-_Lectures/01_-_English/02_-_Month_wise/05_-_May/24/RC_ROM_1974-05-24_Secretary_to_the_Pope_Love_for_etc.mp3</t>
  </si>
  <si>
    <t>RC_ROM_1974-05-24_The_Head_of_the_Social_Body_Must_be_Clean.mp3</t>
  </si>
  <si>
    <t>https://audio.iskcondesiretree.com/01_-_Srila_Prabhupada/01_-_Lectures/01_-_English/02_-_Month_wise/05_-_May/24/RC_ROM_1974-05-24_The_Head_of_the_Social_Body_Must_be_Clean.mp3</t>
  </si>
  <si>
    <t>SB-01-02-06_1974-05-24_SB-ROME.MP3</t>
  </si>
  <si>
    <t>https://audio.iskcondesiretree.com/01_-_Srila_Prabhupada/01_-_Lectures/01_-_English/02_-_Month_wise/05_-_May/24/SB-01-02-06_1974-05-24_SB-ROME.MP3</t>
  </si>
  <si>
    <t>SB_1-02-06_ROM_1974-05-24_Body-isms_Like_Democracy_etc.mp3</t>
  </si>
  <si>
    <t>https://audio.iskcondesiretree.com/01_-_Srila_Prabhupada/01_-_Lectures/01_-_English/02_-_Month_wise/05_-_May/24/SB_1-02-06_ROM_1974-05-24_Body-isms_Like_Democracy_etc.mp3</t>
  </si>
  <si>
    <t>Walk_1974-05-24_MW-ROME.MP3</t>
  </si>
  <si>
    <t>https://audio.iskcondesiretree.com/01_-_Srila_Prabhupada/01_-_Lectures/01_-_English/02_-_Month_wise/05_-_May/24/Walk_1974-05-24_MW-ROME.MP3</t>
  </si>
  <si>
    <t>SP_BG_04-10_Public_Lecture_Rome_1974-05-25.mp3</t>
  </si>
  <si>
    <t>https://audio.iskcondesiretree.com/01_-_Srila_Prabhupada/01_-_Lectures/01_-_English/01_-_Topic_wise/Bhagavad_Gita/Chapter-04/SP_BG_04-10_Public_Lecture_Rome_1974-05-25.mp3</t>
  </si>
  <si>
    <t>SP_Morning_Walk_-_Rome_1974-05-25.mp3</t>
  </si>
  <si>
    <t>https://audio.iskcondesiretree.com/01_-_Srila_Prabhupada/01_-_Lectures/01_-_English/01_-_Topic_wise/Morning_Walk/SP_Morning_Walk_-_Rome_1974-05-25.mp3</t>
  </si>
  <si>
    <t>Bg-04-10_1974-05-25_BG-ROME.MP3</t>
  </si>
  <si>
    <t>https://audio.iskcondesiretree.com/01_-_Srila_Prabhupada/01_-_Lectures/01_-_English/02_-_Month_wise/05_-_May/25/Bg-04-10_1974-05-25_BG-ROME.MP3</t>
  </si>
  <si>
    <t>Walk_1974-05-25_MW-ROME.MP3</t>
  </si>
  <si>
    <t>https://audio.iskcondesiretree.com/01_-_Srila_Prabhupada/01_-_Lectures/01_-_English/02_-_Month_wise/05_-_May/25/Walk_1974-05-25_MW-ROME.MP3</t>
  </si>
  <si>
    <t>SP_Morning_Walk_-_Rome_1974-05-26.mp3</t>
  </si>
  <si>
    <t>https://audio.iskcondesiretree.com/01_-_Srila_Prabhupada/01_-_Lectures/01_-_English/01_-_Topic_wise/Morning_Walk/SP_Morning_Walk_-_Rome_1974-05-26.mp3</t>
  </si>
  <si>
    <t>SP_SB_1-02-02_Rome_1974-05-26_The_Supreme_Destination_Is--etc.mp3</t>
  </si>
  <si>
    <t>https://audio.iskcondesiretree.com/01_-_Srila_Prabhupada/01_-_Lectures/01_-_English/01_-_Topic_wise/Srimad_Bhagavatam/Canto-01/SP_SB_1-02-02_Rome_1974-05-26_The_Supreme_Destination_Is--etc.mp3</t>
  </si>
  <si>
    <t>SB-01-02-02_1974-05-26_SB-ROME.MP3</t>
  </si>
  <si>
    <t>https://audio.iskcondesiretree.com/01_-_Srila_Prabhupada/01_-_Lectures/01_-_English/02_-_Month_wise/05_-_May/26/SB-01-02-02_1974-05-26_SB-ROME.MP3</t>
  </si>
  <si>
    <t>SB_1-02-02_ROM_1974-05-26_The_Supreme_Destination_Is_etc.mp3</t>
  </si>
  <si>
    <t>https://audio.iskcondesiretree.com/01_-_Srila_Prabhupada/01_-_Lectures/01_-_English/02_-_Month_wise/05_-_May/26/SB_1-02-02_ROM_1974-05-26_The_Supreme_Destination_Is_etc.mp3</t>
  </si>
  <si>
    <t>Walk_1974-05-26_MW-ROME.MP3</t>
  </si>
  <si>
    <t>https://audio.iskcondesiretree.com/01_-_Srila_Prabhupada/01_-_Lectures/01_-_English/02_-_Month_wise/05_-_May/26/Walk_1974-05-26_MW-ROME.MP3</t>
  </si>
  <si>
    <t>SP_Morning_Walk_-_Rome_1974-05-27.mp3</t>
  </si>
  <si>
    <t>https://audio.iskcondesiretree.com/01_-_Srila_Prabhupada/01_-_Lectures/01_-_English/01_-_Topic_wise/Morning_Walk/SP_Morning_Walk_-_Rome_1974-05-27.mp3</t>
  </si>
  <si>
    <t>SP_SB_1-02-03_Rome_1974-05-27_Darkness_Of_Disobedience.mp3</t>
  </si>
  <si>
    <t>https://audio.iskcondesiretree.com/01_-_Srila_Prabhupada/01_-_Lectures/01_-_English/01_-_Topic_wise/Srimad_Bhagavatam/Canto-01/SP_SB_1-02-03_Rome_1974-05-27_Darkness_Of_Disobedience.mp3</t>
  </si>
  <si>
    <t>SB-01-02-03_1974-05-27_SB-ROME.MP3</t>
  </si>
  <si>
    <t>https://audio.iskcondesiretree.com/01_-_Srila_Prabhupada/01_-_Lectures/01_-_English/02_-_Month_wise/05_-_May/27/SB-01-02-03_1974-05-27_SB-ROME.MP3</t>
  </si>
  <si>
    <t>SB_1-02-03_ROM_1974-05-27_Darkness_Of_Disobedience.mp3</t>
  </si>
  <si>
    <t>https://audio.iskcondesiretree.com/01_-_Srila_Prabhupada/01_-_Lectures/01_-_English/02_-_Month_wise/05_-_May/27/SB_1-02-03_ROM_1974-05-27_Darkness_Of_Disobedience.mp3</t>
  </si>
  <si>
    <t>Walk_1974-05-27_MW-ROME.MP3</t>
  </si>
  <si>
    <t>https://audio.iskcondesiretree.com/01_-_Srila_Prabhupada/01_-_Lectures/01_-_English/02_-_Month_wise/05_-_May/27/Walk_1974-05-27_MW-ROME.MP3</t>
  </si>
  <si>
    <t>SP_Morning_Walk_-_Rome_1974-05-28_Stick_to_Your_Principles--People_Will_Come.mp3</t>
  </si>
  <si>
    <t>https://audio.iskcondesiretree.com/01_-_Srila_Prabhupada/01_-_Lectures/01_-_English/01_-_Topic_wise/Morning_Walk/SP_Morning_Walk_-_Rome_1974-05-28_Stick_to_Your_Principles--People_Will_Come.mp3</t>
  </si>
  <si>
    <t>SP_SB_1-02-04_Rome_1974-05-28_%27Riverside--etc.mp3</t>
  </si>
  <si>
    <t>https://audio.iskcondesiretree.com/01_-_Srila_Prabhupada/01_-_Lectures/01_-_English/01_-_Topic_wise/Srimad_Bhagavatam/Canto-01/SP_SB_1-02-04_Rome_1974-05-28_%27Riverside--etc.mp3</t>
  </si>
  <si>
    <t>SP_SB_1-02-04_Rome_1974-05-28_Riverside--etc.mp3</t>
  </si>
  <si>
    <t>https://audio.iskcondesiretree.com/01_-_Srila_Prabhupada/01_-_Lectures/01_-_English/01_-_Topic_wise/Srimad_Bhagavatam/Canto-01/SP_SB_1-02-04_Rome_1974-05-28_Riverside--etc.mp3</t>
  </si>
  <si>
    <t>MW_ROM_1974-05-28_Stick_to_Your_Principles_People_Will_Come.mp3</t>
  </si>
  <si>
    <t>https://audio.iskcondesiretree.com/01_-_Srila_Prabhupada/01_-_Lectures/01_-_English/02_-_Month_wise/05_-_May/28/MW_ROM_1974-05-28_Stick_to_Your_Principles_People_Will_Come.mp3</t>
  </si>
  <si>
    <t>SB-01-02-04_1974-05-28_SB-ROME.MP3</t>
  </si>
  <si>
    <t>https://audio.iskcondesiretree.com/01_-_Srila_Prabhupada/01_-_Lectures/01_-_English/02_-_Month_wise/05_-_May/28/SB-01-02-04_1974-05-28_SB-ROME.MP3</t>
  </si>
  <si>
    <t>SB_1-02-04_ROM_1974-05-28_Riverside_etc.mp3</t>
  </si>
  <si>
    <t>https://audio.iskcondesiretree.com/01_-_Srila_Prabhupada/01_-_Lectures/01_-_English/02_-_Month_wise/05_-_May/28/SB_1-02-04_ROM_1974-05-28_Riverside_etc.mp3</t>
  </si>
  <si>
    <t>Walk_1974-05-28_MW-ROME.MP3</t>
  </si>
  <si>
    <t>https://audio.iskcondesiretree.com/01_-_Srila_Prabhupada/01_-_Lectures/01_-_English/02_-_Month_wise/05_-_May/28/Walk_1974-05-28_MW-ROME.MP3</t>
  </si>
  <si>
    <t>Walk_1974-05-29_MW-ROME.MP3</t>
  </si>
  <si>
    <t>https://audio.iskcondesiretree.com/01_-_Srila_Prabhupada/01_-_Lectures/01_-_English/02_-_Month_wise/05_-_May/29/Walk_1974-05-29_MW-ROME.MP3</t>
  </si>
  <si>
    <t>SP_Morning_Walk_-_Geneva_1974-05-30_Free_to_Enjoy.mp3</t>
  </si>
  <si>
    <t>https://audio.iskcondesiretree.com/01_-_Srila_Prabhupada/01_-_Lectures/01_-_English/01_-_Topic_wise/Morning_Walk/SP_Morning_Walk_-_Geneva_1974-05-30_Free_to_Enjoy.mp3</t>
  </si>
  <si>
    <t>SP_Morning_Walk_-_Rome_1974-05-30.mp3</t>
  </si>
  <si>
    <t>https://audio.iskcondesiretree.com/01_-_Srila_Prabhupada/01_-_Lectures/01_-_English/01_-_Topic_wise/Morning_Walk/SP_Morning_Walk_-_Rome_1974-05-30.mp3</t>
  </si>
  <si>
    <t>SP_Lecture_Geneva_1974-05-30_I_See_the_Spirit_Soul.mp3</t>
  </si>
  <si>
    <t>https://audio.iskcondesiretree.com/01_-_Srila_Prabhupada/01_-_Lectures/01_-_English/01_-_Topic_wise/Various/SP_Lecture_Geneva_1974-05-30_I_See_the_Spirit_Soul.mp3</t>
  </si>
  <si>
    <t>Lect_GEN_1974-05-30_I_See_the_Spirit_Soul.mp3</t>
  </si>
  <si>
    <t>https://audio.iskcondesiretree.com/01_-_Srila_Prabhupada/01_-_Lectures/01_-_English/02_-_Month_wise/05_-_May/30/Lect_GEN_1974-05-30_I_See_the_Spirit_Soul.mp3</t>
  </si>
  <si>
    <t>MW_GEN_1974-05-30_Free_to_Enjoy.mp3</t>
  </si>
  <si>
    <t>https://audio.iskcondesiretree.com/01_-_Srila_Prabhupada/01_-_Lectures/01_-_English/02_-_Month_wise/05_-_May/30/MW_GEN_1974-05-30_Free_to_Enjoy.mp3</t>
  </si>
  <si>
    <t>Reception_1974-05-30_AR-GENEVA.MP3</t>
  </si>
  <si>
    <t>https://audio.iskcondesiretree.com/01_-_Srila_Prabhupada/01_-_Lectures/01_-_English/02_-_Month_wise/05_-_May/30/Reception_1974-05-30_AR-GENEVA.MP3</t>
  </si>
  <si>
    <t>Walk_1974-05-30_MW-ROME.MP3</t>
  </si>
  <si>
    <t>https://audio.iskcondesiretree.com/01_-_Srila_Prabhupada/01_-_Lectures/01_-_English/02_-_Month_wise/05_-_May/30/Walk_1974-05-30_MW-ROME.MP3</t>
  </si>
  <si>
    <t>SP_BG_04-10_Geneva_1974-05-31.mp3</t>
  </si>
  <si>
    <t>https://audio.iskcondesiretree.com/01_-_Srila_Prabhupada/01_-_Lectures/01_-_English/01_-_Topic_wise/Bhagavad_Gita/Chapter-04/SP_BG_04-10_Geneva_1974-05-31.mp3</t>
  </si>
  <si>
    <t>SP_Room_Conversation_Geneva_1974-05-31_Hatha-yoga_Teacher--Submission--etc.mp3</t>
  </si>
  <si>
    <t>https://audio.iskcondesiretree.com/01_-_Srila_Prabhupada/01_-_Lectures/01_-_English/01_-_Topic_wise/Room_Conversation/SP_Room_Conversation_Geneva_1974-05-31_Hatha-yoga_Teacher--Submission--etc.mp3</t>
  </si>
  <si>
    <t>SP_Room_Conversation_Geneva_1974-05-31_UN_International_Labor--etc.mp3</t>
  </si>
  <si>
    <t>https://audio.iskcondesiretree.com/01_-_Srila_Prabhupada/01_-_Lectures/01_-_English/01_-_Topic_wise/Room_Conversation/SP_Room_Conversation_Geneva_1974-05-31_UN_International_Labor--etc.mp3</t>
  </si>
  <si>
    <t>SP_SB_1-07-06_Geneva_1974-05-31_All_Problems_Are_Illusion.mp3</t>
  </si>
  <si>
    <t>https://audio.iskcondesiretree.com/01_-_Srila_Prabhupada/01_-_Lectures/01_-_English/01_-_Topic_wise/Srimad_Bhagavatam/Canto-01/SP_SB_1-07-06_Geneva_1974-05-31_All_Problems_Are_Illusion.mp3</t>
  </si>
  <si>
    <t>Bg-04-10_1974-05-31_BG-GENEVA.MP3</t>
  </si>
  <si>
    <t>https://audio.iskcondesiretree.com/01_-_Srila_Prabhupada/01_-_Lectures/01_-_English/02_-_Month_wise/05_-_May/31/Bg-04-10_1974-05-31_BG-GENEVA.MP3</t>
  </si>
  <si>
    <t>Conv_1974-05-31_R1-GENEVA.MP3</t>
  </si>
  <si>
    <t>https://audio.iskcondesiretree.com/01_-_Srila_Prabhupada/01_-_Lectures/01_-_English/02_-_Month_wise/05_-_May/31/Conv_1974-05-31_R1-GENEVA.MP3</t>
  </si>
  <si>
    <t>Conv_1974-05-31_R2-GENEVA.MP3</t>
  </si>
  <si>
    <t>https://audio.iskcondesiretree.com/01_-_Srila_Prabhupada/01_-_Lectures/01_-_English/02_-_Month_wise/05_-_May/31/Conv_1974-05-31_R2-GENEVA.MP3</t>
  </si>
  <si>
    <t>RC_GEN_1974-05-31_Hatha-yoga_Teacher_Submission_etc.mp3</t>
  </si>
  <si>
    <t>https://audio.iskcondesiretree.com/01_-_Srila_Prabhupada/01_-_Lectures/01_-_English/02_-_Month_wise/05_-_May/31/RC_GEN_1974-05-31_Hatha-yoga_Teacher_Submission_etc.mp3</t>
  </si>
  <si>
    <t>RC_GEN_1974-05-31_U.N_International_Labor_etc.mp3</t>
  </si>
  <si>
    <t>https://audio.iskcondesiretree.com/01_-_Srila_Prabhupada/01_-_Lectures/01_-_English/02_-_Month_wise/05_-_May/31/RC_GEN_1974-05-31_U.N_International_Labor_etc.mp3</t>
  </si>
  <si>
    <t>SB-01-07-06_1974-05-31_SB-GENEVA.MP3</t>
  </si>
  <si>
    <t>https://audio.iskcondesiretree.com/01_-_Srila_Prabhupada/01_-_Lectures/01_-_English/02_-_Month_wise/05_-_May/31/SB-01-07-06_1974-05-31_SB-GENEVA.MP3</t>
  </si>
  <si>
    <t>SB_1-07-06_GEN_1974-05-31_All_Problems_Are_Illusion.mp3</t>
  </si>
  <si>
    <t>https://audio.iskcondesiretree.com/01_-_Srila_Prabhupada/01_-_Lectures/01_-_English/02_-_Month_wise/05_-_May/31/SB_1-07-06_GEN_1974-05-31_All_Problems_Are_Illusion.mp3</t>
  </si>
  <si>
    <t>SP_BG_04-11_Geneva_1974-06-01_We_Are_Naturally_Jubilant.mp3</t>
  </si>
  <si>
    <t>https://audio.iskcondesiretree.com/01_-_Srila_Prabhupada/01_-_Lectures/01_-_English/01_-_Topic_wise/Bhagavad_Gita/Chapter-04/SP_BG_04-11_Geneva_1974-06-01_We_Are_Naturally_Jubilant.mp3</t>
  </si>
  <si>
    <t>SP_Morning_Walk_-_Geneva_1974-06-01.mp3</t>
  </si>
  <si>
    <t>https://audio.iskcondesiretree.com/01_-_Srila_Prabhupada/01_-_Lectures/01_-_English/01_-_Topic_wise/Morning_Walk/SP_Morning_Walk_-_Geneva_1974-06-01.mp3</t>
  </si>
  <si>
    <t>SP_SB_1-13-10_Geneva_1974-06-01_Make_Your_Heart_a_Place_of_Pilgrimage.mp3</t>
  </si>
  <si>
    <t>https://audio.iskcondesiretree.com/01_-_Srila_Prabhupada/01_-_Lectures/01_-_English/01_-_Topic_wise/Srimad_Bhagavatam/Canto-01/SP_SB_1-13-10_Geneva_1974-06-01_Make_Your_Heart_a_Place_of_Pilgrimage.mp3</t>
  </si>
  <si>
    <t>Bg-04-11_1974-06-01_BG-GENEVA.MP3</t>
  </si>
  <si>
    <t>https://audio.iskcondesiretree.com/01_-_Srila_Prabhupada/01_-_Lectures/01_-_English/02_-_Month_wise/06_-_June/01/Bg-04-11_1974-06-01_BG-GENEVA.MP3</t>
  </si>
  <si>
    <t>Bg_04-11_GEN_1974-06-01_We_Are_Naturally_Jubilant.mp3</t>
  </si>
  <si>
    <t>https://audio.iskcondesiretree.com/01_-_Srila_Prabhupada/01_-_Lectures/01_-_English/02_-_Month_wise/06_-_June/01/Bg_04-11_GEN_1974-06-01_We_Are_Naturally_Jubilant.mp3</t>
  </si>
  <si>
    <t>SB-01-13-10_1974-06-01_SB-GENEVA.MP3</t>
  </si>
  <si>
    <t>https://audio.iskcondesiretree.com/01_-_Srila_Prabhupada/01_-_Lectures/01_-_English/02_-_Month_wise/06_-_June/01/SB-01-13-10_1974-06-01_SB-GENEVA.MP3</t>
  </si>
  <si>
    <t>SB_1-13-10_GEN_1974-06-01_Make_Your_Heart_a_Place_of_Pilgrimage.mp3</t>
  </si>
  <si>
    <t>https://audio.iskcondesiretree.com/01_-_Srila_Prabhupada/01_-_Lectures/01_-_English/02_-_Month_wise/06_-_June/01/SB_1-13-10_GEN_1974-06-01_Make_Your_Heart_a_Place_of_Pilgrimage.mp3</t>
  </si>
  <si>
    <t>Walk_1974-06-01_MW-GENEVA.MP3</t>
  </si>
  <si>
    <t>https://audio.iskcondesiretree.com/01_-_Srila_Prabhupada/01_-_Lectures/01_-_English/02_-_Month_wise/06_-_June/01/Walk_1974-06-01_MW-GENEVA.MP3</t>
  </si>
  <si>
    <t>SP_Morning_Walk_-_Geneva_1974-06-02_Fighting_with_This_Maya.mp3</t>
  </si>
  <si>
    <t>https://audio.iskcondesiretree.com/01_-_Srila_Prabhupada/01_-_Lectures/01_-_English/01_-_Topic_wise/Morning_Walk/SP_Morning_Walk_-_Geneva_1974-06-02_Fighting_with_This_Maya.mp3</t>
  </si>
  <si>
    <t>SP_SB_1-13-11_Geneva_1974-06-02_Your_Qualification-Renouncing.mp3</t>
  </si>
  <si>
    <t>https://audio.iskcondesiretree.com/01_-_Srila_Prabhupada/01_-_Lectures/01_-_English/01_-_Topic_wise/Srimad_Bhagavatam/Canto-01/SP_SB_1-13-11_Geneva_1974-06-02_Your_Qualification-Renouncing.mp3</t>
  </si>
  <si>
    <t>MW_GEN_1974-06-02_Fighting_with_This_Maya.mp3</t>
  </si>
  <si>
    <t>https://audio.iskcondesiretree.com/01_-_Srila_Prabhupada/01_-_Lectures/01_-_English/02_-_Month_wise/06_-_June/02/MW_GEN_1974-06-02_Fighting_with_This_Maya.mp3</t>
  </si>
  <si>
    <t>SB-01-13-11_1974-06-02_SB-GENEVA.MP3</t>
  </si>
  <si>
    <t>https://audio.iskcondesiretree.com/01_-_Srila_Prabhupada/01_-_Lectures/01_-_English/02_-_Month_wise/06_-_June/02/SB-01-13-11_1974-06-02_SB-GENEVA.MP3</t>
  </si>
  <si>
    <t>SB_1-13-11_GEN_1974-06-02_Your_Qualification-Renouncing.mp3</t>
  </si>
  <si>
    <t>https://audio.iskcondesiretree.com/01_-_Srila_Prabhupada/01_-_Lectures/01_-_English/02_-_Month_wise/06_-_June/02/SB_1-13-11_GEN_1974-06-02_Your_Qualification-Renouncing.mp3</t>
  </si>
  <si>
    <t>Walk_1974-06-02_MW-GENEVA.MP3</t>
  </si>
  <si>
    <t>https://audio.iskcondesiretree.com/01_-_Srila_Prabhupada/01_-_Lectures/01_-_English/02_-_Month_wise/06_-_June/02/Walk_1974-06-02_MW-GENEVA.MP3</t>
  </si>
  <si>
    <t>SP_Morning_Walk_-_Geneva_1974-06-03.mp3</t>
  </si>
  <si>
    <t>https://audio.iskcondesiretree.com/01_-_Srila_Prabhupada/01_-_Lectures/01_-_English/01_-_Topic_wise/Morning_Walk/SP_Morning_Walk_-_Geneva_1974-06-03.mp3</t>
  </si>
  <si>
    <t>SP_SB_1-13-12_Geneva_1974-06-03_Dear_Words_for_Dormant_Hearts.mp3</t>
  </si>
  <si>
    <t>https://audio.iskcondesiretree.com/01_-_Srila_Prabhupada/01_-_Lectures/01_-_English/01_-_Topic_wise/Srimad_Bhagavatam/Canto-01/SP_SB_1-13-12_Geneva_1974-06-03_Dear_Words_for_Dormant_Hearts.mp3</t>
  </si>
  <si>
    <t>SB-01-13-12%E2%80%9314_1974-06-03_SB-GENEVA.MP3</t>
  </si>
  <si>
    <t>https://audio.iskcondesiretree.com/01_-_Srila_Prabhupada/01_-_Lectures/01_-_English/02_-_Month_wise/06_-_June/03/SB-01-13-12%E2%80%9314_1974-06-03_SB-GENEVA.MP3</t>
  </si>
  <si>
    <t>SB_1-13-12_GEN_1974-06-03_Dear_Words_for_Dormant_Hearts.mp3</t>
  </si>
  <si>
    <t>https://audio.iskcondesiretree.com/01_-_Srila_Prabhupada/01_-_Lectures/01_-_English/02_-_Month_wise/06_-_June/03/SB_1-13-12_GEN_1974-06-03_Dear_Words_for_Dormant_Hearts.mp3</t>
  </si>
  <si>
    <t>Walk_1974-06-03_MW-GENEVA.MP3</t>
  </si>
  <si>
    <t>https://audio.iskcondesiretree.com/01_-_Srila_Prabhupada/01_-_Lectures/01_-_English/02_-_Month_wise/06_-_June/03/Walk_1974-06-03_MW-GENEVA.MP3</t>
  </si>
  <si>
    <t>SP_Room_Conversation_Geneva_1974-06-04_Biochemist--Scientific_and_Spiritual-Unite.mp3</t>
  </si>
  <si>
    <t>https://audio.iskcondesiretree.com/01_-_Srila_Prabhupada/01_-_Lectures/01_-_English/01_-_Topic_wise/Room_Conversation/SP_Room_Conversation_Geneva_1974-06-04_Biochemist--Scientific_and_Spiritual-Unite.mp3</t>
  </si>
  <si>
    <t>SP_Room_Conversation_Geneva_1974-06-04_Prof_of_Sanskrit--Avatars_Come_to--etc.mp3</t>
  </si>
  <si>
    <t>https://audio.iskcondesiretree.com/01_-_Srila_Prabhupada/01_-_Lectures/01_-_English/01_-_Topic_wise/Room_Conversation/SP_Room_Conversation_Geneva_1974-06-04_Prof_of_Sanskrit--Avatars_Come_to--etc.mp3</t>
  </si>
  <si>
    <t>SP_SB_1-13-15_Geneva_1974-06-04_Why_One_GBC_Became_a_Sudra.mp3</t>
  </si>
  <si>
    <t>https://audio.iskcondesiretree.com/01_-_Srila_Prabhupada/01_-_Lectures/01_-_English/01_-_Topic_wise/Srimad_Bhagavatam/Canto-01/SP_SB_1-13-15_Geneva_1974-06-04_Why_One_GBC_Became_a_Sudra.mp3</t>
  </si>
  <si>
    <t>Conv_1974-06-04_R1-GENEVA.MP3</t>
  </si>
  <si>
    <t>https://audio.iskcondesiretree.com/01_-_Srila_Prabhupada/01_-_Lectures/01_-_English/02_-_Month_wise/06_-_June/04/Conv_1974-06-04_R1-GENEVA.MP3</t>
  </si>
  <si>
    <t>Conv_1974-06-04_R2-GENEVA.MP3</t>
  </si>
  <si>
    <t>https://audio.iskcondesiretree.com/01_-_Srila_Prabhupada/01_-_Lectures/01_-_English/02_-_Month_wise/06_-_June/04/Conv_1974-06-04_R2-GENEVA.MP3</t>
  </si>
  <si>
    <t>RC_GEN_1974-06-04_Biochemist-Scientific_and_Spiritual-Unite.mp3</t>
  </si>
  <si>
    <t>https://audio.iskcondesiretree.com/01_-_Srila_Prabhupada/01_-_Lectures/01_-_English/02_-_Month_wise/06_-_June/04/RC_GEN_1974-06-04_Biochemist-Scientific_and_Spiritual-Unite.mp3</t>
  </si>
  <si>
    <t>RC_GEN_1974-06-04_Prof_of_Sanskrit-Avatars_Come_to_etc.mp3</t>
  </si>
  <si>
    <t>https://audio.iskcondesiretree.com/01_-_Srila_Prabhupada/01_-_Lectures/01_-_English/02_-_Month_wise/06_-_June/04/RC_GEN_1974-06-04_Prof_of_Sanskrit-Avatars_Come_to_etc.mp3</t>
  </si>
  <si>
    <t>SB-01-13-15_1974-06-04_SB-GENEVA.MP3</t>
  </si>
  <si>
    <t>https://audio.iskcondesiretree.com/01_-_Srila_Prabhupada/01_-_Lectures/01_-_English/02_-_Month_wise/06_-_June/04/SB-01-13-15_1974-06-04_SB-GENEVA.MP3</t>
  </si>
  <si>
    <t>SB_1-13-15_GEN_1974-06-04_Why_One_GBC_Became_a_Sudra.mp3</t>
  </si>
  <si>
    <t>https://audio.iskcondesiretree.com/01_-_Srila_Prabhupada/01_-_Lectures/01_-_English/02_-_Month_wise/06_-_June/04/SB_1-13-15_GEN_1974-06-04_Why_One_GBC_Became_a_Sudra.mp3</t>
  </si>
  <si>
    <t>SP_Morning_Walk_-_Geneva_1974-06-05_Your_Position-Conditioned%21.mp3</t>
  </si>
  <si>
    <t>https://audio.iskcondesiretree.com/01_-_Srila_Prabhupada/01_-_Lectures/01_-_English/01_-_Topic_wise/Morning_Walk/SP_Morning_Walk_-_Geneva_1974-06-05_Your_Position-Conditioned%21.mp3</t>
  </si>
  <si>
    <t>SP_Room_Conversation_Geneva_1974-06-05_Nuclear_Physicist--Spiritual_Physics.mp3</t>
  </si>
  <si>
    <t>https://audio.iskcondesiretree.com/01_-_Srila_Prabhupada/01_-_Lectures/01_-_English/01_-_Topic_wise/Room_Conversation/SP_Room_Conversation_Geneva_1974-06-05_Nuclear_Physicist--Spiritual_Physics.mp3</t>
  </si>
  <si>
    <t>SP_Room_Conversation_Geneva_1974-06-05_Protestant_Leaders--Love_God_Love--etc.mp3</t>
  </si>
  <si>
    <t>https://audio.iskcondesiretree.com/01_-_Srila_Prabhupada/01_-_Lectures/01_-_English/01_-_Topic_wise/Room_Conversation/SP_Room_Conversation_Geneva_1974-06-05_Protestant_Leaders--Love_God_Love--etc.mp3</t>
  </si>
  <si>
    <t>Conv_1974-06-05_R1-GENEVA.MP3</t>
  </si>
  <si>
    <t>https://audio.iskcondesiretree.com/01_-_Srila_Prabhupada/01_-_Lectures/01_-_English/02_-_Month_wise/06_-_June/05/Conv_1974-06-05_R1-GENEVA.MP3</t>
  </si>
  <si>
    <t>Conv_1974-06-05_R2-GENEVA.MP3</t>
  </si>
  <si>
    <t>https://audio.iskcondesiretree.com/01_-_Srila_Prabhupada/01_-_Lectures/01_-_English/02_-_Month_wise/06_-_June/05/Conv_1974-06-05_R2-GENEVA.MP3</t>
  </si>
  <si>
    <t>MW_GEN_1974-06-05_Your_Position_Conditioned.mp3</t>
  </si>
  <si>
    <t>https://audio.iskcondesiretree.com/01_-_Srila_Prabhupada/01_-_Lectures/01_-_English/02_-_Month_wise/06_-_June/05/MW_GEN_1974-06-05_Your_Position_Conditioned.mp3</t>
  </si>
  <si>
    <t>RC_GEN_1974-06-05_Nuclear_Physicist_Spiritual_Physics.mp3</t>
  </si>
  <si>
    <t>https://audio.iskcondesiretree.com/01_-_Srila_Prabhupada/01_-_Lectures/01_-_English/02_-_Month_wise/06_-_June/05/RC_GEN_1974-06-05_Nuclear_Physicist_Spiritual_Physics.mp3</t>
  </si>
  <si>
    <t>RC_GEN_1974-06-05_Protestant_Leaders_Love_God_Love_etc.mp3</t>
  </si>
  <si>
    <t>https://audio.iskcondesiretree.com/01_-_Srila_Prabhupada/01_-_Lectures/01_-_English/02_-_Month_wise/06_-_June/05/RC_GEN_1974-06-05_Protestant_Leaders_Love_God_Love_etc.mp3</t>
  </si>
  <si>
    <t>Walk_1974-06-05_MW-GENEVA.MP3</t>
  </si>
  <si>
    <t>https://audio.iskcondesiretree.com/01_-_Srila_Prabhupada/01_-_Lectures/01_-_English/02_-_Month_wise/06_-_June/05/Walk_1974-06-05_MW-GENEVA.MP3</t>
  </si>
  <si>
    <t>SP_BG_13-35_Geneva_1974-06-06_Food_and_Freedom.mp3</t>
  </si>
  <si>
    <t>https://audio.iskcondesiretree.com/01_-_Srila_Prabhupada/01_-_Lectures/01_-_English/01_-_Topic_wise/Bhagavad_Gita/Chapter-13/SP_BG_13-35_Geneva_1974-06-06_Food_and_Freedom.mp3</t>
  </si>
  <si>
    <t>SP_Morning_Walk_-_Geneva_1974-06-06_One_Machine_Makes_100_Men_Unemployed.mp3</t>
  </si>
  <si>
    <t>https://audio.iskcondesiretree.com/01_-_Srila_Prabhupada/01_-_Lectures/01_-_English/01_-_Topic_wise/Morning_Walk/SP_Morning_Walk_-_Geneva_1974-06-06_One_Machine_Makes_100_Men_Unemployed.mp3</t>
  </si>
  <si>
    <t>SP_Lecture_Geneva_1974-06-06_To_World_Health--etc.mp3</t>
  </si>
  <si>
    <t>https://audio.iskcondesiretree.com/01_-_Srila_Prabhupada/01_-_Lectures/01_-_English/01_-_Topic_wise/Various/SP_Lecture_Geneva_1974-06-06_To_World_Health--etc.mp3</t>
  </si>
  <si>
    <t>Bg-13-35_1974-06-06_BG-GENEVA.MP3</t>
  </si>
  <si>
    <t>https://audio.iskcondesiretree.com/01_-_Srila_Prabhupada/01_-_Lectures/01_-_English/02_-_Month_wise/06_-_June/06/Bg-13-35_1974-06-06_BG-GENEVA.MP3</t>
  </si>
  <si>
    <t>Bg_13-35_GEN_1974-06-06_Food_and_Freedom.mp3</t>
  </si>
  <si>
    <t>https://audio.iskcondesiretree.com/01_-_Srila_Prabhupada/01_-_Lectures/01_-_English/02_-_Month_wise/06_-_June/06/Bg_13-35_GEN_1974-06-06_Food_and_Freedom.mp3</t>
  </si>
  <si>
    <t>Lect_GEN_1974-06-06_To_World_Health_etc.mp3</t>
  </si>
  <si>
    <t>https://audio.iskcondesiretree.com/01_-_Srila_Prabhupada/01_-_Lectures/01_-_English/02_-_Month_wise/06_-_June/06/Lect_GEN_1974-06-06_To_World_Health_etc.mp3</t>
  </si>
  <si>
    <t>Lecture_1974-06-06_LE-GENEVA.MP3</t>
  </si>
  <si>
    <t>https://audio.iskcondesiretree.com/01_-_Srila_Prabhupada/01_-_Lectures/01_-_English/02_-_Month_wise/06_-_June/06/Lecture_1974-06-06_LE-GENEVA.MP3</t>
  </si>
  <si>
    <t>MW_GEN_1974-06-06_One_Machine_Makes_100_Men_Unemployed.mp3</t>
  </si>
  <si>
    <t>https://audio.iskcondesiretree.com/01_-_Srila_Prabhupada/01_-_Lectures/01_-_English/02_-_Month_wise/06_-_June/06/MW_GEN_1974-06-06_One_Machine_Makes_100_Men_Unemployed.mp3</t>
  </si>
  <si>
    <t>Walk_1974-06-06_MW-GENEVA.MP3</t>
  </si>
  <si>
    <t>https://audio.iskcondesiretree.com/01_-_Srila_Prabhupada/01_-_Lectures/01_-_English/02_-_Month_wise/06_-_June/06/Walk_1974-06-06_MW-GENEVA.MP3</t>
  </si>
  <si>
    <t>SP_BG_08-01_Geneva_1974-06-07_Women_Should_Give_Birth_Soon.mp3</t>
  </si>
  <si>
    <t>https://audio.iskcondesiretree.com/01_-_Srila_Prabhupada/01_-_Lectures/01_-_English/01_-_Topic_wise/Bhagavad_Gita/Chapter-08/SP_BG_08-01_Geneva_1974-06-07_Women_Should_Give_Birth_Soon.mp3</t>
  </si>
  <si>
    <t>Bg-08-01_1974-06-07_BG-GENEVA.MP3</t>
  </si>
  <si>
    <t>https://audio.iskcondesiretree.com/01_-_Srila_Prabhupada/01_-_Lectures/01_-_English/02_-_Month_wise/06_-_June/07/Bg-08-01_1974-06-07_BG-GENEVA.MP3</t>
  </si>
  <si>
    <t>Bg_08-01_GEN_1974-06-07_Women_Should_Give_Birth_Soon.mp3</t>
  </si>
  <si>
    <t>https://audio.iskcondesiretree.com/01_-_Srila_Prabhupada/01_-_Lectures/01_-_English/02_-_Month_wise/06_-_June/07/Bg_08-01_GEN_1974-06-07_Women_Should_Give_Birth_Soon.mp3</t>
  </si>
  <si>
    <t>SP_Arrival_Paris_1974-06-08_Krishna_Means_the_Active_Principle--etc.mp3</t>
  </si>
  <si>
    <t>https://audio.iskcondesiretree.com/01_-_Srila_Prabhupada/01_-_Lectures/01_-_English/01_-_Topic_wise/Arrival_Address/SP_Arrival_Paris_1974-06-08_Krishna_Means_the_Active_Principle--etc.mp3</t>
  </si>
  <si>
    <t>SP_Morning_Walk_-_Geneva_1974-06-08_The_Meaning_of_Marriage.mp3</t>
  </si>
  <si>
    <t>https://audio.iskcondesiretree.com/01_-_Srila_Prabhupada/01_-_Lectures/01_-_English/01_-_Topic_wise/Morning_Walk/SP_Morning_Walk_-_Geneva_1974-06-08_The_Meaning_of_Marriage.mp3</t>
  </si>
  <si>
    <t>Arr_PAR_1974-06-08_Krishna_Means_the_Active_Principle_etc.mp3</t>
  </si>
  <si>
    <t>https://audio.iskcondesiretree.com/01_-_Srila_Prabhupada/01_-_Lectures/01_-_English/02_-_Month_wise/06_-_June/08/Arr_PAR_1974-06-08_Krishna_Means_the_Active_Principle_etc.mp3</t>
  </si>
  <si>
    <t>Arrival_1974-06-08_AR-PARIS.MP3</t>
  </si>
  <si>
    <t>https://audio.iskcondesiretree.com/01_-_Srila_Prabhupada/01_-_Lectures/01_-_English/02_-_Month_wise/06_-_June/08/Arrival_1974-06-08_AR-PARIS.MP3</t>
  </si>
  <si>
    <t>MW_GEN_1974-06-08_The_Meaning_of_Marriage.mp3</t>
  </si>
  <si>
    <t>https://audio.iskcondesiretree.com/01_-_Srila_Prabhupada/01_-_Lectures/01_-_English/02_-_Month_wise/06_-_June/08/MW_GEN_1974-06-08_The_Meaning_of_Marriage.mp3</t>
  </si>
  <si>
    <t>Walk_1974-06-08_MW-GENEVA.MP3</t>
  </si>
  <si>
    <t>https://audio.iskcondesiretree.com/01_-_Srila_Prabhupada/01_-_Lectures/01_-_English/02_-_Month_wise/06_-_June/08/Walk_1974-06-08_MW-GENEVA.MP3</t>
  </si>
  <si>
    <t>SP_Morning_Walk_-_Geneva_1974-06-09_Psychology_of_the_Human_Animal.mp3</t>
  </si>
  <si>
    <t>https://audio.iskcondesiretree.com/01_-_Srila_Prabhupada/01_-_Lectures/01_-_English/01_-_Topic_wise/Morning_Walk/SP_Morning_Walk_-_Geneva_1974-06-09_Psychology_of_the_Human_Animal.mp3</t>
  </si>
  <si>
    <t>SP_Room_Conversation_Paris_1974-06-09_How_to_Experience_the_Supreme.mp3</t>
  </si>
  <si>
    <t>https://audio.iskcondesiretree.com/01_-_Srila_Prabhupada/01_-_Lectures/01_-_English/01_-_Topic_wise/Room_Conversation/SP_Room_Conversation_Paris_1974-06-09_How_to_Experience_the_Supreme.mp3</t>
  </si>
  <si>
    <t>SP_SB_2-01-01_Paris_1974-06-09_Hankering_to_Hear_About_Krishna.mp3</t>
  </si>
  <si>
    <t>https://audio.iskcondesiretree.com/01_-_Srila_Prabhupada/01_-_Lectures/01_-_English/01_-_Topic_wise/Srimad_Bhagavatam/Canto-02/SP_SB_2-01-01_Paris_1974-06-09_Hankering_to_Hear_About_Krishna.mp3</t>
  </si>
  <si>
    <t>MW_GEN_1974-06-09_Psychology_of_the_Human_Animal.mp3</t>
  </si>
  <si>
    <t>https://audio.iskcondesiretree.com/01_-_Srila_Prabhupada/01_-_Lectures/01_-_English/02_-_Month_wise/06_-_June/09/MW_GEN_1974-06-09_Psychology_of_the_Human_Animal.mp3</t>
  </si>
  <si>
    <t>RC_PAR_1974-06-09_How_to_Experience_the_Supreme.mp3</t>
  </si>
  <si>
    <t>https://audio.iskcondesiretree.com/01_-_Srila_Prabhupada/01_-_Lectures/01_-_English/02_-_Month_wise/06_-_June/09/RC_PAR_1974-06-09_How_to_Experience_the_Supreme.mp3</t>
  </si>
  <si>
    <t>SB-02-01-01_1974-06-09_SB-PARIS.MP3</t>
  </si>
  <si>
    <t>https://audio.iskcondesiretree.com/01_-_Srila_Prabhupada/01_-_Lectures/01_-_English/02_-_Month_wise/06_-_June/09/SB-02-01-01_1974-06-09_SB-PARIS.MP3</t>
  </si>
  <si>
    <t>SB_2-01-01_PAR_1974-06-09_Hankering_to_Hear_About_Krishna.mp3</t>
  </si>
  <si>
    <t>https://audio.iskcondesiretree.com/01_-_Srila_Prabhupada/01_-_Lectures/01_-_English/02_-_Month_wise/06_-_June/09/SB_2-01-01_PAR_1974-06-09_Hankering_to_Hear_About_Krishna.mp3</t>
  </si>
  <si>
    <t>Walk_1974-06-09_MW-PARIS.MP3</t>
  </si>
  <si>
    <t>https://audio.iskcondesiretree.com/01_-_Srila_Prabhupada/01_-_Lectures/01_-_English/02_-_Month_wise/06_-_June/09/Walk_1974-06-09_MW-PARIS.MP3</t>
  </si>
  <si>
    <t>SP_Room_Conversation_01_Paris_1974-06-10.mp3</t>
  </si>
  <si>
    <t>https://audio.iskcondesiretree.com/01_-_Srila_Prabhupada/01_-_Lectures/01_-_English/01_-_Topic_wise/Room_Conversation/SP_Room_Conversation_01_Paris_1974-06-10.mp3</t>
  </si>
  <si>
    <t>Conv_1974-06-10_R1-PARIS.MP3</t>
  </si>
  <si>
    <t>https://audio.iskcondesiretree.com/01_-_Srila_Prabhupada/01_-_Lectures/01_-_English/02_-_Month_wise/06_-_June/10/Conv_1974-06-10_R1-PARIS.MP3</t>
  </si>
  <si>
    <t>SP_Morning_Walk_-_Paris_1974-06-11_Krishna-Background_of_Courage.mp3</t>
  </si>
  <si>
    <t>https://audio.iskcondesiretree.com/01_-_Srila_Prabhupada/01_-_Lectures/01_-_English/01_-_Topic_wise/Morning_Walk/SP_Morning_Walk_-_Paris_1974-06-11_Krishna-Background_of_Courage.mp3</t>
  </si>
  <si>
    <t>SP_Room_Conversation_Paris_1974-06-11_Let_Cows_Die_Naturally.mp3</t>
  </si>
  <si>
    <t>https://audio.iskcondesiretree.com/01_-_Srila_Prabhupada/01_-_Lectures/01_-_English/01_-_Topic_wise/Room_Conversation/SP_Room_Conversation_Paris_1974-06-11_Let_Cows_Die_Naturally.mp3</t>
  </si>
  <si>
    <t>SP_Room_Conversation_Paris_1974-06-11_Slaughterhouse_Civilization.mp3</t>
  </si>
  <si>
    <t>https://audio.iskcondesiretree.com/01_-_Srila_Prabhupada/01_-_Lectures/01_-_English/01_-_Topic_wise/Room_Conversation/SP_Room_Conversation_Paris_1974-06-11_Slaughterhouse_Civilization.mp3</t>
  </si>
  <si>
    <t>SP_SB_2-01-02_Paris_1974-06-11_From_One_Garbage_Body_to_Another.mp3</t>
  </si>
  <si>
    <t>https://audio.iskcondesiretree.com/01_-_Srila_Prabhupada/01_-_Lectures/01_-_English/01_-_Topic_wise/Srimad_Bhagavatam/Canto-02/SP_SB_2-01-02_Paris_1974-06-11_From_One_Garbage_Body_to_Another.mp3</t>
  </si>
  <si>
    <t>Conv_1974-06-11_R1-PARIS.MP3</t>
  </si>
  <si>
    <t>https://audio.iskcondesiretree.com/01_-_Srila_Prabhupada/01_-_Lectures/01_-_English/02_-_Month_wise/06_-_June/11/Conv_1974-06-11_R1-PARIS.MP3</t>
  </si>
  <si>
    <t>MW_PAR_1974-06-11_Krishna-Background_of_Courage.mp3</t>
  </si>
  <si>
    <t>https://audio.iskcondesiretree.com/01_-_Srila_Prabhupada/01_-_Lectures/01_-_English/02_-_Month_wise/06_-_June/11/MW_PAR_1974-06-11_Krishna-Background_of_Courage.mp3</t>
  </si>
  <si>
    <t>RC_PAR_1974-06-11_Let_Cows_Die_Naturally.mp3</t>
  </si>
  <si>
    <t>https://audio.iskcondesiretree.com/01_-_Srila_Prabhupada/01_-_Lectures/01_-_English/02_-_Month_wise/06_-_June/11/RC_PAR_1974-06-11_Let_Cows_Die_Naturally.mp3</t>
  </si>
  <si>
    <t>RC_PAR_1974-06-11_Slaughterhouse_Civilization.mp3</t>
  </si>
  <si>
    <t>https://audio.iskcondesiretree.com/01_-_Srila_Prabhupada/01_-_Lectures/01_-_English/02_-_Month_wise/06_-_June/11/RC_PAR_1974-06-11_Slaughterhouse_Civilization.mp3</t>
  </si>
  <si>
    <t>SB-02-01-02_1974-06-11_SB-PARIS.MP3</t>
  </si>
  <si>
    <t>https://audio.iskcondesiretree.com/01_-_Srila_Prabhupada/01_-_Lectures/01_-_English/02_-_Month_wise/06_-_June/11/SB-02-01-02_1974-06-11_SB-PARIS.MP3</t>
  </si>
  <si>
    <t>SB_2-01-02_PAR_1974-06-11_From_One_Garbage_Body_to_Another.mp3</t>
  </si>
  <si>
    <t>https://audio.iskcondesiretree.com/01_-_Srila_Prabhupada/01_-_Lectures/01_-_English/02_-_Month_wise/06_-_June/11/SB_2-01-02_PAR_1974-06-11_From_One_Garbage_Body_to_Another.mp3</t>
  </si>
  <si>
    <t>Walk_1974-06-11_MW-PARIS.MP3</t>
  </si>
  <si>
    <t>https://audio.iskcondesiretree.com/01_-_Srila_Prabhupada/01_-_Lectures/01_-_English/02_-_Month_wise/06_-_June/11/Walk_1974-06-11_MW-PARIS.MP3</t>
  </si>
  <si>
    <t>SP_Morning_Walk_-_Paris_1974-06-12_God_Is_Not_Dead-Your_Intelligence_Is_Dead.mp3</t>
  </si>
  <si>
    <t>https://audio.iskcondesiretree.com/01_-_Srila_Prabhupada/01_-_Lectures/01_-_English/01_-_Topic_wise/Morning_Walk/SP_Morning_Walk_-_Paris_1974-06-12_God_Is_Not_Dead-Your_Intelligence_Is_Dead.mp3</t>
  </si>
  <si>
    <t>SP_Room_Conversation_Paris_1974-06-12_Communist--etc.mp3</t>
  </si>
  <si>
    <t>https://audio.iskcondesiretree.com/01_-_Srila_Prabhupada/01_-_Lectures/01_-_English/01_-_Topic_wise/Room_Conversation/SP_Room_Conversation_Paris_1974-06-12_Communist--etc.mp3</t>
  </si>
  <si>
    <t>SP_Room_Conversation_Paris_1974-06-12_French_Poet--Flies_Want_to_Enjoy_the_Fire.mp3</t>
  </si>
  <si>
    <t>https://audio.iskcondesiretree.com/01_-_Srila_Prabhupada/01_-_Lectures/01_-_English/01_-_Topic_wise/Room_Conversation/SP_Room_Conversation_Paris_1974-06-12_French_Poet--Flies_Want_to_Enjoy_the_Fire.mp3</t>
  </si>
  <si>
    <t>SP_SB_2-01-03_Paris_1974-06-12_Not_Even_Napoleon_Was_Safe.mp3</t>
  </si>
  <si>
    <t>https://audio.iskcondesiretree.com/01_-_Srila_Prabhupada/01_-_Lectures/01_-_English/01_-_Topic_wise/Srimad_Bhagavatam/Canto-02/SP_SB_2-01-03_Paris_1974-06-12_Not_Even_Napoleon_Was_Safe.mp3</t>
  </si>
  <si>
    <t>SP_Car_Conversation_Paris_1974-06-12.mp3</t>
  </si>
  <si>
    <t>https://audio.iskcondesiretree.com/01_-_Srila_Prabhupada/01_-_Lectures/01_-_English/01_-_Topic_wise/Various/SP_Car_Conversation_Paris_1974-06-12.mp3</t>
  </si>
  <si>
    <t>Conv_1974-06-12_CR-PARIS.MP3</t>
  </si>
  <si>
    <t>https://audio.iskcondesiretree.com/01_-_Srila_Prabhupada/01_-_Lectures/01_-_English/02_-_Month_wise/06_-_June/12/Conv_1974-06-12_CR-PARIS.MP3</t>
  </si>
  <si>
    <t>Conv_1974-06-12_R1-PARIS.MP3</t>
  </si>
  <si>
    <t>https://audio.iskcondesiretree.com/01_-_Srila_Prabhupada/01_-_Lectures/01_-_English/02_-_Month_wise/06_-_June/12/Conv_1974-06-12_R1-PARIS.MP3</t>
  </si>
  <si>
    <t>Conv_1974-06-12_R2-PARIS.MP3</t>
  </si>
  <si>
    <t>https://audio.iskcondesiretree.com/01_-_Srila_Prabhupada/01_-_Lectures/01_-_English/02_-_Month_wise/06_-_June/12/Conv_1974-06-12_R2-PARIS.MP3</t>
  </si>
  <si>
    <t>MW_PAR_1974-06-12_God_Is_Not_Dead-Your_Intelligence_Is_Dead.mp3</t>
  </si>
  <si>
    <t>https://audio.iskcondesiretree.com/01_-_Srila_Prabhupada/01_-_Lectures/01_-_English/02_-_Month_wise/06_-_June/12/MW_PAR_1974-06-12_God_Is_Not_Dead-Your_Intelligence_Is_Dead.mp3</t>
  </si>
  <si>
    <t>RC_PAR_1974-06-12_Communist_etc.mp3</t>
  </si>
  <si>
    <t>https://audio.iskcondesiretree.com/01_-_Srila_Prabhupada/01_-_Lectures/01_-_English/02_-_Month_wise/06_-_June/12/RC_PAR_1974-06-12_Communist_etc.mp3</t>
  </si>
  <si>
    <t>RC_PAR_1974-06-12_French_Poet--Flies_Want_to_Enjoy_the_Fire.mp3</t>
  </si>
  <si>
    <t>https://audio.iskcondesiretree.com/01_-_Srila_Prabhupada/01_-_Lectures/01_-_English/02_-_Month_wise/06_-_June/12/RC_PAR_1974-06-12_French_Poet--Flies_Want_to_Enjoy_the_Fire.mp3</t>
  </si>
  <si>
    <t>SB-02-01-03_1974-06-12_SB-PARIS.MP3</t>
  </si>
  <si>
    <t>https://audio.iskcondesiretree.com/01_-_Srila_Prabhupada/01_-_Lectures/01_-_English/02_-_Month_wise/06_-_June/12/SB-02-01-03_1974-06-12_SB-PARIS.MP3</t>
  </si>
  <si>
    <t>SB_2-01-03_PAR_1974-06-12_Not_Even_Napoleon_Was_Safe.mp3</t>
  </si>
  <si>
    <t>https://audio.iskcondesiretree.com/01_-_Srila_Prabhupada/01_-_Lectures/01_-_English/02_-_Month_wise/06_-_June/12/SB_2-01-03_PAR_1974-06-12_Not_Even_Napoleon_Was_Safe.mp3</t>
  </si>
  <si>
    <t>Walk_1974-06-12_MW-PARIS.MP3</t>
  </si>
  <si>
    <t>https://audio.iskcondesiretree.com/01_-_Srila_Prabhupada/01_-_Lectures/01_-_English/02_-_Month_wise/06_-_June/12/Walk_1974-06-12_MW-PARIS.MP3</t>
  </si>
  <si>
    <t>SP_BG_07-01_Paris_1974-06-13_Serious_Ones_Will_Come_to--etc.mp3</t>
  </si>
  <si>
    <t>https://audio.iskcondesiretree.com/01_-_Srila_Prabhupada/01_-_Lectures/01_-_English/01_-_Topic_wise/Bhagavad_Gita/Chapter-07/SP_BG_07-01_Paris_1974-06-13_Serious_Ones_Will_Come_to--etc.mp3</t>
  </si>
  <si>
    <t>SP_Morning_Walk_-_Paris_1974-06-13_Maya-Everything_Belongs_to_Me.mp3</t>
  </si>
  <si>
    <t>https://audio.iskcondesiretree.com/01_-_Srila_Prabhupada/01_-_Lectures/01_-_English/01_-_Topic_wise/Morning_Walk/SP_Morning_Walk_-_Paris_1974-06-13_Maya-Everything_Belongs_to_Me.mp3</t>
  </si>
  <si>
    <t>SP_Room_Conversation_Paris_1974-06-13_Buddhist_Deshimaru--Zen_and_the--etc.mp3</t>
  </si>
  <si>
    <t>https://audio.iskcondesiretree.com/01_-_Srila_Prabhupada/01_-_Lectures/01_-_English/01_-_Topic_wise/Room_Conversation/SP_Room_Conversation_Paris_1974-06-13_Buddhist_Deshimaru--Zen_and_the--etc.mp3</t>
  </si>
  <si>
    <t>SP_Room_Conversation_Paris_1974-06-13_Russian_Orthodox_Church--Moral--etc.mp3</t>
  </si>
  <si>
    <t>https://audio.iskcondesiretree.com/01_-_Srila_Prabhupada/01_-_Lectures/01_-_English/01_-_Topic_wise/Room_Conversation/SP_Room_Conversation_Paris_1974-06-13_Russian_Orthodox_Church--Moral--etc.mp3</t>
  </si>
  <si>
    <t>SP_SB_2-01-05_Paris_1974-06-13_Hear_Chant_and_Be_Fearless.mp3</t>
  </si>
  <si>
    <t>https://audio.iskcondesiretree.com/01_-_Srila_Prabhupada/01_-_Lectures/01_-_English/01_-_Topic_wise/Srimad_Bhagavatam/Canto-02/SP_SB_2-01-05_Paris_1974-06-13_Hear_Chant_and_Be_Fearless.mp3</t>
  </si>
  <si>
    <t>Bg-07-01%E2%80%9303_1974-06-13_BG-PARIS.MP3</t>
  </si>
  <si>
    <t>https://audio.iskcondesiretree.com/01_-_Srila_Prabhupada/01_-_Lectures/01_-_English/02_-_Month_wise/06_-_June/13/Bg-07-01%E2%80%9303_1974-06-13_BG-PARIS.MP3</t>
  </si>
  <si>
    <t>Bg_07-01_PAR_1974-06-13_Serious_Ones_Will_Come_to_etc.mp3</t>
  </si>
  <si>
    <t>https://audio.iskcondesiretree.com/01_-_Srila_Prabhupada/01_-_Lectures/01_-_English/02_-_Month_wise/06_-_June/13/Bg_07-01_PAR_1974-06-13_Serious_Ones_Will_Come_to_etc.mp3</t>
  </si>
  <si>
    <t>Conv_1974-06-13_R1-PARIS.MP3</t>
  </si>
  <si>
    <t>https://audio.iskcondesiretree.com/01_-_Srila_Prabhupada/01_-_Lectures/01_-_English/02_-_Month_wise/06_-_June/13/Conv_1974-06-13_R1-PARIS.MP3</t>
  </si>
  <si>
    <t>Conv_1974-06-13_R2-PARIS.MP3</t>
  </si>
  <si>
    <t>https://audio.iskcondesiretree.com/01_-_Srila_Prabhupada/01_-_Lectures/01_-_English/02_-_Month_wise/06_-_June/13/Conv_1974-06-13_R2-PARIS.MP3</t>
  </si>
  <si>
    <t>MW_PAR_1974-06-13_Maya-Everything_Belongs_to_Me.mp3</t>
  </si>
  <si>
    <t>https://audio.iskcondesiretree.com/01_-_Srila_Prabhupada/01_-_Lectures/01_-_English/02_-_Month_wise/06_-_June/13/MW_PAR_1974-06-13_Maya-Everything_Belongs_to_Me.mp3</t>
  </si>
  <si>
    <t>RC_PAR_1974-06-13_Buddhist_Deshimaru_Zen_and_the_etc.mp3</t>
  </si>
  <si>
    <t>https://audio.iskcondesiretree.com/01_-_Srila_Prabhupada/01_-_Lectures/01_-_English/02_-_Month_wise/06_-_June/13/RC_PAR_1974-06-13_Buddhist_Deshimaru_Zen_and_the_etc.mp3</t>
  </si>
  <si>
    <t>RC_PAR_1974-06-13_Russian_Orthodox_Church_Moral_etc.mp3</t>
  </si>
  <si>
    <t>https://audio.iskcondesiretree.com/01_-_Srila_Prabhupada/01_-_Lectures/01_-_English/02_-_Month_wise/06_-_June/13/RC_PAR_1974-06-13_Russian_Orthodox_Church_Moral_etc.mp3</t>
  </si>
  <si>
    <t>SB-02-01-05_1974-06-13_SB-PARIS.MP3</t>
  </si>
  <si>
    <t>https://audio.iskcondesiretree.com/01_-_Srila_Prabhupada/01_-_Lectures/01_-_English/02_-_Month_wise/06_-_June/13/SB-02-01-05_1974-06-13_SB-PARIS.MP3</t>
  </si>
  <si>
    <t>SB_2-01-05_PAR_1974-06-13_Hear%2C_Chant_and_Be_Fearless.mp3</t>
  </si>
  <si>
    <t>https://audio.iskcondesiretree.com/01_-_Srila_Prabhupada/01_-_Lectures/01_-_English/02_-_Month_wise/06_-_June/13/SB_2-01-05_PAR_1974-06-13_Hear%2C_Chant_and_Be_Fearless.mp3</t>
  </si>
  <si>
    <t>Walk_1974-06-13_MW-PARIS.MP3</t>
  </si>
  <si>
    <t>https://audio.iskcondesiretree.com/01_-_Srila_Prabhupada/01_-_Lectures/01_-_English/02_-_Month_wise/06_-_June/13/Walk_1974-06-13_MW-PARIS.MP3</t>
  </si>
  <si>
    <t>SP_Morning_Walk_-_Paris_1974-06-14_The_Nonsectarian_Signboard.mp3</t>
  </si>
  <si>
    <t>https://audio.iskcondesiretree.com/01_-_Srila_Prabhupada/01_-_Lectures/01_-_English/01_-_Topic_wise/Morning_Walk/SP_Morning_Walk_-_Paris_1974-06-14_The_Nonsectarian_Signboard.mp3</t>
  </si>
  <si>
    <t>SP_Room_Conversation_Paris_1974-06-14_Prof--In_Every_Town_and_Village.mp3</t>
  </si>
  <si>
    <t>https://audio.iskcondesiretree.com/01_-_Srila_Prabhupada/01_-_Lectures/01_-_English/01_-_Topic_wise/Room_Conversation/SP_Room_Conversation_Paris_1974-06-14_Prof--In_Every_Town_and_Village.mp3</t>
  </si>
  <si>
    <t>SP_SB_2-01-06_Paris_1974-06-14_Do_You_Know_How_to_Die.mp3</t>
  </si>
  <si>
    <t>https://audio.iskcondesiretree.com/01_-_Srila_Prabhupada/01_-_Lectures/01_-_English/01_-_Topic_wise/Srimad_Bhagavatam/Canto-02/SP_SB_2-01-06_Paris_1974-06-14_Do_You_Know_How_to_Die.mp3</t>
  </si>
  <si>
    <t>Conv_1974-06-14_R1-PARIS.MP3</t>
  </si>
  <si>
    <t>https://audio.iskcondesiretree.com/01_-_Srila_Prabhupada/01_-_Lectures/01_-_English/02_-_Month_wise/06_-_June/14/Conv_1974-06-14_R1-PARIS.MP3</t>
  </si>
  <si>
    <t>Lecture_1974-06-14_LE-PARIS.MP3</t>
  </si>
  <si>
    <t>https://audio.iskcondesiretree.com/01_-_Srila_Prabhupada/01_-_Lectures/01_-_English/02_-_Month_wise/06_-_June/14/Lecture_1974-06-14_LE-PARIS.MP3</t>
  </si>
  <si>
    <t>MW_PAR_1974-06-14_The_Nonsectarian_Signboard.mp3</t>
  </si>
  <si>
    <t>https://audio.iskcondesiretree.com/01_-_Srila_Prabhupada/01_-_Lectures/01_-_English/02_-_Month_wise/06_-_June/14/MW_PAR_1974-06-14_The_Nonsectarian_Signboard.mp3</t>
  </si>
  <si>
    <t>RC_PAR_1974-06-14_Prof--In_Every_Town_and_Village.mp3</t>
  </si>
  <si>
    <t>https://audio.iskcondesiretree.com/01_-_Srila_Prabhupada/01_-_Lectures/01_-_English/02_-_Month_wise/06_-_June/14/RC_PAR_1974-06-14_Prof--In_Every_Town_and_Village.mp3</t>
  </si>
  <si>
    <t>SB-02-01-06_1974-06-14_SB-PARIS.MP3</t>
  </si>
  <si>
    <t>https://audio.iskcondesiretree.com/01_-_Srila_Prabhupada/01_-_Lectures/01_-_English/02_-_Month_wise/06_-_June/14/SB-02-01-06_1974-06-14_SB-PARIS.MP3</t>
  </si>
  <si>
    <t>SB_2-01-06_PAR_1974-06-14_Do_You_Know_How_to_Die.mp3</t>
  </si>
  <si>
    <t>https://audio.iskcondesiretree.com/01_-_Srila_Prabhupada/01_-_Lectures/01_-_English/02_-_Month_wise/06_-_June/14/SB_2-01-06_PAR_1974-06-14_Do_You_Know_How_to_Die.mp3</t>
  </si>
  <si>
    <t>Walk_1974-06-14_MW-PARIS.MP3</t>
  </si>
  <si>
    <t>https://audio.iskcondesiretree.com/01_-_Srila_Prabhupada/01_-_Lectures/01_-_English/02_-_Month_wise/06_-_June/14/Walk_1974-06-14_MW-PARIS.MP3</t>
  </si>
  <si>
    <t>SP_Room_Conversation_Paris_1974-06-15_About_Kali-yuga_In_the--etc.mp3</t>
  </si>
  <si>
    <t>https://audio.iskcondesiretree.com/01_-_Srila_Prabhupada/01_-_Lectures/01_-_English/01_-_Topic_wise/Room_Conversation/SP_Room_Conversation_Paris_1974-06-15_About_Kali-yuga_In_the--etc.mp3</t>
  </si>
  <si>
    <t>SP_Room_Conversation_Paris_1974-06-15_Buddhist--You_Cannot_Change_God.mp3</t>
  </si>
  <si>
    <t>https://audio.iskcondesiretree.com/01_-_Srila_Prabhupada/01_-_Lectures/01_-_English/01_-_Topic_wise/Room_Conversation/SP_Room_Conversation_Paris_1974-06-15_Buddhist--You_Cannot_Change_God.mp3</t>
  </si>
  <si>
    <t>SP_SB_2-01-07_Paris_1974-06-15_The_Topmost--etc.mp3</t>
  </si>
  <si>
    <t>https://audio.iskcondesiretree.com/01_-_Srila_Prabhupada/01_-_Lectures/01_-_English/01_-_Topic_wise/Srimad_Bhagavatam/Canto-02/SP_SB_2-01-07_Paris_1974-06-15_The_Topmost--etc.mp3</t>
  </si>
  <si>
    <t>Conv_1974-06-15_R1-PARIS.MP3</t>
  </si>
  <si>
    <t>https://audio.iskcondesiretree.com/01_-_Srila_Prabhupada/01_-_Lectures/01_-_English/02_-_Month_wise/06_-_June/15/Conv_1974-06-15_R1-PARIS.MP3</t>
  </si>
  <si>
    <t>Conv_1974-06-15_R2-PARIS.MP3</t>
  </si>
  <si>
    <t>https://audio.iskcondesiretree.com/01_-_Srila_Prabhupada/01_-_Lectures/01_-_English/02_-_Month_wise/06_-_June/15/Conv_1974-06-15_R2-PARIS.MP3</t>
  </si>
  <si>
    <t>RC_PAR_1974-06-15_About_Kali-yuga_In_the_etc.mp3</t>
  </si>
  <si>
    <t>https://audio.iskcondesiretree.com/01_-_Srila_Prabhupada/01_-_Lectures/01_-_English/02_-_Month_wise/06_-_June/15/RC_PAR_1974-06-15_About_Kali-yuga_In_the_etc.mp3</t>
  </si>
  <si>
    <t>RC_PAR_1974-06-15_Buddhist--You_Cannot_Change_God.mp3</t>
  </si>
  <si>
    <t>https://audio.iskcondesiretree.com/01_-_Srila_Prabhupada/01_-_Lectures/01_-_English/02_-_Month_wise/06_-_June/15/RC_PAR_1974-06-15_Buddhist--You_Cannot_Change_God.mp3</t>
  </si>
  <si>
    <t>SB-02-01-07_1974-06-15_SB-PARIS.MP3</t>
  </si>
  <si>
    <t>https://audio.iskcondesiretree.com/01_-_Srila_Prabhupada/01_-_Lectures/01_-_English/02_-_Month_wise/06_-_June/15/SB-02-01-07_1974-06-15_SB-PARIS.MP3</t>
  </si>
  <si>
    <t>SB_2-01-07_PAR_1974-06-15_The_Topmost_etc.mp3</t>
  </si>
  <si>
    <t>https://audio.iskcondesiretree.com/01_-_Srila_Prabhupada/01_-_Lectures/01_-_English/02_-_Month_wise/06_-_June/15/SB_2-01-07_PAR_1974-06-15_The_Topmost_etc.mp3</t>
  </si>
  <si>
    <t>SP_BG_02-01_Germany_1974-06-16_Who_Is_Krishna.mp3</t>
  </si>
  <si>
    <t>https://audio.iskcondesiretree.com/01_-_Srila_Prabhupada/01_-_Lectures/01_-_English/01_-_Topic_wise/Bhagavad_Gita/Chapter-02/SP_BG_02-01_Germany_1974-06-16_Who_Is_Krishna.mp3</t>
  </si>
  <si>
    <t>Bg-02-01%E2%80%9305_1974-06-16_BG-GERMANY.MP3</t>
  </si>
  <si>
    <t>https://audio.iskcondesiretree.com/01_-_Srila_Prabhupada/01_-_Lectures/01_-_English/02_-_Month_wise/06_-_June/16/Bg-02-01%E2%80%9305_1974-06-16_BG-GERMANY.MP3</t>
  </si>
  <si>
    <t>Bg_02-01_GER_1974-06-16_Who_Is_Krishna.mp3</t>
  </si>
  <si>
    <t>https://audio.iskcondesiretree.com/01_-_Srila_Prabhupada/01_-_Lectures/01_-_English/02_-_Month_wise/06_-_June/16/Bg_02-01_GER_1974-06-16_Who_Is_Krishna.mp3</t>
  </si>
  <si>
    <t>SP_Morning_Walk_-_Germany_1974-06-17_Fools%27_Paradise_Lost.mp3</t>
  </si>
  <si>
    <t>https://audio.iskcondesiretree.com/01_-_Srila_Prabhupada/01_-_Lectures/01_-_English/01_-_Topic_wise/Morning_Walk/SP_Morning_Walk_-_Germany_1974-06-17_Fools%27_Paradise_Lost.mp3</t>
  </si>
  <si>
    <t>SP_Room_Conversation_01_Germany_1974-06-17.mp3</t>
  </si>
  <si>
    <t>https://audio.iskcondesiretree.com/01_-_Srila_Prabhupada/01_-_Lectures/01_-_English/01_-_Topic_wise/Room_Conversation/SP_Room_Conversation_01_Germany_1974-06-17.mp3</t>
  </si>
  <si>
    <t>Conv_1974-06-17_R1-GERMANY.MP3</t>
  </si>
  <si>
    <t>https://audio.iskcondesiretree.com/01_-_Srila_Prabhupada/01_-_Lectures/01_-_English/02_-_Month_wise/06_-_June/17/Conv_1974-06-17_R1-GERMANY.MP3</t>
  </si>
  <si>
    <t>MW_GER_1974-06-17_Fools%27_Paradise_Lost.mp3</t>
  </si>
  <si>
    <t>https://audio.iskcondesiretree.com/01_-_Srila_Prabhupada/01_-_Lectures/01_-_English/02_-_Month_wise/06_-_June/17/MW_GER_1974-06-17_Fools%27_Paradise_Lost.mp3</t>
  </si>
  <si>
    <t>Walk_1974-06-17_MW-GERMANY.MP3</t>
  </si>
  <si>
    <t>https://audio.iskcondesiretree.com/01_-_Srila_Prabhupada/01_-_Lectures/01_-_English/02_-_Month_wise/06_-_June/17/Walk_1974-06-17_MW-GERMANY.MP3</t>
  </si>
  <si>
    <t>SP_BG_02-13_Germany_1974-06-18_We_Must_Surrender-God_or_Dog.mp3</t>
  </si>
  <si>
    <t>https://audio.iskcondesiretree.com/01_-_Srila_Prabhupada/01_-_Lectures/01_-_English/01_-_Topic_wise/Bhagavad_Gita/Chapter-02/SP_BG_02-13_Germany_1974-06-18_We_Must_Surrender-God_or_Dog.mp3</t>
  </si>
  <si>
    <t>Bg-02-13_1974-06-18_BG-GERMANY.MP3</t>
  </si>
  <si>
    <t>https://audio.iskcondesiretree.com/01_-_Srila_Prabhupada/01_-_Lectures/01_-_English/02_-_Month_wise/06_-_June/18/Bg-02-13_1974-06-18_BG-GERMANY.MP3</t>
  </si>
  <si>
    <t>Bg_02-13_GER_1974-06-18_We_Must_Surrender-God_or_Dog.mp3</t>
  </si>
  <si>
    <t>https://audio.iskcondesiretree.com/01_-_Srila_Prabhupada/01_-_Lectures/01_-_English/02_-_Month_wise/06_-_June/18/Bg_02-13_GER_1974-06-18_We_Must_Surrender-God_or_Dog.mp3</t>
  </si>
  <si>
    <t>SP_Morning_Walk_-_Paris_1974-06-19_People_Want_to_Banish_God.mp3</t>
  </si>
  <si>
    <t>https://audio.iskcondesiretree.com/01_-_Srila_Prabhupada/01_-_Lectures/01_-_English/01_-_Topic_wise/Morning_Walk/SP_Morning_Walk_-_Paris_1974-06-19_People_Want_to_Banish_God.mp3</t>
  </si>
  <si>
    <t>SP_Room_Conversation_Germany_1974-06-19_Prof_Durckheim_1--Outside_the--etc.mp3</t>
  </si>
  <si>
    <t>https://audio.iskcondesiretree.com/01_-_Srila_Prabhupada/01_-_Lectures/01_-_English/01_-_Topic_wise/Room_Conversation/SP_Room_Conversation_Germany_1974-06-19_Prof_Durckheim_1--Outside_the--etc.mp3</t>
  </si>
  <si>
    <t>SP_Room_Conversation_Germany_1974-06-19_Prof_Durckheim_2--Take_the_Name_of--etc.mp3</t>
  </si>
  <si>
    <t>https://audio.iskcondesiretree.com/01_-_Srila_Prabhupada/01_-_Lectures/01_-_English/01_-_Topic_wise/Room_Conversation/SP_Room_Conversation_Germany_1974-06-19_Prof_Durckheim_2--Take_the_Name_of--etc.mp3</t>
  </si>
  <si>
    <t>Conv_1974-06-19_R1-GERMANY.MP3</t>
  </si>
  <si>
    <t>https://audio.iskcondesiretree.com/01_-_Srila_Prabhupada/01_-_Lectures/01_-_English/02_-_Month_wise/06_-_June/19/Conv_1974-06-19_R1-GERMANY.MP3</t>
  </si>
  <si>
    <t>MW_PAR_1974-06-19_People_Want_to_Banish_God.mp3</t>
  </si>
  <si>
    <t>https://audio.iskcondesiretree.com/01_-_Srila_Prabhupada/01_-_Lectures/01_-_English/02_-_Month_wise/06_-_June/19/MW_PAR_1974-06-19_People_Want_to_Banish_God.mp3</t>
  </si>
  <si>
    <t>RC_GER_1974-06-19_Prof_Durckheim_1_Outside_the_etc.mp3</t>
  </si>
  <si>
    <t>https://audio.iskcondesiretree.com/01_-_Srila_Prabhupada/01_-_Lectures/01_-_English/02_-_Month_wise/06_-_June/19/RC_GER_1974-06-19_Prof_Durckheim_1_Outside_the_etc.mp3</t>
  </si>
  <si>
    <t>RC_GER_1974-06-19_Prof_Durckheim_2_Take_the_Name_of_etc.mp3</t>
  </si>
  <si>
    <t>https://audio.iskcondesiretree.com/01_-_Srila_Prabhupada/01_-_Lectures/01_-_English/02_-_Month_wise/06_-_June/19/RC_GER_1974-06-19_Prof_Durckheim_2_Take_the_Name_of_etc.mp3</t>
  </si>
  <si>
    <t>Walk_1974-06-19_MW-GERMANY.MP3</t>
  </si>
  <si>
    <t>https://audio.iskcondesiretree.com/01_-_Srila_Prabhupada/01_-_Lectures/01_-_English/02_-_Month_wise/06_-_June/19/Walk_1974-06-19_MW-GERMANY.MP3</t>
  </si>
  <si>
    <t>SP_Morning_Walk_-_Germany_1974-06-20_Different_Bodies_%C3%A2%E2%82%AC%E2%80%9C_Different_Bothers.mp3</t>
  </si>
  <si>
    <t>https://audio.iskcondesiretree.com/01_-_Srila_Prabhupada/01_-_Lectures/01_-_English/01_-_Topic_wise/Morning_Walk/SP_Morning_Walk_-_Germany_1974-06-20_Different_Bodies_%C3%A2%E2%82%AC%E2%80%9C_Different_Bothers.mp3</t>
  </si>
  <si>
    <t>SP_Morning_Walk_-_Germany_1974-06-20_Different_Bodies_%E2%80%93_Different_Bothers.mp3</t>
  </si>
  <si>
    <t>https://audio.iskcondesiretree.com/01_-_Srila_Prabhupada/01_-_Lectures/01_-_English/01_-_Topic_wise/Morning_Walk/SP_Morning_Walk_-_Germany_1974-06-20_Different_Bodies_%E2%80%93_Different_Bothers.mp3</t>
  </si>
  <si>
    <t>SP_Room_Conversation_01_Germany_1974-06-20.mp3</t>
  </si>
  <si>
    <t>https://audio.iskcondesiretree.com/01_-_Srila_Prabhupada/01_-_Lectures/01_-_English/01_-_Topic_wise/Room_Conversation/SP_Room_Conversation_01_Germany_1974-06-20.mp3</t>
  </si>
  <si>
    <t>Conv_1974-06-20_R1-GERMANY.MP3</t>
  </si>
  <si>
    <t>https://audio.iskcondesiretree.com/01_-_Srila_Prabhupada/01_-_Lectures/01_-_English/02_-_Month_wise/06_-_June/20/Conv_1974-06-20_R1-GERMANY.MP3</t>
  </si>
  <si>
    <t>MW_GER_1974-06-20_Different_Bodies_Different_Bothers.mp3</t>
  </si>
  <si>
    <t>https://audio.iskcondesiretree.com/01_-_Srila_Prabhupada/01_-_Lectures/01_-_English/02_-_Month_wise/06_-_June/20/MW_GER_1974-06-20_Different_Bodies_Different_Bothers.mp3</t>
  </si>
  <si>
    <t>Walk_1974-06-20_MW-GERMANY.MP3</t>
  </si>
  <si>
    <t>https://audio.iskcondesiretree.com/01_-_Srila_Prabhupada/01_-_Lectures/01_-_English/02_-_Month_wise/06_-_June/20/Walk_1974-06-20_MW-GERMANY.MP3</t>
  </si>
  <si>
    <t>SP_BG_02-14_Germany_1974-06-21_Our_Real_Business.mp3</t>
  </si>
  <si>
    <t>https://audio.iskcondesiretree.com/01_-_Srila_Prabhupada/01_-_Lectures/01_-_English/01_-_Topic_wise/Bhagavad_Gita/Chapter-02/SP_BG_02-14_Germany_1974-06-21_Our_Real_Business.mp3</t>
  </si>
  <si>
    <t>SP_Morning_Walk_-_Germany_1974-06-21_With_Prof--etc.mp3</t>
  </si>
  <si>
    <t>https://audio.iskcondesiretree.com/01_-_Srila_Prabhupada/01_-_Lectures/01_-_English/01_-_Topic_wise/Morning_Walk/SP_Morning_Walk_-_Germany_1974-06-21_With_Prof--etc.mp3</t>
  </si>
  <si>
    <t>Bg_02-14_GER_1974-06-21_Our_Real_Business.mp3</t>
  </si>
  <si>
    <t>https://audio.iskcondesiretree.com/01_-_Srila_Prabhupada/01_-_Lectures/01_-_English/02_-_Month_wise/06_-_June/21/Bg_02-14_GER_1974-06-21_Our_Real_Business.mp3</t>
  </si>
  <si>
    <t>MW_GER_1974-06-21_With_Prof_etc.mp3</t>
  </si>
  <si>
    <t>https://audio.iskcondesiretree.com/01_-_Srila_Prabhupada/01_-_Lectures/01_-_English/02_-_Month_wise/06_-_June/21/MW_GER_1974-06-21_With_Prof_etc.mp3</t>
  </si>
  <si>
    <t>Walk_1974-06-21_MW-GERMANY.MP3</t>
  </si>
  <si>
    <t>https://audio.iskcondesiretree.com/01_-_Srila_Prabhupada/01_-_Lectures/01_-_English/02_-_Month_wise/06_-_June/21/Walk_1974-06-21_MW-GERMANY.MP3</t>
  </si>
  <si>
    <t>SP_BG_02-13_Germany_1974-06-22_Life_after_Death.mp3</t>
  </si>
  <si>
    <t>https://audio.iskcondesiretree.com/01_-_Srila_Prabhupada/01_-_Lectures/01_-_English/01_-_Topic_wise/Bhagavad_Gita/Chapter-02/SP_BG_02-13_Germany_1974-06-22_Life_after_Death.mp3</t>
  </si>
  <si>
    <t>SP_Morning_Walk_-_Germany_1974-06-22.mp3</t>
  </si>
  <si>
    <t>https://audio.iskcondesiretree.com/01_-_Srila_Prabhupada/01_-_Lectures/01_-_English/01_-_Topic_wise/Morning_Walk/SP_Morning_Walk_-_Germany_1974-06-22.mp3</t>
  </si>
  <si>
    <t>SP_Room_Conversation_Germany_1974-06-22_Monk--Krishna%27s_Name_Accepted_by_Jesus.mp3</t>
  </si>
  <si>
    <t>https://audio.iskcondesiretree.com/01_-_Srila_Prabhupada/01_-_Lectures/01_-_English/01_-_Topic_wise/Room_Conversation/SP_Room_Conversation_Germany_1974-06-22_Monk--Krishna%27s_Name_Accepted_by_Jesus.mp3</t>
  </si>
  <si>
    <t>SP_Lecture_Germany_1974-06-22_Krishna_Hears_Your_Mind.mp3</t>
  </si>
  <si>
    <t>https://audio.iskcondesiretree.com/01_-_Srila_Prabhupada/01_-_Lectures/01_-_English/01_-_Topic_wise/Various/SP_Lecture_Germany_1974-06-22_Krishna_Hears_Your_Mind.mp3</t>
  </si>
  <si>
    <t>Bg-02-13_1974-06-22_BG-GERMANY.MP3</t>
  </si>
  <si>
    <t>https://audio.iskcondesiretree.com/01_-_Srila_Prabhupada/01_-_Lectures/01_-_English/02_-_Month_wise/06_-_June/22/Bg-02-13_1974-06-22_BG-GERMANY.MP3</t>
  </si>
  <si>
    <t>Conv_1974-06-22_R1-GERMANY.MP3</t>
  </si>
  <si>
    <t>https://audio.iskcondesiretree.com/01_-_Srila_Prabhupada/01_-_Lectures/01_-_English/02_-_Month_wise/06_-_June/22/Conv_1974-06-22_R1-GERMANY.MP3</t>
  </si>
  <si>
    <t>Lect_GER_1974-06-22_Krishna_Hears_Your_Mind.mp3</t>
  </si>
  <si>
    <t>https://audio.iskcondesiretree.com/01_-_Srila_Prabhupada/01_-_Lectures/01_-_English/02_-_Month_wise/06_-_June/22/Lect_GER_1974-06-22_Krishna_Hears_Your_Mind.mp3</t>
  </si>
  <si>
    <t>RC_GER_1974-06-22_Monk--Krishna%27s_Name_Accepted_by_Jesus.mp3</t>
  </si>
  <si>
    <t>https://audio.iskcondesiretree.com/01_-_Srila_Prabhupada/01_-_Lectures/01_-_English/02_-_Month_wise/06_-_June/22/RC_GER_1974-06-22_Monk--Krishna%27s_Name_Accepted_by_Jesus.mp3</t>
  </si>
  <si>
    <t>Walk_1974-06-22_MW-GERMANY.MP3</t>
  </si>
  <si>
    <t>https://audio.iskcondesiretree.com/01_-_Srila_Prabhupada/01_-_Lectures/01_-_English/02_-_Month_wise/06_-_June/22/Walk_1974-06-22_MW-GERMANY.MP3</t>
  </si>
  <si>
    <t>SP_BG_02-14_Germany_1974-06-23.mp3</t>
  </si>
  <si>
    <t>https://audio.iskcondesiretree.com/01_-_Srila_Prabhupada/01_-_Lectures/01_-_English/01_-_Topic_wise/Bhagavad_Gita/Chapter-02/SP_BG_02-14_Germany_1974-06-23.mp3</t>
  </si>
  <si>
    <t>Bg-02-14_1974-06-23_BG-GERMANY.MP3</t>
  </si>
  <si>
    <t>https://audio.iskcondesiretree.com/01_-_Srila_Prabhupada/01_-_Lectures/01_-_English/02_-_Month_wise/06_-_June/23/Bg-02-14_1974-06-23_BG-GERMANY.MP3</t>
  </si>
  <si>
    <t>SP_BG_13-22_Melbourne_1974-06-25_Material_Enjoyment-More_Bodies.mp3</t>
  </si>
  <si>
    <t>https://audio.iskcondesiretree.com/01_-_Srila_Prabhupada/01_-_Lectures/01_-_English/01_-_Topic_wise/Bhagavad_Gita/Chapter-13/SP_BG_13-22_Melbourne_1974-06-25_Material_Enjoyment-More_Bodies.mp3</t>
  </si>
  <si>
    <t>Bg-13-22%E2%80%9324_1974-06-25_BG-MELBOURNE.MP3</t>
  </si>
  <si>
    <t>https://audio.iskcondesiretree.com/01_-_Srila_Prabhupada/01_-_Lectures/01_-_English/02_-_Month_wise/06_-_June/25/Bg-13-22%E2%80%9324_1974-06-25_BG-MELBOURNE.MP3</t>
  </si>
  <si>
    <t>Bg_13-22_MEL_1974-06-25_Material_Enjoyment-More_Bodies.mp3</t>
  </si>
  <si>
    <t>https://audio.iskcondesiretree.com/01_-_Srila_Prabhupada/01_-_Lectures/01_-_English/02_-_Month_wise/06_-_June/25/Bg_13-22_MEL_1974-06-25_Material_Enjoyment-More_Bodies.mp3</t>
  </si>
  <si>
    <t>SP_SB_2-01-04_Melbourne_1974-06-26_The_Right_Questions.mp3</t>
  </si>
  <si>
    <t>https://audio.iskcondesiretree.com/01_-_Srila_Prabhupada/01_-_Lectures/01_-_English/01_-_Topic_wise/Srimad_Bhagavatam/Canto-02/SP_SB_2-01-04_Melbourne_1974-06-26_The_Right_Questions.mp3</t>
  </si>
  <si>
    <t>SB-02-01-01-05_1974-06-26_SB-MELBOURNE.MP3</t>
  </si>
  <si>
    <t>https://audio.iskcondesiretree.com/01_-_Srila_Prabhupada/01_-_Lectures/01_-_English/02_-_Month_wise/06_-_June/26/SB-02-01-01-05_1974-06-26_SB-MELBOURNE.MP3</t>
  </si>
  <si>
    <t>SB_2-01-04_MEL_1974-06-26_The_Right_Questions.mp3</t>
  </si>
  <si>
    <t>https://audio.iskcondesiretree.com/01_-_Srila_Prabhupada/01_-_Lectures/01_-_English/02_-_Month_wise/06_-_June/26/SB_2-01-04_MEL_1974-06-26_The_Right_Questions.mp3</t>
  </si>
  <si>
    <t>SP_BG_03-27_Melbourne_1974-06-27_At_Town_Hall--Tiger_or--etc.mp3</t>
  </si>
  <si>
    <t>https://audio.iskcondesiretree.com/01_-_Srila_Prabhupada/01_-_Lectures/01_-_English/01_-_Topic_wise/Bhagavad_Gita/Chapter-03/SP_BG_03-27_Melbourne_1974-06-27_At_Town_Hall--Tiger_or--etc.mp3</t>
  </si>
  <si>
    <t>SP_Morning_Walk_-_Melbourne_1974-06-27.mp3</t>
  </si>
  <si>
    <t>https://audio.iskcondesiretree.com/01_-_Srila_Prabhupada/01_-_Lectures/01_-_English/01_-_Topic_wise/Morning_Walk/SP_Morning_Walk_-_Melbourne_1974-06-27.mp3</t>
  </si>
  <si>
    <t>Bg-03-27_1974-06-27_BG-MELBOURNE.MP3</t>
  </si>
  <si>
    <t>https://audio.iskcondesiretree.com/01_-_Srila_Prabhupada/01_-_Lectures/01_-_English/02_-_Month_wise/06_-_June/27/Bg-03-27_1974-06-27_BG-MELBOURNE.MP3</t>
  </si>
  <si>
    <t>Bg_03-27_MEL_1974-06-27_At_Town_Hall_Tiger_or_etc.mp3</t>
  </si>
  <si>
    <t>https://audio.iskcondesiretree.com/01_-_Srila_Prabhupada/01_-_Lectures/01_-_English/02_-_Month_wise/06_-_June/27/Bg_03-27_MEL_1974-06-27_At_Town_Hall_Tiger_or_etc.mp3</t>
  </si>
  <si>
    <t>Walk_1974-06-27_MW-MELBOURNE.MP3</t>
  </si>
  <si>
    <t>https://audio.iskcondesiretree.com/01_-_Srila_Prabhupada/01_-_Lectures/01_-_English/02_-_Month_wise/06_-_June/27/Walk_1974-06-27_MW-MELBOURNE.MP3</t>
  </si>
  <si>
    <t>SP_Room_Conversation_Melbourne_1974-06-28_Priest--Tests_for_Godliness.mp3</t>
  </si>
  <si>
    <t>https://audio.iskcondesiretree.com/01_-_Srila_Prabhupada/01_-_Lectures/01_-_English/01_-_Topic_wise/Room_Conversation/SP_Room_Conversation_Melbourne_1974-06-28_Priest--Tests_for_Godliness.mp3</t>
  </si>
  <si>
    <t>SP_Lecture_Melbourne_1974-06-28_At_Franciscan_Seminary--The_Human--etc.mp3</t>
  </si>
  <si>
    <t>https://audio.iskcondesiretree.com/01_-_Srila_Prabhupada/01_-_Lectures/01_-_English/01_-_Topic_wise/Various/SP_Lecture_Melbourne_1974-06-28_At_Franciscan_Seminary--The_Human--etc.mp3</t>
  </si>
  <si>
    <t>Conv_1974-06-28_R1-MELBOURNE.MP3</t>
  </si>
  <si>
    <t>https://audio.iskcondesiretree.com/01_-_Srila_Prabhupada/01_-_Lectures/01_-_English/02_-_Month_wise/06_-_June/28/Conv_1974-06-28_R1-MELBOURNE.MP3</t>
  </si>
  <si>
    <t>Lect_MEL_1974-06-28_At_Franciscan_Seminary-The_Human_etc.mp3</t>
  </si>
  <si>
    <t>https://audio.iskcondesiretree.com/01_-_Srila_Prabhupada/01_-_Lectures/01_-_English/02_-_Month_wise/06_-_June/28/Lect_MEL_1974-06-28_At_Franciscan_Seminary-The_Human_etc.mp3</t>
  </si>
  <si>
    <t>Lecture_1974-06-28_LE-MELBOURNE.MP3</t>
  </si>
  <si>
    <t>https://audio.iskcondesiretree.com/01_-_Srila_Prabhupada/01_-_Lectures/01_-_English/02_-_Month_wise/06_-_June/28/Lecture_1974-06-28_LE-MELBOURNE.MP3</t>
  </si>
  <si>
    <t>RC_MEL_1974-06-28_Priest--Tests_for_Godliness.mp3</t>
  </si>
  <si>
    <t>https://audio.iskcondesiretree.com/01_-_Srila_Prabhupada/01_-_Lectures/01_-_English/02_-_Month_wise/06_-_June/28/RC_MEL_1974-06-28_Priest--Tests_for_Godliness.mp3</t>
  </si>
  <si>
    <t>SP_BG_07-01_Melbourne_1974-06-29_Surrounded_by_Krishna_Atmosphere.mp3</t>
  </si>
  <si>
    <t>https://audio.iskcondesiretree.com/01_-_Srila_Prabhupada/01_-_Lectures/01_-_English/01_-_Topic_wise/Bhagavad_Gita/Chapter-07/SP_BG_07-01_Melbourne_1974-06-29_Surrounded_by_Krishna_Atmosphere.mp3</t>
  </si>
  <si>
    <t>SP_BG_09-01_Melbourne_1974-06-29_Chant_Dance_Eat_Prasadam..._Go_Home.mp3</t>
  </si>
  <si>
    <t>https://audio.iskcondesiretree.com/01_-_Srila_Prabhupada/01_-_Lectures/01_-_English/01_-_Topic_wise/Bhagavad_Gita/Chapter-09/SP_BG_09-01_Melbourne_1974-06-29_Chant_Dance_Eat_Prasadam..._Go_Home.mp3</t>
  </si>
  <si>
    <t>SP_Interview_Melbourne_1974-06-29_Press--Transcendental_Psychiatry.mp3</t>
  </si>
  <si>
    <t>https://audio.iskcondesiretree.com/01_-_Srila_Prabhupada/01_-_Lectures/01_-_English/01_-_Topic_wise/Interview/SP_Interview_Melbourne_1974-06-29_Press--Transcendental_Psychiatry.mp3</t>
  </si>
  <si>
    <t>SP_Morning_Walk_-_Melbourne_1974-06-29_Unlimitedly_Merciful_Lord.mp3</t>
  </si>
  <si>
    <t>https://audio.iskcondesiretree.com/01_-_Srila_Prabhupada/01_-_Lectures/01_-_English/01_-_Topic_wise/Morning_Walk/SP_Morning_Walk_-_Melbourne_1974-06-29_Unlimitedly_Merciful_Lord.mp3</t>
  </si>
  <si>
    <t>SP_Room_Conversation_Melbourne_1974-06-29_Bishop--Original_Sin--Original_Sanctity.mp3</t>
  </si>
  <si>
    <t>https://audio.iskcondesiretree.com/01_-_Srila_Prabhupada/01_-_Lectures/01_-_English/01_-_Topic_wise/Room_Conversation/SP_Room_Conversation_Melbourne_1974-06-29_Bishop--Original_Sin--Original_Sanctity.mp3</t>
  </si>
  <si>
    <t>SP_Room_Conversation_Melbourne_1974-06-29_Transcendental_Psychiatry.mp3</t>
  </si>
  <si>
    <t>https://audio.iskcondesiretree.com/01_-_Srila_Prabhupada/01_-_Lectures/01_-_English/01_-_Topic_wise/Room_Conversation/SP_Room_Conversation_Melbourne_1974-06-29_Transcendental_Psychiatry.mp3</t>
  </si>
  <si>
    <t>Bg-07-01_1974-06-29_BG-MELBOURNE.MP3</t>
  </si>
  <si>
    <t>https://audio.iskcondesiretree.com/01_-_Srila_Prabhupada/01_-_Lectures/01_-_English/02_-_Month_wise/06_-_June/29/Bg-07-01_1974-06-29_BG-MELBOURNE.MP3</t>
  </si>
  <si>
    <t>Bg_07-01_MEL_1974-06-29_Surrounded_by_Krishna_Atmosphere.mp3</t>
  </si>
  <si>
    <t>https://audio.iskcondesiretree.com/01_-_Srila_Prabhupada/01_-_Lectures/01_-_English/02_-_Month_wise/06_-_June/29/Bg_07-01_MEL_1974-06-29_Surrounded_by_Krishna_Atmosphere.mp3</t>
  </si>
  <si>
    <t>Bg_09-01_MEL_1974-06-29_Chant_Dance_Eat_Prasadam_Go_Home.mp3</t>
  </si>
  <si>
    <t>https://audio.iskcondesiretree.com/01_-_Srila_Prabhupada/01_-_Lectures/01_-_English/02_-_Month_wise/06_-_June/29/Bg_09-01_MEL_1974-06-29_Chant_Dance_Eat_Prasadam_Go_Home.mp3</t>
  </si>
  <si>
    <t>Conv_1974-06-29_R1-MELBOURNE.MP3</t>
  </si>
  <si>
    <t>https://audio.iskcondesiretree.com/01_-_Srila_Prabhupada/01_-_Lectures/01_-_English/02_-_Month_wise/06_-_June/29/Conv_1974-06-29_R1-MELBOURNE.MP3</t>
  </si>
  <si>
    <t>Conv_1974-06-29_R2-MELBOURNE.MP3</t>
  </si>
  <si>
    <t>https://audio.iskcondesiretree.com/01_-_Srila_Prabhupada/01_-_Lectures/01_-_English/02_-_Month_wise/06_-_June/29/Conv_1974-06-29_R2-MELBOURNE.MP3</t>
  </si>
  <si>
    <t>Interv_MEL_1974-06-29_Press-Transcendental_Psychiatry.mp3</t>
  </si>
  <si>
    <t>https://audio.iskcondesiretree.com/01_-_Srila_Prabhupada/01_-_Lectures/01_-_English/02_-_Month_wise/06_-_June/29/Interv_MEL_1974-06-29_Press-Transcendental_Psychiatry.mp3</t>
  </si>
  <si>
    <t>Interview_1974-06-29_IV-MELBOURNE.MP3</t>
  </si>
  <si>
    <t>https://audio.iskcondesiretree.com/01_-_Srila_Prabhupada/01_-_Lectures/01_-_English/02_-_Month_wise/06_-_June/29/Interview_1974-06-29_IV-MELBOURNE.MP3</t>
  </si>
  <si>
    <t>MW_MEL_1974-06-29_Unlimitedly_Merciful_Lord.mp3</t>
  </si>
  <si>
    <t>https://audio.iskcondesiretree.com/01_-_Srila_Prabhupada/01_-_Lectures/01_-_English/02_-_Month_wise/06_-_June/29/MW_MEL_1974-06-29_Unlimitedly_Merciful_Lord.mp3</t>
  </si>
  <si>
    <t>RC_MEL_1974-06-29_Bishop-Original_Sin-Original_Sanctity.mp3</t>
  </si>
  <si>
    <t>https://audio.iskcondesiretree.com/01_-_Srila_Prabhupada/01_-_Lectures/01_-_English/02_-_Month_wise/06_-_June/29/RC_MEL_1974-06-29_Bishop-Original_Sin-Original_Sanctity.mp3</t>
  </si>
  <si>
    <t>RC_MEL_1974-06-29_Transcendental_Psychiatry.mp3</t>
  </si>
  <si>
    <t>https://audio.iskcondesiretree.com/01_-_Srila_Prabhupada/01_-_Lectures/01_-_English/02_-_Month_wise/06_-_June/29/RC_MEL_1974-06-29_Transcendental_Psychiatry.mp3</t>
  </si>
  <si>
    <t>Walk_1974-06-29_MW-MELBOURNE.MP3</t>
  </si>
  <si>
    <t>https://audio.iskcondesiretree.com/01_-_Srila_Prabhupada/01_-_Lectures/01_-_English/02_-_Month_wise/06_-_June/29/Walk_1974-06-29_MW-MELBOURNE.MP3</t>
  </si>
  <si>
    <t>SP_BG_09-01-02_Melbourne_1974-06-30.mp3</t>
  </si>
  <si>
    <t>https://audio.iskcondesiretree.com/01_-_Srila_Prabhupada/01_-_Lectures/01_-_English/01_-_Topic_wise/Bhagavad_Gita/Chapter-09/SP_BG_09-01-02_Melbourne_1974-06-30.mp3</t>
  </si>
  <si>
    <t>Bg-09-01%E2%80%9302_1974-06-30_BG-MELBOURNE.MP3</t>
  </si>
  <si>
    <t>https://audio.iskcondesiretree.com/01_-_Srila_Prabhupada/01_-_Lectures/01_-_English/02_-_Month_wise/06_-_June/30/Bg-09-01%E2%80%9302_1974-06-30_BG-MELBOURNE.MP3</t>
  </si>
  <si>
    <t>SP_Room_Conversation_Melbourne_1974-07-01_Bhurijana_and_Others--Cooking_Smoke--etc.mp3</t>
  </si>
  <si>
    <t>https://audio.iskcondesiretree.com/01_-_Srila_Prabhupada/01_-_Lectures/01_-_English/01_-_Topic_wise/Room_Conversation/SP_Room_Conversation_Melbourne_1974-07-01_Bhurijana_and_Others--Cooking_Smoke--etc.mp3</t>
  </si>
  <si>
    <t>SP_Lecture_Initiation_Ceremony_Melbourne_1974-07-01.mp3</t>
  </si>
  <si>
    <t>https://audio.iskcondesiretree.com/01_-_Srila_Prabhupada/01_-_Lectures/01_-_English/01_-_Topic_wise/Various/SP_Lecture_Initiation_Ceremony_Melbourne_1974-07-01.mp3</t>
  </si>
  <si>
    <t>SP_Lecture_Melbourne_1974-07-01_To_Students--Talking_to_a_Trashy_Audience.mp3</t>
  </si>
  <si>
    <t>https://audio.iskcondesiretree.com/01_-_Srila_Prabhupada/01_-_Lectures/01_-_English/01_-_Topic_wise/Various/SP_Lecture_Melbourne_1974-07-01_To_Students--Talking_to_a_Trashy_Audience.mp3</t>
  </si>
  <si>
    <t>Initiations_1974-07-01_IN-MELBOURNE.MP3</t>
  </si>
  <si>
    <t>https://audio.iskcondesiretree.com/01_-_Srila_Prabhupada/01_-_Lectures/01_-_English/02_-_Month_wise/07_-_July/01/Initiations_1974-07-01_IN-MELBOURNE.MP3</t>
  </si>
  <si>
    <t>Lect_MEL_1974-07-01_To_Students-Talking_to_a_Trashy_Audience.mp3</t>
  </si>
  <si>
    <t>https://audio.iskcondesiretree.com/01_-_Srila_Prabhupada/01_-_Lectures/01_-_English/02_-_Month_wise/07_-_July/01/Lect_MEL_1974-07-01_To_Students-Talking_to_a_Trashy_Audience.mp3</t>
  </si>
  <si>
    <t>Lecture_1974-07-01_LE-MELBOURNE.MP3</t>
  </si>
  <si>
    <t>https://audio.iskcondesiretree.com/01_-_Srila_Prabhupada/01_-_Lectures/01_-_English/02_-_Month_wise/07_-_July/01/Lecture_1974-07-01_LE-MELBOURNE.MP3</t>
  </si>
  <si>
    <t>RC_MEL_1974-07-01_Bhurijana_and_Others-Cooking_Smoke_etc.mp3</t>
  </si>
  <si>
    <t>https://audio.iskcondesiretree.com/01_-_Srila_Prabhupada/01_-_Lectures/01_-_English/02_-_Month_wise/07_-_July/01/RC_MEL_1974-07-01_Bhurijana_and_Others-Cooking_Smoke_etc.mp3</t>
  </si>
  <si>
    <t>SP_Room_Conversation_Melbourne_1974-07-02_Scientists--Scientist_Who_Made_Your_Brain.mp3</t>
  </si>
  <si>
    <t>https://audio.iskcondesiretree.com/01_-_Srila_Prabhupada/01_-_Lectures/01_-_English/01_-_Topic_wise/Room_Conversation/SP_Room_Conversation_Melbourne_1974-07-02_Scientists--Scientist_Who_Made_Your_Brain.mp3</t>
  </si>
  <si>
    <t>SP_Room_Conversation_Melbourne_1974-07-02_World_Wars_I_and_II--Caused_by--etc.mp3</t>
  </si>
  <si>
    <t>https://audio.iskcondesiretree.com/01_-_Srila_Prabhupada/01_-_Lectures/01_-_English/01_-_Topic_wise/Room_Conversation/SP_Room_Conversation_Melbourne_1974-07-02_World_Wars_I_and_II--Caused_by--etc.mp3</t>
  </si>
  <si>
    <t>Bg-16-07%E2%80%9323_1974-07-02_R2-MELBOURNE.MP3</t>
  </si>
  <si>
    <t>https://audio.iskcondesiretree.com/01_-_Srila_Prabhupada/01_-_Lectures/01_-_English/02_-_Month_wise/07_-_July/02/Bg-16-07%E2%80%9323_1974-07-02_R2-MELBOURNE.MP3</t>
  </si>
  <si>
    <t>Conv_1974-07-02_R1-MELBOURNE.MP3</t>
  </si>
  <si>
    <t>https://audio.iskcondesiretree.com/01_-_Srila_Prabhupada/01_-_Lectures/01_-_English/02_-_Month_wise/07_-_July/02/Conv_1974-07-02_R1-MELBOURNE.MP3</t>
  </si>
  <si>
    <t>Conv_1974-07-02_R2-MELBOURNE.MP3</t>
  </si>
  <si>
    <t>https://audio.iskcondesiretree.com/01_-_Srila_Prabhupada/01_-_Lectures/01_-_English/02_-_Month_wise/07_-_July/02/Conv_1974-07-02_R2-MELBOURNE.MP3</t>
  </si>
  <si>
    <t>RC_MEL_1974-07-02_Scientists--Scientist_Who_Made_Your_Brain.mp3</t>
  </si>
  <si>
    <t>https://audio.iskcondesiretree.com/01_-_Srila_Prabhupada/01_-_Lectures/01_-_English/02_-_Month_wise/07_-_July/02/RC_MEL_1974-07-02_Scientists--Scientist_Who_Made_Your_Brain.mp3</t>
  </si>
  <si>
    <t>RC_MEL_1974-07-02_World_Wars_I_and_II-Caused_by_etc.mp3</t>
  </si>
  <si>
    <t>https://audio.iskcondesiretree.com/01_-_Srila_Prabhupada/01_-_Lectures/01_-_English/02_-_Month_wise/07_-_July/02/RC_MEL_1974-07-02_World_Wars_I_and_II-Caused_by_etc.mp3</t>
  </si>
  <si>
    <t>Chapter-17</t>
  </si>
  <si>
    <t>SP_BG_17-01-03_Melbourne_1974-07-04_Faith-Blind_and_Sighted.mp3</t>
  </si>
  <si>
    <t>https://audio.iskcondesiretree.com/01_-_Srila_Prabhupada/01_-_Lectures/01_-_English/01_-_Topic_wise/Bhagavad_Gita/Chapter-17/SP_BG_17-01-03_Melbourne_1974-07-04_Faith-Blind_and_Sighted.mp3</t>
  </si>
  <si>
    <t>SP_Interview_Chicago_1974-07-04_Envious_Reporter.mp3</t>
  </si>
  <si>
    <t>https://audio.iskcondesiretree.com/01_-_Srila_Prabhupada/01_-_Lectures/01_-_English/01_-_Topic_wise/Interview/SP_Interview_Chicago_1974-07-04_Envious_Reporter.mp3</t>
  </si>
  <si>
    <t>SP_SB_1-08-18_Chicago_1974-07-04_Krishna_is_So_Kind._He_Has--etc.mp3</t>
  </si>
  <si>
    <t>https://audio.iskcondesiretree.com/01_-_Srila_Prabhupada/01_-_Lectures/01_-_English/01_-_Topic_wise/Srimad_Bhagavatam/Canto-01/SP_SB_1-08-18_Chicago_1974-07-04_Krishna_is_So_Kind._He_Has--etc.mp3</t>
  </si>
  <si>
    <t>Bg_17-01_MEL_1974-07-04_Faith-Blind_and_Sighted.mp3</t>
  </si>
  <si>
    <t>https://audio.iskcondesiretree.com/01_-_Srila_Prabhupada/01_-_Lectures/01_-_English/02_-_Month_wise/07_-_July/04/Bg_17-01_MEL_1974-07-04_Faith-Blind_and_Sighted.mp3</t>
  </si>
  <si>
    <t>Interview_1974-07-04_IV-CHICAGO.MP3</t>
  </si>
  <si>
    <t>https://audio.iskcondesiretree.com/01_-_Srila_Prabhupada/01_-_Lectures/01_-_English/02_-_Month_wise/07_-_July/04/Interview_1974-07-04_IV-CHICAGO.MP3</t>
  </si>
  <si>
    <t>SB-01-08-18_1974-07-04_SB-CHICAGO.MP3</t>
  </si>
  <si>
    <t>https://audio.iskcondesiretree.com/01_-_Srila_Prabhupada/01_-_Lectures/01_-_English/02_-_Month_wise/07_-_July/04/SB-01-08-18_1974-07-04_SB-CHICAGO.MP3</t>
  </si>
  <si>
    <t>SB_1-08-18_CHI_1974-07-04_Krishna_is_So_Kind._He_Has_etc.mp3</t>
  </si>
  <si>
    <t>https://audio.iskcondesiretree.com/01_-_Srila_Prabhupada/01_-_Lectures/01_-_English/02_-_Month_wise/07_-_July/04/SB_1-08-18_CHI_1974-07-04_Krishna_is_So_Kind._He_Has_etc.mp3</t>
  </si>
  <si>
    <t>SP_SB_1-08-19_Chicago_1974-07-05_For_Dull-Headed_Asses_God--etc.mp3</t>
  </si>
  <si>
    <t>https://audio.iskcondesiretree.com/01_-_Srila_Prabhupada/01_-_Lectures/01_-_English/01_-_Topic_wise/Srimad_Bhagavatam/Canto-01/SP_SB_1-08-19_Chicago_1974-07-05_For_Dull-Headed_Asses_God--etc.mp3</t>
  </si>
  <si>
    <t>SB-01-08-19_1974-07-05_SB-CHICAGO.MP3</t>
  </si>
  <si>
    <t>https://audio.iskcondesiretree.com/01_-_Srila_Prabhupada/01_-_Lectures/01_-_English/02_-_Month_wise/07_-_July/05/SB-01-08-19_1974-07-05_SB-CHICAGO.MP3</t>
  </si>
  <si>
    <t>SB_1-08-19_CHI_1974-07-05_For_Dull-Headed_Asses_God_etc.mp3</t>
  </si>
  <si>
    <t>https://audio.iskcondesiretree.com/01_-_Srila_Prabhupada/01_-_Lectures/01_-_English/02_-_Month_wise/07_-_July/05/SB_1-08-19_CHI_1974-07-05_For_Dull-Headed_Asses_God_etc.mp3</t>
  </si>
  <si>
    <t>SP_Arrival_Los_Angeles_1974-07-08_Education_Culture_Happiness_Satisfaction.mp3</t>
  </si>
  <si>
    <t>https://audio.iskcondesiretree.com/01_-_Srila_Prabhupada/01_-_Lectures/01_-_English/01_-_Topic_wise/Arrival_Address/SP_Arrival_Los_Angeles_1974-07-08_Education_Culture_Happiness_Satisfaction.mp3</t>
  </si>
  <si>
    <t>SP_Room_Conversation_01_Los_Angeles_1974-07-08.mp3</t>
  </si>
  <si>
    <t>https://audio.iskcondesiretree.com/01_-_Srila_Prabhupada/01_-_Lectures/01_-_English/01_-_Topic_wise/Room_Conversation/SP_Room_Conversation_01_Los_Angeles_1974-07-08.mp3</t>
  </si>
  <si>
    <t>Arr_LA_1974-07-08_Education_Culture_Happiness_Satisfaction.mp3</t>
  </si>
  <si>
    <t>https://audio.iskcondesiretree.com/01_-_Srila_Prabhupada/01_-_Lectures/01_-_English/02_-_Month_wise/07_-_July/08/Arr_LA_1974-07-08_Education_Culture_Happiness_Satisfaction.mp3</t>
  </si>
  <si>
    <t>Arrival_1974-07-08_AR-LOS%20ANGELES.MP3</t>
  </si>
  <si>
    <t>https://audio.iskcondesiretree.com/01_-_Srila_Prabhupada/01_-_Lectures/01_-_English/02_-_Month_wise/07_-_July/08/Arrival_1974-07-08_AR-LOS%20ANGELES.MP3</t>
  </si>
  <si>
    <t>Conv_1974-07-08_R1-LOS%20ANGELES.MP3</t>
  </si>
  <si>
    <t>https://audio.iskcondesiretree.com/01_-_Srila_Prabhupada/01_-_Lectures/01_-_English/02_-_Month_wise/07_-_July/08/Conv_1974-07-08_R1-LOS%20ANGELES.MP3</t>
  </si>
  <si>
    <t>SP_Morning_Walk_-_Los_Angeles_1974-07-09.mp3</t>
  </si>
  <si>
    <t>https://audio.iskcondesiretree.com/01_-_Srila_Prabhupada/01_-_Lectures/01_-_English/01_-_Topic_wise/Morning_Walk/SP_Morning_Walk_-_Los_Angeles_1974-07-09.mp3</t>
  </si>
  <si>
    <t>SP_SB_1-16-19_Los_Angeles_1974-07-09_Everyone_Is_Spirit-Servant.mp3</t>
  </si>
  <si>
    <t>https://audio.iskcondesiretree.com/01_-_Srila_Prabhupada/01_-_Lectures/01_-_English/01_-_Topic_wise/Srimad_Bhagavatam/Canto-01/SP_SB_1-16-19_Los_Angeles_1974-07-09_Everyone_Is_Spirit-Servant.mp3</t>
  </si>
  <si>
    <t>SB-01-16-19_1974-07-09_SB-LOS%20ANGELES.MP3</t>
  </si>
  <si>
    <t>https://audio.iskcondesiretree.com/01_-_Srila_Prabhupada/01_-_Lectures/01_-_English/02_-_Month_wise/07_-_July/09/SB-01-16-19_1974-07-09_SB-LOS%20ANGELES.MP3</t>
  </si>
  <si>
    <t>SB_1-16-19_LA_1974-07-09_Everyone_Is_Spirit-Servant.mp3</t>
  </si>
  <si>
    <t>https://audio.iskcondesiretree.com/01_-_Srila_Prabhupada/01_-_Lectures/01_-_English/02_-_Month_wise/07_-_July/09/SB_1-16-19_LA_1974-07-09_Everyone_Is_Spirit-Servant.mp3</t>
  </si>
  <si>
    <t>Walk_1974-07-09_MW-LOS%20ANGELES.MP3</t>
  </si>
  <si>
    <t>https://audio.iskcondesiretree.com/01_-_Srila_Prabhupada/01_-_Lectures/01_-_English/02_-_Month_wise/07_-_July/09/Walk_1974-07-09_MW-LOS%20ANGELES.MP3</t>
  </si>
  <si>
    <t>SP_SB_1-16-20_Los_Angeles_1974-07-10_Make_Everyone_a--etc.mp3</t>
  </si>
  <si>
    <t>https://audio.iskcondesiretree.com/01_-_Srila_Prabhupada/01_-_Lectures/01_-_English/01_-_Topic_wise/Srimad_Bhagavatam/Canto-01/SP_SB_1-16-20_Los_Angeles_1974-07-10_Make_Everyone_a--etc.mp3</t>
  </si>
  <si>
    <t>SB-01-16-20_1974-07-10_SB-LOS%20ANGELES.MP3</t>
  </si>
  <si>
    <t>https://audio.iskcondesiretree.com/01_-_Srila_Prabhupada/01_-_Lectures/01_-_English/02_-_Month_wise/07_-_July/10/SB-01-16-20_1974-07-10_SB-LOS%20ANGELES.MP3</t>
  </si>
  <si>
    <t>SB_1-16-20_LA_1974-07-10_Make_Everyone_a_etc.mp3</t>
  </si>
  <si>
    <t>https://audio.iskcondesiretree.com/01_-_Srila_Prabhupada/01_-_Lectures/01_-_English/02_-_Month_wise/07_-_July/10/SB_1-16-20_LA_1974-07-10_Make_Everyone_a_etc.mp3</t>
  </si>
  <si>
    <t>SP_SB_1-16-21_Los_Angeles_1974-07-11_The_Cutthroat_Age--Women_and--etc.mp3</t>
  </si>
  <si>
    <t>https://audio.iskcondesiretree.com/01_-_Srila_Prabhupada/01_-_Lectures/01_-_English/01_-_Topic_wise/Srimad_Bhagavatam/Canto-01/SP_SB_1-16-21_Los_Angeles_1974-07-11_The_Cutthroat_Age--Women_and--etc.mp3</t>
  </si>
  <si>
    <t>SB-01-16-21_1974-07-11_SB-LOS%20ANGELES.MP3</t>
  </si>
  <si>
    <t>https://audio.iskcondesiretree.com/01_-_Srila_Prabhupada/01_-_Lectures/01_-_English/02_-_Month_wise/07_-_July/11/SB-01-16-21_1974-07-11_SB-LOS%20ANGELES.MP3</t>
  </si>
  <si>
    <t>SB_1-16-21_LA_1974-07-11_The_Cutthroat_Age_Women_and_etc.mp3</t>
  </si>
  <si>
    <t>https://audio.iskcondesiretree.com/01_-_Srila_Prabhupada/01_-_Lectures/01_-_English/02_-_Month_wise/07_-_July/11/SB_1-16-21_LA_1974-07-11_The_Cutthroat_Age_Women_and_etc.mp3</t>
  </si>
  <si>
    <t>SP_CC_A_12_Los_Angeles_1974-07-12.mp3</t>
  </si>
  <si>
    <t>https://audio.iskcondesiretree.com/01_-_Srila_Prabhupada/01_-_Lectures/01_-_English/01_-_Topic_wise/Chaitanya_Charitamrita/Adi_Lila/SP_CC_A_12_Los_Angeles_1974-07-12.mp3</t>
  </si>
  <si>
    <t>SP_Morning_Walk_-_Los_Angeles_1974-07-12.mp3</t>
  </si>
  <si>
    <t>https://audio.iskcondesiretree.com/01_-_Srila_Prabhupada/01_-_Lectures/01_-_English/01_-_Topic_wise/Morning_Walk/SP_Morning_Walk_-_Los_Angeles_1974-07-12.mp3</t>
  </si>
  <si>
    <t>SP_SB_1-16-22_Los_Angeles_1974-07-12_Scientists_Philosophers--etc.mp3</t>
  </si>
  <si>
    <t>https://audio.iskcondesiretree.com/01_-_Srila_Prabhupada/01_-_Lectures/01_-_English/01_-_Topic_wise/Srimad_Bhagavatam/Canto-01/SP_SB_1-16-22_Los_Angeles_1974-07-12_Scientists_Philosophers--etc.mp3</t>
  </si>
  <si>
    <t>Chanting%20Cc-Adi%E2%80%9312th%20Ch_1974-07-12_CH-LOS%20ANGELES.MP3</t>
  </si>
  <si>
    <t>https://audio.iskcondesiretree.com/01_-_Srila_Prabhupada/01_-_Lectures/01_-_English/02_-_Month_wise/07_-_July/12/Chanting%20Cc-Adi%E2%80%9312th%20Ch_1974-07-12_CH-LOS%20ANGELES.MP3</t>
  </si>
  <si>
    <t>SB-01-16-22_1974-07-12_SB-LOS%20ANGELES.MP3</t>
  </si>
  <si>
    <t>https://audio.iskcondesiretree.com/01_-_Srila_Prabhupada/01_-_Lectures/01_-_English/02_-_Month_wise/07_-_July/12/SB-01-16-22_1974-07-12_SB-LOS%20ANGELES.MP3</t>
  </si>
  <si>
    <t>SB_1-16-22_LA_1974-07-12_Scientists_Philosophers_etc.mp3</t>
  </si>
  <si>
    <t>https://audio.iskcondesiretree.com/01_-_Srila_Prabhupada/01_-_Lectures/01_-_English/02_-_Month_wise/07_-_July/12/SB_1-16-22_LA_1974-07-12_Scientists_Philosophers_etc.mp3</t>
  </si>
  <si>
    <t>Walk_1974-07-12_MW-LOS%20ANGELES.MP3</t>
  </si>
  <si>
    <t>https://audio.iskcondesiretree.com/01_-_Srila_Prabhupada/01_-_Lectures/01_-_English/02_-_Month_wise/07_-_July/12/Walk_1974-07-12_MW-LOS%20ANGELES.MP3</t>
  </si>
  <si>
    <t>SP_CC_A_13_Los_Los_Angeles_1974-07-13.mp3</t>
  </si>
  <si>
    <t>https://audio.iskcondesiretree.com/01_-_Srila_Prabhupada/01_-_Lectures/01_-_English/01_-_Topic_wise/Chaitanya_Charitamrita/Adi_Lila/SP_CC_A_13_Los_Los_Angeles_1974-07-13.mp3</t>
  </si>
  <si>
    <t>SP_Morning_Walk_-_Los_Angeles_1974-07-13_We_Going_to_Produce_Vaishnava_Heroes.mp3</t>
  </si>
  <si>
    <t>https://audio.iskcondesiretree.com/01_-_Srila_Prabhupada/01_-_Lectures/01_-_English/01_-_Topic_wise/Morning_Walk/SP_Morning_Walk_-_Los_Angeles_1974-07-13_We_Going_to_Produce_Vaishnava_Heroes.mp3</t>
  </si>
  <si>
    <t>SP_SB_1-16-23_Los_Angeles_1974-07-13_Avatara_for_the_Already_Dead.mp3</t>
  </si>
  <si>
    <t>https://audio.iskcondesiretree.com/01_-_Srila_Prabhupada/01_-_Lectures/01_-_English/01_-_Topic_wise/Srimad_Bhagavatam/Canto-01/SP_SB_1-16-23_Los_Angeles_1974-07-13_Avatara_for_the_Already_Dead.mp3</t>
  </si>
  <si>
    <t>Chanting%20Cc-Adi%E2%80%9313th%20Ch_1974-07-13_CH-LOS%20ANGELES.MP3</t>
  </si>
  <si>
    <t>https://audio.iskcondesiretree.com/01_-_Srila_Prabhupada/01_-_Lectures/01_-_English/02_-_Month_wise/07_-_July/13/Chanting%20Cc-Adi%E2%80%9313th%20Ch_1974-07-13_CH-LOS%20ANGELES.MP3</t>
  </si>
  <si>
    <t>MW_LA_1974-07-13_We_Going_to_Produce_Vaishnava_Heroes.mp3</t>
  </si>
  <si>
    <t>https://audio.iskcondesiretree.com/01_-_Srila_Prabhupada/01_-_Lectures/01_-_English/02_-_Month_wise/07_-_July/13/MW_LA_1974-07-13_We_Going_to_Produce_Vaishnava_Heroes.mp3</t>
  </si>
  <si>
    <t>SB-01-16-23_1974-07-13_SB-LOS%20ANGELES.MP3</t>
  </si>
  <si>
    <t>https://audio.iskcondesiretree.com/01_-_Srila_Prabhupada/01_-_Lectures/01_-_English/02_-_Month_wise/07_-_July/13/SB-01-16-23_1974-07-13_SB-LOS%20ANGELES.MP3</t>
  </si>
  <si>
    <t>SB_1-16-23_LA_1974-07-13_Avatara_for_the_Already_Dead.mp3</t>
  </si>
  <si>
    <t>https://audio.iskcondesiretree.com/01_-_Srila_Prabhupada/01_-_Lectures/01_-_English/02_-_Month_wise/07_-_July/13/SB_1-16-23_LA_1974-07-13_Avatara_for_the_Already_Dead.mp3</t>
  </si>
  <si>
    <t>Walk_1974-07-13_MW-LOS%20ANGELES.MP3</t>
  </si>
  <si>
    <t>https://audio.iskcondesiretree.com/01_-_Srila_Prabhupada/01_-_Lectures/01_-_English/02_-_Month_wise/07_-_July/13/Walk_1974-07-13_MW-LOS%20ANGELES.MP3</t>
  </si>
  <si>
    <t>SP_CC_A_14_Los_Los_Angeles_1974-07-14.mp3</t>
  </si>
  <si>
    <t>https://audio.iskcondesiretree.com/01_-_Srila_Prabhupada/01_-_Lectures/01_-_English/01_-_Topic_wise/Chaitanya_Charitamrita/Adi_Lila/SP_CC_A_14_Los_Los_Angeles_1974-07-14.mp3</t>
  </si>
  <si>
    <t>SP_Morning_Walk_-_Los_Angeles_1974-07-14.mp3</t>
  </si>
  <si>
    <t>https://audio.iskcondesiretree.com/01_-_Srila_Prabhupada/01_-_Lectures/01_-_English/01_-_Topic_wise/Morning_Walk/SP_Morning_Walk_-_Los_Angeles_1974-07-14.mp3</t>
  </si>
  <si>
    <t>SP_SB_1-16-24_Los_Angeles_1974-07-14_Faith_or_New_Orleans_Faith-Fact_Is_Fact.mp3</t>
  </si>
  <si>
    <t>https://audio.iskcondesiretree.com/01_-_Srila_Prabhupada/01_-_Lectures/01_-_English/01_-_Topic_wise/Srimad_Bhagavatam/Canto-01/SP_SB_1-16-24_Los_Angeles_1974-07-14_Faith_or_New_Orleans_Faith-Fact_Is_Fact.mp3</t>
  </si>
  <si>
    <t>Chanting%20Cc-Adi%E2%80%9314th%20Ch_1974-07-14_CH-LOS%20ANGELES.MP3</t>
  </si>
  <si>
    <t>https://audio.iskcondesiretree.com/01_-_Srila_Prabhupada/01_-_Lectures/01_-_English/02_-_Month_wise/07_-_July/14/Chanting%20Cc-Adi%E2%80%9314th%20Ch_1974-07-14_CH-LOS%20ANGELES.MP3</t>
  </si>
  <si>
    <t>SB-01-16-24_1974-07-14_SB-LOS%20ANGELES.MP3</t>
  </si>
  <si>
    <t>https://audio.iskcondesiretree.com/01_-_Srila_Prabhupada/01_-_Lectures/01_-_English/02_-_Month_wise/07_-_July/14/SB-01-16-24_1974-07-14_SB-LOS%20ANGELES.MP3</t>
  </si>
  <si>
    <t>SB_1-16-24_LA_1974-07-14_Faith_or_No_Faith-Fact_Is_Fact.mp3</t>
  </si>
  <si>
    <t>https://audio.iskcondesiretree.com/01_-_Srila_Prabhupada/01_-_Lectures/01_-_English/02_-_Month_wise/07_-_July/14/SB_1-16-24_LA_1974-07-14_Faith_or_No_Faith-Fact_Is_Fact.mp3</t>
  </si>
  <si>
    <t>Walk_1974-07-14_MW-LOS%20ANGELES.MP3</t>
  </si>
  <si>
    <t>https://audio.iskcondesiretree.com/01_-_Srila_Prabhupada/01_-_Lectures/01_-_English/02_-_Month_wise/07_-_July/14/Walk_1974-07-14_MW-LOS%20ANGELES.MP3</t>
  </si>
  <si>
    <t>Departure_Address</t>
  </si>
  <si>
    <t>SP_Departure_Address_1974-07-15_Los_Angeles.mp3</t>
  </si>
  <si>
    <t>https://audio.iskcondesiretree.com/01_-_Srila_Prabhupada/01_-_Lectures/01_-_English/01_-_Topic_wise/Departure_Address/SP_Departure_Address_1974-07-15_Los_Angeles.mp3</t>
  </si>
  <si>
    <t>Departure_1974-07-15_DP-LOS%20ANGELES.MP3</t>
  </si>
  <si>
    <t>https://audio.iskcondesiretree.com/01_-_Srila_Prabhupada/01_-_Lectures/01_-_English/02_-_Month_wise/07_-_July/15/Departure_1974-07-15_DP-LOS%20ANGELES.MP3</t>
  </si>
  <si>
    <t>SP_SB_1-02-17_New_Vrindavan_1974-07-18.mp3</t>
  </si>
  <si>
    <t>https://audio.iskcondesiretree.com/01_-_Srila_Prabhupada/01_-_Lectures/01_-_English/01_-_Topic_wise/Srimad_Bhagavatam/Canto-01/SP_SB_1-02-17_New_Vrindavan_1974-07-18.mp3</t>
  </si>
  <si>
    <t>SB-01-02-17_1974-07-18_SB-NEW%20VRINDAVAN.MP3</t>
  </si>
  <si>
    <t>https://audio.iskcondesiretree.com/01_-_Srila_Prabhupada/01_-_Lectures/01_-_English/02_-_Month_wise/07_-_July/18/SB-01-02-17_1974-07-18_SB-NEW%20VRINDAVAN.MP3</t>
  </si>
  <si>
    <t>SP_SB_1-02-18_New_Vrindavan_1974-07-19.mp3</t>
  </si>
  <si>
    <t>https://audio.iskcondesiretree.com/01_-_Srila_Prabhupada/01_-_Lectures/01_-_English/01_-_Topic_wise/Srimad_Bhagavatam/Canto-01/SP_SB_1-02-18_New_Vrindavan_1974-07-19.mp3</t>
  </si>
  <si>
    <t>SB-01-02-18_1974-07-19_SB-NEW%20VRINDAVAN.MP3</t>
  </si>
  <si>
    <t>https://audio.iskcondesiretree.com/01_-_Srila_Prabhupada/01_-_Lectures/01_-_English/02_-_Month_wise/07_-_July/19/SB-01-02-18_1974-07-19_SB-NEW%20VRINDAVAN.MP3</t>
  </si>
  <si>
    <t>SP_SB_1-02-19_New_Vrindavan_1974-07-21.mp3</t>
  </si>
  <si>
    <t>https://audio.iskcondesiretree.com/01_-_Srila_Prabhupada/01_-_Lectures/01_-_English/01_-_Topic_wise/Srimad_Bhagavatam/Canto-01/SP_SB_1-02-19_New_Vrindavan_1974-07-21.mp3</t>
  </si>
  <si>
    <t>SB-01-02-19_1974-07-21_SB-NEW%20VRINDAVAN.MP3</t>
  </si>
  <si>
    <t>https://audio.iskcondesiretree.com/01_-_Srila_Prabhupada/01_-_Lectures/01_-_English/02_-_Month_wise/07_-_July/21/SB-01-02-19_1974-07-21_SB-NEW%20VRINDAVAN.MP3</t>
  </si>
  <si>
    <t>SP_SB_1-02-20_New_York_1974-07-24.mp3</t>
  </si>
  <si>
    <t>https://audio.iskcondesiretree.com/01_-_Srila_Prabhupada/01_-_Lectures/01_-_English/01_-_Topic_wise/Srimad_Bhagavatam/Canto-01/SP_SB_1-02-20_New_York_1974-07-24.mp3</t>
  </si>
  <si>
    <t>SB-01-02-20_1974-07-24_SB-NEW%20YORK.MP3</t>
  </si>
  <si>
    <t>https://audio.iskcondesiretree.com/01_-_Srila_Prabhupada/01_-_Lectures/01_-_English/02_-_Month_wise/07_-_July/24/SB-01-02-20_1974-07-24_SB-NEW%20YORK.MP3</t>
  </si>
  <si>
    <t>SP_Departure_Address_1974-07-25_New_York.mp3</t>
  </si>
  <si>
    <t>https://audio.iskcondesiretree.com/01_-_Srila_Prabhupada/01_-_Lectures/01_-_English/01_-_Topic_wise/Departure_Address/SP_Departure_Address_1974-07-25_New_York.mp3</t>
  </si>
  <si>
    <t>Departure_1974-07-25_DP-NEW%20YORK.MP3</t>
  </si>
  <si>
    <t>https://audio.iskcondesiretree.com/01_-_Srila_Prabhupada/01_-_Lectures/01_-_English/02_-_Month_wise/07_-_July/25/Departure_1974-07-25_DP-NEW%20YORK.MP3</t>
  </si>
  <si>
    <t>SP_BG_04-10_Vrindavan_1974-08-02_No_Question_of_Happiness_Here.mp3</t>
  </si>
  <si>
    <t>https://audio.iskcondesiretree.com/01_-_Srila_Prabhupada/01_-_Lectures/01_-_English/01_-_Topic_wise/Bhagavad_Gita/Chapter-04/SP_BG_04-10_Vrindavan_1974-08-02_No_Question_of_Happiness_Here.mp3</t>
  </si>
  <si>
    <t>Bg-04-10_1974-08-02_BG-VRNDAVAN.MP3</t>
  </si>
  <si>
    <t>https://audio.iskcondesiretree.com/01_-_Srila_Prabhupada/01_-_Lectures/01_-_English/02_-_Month_wise/08_-_August/02/Bg-04-10_1974-08-02_BG-VRNDAVAN.MP3</t>
  </si>
  <si>
    <t>Bg_04-10_VRN_1974-08-02_No_Question_of_Happiness_Here.mp3</t>
  </si>
  <si>
    <t>https://audio.iskcondesiretree.com/01_-_Srila_Prabhupada/01_-_Lectures/01_-_English/02_-_Month_wise/08_-_August/02/Bg_04-10_VRN_1974-08-02_No_Question_of_Happiness_Here.mp3</t>
  </si>
  <si>
    <t>SP_BG_04-11_Vrindavan_1974-08-03_This_Skin%3DSuffering_This--etc.mp3</t>
  </si>
  <si>
    <t>https://audio.iskcondesiretree.com/01_-_Srila_Prabhupada/01_-_Lectures/01_-_English/01_-_Topic_wise/Bhagavad_Gita/Chapter-04/SP_BG_04-11_Vrindavan_1974-08-03_This_Skin%3DSuffering_This--etc.mp3</t>
  </si>
  <si>
    <t>SP_SB_1-05-22_Vrindavan_1974-08-03_Show_Your_Knowledge%27s_Origin.mp3</t>
  </si>
  <si>
    <t>https://audio.iskcondesiretree.com/01_-_Srila_Prabhupada/01_-_Lectures/01_-_English/01_-_Topic_wise/Srimad_Bhagavatam/Canto-01/SP_SB_1-05-22_Vrindavan_1974-08-03_Show_Your_Knowledge%27s_Origin.mp3</t>
  </si>
  <si>
    <t>Bg-04-11_1974-08-03_BG-VRNDAVAN.MP3</t>
  </si>
  <si>
    <t>https://audio.iskcondesiretree.com/01_-_Srila_Prabhupada/01_-_Lectures/01_-_English/02_-_Month_wise/08_-_August/03/Bg-04-11_1974-08-03_BG-VRNDAVAN.MP3</t>
  </si>
  <si>
    <t>Bg_04-11_VRN_1974-08-03_This_Skin_Suffering_This_etc.mp3</t>
  </si>
  <si>
    <t>https://audio.iskcondesiretree.com/01_-_Srila_Prabhupada/01_-_Lectures/01_-_English/02_-_Month_wise/08_-_August/03/Bg_04-11_VRN_1974-08-03_This_Skin_Suffering_This_etc.mp3</t>
  </si>
  <si>
    <t>SB-01-05-22_1974-08-03_SB-VRNDAVAN.MP3</t>
  </si>
  <si>
    <t>https://audio.iskcondesiretree.com/01_-_Srila_Prabhupada/01_-_Lectures/01_-_English/02_-_Month_wise/08_-_August/03/SB-01-05-22_1974-08-03_SB-VRNDAVAN.MP3</t>
  </si>
  <si>
    <t>SB_1-05-22_VRN_1974-08-03_Show_Your_Knowledge%27s_Origin.mp3</t>
  </si>
  <si>
    <t>https://audio.iskcondesiretree.com/01_-_Srila_Prabhupada/01_-_Lectures/01_-_English/02_-_Month_wise/08_-_August/03/SB_1-05-22_VRN_1974-08-03_Show_Your_Knowledge%27s_Origin.mp3</t>
  </si>
  <si>
    <t>SP_BG_04-12_Vrindavan_1974-08-04_Big_Ambition-Little_Brain.mp3</t>
  </si>
  <si>
    <t>https://audio.iskcondesiretree.com/01_-_Srila_Prabhupada/01_-_Lectures/01_-_English/01_-_Topic_wise/Bhagavad_Gita/Chapter-04/SP_BG_04-12_Vrindavan_1974-08-04_Big_Ambition-Little_Brain.mp3</t>
  </si>
  <si>
    <t>SP_SB_1-05-23_Vrindavan_1974-08-04_Service_to_Devotees-How_Potent.mp3</t>
  </si>
  <si>
    <t>https://audio.iskcondesiretree.com/01_-_Srila_Prabhupada/01_-_Lectures/01_-_English/01_-_Topic_wise/Srimad_Bhagavatam/Canto-01/SP_SB_1-05-23_Vrindavan_1974-08-04_Service_to_Devotees-How_Potent.mp3</t>
  </si>
  <si>
    <t>04_-_April</t>
  </si>
  <si>
    <t>Bg-04-12_1974-08-04_SB-VRNDAVAN.MP3</t>
  </si>
  <si>
    <t>https://audio.iskcondesiretree.com/01_-_Srila_Prabhupada/01_-_Lectures/01_-_English/02_-_Month_wise/04_-_April/Bg-04-12_1974-08-04_SB-VRNDAVAN.MP3</t>
  </si>
  <si>
    <t>SB-01-05-23_1974-08-04_SB-VRNDAVAN.MP3</t>
  </si>
  <si>
    <t>https://audio.iskcondesiretree.com/01_-_Srila_Prabhupada/01_-_Lectures/01_-_English/02_-_Month_wise/04_-_April/SB-01-05-23_1974-08-04_SB-VRNDAVAN.MP3</t>
  </si>
  <si>
    <t>Bg_04-12_VRN_1974-08-04_Big_Ambition-Little_Brain.mp3</t>
  </si>
  <si>
    <t>https://audio.iskcondesiretree.com/01_-_Srila_Prabhupada/01_-_Lectures/01_-_English/02_-_Month_wise/08_-_August/04/Bg_04-12_VRN_1974-08-04_Big_Ambition-Little_Brain.mp3</t>
  </si>
  <si>
    <t>SB_1-05-23_VRN_1974-08-04_Service_to_Devotees-How_Potent.mp3</t>
  </si>
  <si>
    <t>https://audio.iskcondesiretree.com/01_-_Srila_Prabhupada/01_-_Lectures/01_-_English/02_-_Month_wise/08_-_August/04/SB_1-05-23_VRN_1974-08-04_Service_to_Devotees-How_Potent.mp3</t>
  </si>
  <si>
    <t>SP_BG_04-13_Vrindavan_1974-08-05.mp3</t>
  </si>
  <si>
    <t>https://audio.iskcondesiretree.com/01_-_Srila_Prabhupada/01_-_Lectures/01_-_English/01_-_Topic_wise/Bhagavad_Gita/Chapter-04/SP_BG_04-13_Vrindavan_1974-08-05.mp3</t>
  </si>
  <si>
    <t>SP_Room_Conversation_01_Vrindavan_1974-08-05.mp3</t>
  </si>
  <si>
    <t>https://audio.iskcondesiretree.com/01_-_Srila_Prabhupada/01_-_Lectures/01_-_English/01_-_Topic_wise/Room_Conversation/SP_Room_Conversation_01_Vrindavan_1974-08-05.mp3</t>
  </si>
  <si>
    <t>SP_SB_1-05-24_Vrindavan_1974-08-05_Great_Devotee-Great_Discipline.mp3</t>
  </si>
  <si>
    <t>https://audio.iskcondesiretree.com/01_-_Srila_Prabhupada/01_-_Lectures/01_-_English/01_-_Topic_wise/Srimad_Bhagavatam/Canto-01/SP_SB_1-05-24_Vrindavan_1974-08-05_Great_Devotee-Great_Discipline.mp3</t>
  </si>
  <si>
    <t>Bg-04-13_1974-08-05_BG-VRNDAVAN.MP3</t>
  </si>
  <si>
    <t>https://audio.iskcondesiretree.com/01_-_Srila_Prabhupada/01_-_Lectures/01_-_English/02_-_Month_wise/08_-_August/05/Bg-04-13_1974-08-05_BG-VRNDAVAN.MP3</t>
  </si>
  <si>
    <t>Conv_1974-08-05_R1-VRNDAVAN.MP3</t>
  </si>
  <si>
    <t>https://audio.iskcondesiretree.com/01_-_Srila_Prabhupada/01_-_Lectures/01_-_English/02_-_Month_wise/08_-_August/05/Conv_1974-08-05_R1-VRNDAVAN.MP3</t>
  </si>
  <si>
    <t>SB-01-05-24_1974-08-05_SB-VRNDAVAN.MP3</t>
  </si>
  <si>
    <t>https://audio.iskcondesiretree.com/01_-_Srila_Prabhupada/01_-_Lectures/01_-_English/02_-_Month_wise/08_-_August/05/SB-01-05-24_1974-08-05_SB-VRNDAVAN.MP3</t>
  </si>
  <si>
    <t>SB_1-05-24_VRN_1974-08-05_Great_Devotee-Great_Discipline.mp3</t>
  </si>
  <si>
    <t>https://audio.iskcondesiretree.com/01_-_Srila_Prabhupada/01_-_Lectures/01_-_English/02_-_Month_wise/08_-_August/05/SB_1-05-24_VRN_1974-08-05_Great_Devotee-Great_Discipline.mp3</t>
  </si>
  <si>
    <t>SP_BG_04-14_Vrindavan_1974-08-06_Who_Can_Understand_Krishna.mp3</t>
  </si>
  <si>
    <t>https://audio.iskcondesiretree.com/01_-_Srila_Prabhupada/01_-_Lectures/01_-_English/01_-_Topic_wise/Bhagavad_Gita/Chapter-04/SP_BG_04-14_Vrindavan_1974-08-06_Who_Can_Understand_Krishna.mp3</t>
  </si>
  <si>
    <t>SP_SB_1-05-25_Vrindavan_1974-08-06_Self_Attraction-Dirty_or_Divine.mp3</t>
  </si>
  <si>
    <t>https://audio.iskcondesiretree.com/01_-_Srila_Prabhupada/01_-_Lectures/01_-_English/01_-_Topic_wise/Srimad_Bhagavatam/Canto-01/SP_SB_1-05-25_Vrindavan_1974-08-06_Self_Attraction-Dirty_or_Divine.mp3</t>
  </si>
  <si>
    <t>Bg-04-14_1974-08-06_BG-VRNDAVAN.MP3</t>
  </si>
  <si>
    <t>https://audio.iskcondesiretree.com/01_-_Srila_Prabhupada/01_-_Lectures/01_-_English/02_-_Month_wise/08_-_August/06/Bg-04-14_1974-08-06_BG-VRNDAVAN.MP3</t>
  </si>
  <si>
    <t>Bg_04-14_VRN_1974-08-06_Who_Can_Understand_Krishna.mp3</t>
  </si>
  <si>
    <t>https://audio.iskcondesiretree.com/01_-_Srila_Prabhupada/01_-_Lectures/01_-_English/02_-_Month_wise/08_-_August/06/Bg_04-14_VRN_1974-08-06_Who_Can_Understand_Krishna.mp3</t>
  </si>
  <si>
    <t>SB-01-05-25_1974-08-06_SB-VRNDAVAN.MP3</t>
  </si>
  <si>
    <t>https://audio.iskcondesiretree.com/01_-_Srila_Prabhupada/01_-_Lectures/01_-_English/02_-_Month_wise/08_-_August/06/SB-01-05-25_1974-08-06_SB-VRNDAVAN.MP3</t>
  </si>
  <si>
    <t>SB_1-05-25_VRN_1974-08-06_Self_Attraction-Dirty_or_Divine.mp3</t>
  </si>
  <si>
    <t>https://audio.iskcondesiretree.com/01_-_Srila_Prabhupada/01_-_Lectures/01_-_English/02_-_Month_wise/08_-_August/06/SB_1-05-25_VRN_1974-08-06_Self_Attraction-Dirty_or_Divine.mp3</t>
  </si>
  <si>
    <t>SP_BG_07-03_Vrindavan_1974-08-09_Abominable_Ananda.mp3</t>
  </si>
  <si>
    <t>https://audio.iskcondesiretree.com/01_-_Srila_Prabhupada/01_-_Lectures/01_-_English/01_-_Topic_wise/Bhagavad_Gita/Chapter-07/SP_BG_07-03_Vrindavan_1974-08-09_Abominable_Ananda.mp3</t>
  </si>
  <si>
    <t>SP_SB_1-05-28_Vrindavan_1974-08-09_Secret_of_Supreme_Satisfaction.mp3</t>
  </si>
  <si>
    <t>https://audio.iskcondesiretree.com/01_-_Srila_Prabhupada/01_-_Lectures/01_-_English/01_-_Topic_wise/Srimad_Bhagavatam/Canto-01/SP_SB_1-05-28_Vrindavan_1974-08-09_Secret_of_Supreme_Satisfaction.mp3</t>
  </si>
  <si>
    <t>Bg-07-03_1974-08-09_BG-VRNDAVAN.MP3</t>
  </si>
  <si>
    <t>https://audio.iskcondesiretree.com/01_-_Srila_Prabhupada/01_-_Lectures/01_-_English/02_-_Month_wise/08_-_August/09/Bg-07-03_1974-08-09_BG-VRNDAVAN.MP3</t>
  </si>
  <si>
    <t>Bg_07-03_VRN_1974-08-09_Abominable_Ananda.mp3</t>
  </si>
  <si>
    <t>https://audio.iskcondesiretree.com/01_-_Srila_Prabhupada/01_-_Lectures/01_-_English/02_-_Month_wise/08_-_August/09/Bg_07-03_VRN_1974-08-09_Abominable_Ananda.mp3</t>
  </si>
  <si>
    <t>SB-01-05-28_1974-08-09_SB-VRNDAVAN.MP3</t>
  </si>
  <si>
    <t>https://audio.iskcondesiretree.com/01_-_Srila_Prabhupada/01_-_Lectures/01_-_English/02_-_Month_wise/08_-_August/09/SB-01-05-28_1974-08-09_SB-VRNDAVAN.MP3</t>
  </si>
  <si>
    <t>SB_1-05-28_VRN_1974-08-09_Secret_of_Supreme_Satisfaction.mp3</t>
  </si>
  <si>
    <t>https://audio.iskcondesiretree.com/01_-_Srila_Prabhupada/01_-_Lectures/01_-_English/02_-_Month_wise/08_-_August/09/SB_1-05-28_VRN_1974-08-09_Secret_of_Supreme_Satisfaction.mp3</t>
  </si>
  <si>
    <t>SP_BG_07-04_Vrindavan_1974-08-10_Society_Friendship_and_Love.mp3</t>
  </si>
  <si>
    <t>https://audio.iskcondesiretree.com/01_-_Srila_Prabhupada/01_-_Lectures/01_-_English/01_-_Topic_wise/Bhagavad_Gita/Chapter-07/SP_BG_07-04_Vrindavan_1974-08-10_Society_Friendship_and_Love.mp3</t>
  </si>
  <si>
    <t>SP_SB_1-05-29_Vrindavan_1974-08-10_Here_is_a_Disciple_of_Kali.mp3</t>
  </si>
  <si>
    <t>https://audio.iskcondesiretree.com/01_-_Srila_Prabhupada/01_-_Lectures/01_-_English/01_-_Topic_wise/Srimad_Bhagavatam/Canto-01/SP_SB_1-05-29_Vrindavan_1974-08-10_Here_is_a_Disciple_of_Kali.mp3</t>
  </si>
  <si>
    <t>Bg-07-04_1974-08-10_BG-VRNDAVAN.MP3</t>
  </si>
  <si>
    <t>https://audio.iskcondesiretree.com/01_-_Srila_Prabhupada/01_-_Lectures/01_-_English/02_-_Month_wise/08_-_August/10/Bg-07-04_1974-08-10_BG-VRNDAVAN.MP3</t>
  </si>
  <si>
    <t>Bg_07-04_VRN_1974-08-10_Society%2C_Friendship_and_Love.mp3</t>
  </si>
  <si>
    <t>https://audio.iskcondesiretree.com/01_-_Srila_Prabhupada/01_-_Lectures/01_-_English/02_-_Month_wise/08_-_August/10/Bg_07-04_VRN_1974-08-10_Society%2C_Friendship_and_Love.mp3</t>
  </si>
  <si>
    <t>SB-01-05-29_1974-08-10_SB-VRNDAVAN.MP3</t>
  </si>
  <si>
    <t>https://audio.iskcondesiretree.com/01_-_Srila_Prabhupada/01_-_Lectures/01_-_English/02_-_Month_wise/08_-_August/10/SB-01-05-29_1974-08-10_SB-VRNDAVAN.MP3</t>
  </si>
  <si>
    <t>SB_1-05-29_VRN_1974-08-10_Here_is_a_Disciple_of_Kali.mp3</t>
  </si>
  <si>
    <t>https://audio.iskcondesiretree.com/01_-_Srila_Prabhupada/01_-_Lectures/01_-_English/02_-_Month_wise/08_-_August/10/SB_1-05-29_VRN_1974-08-10_Here_is_a_Disciple_of_Kali.mp3</t>
  </si>
  <si>
    <t>SP_BG_07-05_Vrindavan_1974-08-11_God_Is_God-Dog_Is_Dog.mp3</t>
  </si>
  <si>
    <t>https://audio.iskcondesiretree.com/01_-_Srila_Prabhupada/01_-_Lectures/01_-_English/01_-_Topic_wise/Bhagavad_Gita/Chapter-07/SP_BG_07-05_Vrindavan_1974-08-11_God_Is_God-Dog_Is_Dog.mp3</t>
  </si>
  <si>
    <t>SP_SB_1-05-30_Vrindavan_1974-08-11_Mahatma_Speaks_in_Krishna%27s_Favor.mp3</t>
  </si>
  <si>
    <t>https://audio.iskcondesiretree.com/01_-_Srila_Prabhupada/01_-_Lectures/01_-_English/01_-_Topic_wise/Srimad_Bhagavatam/Canto-01/SP_SB_1-05-30_Vrindavan_1974-08-11_Mahatma_Speaks_in_Krishna%27s_Favor.mp3</t>
  </si>
  <si>
    <t>Bg-07-05_1974-08-11_BG-VRNDAVAN.MP3</t>
  </si>
  <si>
    <t>https://audio.iskcondesiretree.com/01_-_Srila_Prabhupada/01_-_Lectures/01_-_English/02_-_Month_wise/08_-_August/11/Bg-07-05_1974-08-11_BG-VRNDAVAN.MP3</t>
  </si>
  <si>
    <t>Bg_07-05_VRN_1974-08-11_God_Is_God-Dog_Is_Dog.mp3</t>
  </si>
  <si>
    <t>https://audio.iskcondesiretree.com/01_-_Srila_Prabhupada/01_-_Lectures/01_-_English/02_-_Month_wise/08_-_August/11/Bg_07-05_VRN_1974-08-11_God_Is_God-Dog_Is_Dog.mp3</t>
  </si>
  <si>
    <t>Janmastami_1974-08-11_BG-VRNDAVAN.MP3</t>
  </si>
  <si>
    <t>https://audio.iskcondesiretree.com/01_-_Srila_Prabhupada/01_-_Lectures/01_-_English/02_-_Month_wise/08_-_August/11/Janmastami_1974-08-11_BG-VRNDAVAN.MP3</t>
  </si>
  <si>
    <t>SB-01-05-30_1974-08-11_SB-VRNDAVAN.MP3</t>
  </si>
  <si>
    <t>https://audio.iskcondesiretree.com/01_-_Srila_Prabhupada/01_-_Lectures/01_-_English/02_-_Month_wise/08_-_August/11/SB-01-05-30_1974-08-11_SB-VRNDAVAN.MP3</t>
  </si>
  <si>
    <t>SB_1-05-30_VRN_1974-08-11_Mahatma_Speaks_in_Krishna%27s_Favor.mp3</t>
  </si>
  <si>
    <t>https://audio.iskcondesiretree.com/01_-_Srila_Prabhupada/01_-_Lectures/01_-_English/02_-_Month_wise/08_-_August/11/SB_1-05-30_VRN_1974-08-11_Mahatma_Speaks_in_Krishna%27s_Favor.mp3</t>
  </si>
  <si>
    <t>SP_BG_07-06_Vrindavan_1974-08-12_Krishna-Our_Personal_Powerhouse.mp3</t>
  </si>
  <si>
    <t>https://audio.iskcondesiretree.com/01_-_Srila_Prabhupada/01_-_Lectures/01_-_English/01_-_Topic_wise/Bhagavad_Gita/Chapter-07/SP_BG_07-06_Vrindavan_1974-08-12_Krishna-Our_Personal_Powerhouse.mp3</t>
  </si>
  <si>
    <t>SP_SB_1-05-31_Vrindavan_1974-08-12.mp3</t>
  </si>
  <si>
    <t>https://audio.iskcondesiretree.com/01_-_Srila_Prabhupada/01_-_Lectures/01_-_English/01_-_Topic_wise/Srimad_Bhagavatam/Canto-01/SP_SB_1-05-31_Vrindavan_1974-08-12.mp3</t>
  </si>
  <si>
    <t>Bg-07-06_1974-08-12_BG-VRNDAVAN.MP3</t>
  </si>
  <si>
    <t>https://audio.iskcondesiretree.com/01_-_Srila_Prabhupada/01_-_Lectures/01_-_English/02_-_Month_wise/08_-_August/12/Bg-07-06_1974-08-12_BG-VRNDAVAN.MP3</t>
  </si>
  <si>
    <t>Bg_07-06_VRN_1974-08-12_Krishna-Our_Personal_Powerhouse.mp3</t>
  </si>
  <si>
    <t>https://audio.iskcondesiretree.com/01_-_Srila_Prabhupada/01_-_Lectures/01_-_English/02_-_Month_wise/08_-_August/12/Bg_07-06_VRN_1974-08-12_Krishna-Our_Personal_Powerhouse.mp3</t>
  </si>
  <si>
    <t>SB-01-05-31_1974-08-12_SB-VRNDAVAN.MP3</t>
  </si>
  <si>
    <t>https://audio.iskcondesiretree.com/01_-_Srila_Prabhupada/01_-_Lectures/01_-_English/02_-_Month_wise/08_-_August/12/SB-01-05-31_1974-08-12_SB-VRNDAVAN.MP3</t>
  </si>
  <si>
    <t>SP_BG_07-07_Vrindavan_1974-08-13_Everything_Is_Resting_On_Krishna.mp3</t>
  </si>
  <si>
    <t>https://audio.iskcondesiretree.com/01_-_Srila_Prabhupada/01_-_Lectures/01_-_English/01_-_Topic_wise/Bhagavad_Gita/Chapter-07/SP_BG_07-07_Vrindavan_1974-08-13_Everything_Is_Resting_On_Krishna.mp3</t>
  </si>
  <si>
    <t>SP_SB_1-05-23_Vrindavan_1974-08-13_See_Whether_Your_Life_Is_Perfect.mp3</t>
  </si>
  <si>
    <t>https://audio.iskcondesiretree.com/01_-_Srila_Prabhupada/01_-_Lectures/01_-_English/01_-_Topic_wise/Srimad_Bhagavatam/Canto-01/SP_SB_1-05-23_Vrindavan_1974-08-13_See_Whether_Your_Life_Is_Perfect.mp3</t>
  </si>
  <si>
    <t>Bg-07-07_1974-08-13_BG-VRNDAVAN.MP3</t>
  </si>
  <si>
    <t>https://audio.iskcondesiretree.com/01_-_Srila_Prabhupada/01_-_Lectures/01_-_English/02_-_Month_wise/08_-_August/13/Bg-07-07_1974-08-13_BG-VRNDAVAN.MP3</t>
  </si>
  <si>
    <t>Bg_07-07_VRN_1974-08-13_Everything_Is_Resting_On_Krishna.mp3</t>
  </si>
  <si>
    <t>https://audio.iskcondesiretree.com/01_-_Srila_Prabhupada/01_-_Lectures/01_-_English/02_-_Month_wise/08_-_August/13/Bg_07-07_VRN_1974-08-13_Everything_Is_Resting_On_Krishna.mp3</t>
  </si>
  <si>
    <t>SB-01-05-32_1974-08-13_SB-VRNDAVAN.MP3</t>
  </si>
  <si>
    <t>https://audio.iskcondesiretree.com/01_-_Srila_Prabhupada/01_-_Lectures/01_-_English/02_-_Month_wise/08_-_August/13/SB-01-05-32_1974-08-13_SB-VRNDAVAN.MP3</t>
  </si>
  <si>
    <t>SB_1-05-23_VRN_1974-08-13_See_Whether_Your_Life_Is_Perfect.mp3</t>
  </si>
  <si>
    <t>https://audio.iskcondesiretree.com/01_-_Srila_Prabhupada/01_-_Lectures/01_-_English/02_-_Month_wise/08_-_August/13/SB_1-05-23_VRN_1974-08-13_See_Whether_Your_Life_Is_Perfect.mp3</t>
  </si>
  <si>
    <t>SP_SB_1-05-33_Vrindavan_1974-08-14_Lower_Planets_or_Liberation.mp3</t>
  </si>
  <si>
    <t>https://audio.iskcondesiretree.com/01_-_Srila_Prabhupada/01_-_Lectures/01_-_English/01_-_Topic_wise/Srimad_Bhagavatam/Canto-01/SP_SB_1-05-33_Vrindavan_1974-08-14_Lower_Planets_or_Liberation.mp3</t>
  </si>
  <si>
    <t>SB-01-05-33_1974-08-14_SB-VRNDAVAN.MP3</t>
  </si>
  <si>
    <t>https://audio.iskcondesiretree.com/01_-_Srila_Prabhupada/01_-_Lectures/01_-_English/02_-_Month_wise/08_-_August/14/SB-01-05-33_1974-08-14_SB-VRNDAVAN.MP3</t>
  </si>
  <si>
    <t>SB_1-05-33_VRN_1974-08-14_Lower_Planets_or_Liberation.mp3</t>
  </si>
  <si>
    <t>https://audio.iskcondesiretree.com/01_-_Srila_Prabhupada/01_-_Lectures/01_-_English/02_-_Month_wise/08_-_August/14/SB_1-05-33_VRN_1974-08-14_Lower_Planets_or_Liberation.mp3</t>
  </si>
  <si>
    <t>SP_BG_07-09_Vrindavan_1974-08-15_Transcendental_%27Nature_Study%27.mp3</t>
  </si>
  <si>
    <t>https://audio.iskcondesiretree.com/01_-_Srila_Prabhupada/01_-_Lectures/01_-_English/01_-_Topic_wise/Bhagavad_Gita/Chapter-07/SP_BG_07-09_Vrindavan_1974-08-15_Transcendental_%27Nature_Study%27.mp3</t>
  </si>
  <si>
    <t>Bg-07-09_1974-08-15_BG-VRNDAVAN.MP3</t>
  </si>
  <si>
    <t>https://audio.iskcondesiretree.com/01_-_Srila_Prabhupada/01_-_Lectures/01_-_English/02_-_Month_wise/08_-_August/15/Bg-07-09_1974-08-15_BG-VRNDAVAN.MP3</t>
  </si>
  <si>
    <t>Bg_07-09_VRN_1974-08-15_Transcendental_Nature_Study.mp3</t>
  </si>
  <si>
    <t>https://audio.iskcondesiretree.com/01_-_Srila_Prabhupada/01_-_Lectures/01_-_English/02_-_Month_wise/08_-_August/15/Bg_07-09_VRN_1974-08-15_Transcendental_Nature_Study.mp3</t>
  </si>
  <si>
    <t>SP_BG_07-10_Vrindavan_1974-08-16.mp3</t>
  </si>
  <si>
    <t>https://audio.iskcondesiretree.com/01_-_Srila_Prabhupada/01_-_Lectures/01_-_English/01_-_Topic_wise/Bhagavad_Gita/Chapter-07/SP_BG_07-10_Vrindavan_1974-08-16.mp3</t>
  </si>
  <si>
    <t>SP_SB_1-05-35_Vrindavan_1974-08-16_Krishna-Satisfied_with_Devotees.mp3</t>
  </si>
  <si>
    <t>https://audio.iskcondesiretree.com/01_-_Srila_Prabhupada/01_-_Lectures/01_-_English/01_-_Topic_wise/Srimad_Bhagavatam/Canto-01/SP_SB_1-05-35_Vrindavan_1974-08-16_Krishna-Satisfied_with_Devotees.mp3</t>
  </si>
  <si>
    <t>Bg-07-10_1974-08-16_BG-VRNDAVAN.MP3</t>
  </si>
  <si>
    <t>https://audio.iskcondesiretree.com/01_-_Srila_Prabhupada/01_-_Lectures/01_-_English/02_-_Month_wise/08_-_August/16/Bg-07-10_1974-08-16_BG-VRNDAVAN.MP3</t>
  </si>
  <si>
    <t>SB-01-05-35_1974-08-16_SB-VRNDAVAN.MP3</t>
  </si>
  <si>
    <t>https://audio.iskcondesiretree.com/01_-_Srila_Prabhupada/01_-_Lectures/01_-_English/02_-_Month_wise/08_-_August/16/SB-01-05-35_1974-08-16_SB-VRNDAVAN.MP3</t>
  </si>
  <si>
    <t>SB_1-05-35_VRN_1974-08-16_Krishna-Satisfied_with_Devotees.mp3</t>
  </si>
  <si>
    <t>https://audio.iskcondesiretree.com/01_-_Srila_Prabhupada/01_-_Lectures/01_-_English/02_-_Month_wise/08_-_August/16/SB_1-05-35_VRN_1974-08-16_Krishna-Satisfied_with_Devotees.mp3</t>
  </si>
  <si>
    <t>SP_SB_1-05-36_Vrindavan_1974-08-17.mp3</t>
  </si>
  <si>
    <t>https://audio.iskcondesiretree.com/01_-_Srila_Prabhupada/01_-_Lectures/01_-_English/01_-_Topic_wise/Srimad_Bhagavatam/Canto-01/SP_SB_1-05-36_Vrindavan_1974-08-17.mp3</t>
  </si>
  <si>
    <t>SB-01-05-36_1974-08-17_SB-VRNDAVAN.MP3</t>
  </si>
  <si>
    <t>https://audio.iskcondesiretree.com/01_-_Srila_Prabhupada/01_-_Lectures/01_-_English/02_-_Month_wise/08_-_August/17/SB-01-05-36_1974-08-17_SB-VRNDAVAN.MP3</t>
  </si>
  <si>
    <t>SP_Ceremony_Speech_Vrindavan_1974-08-18.mp3</t>
  </si>
  <si>
    <t>https://audio.iskcondesiretree.com/01_-_Srila_Prabhupada/01_-_Lectures/01_-_English/01_-_Topic_wise/Various/SP_Ceremony_Speech_Vrindavan_1974-08-18.mp3</t>
  </si>
  <si>
    <t>Speech_1974-08-18_SP-VRNDAVAN.MP3</t>
  </si>
  <si>
    <t>https://audio.iskcondesiretree.com/01_-_Srila_Prabhupada/01_-_Lectures/01_-_English/02_-_Month_wise/08_-_August/18/Speech_1974-08-18_SP-VRNDAVAN.MP3</t>
  </si>
  <si>
    <t>SP_Garden_Conversation_Vrindavan_1974-09-10.mp3</t>
  </si>
  <si>
    <t>https://audio.iskcondesiretree.com/01_-_Srila_Prabhupada/01_-_Lectures/01_-_English/01_-_Topic_wise/Various/SP_Garden_Conversation_Vrindavan_1974-09-10.mp3</t>
  </si>
  <si>
    <t>Conv_1974-09-10_GC-VRNDAVAN.MP3</t>
  </si>
  <si>
    <t>https://audio.iskcondesiretree.com/01_-_Srila_Prabhupada/01_-_Lectures/01_-_English/02_-_Month_wise/09_-_September/10/Conv_1974-09-10_GC-VRNDAVAN.MP3</t>
  </si>
  <si>
    <t>Walk_1974-09-10_MW-VRNDAVAN.MP3</t>
  </si>
  <si>
    <t>https://audio.iskcondesiretree.com/01_-_Srila_Prabhupada/01_-_Lectures/01_-_English/02_-_Month_wise/09_-_September/10/Walk_1974-09-10_MW-VRNDAVAN.MP3</t>
  </si>
  <si>
    <t>SP_Garden_Conversation_Vrindavan_1974-09-11.mp3</t>
  </si>
  <si>
    <t>https://audio.iskcondesiretree.com/01_-_Srila_Prabhupada/01_-_Lectures/01_-_English/01_-_Topic_wise/Various/SP_Garden_Conversation_Vrindavan_1974-09-11.mp3</t>
  </si>
  <si>
    <t>Conv_1974-09-11_GC-VRNDAVAN.MP3</t>
  </si>
  <si>
    <t>https://audio.iskcondesiretree.com/01_-_Srila_Prabhupada/01_-_Lectures/01_-_English/02_-_Month_wise/09_-_September/11/Conv_1974-09-11_GC-VRNDAVAN.MP3</t>
  </si>
  <si>
    <t>SP_BG_13-26_Delhi_1974-09-22.mp3</t>
  </si>
  <si>
    <t>https://audio.iskcondesiretree.com/01_-_Srila_Prabhupada/01_-_Lectures/01_-_English/01_-_Topic_wise/Bhagavad_Gita/Chapter-13/SP_BG_13-26_Delhi_1974-09-22.mp3</t>
  </si>
  <si>
    <t>Bg-13-26_1974-09-22_BG-DELHI.MP3</t>
  </si>
  <si>
    <t>https://audio.iskcondesiretree.com/01_-_Srila_Prabhupada/01_-_Lectures/01_-_English/02_-_Month_wise/09_-_September/22/Bg-13-26_1974-09-22_BG-DELHI.MP3</t>
  </si>
  <si>
    <t>SP_BG_04-10_Calcutta_1974-09-23_The_World_Is_a_Foreign_Country.mp3</t>
  </si>
  <si>
    <t>https://audio.iskcondesiretree.com/01_-_Srila_Prabhupada/01_-_Lectures/01_-_English/01_-_Topic_wise/Bhagavad_Gita/Chapter-04/SP_BG_04-10_Calcutta_1974-09-23_The_World_Is_a_Foreign_Country.mp3</t>
  </si>
  <si>
    <t>Bg-04-10_1974-09-23_BG-CALCUTTA.MP3</t>
  </si>
  <si>
    <t>https://audio.iskcondesiretree.com/01_-_Srila_Prabhupada/01_-_Lectures/01_-_English/02_-_Month_wise/09_-_September/23/Bg-04-10_1974-09-23_BG-CALCUTTA.MP3</t>
  </si>
  <si>
    <t>Bg_04-10_CAL_1974-09-23_The_World_Is_a_Foreign_Country.mp3</t>
  </si>
  <si>
    <t>https://audio.iskcondesiretree.com/01_-_Srila_Prabhupada/01_-_Lectures/01_-_English/02_-_Month_wise/09_-_September/23/Bg_04-10_CAL_1974-09-23_The_World_Is_a_Foreign_Country.mp3</t>
  </si>
  <si>
    <t>Radhastami_1974-09-23_BG-CALCUTTA.MP3</t>
  </si>
  <si>
    <t>https://audio.iskcondesiretree.com/01_-_Srila_Prabhupada/01_-_Lectures/01_-_English/02_-_Month_wise/09_-_September/23/Radhastami_1974-09-23_BG-CALCUTTA.MP3</t>
  </si>
  <si>
    <t>SP_SB_1-02-18_Calcutta_1974-09-26_Hear_Krishna%27s_Glories-Be_Cleansed.mp3</t>
  </si>
  <si>
    <t>https://audio.iskcondesiretree.com/01_-_Srila_Prabhupada/01_-_Lectures/01_-_English/01_-_Topic_wise/Srimad_Bhagavatam/Canto-01/SP_SB_1-02-18_Calcutta_1974-09-26_Hear_Krishna%27s_Glories-Be_Cleansed.mp3</t>
  </si>
  <si>
    <t>SB-01-02-18_1974-09-26_SB-CALCUTTA.MP3</t>
  </si>
  <si>
    <t>https://audio.iskcondesiretree.com/01_-_Srila_Prabhupada/01_-_Lectures/01_-_English/02_-_Month_wise/09_-_September/26/SB-01-02-18_1974-09-26_SB-CALCUTTA.MP3</t>
  </si>
  <si>
    <t>SB_1-02-18_CAL_1974-09-26_Hear_Krishna%27s_Glories-Be_Cleansed.mp3</t>
  </si>
  <si>
    <t>https://audio.iskcondesiretree.com/01_-_Srila_Prabhupada/01_-_Lectures/01_-_English/02_-_Month_wise/09_-_September/26/SB_1-02-18_CAL_1974-09-26_Hear_Krishna%27s_Glories-Be_Cleansed.mp3</t>
  </si>
  <si>
    <t>SP_Arrival_Mayapur_1974-09-27_This_Mission_Will_Be_Successful.mp3</t>
  </si>
  <si>
    <t>https://audio.iskcondesiretree.com/01_-_Srila_Prabhupada/01_-_Lectures/01_-_English/01_-_Topic_wise/Arrival_Address/SP_Arrival_Mayapur_1974-09-27_This_Mission_Will_Be_Successful.mp3</t>
  </si>
  <si>
    <t>SP_SB_1-02-19_Calcutta_1974-09-27_Understanding-Krishna%27s_Mercy.mp3</t>
  </si>
  <si>
    <t>https://audio.iskcondesiretree.com/01_-_Srila_Prabhupada/01_-_Lectures/01_-_English/01_-_Topic_wise/Srimad_Bhagavatam/Canto-01/SP_SB_1-02-19_Calcutta_1974-09-27_Understanding-Krishna%27s_Mercy.mp3</t>
  </si>
  <si>
    <t>Arr_MAY_1974-09-27_This_Mission_Will_Be_Successful.mp3</t>
  </si>
  <si>
    <t>https://audio.iskcondesiretree.com/01_-_Srila_Prabhupada/01_-_Lectures/01_-_English/02_-_Month_wise/09_-_September/27/Arr_MAY_1974-09-27_This_Mission_Will_Be_Successful.mp3</t>
  </si>
  <si>
    <t>Arrival_1974-09-27_AR-MAYAPUR.MP3</t>
  </si>
  <si>
    <t>https://audio.iskcondesiretree.com/01_-_Srila_Prabhupada/01_-_Lectures/01_-_English/02_-_Month_wise/09_-_September/27/Arrival_1974-09-27_AR-MAYAPUR.MP3</t>
  </si>
  <si>
    <t>SB-01-02-19_1974-09-27_SB-CALCUTTA.MP3</t>
  </si>
  <si>
    <t>https://audio.iskcondesiretree.com/01_-_Srila_Prabhupada/01_-_Lectures/01_-_English/02_-_Month_wise/09_-_September/27/SB-01-02-19_1974-09-27_SB-CALCUTTA.MP3</t>
  </si>
  <si>
    <t>SB_1-02-19_CAL_1974-09-27_Understanding-Krishna%27s_Mercy.mp3</t>
  </si>
  <si>
    <t>https://audio.iskcondesiretree.com/01_-_Srila_Prabhupada/01_-_Lectures/01_-_English/02_-_Month_wise/09_-_September/27/SB_1-02-19_CAL_1974-09-27_Understanding-Krishna%27s_Mercy.mp3</t>
  </si>
  <si>
    <t>SP_SB_1-08-18_Mayapur_1974-09-28_%27Democracy%27_vs._Divine_Rule.mp3</t>
  </si>
  <si>
    <t>https://audio.iskcondesiretree.com/01_-_Srila_Prabhupada/01_-_Lectures/01_-_English/01_-_Topic_wise/Srimad_Bhagavatam/Canto-01/SP_SB_1-08-18_Mayapur_1974-09-28_%27Democracy%27_vs._Divine_Rule.mp3</t>
  </si>
  <si>
    <t>SB-01-08-18_1974-09-28_SB-MAYAPUR.MP3</t>
  </si>
  <si>
    <t>https://audio.iskcondesiretree.com/01_-_Srila_Prabhupada/01_-_Lectures/01_-_English/02_-_Month_wise/09_-_September/28/SB-01-08-18_1974-09-28_SB-MAYAPUR.MP3</t>
  </si>
  <si>
    <t>SB_1-08-18_MAY_1974-09-28_Democracy_vs_Divine_Rule.mp3</t>
  </si>
  <si>
    <t>https://audio.iskcondesiretree.com/01_-_Srila_Prabhupada/01_-_Lectures/01_-_English/02_-_Month_wise/09_-_September/28/SB_1-08-18_MAY_1974-09-28_Democracy_vs_Divine_Rule.mp3</t>
  </si>
  <si>
    <t>SP_SB_1-08-19_Mayapur_1974-09-29_We_Came_Here_to_Pass_Stool.mp3</t>
  </si>
  <si>
    <t>https://audio.iskcondesiretree.com/01_-_Srila_Prabhupada/01_-_Lectures/01_-_English/01_-_Topic_wise/Srimad_Bhagavatam/Canto-01/SP_SB_1-08-19_Mayapur_1974-09-29_We_Came_Here_to_Pass_Stool.mp3</t>
  </si>
  <si>
    <t>Lecture%E2%80%93Bengali_1974-09-29_LE-MAYAPUR.MP3</t>
  </si>
  <si>
    <t>https://audio.iskcondesiretree.com/01_-_Srila_Prabhupada/01_-_Lectures/01_-_English/02_-_Month_wise/09_-_September/29/Lecture%E2%80%93Bengali_1974-09-29_LE-MAYAPUR.MP3</t>
  </si>
  <si>
    <t>SB-01-08-19_1974-09-29_SB-MAYAPUR.MP3</t>
  </si>
  <si>
    <t>https://audio.iskcondesiretree.com/01_-_Srila_Prabhupada/01_-_Lectures/01_-_English/02_-_Month_wise/09_-_September/29/SB-01-08-19_1974-09-29_SB-MAYAPUR.MP3</t>
  </si>
  <si>
    <t>SB_1-08-19_MAY_1974-09-29_We_Came_Here_to_Pass_Stool.mp3</t>
  </si>
  <si>
    <t>https://audio.iskcondesiretree.com/01_-_Srila_Prabhupada/01_-_Lectures/01_-_English/02_-_Month_wise/09_-_September/29/SB_1-08-19_MAY_1974-09-29_We_Came_Here_to_Pass_Stool.mp3</t>
  </si>
  <si>
    <t>SP_SB_1-08-20_Mayapur_1974-09-30_To_Be_Understood_by_Anyone.mp3</t>
  </si>
  <si>
    <t>https://audio.iskcondesiretree.com/01_-_Srila_Prabhupada/01_-_Lectures/01_-_English/01_-_Topic_wise/Srimad_Bhagavatam/Canto-01/SP_SB_1-08-20_Mayapur_1974-09-30_To_Be_Understood_by_Anyone.mp3</t>
  </si>
  <si>
    <t>SB-01-08-20_1974-09-30_SB-MAYAPUR.MP3</t>
  </si>
  <si>
    <t>https://audio.iskcondesiretree.com/01_-_Srila_Prabhupada/01_-_Lectures/01_-_English/02_-_Month_wise/09_-_September/30/SB-01-08-20_1974-09-30_SB-MAYAPUR.MP3</t>
  </si>
  <si>
    <t>SB_1-08-20_MAY_1974-09-30_To_Be_Understood_by_Anyone.mp3</t>
  </si>
  <si>
    <t>https://audio.iskcondesiretree.com/01_-_Srila_Prabhupada/01_-_Lectures/01_-_English/02_-_Month_wise/09_-_September/30/SB_1-08-20_MAY_1974-09-30_To_Be_Understood_by_Anyone.mp3</t>
  </si>
  <si>
    <t>SP_SB_1-08-21_Mayapur_1974-10-01_The_Krishna_Connection.mp3</t>
  </si>
  <si>
    <t>https://audio.iskcondesiretree.com/01_-_Srila_Prabhupada/01_-_Lectures/01_-_English/01_-_Topic_wise/Srimad_Bhagavatam/Canto-01/SP_SB_1-08-21_Mayapur_1974-10-01_The_Krishna_Connection.mp3</t>
  </si>
  <si>
    <t>SB-01-08-21_1974-10-01_SB-MAYAPUR.MP3</t>
  </si>
  <si>
    <t>https://audio.iskcondesiretree.com/01_-_Srila_Prabhupada/01_-_Lectures/01_-_English/02_-_Month_wise/10_-_October/01/SB-01-08-21_1974-10-01_SB-MAYAPUR.MP3</t>
  </si>
  <si>
    <t>SB_1-08-21_MAY_1974-10-01_The_Krishna_Connection.mp3</t>
  </si>
  <si>
    <t>https://audio.iskcondesiretree.com/01_-_Srila_Prabhupada/01_-_Lectures/01_-_English/02_-_Month_wise/10_-_October/01/SB_1-08-21_MAY_1974-10-01_The_Krishna_Connection.mp3</t>
  </si>
  <si>
    <t>SP_SB_1-08-23_Mayapur_1974-10-03_A_Slip_%27Twixt_the_Cup_and_Lip.mp3</t>
  </si>
  <si>
    <t>https://audio.iskcondesiretree.com/01_-_Srila_Prabhupada/01_-_Lectures/01_-_English/01_-_Topic_wise/Srimad_Bhagavatam/Canto-01/SP_SB_1-08-23_Mayapur_1974-10-03_A_Slip_%27Twixt_the_Cup_and_Lip.mp3</t>
  </si>
  <si>
    <t>Lecture%E2%80%93Bengali_1974-10-03_LE-MAYAPUR.MP3</t>
  </si>
  <si>
    <t>https://audio.iskcondesiretree.com/01_-_Srila_Prabhupada/01_-_Lectures/01_-_English/02_-_Month_wise/10_-_October/03/Lecture%E2%80%93Bengali_1974-10-03_LE-MAYAPUR.MP3</t>
  </si>
  <si>
    <t>SB-01-08-23_1974-10-03_SB-MAYAPUR.MP3</t>
  </si>
  <si>
    <t>https://audio.iskcondesiretree.com/01_-_Srila_Prabhupada/01_-_Lectures/01_-_English/02_-_Month_wise/10_-_October/03/SB-01-08-23_1974-10-03_SB-MAYAPUR.MP3</t>
  </si>
  <si>
    <t>SB_1-08-23_MAY_1974-10-03_A_Slip_Twixt_the_Cup_and_Lip.mp3</t>
  </si>
  <si>
    <t>https://audio.iskcondesiretree.com/01_-_Srila_Prabhupada/01_-_Lectures/01_-_English/02_-_Month_wise/10_-_October/03/SB_1-08-23_MAY_1974-10-03_A_Slip_Twixt_the_Cup_and_Lip.mp3</t>
  </si>
  <si>
    <t>SP_SB_1-08-24_Mayapur_1974-10-04_Always_Expect_Danger.mp3</t>
  </si>
  <si>
    <t>https://audio.iskcondesiretree.com/01_-_Srila_Prabhupada/01_-_Lectures/01_-_English/01_-_Topic_wise/Srimad_Bhagavatam/Canto-01/SP_SB_1-08-24_Mayapur_1974-10-04_Always_Expect_Danger.mp3</t>
  </si>
  <si>
    <t>SB-01-08-24_1974-10-04_SB-MAYAPUR.MP3</t>
  </si>
  <si>
    <t>https://audio.iskcondesiretree.com/01_-_Srila_Prabhupada/01_-_Lectures/01_-_English/02_-_Month_wise/10_-_October/04/SB-01-08-24_1974-10-04_SB-MAYAPUR.MP3</t>
  </si>
  <si>
    <t>SB_1-08-24_MAY_1974-10-04_Always_Expect_Danger.mp3</t>
  </si>
  <si>
    <t>https://audio.iskcondesiretree.com/01_-_Srila_Prabhupada/01_-_Lectures/01_-_English/02_-_Month_wise/10_-_October/04/SB_1-08-24_MAY_1974-10-04_Always_Expect_Danger.mp3</t>
  </si>
  <si>
    <t>SP_SB_1-08-25_Vrindavan_1974-10-05_Reincarnation-Very_Risky.mp3</t>
  </si>
  <si>
    <t>https://audio.iskcondesiretree.com/01_-_Srila_Prabhupada/01_-_Lectures/01_-_English/01_-_Topic_wise/Srimad_Bhagavatam/Canto-01/SP_SB_1-08-25_Vrindavan_1974-10-05_Reincarnation-Very_Risky.mp3</t>
  </si>
  <si>
    <t>SB-01-08-25_1974-10-05_SB-MAYAPUR.MP3</t>
  </si>
  <si>
    <t>https://audio.iskcondesiretree.com/01_-_Srila_Prabhupada/01_-_Lectures/01_-_English/02_-_Month_wise/10_-_October/05/SB-01-08-25_1974-10-05_SB-MAYAPUR.MP3</t>
  </si>
  <si>
    <t>SB_1-08-25_VRN_1974-10-05_Reincarnation-Very_Risky.mp3</t>
  </si>
  <si>
    <t>https://audio.iskcondesiretree.com/01_-_Srila_Prabhupada/01_-_Lectures/01_-_English/02_-_Month_wise/10_-_October/05/SB_1-08-25_VRN_1974-10-05_Reincarnation-Very_Risky.mp3</t>
  </si>
  <si>
    <t>SP_SB_1-08-26_Mayapur_1974-10-06_I%27ve_Got_Something.mp3</t>
  </si>
  <si>
    <t>https://audio.iskcondesiretree.com/01_-_Srila_Prabhupada/01_-_Lectures/01_-_English/01_-_Topic_wise/Srimad_Bhagavatam/Canto-01/SP_SB_1-08-26_Mayapur_1974-10-06_I%27ve_Got_Something.mp3</t>
  </si>
  <si>
    <t>SB-01-08-26_1974-10-06_SB-MAYAPUR.MP3</t>
  </si>
  <si>
    <t>https://audio.iskcondesiretree.com/01_-_Srila_Prabhupada/01_-_Lectures/01_-_English/02_-_Month_wise/10_-_October/06/SB-01-08-26_1974-10-06_SB-MAYAPUR.MP3</t>
  </si>
  <si>
    <t>SB_1-08-26_MAY_1974-10-06_I%27ve_Got_Something.mp3</t>
  </si>
  <si>
    <t>https://audio.iskcondesiretree.com/01_-_Srila_Prabhupada/01_-_Lectures/01_-_English/02_-_Month_wise/10_-_October/06/SB_1-08-26_MAY_1974-10-06_I%27ve_Got_Something.mp3</t>
  </si>
  <si>
    <t>Lecture%E2%80%93Bengali_1974-10-07_LE-MAYAPUR.MP3</t>
  </si>
  <si>
    <t>https://audio.iskcondesiretree.com/01_-_Srila_Prabhupada/01_-_Lectures/01_-_English/02_-_Month_wise/10_-_October/07/Lecture%E2%80%93Bengali_1974-10-07_LE-MAYAPUR.MP3</t>
  </si>
  <si>
    <t>SP_SB_1-08-28_Mayapur_1974-10-08_Don%27t_Be_a_%27Skin_Observer%27.mp3</t>
  </si>
  <si>
    <t>https://audio.iskcondesiretree.com/01_-_Srila_Prabhupada/01_-_Lectures/01_-_English/01_-_Topic_wise/Srimad_Bhagavatam/Canto-01/SP_SB_1-08-28_Mayapur_1974-10-08_Don%27t_Be_a_%27Skin_Observer%27.mp3</t>
  </si>
  <si>
    <t>SB-01-08-28_1974-10-08_SB-MAYAPUR.MP3</t>
  </si>
  <si>
    <t>https://audio.iskcondesiretree.com/01_-_Srila_Prabhupada/01_-_Lectures/01_-_English/02_-_Month_wise/10_-_October/08/SB-01-08-28_1974-10-08_SB-MAYAPUR.MP3</t>
  </si>
  <si>
    <t>SB_1-08-28_MAY_1974-10-08_Don%27t_Be_a_Skin_Observer.mp3</t>
  </si>
  <si>
    <t>https://audio.iskcondesiretree.com/01_-_Srila_Prabhupada/01_-_Lectures/01_-_English/02_-_Month_wise/10_-_October/08/SB_1-08-28_MAY_1974-10-08_Don%27t_Be_a_Skin_Observer.mp3</t>
  </si>
  <si>
    <t>SP_SB_1-08-29_Mayapur_1974-10-09_Krishna%27s_Loving_Impartiality.mp3</t>
  </si>
  <si>
    <t>https://audio.iskcondesiretree.com/01_-_Srila_Prabhupada/01_-_Lectures/01_-_English/01_-_Topic_wise/Srimad_Bhagavatam/Canto-01/SP_SB_1-08-29_Mayapur_1974-10-09_Krishna%27s_Loving_Impartiality.mp3</t>
  </si>
  <si>
    <t>SB-01-08-29_1974-10-09_SB-MAYAPUR.MP3</t>
  </si>
  <si>
    <t>https://audio.iskcondesiretree.com/01_-_Srila_Prabhupada/01_-_Lectures/01_-_English/02_-_Month_wise/10_-_October/09/SB-01-08-29_1974-10-09_SB-MAYAPUR.MP3</t>
  </si>
  <si>
    <t>SB_1-08-29_MAY_1974-10-09_Krishna%27s_Loving_Impartiality.mp3</t>
  </si>
  <si>
    <t>https://audio.iskcondesiretree.com/01_-_Srila_Prabhupada/01_-_Lectures/01_-_English/02_-_Month_wise/10_-_October/09/SB_1-08-29_MAY_1974-10-09_Krishna%27s_Loving_Impartiality.mp3</t>
  </si>
  <si>
    <t>SP_SB_1-08-30_Mayapur_1974-10-10_Krishna%27s_Active_Inactivity.mp3</t>
  </si>
  <si>
    <t>https://audio.iskcondesiretree.com/01_-_Srila_Prabhupada/01_-_Lectures/01_-_English/01_-_Topic_wise/Srimad_Bhagavatam/Canto-01/SP_SB_1-08-30_Mayapur_1974-10-10_Krishna%27s_Active_Inactivity.mp3</t>
  </si>
  <si>
    <t>SB-01-08-30_1974-10-10_SB-MAYAPUR.MP3</t>
  </si>
  <si>
    <t>https://audio.iskcondesiretree.com/01_-_Srila_Prabhupada/01_-_Lectures/01_-_English/02_-_Month_wise/10_-_October/10/SB-01-08-30_1974-10-10_SB-MAYAPUR.MP3</t>
  </si>
  <si>
    <t>SB_1-08-30_MAY_1974-10-10_Krishna%27s_Active_Inactivity.mp3</t>
  </si>
  <si>
    <t>https://audio.iskcondesiretree.com/01_-_Srila_Prabhupada/01_-_Lectures/01_-_English/02_-_Month_wise/10_-_October/10/SB_1-08-30_MAY_1974-10-10_Krishna%27s_Active_Inactivity.mp3</t>
  </si>
  <si>
    <t>SP_SB_1-08-31_Mayapur_1974-10-11_A_Devotee_Likes_to_Be--etc.mp3</t>
  </si>
  <si>
    <t>https://audio.iskcondesiretree.com/01_-_Srila_Prabhupada/01_-_Lectures/01_-_English/01_-_Topic_wise/Srimad_Bhagavatam/Canto-01/SP_SB_1-08-31_Mayapur_1974-10-11_A_Devotee_Likes_to_Be--etc.mp3</t>
  </si>
  <si>
    <t>SB-01-08-31_1974-10-11_SB-MAYAPUR.MP3</t>
  </si>
  <si>
    <t>https://audio.iskcondesiretree.com/01_-_Srila_Prabhupada/01_-_Lectures/01_-_English/02_-_Month_wise/10_-_October/11/SB-01-08-31_1974-10-11_SB-MAYAPUR.MP3</t>
  </si>
  <si>
    <t>SB_1-08-31_MAY_1974-10-11_A_Devotee_Likes_to_Be_etc.mp3</t>
  </si>
  <si>
    <t>https://audio.iskcondesiretree.com/01_-_Srila_Prabhupada/01_-_Lectures/01_-_English/02_-_Month_wise/10_-_October/11/SB_1-08-31_MAY_1974-10-11_A_Devotee_Likes_to_Be_etc.mp3</t>
  </si>
  <si>
    <t>SP_SB_1-08-32_Mayapur_1974-10-12_Become_Dear_to_Krishna.mp3</t>
  </si>
  <si>
    <t>https://audio.iskcondesiretree.com/01_-_Srila_Prabhupada/01_-_Lectures/01_-_English/01_-_Topic_wise/Srimad_Bhagavatam/Canto-01/SP_SB_1-08-32_Mayapur_1974-10-12_Become_Dear_to_Krishna.mp3</t>
  </si>
  <si>
    <t>SB-01-08-32_1974-10-12_SB-MAYAPUR.MP3</t>
  </si>
  <si>
    <t>https://audio.iskcondesiretree.com/01_-_Srila_Prabhupada/01_-_Lectures/01_-_English/02_-_Month_wise/10_-_October/12/SB-01-08-32_1974-10-12_SB-MAYAPUR.MP3</t>
  </si>
  <si>
    <t>SB_1-08-32_MAY_1974-10-12_Become_Dear_to_Krishna.mp3</t>
  </si>
  <si>
    <t>https://audio.iskcondesiretree.com/01_-_Srila_Prabhupada/01_-_Lectures/01_-_English/02_-_Month_wise/10_-_October/12/SB_1-08-32_MAY_1974-10-12_Become_Dear_to_Krishna.mp3</t>
  </si>
  <si>
    <t>SP_SB_1-08-33_Mayapur_1974-10-13_The_Whole_Thing_in_One_Word.mp3</t>
  </si>
  <si>
    <t>https://audio.iskcondesiretree.com/01_-_Srila_Prabhupada/01_-_Lectures/01_-_English/01_-_Topic_wise/Srimad_Bhagavatam/Canto-01/SP_SB_1-08-33_Mayapur_1974-10-13_The_Whole_Thing_in_One_Word.mp3</t>
  </si>
  <si>
    <t>SB-01-08-33_1974-10-13_SB-MAYAPUR.MP3</t>
  </si>
  <si>
    <t>https://audio.iskcondesiretree.com/01_-_Srila_Prabhupada/01_-_Lectures/01_-_English/02_-_Month_wise/10_-_October/13/SB-01-08-33_1974-10-13_SB-MAYAPUR.MP3</t>
  </si>
  <si>
    <t>SB_1-08-33_MAY_1974-10-13_The_Whole_Thing_in_One_Word.mp3</t>
  </si>
  <si>
    <t>https://audio.iskcondesiretree.com/01_-_Srila_Prabhupada/01_-_Lectures/01_-_English/02_-_Month_wise/10_-_October/13/SB_1-08-33_MAY_1974-10-13_The_Whole_Thing_in_One_Word.mp3</t>
  </si>
  <si>
    <t>SP_SB_1-08-34_Mayapur_1974-10-14_Relief_from_Unbearable_Burdens.mp3</t>
  </si>
  <si>
    <t>https://audio.iskcondesiretree.com/01_-_Srila_Prabhupada/01_-_Lectures/01_-_English/01_-_Topic_wise/Srimad_Bhagavatam/Canto-01/SP_SB_1-08-34_Mayapur_1974-10-14_Relief_from_Unbearable_Burdens.mp3</t>
  </si>
  <si>
    <t>SB-01-08-34_1974-10-14_SB-MAYAPUR.MP3</t>
  </si>
  <si>
    <t>https://audio.iskcondesiretree.com/01_-_Srila_Prabhupada/01_-_Lectures/01_-_English/02_-_Month_wise/10_-_October/14/SB-01-08-34_1974-10-14_SB-MAYAPUR.MP3</t>
  </si>
  <si>
    <t>SB_1-08-34_MAY_1974-10-14_Relief_from_Unbearable_Burdens.mp3</t>
  </si>
  <si>
    <t>https://audio.iskcondesiretree.com/01_-_Srila_Prabhupada/01_-_Lectures/01_-_English/02_-_Month_wise/10_-_October/14/SB_1-08-34_MAY_1974-10-14_Relief_from_Unbearable_Burdens.mp3</t>
  </si>
  <si>
    <t>SP_SB_1-08-35_Mayapur_1974-10-15_Rascal_Surrender.mp3</t>
  </si>
  <si>
    <t>https://audio.iskcondesiretree.com/01_-_Srila_Prabhupada/01_-_Lectures/01_-_English/01_-_Topic_wise/Srimad_Bhagavatam/Canto-01/SP_SB_1-08-35_Mayapur_1974-10-15_Rascal_Surrender.mp3</t>
  </si>
  <si>
    <t>Lecture%E2%80%93Bengali_1974-10-15_LE-MAYAPUR.MP3</t>
  </si>
  <si>
    <t>https://audio.iskcondesiretree.com/01_-_Srila_Prabhupada/01_-_Lectures/01_-_English/02_-_Month_wise/10_-_October/15/Lecture%E2%80%93Bengali_1974-10-15_LE-MAYAPUR.MP3</t>
  </si>
  <si>
    <t>SB-01-08-35_1974-10-15_SB-MAYAPUR.MP3</t>
  </si>
  <si>
    <t>https://audio.iskcondesiretree.com/01_-_Srila_Prabhupada/01_-_Lectures/01_-_English/02_-_Month_wise/10_-_October/15/SB-01-08-35_1974-10-15_SB-MAYAPUR.MP3</t>
  </si>
  <si>
    <t>SB_1-08-35_MAY_1974-10-15_Rascal_Surrender.mp3</t>
  </si>
  <si>
    <t>https://audio.iskcondesiretree.com/01_-_Srila_Prabhupada/01_-_Lectures/01_-_English/02_-_Month_wise/10_-_October/15/SB_1-08-35_MAY_1974-10-15_Rascal_Surrender.mp3</t>
  </si>
  <si>
    <t>SP_SB_1-08-36_Mayapur_1974-10-16_Senses_On_Strike.mp3</t>
  </si>
  <si>
    <t>https://audio.iskcondesiretree.com/01_-_Srila_Prabhupada/01_-_Lectures/01_-_English/01_-_Topic_wise/Srimad_Bhagavatam/Canto-01/SP_SB_1-08-36_Mayapur_1974-10-16_Senses_On_Strike.mp3</t>
  </si>
  <si>
    <t>Lecture%E2%80%93Bengali_1974-10-16_LE-MAYAPUR.MP3</t>
  </si>
  <si>
    <t>https://audio.iskcondesiretree.com/01_-_Srila_Prabhupada/01_-_Lectures/01_-_English/02_-_Month_wise/10_-_October/16/Lecture%E2%80%93Bengali_1974-10-16_LE-MAYAPUR.MP3</t>
  </si>
  <si>
    <t>SB-01-08-36_1974-10-16_SB-MAYAPUR.MP3</t>
  </si>
  <si>
    <t>https://audio.iskcondesiretree.com/01_-_Srila_Prabhupada/01_-_Lectures/01_-_English/02_-_Month_wise/10_-_October/16/SB-01-08-36_1974-10-16_SB-MAYAPUR.MP3</t>
  </si>
  <si>
    <t>SB_1-08-36_MAY_1974-10-16_Senses_On_Strike.mp3</t>
  </si>
  <si>
    <t>https://audio.iskcondesiretree.com/01_-_Srila_Prabhupada/01_-_Lectures/01_-_English/02_-_Month_wise/10_-_October/16/SB_1-08-36_MAY_1974-10-16_Senses_On_Strike.mp3</t>
  </si>
  <si>
    <t>SP_SB_1-08-39_Mayapur_1974-10-19_Keep_Krishna_Here.mp3</t>
  </si>
  <si>
    <t>https://audio.iskcondesiretree.com/01_-_Srila_Prabhupada/01_-_Lectures/01_-_English/01_-_Topic_wise/Srimad_Bhagavatam/Canto-01/SP_SB_1-08-39_Mayapur_1974-10-19_Keep_Krishna_Here.mp3</t>
  </si>
  <si>
    <t>SB-01-08-39_1974-10-19_SB-MAYAPUR.MP3</t>
  </si>
  <si>
    <t>https://audio.iskcondesiretree.com/01_-_Srila_Prabhupada/01_-_Lectures/01_-_English/02_-_Month_wise/10_-_October/19/SB-01-08-39_1974-10-19_SB-MAYAPUR.MP3</t>
  </si>
  <si>
    <t>SB_1-08-39_MAY_1974-10-19_Keep_Krishna_Here.mp3</t>
  </si>
  <si>
    <t>https://audio.iskcondesiretree.com/01_-_Srila_Prabhupada/01_-_Lectures/01_-_English/02_-_Month_wise/10_-_October/19/SB_1-08-39_MAY_1974-10-19_Keep_Krishna_Here.mp3</t>
  </si>
  <si>
    <t>SP_SB_1-08-40_Mayapur_1974-10-20_Modern_Inventions_Make_Hell.mp3</t>
  </si>
  <si>
    <t>https://audio.iskcondesiretree.com/01_-_Srila_Prabhupada/01_-_Lectures/01_-_English/01_-_Topic_wise/Srimad_Bhagavatam/Canto-01/SP_SB_1-08-40_Mayapur_1974-10-20_Modern_Inventions_Make_Hell.mp3</t>
  </si>
  <si>
    <t>SB-01-08-40_1974-10-20_SB-MAYAPUR.MP3</t>
  </si>
  <si>
    <t>https://audio.iskcondesiretree.com/01_-_Srila_Prabhupada/01_-_Lectures/01_-_English/02_-_Month_wise/10_-_October/20/SB-01-08-40_1974-10-20_SB-MAYAPUR.MP3</t>
  </si>
  <si>
    <t>SB_1-08-40_MAY_1974-10-20_Modern_Inventions_Make_Hell.mp3</t>
  </si>
  <si>
    <t>https://audio.iskcondesiretree.com/01_-_Srila_Prabhupada/01_-_Lectures/01_-_English/02_-_Month_wise/10_-_October/20/SB_1-08-40_MAY_1974-10-20_Modern_Inventions_Make_Hell.mp3</t>
  </si>
  <si>
    <t>SP_SB_1-08-41_Mayapur_1974-10-21_The_Ropes_of_Affection.mp3</t>
  </si>
  <si>
    <t>https://audio.iskcondesiretree.com/01_-_Srila_Prabhupada/01_-_Lectures/01_-_English/01_-_Topic_wise/Srimad_Bhagavatam/Canto-01/SP_SB_1-08-41_Mayapur_1974-10-21_The_Ropes_of_Affection.mp3</t>
  </si>
  <si>
    <t>SB-01-08-41_1974-10-21_SB-MAYAPUR.MP3</t>
  </si>
  <si>
    <t>https://audio.iskcondesiretree.com/01_-_Srila_Prabhupada/01_-_Lectures/01_-_English/02_-_Month_wise/10_-_October/21/SB-01-08-41_1974-10-21_SB-MAYAPUR.MP3</t>
  </si>
  <si>
    <t>SB_1-08-41_MAY_1974-10-21_The_Ropes_of_Affection.mp3</t>
  </si>
  <si>
    <t>https://audio.iskcondesiretree.com/01_-_Srila_Prabhupada/01_-_Lectures/01_-_English/02_-_Month_wise/10_-_October/21/SB_1-08-41_MAY_1974-10-21_The_Ropes_of_Affection.mp3</t>
  </si>
  <si>
    <t>SP_SB_1-08-42_Mayapur_1974-10-22_The_Psychology_of_the_Eternal.mp3</t>
  </si>
  <si>
    <t>https://audio.iskcondesiretree.com/01_-_Srila_Prabhupada/01_-_Lectures/01_-_English/01_-_Topic_wise/Srimad_Bhagavatam/Canto-01/SP_SB_1-08-42_Mayapur_1974-10-22_The_Psychology_of_the_Eternal.mp3</t>
  </si>
  <si>
    <t>SB-01-08-42_1974-10-22_SB-MAYAPUR.MP3</t>
  </si>
  <si>
    <t>https://audio.iskcondesiretree.com/01_-_Srila_Prabhupada/01_-_Lectures/01_-_English/02_-_Month_wise/10_-_October/22/SB-01-08-42_1974-10-22_SB-MAYAPUR.MP3</t>
  </si>
  <si>
    <t>SB_1-08-42_MAY_1974-10-22_The_Psychology_of_the_Eternal.mp3</t>
  </si>
  <si>
    <t>https://audio.iskcondesiretree.com/01_-_Srila_Prabhupada/01_-_Lectures/01_-_English/02_-_Month_wise/10_-_October/22/SB_1-08-42_MAY_1974-10-22_The_Psychology_of_the_Eternal.mp3</t>
  </si>
  <si>
    <t>SP_SB_1-08-43_Mayapur_1974-10-23_Enter_Krishna%27s_Family.mp3</t>
  </si>
  <si>
    <t>https://audio.iskcondesiretree.com/01_-_Srila_Prabhupada/01_-_Lectures/01_-_English/01_-_Topic_wise/Srimad_Bhagavatam/Canto-01/SP_SB_1-08-43_Mayapur_1974-10-23_Enter_Krishna%27s_Family.mp3</t>
  </si>
  <si>
    <t>SB-01-08-43_1974-10-23_SB-MAYAPUR.MP3</t>
  </si>
  <si>
    <t>https://audio.iskcondesiretree.com/01_-_Srila_Prabhupada/01_-_Lectures/01_-_English/02_-_Month_wise/10_-_October/23/SB-01-08-43_1974-10-23_SB-MAYAPUR.MP3</t>
  </si>
  <si>
    <t>SB_1-08-43_MAY_1974-10-23_Enter_Krishna%27s_Family.mp3</t>
  </si>
  <si>
    <t>https://audio.iskcondesiretree.com/01_-_Srila_Prabhupada/01_-_Lectures/01_-_English/02_-_Month_wise/10_-_October/23/SB_1-08-43_MAY_1974-10-23_Enter_Krishna%27s_Family.mp3</t>
  </si>
  <si>
    <t>SP_SB_1-08-44_Mayapur_1974-10-24_Selected_Words_for_the_Smiling_Lord.mp3</t>
  </si>
  <si>
    <t>https://audio.iskcondesiretree.com/01_-_Srila_Prabhupada/01_-_Lectures/01_-_English/01_-_Topic_wise/Srimad_Bhagavatam/Canto-01/SP_SB_1-08-44_Mayapur_1974-10-24_Selected_Words_for_the_Smiling_Lord.mp3</t>
  </si>
  <si>
    <t>SB-01-08-44_1974-10-24_SB-MAYAPUR.MP3</t>
  </si>
  <si>
    <t>https://audio.iskcondesiretree.com/01_-_Srila_Prabhupada/01_-_Lectures/01_-_English/02_-_Month_wise/10_-_October/24/SB-01-08-44_1974-10-24_SB-MAYAPUR.MP3</t>
  </si>
  <si>
    <t>SB_1-08-44_MAY_1974-10-24_Selected_Words_for_the_Smiling_Lord.mp3</t>
  </si>
  <si>
    <t>https://audio.iskcondesiretree.com/01_-_Srila_Prabhupada/01_-_Lectures/01_-_English/02_-_Month_wise/10_-_October/24/SB_1-08-44_MAY_1974-10-24_Selected_Words_for_the_Smiling_Lord.mp3</t>
  </si>
  <si>
    <t>SP_SB_1-08-45_Mayapur_1974-10-25_Krishna_Wants_to_Be_Controlled.mp3</t>
  </si>
  <si>
    <t>https://audio.iskcondesiretree.com/01_-_Srila_Prabhupada/01_-_Lectures/01_-_English/01_-_Topic_wise/Srimad_Bhagavatam/Canto-01/SP_SB_1-08-45_Mayapur_1974-10-25_Krishna_Wants_to_Be_Controlled.mp3</t>
  </si>
  <si>
    <t>SB-01-08-45_1974-10-25_SB-MAYAPUR.MP3</t>
  </si>
  <si>
    <t>https://audio.iskcondesiretree.com/01_-_Srila_Prabhupada/01_-_Lectures/01_-_English/02_-_Month_wise/10_-_October/25/SB-01-08-45_1974-10-25_SB-MAYAPUR.MP3</t>
  </si>
  <si>
    <t>SB_1-08-45_MAY_1974-10-25_Krishna_Wants_to_Be_Controlled.mp3</t>
  </si>
  <si>
    <t>https://audio.iskcondesiretree.com/01_-_Srila_Prabhupada/01_-_Lectures/01_-_English/02_-_Month_wise/10_-_October/25/SB_1-08-45_MAY_1974-10-25_Krishna_Wants_to_Be_Controlled.mp3</t>
  </si>
  <si>
    <t>SP_SB_1-08-46_Mayapur_1974-10-26_Politics-Me_King_Others_Killed.mp3</t>
  </si>
  <si>
    <t>https://audio.iskcondesiretree.com/01_-_Srila_Prabhupada/01_-_Lectures/01_-_English/01_-_Topic_wise/Srimad_Bhagavatam/Canto-01/SP_SB_1-08-46_Mayapur_1974-10-26_Politics-Me_King_Others_Killed.mp3</t>
  </si>
  <si>
    <t>SB-01-08-46_1974-10-26_SB-MAYAPUR.MP3</t>
  </si>
  <si>
    <t>https://audio.iskcondesiretree.com/01_-_Srila_Prabhupada/01_-_Lectures/01_-_English/02_-_Month_wise/10_-_October/26/SB-01-08-46_1974-10-26_SB-MAYAPUR.MP3</t>
  </si>
  <si>
    <t>SB_1-08-46_MAY_1974-10-26_Politics-Me_King_Others_Killed.mp3</t>
  </si>
  <si>
    <t>https://audio.iskcondesiretree.com/01_-_Srila_Prabhupada/01_-_Lectures/01_-_English/02_-_Month_wise/10_-_October/26/SB_1-08-46_MAY_1974-10-26_Politics-Me_King_Others_Killed.mp3</t>
  </si>
  <si>
    <t>SP_SB_1-08-47_Mayapur_1974-10-27_Material_Affection_Has_New_Orleans_Meaning.mp3</t>
  </si>
  <si>
    <t>https://audio.iskcondesiretree.com/01_-_Srila_Prabhupada/01_-_Lectures/01_-_English/01_-_Topic_wise/Srimad_Bhagavatam/Canto-01/SP_SB_1-08-47_Mayapur_1974-10-27_Material_Affection_Has_New_Orleans_Meaning.mp3</t>
  </si>
  <si>
    <t>SB-01-08-47_1974-10-27_SB-MAYAPUR.MP3</t>
  </si>
  <si>
    <t>https://audio.iskcondesiretree.com/01_-_Srila_Prabhupada/01_-_Lectures/01_-_English/02_-_Month_wise/10_-_October/27/SB-01-08-47_1974-10-27_SB-MAYAPUR.MP3</t>
  </si>
  <si>
    <t>SB_1-08-47_MAY_1974-10-27_Material_Affection_Has_No_Meaning.mp3</t>
  </si>
  <si>
    <t>https://audio.iskcondesiretree.com/01_-_Srila_Prabhupada/01_-_Lectures/01_-_English/02_-_Month_wise/10_-_October/27/SB_1-08-47_MAY_1974-10-27_Material_Affection_Has_No_Meaning.mp3</t>
  </si>
  <si>
    <t>SP_SB_1-08-48_Mayapur_1974-10-28_My_Body_and_I_Belong_to_Krishna.mp3</t>
  </si>
  <si>
    <t>https://audio.iskcondesiretree.com/01_-_Srila_Prabhupada/01_-_Lectures/01_-_English/01_-_Topic_wise/Srimad_Bhagavatam/Canto-01/SP_SB_1-08-48_Mayapur_1974-10-28_My_Body_and_I_Belong_to_Krishna.mp3</t>
  </si>
  <si>
    <t>SB-01-08-48_1974-10-28_SB-MAYAPUR.MP3</t>
  </si>
  <si>
    <t>https://audio.iskcondesiretree.com/01_-_Srila_Prabhupada/01_-_Lectures/01_-_English/02_-_Month_wise/10_-_October/28/SB-01-08-48_1974-10-28_SB-MAYAPUR.MP3</t>
  </si>
  <si>
    <t>SB_1-08-48_MAY_1974-10-28_My_Body_and_I_Belong_to_Krishna.mp3</t>
  </si>
  <si>
    <t>https://audio.iskcondesiretree.com/01_-_Srila_Prabhupada/01_-_Lectures/01_-_English/02_-_Month_wise/10_-_October/28/SB_1-08-48_MAY_1974-10-28_My_Body_and_I_Belong_to_Krishna.mp3</t>
  </si>
  <si>
    <t>SP_SB_1-08-49_Mayapur_1974-10-29_Devotees_Have_New_Orleans_Debts.mp3</t>
  </si>
  <si>
    <t>https://audio.iskcondesiretree.com/01_-_Srila_Prabhupada/01_-_Lectures/01_-_English/01_-_Topic_wise/Srimad_Bhagavatam/Canto-01/SP_SB_1-08-49_Mayapur_1974-10-29_Devotees_Have_New_Orleans_Debts.mp3</t>
  </si>
  <si>
    <t>SB-01-08-49_1974-10-29_SB-MAYAPUR.MP3</t>
  </si>
  <si>
    <t>https://audio.iskcondesiretree.com/01_-_Srila_Prabhupada/01_-_Lectures/01_-_English/02_-_Month_wise/10_-_October/29/SB-01-08-49_1974-10-29_SB-MAYAPUR.MP3</t>
  </si>
  <si>
    <t>SB_1-08-49_MAY_1974-10-29_Devotees_Have_No_Debts.mp3</t>
  </si>
  <si>
    <t>https://audio.iskcondesiretree.com/01_-_Srila_Prabhupada/01_-_Lectures/01_-_English/02_-_Month_wise/10_-_October/29/SB_1-08-49_MAY_1974-10-29_Devotees_Have_No_Debts.mp3</t>
  </si>
  <si>
    <t>SP_SB_3-25-01_Bombay_1974-11-01_Fire_Is_Fire_Gold_Is_Gold--etc.mp3</t>
  </si>
  <si>
    <t>https://audio.iskcondesiretree.com/01_-_Srila_Prabhupada/01_-_Lectures/01_-_English/01_-_Topic_wise/Srimad_Bhagavatam/Canto-03/SP_SB_3-25-01_Bombay_1974-11-01_Fire_Is_Fire_Gold_Is_Gold--etc.mp3</t>
  </si>
  <si>
    <t>SB-03-25-01_1974-11-01_SB-BOMBAY.MP3</t>
  </si>
  <si>
    <t>https://audio.iskcondesiretree.com/01_-_Srila_Prabhupada/01_-_Lectures/01_-_English/02_-_Month_wise/11_-_November/01/SB-03-25-01_1974-11-01_SB-BOMBAY.MP3</t>
  </si>
  <si>
    <t>SB_3-25-01_BOM_1974-11-01_Fire_Is_Fire_Gold_Is_Gold_etc.mp3</t>
  </si>
  <si>
    <t>https://audio.iskcondesiretree.com/01_-_Srila_Prabhupada/01_-_Lectures/01_-_English/02_-_Month_wise/11_-_November/01/SB_3-25-01_BOM_1974-11-01_Fire_Is_Fire_Gold_Is_Gold_etc.mp3</t>
  </si>
  <si>
    <t>SP_SB_3-25-02_Bombay_1974-11-02_Eat_Drink_Be_Merry--%28For--etc.mp3</t>
  </si>
  <si>
    <t>https://audio.iskcondesiretree.com/01_-_Srila_Prabhupada/01_-_Lectures/01_-_English/01_-_Topic_wise/Srimad_Bhagavatam/Canto-03/SP_SB_3-25-02_Bombay_1974-11-02_Eat_Drink_Be_Merry--%28For--etc.mp3</t>
  </si>
  <si>
    <t>SB-03-25-02_1974-11-02_SB-BOMBAY.MP3</t>
  </si>
  <si>
    <t>https://audio.iskcondesiretree.com/01_-_Srila_Prabhupada/01_-_Lectures/01_-_English/02_-_Month_wise/11_-_November/02/SB-03-25-02_1974-11-02_SB-BOMBAY.MP3</t>
  </si>
  <si>
    <t>SB_3-25-02_BOM_1974-11-02_Eat%2C_Drink%2C_Be_Merry_For_etc.mp3</t>
  </si>
  <si>
    <t>https://audio.iskcondesiretree.com/01_-_Srila_Prabhupada/01_-_Lectures/01_-_English/02_-_Month_wise/11_-_November/02/SB_3-25-02_BOM_1974-11-02_Eat%2C_Drink%2C_Be_Merry_For_etc.mp3</t>
  </si>
  <si>
    <t>SP_SB_3-25-03_Bombay_1974-11-03_Krishna_Has_Everything.mp3</t>
  </si>
  <si>
    <t>https://audio.iskcondesiretree.com/01_-_Srila_Prabhupada/01_-_Lectures/01_-_English/01_-_Topic_wise/Srimad_Bhagavatam/Canto-03/SP_SB_3-25-03_Bombay_1974-11-03_Krishna_Has_Everything.mp3</t>
  </si>
  <si>
    <t>SB-03-25-03_1974-11-03_SB-BOMBAY.MP3</t>
  </si>
  <si>
    <t>https://audio.iskcondesiretree.com/01_-_Srila_Prabhupada/01_-_Lectures/01_-_English/02_-_Month_wise/11_-_November/03/SB-03-25-03_1974-11-03_SB-BOMBAY.MP3</t>
  </si>
  <si>
    <t>SB_3-25-03_BOM_1974-11-03_Krishna_Has_Everything.mp3</t>
  </si>
  <si>
    <t>https://audio.iskcondesiretree.com/01_-_Srila_Prabhupada/01_-_Lectures/01_-_English/02_-_Month_wise/11_-_November/03/SB_3-25-03_BOM_1974-11-03_Krishna_Has_Everything.mp3</t>
  </si>
  <si>
    <t>SP_SB_3-25-04_Bombay_1974-11-04_Approach_a_Proper_Guru.mp3</t>
  </si>
  <si>
    <t>https://audio.iskcondesiretree.com/01_-_Srila_Prabhupada/01_-_Lectures/01_-_English/01_-_Topic_wise/Srimad_Bhagavatam/Canto-03/SP_SB_3-25-04_Bombay_1974-11-04_Approach_a_Proper_Guru.mp3</t>
  </si>
  <si>
    <t>SB-03-25-04_1974-11-04_SB-BOMBAY.MP3</t>
  </si>
  <si>
    <t>https://audio.iskcondesiretree.com/01_-_Srila_Prabhupada/01_-_Lectures/01_-_English/02_-_Month_wise/11_-_November/04/SB-03-25-04_1974-11-04_SB-BOMBAY.MP3</t>
  </si>
  <si>
    <t>SB_3-25-04_BOM_1974-11-04_Approach_a_Proper_Guru.mp3</t>
  </si>
  <si>
    <t>https://audio.iskcondesiretree.com/01_-_Srila_Prabhupada/01_-_Lectures/01_-_English/02_-_Month_wise/11_-_November/04/SB_3-25-04_BOM_1974-11-04_Approach_a_Proper_Guru.mp3</t>
  </si>
  <si>
    <t>SP_SB_3-25-05_Bombay_1974-11-05_An_%27Independent%27_Woman--etc.mp3</t>
  </si>
  <si>
    <t>https://audio.iskcondesiretree.com/01_-_Srila_Prabhupada/01_-_Lectures/01_-_English/01_-_Topic_wise/Srimad_Bhagavatam/Canto-03/SP_SB_3-25-05_Bombay_1974-11-05_An_%27Independent%27_Woman--etc.mp3</t>
  </si>
  <si>
    <t>SB-03-25-05%E2%80%9306_1974-11-05_SB-BOMBAY.MP3</t>
  </si>
  <si>
    <t>https://audio.iskcondesiretree.com/01_-_Srila_Prabhupada/01_-_Lectures/01_-_English/02_-_Month_wise/11_-_November/05/SB-03-25-05%E2%80%9306_1974-11-05_SB-BOMBAY.MP3</t>
  </si>
  <si>
    <t>SB_3-25-05_BOM_1974-11-05_An_Independent_Woman_etc.mp3</t>
  </si>
  <si>
    <t>https://audio.iskcondesiretree.com/01_-_Srila_Prabhupada/01_-_Lectures/01_-_English/02_-_Month_wise/11_-_November/05/SB_3-25-05_BOM_1974-11-05_An_Independent_Woman_etc.mp3</t>
  </si>
  <si>
    <t>SP_SB_3-25-07_Bombay_1974-11-07_Sensual_Darkness-Spiritual--etc.mp3</t>
  </si>
  <si>
    <t>https://audio.iskcondesiretree.com/01_-_Srila_Prabhupada/01_-_Lectures/01_-_English/01_-_Topic_wise/Srimad_Bhagavatam/Canto-03/SP_SB_3-25-07_Bombay_1974-11-07_Sensual_Darkness-Spiritual--etc.mp3</t>
  </si>
  <si>
    <t>SB-03-25-07_1974-11-07_SB-BOMBAY.MP3</t>
  </si>
  <si>
    <t>https://audio.iskcondesiretree.com/01_-_Srila_Prabhupada/01_-_Lectures/01_-_English/02_-_Month_wise/11_-_November/07/SB-03-25-07_1974-11-07_SB-BOMBAY.MP3</t>
  </si>
  <si>
    <t>SB_3-25-07_BOM_1974-11-07_Sensual_Darkness-Spiritual_etc.mp3</t>
  </si>
  <si>
    <t>https://audio.iskcondesiretree.com/01_-_Srila_Prabhupada/01_-_Lectures/01_-_English/02_-_Month_wise/11_-_November/07/SB_3-25-07_BOM_1974-11-07_Sensual_Darkness-Spiritual_etc.mp3</t>
  </si>
  <si>
    <t>SP_SB_3-25-08_Bombay_1974-11-08_This_World_Is_Darkness.mp3</t>
  </si>
  <si>
    <t>https://audio.iskcondesiretree.com/01_-_Srila_Prabhupada/01_-_Lectures/01_-_English/01_-_Topic_wise/Srimad_Bhagavatam/Canto-03/SP_SB_3-25-08_Bombay_1974-11-08_This_World_Is_Darkness.mp3</t>
  </si>
  <si>
    <t>SB-03-25-08_1974-11-08_SB-BOMBAY.MP3</t>
  </si>
  <si>
    <t>https://audio.iskcondesiretree.com/01_-_Srila_Prabhupada/01_-_Lectures/01_-_English/02_-_Month_wise/11_-_November/08/SB-03-25-08_1974-11-08_SB-BOMBAY.MP3</t>
  </si>
  <si>
    <t>SB_3-25-08_BOM_1974-11-08_This_World_Is_Darkness.mp3</t>
  </si>
  <si>
    <t>https://audio.iskcondesiretree.com/01_-_Srila_Prabhupada/01_-_Lectures/01_-_English/02_-_Month_wise/11_-_November/08/SB_3-25-08_BOM_1974-11-08_This_World_Is_Darkness.mp3</t>
  </si>
  <si>
    <t>SP_SB_3-25-09_Bombay_1974-11-09_%27Advanced%27_Equals_Ass.mp3</t>
  </si>
  <si>
    <t>https://audio.iskcondesiretree.com/01_-_Srila_Prabhupada/01_-_Lectures/01_-_English/01_-_Topic_wise/Srimad_Bhagavatam/Canto-03/SP_SB_3-25-09_Bombay_1974-11-09_%27Advanced%27_Equals_Ass.mp3</t>
  </si>
  <si>
    <t>SB-03-25-09_1974-11-09_SB-BOMBAY.MP3</t>
  </si>
  <si>
    <t>https://audio.iskcondesiretree.com/01_-_Srila_Prabhupada/01_-_Lectures/01_-_English/02_-_Month_wise/11_-_November/09/SB-03-25-09_1974-11-09_SB-BOMBAY.MP3</t>
  </si>
  <si>
    <t>SB_3-25-09_BOM_1974-11-09_Advanced_Equals_Ass.mp3</t>
  </si>
  <si>
    <t>https://audio.iskcondesiretree.com/01_-_Srila_Prabhupada/01_-_Lectures/01_-_English/02_-_Month_wise/11_-_November/09/SB_3-25-09_BOM_1974-11-09_Advanced_Equals_Ass.mp3</t>
  </si>
  <si>
    <t>SP_SB_3-25-10_Bombay_1974-11-10_Get_Free_from_Attachments.mp3</t>
  </si>
  <si>
    <t>https://audio.iskcondesiretree.com/01_-_Srila_Prabhupada/01_-_Lectures/01_-_English/01_-_Topic_wise/Srimad_Bhagavatam/Canto-03/SP_SB_3-25-10_Bombay_1974-11-10_Get_Free_from_Attachments.mp3</t>
  </si>
  <si>
    <t>SB-03-25-10_1974-11-10_SB-BOMBAY.MP3</t>
  </si>
  <si>
    <t>https://audio.iskcondesiretree.com/01_-_Srila_Prabhupada/01_-_Lectures/01_-_English/02_-_Month_wise/11_-_November/10/SB-03-25-10_1974-11-10_SB-BOMBAY.MP3</t>
  </si>
  <si>
    <t>SB_3-25-10_BOM_1974-11-10_Get_Free_from_Attachments.mp3</t>
  </si>
  <si>
    <t>https://audio.iskcondesiretree.com/01_-_Srila_Prabhupada/01_-_Lectures/01_-_English/02_-_Month_wise/11_-_November/10/SB_3-25-10_BOM_1974-11-10_Get_Free_from_Attachments.mp3</t>
  </si>
  <si>
    <t>SP_SB_3-25-11_Bombay_1974-11-11_Even_Expert_Swimmers_Struggle.mp3</t>
  </si>
  <si>
    <t>https://audio.iskcondesiretree.com/01_-_Srila_Prabhupada/01_-_Lectures/01_-_English/01_-_Topic_wise/Srimad_Bhagavatam/Canto-03/SP_SB_3-25-11_Bombay_1974-11-11_Even_Expert_Swimmers_Struggle.mp3</t>
  </si>
  <si>
    <t>SB-03-25-11_1974-11-11_SB-BOMBAY.MP3</t>
  </si>
  <si>
    <t>https://audio.iskcondesiretree.com/01_-_Srila_Prabhupada/01_-_Lectures/01_-_English/02_-_Month_wise/11_-_November/11/SB-03-25-11_1974-11-11_SB-BOMBAY.MP3</t>
  </si>
  <si>
    <t>SB_3-25-11_BOM_1974-11-11_Even_Expert_Swimmers_Struggle.mp3</t>
  </si>
  <si>
    <t>https://audio.iskcondesiretree.com/01_-_Srila_Prabhupada/01_-_Lectures/01_-_English/02_-_Month_wise/11_-_November/11/SB_3-25-11_BOM_1974-11-11_Even_Expert_Swimmers_Struggle.mp3</t>
  </si>
  <si>
    <t>SP_SB_3-25-12_Bombay_1974-11-12_Village_Talk-Vaikuntha_Talk.mp3</t>
  </si>
  <si>
    <t>https://audio.iskcondesiretree.com/01_-_Srila_Prabhupada/01_-_Lectures/01_-_English/01_-_Topic_wise/Srimad_Bhagavatam/Canto-03/SP_SB_3-25-12_Bombay_1974-11-12_Village_Talk-Vaikuntha_Talk.mp3</t>
  </si>
  <si>
    <t>SB-03-25-12_1974-11-12_SB-BOMBAY.MP3</t>
  </si>
  <si>
    <t>https://audio.iskcondesiretree.com/01_-_Srila_Prabhupada/01_-_Lectures/01_-_English/02_-_Month_wise/11_-_November/12/SB-03-25-12_1974-11-12_SB-BOMBAY.MP3</t>
  </si>
  <si>
    <t>SB_3-25-12_BOM_1974-11-12_Village_Talk-Vaikuntha_Talk.mp3</t>
  </si>
  <si>
    <t>https://audio.iskcondesiretree.com/01_-_Srila_Prabhupada/01_-_Lectures/01_-_English/02_-_Month_wise/11_-_November/12/SB_3-25-12_BOM_1974-11-12_Village_Talk-Vaikuntha_Talk.mp3</t>
  </si>
  <si>
    <t>SP_SB_3-25-13_Bombay_1974-11-13_Above_Happiness_and_Distress.mp3</t>
  </si>
  <si>
    <t>https://audio.iskcondesiretree.com/01_-_Srila_Prabhupada/01_-_Lectures/01_-_English/01_-_Topic_wise/Srimad_Bhagavatam/Canto-03/SP_SB_3-25-13_Bombay_1974-11-13_Above_Happiness_and_Distress.mp3</t>
  </si>
  <si>
    <t>SB-03-25-13_1974-11-13_SB-BOMBAY.MP3</t>
  </si>
  <si>
    <t>https://audio.iskcondesiretree.com/01_-_Srila_Prabhupada/01_-_Lectures/01_-_English/02_-_Month_wise/11_-_November/13/SB-03-25-13_1974-11-13_SB-BOMBAY.MP3</t>
  </si>
  <si>
    <t>SB_3-25-13_BOM_1974-11-13_Above_Happiness_and_Distress.mp3</t>
  </si>
  <si>
    <t>https://audio.iskcondesiretree.com/01_-_Srila_Prabhupada/01_-_Lectures/01_-_English/02_-_Month_wise/11_-_November/13/SB_3-25-13_BOM_1974-11-13_Above_Happiness_and_Distress.mp3</t>
  </si>
  <si>
    <t>SP_SB_3-25-14_Bombay_1974-11-14_Relief_from_the_Poison-Fire.mp3</t>
  </si>
  <si>
    <t>https://audio.iskcondesiretree.com/01_-_Srila_Prabhupada/01_-_Lectures/01_-_English/01_-_Topic_wise/Srimad_Bhagavatam/Canto-03/SP_SB_3-25-14_Bombay_1974-11-14_Relief_from_the_Poison-Fire.mp3</t>
  </si>
  <si>
    <t>SB-03-25-14_1974-11-14_SB-BOMBAY.MP3</t>
  </si>
  <si>
    <t>https://audio.iskcondesiretree.com/01_-_Srila_Prabhupada/01_-_Lectures/01_-_English/02_-_Month_wise/11_-_November/14/SB-03-25-14_1974-11-14_SB-BOMBAY.MP3</t>
  </si>
  <si>
    <t>SB_3-25-14_BOM_1974-11-14_Relief_from_the_Poison-Fire.mp3</t>
  </si>
  <si>
    <t>https://audio.iskcondesiretree.com/01_-_Srila_Prabhupada/01_-_Lectures/01_-_English/02_-_Month_wise/11_-_November/14/SB_3-25-14_BOM_1974-11-14_Relief_from_the_Poison-Fire.mp3</t>
  </si>
  <si>
    <t>SP_SB_3-25-15_Bombay_1974-11-15_Conditioned_or_Krishnized.mp3</t>
  </si>
  <si>
    <t>https://audio.iskcondesiretree.com/01_-_Srila_Prabhupada/01_-_Lectures/01_-_English/01_-_Topic_wise/Srimad_Bhagavatam/Canto-03/SP_SB_3-25-15_Bombay_1974-11-15_Conditioned_or_Krishnized.mp3</t>
  </si>
  <si>
    <t>SB-03-25-15_1974-11-15_SB-BOMBAY.MP3</t>
  </si>
  <si>
    <t>https://audio.iskcondesiretree.com/01_-_Srila_Prabhupada/01_-_Lectures/01_-_English/02_-_Month_wise/11_-_November/15/SB-03-25-15_1974-11-15_SB-BOMBAY.MP3</t>
  </si>
  <si>
    <t>SB_3-25-15_BOM_1974-11-15_Conditioned_or_Krishnized.mp3</t>
  </si>
  <si>
    <t>https://audio.iskcondesiretree.com/01_-_Srila_Prabhupada/01_-_Lectures/01_-_English/02_-_Month_wise/11_-_November/15/SB_3-25-15_BOM_1974-11-15_Conditioned_or_Krishnized.mp3</t>
  </si>
  <si>
    <t>SP_SB_3-25-16_Bombay_1974-11-16_Mind_Is_Covered_by_Dirty_Things.mp3</t>
  </si>
  <si>
    <t>https://audio.iskcondesiretree.com/01_-_Srila_Prabhupada/01_-_Lectures/01_-_English/01_-_Topic_wise/Srimad_Bhagavatam/Canto-03/SP_SB_3-25-16_Bombay_1974-11-16_Mind_Is_Covered_by_Dirty_Things.mp3</t>
  </si>
  <si>
    <t>SB-03-25-16_1974-11-16_SB-BOMBAY.MP3</t>
  </si>
  <si>
    <t>https://audio.iskcondesiretree.com/01_-_Srila_Prabhupada/01_-_Lectures/01_-_English/02_-_Month_wise/11_-_November/16/SB-03-25-16_1974-11-16_SB-BOMBAY.MP3</t>
  </si>
  <si>
    <t>SB_3-25-16_BOM_1974-11-16_Mind_Is_Covered_by_Dirty_Things.mp3</t>
  </si>
  <si>
    <t>https://audio.iskcondesiretree.com/01_-_Srila_Prabhupada/01_-_Lectures/01_-_English/02_-_Month_wise/11_-_November/16/SB_3-25-16_BOM_1974-11-16_Mind_Is_Covered_by_Dirty_Things.mp3</t>
  </si>
  <si>
    <t>SP_SB_3-25-17_Bombay_1974-11-17_Seeing_the_Real_Person.mp3</t>
  </si>
  <si>
    <t>https://audio.iskcondesiretree.com/01_-_Srila_Prabhupada/01_-_Lectures/01_-_English/01_-_Topic_wise/Srimad_Bhagavatam/Canto-03/SP_SB_3-25-17_Bombay_1974-11-17_Seeing_the_Real_Person.mp3</t>
  </si>
  <si>
    <t>SB-03-25-17_1974-11-17_SB-BOMBAY.MP3</t>
  </si>
  <si>
    <t>https://audio.iskcondesiretree.com/01_-_Srila_Prabhupada/01_-_Lectures/01_-_English/02_-_Month_wise/11_-_November/17/SB-03-25-17_1974-11-17_SB-BOMBAY.MP3</t>
  </si>
  <si>
    <t>SB_3-25-17_BOM_1974-11-17_Seeing_the_Real_Person.mp3</t>
  </si>
  <si>
    <t>https://audio.iskcondesiretree.com/01_-_Srila_Prabhupada/01_-_Lectures/01_-_English/02_-_Month_wise/11_-_November/17/SB_3-25-17_BOM_1974-11-17_Seeing_the_Real_Person.mp3</t>
  </si>
  <si>
    <t>SP_SB_3-25-18_Bombay_1974-11-18_Nobody%27s_Servant_but_Krishna%27s.mp3</t>
  </si>
  <si>
    <t>https://audio.iskcondesiretree.com/01_-_Srila_Prabhupada/01_-_Lectures/01_-_English/01_-_Topic_wise/Srimad_Bhagavatam/Canto-03/SP_SB_3-25-18_Bombay_1974-11-18_Nobody%27s_Servant_but_Krishna%27s.mp3</t>
  </si>
  <si>
    <t>SB-03-25-18_1974-11-18_SB-BOMBAY.MP3</t>
  </si>
  <si>
    <t>https://audio.iskcondesiretree.com/01_-_Srila_Prabhupada/01_-_Lectures/01_-_English/02_-_Month_wise/11_-_November/18/SB-03-25-18_1974-11-18_SB-BOMBAY.MP3</t>
  </si>
  <si>
    <t>SB_3-25-18_BOM_1974-11-18_Nobody%27s_Servant_but_Krishna%27s.mp3</t>
  </si>
  <si>
    <t>https://audio.iskcondesiretree.com/01_-_Srila_Prabhupada/01_-_Lectures/01_-_English/02_-_Month_wise/11_-_November/18/SB_3-25-18_BOM_1974-11-18_Nobody%27s_Servant_but_Krishna%27s.mp3</t>
  </si>
  <si>
    <t>SP_SB_3-25-19_Bombay_1974-11-19_One_Kind_of_Devotion_Will_Do.mp3</t>
  </si>
  <si>
    <t>https://audio.iskcondesiretree.com/01_-_Srila_Prabhupada/01_-_Lectures/01_-_English/01_-_Topic_wise/Srimad_Bhagavatam/Canto-03/SP_SB_3-25-19_Bombay_1974-11-19_One_Kind_of_Devotion_Will_Do.mp3</t>
  </si>
  <si>
    <t>SB-03-25-19_1974-11-19_SB-BOMBAY.MP3</t>
  </si>
  <si>
    <t>https://audio.iskcondesiretree.com/01_-_Srila_Prabhupada/01_-_Lectures/01_-_English/02_-_Month_wise/11_-_November/19/SB-03-25-19_1974-11-19_SB-BOMBAY.MP3</t>
  </si>
  <si>
    <t>SB_3-25-19_BOM_1974-11-19_One_Kind_of_Devotion_Will_Do.mp3</t>
  </si>
  <si>
    <t>https://audio.iskcondesiretree.com/01_-_Srila_Prabhupada/01_-_Lectures/01_-_English/02_-_Month_wise/11_-_November/19/SB_3-25-19_BOM_1974-11-19_One_Kind_of_Devotion_Will_Do.mp3</t>
  </si>
  <si>
    <t>SP_SB_3-25-20_Bombay_1974-11-20_How_to_Get_Rid_of_This_Body.mp3</t>
  </si>
  <si>
    <t>https://audio.iskcondesiretree.com/01_-_Srila_Prabhupada/01_-_Lectures/01_-_English/01_-_Topic_wise/Srimad_Bhagavatam/Canto-03/SP_SB_3-25-20_Bombay_1974-11-20_How_to_Get_Rid_of_This_Body.mp3</t>
  </si>
  <si>
    <t>SB-03-25-20_1974-11-20_SB-BOMBAY.MP3</t>
  </si>
  <si>
    <t>https://audio.iskcondesiretree.com/01_-_Srila_Prabhupada/01_-_Lectures/01_-_English/02_-_Month_wise/11_-_November/20/SB-03-25-20_1974-11-20_SB-BOMBAY.MP3</t>
  </si>
  <si>
    <t>SB_3-25-20_BOM_1974-11-20_How_to_Get_Rid_of_This_Body.mp3</t>
  </si>
  <si>
    <t>https://audio.iskcondesiretree.com/01_-_Srila_Prabhupada/01_-_Lectures/01_-_English/02_-_Month_wise/11_-_November/20/SB_3-25-20_BOM_1974-11-20_How_to_Get_Rid_of_This_Body.mp3</t>
  </si>
  <si>
    <t>SP_SB_3-25-21_Bombay_1974-11-21_The_Sadhu%27s_Symptoms.mp3</t>
  </si>
  <si>
    <t>https://audio.iskcondesiretree.com/01_-_Srila_Prabhupada/01_-_Lectures/01_-_English/01_-_Topic_wise/Srimad_Bhagavatam/Canto-03/SP_SB_3-25-21_Bombay_1974-11-21_The_Sadhu%27s_Symptoms.mp3</t>
  </si>
  <si>
    <t>SB-03-25-21_1974-11-21_SB-BOMBAY.MP3</t>
  </si>
  <si>
    <t>https://audio.iskcondesiretree.com/01_-_Srila_Prabhupada/01_-_Lectures/01_-_English/02_-_Month_wise/11_-_November/21/SB-03-25-21_1974-11-21_SB-BOMBAY.MP3</t>
  </si>
  <si>
    <t>SB_3-25-21_BOM_1974-11-21_The_Sadhu%27s_Symptoms.mp3</t>
  </si>
  <si>
    <t>https://audio.iskcondesiretree.com/01_-_Srila_Prabhupada/01_-_Lectures/01_-_English/02_-_Month_wise/11_-_November/21/SB_3-25-21_BOM_1974-11-21_The_Sadhu%27s_Symptoms.mp3</t>
  </si>
  <si>
    <t>SP_SB_3-25-22_Bombay_1974-11-22_The_Only_Rescu.mp3</t>
  </si>
  <si>
    <t>https://audio.iskcondesiretree.com/01_-_Srila_Prabhupada/01_-_Lectures/01_-_English/01_-_Topic_wise/Srimad_Bhagavatam/Canto-03/SP_SB_3-25-22_Bombay_1974-11-22_The_Only_Rescu.mp3</t>
  </si>
  <si>
    <t>SP_SB_3-25-22_Bombay_1974-11-22_The_Only_Rescue.mp3</t>
  </si>
  <si>
    <t>https://audio.iskcondesiretree.com/01_-_Srila_Prabhupada/01_-_Lectures/01_-_English/01_-_Topic_wise/Srimad_Bhagavatam/Canto-03/SP_SB_3-25-22_Bombay_1974-11-22_The_Only_Rescue.mp3</t>
  </si>
  <si>
    <t>SB-03-25-22_1974-11-22_SB-BOMBAY.MP3</t>
  </si>
  <si>
    <t>https://audio.iskcondesiretree.com/01_-_Srila_Prabhupada/01_-_Lectures/01_-_English/02_-_Month_wise/11_-_November/22/SB-03-25-22_1974-11-22_SB-BOMBAY.MP3</t>
  </si>
  <si>
    <t>SB_3-25-22_BOM_1974-11-22_The_Only_Rescue.mp3</t>
  </si>
  <si>
    <t>https://audio.iskcondesiretree.com/01_-_Srila_Prabhupada/01_-_Lectures/01_-_English/02_-_Month_wise/11_-_November/22/SB_3-25-22_BOM_1974-11-22_The_Only_Rescue.mp3</t>
  </si>
  <si>
    <t>SP_SB_3-25-23_Bombay_1974-11-23_Devotees_Don%27t_Feel_Suffering.mp3</t>
  </si>
  <si>
    <t>https://audio.iskcondesiretree.com/01_-_Srila_Prabhupada/01_-_Lectures/01_-_English/01_-_Topic_wise/Srimad_Bhagavatam/Canto-03/SP_SB_3-25-23_Bombay_1974-11-23_Devotees_Don%27t_Feel_Suffering.mp3</t>
  </si>
  <si>
    <t>SB-03-25-23_1974-11-23_SB-BOMBAY.MP3</t>
  </si>
  <si>
    <t>https://audio.iskcondesiretree.com/01_-_Srila_Prabhupada/01_-_Lectures/01_-_English/02_-_Month_wise/11_-_November/23/SB-03-25-23_1974-11-23_SB-BOMBAY.MP3</t>
  </si>
  <si>
    <t>SB_3-25-23_BOM_1974-11-23_Devotees_Don%27t_Feel_Suffering.mp3</t>
  </si>
  <si>
    <t>https://audio.iskcondesiretree.com/01_-_Srila_Prabhupada/01_-_Lectures/01_-_English/02_-_Month_wise/11_-_November/23/SB_3-25-23_BOM_1974-11-23_Devotees_Don%27t_Feel_Suffering.mp3</t>
  </si>
  <si>
    <t>SP_SB_3-25-24_Bombay_1974-11-24_Association_of_Devotees.mp3</t>
  </si>
  <si>
    <t>https://audio.iskcondesiretree.com/01_-_Srila_Prabhupada/01_-_Lectures/01_-_English/01_-_Topic_wise/Srimad_Bhagavatam/Canto-03/SP_SB_3-25-24_Bombay_1974-11-24_Association_of_Devotees.mp3</t>
  </si>
  <si>
    <t>SB-03-25-24_1974-11-24_SB-BOMBAY.MP3</t>
  </si>
  <si>
    <t>https://audio.iskcondesiretree.com/01_-_Srila_Prabhupada/01_-_Lectures/01_-_English/02_-_Month_wise/11_-_November/24/SB-03-25-24_1974-11-24_SB-BOMBAY.MP3</t>
  </si>
  <si>
    <t>SB_3-25-24_BOM_1974-11-24_Association_of_Devotees.mp3</t>
  </si>
  <si>
    <t>https://audio.iskcondesiretree.com/01_-_Srila_Prabhupada/01_-_Lectures/01_-_English/02_-_Month_wise/11_-_November/24/SB_3-25-24_BOM_1974-11-24_Association_of_Devotees.mp3</t>
  </si>
  <si>
    <t>SP_SB_3-25-25_Bombay_1974-11-25_Taste_of_Talks_About_Krishna.mp3</t>
  </si>
  <si>
    <t>https://audio.iskcondesiretree.com/01_-_Srila_Prabhupada/01_-_Lectures/01_-_English/01_-_Topic_wise/Srimad_Bhagavatam/Canto-03/SP_SB_3-25-25_Bombay_1974-11-25_Taste_of_Talks_About_Krishna.mp3</t>
  </si>
  <si>
    <t>SB-03-25-25_1974-11-25_SB-BOMBAY.MP3</t>
  </si>
  <si>
    <t>https://audio.iskcondesiretree.com/01_-_Srila_Prabhupada/01_-_Lectures/01_-_English/02_-_Month_wise/11_-_November/25/SB-03-25-25_1974-11-25_SB-BOMBAY.MP3</t>
  </si>
  <si>
    <t>SB_3-25-25_BOM_1974-11-25_Taste_of_Talks_About_Krishna.mp3</t>
  </si>
  <si>
    <t>https://audio.iskcondesiretree.com/01_-_Srila_Prabhupada/01_-_Lectures/01_-_English/02_-_Month_wise/11_-_November/25/SB_3-25-25_BOM_1974-11-25_Taste_of_Talks_About_Krishna.mp3</t>
  </si>
  <si>
    <t>SP_SB_3-25-26_Bombay_1974-11-26_Krishna_Gratification.mp3</t>
  </si>
  <si>
    <t>https://audio.iskcondesiretree.com/01_-_Srila_Prabhupada/01_-_Lectures/01_-_English/01_-_Topic_wise/Srimad_Bhagavatam/Canto-03/SP_SB_3-25-26_Bombay_1974-11-26_Krishna_Gratification.mp3</t>
  </si>
  <si>
    <t>SB-03-25-26_1974-11-26_SB-BOMBAY.MP3</t>
  </si>
  <si>
    <t>https://audio.iskcondesiretree.com/01_-_Srila_Prabhupada/01_-_Lectures/01_-_English/02_-_Month_wise/11_-_November/26/SB-03-25-26_1974-11-26_SB-BOMBAY.MP3</t>
  </si>
  <si>
    <t>SB_3-25-26_BOM_1974-11-26_Krishna_Gratification.mp3</t>
  </si>
  <si>
    <t>https://audio.iskcondesiretree.com/01_-_Srila_Prabhupada/01_-_Lectures/01_-_English/02_-_Month_wise/11_-_November/26/SB_3-25-26_BOM_1974-11-26_Krishna_Gratification.mp3</t>
  </si>
  <si>
    <t>SP_SB_3-25-27_Bombay_1974-11-27_World_Is_Under_Misunderstanding.mp3</t>
  </si>
  <si>
    <t>https://audio.iskcondesiretree.com/01_-_Srila_Prabhupada/01_-_Lectures/01_-_English/01_-_Topic_wise/Srimad_Bhagavatam/Canto-03/SP_SB_3-25-27_Bombay_1974-11-27_World_Is_Under_Misunderstanding.mp3</t>
  </si>
  <si>
    <t>SB-03-25-27_1974-11-27_SB-BOMBAY.MP3</t>
  </si>
  <si>
    <t>https://audio.iskcondesiretree.com/01_-_Srila_Prabhupada/01_-_Lectures/01_-_English/02_-_Month_wise/11_-_November/27/SB-03-25-27_1974-11-27_SB-BOMBAY.MP3</t>
  </si>
  <si>
    <t>SB_3-25-27_BOM_1974-11-27_World_Is_Under_Misunderstanding.mp3</t>
  </si>
  <si>
    <t>https://audio.iskcondesiretree.com/01_-_Srila_Prabhupada/01_-_Lectures/01_-_English/02_-_Month_wise/11_-_November/27/SB_3-25-27_BOM_1974-11-27_World_Is_Under_Misunderstanding.mp3</t>
  </si>
  <si>
    <t>SP_SB_3-25-28_Bombay_1974-11-28_You_Must_Go_to_a_Guru.mp3</t>
  </si>
  <si>
    <t>https://audio.iskcondesiretree.com/01_-_Srila_Prabhupada/01_-_Lectures/01_-_English/01_-_Topic_wise/Srimad_Bhagavatam/Canto-03/SP_SB_3-25-28_Bombay_1974-11-28_You_Must_Go_to_a_Guru.mp3</t>
  </si>
  <si>
    <t>SB-03-25-28_1974-11-28_SB-BOMBAY.MP3</t>
  </si>
  <si>
    <t>https://audio.iskcondesiretree.com/01_-_Srila_Prabhupada/01_-_Lectures/01_-_English/02_-_Month_wise/11_-_November/28/SB-03-25-28_1974-11-28_SB-BOMBAY.MP3</t>
  </si>
  <si>
    <t>SB_3-25-28_BOM_1974-11-28_You_Must_Go_to_a_Guru.mp3</t>
  </si>
  <si>
    <t>https://audio.iskcondesiretree.com/01_-_Srila_Prabhupada/01_-_Lectures/01_-_English/02_-_Month_wise/11_-_November/28/SB_3-25-28_BOM_1974-11-28_You_Must_Go_to_a_Guru.mp3</t>
  </si>
  <si>
    <t>SP_SB_3-25-29_Bombay_1974-11-29_Understanding_Highest_Truth.mp3</t>
  </si>
  <si>
    <t>https://audio.iskcondesiretree.com/01_-_Srila_Prabhupada/01_-_Lectures/01_-_English/01_-_Topic_wise/Srimad_Bhagavatam/Canto-03/SP_SB_3-25-29_Bombay_1974-11-29_Understanding_Highest_Truth.mp3</t>
  </si>
  <si>
    <t>SB-03-25-29_1974-11-29_SB-BOMBAY.MP3</t>
  </si>
  <si>
    <t>https://audio.iskcondesiretree.com/01_-_Srila_Prabhupada/01_-_Lectures/01_-_English/02_-_Month_wise/11_-_November/29/SB-03-25-29_1974-11-29_SB-BOMBAY.MP3</t>
  </si>
  <si>
    <t>SB_3-25-29_BOM_1974-11-29_Understanding_Highest_Truth.mp3</t>
  </si>
  <si>
    <t>https://audio.iskcondesiretree.com/01_-_Srila_Prabhupada/01_-_Lectures/01_-_English/02_-_Month_wise/11_-_November/29/SB_3-25-29_BOM_1974-11-29_Understanding_Highest_Truth.mp3</t>
  </si>
  <si>
    <t>SP_SB_3-25-30_Bombay_1974-11-30_Understanding-Standing_Under.mp3</t>
  </si>
  <si>
    <t>https://audio.iskcondesiretree.com/01_-_Srila_Prabhupada/01_-_Lectures/01_-_English/01_-_Topic_wise/Srimad_Bhagavatam/Canto-03/SP_SB_3-25-30_Bombay_1974-11-30_Understanding-Standing_Under.mp3</t>
  </si>
  <si>
    <t>SB-03-25-30_1974-11-30_SB-BOMBAY.MP3</t>
  </si>
  <si>
    <t>https://audio.iskcondesiretree.com/01_-_Srila_Prabhupada/01_-_Lectures/01_-_English/02_-_Month_wise/11_-_November/30/SB-03-25-30_1974-11-30_SB-BOMBAY.MP3</t>
  </si>
  <si>
    <t>SB_3-25-30_BOM_1974-11-30_Understanding-Standing_Under.mp3</t>
  </si>
  <si>
    <t>https://audio.iskcondesiretree.com/01_-_Srila_Prabhupada/01_-_Lectures/01_-_English/02_-_Month_wise/11_-_November/30/SB_3-25-30_BOM_1974-11-30_Understanding-Standing_Under.mp3</t>
  </si>
  <si>
    <t>SP_SB_3-25-31_Bombay_1974-12-01_Hear_About_Krishna_Submissively.mp3</t>
  </si>
  <si>
    <t>https://audio.iskcondesiretree.com/01_-_Srila_Prabhupada/01_-_Lectures/01_-_English/01_-_Topic_wise/Srimad_Bhagavatam/Canto-03/SP_SB_3-25-31_Bombay_1974-12-01_Hear_About_Krishna_Submissively.mp3</t>
  </si>
  <si>
    <t>SB-03-25-31_1974-12-01_SB-BOMBAY.MP3</t>
  </si>
  <si>
    <t>https://audio.iskcondesiretree.com/01_-_Srila_Prabhupada/01_-_Lectures/01_-_English/02_-_Month_wise/12_-_December/01/SB-03-25-31_1974-12-01_SB-BOMBAY.MP3</t>
  </si>
  <si>
    <t>SB_3-25-31_BOM_1974-12-01_Hear_About_Krishna_Submissively.mp3</t>
  </si>
  <si>
    <t>https://audio.iskcondesiretree.com/01_-_Srila_Prabhupada/01_-_Lectures/01_-_English/02_-_Month_wise/12_-_December/01/SB_3-25-31_BOM_1974-12-01_Hear_About_Krishna_Submissively.mp3</t>
  </si>
  <si>
    <t>SP_SB_3-25-32_Bombay_1974-12-02_From_Degradation_to_Devotion.mp3</t>
  </si>
  <si>
    <t>https://audio.iskcondesiretree.com/01_-_Srila_Prabhupada/01_-_Lectures/01_-_English/01_-_Topic_wise/Srimad_Bhagavatam/Canto-03/SP_SB_3-25-32_Bombay_1974-12-02_From_Degradation_to_Devotion.mp3</t>
  </si>
  <si>
    <t>SB-03-25-32_1974-12-02_SB-BOMBAY.MP3</t>
  </si>
  <si>
    <t>https://audio.iskcondesiretree.com/01_-_Srila_Prabhupada/01_-_Lectures/01_-_English/02_-_Month_wise/12_-_December/02/SB-03-25-32_1974-12-02_SB-BOMBAY.MP3</t>
  </si>
  <si>
    <t>SB_3-25-32_BOM_1974-12-02_From_Degradation_to_Devotion.mp3</t>
  </si>
  <si>
    <t>https://audio.iskcondesiretree.com/01_-_Srila_Prabhupada/01_-_Lectures/01_-_English/02_-_Month_wise/12_-_December/02/SB_3-25-32_BOM_1974-12-02_From_Degradation_to_Devotion.mp3</t>
  </si>
  <si>
    <t>SP_SB_3-25-33_Bombay_1974-12-03_How_to_Dissolve_Our_Suffering.mp3</t>
  </si>
  <si>
    <t>https://audio.iskcondesiretree.com/01_-_Srila_Prabhupada/01_-_Lectures/01_-_English/01_-_Topic_wise/Srimad_Bhagavatam/Canto-03/SP_SB_3-25-33_Bombay_1974-12-03_How_to_Dissolve_Our_Suffering.mp3</t>
  </si>
  <si>
    <t>SB-03-25-33%E2%80%9334_1974-12-03_SB-BOMBAY.MP3</t>
  </si>
  <si>
    <t>https://audio.iskcondesiretree.com/01_-_Srila_Prabhupada/01_-_Lectures/01_-_English/02_-_Month_wise/12_-_December/03/SB-03-25-33%E2%80%9334_1974-12-03_SB-BOMBAY.MP3</t>
  </si>
  <si>
    <t>SB_3-25-33_BOM_1974-12-03_How_to_Dissolve_Our_Suffering.mp3</t>
  </si>
  <si>
    <t>https://audio.iskcondesiretree.com/01_-_Srila_Prabhupada/01_-_Lectures/01_-_English/02_-_Month_wise/12_-_December/03/SB_3-25-33_BOM_1974-12-03_How_to_Dissolve_Our_Suffering.mp3</t>
  </si>
  <si>
    <t>SP_SB_3-25-35_Bombay_1974-12-04_Eager_to_Talk_with_Krishna.mp3</t>
  </si>
  <si>
    <t>https://audio.iskcondesiretree.com/01_-_Srila_Prabhupada/01_-_Lectures/01_-_English/01_-_Topic_wise/Srimad_Bhagavatam/Canto-03/SP_SB_3-25-35_Bombay_1974-12-04_Eager_to_Talk_with_Krishna.mp3</t>
  </si>
  <si>
    <t>SB-03-25-35_1974-12-04_SB-BOMBAY.MP3</t>
  </si>
  <si>
    <t>https://audio.iskcondesiretree.com/01_-_Srila_Prabhupada/01_-_Lectures/01_-_English/02_-_Month_wise/12_-_December/04/SB-03-25-35_1974-12-04_SB-BOMBAY.MP3</t>
  </si>
  <si>
    <t>SB_3-25-35_BOM_1974-12-04_Eager_to_Talk_with_Krishna.mp3</t>
  </si>
  <si>
    <t>https://audio.iskcondesiretree.com/01_-_Srila_Prabhupada/01_-_Lectures/01_-_English/02_-_Month_wise/12_-_December/04/SB_3-25-35_BOM_1974-12-04_Eager_to_Talk_with_Krishna.mp3</t>
  </si>
  <si>
    <t>SP_SB_3-25-36_Bombay_1974-12-05_The_Lord_Is_Charming.mp3</t>
  </si>
  <si>
    <t>https://audio.iskcondesiretree.com/01_-_Srila_Prabhupada/01_-_Lectures/01_-_English/01_-_Topic_wise/Srimad_Bhagavatam/Canto-03/SP_SB_3-25-36_Bombay_1974-12-05_The_Lord_Is_Charming.mp3</t>
  </si>
  <si>
    <t>SB-03-25-36_1974-12-05_SB-BOMBAY.MP3</t>
  </si>
  <si>
    <t>https://audio.iskcondesiretree.com/01_-_Srila_Prabhupada/01_-_Lectures/01_-_English/02_-_Month_wise/12_-_December/05/SB-03-25-36_1974-12-05_SB-BOMBAY.MP3</t>
  </si>
  <si>
    <t>SB_3-25-36_BOM_1974-12-05_The_Lord_Is_Charming.mp3</t>
  </si>
  <si>
    <t>https://audio.iskcondesiretree.com/01_-_Srila_Prabhupada/01_-_Lectures/01_-_English/02_-_Month_wise/12_-_December/05/SB_3-25-36_BOM_1974-12-05_The_Lord_Is_Charming.mp3</t>
  </si>
  <si>
    <t>SP_SB_3-25-37_Bombay_1974-12-06_The_Devotional_Position.mp3</t>
  </si>
  <si>
    <t>https://audio.iskcondesiretree.com/01_-_Srila_Prabhupada/01_-_Lectures/01_-_English/01_-_Topic_wise/Srimad_Bhagavatam/Canto-03/SP_SB_3-25-37_Bombay_1974-12-06_The_Devotional_Position.mp3</t>
  </si>
  <si>
    <t>SB-03-25-37_1974-12-06_SB-BOMBAY.MP3</t>
  </si>
  <si>
    <t>https://audio.iskcondesiretree.com/01_-_Srila_Prabhupada/01_-_Lectures/01_-_English/02_-_Month_wise/12_-_December/06/SB-03-25-37_1974-12-06_SB-BOMBAY.MP3</t>
  </si>
  <si>
    <t>SB_3-25-37_BOM_1974-12-06_The_Devotional_Position.mp3</t>
  </si>
  <si>
    <t>https://audio.iskcondesiretree.com/01_-_Srila_Prabhupada/01_-_Lectures/01_-_English/02_-_Month_wise/12_-_December/06/SB_3-25-37_BOM_1974-12-06_The_Devotional_Position.mp3</t>
  </si>
  <si>
    <t>SP_SB_3-25-38_Bombay_1974-12-07_Krishna%27s_Service-Absolute_Delight.mp3</t>
  </si>
  <si>
    <t>https://audio.iskcondesiretree.com/01_-_Srila_Prabhupada/01_-_Lectures/01_-_English/01_-_Topic_wise/Srimad_Bhagavatam/Canto-03/SP_SB_3-25-38_Bombay_1974-12-07_Krishna%27s_Service-Absolute_Delight.mp3</t>
  </si>
  <si>
    <t>SB-03-25-38_1974-12-07_SB-BOMBAY.MP3</t>
  </si>
  <si>
    <t>https://audio.iskcondesiretree.com/01_-_Srila_Prabhupada/01_-_Lectures/01_-_English/02_-_Month_wise/12_-_December/07/SB-03-25-38_1974-12-07_SB-BOMBAY.MP3</t>
  </si>
  <si>
    <t>SB_3-25-38_BOM_1974-12-07_Krishna%27s_Service-Absolute_Delight.mp3</t>
  </si>
  <si>
    <t>https://audio.iskcondesiretree.com/01_-_Srila_Prabhupada/01_-_Lectures/01_-_English/02_-_Month_wise/12_-_December/07/SB_3-25-38_BOM_1974-12-07_Krishna%27s_Service-Absolute_Delight.mp3</t>
  </si>
  <si>
    <t>SP_SB_3-25-39_Bombay_1974-12-08_Take_Krishna_As_Everything.mp3</t>
  </si>
  <si>
    <t>https://audio.iskcondesiretree.com/01_-_Srila_Prabhupada/01_-_Lectures/01_-_English/01_-_Topic_wise/Srimad_Bhagavatam/Canto-03/SP_SB_3-25-39_Bombay_1974-12-08_Take_Krishna_As_Everything.mp3</t>
  </si>
  <si>
    <t>SB-03-25-39%E2%80%9340_1974-12-08_SB-BOMBAY.MP3</t>
  </si>
  <si>
    <t>https://audio.iskcondesiretree.com/01_-_Srila_Prabhupada/01_-_Lectures/01_-_English/02_-_Month_wise/12_-_December/08/SB-03-25-39%E2%80%9340_1974-12-08_SB-BOMBAY.MP3</t>
  </si>
  <si>
    <t>SB_3-25-39_BOM_1974-12-08_Take_Krishna_As_Everything.mp3</t>
  </si>
  <si>
    <t>https://audio.iskcondesiretree.com/01_-_Srila_Prabhupada/01_-_Lectures/01_-_English/02_-_Month_wise/12_-_December/08/SB_3-25-39_BOM_1974-12-08_Take_Krishna_As_Everything.mp3</t>
  </si>
  <si>
    <t>SP_SB_3-25-41_Bombay_1974-12-09_Atheists...%27Overbold%27.mp3</t>
  </si>
  <si>
    <t>https://audio.iskcondesiretree.com/01_-_Srila_Prabhupada/01_-_Lectures/01_-_English/01_-_Topic_wise/Srimad_Bhagavatam/Canto-03/SP_SB_3-25-41_Bombay_1974-12-09_Atheists...%27Overbold%27.mp3</t>
  </si>
  <si>
    <t>SB-03-25-41_1974-12-09_SB-BOMBAY.MP3</t>
  </si>
  <si>
    <t>https://audio.iskcondesiretree.com/01_-_Srila_Prabhupada/01_-_Lectures/01_-_English/02_-_Month_wise/12_-_December/09/SB-03-25-41_1974-12-09_SB-BOMBAY.MP3</t>
  </si>
  <si>
    <t>SB_3-25-41_BOM_1974-12-09_Atheists_Overbold.mp3</t>
  </si>
  <si>
    <t>https://audio.iskcondesiretree.com/01_-_Srila_Prabhupada/01_-_Lectures/01_-_English/02_-_Month_wise/12_-_December/09/SB_3-25-41_BOM_1974-12-09_Atheists_Overbold.mp3</t>
  </si>
  <si>
    <t>SP_SB_3-25-42_Bombay_1974-12-10_Don%27t_Take_Krishna_Lightly.mp3</t>
  </si>
  <si>
    <t>https://audio.iskcondesiretree.com/01_-_Srila_Prabhupada/01_-_Lectures/01_-_English/01_-_Topic_wise/Srimad_Bhagavatam/Canto-03/SP_SB_3-25-42_Bombay_1974-12-10_Don%27t_Take_Krishna_Lightly.mp3</t>
  </si>
  <si>
    <t>SB-03-25-42_1974-12-10_SB-BOMBAY.MP3</t>
  </si>
  <si>
    <t>https://audio.iskcondesiretree.com/01_-_Srila_Prabhupada/01_-_Lectures/01_-_English/02_-_Month_wise/12_-_December/10/SB-03-25-42_1974-12-10_SB-BOMBAY.MP3</t>
  </si>
  <si>
    <t>SB_3-25-42_BOM_1974-12-10_Don%27t_Take_Krishna_Lightly.mp3</t>
  </si>
  <si>
    <t>https://audio.iskcondesiretree.com/01_-_Srila_Prabhupada/01_-_Lectures/01_-_English/02_-_Month_wise/12_-_December/10/SB_3-25-42_BOM_1974-12-10_Don%27t_Take_Krishna_Lightly.mp3</t>
  </si>
  <si>
    <t>SP_SB_3-25-43_Bombay_1974-12-11_New_Orleans_More_Fear.mp3</t>
  </si>
  <si>
    <t>https://audio.iskcondesiretree.com/01_-_Srila_Prabhupada/01_-_Lectures/01_-_English/01_-_Topic_wise/Srimad_Bhagavatam/Canto-03/SP_SB_3-25-43_Bombay_1974-12-11_New_Orleans_More_Fear.mp3</t>
  </si>
  <si>
    <t>SB-03-25-43_1974-12-11_SB-BOMBAY.MP3</t>
  </si>
  <si>
    <t>https://audio.iskcondesiretree.com/01_-_Srila_Prabhupada/01_-_Lectures/01_-_English/02_-_Month_wise/12_-_December/11/SB-03-25-43_1974-12-11_SB-BOMBAY.MP3</t>
  </si>
  <si>
    <t>SB_3-25-43_BOM_1974-12-11_No_More_Fear.mp3</t>
  </si>
  <si>
    <t>https://audio.iskcondesiretree.com/01_-_Srila_Prabhupada/01_-_Lectures/01_-_English/02_-_Month_wise/12_-_December/11/SB_3-25-43_BOM_1974-12-11_No_More_Fear.mp3</t>
  </si>
  <si>
    <t>SP_SB_3-25-44_Bombay_1974-12-12_New_Orleans_Water_in_the_Desert.mp3</t>
  </si>
  <si>
    <t>https://audio.iskcondesiretree.com/01_-_Srila_Prabhupada/01_-_Lectures/01_-_English/01_-_Topic_wise/Srimad_Bhagavatam/Canto-03/SP_SB_3-25-44_Bombay_1974-12-12_New_Orleans_Water_in_the_Desert.mp3</t>
  </si>
  <si>
    <t>SB-03-25-44_1974-12-12_SB-BOMBAY.MP3</t>
  </si>
  <si>
    <t>https://audio.iskcondesiretree.com/01_-_Srila_Prabhupada/01_-_Lectures/01_-_English/02_-_Month_wise/12_-_December/12/SB-03-25-44_1974-12-12_SB-BOMBAY.MP3</t>
  </si>
  <si>
    <t>SB_3-25-44_BOM_1974-12-12_No_Water_in_the_Desert.mp3</t>
  </si>
  <si>
    <t>https://audio.iskcondesiretree.com/01_-_Srila_Prabhupada/01_-_Lectures/01_-_English/02_-_Month_wise/12_-_December/12/SB_3-25-44_BOM_1974-12-12_No_Water_in_the_Desert.mp3</t>
  </si>
  <si>
    <t>SP_SB_3-26-01_Bombay_1974-12-13_Getting_Uncontaminated.mp3</t>
  </si>
  <si>
    <t>https://audio.iskcondesiretree.com/01_-_Srila_Prabhupada/01_-_Lectures/01_-_English/01_-_Topic_wise/Srimad_Bhagavatam/Canto-03/SP_SB_3-26-01_Bombay_1974-12-13_Getting_Uncontaminated.mp3</t>
  </si>
  <si>
    <t>SB-03-26-01_1974-12-13_SB-BOMBAY.MP3</t>
  </si>
  <si>
    <t>https://audio.iskcondesiretree.com/01_-_Srila_Prabhupada/01_-_Lectures/01_-_English/02_-_Month_wise/12_-_December/13/SB-03-26-01_1974-12-13_SB-BOMBAY.MP3</t>
  </si>
  <si>
    <t>SB_3-26-01_BOM_1974-12-13_Getting_Uncontaminated.mp3</t>
  </si>
  <si>
    <t>https://audio.iskcondesiretree.com/01_-_Srila_Prabhupada/01_-_Lectures/01_-_English/02_-_Month_wise/12_-_December/13/SB_3-26-01_BOM_1974-12-13_Getting_Uncontaminated.mp3</t>
  </si>
  <si>
    <t>SP_SB_3-26-02_Bombay_1974-12-14_You_Belong_to_Spiritual_World.mp3</t>
  </si>
  <si>
    <t>https://audio.iskcondesiretree.com/01_-_Srila_Prabhupada/01_-_Lectures/01_-_English/01_-_Topic_wise/Srimad_Bhagavatam/Canto-03/SP_SB_3-26-02_Bombay_1974-12-14_You_Belong_to_Spiritual_World.mp3</t>
  </si>
  <si>
    <t>SB-03-26-02_1974-12-14_SB-BOMBAY.MP3</t>
  </si>
  <si>
    <t>https://audio.iskcondesiretree.com/01_-_Srila_Prabhupada/01_-_Lectures/01_-_English/02_-_Month_wise/12_-_December/14/SB-03-26-02_1974-12-14_SB-BOMBAY.MP3</t>
  </si>
  <si>
    <t>SB_3-26-02_BOM_1974-12-14_You_Belong_to_Spiritual_World.mp3</t>
  </si>
  <si>
    <t>https://audio.iskcondesiretree.com/01_-_Srila_Prabhupada/01_-_Lectures/01_-_English/02_-_Month_wise/12_-_December/14/SB_3-26-02_BOM_1974-12-14_You_Belong_to_Spiritual_World.mp3</t>
  </si>
  <si>
    <t>SP_SB_3-26-03_Bombay_1974-12-15_Our_Knowledge_Is_Not_Knowledge.mp3</t>
  </si>
  <si>
    <t>https://audio.iskcondesiretree.com/01_-_Srila_Prabhupada/01_-_Lectures/01_-_English/01_-_Topic_wise/Srimad_Bhagavatam/Canto-03/SP_SB_3-26-03_Bombay_1974-12-15_Our_Knowledge_Is_Not_Knowledge.mp3</t>
  </si>
  <si>
    <t>SB-03-26-03_1974-12-15_SB-BOMBAY.MP3</t>
  </si>
  <si>
    <t>https://audio.iskcondesiretree.com/01_-_Srila_Prabhupada/01_-_Lectures/01_-_English/02_-_Month_wise/12_-_December/15/SB-03-26-03_1974-12-15_SB-BOMBAY.MP3</t>
  </si>
  <si>
    <t>SB_3-26-03_BOM_1974-12-15_Our_Knowledge_Is_Not_Knowledge.mp3</t>
  </si>
  <si>
    <t>https://audio.iskcondesiretree.com/01_-_Srila_Prabhupada/01_-_Lectures/01_-_English/02_-_Month_wise/12_-_December/15/SB_3-26-03_BOM_1974-12-15_Our_Knowledge_Is_Not_Knowledge.mp3</t>
  </si>
  <si>
    <t>SP_SB_3-26-04_Bombay_1974-12-16_The_Truth_Will_Set_You_Free.mp3</t>
  </si>
  <si>
    <t>https://audio.iskcondesiretree.com/01_-_Srila_Prabhupada/01_-_Lectures/01_-_English/01_-_Topic_wise/Srimad_Bhagavatam/Canto-03/SP_SB_3-26-04_Bombay_1974-12-16_The_Truth_Will_Set_You_Free.mp3</t>
  </si>
  <si>
    <t>SB-03-26-04_1974-12-16_SB-BOMBAY.MP3</t>
  </si>
  <si>
    <t>https://audio.iskcondesiretree.com/01_-_Srila_Prabhupada/01_-_Lectures/01_-_English/02_-_Month_wise/12_-_December/16/SB-03-26-04_1974-12-16_SB-BOMBAY.MP3</t>
  </si>
  <si>
    <t>SB_3-26-04_BOM_1974-12-16_The_Truth_Will_Set_You_Free.mp3</t>
  </si>
  <si>
    <t>https://audio.iskcondesiretree.com/01_-_Srila_Prabhupada/01_-_Lectures/01_-_English/02_-_Month_wise/12_-_December/16/SB_3-26-04_BOM_1974-12-16_The_Truth_Will_Set_You_Free.mp3</t>
  </si>
  <si>
    <t>SP_SB_3-26-05_Bombay_1974-12-17_Crazy_Fellows_and_Colorful_Life.mp3</t>
  </si>
  <si>
    <t>https://audio.iskcondesiretree.com/01_-_Srila_Prabhupada/01_-_Lectures/01_-_English/01_-_Topic_wise/Srimad_Bhagavatam/Canto-03/SP_SB_3-26-05_Bombay_1974-12-17_Crazy_Fellows_and_Colorful_Life.mp3</t>
  </si>
  <si>
    <t>SB-03-26-05_1974-12-17_SB-BOMBAY.MP3</t>
  </si>
  <si>
    <t>https://audio.iskcondesiretree.com/01_-_Srila_Prabhupada/01_-_Lectures/01_-_English/02_-_Month_wise/12_-_December/17/SB-03-26-05_1974-12-17_SB-BOMBAY.MP3</t>
  </si>
  <si>
    <t>SB_3-26-05_BOM_1974-12-17_Crazy_Fellows_and_Colorful_Life.mp3</t>
  </si>
  <si>
    <t>https://audio.iskcondesiretree.com/01_-_Srila_Prabhupada/01_-_Lectures/01_-_English/02_-_Month_wise/12_-_December/17/SB_3-26-05_BOM_1974-12-17_Crazy_Fellows_and_Colorful_Life.mp3</t>
  </si>
  <si>
    <t>SP_SB_3-26-06_Bombay_1974-12-18_Atheistic_Arrogance.mp3</t>
  </si>
  <si>
    <t>https://audio.iskcondesiretree.com/01_-_Srila_Prabhupada/01_-_Lectures/01_-_English/01_-_Topic_wise/Srimad_Bhagavatam/Canto-03/SP_SB_3-26-06_Bombay_1974-12-18_Atheistic_Arrogance.mp3</t>
  </si>
  <si>
    <t>SB-03-26-06_1974-12-18_SB-BOMBAY.MP3</t>
  </si>
  <si>
    <t>https://audio.iskcondesiretree.com/01_-_Srila_Prabhupada/01_-_Lectures/01_-_English/02_-_Month_wise/12_-_December/18/SB-03-26-06_1974-12-18_SB-BOMBAY.MP3</t>
  </si>
  <si>
    <t>SB_3-26-06_BOM_1974-12-18_Atheistic_Arrogance.mp3</t>
  </si>
  <si>
    <t>https://audio.iskcondesiretree.com/01_-_Srila_Prabhupada/01_-_Lectures/01_-_English/02_-_Month_wise/12_-_December/18/SB_3-26-06_BOM_1974-12-18_Atheistic_Arrogance.mp3</t>
  </si>
  <si>
    <t>SP_SB_3-26-07_Bombay_1974-12-19_Tangle_of_Material_Happiness.mp3</t>
  </si>
  <si>
    <t>https://audio.iskcondesiretree.com/01_-_Srila_Prabhupada/01_-_Lectures/01_-_English/01_-_Topic_wise/Srimad_Bhagavatam/Canto-03/SP_SB_3-26-07_Bombay_1974-12-19_Tangle_of_Material_Happiness.mp3</t>
  </si>
  <si>
    <t>SB-03-26-07_1974-12-19_SB-BOMBAY.MP3</t>
  </si>
  <si>
    <t>https://audio.iskcondesiretree.com/01_-_Srila_Prabhupada/01_-_Lectures/01_-_English/02_-_Month_wise/12_-_December/19/SB-03-26-07_1974-12-19_SB-BOMBAY.MP3</t>
  </si>
  <si>
    <t>SB_3-26-07_BOM_1974-12-19_Tangle_of_Material_Happiness.mp3</t>
  </si>
  <si>
    <t>https://audio.iskcondesiretree.com/01_-_Srila_Prabhupada/01_-_Lectures/01_-_English/02_-_Month_wise/12_-_December/19/SB_3-26-07_BOM_1974-12-19_Tangle_of_Material_Happiness.mp3</t>
  </si>
  <si>
    <t>SP_SB_3-26-08_Bombay_1974-12-20_The_Enjoyer_Mentality.mp3</t>
  </si>
  <si>
    <t>https://audio.iskcondesiretree.com/01_-_Srila_Prabhupada/01_-_Lectures/01_-_English/01_-_Topic_wise/Srimad_Bhagavatam/Canto-03/SP_SB_3-26-08_Bombay_1974-12-20_The_Enjoyer_Mentality.mp3</t>
  </si>
  <si>
    <t>SB-03-26-08_1974-12-20_SB-BOMBAY.MP3</t>
  </si>
  <si>
    <t>https://audio.iskcondesiretree.com/01_-_Srila_Prabhupada/01_-_Lectures/01_-_English/02_-_Month_wise/12_-_December/20/SB-03-26-08_1974-12-20_SB-BOMBAY.MP3</t>
  </si>
  <si>
    <t>SB_3-26-08_BOM_1974-12-20_The_Enjoyer_Mentality.mp3</t>
  </si>
  <si>
    <t>https://audio.iskcondesiretree.com/01_-_Srila_Prabhupada/01_-_Lectures/01_-_English/02_-_Month_wise/12_-_December/20/SB_3-26-08_BOM_1974-12-20_The_Enjoyer_Mentality.mp3</t>
  </si>
  <si>
    <t>SP_SB_3-26-09_Bombay_1974-12-21_Controlled_Enjoyer.mp3</t>
  </si>
  <si>
    <t>https://audio.iskcondesiretree.com/01_-_Srila_Prabhupada/01_-_Lectures/01_-_English/01_-_Topic_wise/Srimad_Bhagavatam/Canto-03/SP_SB_3-26-09_Bombay_1974-12-21_Controlled_Enjoyer.mp3</t>
  </si>
  <si>
    <t>SB-03-26-09_1974-12-21_SB-BOMBAY.MP3</t>
  </si>
  <si>
    <t>https://audio.iskcondesiretree.com/01_-_Srila_Prabhupada/01_-_Lectures/01_-_English/02_-_Month_wise/12_-_December/21/SB-03-26-09_1974-12-21_SB-BOMBAY.MP3</t>
  </si>
  <si>
    <t>SB_3-26-09_BOM_1974-12-21_Controlled_Enjoyer.mp3</t>
  </si>
  <si>
    <t>https://audio.iskcondesiretree.com/01_-_Srila_Prabhupada/01_-_Lectures/01_-_English/02_-_Month_wise/12_-_December/21/SB_3-26-09_BOM_1974-12-21_Controlled_Enjoyer.mp3</t>
  </si>
  <si>
    <t>SP_SB_3-26-10_Bombay_1974-12-22_The_World--not_God--Is_Impersonal.mp3</t>
  </si>
  <si>
    <t>https://audio.iskcondesiretree.com/01_-_Srila_Prabhupada/01_-_Lectures/01_-_English/01_-_Topic_wise/Srimad_Bhagavatam/Canto-03/SP_SB_3-26-10_Bombay_1974-12-22_The_World--not_God--Is_Impersonal.mp3</t>
  </si>
  <si>
    <t>SB-03-26-10_1974-12-22_SB-BOMBAY.MP3</t>
  </si>
  <si>
    <t>https://audio.iskcondesiretree.com/01_-_Srila_Prabhupada/01_-_Lectures/01_-_English/02_-_Month_wise/12_-_December/22/SB-03-26-10_1974-12-22_SB-BOMBAY.MP3</t>
  </si>
  <si>
    <t>SB_3-26-10_BOM_1974-12-22_The_World_not_God_Is_Impersonal.mp3</t>
  </si>
  <si>
    <t>https://audio.iskcondesiretree.com/01_-_Srila_Prabhupada/01_-_Lectures/01_-_English/02_-_Month_wise/12_-_December/22/SB_3-26-10_BOM_1974-12-22_The_World_not_God_Is_Impersonal.mp3</t>
  </si>
  <si>
    <t>SP_SB_3-26-11_Bombay_1974-12-23_Analyze_the_Trap...and_Escape.mp3</t>
  </si>
  <si>
    <t>https://audio.iskcondesiretree.com/01_-_Srila_Prabhupada/01_-_Lectures/01_-_English/01_-_Topic_wise/Srimad_Bhagavatam/Canto-03/SP_SB_3-26-11_Bombay_1974-12-23_Analyze_the_Trap...and_Escape.mp3</t>
  </si>
  <si>
    <t>SB-03-26-11%E2%80%9314_1974-12-23_SB-BOMBAY.MP3</t>
  </si>
  <si>
    <t>https://audio.iskcondesiretree.com/01_-_Srila_Prabhupada/01_-_Lectures/01_-_English/02_-_Month_wise/12_-_December/23/SB-03-26-11%E2%80%9314_1974-12-23_SB-BOMBAY.MP3</t>
  </si>
  <si>
    <t>SB_3-26-11_BOM_1974-12-23_Analyze_the_Trap_and_Escape.mp3</t>
  </si>
  <si>
    <t>https://audio.iskcondesiretree.com/01_-_Srila_Prabhupada/01_-_Lectures/01_-_English/02_-_Month_wise/12_-_December/23/SB_3-26-11_BOM_1974-12-23_Analyze_the_Trap_and_Escape.mp3</t>
  </si>
  <si>
    <t>SP_SB_3-26-15_Bombay_1974-12-24_Maya_Is_Krishna%27s.mp3</t>
  </si>
  <si>
    <t>https://audio.iskcondesiretree.com/01_-_Srila_Prabhupada/01_-_Lectures/01_-_English/01_-_Topic_wise/Srimad_Bhagavatam/Canto-03/SP_SB_3-26-15_Bombay_1974-12-24_Maya_Is_Krishna%27s.mp3</t>
  </si>
  <si>
    <t>SB-03-26-15_1974-12-24_SB-BOMBAY.MP3</t>
  </si>
  <si>
    <t>https://audio.iskcondesiretree.com/01_-_Srila_Prabhupada/01_-_Lectures/01_-_English/02_-_Month_wise/12_-_December/24/SB-03-26-15_1974-12-24_SB-BOMBAY.MP3</t>
  </si>
  <si>
    <t>SB_3-26-15_BOM_1974-12-24_Maya_Is_Krishna%27s.mp3</t>
  </si>
  <si>
    <t>https://audio.iskcondesiretree.com/01_-_Srila_Prabhupada/01_-_Lectures/01_-_English/02_-_Month_wise/12_-_December/24/SB_3-26-15_BOM_1974-12-24_Maya_Is_Krishna%27s.mp3</t>
  </si>
  <si>
    <t>SP_SB_3-26-16_Bombay_1974-12-25_Fear--The_Time_Factor.mp3</t>
  </si>
  <si>
    <t>https://audio.iskcondesiretree.com/01_-_Srila_Prabhupada/01_-_Lectures/01_-_English/01_-_Topic_wise/Srimad_Bhagavatam/Canto-03/SP_SB_3-26-16_Bombay_1974-12-25_Fear--The_Time_Factor.mp3</t>
  </si>
  <si>
    <t>SB-03-26-16_1974-12-25_SB-BOMBAY.MP3</t>
  </si>
  <si>
    <t>https://audio.iskcondesiretree.com/01_-_Srila_Prabhupada/01_-_Lectures/01_-_English/02_-_Month_wise/12_-_December/25/SB-03-26-16_1974-12-25_SB-BOMBAY.MP3</t>
  </si>
  <si>
    <t>SB_3-26-16_BOM_1974-12-25_Fear-The_Time_Factor.mp3</t>
  </si>
  <si>
    <t>https://audio.iskcondesiretree.com/01_-_Srila_Prabhupada/01_-_Lectures/01_-_English/02_-_Month_wise/12_-_December/25/SB_3-26-16_BOM_1974-12-25_Fear-The_Time_Factor.mp3</t>
  </si>
  <si>
    <t>SP_SB_3-26-17_Bombay_1974-12-26_Don%27t_Remain_Asleep.mp3</t>
  </si>
  <si>
    <t>https://audio.iskcondesiretree.com/01_-_Srila_Prabhupada/01_-_Lectures/01_-_English/01_-_Topic_wise/Srimad_Bhagavatam/Canto-03/SP_SB_3-26-17_Bombay_1974-12-26_Don%27t_Remain_Asleep.mp3</t>
  </si>
  <si>
    <t>SB-03-26-17_1974-12-26_SB-BOMBAY.MP3</t>
  </si>
  <si>
    <t>https://audio.iskcondesiretree.com/01_-_Srila_Prabhupada/01_-_Lectures/01_-_English/02_-_Month_wise/12_-_December/26/SB-03-26-17_1974-12-26_SB-BOMBAY.MP3</t>
  </si>
  <si>
    <t>SB_3-26-17_BOM_1974-12-26_Don%27t_Remain_Asleep.mp3</t>
  </si>
  <si>
    <t>https://audio.iskcondesiretree.com/01_-_Srila_Prabhupada/01_-_Lectures/01_-_English/02_-_Month_wise/12_-_December/26/SB_3-26-17_BOM_1974-12-26_Don%27t_Remain_Asleep.mp3</t>
  </si>
  <si>
    <t>SP_SB_3-26-18_Bombay_1974-12-27_United_by_Chanting_and_Dancing.mp3</t>
  </si>
  <si>
    <t>https://audio.iskcondesiretree.com/01_-_Srila_Prabhupada/01_-_Lectures/01_-_English/01_-_Topic_wise/Srimad_Bhagavatam/Canto-03/SP_SB_3-26-18_Bombay_1974-12-27_United_by_Chanting_and_Dancing.mp3</t>
  </si>
  <si>
    <t>SB-03-26-18_1974-12-27_SB-BOMBAY.MP3</t>
  </si>
  <si>
    <t>https://audio.iskcondesiretree.com/01_-_Srila_Prabhupada/01_-_Lectures/01_-_English/02_-_Month_wise/12_-_December/27/SB-03-26-18_1974-12-27_SB-BOMBAY.MP3</t>
  </si>
  <si>
    <t>SB_3-26-18_BOM_1974-12-27_United_by_Chanting_and_Dancing.mp3</t>
  </si>
  <si>
    <t>https://audio.iskcondesiretree.com/01_-_Srila_Prabhupada/01_-_Lectures/01_-_English/02_-_Month_wise/12_-_December/27/SB_3-26-18_BOM_1974-12-27_United_by_Chanting_and_Dancing.mp3</t>
  </si>
  <si>
    <t>SP_SB_3-26-19_Bombay_1974-12-28_This_Society_Needs_Some_Brains.mp3</t>
  </si>
  <si>
    <t>https://audio.iskcondesiretree.com/01_-_Srila_Prabhupada/01_-_Lectures/01_-_English/01_-_Topic_wise/Srimad_Bhagavatam/Canto-03/SP_SB_3-26-19_Bombay_1974-12-28_This_Society_Needs_Some_Brains.mp3</t>
  </si>
  <si>
    <t>SB-03-26-19_1974-12-28_SB-BOMBAY.MP3</t>
  </si>
  <si>
    <t>https://audio.iskcondesiretree.com/01_-_Srila_Prabhupada/01_-_Lectures/01_-_English/02_-_Month_wise/12_-_December/28/SB-03-26-19_1974-12-28_SB-BOMBAY.MP3</t>
  </si>
  <si>
    <t>SB_3-26-19_BOM_1974-12-28_This_Society_Needs_Some_Brains.mp3</t>
  </si>
  <si>
    <t>https://audio.iskcondesiretree.com/01_-_Srila_Prabhupada/01_-_Lectures/01_-_English/02_-_Month_wise/12_-_December/28/SB_3-26-19_BOM_1974-12-28_This_Society_Needs_Some_Brains.mp3</t>
  </si>
  <si>
    <t>SP_SB_3-26-20_Bombay_1974-12-29_We%27re_All_Asleep.mp3</t>
  </si>
  <si>
    <t>https://audio.iskcondesiretree.com/01_-_Srila_Prabhupada/01_-_Lectures/01_-_English/01_-_Topic_wise/Srimad_Bhagavatam/Canto-03/SP_SB_3-26-20_Bombay_1974-12-29_We%27re_All_Asleep.mp3</t>
  </si>
  <si>
    <t>SB-03-26-20_1974-12-29_SB-BOMBAY.MP3</t>
  </si>
  <si>
    <t>https://audio.iskcondesiretree.com/01_-_Srila_Prabhupada/01_-_Lectures/01_-_English/02_-_Month_wise/12_-_December/29/SB-03-26-20_1974-12-29_SB-BOMBAY.MP3</t>
  </si>
  <si>
    <t>SB_3-26-20_BOM_1974-12-29_We%27re_All_Asleep.mp3</t>
  </si>
  <si>
    <t>https://audio.iskcondesiretree.com/01_-_Srila_Prabhupada/01_-_Lectures/01_-_English/02_-_Month_wise/12_-_December/29/SB_3-26-20_BOM_1974-12-29_We%27re_All_Asleep.mp3</t>
  </si>
  <si>
    <t>SP_SB_3-26-21_Bombay_1974-12-30_The_Only_Way_to_Peace_of_Mind.mp3</t>
  </si>
  <si>
    <t>https://audio.iskcondesiretree.com/01_-_Srila_Prabhupada/01_-_Lectures/01_-_English/01_-_Topic_wise/Srimad_Bhagavatam/Canto-03/SP_SB_3-26-21_Bombay_1974-12-30_The_Only_Way_to_Peace_of_Mind.mp3</t>
  </si>
  <si>
    <t>SB-03-26-21_1974-12-30_SB-BOMBAY.MP3</t>
  </si>
  <si>
    <t>https://audio.iskcondesiretree.com/01_-_Srila_Prabhupada/01_-_Lectures/01_-_English/02_-_Month_wise/12_-_December/30/SB-03-26-21_1974-12-30_SB-BOMBAY.MP3</t>
  </si>
  <si>
    <t>SP_SB_3-26-22_Bombay_1974-12-31_Our_Natural_Consciousness.mp3</t>
  </si>
  <si>
    <t>https://audio.iskcondesiretree.com/01_-_Srila_Prabhupada/01_-_Lectures/01_-_English/01_-_Topic_wise/Srimad_Bhagavatam/Canto-03/SP_SB_3-26-22_Bombay_1974-12-31_Our_Natural_Consciousness.mp3</t>
  </si>
  <si>
    <t>SB-03.26.22_1974-12-31_SB-BOMBAY.MP3</t>
  </si>
  <si>
    <t>https://audio.iskcondesiretree.com/01_-_Srila_Prabhupada/01_-_Lectures/01_-_English/02_-_Month_wise/12_-_December/31/SB-03.26.22_1974-12-31_SB-BOMBAY.MP3</t>
  </si>
  <si>
    <t>SP_SB_3-26-23_Bombay_1975-01-01_Slave_vs._Revolting_Mentality.mp3</t>
  </si>
  <si>
    <t>https://audio.iskcondesiretree.com/01_-_Srila_Prabhupada/01_-_Lectures/01_-_English/01_-_Topic_wise/Srimad_Bhagavatam/Canto-03/SP_SB_3-26-23_Bombay_1975-01-01_Slave_vs._Revolting_Mentality.mp3</t>
  </si>
  <si>
    <t>SB-03-26-23-24_1975-01-01-BOMBAY.MP3</t>
  </si>
  <si>
    <t>https://audio.iskcondesiretree.com/01_-_Srila_Prabhupada/01_-_Lectures/01_-_English/02_-_Month_wise/01_-_January/01/SB-03-26-23-24_1975-01-01-BOMBAY.MP3</t>
  </si>
  <si>
    <t>SB_3-26-23_BOM_1975-01-01_Slave_vs_Revolting_Mentality.mp3</t>
  </si>
  <si>
    <t>https://audio.iskcondesiretree.com/01_-_Srila_Prabhupada/01_-_Lectures/01_-_English/02_-_Month_wise/01_-_January/01/SB_3-26-23_BOM_1975-01-01_Slave_vs_Revolting_Mentality.mp3</t>
  </si>
  <si>
    <t>SP_SB_3-26-25_Bombay_1975-01-02_Secret_of_Satisfying_Everyone.mp3</t>
  </si>
  <si>
    <t>https://audio.iskcondesiretree.com/01_-_Srila_Prabhupada/01_-_Lectures/01_-_English/01_-_Topic_wise/Srimad_Bhagavatam/Canto-03/SP_SB_3-26-25_Bombay_1975-01-02_Secret_of_Satisfying_Everyone.mp3</t>
  </si>
  <si>
    <t>SB-03-26-25_1975-01-02_SB-BOMBAY.MP3</t>
  </si>
  <si>
    <t>https://audio.iskcondesiretree.com/01_-_Srila_Prabhupada/01_-_Lectures/01_-_English/02_-_Month_wise/01_-_January/02/SB-03-26-25_1975-01-02_SB-BOMBAY.MP3</t>
  </si>
  <si>
    <t>SB_3-26-25_BOM_1975-01-02_Secret_of_Satisfying_Everyone.mp3</t>
  </si>
  <si>
    <t>https://audio.iskcondesiretree.com/01_-_Srila_Prabhupada/01_-_Lectures/01_-_English/02_-_Month_wise/01_-_January/02/SB_3-26-25_BOM_1975-01-02_Secret_of_Satisfying_Everyone.mp3</t>
  </si>
  <si>
    <t>SP_SB_3-26-26_Bombay_1975-01-03_Breaking_Our_Karmic_Chains.mp3</t>
  </si>
  <si>
    <t>https://audio.iskcondesiretree.com/01_-_Srila_Prabhupada/01_-_Lectures/01_-_English/01_-_Topic_wise/Srimad_Bhagavatam/Canto-03/SP_SB_3-26-26_Bombay_1975-01-03_Breaking_Our_Karmic_Chains.mp3</t>
  </si>
  <si>
    <t>Conv_1975-01-03_R1-BOMBAY.MP3</t>
  </si>
  <si>
    <t>https://audio.iskcondesiretree.com/01_-_Srila_Prabhupada/01_-_Lectures/01_-_English/02_-_Month_wise/01_-_January/03/Conv_1975-01-03_R1-BOMBAY.MP3</t>
  </si>
  <si>
    <t>SB-03-26-26_1975-01-03_SB-BOMBAY.MP3</t>
  </si>
  <si>
    <t>https://audio.iskcondesiretree.com/01_-_Srila_Prabhupada/01_-_Lectures/01_-_English/02_-_Month_wise/01_-_January/03/SB-03-26-26_1975-01-03_SB-BOMBAY.MP3</t>
  </si>
  <si>
    <t>SB_3-26-26_BOM_1975-01-03_Breaking_Our_Karmic_Chains.mp3</t>
  </si>
  <si>
    <t>https://audio.iskcondesiretree.com/01_-_Srila_Prabhupada/01_-_Lectures/01_-_English/02_-_Month_wise/01_-_January/03/SB_3-26-26_BOM_1975-01-03_Breaking_Our_Karmic_Chains.mp3</t>
  </si>
  <si>
    <t>SP_SB_3-26-27_Bombay_1975-01-04_Controlling_the_Uncontrollable.mp3</t>
  </si>
  <si>
    <t>https://audio.iskcondesiretree.com/01_-_Srila_Prabhupada/01_-_Lectures/01_-_English/01_-_Topic_wise/Srimad_Bhagavatam/Canto-03/SP_SB_3-26-27_Bombay_1975-01-04_Controlling_the_Uncontrollable.mp3</t>
  </si>
  <si>
    <t>SB-03-26-27_1975-01-04_SB-BOMBAY.MP3</t>
  </si>
  <si>
    <t>https://audio.iskcondesiretree.com/01_-_Srila_Prabhupada/01_-_Lectures/01_-_English/02_-_Month_wise/01_-_January/04/SB-03-26-27_1975-01-04_SB-BOMBAY.MP3</t>
  </si>
  <si>
    <t>SB_3-26-27_BOM_1975-01-04_Controlling_the_Uncontrollable.mp3</t>
  </si>
  <si>
    <t>https://audio.iskcondesiretree.com/01_-_Srila_Prabhupada/01_-_Lectures/01_-_English/02_-_Month_wise/01_-_January/04/SB_3-26-27_BOM_1975-01-04_Controlling_the_Uncontrollable.mp3</t>
  </si>
  <si>
    <t>SP_SB_3-26-28_Bombay_1975-01-05_Centering_the_Central_Sense.mp3</t>
  </si>
  <si>
    <t>https://audio.iskcondesiretree.com/01_-_Srila_Prabhupada/01_-_Lectures/01_-_English/01_-_Topic_wise/Srimad_Bhagavatam/Canto-03/SP_SB_3-26-28_Bombay_1975-01-05_Centering_the_Central_Sense.mp3</t>
  </si>
  <si>
    <t>SB-03-26-28_1975-01-05_SB-BOMBAY.MP3</t>
  </si>
  <si>
    <t>https://audio.iskcondesiretree.com/01_-_Srila_Prabhupada/01_-_Lectures/01_-_English/02_-_Month_wise/01_-_January/05/SB-03-26-28_1975-01-05_SB-BOMBAY.MP3</t>
  </si>
  <si>
    <t>SB_3-26-28_BOM_1975-01-05_Centering_the_Central_Sense.mp3</t>
  </si>
  <si>
    <t>https://audio.iskcondesiretree.com/01_-_Srila_Prabhupada/01_-_Lectures/01_-_English/02_-_Month_wise/01_-_January/05/SB_3-26-28_BOM_1975-01-05_Centering_the_Central_Sense.mp3</t>
  </si>
  <si>
    <t>SP_SB_3-26-29_Bombay_1975-01-06_This_Body_Is_Imitation.mp3</t>
  </si>
  <si>
    <t>https://audio.iskcondesiretree.com/01_-_Srila_Prabhupada/01_-_Lectures/01_-_English/01_-_Topic_wise/Srimad_Bhagavatam/Canto-03/SP_SB_3-26-29_Bombay_1975-01-06_This_Body_Is_Imitation.mp3</t>
  </si>
  <si>
    <t>SB-03-26-29_1975-01-06_SB-BOMBAY.MP3</t>
  </si>
  <si>
    <t>https://audio.iskcondesiretree.com/01_-_Srila_Prabhupada/01_-_Lectures/01_-_English/02_-_Month_wise/01_-_January/06/SB-03-26-29_1975-01-06_SB-BOMBAY.MP3</t>
  </si>
  <si>
    <t>SB_3-26-29_BOM_1975-01-06_This_Body_Is_Imitation.mp3</t>
  </si>
  <si>
    <t>https://audio.iskcondesiretree.com/01_-_Srila_Prabhupada/01_-_Lectures/01_-_English/02_-_Month_wise/01_-_January/06/SB_3-26-29_BOM_1975-01-06_This_Body_Is_Imitation.mp3</t>
  </si>
  <si>
    <t>SP_SB_3-26-30_Bombay_1975-01-07_We_Should_Have_Firm_Faith.mp3</t>
  </si>
  <si>
    <t>https://audio.iskcondesiretree.com/01_-_Srila_Prabhupada/01_-_Lectures/01_-_English/01_-_Topic_wise/Srimad_Bhagavatam/Canto-03/SP_SB_3-26-30_Bombay_1975-01-07_We_Should_Have_Firm_Faith.mp3</t>
  </si>
  <si>
    <t>SB-03-26-30_1975-01-07_SB-BOMBAY.MP3</t>
  </si>
  <si>
    <t>https://audio.iskcondesiretree.com/01_-_Srila_Prabhupada/01_-_Lectures/01_-_English/02_-_Month_wise/01_-_January/07/SB-03-26-30_1975-01-07_SB-BOMBAY.MP3</t>
  </si>
  <si>
    <t>SB_3-26-30_BOM_1975-01-07_We_Should_Have_Firm_Faith.mp3</t>
  </si>
  <si>
    <t>https://audio.iskcondesiretree.com/01_-_Srila_Prabhupada/01_-_Lectures/01_-_English/02_-_Month_wise/01_-_January/07/SB_3-26-30_BOM_1975-01-07_We_Should_Have_Firm_Faith.mp3</t>
  </si>
  <si>
    <t>SP_SB_3-26-31_Bombay_1975-01-08_First-class_Yoga.mp3</t>
  </si>
  <si>
    <t>https://audio.iskcondesiretree.com/01_-_Srila_Prabhupada/01_-_Lectures/01_-_English/01_-_Topic_wise/Srimad_Bhagavatam/Canto-03/SP_SB_3-26-31_Bombay_1975-01-08_First-class_Yoga.mp3</t>
  </si>
  <si>
    <t>SB-03-26-31_1975-01-08_SB-BOMBAY.MP3</t>
  </si>
  <si>
    <t>https://audio.iskcondesiretree.com/01_-_Srila_Prabhupada/01_-_Lectures/01_-_English/02_-_Month_wise/01_-_January/08/SB-03-26-31_1975-01-08_SB-BOMBAY.MP3</t>
  </si>
  <si>
    <t>SB_3-26-31_BOM_1975-01-08_First-class_Yoga.mp3</t>
  </si>
  <si>
    <t>https://audio.iskcondesiretree.com/01_-_Srila_Prabhupada/01_-_Lectures/01_-_English/02_-_Month_wise/01_-_January/08/SB_3-26-31_BOM_1975-01-08_First-class_Yoga.mp3</t>
  </si>
  <si>
    <t>SP_SB_3-26-32_Bombay_1975-01-09_Creation--Sound_Explanation.mp3</t>
  </si>
  <si>
    <t>https://audio.iskcondesiretree.com/01_-_Srila_Prabhupada/01_-_Lectures/01_-_English/01_-_Topic_wise/Srimad_Bhagavatam/Canto-03/SP_SB_3-26-32_Bombay_1975-01-09_Creation--Sound_Explanation.mp3</t>
  </si>
  <si>
    <t>SB-03-26-32_1975-01-09_SB-BOMBAY.MP3</t>
  </si>
  <si>
    <t>https://audio.iskcondesiretree.com/01_-_Srila_Prabhupada/01_-_Lectures/01_-_English/02_-_Month_wise/01_-_January/09/SB-03-26-32_1975-01-09_SB-BOMBAY.MP3</t>
  </si>
  <si>
    <t>SB_3-26-32_BOM_1975-01-09_Creation-Sound_Explanation.mp3</t>
  </si>
  <si>
    <t>https://audio.iskcondesiretree.com/01_-_Srila_Prabhupada/01_-_Lectures/01_-_English/02_-_Month_wise/01_-_January/09/SB_3-26-32_BOM_1975-01-09_Creation-Sound_Explanation.mp3</t>
  </si>
  <si>
    <t>SP_SB_3-26-34_Bombay_1975-01-11_Passing_Life%27s_Final_Examination.mp3</t>
  </si>
  <si>
    <t>https://audio.iskcondesiretree.com/01_-_Srila_Prabhupada/01_-_Lectures/01_-_English/01_-_Topic_wise/Srimad_Bhagavatam/Canto-03/SP_SB_3-26-34_Bombay_1975-01-11_Passing_Life%27s_Final_Examination.mp3</t>
  </si>
  <si>
    <t>SB-03-26-34_1975-01-11_SB-BOMBAY.MP3</t>
  </si>
  <si>
    <t>https://audio.iskcondesiretree.com/01_-_Srila_Prabhupada/01_-_Lectures/01_-_English/02_-_Month_wise/01_-_January/11/SB-03-26-34_1975-01-11_SB-BOMBAY.MP3</t>
  </si>
  <si>
    <t>SB_3-26-34_BOM_1975-01-11_Passing_Life%27s_Final_Examination.mp3</t>
  </si>
  <si>
    <t>https://audio.iskcondesiretree.com/01_-_Srila_Prabhupada/01_-_Lectures/01_-_English/02_-_Month_wise/01_-_January/11/SB_3-26-34_BOM_1975-01-11_Passing_Life%27s_Final_Examination.mp3</t>
  </si>
  <si>
    <t>SP_SB_3-26-35_Bombay_1975-01-12_Tolerance_of_Matter%27s_Touch.mp3</t>
  </si>
  <si>
    <t>https://audio.iskcondesiretree.com/01_-_Srila_Prabhupada/01_-_Lectures/01_-_English/01_-_Topic_wise/Srimad_Bhagavatam/Canto-03/SP_SB_3-26-35_Bombay_1975-01-12_Tolerance_of_Matter%27s_Touch.mp3</t>
  </si>
  <si>
    <t>SB-03-26-35%E2%80%9336_1975-01-12_SB-BOMBAY.MP3</t>
  </si>
  <si>
    <t>https://audio.iskcondesiretree.com/01_-_Srila_Prabhupada/01_-_Lectures/01_-_English/02_-_Month_wise/01_-_January/12/SB-03-26-35%E2%80%9336_1975-01-12_SB-BOMBAY.MP3</t>
  </si>
  <si>
    <t>SB_3-26-35_BOM_1975-01-12_Tolerance_of_Matter%27s_Touch.mp3</t>
  </si>
  <si>
    <t>https://audio.iskcondesiretree.com/01_-_Srila_Prabhupada/01_-_Lectures/01_-_English/02_-_Month_wise/01_-_January/12/SB_3-26-35_BOM_1975-01-12_Tolerance_of_Matter%27s_Touch.mp3</t>
  </si>
  <si>
    <t>SP_SB_3-26-39_Bombay_1975-01-14_Forest_Fire_of_False_Ego.mp3</t>
  </si>
  <si>
    <t>https://audio.iskcondesiretree.com/01_-_Srila_Prabhupada/01_-_Lectures/01_-_English/01_-_Topic_wise/Srimad_Bhagavatam/Canto-03/SP_SB_3-26-39_Bombay_1975-01-14_Forest_Fire_of_False_Ego.mp3</t>
  </si>
  <si>
    <t>SB-03-26-39_1975-01-14_SB-BOMBAY.MP3</t>
  </si>
  <si>
    <t>https://audio.iskcondesiretree.com/01_-_Srila_Prabhupada/01_-_Lectures/01_-_English/02_-_Month_wise/01_-_January/14/SB-03-26-39_1975-01-14_SB-BOMBAY.MP3</t>
  </si>
  <si>
    <t>SB_3-26-39_BOM_1975-01-14_Forest_Fire_of_False_Ego.mp3</t>
  </si>
  <si>
    <t>https://audio.iskcondesiretree.com/01_-_Srila_Prabhupada/01_-_Lectures/01_-_English/02_-_Month_wise/01_-_January/14/SB_3-26-39_BOM_1975-01-14_Forest_Fire_of_False_Ego.mp3</t>
  </si>
  <si>
    <t>SP_SB_3-26-40_Bombay_1975-01-15_Study_Krishna_Analytically.mp3</t>
  </si>
  <si>
    <t>https://audio.iskcondesiretree.com/01_-_Srila_Prabhupada/01_-_Lectures/01_-_English/01_-_Topic_wise/Srimad_Bhagavatam/Canto-03/SP_SB_3-26-40_Bombay_1975-01-15_Study_Krishna_Analytically.mp3</t>
  </si>
  <si>
    <t>SB-03-26-40_1975-01-15_SB-BOMBAY.MP3</t>
  </si>
  <si>
    <t>https://audio.iskcondesiretree.com/01_-_Srila_Prabhupada/01_-_Lectures/01_-_English/02_-_Month_wise/01_-_January/15/SB-03-26-40_1975-01-15_SB-BOMBAY.MP3</t>
  </si>
  <si>
    <t>SB_3-26-40_BOM_1975-01-15_Study_Krishna_Analytically.mp3</t>
  </si>
  <si>
    <t>https://audio.iskcondesiretree.com/01_-_Srila_Prabhupada/01_-_Lectures/01_-_English/02_-_Month_wise/01_-_January/15/SB_3-26-40_BOM_1975-01-15_Study_Krishna_Analytically.mp3</t>
  </si>
  <si>
    <t>SP_SB_3-26-41_Bombay_1975-01-16_Working_of_Universal_Machinery.mp3</t>
  </si>
  <si>
    <t>https://audio.iskcondesiretree.com/01_-_Srila_Prabhupada/01_-_Lectures/01_-_English/01_-_Topic_wise/Srimad_Bhagavatam/Canto-03/SP_SB_3-26-41_Bombay_1975-01-16_Working_of_Universal_Machinery.mp3</t>
  </si>
  <si>
    <t>SB-03-26-41_1975-01-16_SB-BOMBAY.MP3</t>
  </si>
  <si>
    <t>https://audio.iskcondesiretree.com/01_-_Srila_Prabhupada/01_-_Lectures/01_-_English/02_-_Month_wise/01_-_January/16/SB-03-26-41_1975-01-16_SB-BOMBAY.MP3</t>
  </si>
  <si>
    <t>SB_3-26-41_BOM_1975-01-16_Working_of_Universal_Machinery.mp3</t>
  </si>
  <si>
    <t>https://audio.iskcondesiretree.com/01_-_Srila_Prabhupada/01_-_Lectures/01_-_English/02_-_Month_wise/01_-_January/16/SB_3-26-41_BOM_1975-01-16_Working_of_Universal_Machinery.mp3</t>
  </si>
  <si>
    <t>SP_SB_3-26-42_Bombay_1975-01-17_Universal_Mixer_%26_Taste_Maker.mp3</t>
  </si>
  <si>
    <t>https://audio.iskcondesiretree.com/01_-_Srila_Prabhupada/01_-_Lectures/01_-_English/01_-_Topic_wise/Srimad_Bhagavatam/Canto-03/SP_SB_3-26-42_Bombay_1975-01-17_Universal_Mixer_%26_Taste_Maker.mp3</t>
  </si>
  <si>
    <t>SB-03-26-42_1975-01-17_SB-BOMBAY.MP3</t>
  </si>
  <si>
    <t>https://audio.iskcondesiretree.com/01_-_Srila_Prabhupada/01_-_Lectures/01_-_English/02_-_Month_wise/01_-_January/17/SB-03-26-42_1975-01-17_SB-BOMBAY.MP3</t>
  </si>
  <si>
    <t>SB_3-26-42_BOM_1975-01-17_Universal_Mixer_%26_Taste_Maker.mp3</t>
  </si>
  <si>
    <t>https://audio.iskcondesiretree.com/01_-_Srila_Prabhupada/01_-_Lectures/01_-_English/02_-_Month_wise/01_-_January/17/SB_3-26-42_BOM_1975-01-17_Universal_Mixer_%26_Taste_Maker.mp3</t>
  </si>
  <si>
    <t>SP_SB_3-26-43_Bombay_1975-01-18_Refreshment_for_Parched_Mind.mp3</t>
  </si>
  <si>
    <t>https://audio.iskcondesiretree.com/01_-_Srila_Prabhupada/01_-_Lectures/01_-_English/01_-_Topic_wise/Srimad_Bhagavatam/Canto-03/SP_SB_3-26-43_Bombay_1975-01-18_Refreshment_for_Parched_Mind.mp3</t>
  </si>
  <si>
    <t>SB-03-26-43_1975-01-18_SB-BOMBAY.MP3</t>
  </si>
  <si>
    <t>https://audio.iskcondesiretree.com/01_-_Srila_Prabhupada/01_-_Lectures/01_-_English/02_-_Month_wise/01_-_January/18/SB-03-26-43_1975-01-18_SB-BOMBAY.MP3</t>
  </si>
  <si>
    <t>SB_3-26-43_BOM_1975-01-18_Refreshment_for_Parched_Mind.mp3</t>
  </si>
  <si>
    <t>https://audio.iskcondesiretree.com/01_-_Srila_Prabhupada/01_-_Lectures/01_-_English/02_-_Month_wise/01_-_January/18/SB_3-26-43_BOM_1975-01-18_Refreshment_for_Parched_Mind.mp3</t>
  </si>
  <si>
    <t>SP_SB_3-26-44_Bombay_1975-01-19_Pure_Love.mp3</t>
  </si>
  <si>
    <t>https://audio.iskcondesiretree.com/01_-_Srila_Prabhupada/01_-_Lectures/01_-_English/01_-_Topic_wise/Srimad_Bhagavatam/Canto-03/SP_SB_3-26-44_Bombay_1975-01-19_Pure_Love.mp3</t>
  </si>
  <si>
    <t>SB-03-26-44_1975-01-19_SB-BOMBAY.MP3</t>
  </si>
  <si>
    <t>https://audio.iskcondesiretree.com/01_-_Srila_Prabhupada/01_-_Lectures/01_-_English/02_-_Month_wise/01_-_January/19/SB-03-26-44_1975-01-19_SB-BOMBAY.MP3</t>
  </si>
  <si>
    <t>SB_3-26-44_BOM_1975-01-19_Pure_Love.mp3</t>
  </si>
  <si>
    <t>https://audio.iskcondesiretree.com/01_-_Srila_Prabhupada/01_-_Lectures/01_-_English/02_-_Month_wise/01_-_January/19/SB_3-26-44_BOM_1975-01-19_Pure_Love.mp3</t>
  </si>
  <si>
    <t>SP_SB_3-26-45_Bombay_1975-01-20_Transcendental_Transaction.mp3</t>
  </si>
  <si>
    <t>https://audio.iskcondesiretree.com/01_-_Srila_Prabhupada/01_-_Lectures/01_-_English/01_-_Topic_wise/Srimad_Bhagavatam/Canto-03/SP_SB_3-26-45_Bombay_1975-01-20_Transcendental_Transaction.mp3</t>
  </si>
  <si>
    <t>SB-03-26-45_1975-01-20_SB-BOMBAY.MP3</t>
  </si>
  <si>
    <t>https://audio.iskcondesiretree.com/01_-_Srila_Prabhupada/01_-_Lectures/01_-_English/02_-_Month_wise/01_-_January/20/SB-03-26-45_1975-01-20_SB-BOMBAY.MP3</t>
  </si>
  <si>
    <t>SB_3-26-45_BOM_1975-01-20_Transcendental_Transaction.mp3</t>
  </si>
  <si>
    <t>https://audio.iskcondesiretree.com/01_-_Srila_Prabhupada/01_-_Lectures/01_-_English/02_-_Month_wise/01_-_January/20/SB_3-26-45_BOM_1975-01-20_Transcendental_Transaction.mp3</t>
  </si>
  <si>
    <t>SP_SB_3-26-46_Bombay_1975-01-21_Putting_Krishna_in_His_Place.mp3</t>
  </si>
  <si>
    <t>https://audio.iskcondesiretree.com/01_-_Srila_Prabhupada/01_-_Lectures/01_-_English/01_-_Topic_wise/Srimad_Bhagavatam/Canto-03/SP_SB_3-26-46_Bombay_1975-01-21_Putting_Krishna_in_His_Place.mp3</t>
  </si>
  <si>
    <t>SB-03-26-46_1975-01-21_SB-BOMBAY.MP3</t>
  </si>
  <si>
    <t>https://audio.iskcondesiretree.com/01_-_Srila_Prabhupada/01_-_Lectures/01_-_English/02_-_Month_wise/01_-_January/21/SB-03-26-46_1975-01-21_SB-BOMBAY.MP3</t>
  </si>
  <si>
    <t>SB_3-26-46_BOM_1975-01-21_Putting_Krishna_in_His_Place.mp3</t>
  </si>
  <si>
    <t>https://audio.iskcondesiretree.com/01_-_Srila_Prabhupada/01_-_Lectures/01_-_English/02_-_Month_wise/01_-_January/21/SB_3-26-46_BOM_1975-01-21_Putting_Krishna_in_His_Place.mp3</t>
  </si>
  <si>
    <t>SP_SB_3-26-47_Bombay_1975-01-22_Dead_Sound--Living_Sound.mp3</t>
  </si>
  <si>
    <t>https://audio.iskcondesiretree.com/01_-_Srila_Prabhupada/01_-_Lectures/01_-_English/01_-_Topic_wise/Srimad_Bhagavatam/Canto-03/SP_SB_3-26-47_Bombay_1975-01-22_Dead_Sound--Living_Sound.mp3</t>
  </si>
  <si>
    <t>SB-03-26-47_1975-01-22_SB-BOMBAY.MP3</t>
  </si>
  <si>
    <t>https://audio.iskcondesiretree.com/01_-_Srila_Prabhupada/01_-_Lectures/01_-_English/02_-_Month_wise/01_-_January/22/SB-03-26-47_1975-01-22_SB-BOMBAY.MP3</t>
  </si>
  <si>
    <t>SB_3-26-47_BOM_1975-01-22_Dead_Sound--Living_Sound.mp3</t>
  </si>
  <si>
    <t>https://audio.iskcondesiretree.com/01_-_Srila_Prabhupada/01_-_Lectures/01_-_English/02_-_Month_wise/01_-_January/22/SB_3-26-47_BOM_1975-01-22_Dead_Sound--Living_Sound.mp3</t>
  </si>
  <si>
    <t>SP_BG_16-07-09_Bombay_1975-01-23_Cornerstone_for_Godly_Civilization.mp3</t>
  </si>
  <si>
    <t>https://audio.iskcondesiretree.com/01_-_Srila_Prabhupada/01_-_Lectures/01_-_English/01_-_Topic_wise/Bhagavad_Gita/Chapter-16/SP_BG_16-07-09_Bombay_1975-01-23_Cornerstone_for_Godly_Civilization.mp3</t>
  </si>
  <si>
    <t>Bg-16-07%E2%80%9309_1975-01-23_CS-BOMBAY.MP3</t>
  </si>
  <si>
    <t>https://audio.iskcondesiretree.com/01_-_Srila_Prabhupada/01_-_Lectures/01_-_English/02_-_Month_wise/01_-_January/23/Bg-16-07%E2%80%9309_1975-01-23_CS-BOMBAY.MP3</t>
  </si>
  <si>
    <t>Bg_16-07_BOM_1975-01-23_Cornerstone_for_Godly_Civilization.mp3</t>
  </si>
  <si>
    <t>https://audio.iskcondesiretree.com/01_-_Srila_Prabhupada/01_-_Lectures/01_-_English/02_-_Month_wise/01_-_January/23/Bg_16-07_BOM_1975-01-23_Cornerstone_for_Godly_Civilization.mp3</t>
  </si>
  <si>
    <t>SP_BG_07-01_Hong_Kong_1975-01-25_Transfer_Your_Attachment.mp3</t>
  </si>
  <si>
    <t>https://audio.iskcondesiretree.com/01_-_Srila_Prabhupada/01_-_Lectures/01_-_English/01_-_Topic_wise/Bhagavad_Gita/Chapter-07/SP_BG_07-01_Hong_Kong_1975-01-25_Transfer_Your_Attachment.mp3</t>
  </si>
  <si>
    <t>Bg-07-01_1975-01-25_BG-HONG%20KONG.MP3</t>
  </si>
  <si>
    <t>https://audio.iskcondesiretree.com/01_-_Srila_Prabhupada/01_-_Lectures/01_-_English/02_-_Month_wise/01_-_January/25/Bg-07-01_1975-01-25_BG-HONG%20KONG.MP3</t>
  </si>
  <si>
    <t>Bg_07-01_HK_1975-01-25_Transfer_Your_Attachment.mp3</t>
  </si>
  <si>
    <t>https://audio.iskcondesiretree.com/01_-_Srila_Prabhupada/01_-_Lectures/01_-_English/02_-_Month_wise/01_-_January/25/Bg_07-01_HK_1975-01-25_Transfer_Your_Attachment.mp3</t>
  </si>
  <si>
    <t>SP_Room_Conversation_Hong_Kong_1975-01-26_Children--This_Is_Yoga.mp3</t>
  </si>
  <si>
    <t>https://audio.iskcondesiretree.com/01_-_Srila_Prabhupada/01_-_Lectures/01_-_English/01_-_Topic_wise/Room_Conversation/SP_Room_Conversation_Hong_Kong_1975-01-26_Children--This_Is_Yoga.mp3</t>
  </si>
  <si>
    <t>Darshan_1975-01-26_CD-HONG%20KONG.MP3</t>
  </si>
  <si>
    <t>https://audio.iskcondesiretree.com/01_-_Srila_Prabhupada/01_-_Lectures/01_-_English/02_-_Month_wise/01_-_January/26/Darshan_1975-01-26_CD-HONG%20KONG.MP3</t>
  </si>
  <si>
    <t>RC_HK_1975-01-26_Children-This_Is_Yoga.mp3</t>
  </si>
  <si>
    <t>https://audio.iskcondesiretree.com/01_-_Srila_Prabhupada/01_-_Lectures/01_-_English/02_-_Month_wise/01_-_January/26/RC_HK_1975-01-26_Children-This_Is_Yoga.mp3</t>
  </si>
  <si>
    <t>SP_BG_16-07_Tokyo_1975-01-27_Turning_Asuras_Into_Suras.mp3</t>
  </si>
  <si>
    <t>https://audio.iskcondesiretree.com/01_-_Srila_Prabhupada/01_-_Lectures/01_-_English/01_-_Topic_wise/Bhagavad_Gita/Chapter-16/SP_BG_16-07_Tokyo_1975-01-27_Turning_Asuras_Into_Suras.mp3</t>
  </si>
  <si>
    <t>SP_Room_Conversation_Tokyo_1975-01-27_%27Mixture%27_Means_Mixer.mp3</t>
  </si>
  <si>
    <t>https://audio.iskcondesiretree.com/01_-_Srila_Prabhupada/01_-_Lectures/01_-_English/01_-_Topic_wise/Room_Conversation/SP_Room_Conversation_Tokyo_1975-01-27_%27Mixture%27_Means_Mixer.mp3</t>
  </si>
  <si>
    <t>Bg-16-07_1975-01-27_BG-TOKYO.MP3</t>
  </si>
  <si>
    <t>https://audio.iskcondesiretree.com/01_-_Srila_Prabhupada/01_-_Lectures/01_-_English/02_-_Month_wise/01_-_January/27/Bg-16-07_1975-01-27_BG-TOKYO.MP3</t>
  </si>
  <si>
    <t>Bg_16-07_TOK_1975-01-27_Turning_Asuras_Into_Suras.mp3</t>
  </si>
  <si>
    <t>https://audio.iskcondesiretree.com/01_-_Srila_Prabhupada/01_-_Lectures/01_-_English/02_-_Month_wise/01_-_January/27/Bg_16-07_TOK_1975-01-27_Turning_Asuras_Into_Suras.mp3</t>
  </si>
  <si>
    <t>Conv_1975-01-27_R1-TOKYO.MP3</t>
  </si>
  <si>
    <t>https://audio.iskcondesiretree.com/01_-_Srila_Prabhupada/01_-_Lectures/01_-_English/02_-_Month_wise/01_-_January/27/Conv_1975-01-27_R1-TOKYO.MP3</t>
  </si>
  <si>
    <t>RC_TOK_1975-01-27_Mixture_Means_Mixer.mp3</t>
  </si>
  <si>
    <t>https://audio.iskcondesiretree.com/01_-_Srila_Prabhupada/01_-_Lectures/01_-_English/02_-_Month_wise/01_-_January/27/RC_TOK_1975-01-27_Mixture_Means_Mixer.mp3</t>
  </si>
  <si>
    <t>SP_BG_16-08_Tokyo_1975-01-28_The_Unseen_Controller.mp3</t>
  </si>
  <si>
    <t>https://audio.iskcondesiretree.com/01_-_Srila_Prabhupada/01_-_Lectures/01_-_English/01_-_Topic_wise/Bhagavad_Gita/Chapter-16/SP_BG_16-08_Tokyo_1975-01-28_The_Unseen_Controller.mp3</t>
  </si>
  <si>
    <t>Bg-16-08_1975-01-28_BG-TOKYO.MP3</t>
  </si>
  <si>
    <t>https://audio.iskcondesiretree.com/01_-_Srila_Prabhupada/01_-_Lectures/01_-_English/02_-_Month_wise/01_-_January/28/Bg-16-08_1975-01-28_BG-TOKYO.MP3</t>
  </si>
  <si>
    <t>Bg_16-08_TOK_1975-01-28_The_Unseen_Controller.mp3</t>
  </si>
  <si>
    <t>https://audio.iskcondesiretree.com/01_-_Srila_Prabhupada/01_-_Lectures/01_-_English/02_-_Month_wise/01_-_January/28/Bg_16-08_TOK_1975-01-28_The_Unseen_Controller.mp3</t>
  </si>
  <si>
    <t>SP_BG_16-01_Hawaii_1975-01-29_The_Cure_for_Fear.mp3</t>
  </si>
  <si>
    <t>https://audio.iskcondesiretree.com/01_-_Srila_Prabhupada/01_-_Lectures/01_-_English/01_-_Topic_wise/Bhagavad_Gita/Chapter-16/SP_BG_16-01_Hawaii_1975-01-29_The_Cure_for_Fear.mp3</t>
  </si>
  <si>
    <t>Bg-16-01%E2%80%9303_1975-01-29_BG-HONOLULU.MP3</t>
  </si>
  <si>
    <t>https://audio.iskcondesiretree.com/01_-_Srila_Prabhupada/01_-_Lectures/01_-_English/02_-_Month_wise/01_-_January/29/Bg-16-01%E2%80%9303_1975-01-29_BG-HONOLULU.MP3</t>
  </si>
  <si>
    <t>Bg_16-01_HAW_1975-01-29_The_Cure_for_Fear.mp3</t>
  </si>
  <si>
    <t>https://audio.iskcondesiretree.com/01_-_Srila_Prabhupada/01_-_Lectures/01_-_English/02_-_Month_wise/01_-_January/29/Bg_16-01_HAW_1975-01-29_The_Cure_for_Fear.mp3</t>
  </si>
  <si>
    <t>SP_BG_16-04_Hawaii_1975-01-30_Become_Devotee_or_Remain_Demon.mp3</t>
  </si>
  <si>
    <t>https://audio.iskcondesiretree.com/01_-_Srila_Prabhupada/01_-_Lectures/01_-_English/01_-_Topic_wise/Bhagavad_Gita/Chapter-16/SP_BG_16-04_Hawaii_1975-01-30_Become_Devotee_or_Remain_Demon.mp3</t>
  </si>
  <si>
    <t>Bg-16-04_1975-01-30_BG-HONOLULU.MP3</t>
  </si>
  <si>
    <t>https://audio.iskcondesiretree.com/01_-_Srila_Prabhupada/01_-_Lectures/01_-_English/02_-_Month_wise/01_-_January/30/Bg-16-04_1975-01-30_BG-HONOLULU.MP3</t>
  </si>
  <si>
    <t>Bg_16-04_HAW_1975-01-30_Become_Devotee_or_Remain_Demon.mp3</t>
  </si>
  <si>
    <t>https://audio.iskcondesiretree.com/01_-_Srila_Prabhupada/01_-_Lectures/01_-_English/02_-_Month_wise/01_-_January/30/Bg_16-04_HAW_1975-01-30_Become_Devotee_or_Remain_Demon.mp3</t>
  </si>
  <si>
    <t>SP_BG_16-05_Hawaii_1975-01-31_Becoming_a_Dog.mp3</t>
  </si>
  <si>
    <t>https://audio.iskcondesiretree.com/01_-_Srila_Prabhupada/01_-_Lectures/01_-_English/01_-_Topic_wise/Bhagavad_Gita/Chapter-16/SP_BG_16-05_Hawaii_1975-01-31_Becoming_a_Dog.mp3</t>
  </si>
  <si>
    <t>Bg-16-05_1975-01-31_BG-HONOLULU.MP3</t>
  </si>
  <si>
    <t>https://audio.iskcondesiretree.com/01_-_Srila_Prabhupada/01_-_Lectures/01_-_English/02_-_Month_wise/01_-_January/31/Bg-16-05_1975-01-31_BG-HONOLULU.MP3</t>
  </si>
  <si>
    <t>Bg_16-05_HAW_1975-01-31_Becoming_a_Dog.mp3</t>
  </si>
  <si>
    <t>https://audio.iskcondesiretree.com/01_-_Srila_Prabhupada/01_-_Lectures/01_-_English/02_-_Month_wise/01_-_January/31/Bg_16-05_HAW_1975-01-31_Becoming_a_Dog.mp3</t>
  </si>
  <si>
    <t>SP_BG_16-06_Hawaii_1975-02-02_Education_in_Becoming_Divine.mp3</t>
  </si>
  <si>
    <t>https://audio.iskcondesiretree.com/01_-_Srila_Prabhupada/01_-_Lectures/01_-_English/01_-_Topic_wise/Bhagavad_Gita/Chapter-16/SP_BG_16-06_Hawaii_1975-02-02_Education_in_Becoming_Divine.mp3</t>
  </si>
  <si>
    <t>Bg-16-06_1975-02-02BG-HONOLULU.MP3</t>
  </si>
  <si>
    <t>https://audio.iskcondesiretree.com/01_-_Srila_Prabhupada/01_-_Lectures/01_-_English/02_-_Month_wise/02_-_Feburary/02/Bg-16-06_1975-02-02BG-HONOLULU.MP3</t>
  </si>
  <si>
    <t>Bg_16-06_HAW_1975-02-02_Education_in_Becoming_Divine.mp3</t>
  </si>
  <si>
    <t>https://audio.iskcondesiretree.com/01_-_Srila_Prabhupada/01_-_Lectures/01_-_English/02_-_Month_wise/02_-_Feburary/02/Bg_16-06_HAW_1975-02-02_Education_in_Becoming_Divine.mp3</t>
  </si>
  <si>
    <t>SP_BG_16-07_Hawaii_1975-02-03_The_Demonic_Want_Degradation.mp3</t>
  </si>
  <si>
    <t>https://audio.iskcondesiretree.com/01_-_Srila_Prabhupada/01_-_Lectures/01_-_English/01_-_Topic_wise/Bhagavad_Gita/Chapter-16/SP_BG_16-07_Hawaii_1975-02-03_The_Demonic_Want_Degradation.mp3</t>
  </si>
  <si>
    <t>SP_Morning_Walk_-_Hawaii_1975-02-03_Must_All_Devotees_Live_in_Temple.mp3</t>
  </si>
  <si>
    <t>https://audio.iskcondesiretree.com/01_-_Srila_Prabhupada/01_-_Lectures/01_-_English/01_-_Topic_wise/Morning_Walk/SP_Morning_Walk_-_Hawaii_1975-02-03_Must_All_Devotees_Live_in_Temple.mp3</t>
  </si>
  <si>
    <t>Bg-16-07_1975-02-03_BG-HONOLULU.MP3</t>
  </si>
  <si>
    <t>https://audio.iskcondesiretree.com/01_-_Srila_Prabhupada/01_-_Lectures/01_-_English/02_-_Month_wise/02_-_Feburary/03/Bg-16-07_1975-02-03_BG-HONOLULU.MP3</t>
  </si>
  <si>
    <t>Bg_16-07_HAW_1975-02-03_The_Demonic_Want_Degradation.mp3</t>
  </si>
  <si>
    <t>https://audio.iskcondesiretree.com/01_-_Srila_Prabhupada/01_-_Lectures/01_-_English/02_-_Month_wise/02_-_Feburary/03/Bg_16-07_HAW_1975-02-03_The_Demonic_Want_Degradation.mp3</t>
  </si>
  <si>
    <t>MW_HAW_1975-02-03_Must_All_Devotees_Live_in_Temple.mp3</t>
  </si>
  <si>
    <t>https://audio.iskcondesiretree.com/01_-_Srila_Prabhupada/01_-_Lectures/01_-_English/02_-_Month_wise/02_-_Feburary/03/MW_HAW_1975-02-03_Must_All_Devotees_Live_in_Temple.mp3</t>
  </si>
  <si>
    <t>Walk_1975-02-03_MW-HONOLULU.MP3</t>
  </si>
  <si>
    <t>https://audio.iskcondesiretree.com/01_-_Srila_Prabhupada/01_-_Lectures/01_-_English/02_-_Month_wise/02_-_Feburary/03/Walk_1975-02-03_MW-HONOLULU.MP3</t>
  </si>
  <si>
    <t>SP_BG_16-08_Hawaii_1975-02-04_Who_Is_Demon_and_Who_Is_Divine.mp3</t>
  </si>
  <si>
    <t>https://audio.iskcondesiretree.com/01_-_Srila_Prabhupada/01_-_Lectures/01_-_English/01_-_Topic_wise/Bhagavad_Gita/Chapter-16/SP_BG_16-08_Hawaii_1975-02-04_Who_Is_Demon_and_Who_Is_Divine.mp3</t>
  </si>
  <si>
    <t>Bg-16-08_1975-02-04_BG-HONOLULU.MP3</t>
  </si>
  <si>
    <t>https://audio.iskcondesiretree.com/01_-_Srila_Prabhupada/01_-_Lectures/01_-_English/02_-_Month_wise/02_-_Feburary/04/Bg-16-08_1975-02-04_BG-HONOLULU.MP3</t>
  </si>
  <si>
    <t>Bg_16-08_HAW_1975-02-04_Who_Is_Demon_and_Who_Is_Divine.mp3</t>
  </si>
  <si>
    <t>https://audio.iskcondesiretree.com/01_-_Srila_Prabhupada/01_-_Lectures/01_-_English/02_-_Month_wise/02_-_Feburary/04/Bg_16-08_HAW_1975-02-04_Who_Is_Demon_and_Who_Is_Divine.mp3</t>
  </si>
  <si>
    <t>Walk_1975-02-04_MW-HONOLULU.MP3</t>
  </si>
  <si>
    <t>https://audio.iskcondesiretree.com/01_-_Srila_Prabhupada/01_-_Lectures/01_-_English/02_-_Month_wise/02_-_Feburary/04/Walk_1975-02-04_MW-HONOLULU.MP3</t>
  </si>
  <si>
    <t>SP_BG_16-09_Hawaii_1975-02-05_The_Demonic-No_Sense_of_God.mp3</t>
  </si>
  <si>
    <t>https://audio.iskcondesiretree.com/01_-_Srila_Prabhupada/01_-_Lectures/01_-_English/01_-_Topic_wise/Bhagavad_Gita/Chapter-16/SP_BG_16-09_Hawaii_1975-02-05_The_Demonic-No_Sense_of_God.mp3</t>
  </si>
  <si>
    <t>Bg-16-09_1975-02-05_BG-HONOLULU.MP3</t>
  </si>
  <si>
    <t>https://audio.iskcondesiretree.com/01_-_Srila_Prabhupada/01_-_Lectures/01_-_English/02_-_Month_wise/02_-_Feburary/05/Bg-16-09_1975-02-05_BG-HONOLULU.MP3</t>
  </si>
  <si>
    <t>Bg_16-09_HAW_1975-02-05_The_Demonic-No_Sense_of_God.mp3</t>
  </si>
  <si>
    <t>https://audio.iskcondesiretree.com/01_-_Srila_Prabhupada/01_-_Lectures/01_-_English/02_-_Month_wise/02_-_Feburary/05/Bg_16-09_HAW_1975-02-05_The_Demonic-No_Sense_of_God.mp3</t>
  </si>
  <si>
    <t>SP_BG_16-10_Hawaii_1975-02-06_The_Demonic_Attitude.mp3</t>
  </si>
  <si>
    <t>https://audio.iskcondesiretree.com/01_-_Srila_Prabhupada/01_-_Lectures/01_-_English/01_-_Topic_wise/Bhagavad_Gita/Chapter-16/SP_BG_16-10_Hawaii_1975-02-06_The_Demonic_Attitude.mp3</t>
  </si>
  <si>
    <t>Bg-16-10_1975-02-06_BG-HONOLULU.MP3</t>
  </si>
  <si>
    <t>https://audio.iskcondesiretree.com/01_-_Srila_Prabhupada/01_-_Lectures/01_-_English/02_-_Month_wise/02_-_Feburary/06/Bg-16-10_1975-02-06_BG-HONOLULU.MP3</t>
  </si>
  <si>
    <t>Bg_16-10_HAW_1975-02-06_The_Demonic_Attitude.mp3</t>
  </si>
  <si>
    <t>https://audio.iskcondesiretree.com/01_-_Srila_Prabhupada/01_-_Lectures/01_-_English/02_-_Month_wise/02_-_Feburary/06/Bg_16-10_HAW_1975-02-06_The_Demonic_Attitude.mp3</t>
  </si>
  <si>
    <t>SP_BG_16-11_Hawaii_1975-02-07_Anxiety_Unlimited.mp3</t>
  </si>
  <si>
    <t>https://audio.iskcondesiretree.com/01_-_Srila_Prabhupada/01_-_Lectures/01_-_English/01_-_Topic_wise/Bhagavad_Gita/Chapter-16/SP_BG_16-11_Hawaii_1975-02-07_Anxiety_Unlimited.mp3</t>
  </si>
  <si>
    <t>Bg-16-11%E2%80%9312_1975-02-07_BG-HONOLULU.MP3</t>
  </si>
  <si>
    <t>https://audio.iskcondesiretree.com/01_-_Srila_Prabhupada/01_-_Lectures/01_-_English/02_-_Month_wise/02_-_Feburary/07/Bg-16-11%E2%80%9312_1975-02-07_BG-HONOLULU.MP3</t>
  </si>
  <si>
    <t>Bg_16-11_HAW_1975-02-07_Anxiety_Unlimited.mp3</t>
  </si>
  <si>
    <t>https://audio.iskcondesiretree.com/01_-_Srila_Prabhupada/01_-_Lectures/01_-_English/02_-_Month_wise/02_-_Feburary/07/Bg_16-11_HAW_1975-02-07_Anxiety_Unlimited.mp3</t>
  </si>
  <si>
    <t>SP_BG_16-13-15_Hawaii_1975-02-08_Devotional_and_Demonic_Desires.MP3</t>
  </si>
  <si>
    <t>https://audio.iskcondesiretree.com/01_-_Srila_Prabhupada/01_-_Lectures/01_-_English/01_-_Topic_wise/Bhagavad_Gita/Chapter-16/SP_BG_16-13-15_Hawaii_1975-02-08_Devotional_and_Demonic_Desires.MP3</t>
  </si>
  <si>
    <t>SP_BG_16-13_Hawaii_1975-02-08_Devotional_and_Demonic_Desires.mp3</t>
  </si>
  <si>
    <t>https://audio.iskcondesiretree.com/01_-_Srila_Prabhupada/01_-_Lectures/01_-_English/01_-_Topic_wise/Bhagavad_Gita/Chapter-16/SP_BG_16-13_Hawaii_1975-02-08_Devotional_and_Demonic_Desires.mp3</t>
  </si>
  <si>
    <t>Bg-16-13%E2%80%9315_1975-02-08_BG-HONOLULU.MP3</t>
  </si>
  <si>
    <t>https://audio.iskcondesiretree.com/01_-_Srila_Prabhupada/01_-_Lectures/01_-_English/02_-_Month_wise/02_-_Feburary/08/Bg-16-13%E2%80%9315_1975-02-08_BG-HONOLULU.MP3</t>
  </si>
  <si>
    <t>Bg_16-13_HAW_1975-02-08_Devotional_and_Demonic_Desires.mp3</t>
  </si>
  <si>
    <t>https://audio.iskcondesiretree.com/01_-_Srila_Prabhupada/01_-_Lectures/01_-_English/02_-_Month_wise/02_-_Feburary/08/Bg_16-13_HAW_1975-02-08_Devotional_and_Demonic_Desires.mp3</t>
  </si>
  <si>
    <t>SP_Arrival_Los_Angeles_1975-02-09_Krishna_Consciousness_Is_in_Everyone%27s_Heart.mp3</t>
  </si>
  <si>
    <t>https://audio.iskcondesiretree.com/01_-_Srila_Prabhupada/01_-_Lectures/01_-_English/01_-_Topic_wise/Arrival_Address/SP_Arrival_Los_Angeles_1975-02-09_Krishna_Consciousness_Is_in_Everyone%27s_Heart.mp3</t>
  </si>
  <si>
    <t>Arr_LA_1975-02-09_Krishna_Consciousness_Is_in_Everyone%27s_Heart.mp3</t>
  </si>
  <si>
    <t>https://audio.iskcondesiretree.com/01_-_Srila_Prabhupada/01_-_Lectures/01_-_English/02_-_Month_wise/02_-_Feburary/09/Arr_LA_1975-02-09_Krishna_Consciousness_Is_in_Everyone%27s_Heart.mp3</t>
  </si>
  <si>
    <t>Arrival_1975-02-09_AR-LOS%20ANGELES.MP3</t>
  </si>
  <si>
    <t>https://audio.iskcondesiretree.com/01_-_Srila_Prabhupada/01_-_Lectures/01_-_English/02_-_Month_wise/02_-_Feburary/09/Arrival_1975-02-09_AR-LOS%20ANGELES.MP3</t>
  </si>
  <si>
    <t>SP_Morning_Walk_-_Los_Angeles_1975-02-10.MP3</t>
  </si>
  <si>
    <t>https://audio.iskcondesiretree.com/01_-_Srila_Prabhupada/01_-_Lectures/01_-_English/01_-_Topic_wise/Morning_Walk/SP_Morning_Walk_-_Los_Angeles_1975-02-10.MP3</t>
  </si>
  <si>
    <t>SP_SB_2-08-07_Los_Angeles_1975-02-10_What_Caused_Our_Coming_Here.mp3</t>
  </si>
  <si>
    <t>https://audio.iskcondesiretree.com/01_-_Srila_Prabhupada/01_-_Lectures/01_-_English/01_-_Topic_wise/Srimad_Bhagavatam/Canto-02/SP_SB_2-08-07_Los_Angeles_1975-02-10_What_Caused_Our_Coming_Here.mp3</t>
  </si>
  <si>
    <t>SB-02-08-07_1975-02-10_SB-LOS%20ANGELES.MP3</t>
  </si>
  <si>
    <t>https://audio.iskcondesiretree.com/01_-_Srila_Prabhupada/01_-_Lectures/01_-_English/02_-_Month_wise/02_-_Feburary/10/SB-02-08-07_1975-02-10_SB-LOS%20ANGELES.MP3</t>
  </si>
  <si>
    <t>SB_2-08-07_LA_1975-02-10_What_Caused_Our_Coming_Here.mp3</t>
  </si>
  <si>
    <t>https://audio.iskcondesiretree.com/01_-_Srila_Prabhupada/01_-_Lectures/01_-_English/02_-_Month_wise/02_-_Feburary/10/SB_2-08-07_LA_1975-02-10_What_Caused_Our_Coming_Here.mp3</t>
  </si>
  <si>
    <t>Walk_1975-02-10_MW-LOS%20ANGELES.MP3</t>
  </si>
  <si>
    <t>https://audio.iskcondesiretree.com/01_-_Srila_Prabhupada/01_-_Lectures/01_-_English/02_-_Month_wise/02_-_Feburary/10/Walk_1975-02-10_MW-LOS%20ANGELES.MP3</t>
  </si>
  <si>
    <t>SP_Arrival_Mexico_1975-02-11_No_Sex_Life_in_the_Spirit_Soul.mp3</t>
  </si>
  <si>
    <t>https://audio.iskcondesiretree.com/01_-_Srila_Prabhupada/01_-_Lectures/01_-_English/01_-_Topic_wise/Arrival_Address/SP_Arrival_Mexico_1975-02-11_No_Sex_Life_in_the_Spirit_Soul.mp3</t>
  </si>
  <si>
    <t>SP_BG_02-11_Mexico_1975-02-11_Associate_with_Faithful.mp3</t>
  </si>
  <si>
    <t>https://audio.iskcondesiretree.com/01_-_Srila_Prabhupada/01_-_Lectures/01_-_English/01_-_Topic_wise/Bhagavad_Gita/Chapter-02/SP_BG_02-11_Mexico_1975-02-11_Associate_with_Faithful.mp3</t>
  </si>
  <si>
    <t>Arr_MEX_1975-02-11_No_Sex_Life_in_the_Spirit_Soul.mp3</t>
  </si>
  <si>
    <t>https://audio.iskcondesiretree.com/01_-_Srila_Prabhupada/01_-_Lectures/01_-_English/02_-_Month_wise/02_-_Feburary/11/Arr_MEX_1975-02-11_No_Sex_Life_in_the_Spirit_Soul.mp3</t>
  </si>
  <si>
    <t>Arrival_1975-02-11_AR-MEXICO%20CITY.MP3</t>
  </si>
  <si>
    <t>https://audio.iskcondesiretree.com/01_-_Srila_Prabhupada/01_-_Lectures/01_-_English/02_-_Month_wise/02_-_Feburary/11/Arrival_1975-02-11_AR-MEXICO%20CITY.MP3</t>
  </si>
  <si>
    <t>Bg-02-11_1975-02-11_BG-MEXICO%20CITY.MP3</t>
  </si>
  <si>
    <t>https://audio.iskcondesiretree.com/01_-_Srila_Prabhupada/01_-_Lectures/01_-_English/02_-_Month_wise/02_-_Feburary/11/Bg-02-11_1975-02-11_BG-MEXICO%20CITY.MP3</t>
  </si>
  <si>
    <t>Bg_02-11_MEX_1975-02-11_Associate_with_Faithful.mp3</t>
  </si>
  <si>
    <t>https://audio.iskcondesiretree.com/01_-_Srila_Prabhupada/01_-_Lectures/01_-_English/02_-_Month_wise/02_-_Feburary/11/Bg_02-11_MEX_1975-02-11_Associate_with_Faithful.mp3</t>
  </si>
  <si>
    <t>SP_BG_02-12_Mexico_1975-02-12_Don%27t_Be_Animalistic_Scholar.mp3</t>
  </si>
  <si>
    <t>https://audio.iskcondesiretree.com/01_-_Srila_Prabhupada/01_-_Lectures/01_-_English/01_-_Topic_wise/Bhagavad_Gita/Chapter-02/SP_BG_02-12_Mexico_1975-02-12_Don%27t_Be_Animalistic_Scholar.mp3</t>
  </si>
  <si>
    <t>SP_Room_Conversation_Mexico_1975-02-12_Sanskrit_Prof--Bona_Fide_or_Bogus.mp3</t>
  </si>
  <si>
    <t>https://audio.iskcondesiretree.com/01_-_Srila_Prabhupada/01_-_Lectures/01_-_English/01_-_Topic_wise/Room_Conversation/SP_Room_Conversation_Mexico_1975-02-12_Sanskrit_Prof--Bona_Fide_or_Bogus.mp3</t>
  </si>
  <si>
    <t>Bg-02-12_1975-02-12_BG-MEXICO%20CITY.MP3</t>
  </si>
  <si>
    <t>https://audio.iskcondesiretree.com/01_-_Srila_Prabhupada/01_-_Lectures/01_-_English/02_-_Month_wise/02_-_Feburary/12/Bg-02-12_1975-02-12_BG-MEXICO%20CITY.MP3</t>
  </si>
  <si>
    <t>Bg_02-12_MEX_1975-02-12_Don%27t_Be_Animalistic_Scholar.mp3</t>
  </si>
  <si>
    <t>https://audio.iskcondesiretree.com/01_-_Srila_Prabhupada/01_-_Lectures/01_-_English/02_-_Month_wise/02_-_Feburary/12/Bg_02-12_MEX_1975-02-12_Don%27t_Be_Animalistic_Scholar.mp3</t>
  </si>
  <si>
    <t>Conv_1975-02-12_R1-MEXICO%20CITY.MP3</t>
  </si>
  <si>
    <t>https://audio.iskcondesiretree.com/01_-_Srila_Prabhupada/01_-_Lectures/01_-_English/02_-_Month_wise/02_-_Feburary/12/Conv_1975-02-12_R1-MEXICO%20CITY.MP3</t>
  </si>
  <si>
    <t>RC_MEX_1975-02-12_Sanskrit_Prof--Bona_Fide_or_Bogus.mp3</t>
  </si>
  <si>
    <t>https://audio.iskcondesiretree.com/01_-_Srila_Prabhupada/01_-_Lectures/01_-_English/02_-_Month_wise/02_-_Feburary/12/RC_MEX_1975-02-12_Sanskrit_Prof--Bona_Fide_or_Bogus.mp3</t>
  </si>
  <si>
    <t>SP_Room_Conversation_Mexico_1975-02-13_Sanskrit_Prof--Why_Is_There_Anything.mp3</t>
  </si>
  <si>
    <t>https://audio.iskcondesiretree.com/01_-_Srila_Prabhupada/01_-_Lectures/01_-_English/01_-_Topic_wise/Room_Conversation/SP_Room_Conversation_Mexico_1975-02-13_Sanskrit_Prof--Why_Is_There_Anything.mp3</t>
  </si>
  <si>
    <t>Conv_1975-02-13_R1-MEXICO%20CITY.MP3</t>
  </si>
  <si>
    <t>https://audio.iskcondesiretree.com/01_-_Srila_Prabhupada/01_-_Lectures/01_-_English/02_-_Month_wise/02_-_Feburary/13/Conv_1975-02-13_R1-MEXICO%20CITY.MP3</t>
  </si>
  <si>
    <t>RC_MEX_1975-02-13_Sanskrit_Prof--Why_Is_There_Anything.mp3</t>
  </si>
  <si>
    <t>https://audio.iskcondesiretree.com/01_-_Srila_Prabhupada/01_-_Lectures/01_-_English/02_-_Month_wise/02_-_Feburary/13/RC_MEX_1975-02-13_Sanskrit_Prof--Why_Is_There_Anything.mp3</t>
  </si>
  <si>
    <t>SP_BG_02-14_Mexico_City_1975-02-14_Forbearance_to_Cure_the_Body.mp3</t>
  </si>
  <si>
    <t>https://audio.iskcondesiretree.com/01_-_Srila_Prabhupada/01_-_Lectures/01_-_English/01_-_Topic_wise/Bhagavad_Gita/Chapter-02/SP_BG_02-14_Mexico_City_1975-02-14_Forbearance_to_Cure_the_Body.mp3</t>
  </si>
  <si>
    <t>SP_Questions_and_Answers_with_Devotees_1975-02-14_Mexico_City.MP3</t>
  </si>
  <si>
    <t>https://audio.iskcondesiretree.com/01_-_Srila_Prabhupada/01_-_Lectures/01_-_English/01_-_Topic_wise/Various/SP_Questions_and_Answers_with_Devotees_1975-02-14_Mexico_City.MP3</t>
  </si>
  <si>
    <t>Bg-02-14_1975-02-14_BG-MEXICO%20CITY.MP3</t>
  </si>
  <si>
    <t>https://audio.iskcondesiretree.com/01_-_Srila_Prabhupada/01_-_Lectures/01_-_English/02_-_Month_wise/02_-_Feburary/14/Bg-02-14_1975-02-14_BG-MEXICO%20CITY.MP3</t>
  </si>
  <si>
    <t>Bg_02-14_MEX_City_1975-02-14_Forbearance_to_Cure_the_Body.mp3</t>
  </si>
  <si>
    <t>https://audio.iskcondesiretree.com/01_-_Srila_Prabhupada/01_-_Lectures/01_-_English/02_-_Month_wise/02_-_Feburary/14/Bg_02-14_MEX_City_1975-02-14_Forbearance_to_Cure_the_Body.mp3</t>
  </si>
  <si>
    <t>Conv_1975-02-14_QA-MEXICO%20CITY.MP3</t>
  </si>
  <si>
    <t>https://audio.iskcondesiretree.com/01_-_Srila_Prabhupada/01_-_Lectures/01_-_English/02_-_Month_wise/02_-_Feburary/14/Conv_1975-02-14_QA-MEXICO%20CITY.MP3</t>
  </si>
  <si>
    <t>SP_BG_02-15_Mexico_City_1975-02-15_Immortality_or_Itching.mp3</t>
  </si>
  <si>
    <t>https://audio.iskcondesiretree.com/01_-_Srila_Prabhupada/01_-_Lectures/01_-_English/01_-_Topic_wise/Bhagavad_Gita/Chapter-02/SP_BG_02-15_Mexico_City_1975-02-15_Immortality_or_Itching.mp3</t>
  </si>
  <si>
    <t>SP_Room_Conversation_Mexico_1975-02-15_Philosopher-Yogi--Psychology_for--etc.mp3</t>
  </si>
  <si>
    <t>https://audio.iskcondesiretree.com/01_-_Srila_Prabhupada/01_-_Lectures/01_-_English/01_-_Topic_wise/Room_Conversation/SP_Room_Conversation_Mexico_1975-02-15_Philosopher-Yogi--Psychology_for--etc.mp3</t>
  </si>
  <si>
    <t>Bg-02-15_1975-02-15_BG-MEXICO%20CITY.MP3</t>
  </si>
  <si>
    <t>https://audio.iskcondesiretree.com/01_-_Srila_Prabhupada/01_-_Lectures/01_-_English/02_-_Month_wise/02_-_Feburary/15/Bg-02-15_1975-02-15_BG-MEXICO%20CITY.MP3</t>
  </si>
  <si>
    <t>Bg_02-15_MEX_City_1975-02-15_Immortality..._or_Itching.mp3</t>
  </si>
  <si>
    <t>https://audio.iskcondesiretree.com/01_-_Srila_Prabhupada/01_-_Lectures/01_-_English/02_-_Month_wise/02_-_Feburary/15/Bg_02-15_MEX_City_1975-02-15_Immortality..._or_Itching.mp3</t>
  </si>
  <si>
    <t>Conv_1975-02-15_R1-MEXICO%20CITY.MP3</t>
  </si>
  <si>
    <t>https://audio.iskcondesiretree.com/01_-_Srila_Prabhupada/01_-_Lectures/01_-_English/02_-_Month_wise/02_-_Feburary/15/Conv_1975-02-15_R1-MEXICO%20CITY.MP3</t>
  </si>
  <si>
    <t>RC_MEX_1975-02-15_Philosopher-Yogi--Psychology_for_etc.mp3</t>
  </si>
  <si>
    <t>https://audio.iskcondesiretree.com/01_-_Srila_Prabhupada/01_-_Lectures/01_-_English/02_-_Month_wise/02_-_Feburary/15/RC_MEX_1975-02-15_Philosopher-Yogi--Psychology_for_etc.mp3</t>
  </si>
  <si>
    <t>SP_BG_02-16_Mexico_City_1975-02-16_Any_Understanding_of_God.mp3</t>
  </si>
  <si>
    <t>https://audio.iskcondesiretree.com/01_-_Srila_Prabhupada/01_-_Lectures/01_-_English/01_-_Topic_wise/Bhagavad_Gita/Chapter-02/SP_BG_02-16_Mexico_City_1975-02-16_Any_Understanding_of_God.mp3</t>
  </si>
  <si>
    <t>Bg-02-16_1975-02-16_BG-MEXICO%20CITY.MP3</t>
  </si>
  <si>
    <t>https://audio.iskcondesiretree.com/01_-_Srila_Prabhupada/01_-_Lectures/01_-_English/02_-_Month_wise/02_-_Feburary/16/Bg-02-16_1975-02-16_BG-MEXICO%20CITY.MP3</t>
  </si>
  <si>
    <t>Bg_02-16_MEX_City_1975-02-16_Any_Understanding_of_God.mp3</t>
  </si>
  <si>
    <t>https://audio.iskcondesiretree.com/01_-_Srila_Prabhupada/01_-_Lectures/01_-_English/02_-_Month_wise/02_-_Feburary/16/Bg_02-16_MEX_City_1975-02-16_Any_Understanding_of_God.mp3</t>
  </si>
  <si>
    <t>SP_BG_02-17_Mexico_City_1975-02-17_Don%27t_Increase_the_Disease.mp3</t>
  </si>
  <si>
    <t>https://audio.iskcondesiretree.com/01_-_Srila_Prabhupada/01_-_Lectures/01_-_English/01_-_Topic_wise/Bhagavad_Gita/Chapter-02/SP_BG_02-17_Mexico_City_1975-02-17_Don%27t_Increase_the_Disease.mp3</t>
  </si>
  <si>
    <t>Bg-02-17_1975-02-17_BG-MEXICO%20CITY.MP3</t>
  </si>
  <si>
    <t>https://audio.iskcondesiretree.com/01_-_Srila_Prabhupada/01_-_Lectures/01_-_English/02_-_Month_wise/02_-_Feburary/17/Bg-02-17_1975-02-17_BG-MEXICO%20CITY.MP3</t>
  </si>
  <si>
    <t>Bg_02-17_MEX_City_1975-02-17_Don%27t_Increase_the_Disease.mp3</t>
  </si>
  <si>
    <t>https://audio.iskcondesiretree.com/01_-_Srila_Prabhupada/01_-_Lectures/01_-_English/02_-_Month_wise/02_-_Feburary/17/Bg_02-17_MEX_City_1975-02-17_Don%27t_Increase_the_Disease.mp3</t>
  </si>
  <si>
    <t>SP_Departure_Address_1975-02-18_Mexico_City_Spanish_Translator.MP3</t>
  </si>
  <si>
    <t>https://audio.iskcondesiretree.com/01_-_Srila_Prabhupada/01_-_Lectures/01_-_English/01_-_Topic_wise/Departure_Address/SP_Departure_Address_1975-02-18_Mexico_City_Spanish_Translator.MP3</t>
  </si>
  <si>
    <t>Departure_1975-02-18_DP-MEXICO%20CITY.MP3</t>
  </si>
  <si>
    <t>https://audio.iskcondesiretree.com/01_-_Srila_Prabhupada/01_-_Lectures/01_-_English/02_-_Month_wise/02_-_Feburary/18/Departure_1975-02-18_DP-MEXICO%20CITY.MP3</t>
  </si>
  <si>
    <t>SP_Room_Conversation_Caracas_1975-02-19_Profs--A_Perfect_Master.mp3</t>
  </si>
  <si>
    <t>https://audio.iskcondesiretree.com/01_-_Srila_Prabhupada/01_-_Lectures/01_-_English/01_-_Topic_wise/Room_Conversation/SP_Room_Conversation_Caracas_1975-02-19_Profs--A_Perfect_Master.mp3</t>
  </si>
  <si>
    <t>SP_Room_Conversation_Caracas_1975-02-19_Profs--One_Perfect_Can_Teach_Thousands.mp3</t>
  </si>
  <si>
    <t>https://audio.iskcondesiretree.com/01_-_Srila_Prabhupada/01_-_Lectures/01_-_English/01_-_Topic_wise/Room_Conversation/SP_Room_Conversation_Caracas_1975-02-19_Profs--One_Perfect_Can_Teach_Thousands.mp3</t>
  </si>
  <si>
    <t>Conv_1975-02-19_R1-CARACAS.MP3</t>
  </si>
  <si>
    <t>https://audio.iskcondesiretree.com/01_-_Srila_Prabhupada/01_-_Lectures/01_-_English/02_-_Month_wise/02_-_Feburary/19/Conv_1975-02-19_R1-CARACAS.MP3</t>
  </si>
  <si>
    <t>RC_CAR_1975-02-19_Profs--A_Perfect_Master.mp3</t>
  </si>
  <si>
    <t>https://audio.iskcondesiretree.com/01_-_Srila_Prabhupada/01_-_Lectures/01_-_English/02_-_Month_wise/02_-_Feburary/19/RC_CAR_1975-02-19_Profs--A_Perfect_Master.mp3</t>
  </si>
  <si>
    <t>RC_CAR_1975-02-19_Profs--One_Perfect_Can_Teach_Thousands.mp3</t>
  </si>
  <si>
    <t>https://audio.iskcondesiretree.com/01_-_Srila_Prabhupada/01_-_Lectures/01_-_English/02_-_Month_wise/02_-_Feburary/19/RC_CAR_1975-02-19_Profs--One_Perfect_Can_Teach_Thousands.mp3</t>
  </si>
  <si>
    <t>SP_SB_1-01-01_Caracas_1975-02-20_Increasing_Your_Problems.mp3</t>
  </si>
  <si>
    <t>https://audio.iskcondesiretree.com/01_-_Srila_Prabhupada/01_-_Lectures/01_-_English/01_-_Topic_wise/Srimad_Bhagavatam/Canto-01/SP_SB_1-01-01_Caracas_1975-02-20_Increasing_Your_Problems.mp3</t>
  </si>
  <si>
    <t>SB-01-01-01_1975-02-20_SB-CARACAS.MP3</t>
  </si>
  <si>
    <t>https://audio.iskcondesiretree.com/01_-_Srila_Prabhupada/01_-_Lectures/01_-_English/02_-_Month_wise/02_-_Feburary/20/SB-01-01-01_1975-02-20_SB-CARACAS.MP3</t>
  </si>
  <si>
    <t>SB_1-01-01_CAR_1975-02-20_Increasing_Your_Problems.mp3</t>
  </si>
  <si>
    <t>https://audio.iskcondesiretree.com/01_-_Srila_Prabhupada/01_-_Lectures/01_-_English/02_-_Month_wise/02_-_Feburary/20/SB_1-01-01_CAR_1975-02-20_Increasing_Your_Problems.mp3</t>
  </si>
  <si>
    <t>SP_Morning_Walk_-_Caracas_1975-02-21_Philosophy_Is_Philosophy.mp3</t>
  </si>
  <si>
    <t>https://audio.iskcondesiretree.com/01_-_Srila_Prabhupada/01_-_Lectures/01_-_English/01_-_Topic_wise/Morning_Walk/SP_Morning_Walk_-_Caracas_1975-02-21_Philosophy_Is_Philosophy.mp3</t>
  </si>
  <si>
    <t>SP_Room_Conversation_Caracas_1975-02-21_Metaphysics_Society--Atma_and_Super-Atma.mp3</t>
  </si>
  <si>
    <t>https://audio.iskcondesiretree.com/01_-_Srila_Prabhupada/01_-_Lectures/01_-_English/01_-_Topic_wise/Room_Conversation/SP_Room_Conversation_Caracas_1975-02-21_Metaphysics_Society--Atma_and_Super-Atma.mp3</t>
  </si>
  <si>
    <t>SP_SB_1-01-01_Caracas_1975-02-21_The_Caracas_Is_Ford-But_Ford_Is--etc.mp3</t>
  </si>
  <si>
    <t>https://audio.iskcondesiretree.com/01_-_Srila_Prabhupada/01_-_Lectures/01_-_English/01_-_Topic_wise/Srimad_Bhagavatam/Canto-01/SP_SB_1-01-01_Caracas_1975-02-21_The_Caracas_Is_Ford-But_Ford_Is--etc.mp3</t>
  </si>
  <si>
    <t>Conv_1975-02-21_R1-CARACAS.MP3</t>
  </si>
  <si>
    <t>https://audio.iskcondesiretree.com/01_-_Srila_Prabhupada/01_-_Lectures/01_-_English/02_-_Month_wise/02_-_Feburary/21/Conv_1975-02-21_R1-CARACAS.MP3</t>
  </si>
  <si>
    <t>MW_CAR_1975-02-21_Philosophy_Is_Philosophy.mp3</t>
  </si>
  <si>
    <t>https://audio.iskcondesiretree.com/01_-_Srila_Prabhupada/01_-_Lectures/01_-_English/02_-_Month_wise/02_-_Feburary/21/MW_CAR_1975-02-21_Philosophy_Is_Philosophy.mp3</t>
  </si>
  <si>
    <t>RC_CAR_1975-02-21_Metaphysics_Society--Atma_and_Super-Atma.mp3</t>
  </si>
  <si>
    <t>https://audio.iskcondesiretree.com/01_-_Srila_Prabhupada/01_-_Lectures/01_-_English/02_-_Month_wise/02_-_Feburary/21/RC_CAR_1975-02-21_Metaphysics_Society--Atma_and_Super-Atma.mp3</t>
  </si>
  <si>
    <t>SB-01-01-01_1975-02-21_SB-CARACAS.MP3</t>
  </si>
  <si>
    <t>https://audio.iskcondesiretree.com/01_-_Srila_Prabhupada/01_-_Lectures/01_-_English/02_-_Month_wise/02_-_Feburary/21/SB-01-01-01_1975-02-21_SB-CARACAS.MP3</t>
  </si>
  <si>
    <t>SB_1-01-01_CAR_1975-02-21_The_Car_Is_Ford-But_Ford_Is_.mp3</t>
  </si>
  <si>
    <t>https://audio.iskcondesiretree.com/01_-_Srila_Prabhupada/01_-_Lectures/01_-_English/02_-_Month_wise/02_-_Feburary/21/SB_1-01-01_CAR_1975-02-21_The_Car_Is_Ford-But_Ford_Is_.mp3</t>
  </si>
  <si>
    <t>Walk_1975-02-21_MW-CARACAS.MP3</t>
  </si>
  <si>
    <t>https://audio.iskcondesiretree.com/01_-_Srila_Prabhupada/01_-_Lectures/01_-_English/02_-_Month_wise/02_-_Feburary/21/Walk_1975-02-21_MW-CARACAS.MP3</t>
  </si>
  <si>
    <t>SP_Room_Conversation_Caracas_1975-02-22_Psychiatrist--If_the_Driver_Is_Defective.mp3</t>
  </si>
  <si>
    <t>https://audio.iskcondesiretree.com/01_-_Srila_Prabhupada/01_-_Lectures/01_-_English/01_-_Topic_wise/Room_Conversation/SP_Room_Conversation_Caracas_1975-02-22_Psychiatrist--If_the_Driver_Is_Defective.mp3</t>
  </si>
  <si>
    <t>SP_Lecture_Caracas_1975-02-22_Initiation--Who_Can_Conquer_God.mp3</t>
  </si>
  <si>
    <t>https://audio.iskcondesiretree.com/01_-_Srila_Prabhupada/01_-_Lectures/01_-_English/01_-_Topic_wise/Various/SP_Lecture_Caracas_1975-02-22_Initiation--Who_Can_Conquer_God.mp3</t>
  </si>
  <si>
    <t>Conv_1975-02-22_R1-CARACAS.MP3</t>
  </si>
  <si>
    <t>https://audio.iskcondesiretree.com/01_-_Srila_Prabhupada/01_-_Lectures/01_-_English/02_-_Month_wise/02_-_Feburary/22/Conv_1975-02-22_R1-CARACAS.MP3</t>
  </si>
  <si>
    <t>Initiations_1975-02-22_IN-CARACAS.MP3</t>
  </si>
  <si>
    <t>https://audio.iskcondesiretree.com/01_-_Srila_Prabhupada/01_-_Lectures/01_-_English/02_-_Month_wise/02_-_Feburary/22/Initiations_1975-02-22_IN-CARACAS.MP3</t>
  </si>
  <si>
    <t>Lect_CAR_1975-02-22_Initiation--Who_Can_Conquer_God.mp3</t>
  </si>
  <si>
    <t>https://audio.iskcondesiretree.com/01_-_Srila_Prabhupada/01_-_Lectures/01_-_English/02_-_Month_wise/02_-_Feburary/22/Lect_CAR_1975-02-22_Initiation--Who_Can_Conquer_God.mp3</t>
  </si>
  <si>
    <t>RC_CAR_1975-02-22_Psychiatrist--If_the_Driver_Is_Defective.mp3</t>
  </si>
  <si>
    <t>https://audio.iskcondesiretree.com/01_-_Srila_Prabhupada/01_-_Lectures/01_-_English/02_-_Month_wise/02_-_Feburary/22/RC_CAR_1975-02-22_Psychiatrist--If_the_Driver_Is_Defective.mp3</t>
  </si>
  <si>
    <t>SP_Various_-_Conversation_-_1975-02-22_Caracas.mp3</t>
  </si>
  <si>
    <t>https://audio.iskcondesiretree.com/01_-_Srila_Prabhupada/01_-_Lectures/04_-_Translation/Portuguese/More/SP_Various_-_Conversation_-_1975-02-22_Caracas.mp3</t>
  </si>
  <si>
    <t>SP_SB_1-01-02_Caracas_1975-02-23_You_Are_Always_Dependent_on--etc.mp3</t>
  </si>
  <si>
    <t>https://audio.iskcondesiretree.com/01_-_Srila_Prabhupada/01_-_Lectures/01_-_English/01_-_Topic_wise/Srimad_Bhagavatam/Canto-01/SP_SB_1-01-02_Caracas_1975-02-23_You_Are_Always_Dependent_on--etc.mp3</t>
  </si>
  <si>
    <t>SB-01-01-02_1975-02-23_SB-CARACAS.MP3</t>
  </si>
  <si>
    <t>https://audio.iskcondesiretree.com/01_-_Srila_Prabhupada/01_-_Lectures/01_-_English/02_-_Month_wise/02_-_Feburary/23/SB-01-01-02_1975-02-23_SB-CARACAS.MP3</t>
  </si>
  <si>
    <t>SB_1-01-02_CAR_1975-02-23_You_Are_Always_Dependent_on_etc.mp3</t>
  </si>
  <si>
    <t>https://audio.iskcondesiretree.com/01_-_Srila_Prabhupada/01_-_Lectures/01_-_English/02_-_Month_wise/02_-_Feburary/23/SB_1-01-02_CAR_1975-02-23_You_Are_Always_Dependent_on_etc.mp3</t>
  </si>
  <si>
    <t>Walk_1975-02-23_MW-CARACAS.MP3</t>
  </si>
  <si>
    <t>https://audio.iskcondesiretree.com/01_-_Srila_Prabhupada/01_-_Lectures/01_-_English/02_-_Month_wise/02_-_Feburary/23/Walk_1975-02-23_MW-CARACAS.MP3</t>
  </si>
  <si>
    <t>SP_SB_1-01-03_Caracas_1975-02-24_There_is_New_Orleans_Religion_Except--etc.mp3</t>
  </si>
  <si>
    <t>https://audio.iskcondesiretree.com/01_-_Srila_Prabhupada/01_-_Lectures/01_-_English/01_-_Topic_wise/Srimad_Bhagavatam/Canto-01/SP_SB_1-01-03_Caracas_1975-02-24_There_is_New_Orleans_Religion_Except--etc.mp3</t>
  </si>
  <si>
    <t>SB-01-01-03_1975-02-24_SB-CARACAS.MP3</t>
  </si>
  <si>
    <t>https://audio.iskcondesiretree.com/01_-_Srila_Prabhupada/01_-_Lectures/01_-_English/02_-_Month_wise/02_-_Feburary/24/SB-01-01-03_1975-02-24_SB-CARACAS.MP3</t>
  </si>
  <si>
    <t>SB_1-01-03_CAR_1975-02-24_There_is_No_Religion_Except_etc.mp3</t>
  </si>
  <si>
    <t>https://audio.iskcondesiretree.com/01_-_Srila_Prabhupada/01_-_Lectures/01_-_English/02_-_Month_wise/02_-_Feburary/24/SB_1-01-03_CAR_1975-02-24_There_is_No_Religion_Except_etc.mp3</t>
  </si>
  <si>
    <t>SP_Arrival_Miami_1975-02-25_Real_Success_is_to_Get_Out_of_the--etc.mp3</t>
  </si>
  <si>
    <t>https://audio.iskcondesiretree.com/01_-_Srila_Prabhupada/01_-_Lectures/01_-_English/01_-_Topic_wise/Arrival_Address/SP_Arrival_Miami_1975-02-25_Real_Success_is_to_Get_Out_of_the--etc.mp3</t>
  </si>
  <si>
    <t>SP_BG_13-01-02_Miami_1975-02-25_Technical_Education--etc.MP3</t>
  </si>
  <si>
    <t>https://audio.iskcondesiretree.com/01_-_Srila_Prabhupada/01_-_Lectures/01_-_English/01_-_Topic_wise/Bhagavad_Gita/Chapter-13/SP_BG_13-01-02_Miami_1975-02-25_Technical_Education--etc.MP3</t>
  </si>
  <si>
    <t>SP_BG_13-01_Miami_1975-02-25_Technical_Education--etc.mp3</t>
  </si>
  <si>
    <t>https://audio.iskcondesiretree.com/01_-_Srila_Prabhupada/01_-_Lectures/01_-_English/01_-_Topic_wise/Bhagavad_Gita/Chapter-13/SP_BG_13-01_Miami_1975-02-25_Technical_Education--etc.mp3</t>
  </si>
  <si>
    <t>SP_Departure_Address_1975-02-25_Caracas.MP3</t>
  </si>
  <si>
    <t>https://audio.iskcondesiretree.com/01_-_Srila_Prabhupada/01_-_Lectures/01_-_English/01_-_Topic_wise/Departure_Address/SP_Departure_Address_1975-02-25_Caracas.MP3</t>
  </si>
  <si>
    <t>Arr_MIA_1975-02-25_Real_Success_is_to_Get_Out_of_the_etc.mp3</t>
  </si>
  <si>
    <t>https://audio.iskcondesiretree.com/01_-_Srila_Prabhupada/01_-_Lectures/01_-_English/02_-_Month_wise/02_-_Feburary/25/Arr_MIA_1975-02-25_Real_Success_is_to_Get_Out_of_the_etc.mp3</t>
  </si>
  <si>
    <t>Arrival_1975-02-25_AR-MIAMI.MP3</t>
  </si>
  <si>
    <t>https://audio.iskcondesiretree.com/01_-_Srila_Prabhupada/01_-_Lectures/01_-_English/02_-_Month_wise/02_-_Feburary/25/Arrival_1975-02-25_AR-MIAMI.MP3</t>
  </si>
  <si>
    <t>Bg-13-01%E2%80%9302_1975-02-25_BG-MIAMI.MP3</t>
  </si>
  <si>
    <t>https://audio.iskcondesiretree.com/01_-_Srila_Prabhupada/01_-_Lectures/01_-_English/02_-_Month_wise/02_-_Feburary/25/Bg-13-01%E2%80%9302_1975-02-25_BG-MIAMI.MP3</t>
  </si>
  <si>
    <t>Bg_13-01_MIA_1975-02-25_Technical_Education_etc.mp3</t>
  </si>
  <si>
    <t>https://audio.iskcondesiretree.com/01_-_Srila_Prabhupada/01_-_Lectures/01_-_English/02_-_Month_wise/02_-_Feburary/25/Bg_13-01_MIA_1975-02-25_Technical_Education_etc.mp3</t>
  </si>
  <si>
    <t>Departure_1975-02-25_DP-CARACAS.MP3</t>
  </si>
  <si>
    <t>https://audio.iskcondesiretree.com/01_-_Srila_Prabhupada/01_-_Lectures/01_-_English/02_-_Month_wise/02_-_Feburary/25/Departure_1975-02-25_DP-CARACAS.MP3</t>
  </si>
  <si>
    <t>SP_BG_13-03_Miami_1975-02-26_We_Need_to_Satisfy_Our_Lord.mp3</t>
  </si>
  <si>
    <t>https://audio.iskcondesiretree.com/01_-_Srila_Prabhupada/01_-_Lectures/01_-_English/01_-_Topic_wise/Bhagavad_Gita/Chapter-13/SP_BG_13-03_Miami_1975-02-26_We_Need_to_Satisfy_Our_Lord.mp3</t>
  </si>
  <si>
    <t>Bg-13-03_1975-02-26-BG-MIAMI.MP3</t>
  </si>
  <si>
    <t>https://audio.iskcondesiretree.com/01_-_Srila_Prabhupada/01_-_Lectures/01_-_English/02_-_Month_wise/02_-_Feburary/26/Bg-13-03_1975-02-26-BG-MIAMI.MP3</t>
  </si>
  <si>
    <t>Bg_13-03_MIA_1975-02-26_We_Need_to_Satisfy_Our_Lord.mp3</t>
  </si>
  <si>
    <t>https://audio.iskcondesiretree.com/01_-_Srila_Prabhupada/01_-_Lectures/01_-_English/02_-_Month_wise/02_-_Feburary/26/Bg_13-03_MIA_1975-02-26_We_Need_to_Satisfy_Our_Lord.mp3</t>
  </si>
  <si>
    <t>SP_BG_13-04_Miami_1975-02-27_Different_Varieties.mp3</t>
  </si>
  <si>
    <t>https://audio.iskcondesiretree.com/01_-_Srila_Prabhupada/01_-_Lectures/01_-_English/01_-_Topic_wise/Bhagavad_Gita/Chapter-13/SP_BG_13-04_Miami_1975-02-27_Different_Varieties.mp3</t>
  </si>
  <si>
    <t>Bg-13-04_1975-02-27_BG-MIAMI.MP3</t>
  </si>
  <si>
    <t>https://audio.iskcondesiretree.com/01_-_Srila_Prabhupada/01_-_Lectures/01_-_English/02_-_Month_wise/02_-_Feburary/27/Bg-13-04_1975-02-27_BG-MIAMI.MP3</t>
  </si>
  <si>
    <t>Bg_13-04_MIA_1975-02-27_Different_Varieties.mp3</t>
  </si>
  <si>
    <t>https://audio.iskcondesiretree.com/01_-_Srila_Prabhupada/01_-_Lectures/01_-_English/02_-_Month_wise/02_-_Feburary/27/Bg_13-04_MIA_1975-02-27_Different_Varieties.mp3</t>
  </si>
  <si>
    <t>SP_Address_Atlanta_1975-02-28_So_I_See_Your_Temple_Is_the_Best.mp3</t>
  </si>
  <si>
    <t>https://audio.iskcondesiretree.com/01_-_Srila_Prabhupada/01_-_Lectures/01_-_English/01_-_Topic_wise/Arrival_Address/SP_Address_Atlanta_1975-02-28_So_I_See_Your_Temple_Is_the_Best.mp3</t>
  </si>
  <si>
    <t>SP_Room_Conversation_Atlanta_1975-02-28_Svarupa_Damodar--Research_Means_Rascal.mp3</t>
  </si>
  <si>
    <t>https://audio.iskcondesiretree.com/01_-_Srila_Prabhupada/01_-_Lectures/01_-_English/01_-_Topic_wise/Room_Conversation/SP_Room_Conversation_Atlanta_1975-02-28_Svarupa_Damodar--Research_Means_Rascal.mp3</t>
  </si>
  <si>
    <t>SP_Lecture_Purport_to_Parama_Karuna_1975-02-28_Atlanta.MP3</t>
  </si>
  <si>
    <t>https://audio.iskcondesiretree.com/01_-_Srila_Prabhupada/01_-_Lectures/01_-_English/01_-_Topic_wise/Various/SP_Lecture_Purport_to_Parama_Karuna_1975-02-28_Atlanta.MP3</t>
  </si>
  <si>
    <t>Arr_ATL_1975-02-28_So_I_See_Your_Temple_Is_the_Best.mp3</t>
  </si>
  <si>
    <t>https://audio.iskcondesiretree.com/01_-_Srila_Prabhupada/01_-_Lectures/01_-_English/02_-_Month_wise/02_-_Feburary/28/Arr_ATL_1975-02-28_So_I_See_Your_Temple_Is_the_Best.mp3</t>
  </si>
  <si>
    <t>Arrival_1975-02-28_AR-ATLANTA.MP3</t>
  </si>
  <si>
    <t>https://audio.iskcondesiretree.com/01_-_Srila_Prabhupada/01_-_Lectures/01_-_English/02_-_Month_wise/02_-_Feburary/28/Arrival_1975-02-28_AR-ATLANTA.MP3</t>
  </si>
  <si>
    <t>Conv_1975-02-28_R1-ATLANTA.MP3</t>
  </si>
  <si>
    <t>https://audio.iskcondesiretree.com/01_-_Srila_Prabhupada/01_-_Lectures/01_-_English/02_-_Month_wise/02_-_Feburary/28/Conv_1975-02-28_R1-ATLANTA.MP3</t>
  </si>
  <si>
    <t>PurportParamaKoruna_1975-02-28_PU-ATLANTA.MP3</t>
  </si>
  <si>
    <t>https://audio.iskcondesiretree.com/01_-_Srila_Prabhupada/01_-_Lectures/01_-_English/02_-_Month_wise/02_-_Feburary/28/PurportParamaKoruna_1975-02-28_PU-ATLANTA.MP3</t>
  </si>
  <si>
    <t>RC_ATL_1975-02-28_Svarupa_Damodar--Research_Means_Rascal.mp3</t>
  </si>
  <si>
    <t>https://audio.iskcondesiretree.com/01_-_Srila_Prabhupada/01_-_Lectures/01_-_English/02_-_Month_wise/02_-_Feburary/28/RC_ATL_1975-02-28_Svarupa_Damodar--Research_Means_Rascal.mp3</t>
  </si>
  <si>
    <t>SP_Various_-_Conversation_-_1975-02-28_Atlanta.mp3</t>
  </si>
  <si>
    <t>https://audio.iskcondesiretree.com/01_-_Srila_Prabhupada/01_-_Lectures/04_-_Translation/Portuguese/More/SP_Various_-_Conversation_-_1975-02-28_Atlanta.mp3</t>
  </si>
  <si>
    <t>SP_CC_A_07-01_Atlanta_1975-03-01_The_Vulturous_and_the_Virtuous.mp3</t>
  </si>
  <si>
    <t>https://audio.iskcondesiretree.com/01_-_Srila_Prabhupada/01_-_Lectures/01_-_English/01_-_Topic_wise/Chaitanya_Charitamrita/Adi_Lila/SP_CC_A_07-01_Atlanta_1975-03-01_The_Vulturous_and_the_Virtuous.mp3</t>
  </si>
  <si>
    <t>SP_Morning_Walk_-_Atlanta_1975-03-01_Don%27t_Speculate-Hear%21.mp3</t>
  </si>
  <si>
    <t>https://audio.iskcondesiretree.com/01_-_Srila_Prabhupada/01_-_Lectures/01_-_English/01_-_Topic_wise/Morning_Walk/SP_Morning_Walk_-_Atlanta_1975-03-01_Don%27t_Speculate-Hear%21.mp3</t>
  </si>
  <si>
    <t>SP_Room_Conversation_Atlanta_1975-03-01_Prof_of_Religion--Everyone_Creating--etc.mp3</t>
  </si>
  <si>
    <t>https://audio.iskcondesiretree.com/01_-_Srila_Prabhupada/01_-_Lectures/01_-_English/01_-_Topic_wise/Room_Conversation/SP_Room_Conversation_Atlanta_1975-03-01_Prof_of_Religion--Everyone_Creating--etc.mp3</t>
  </si>
  <si>
    <t>SP_Room_Conversation_Atlanta_1975-03-01_Svarupa_Damodar--Origin_of_Specious_Theories.mp3</t>
  </si>
  <si>
    <t>https://audio.iskcondesiretree.com/01_-_Srila_Prabhupada/01_-_Lectures/01_-_English/01_-_Topic_wise/Room_Conversation/SP_Room_Conversation_Atlanta_1975-03-01_Svarupa_Damodar--Origin_of_Specious_Theories.mp3</t>
  </si>
  <si>
    <t>SP_Room_Conversation_Atlanta_1975-03-01_Svarupa_Damodar--Science-No_Chance.mp3</t>
  </si>
  <si>
    <t>https://audio.iskcondesiretree.com/01_-_Srila_Prabhupada/01_-_Lectures/01_-_English/01_-_Topic_wise/Room_Conversation/SP_Room_Conversation_Atlanta_1975-03-01_Svarupa_Damodar--Science-No_Chance.mp3</t>
  </si>
  <si>
    <t>Cc_A_7-01_ATL_1975-03-01_The_Vulturous_and_the_Virtuous.mp3</t>
  </si>
  <si>
    <t>https://audio.iskcondesiretree.com/01_-_Srila_Prabhupada/01_-_Lectures/01_-_English/02_-_Month_wise/03_-_March/01/Cc_A_7-01_ATL_1975-03-01_The_Vulturous_and_the_Virtuous.mp3</t>
  </si>
  <si>
    <t>CcAdi-07-001_1975-03-01_CC-ATLANTA.MP3</t>
  </si>
  <si>
    <t>https://audio.iskcondesiretree.com/01_-_Srila_Prabhupada/01_-_Lectures/01_-_English/02_-_Month_wise/03_-_March/01/CcAdi-07-001_1975-03-01_CC-ATLANTA.MP3</t>
  </si>
  <si>
    <t>Conv_1975-03-01_R1-ATLANTA.MP3</t>
  </si>
  <si>
    <t>https://audio.iskcondesiretree.com/01_-_Srila_Prabhupada/01_-_Lectures/01_-_English/02_-_Month_wise/03_-_March/01/Conv_1975-03-01_R1-ATLANTA.MP3</t>
  </si>
  <si>
    <t>Conv_1975-03-01_R2-ATLANTA.MP3</t>
  </si>
  <si>
    <t>https://audio.iskcondesiretree.com/01_-_Srila_Prabhupada/01_-_Lectures/01_-_English/02_-_Month_wise/03_-_March/01/Conv_1975-03-01_R2-ATLANTA.MP3</t>
  </si>
  <si>
    <t>MW_ATL_1975-03-01_Don%27t_Speculate-Hear.mp3</t>
  </si>
  <si>
    <t>https://audio.iskcondesiretree.com/01_-_Srila_Prabhupada/01_-_Lectures/01_-_English/02_-_Month_wise/03_-_March/01/MW_ATL_1975-03-01_Don%27t_Speculate-Hear.mp3</t>
  </si>
  <si>
    <t>RC_ATL_1975-03-01_Prof_of_Religion--Everyone_Creating_etc.mp3</t>
  </si>
  <si>
    <t>https://audio.iskcondesiretree.com/01_-_Srila_Prabhupada/01_-_Lectures/01_-_English/02_-_Month_wise/03_-_March/01/RC_ATL_1975-03-01_Prof_of_Religion--Everyone_Creating_etc.mp3</t>
  </si>
  <si>
    <t>RC_ATL_1975-03-01_Svarupa_Damodar--Origin_of_Specious_Theories.mp3</t>
  </si>
  <si>
    <t>https://audio.iskcondesiretree.com/01_-_Srila_Prabhupada/01_-_Lectures/01_-_English/02_-_Month_wise/03_-_March/01/RC_ATL_1975-03-01_Svarupa_Damodar--Origin_of_Specious_Theories.mp3</t>
  </si>
  <si>
    <t>RC_ATL_1975-03-01_Svarupa_Damodar--Science-No_Chance.mp3</t>
  </si>
  <si>
    <t>https://audio.iskcondesiretree.com/01_-_Srila_Prabhupada/01_-_Lectures/01_-_English/02_-_Month_wise/03_-_March/01/RC_ATL_1975-03-01_Svarupa_Damodar--Science-No_Chance.mp3</t>
  </si>
  <si>
    <t>Walk_1975-03-01_MW-ATLANTA.MP3</t>
  </si>
  <si>
    <t>https://audio.iskcondesiretree.com/01_-_Srila_Prabhupada/01_-_Lectures/01_-_English/02_-_Month_wise/03_-_March/01/Walk_1975-03-01_MW-ATLANTA.MP3</t>
  </si>
  <si>
    <t>SP_Festivals_Atlanta_1975-03-02_On_the_Appearance_Day_of_Srila--etc.mp3</t>
  </si>
  <si>
    <t>https://audio.iskcondesiretree.com/01_-_Srila_Prabhupada/01_-_Lectures/01_-_English/01_-_Topic_wise/Festivals/SP_Festivals_Atlanta_1975-03-02_On_the_Appearance_Day_of_Srila--etc.mp3</t>
  </si>
  <si>
    <t>SP_Morning_Walk_-_Atlanta_1975-03-02.MP3</t>
  </si>
  <si>
    <t>https://audio.iskcondesiretree.com/01_-_Srila_Prabhupada/01_-_Lectures/01_-_English/01_-_Topic_wise/Morning_Walk/SP_Morning_Walk_-_Atlanta_1975-03-02.MP3</t>
  </si>
  <si>
    <t>SP_Room_Conversation_01_Atlanta_1975-03-02.MP3</t>
  </si>
  <si>
    <t>https://audio.iskcondesiretree.com/01_-_Srila_Prabhupada/01_-_Lectures/01_-_English/01_-_Topic_wise/Room_Conversation/SP_Room_Conversation_01_Atlanta_1975-03-02.MP3</t>
  </si>
  <si>
    <t>SP_Room_Conversation_02_Atlanta_1975-03-02.MP3</t>
  </si>
  <si>
    <t>https://audio.iskcondesiretree.com/01_-_Srila_Prabhupada/01_-_Lectures/01_-_English/01_-_Topic_wise/Room_Conversation/SP_Room_Conversation_02_Atlanta_1975-03-02.MP3</t>
  </si>
  <si>
    <t>SP_Lecture_Atlanta_1975-03-02_At_Sunday_Feast--Mahaprabhu%27s_Mercy.mp3</t>
  </si>
  <si>
    <t>https://audio.iskcondesiretree.com/01_-_Srila_Prabhupada/01_-_Lectures/01_-_English/01_-_Topic_wise/Various/SP_Lecture_Atlanta_1975-03-02_At_Sunday_Feast--Mahaprabhu%27s_Mercy.mp3</t>
  </si>
  <si>
    <t>Bhaktisiddhanta_Appearance_1975-03-02_BA-ATLANTA.MP3</t>
  </si>
  <si>
    <t>https://audio.iskcondesiretree.com/01_-_Srila_Prabhupada/01_-_Lectures/01_-_English/02_-_Month_wise/03_-_March/02/Bhaktisiddhanta_Appearance_1975-03-02_BA-ATLANTA.MP3</t>
  </si>
  <si>
    <t>Conv_1975-03-02_R1-ATLANTA.MP3</t>
  </si>
  <si>
    <t>https://audio.iskcondesiretree.com/01_-_Srila_Prabhupada/01_-_Lectures/01_-_English/02_-_Month_wise/03_-_March/02/Conv_1975-03-02_R1-ATLANTA.MP3</t>
  </si>
  <si>
    <t>Conv_1975-03-02_R2-ATLANTA.MP3</t>
  </si>
  <si>
    <t>https://audio.iskcondesiretree.com/01_-_Srila_Prabhupada/01_-_Lectures/01_-_English/02_-_Month_wise/03_-_March/02/Conv_1975-03-02_R2-ATLANTA.MP3</t>
  </si>
  <si>
    <t>Fest_ATL_1975-03-02_On_the_Appearance_Day_of_Srila_etc.mp3</t>
  </si>
  <si>
    <t>https://audio.iskcondesiretree.com/01_-_Srila_Prabhupada/01_-_Lectures/01_-_English/02_-_Month_wise/03_-_March/02/Fest_ATL_1975-03-02_On_the_Appearance_Day_of_Srila_etc.mp3</t>
  </si>
  <si>
    <t>Lect_ATL_1975-03-02_At_Sunday_Feast--Mahaprabhu%27s_Mercy.mp3</t>
  </si>
  <si>
    <t>https://audio.iskcondesiretree.com/01_-_Srila_Prabhupada/01_-_Lectures/01_-_English/02_-_Month_wise/03_-_March/02/Lect_ATL_1975-03-02_At_Sunday_Feast--Mahaprabhu%27s_Mercy.mp3</t>
  </si>
  <si>
    <t>Lecture_1975-03-02_LE-ATLANTA.MP3</t>
  </si>
  <si>
    <t>https://audio.iskcondesiretree.com/01_-_Srila_Prabhupada/01_-_Lectures/01_-_English/02_-_Month_wise/03_-_March/02/Lecture_1975-03-02_LE-ATLANTA.MP3</t>
  </si>
  <si>
    <t>Walk_1975-03-02_MW-ATLANTA.MP3</t>
  </si>
  <si>
    <t>https://audio.iskcondesiretree.com/01_-_Srila_Prabhupada/01_-_Lectures/01_-_English/02_-_Month_wise/03_-_March/02/Walk_1975-03-02_MW-ATLANTA.MP3</t>
  </si>
  <si>
    <t>SP_Arrival_Dallas_1975-03-03_Education_Means_Krishna_Consciousness.mp3</t>
  </si>
  <si>
    <t>https://audio.iskcondesiretree.com/01_-_Srila_Prabhupada/01_-_Lectures/01_-_English/01_-_Topic_wise/Arrival_Address/SP_Arrival_Dallas_1975-03-03_Education_Means_Krishna_Consciousness.mp3</t>
  </si>
  <si>
    <t>SP_SB_3-12-19_Dallas_1975-03-03_Entering_Krishna%27s_Family.mp3</t>
  </si>
  <si>
    <t>https://audio.iskcondesiretree.com/01_-_Srila_Prabhupada/01_-_Lectures/01_-_English/01_-_Topic_wise/Srimad_Bhagavatam/Canto-03/SP_SB_3-12-19_Dallas_1975-03-03_Entering_Krishna%27s_Family.mp3</t>
  </si>
  <si>
    <t>Arr_DAL_1975-03-03_Education_Means_Krishna_Consciousness.mp3</t>
  </si>
  <si>
    <t>https://audio.iskcondesiretree.com/01_-_Srila_Prabhupada/01_-_Lectures/01_-_English/02_-_Month_wise/03_-_March/03/Arr_DAL_1975-03-03_Education_Means_Krishna_Consciousness.mp3</t>
  </si>
  <si>
    <t>Lecture_1975-03-03_LE-DALLAS.MP3</t>
  </si>
  <si>
    <t>https://audio.iskcondesiretree.com/01_-_Srila_Prabhupada/01_-_Lectures/01_-_English/02_-_Month_wise/03_-_March/03/Lecture_1975-03-03_LE-DALLAS.MP3</t>
  </si>
  <si>
    <t>SB-03-12-19_1975-03-03_SB-DALLAS.MP3</t>
  </si>
  <si>
    <t>https://audio.iskcondesiretree.com/01_-_Srila_Prabhupada/01_-_Lectures/01_-_English/02_-_Month_wise/03_-_March/03/SB-03-12-19_1975-03-03_SB-DALLAS.MP3</t>
  </si>
  <si>
    <t>SB_3-12-19_DAL_1975-03-03_Entering_Krishna%27s_Family.mp3</t>
  </si>
  <si>
    <t>https://audio.iskcondesiretree.com/01_-_Srila_Prabhupada/01_-_Lectures/01_-_English/02_-_Month_wise/03_-_March/03/SB_3-12-19_DAL_1975-03-03_Entering_Krishna%27s_Family.mp3</t>
  </si>
  <si>
    <t>SP_CC_A_01-15_Dallas_1975-03-04_Our_Hospital_Can_Stop_Death.mp3</t>
  </si>
  <si>
    <t>https://audio.iskcondesiretree.com/01_-_Srila_Prabhupada/01_-_Lectures/01_-_English/01_-_Topic_wise/Chaitanya_Charitamrita/Adi_Lila/SP_CC_A_01-15_Dallas_1975-03-04_Our_Hospital_Can_Stop_Death.mp3</t>
  </si>
  <si>
    <t>SP_Morning_Walk_-_Dallas_1975-03-04_Life-Work_Hard_and_Sin.mp3</t>
  </si>
  <si>
    <t>https://audio.iskcondesiretree.com/01_-_Srila_Prabhupada/01_-_Lectures/01_-_English/01_-_Topic_wise/Morning_Walk/SP_Morning_Walk_-_Dallas_1975-03-04_Life-Work_Hard_and_Sin.mp3</t>
  </si>
  <si>
    <t>Cc_A_1-15_DAL_1975-03-04_Our_Hospital_Can_Stop_Death.mp3</t>
  </si>
  <si>
    <t>https://audio.iskcondesiretree.com/01_-_Srila_Prabhupada/01_-_Lectures/01_-_English/02_-_Month_wise/03_-_March/04/Cc_A_1-15_DAL_1975-03-04_Our_Hospital_Can_Stop_Death.mp3</t>
  </si>
  <si>
    <t>CcAdi-01-015_1975-03-04_CC-DALLAS.MP3</t>
  </si>
  <si>
    <t>https://audio.iskcondesiretree.com/01_-_Srila_Prabhupada/01_-_Lectures/01_-_English/02_-_Month_wise/03_-_March/04/CcAdi-01-015_1975-03-04_CC-DALLAS.MP3</t>
  </si>
  <si>
    <t>MW_DAL_1975-03-04_Life-Work_Hard_and_Sin.mp3</t>
  </si>
  <si>
    <t>https://audio.iskcondesiretree.com/01_-_Srila_Prabhupada/01_-_Lectures/01_-_English/02_-_Month_wise/03_-_March/04/MW_DAL_1975-03-04_Life-Work_Hard_and_Sin.mp3</t>
  </si>
  <si>
    <t>Walk_1975-03-04_MW-DALLAS.MP3</t>
  </si>
  <si>
    <t>https://audio.iskcondesiretree.com/01_-_Srila_Prabhupada/01_-_Lectures/01_-_English/02_-_Month_wise/03_-_March/04/Walk_1975-03-04_MW-DALLAS.MP3</t>
  </si>
  <si>
    <t>SP_Interview_New_York_1975-03-05_Press--We_Are_Hare_Krishna_People.mp3</t>
  </si>
  <si>
    <t>https://audio.iskcondesiretree.com/01_-_Srila_Prabhupada/01_-_Lectures/01_-_English/01_-_Topic_wise/Interview/SP_Interview_New_York_1975-03-05_Press--We_Are_Hare_Krishna_People.mp3</t>
  </si>
  <si>
    <t>SP_SB_2-02-05_New_York_1975-03-05_How_Shall_I_Be_Maintained.mp3</t>
  </si>
  <si>
    <t>https://audio.iskcondesiretree.com/01_-_Srila_Prabhupada/01_-_Lectures/01_-_English/01_-_Topic_wise/Srimad_Bhagavatam/Canto-02/SP_SB_2-02-05_New_York_1975-03-05_How_Shall_I_Be_Maintained.mp3</t>
  </si>
  <si>
    <t>Interv_NY_1975-03-05_Press--We_Are_Hare_Krishna_People.mp3</t>
  </si>
  <si>
    <t>https://audio.iskcondesiretree.com/01_-_Srila_Prabhupada/01_-_Lectures/01_-_English/02_-_Month_wise/03_-_March/05/Interv_NY_1975-03-05_Press--We_Are_Hare_Krishna_People.mp3</t>
  </si>
  <si>
    <t>Interview_1975-03-05_IV-NEW%20YORK.MP3</t>
  </si>
  <si>
    <t>https://audio.iskcondesiretree.com/01_-_Srila_Prabhupada/01_-_Lectures/01_-_English/02_-_Month_wise/03_-_March/05/Interview_1975-03-05_IV-NEW%20YORK.MP3</t>
  </si>
  <si>
    <t>SB-02-02-05_1975-03-05_SB-NEW%20YORK.MP3</t>
  </si>
  <si>
    <t>https://audio.iskcondesiretree.com/01_-_Srila_Prabhupada/01_-_Lectures/01_-_English/02_-_Month_wise/03_-_March/05/SB-02-02-05_1975-03-05_SB-NEW%20YORK.MP3</t>
  </si>
  <si>
    <t>SB_2-02-05_NY_1975-03-05_How_Shall_I_Be_Maintained.mp3</t>
  </si>
  <si>
    <t>https://audio.iskcondesiretree.com/01_-_Srila_Prabhupada/01_-_Lectures/01_-_English/02_-_Month_wise/03_-_March/05/SB_2-02-05_NY_1975-03-05_How_Shall_I_Be_Maintained.mp3</t>
  </si>
  <si>
    <t>SP_SB_1-15-27_New_York_1975-03-06.MP3</t>
  </si>
  <si>
    <t>https://audio.iskcondesiretree.com/01_-_Srila_Prabhupada/01_-_Lectures/01_-_English/01_-_Topic_wise/Srimad_Bhagavatam/Canto-01/SP_SB_1-15-27_New_York_1975-03-06.MP3</t>
  </si>
  <si>
    <t>SP_SB_1-15-27_New_York_1975-03-06_Blazing_Fire_Within_the_Heart.mp3</t>
  </si>
  <si>
    <t>https://audio.iskcondesiretree.com/01_-_Srila_Prabhupada/01_-_Lectures/01_-_English/01_-_Topic_wise/Srimad_Bhagavatam/Canto-01/SP_SB_1-15-27_New_York_1975-03-06_Blazing_Fire_Within_the_Heart.mp3</t>
  </si>
  <si>
    <t>SP_SB_2-02-06_New_York_1975-03-06.MP3</t>
  </si>
  <si>
    <t>https://audio.iskcondesiretree.com/01_-_Srila_Prabhupada/01_-_Lectures/01_-_English/01_-_Topic_wise/Srimad_Bhagavatam/Canto-02/SP_SB_2-02-06_New_York_1975-03-06.MP3</t>
  </si>
  <si>
    <t>SB-01-15-27_1975-03-06_S2-NEW%20YORK.MP3</t>
  </si>
  <si>
    <t>https://audio.iskcondesiretree.com/01_-_Srila_Prabhupada/01_-_Lectures/01_-_English/02_-_Month_wise/03_-_March/06/SB-01-15-27_1975-03-06_S2-NEW%20YORK.MP3</t>
  </si>
  <si>
    <t>SB-02-02-06_1975-03-06_SB-NEW%20YORK.MP3</t>
  </si>
  <si>
    <t>https://audio.iskcondesiretree.com/01_-_Srila_Prabhupada/01_-_Lectures/01_-_English/02_-_Month_wise/03_-_March/06/SB-02-02-06_1975-03-06_SB-NEW%20YORK.MP3</t>
  </si>
  <si>
    <t>SB_1-15-27_NY_1975-03-06_Blazing_Fire_Within_the_Heart.mp3</t>
  </si>
  <si>
    <t>https://audio.iskcondesiretree.com/01_-_Srila_Prabhupada/01_-_Lectures/01_-_English/02_-_Month_wise/03_-_March/06/SB_1-15-27_NY_1975-03-06_Blazing_Fire_Within_the_Heart.mp3</t>
  </si>
  <si>
    <t>SP_SB_New_York_1975-03-07.MP3</t>
  </si>
  <si>
    <t>https://audio.iskcondesiretree.com/01_-_Srila_Prabhupada/01_-_Lectures/01_-_English/01_-_Topic_wise/Srimad_Bhagavatam/More/SP_SB_New_York_1975-03-07.MP3</t>
  </si>
  <si>
    <t>SB-Lecture_1975-03-07_SB-NEW%20YORK.MP3</t>
  </si>
  <si>
    <t>https://audio.iskcondesiretree.com/01_-_Srila_Prabhupada/01_-_Lectures/01_-_English/02_-_Month_wise/03_-_March/07/SB-Lecture_1975-03-07_SB-NEW%20YORK.MP3</t>
  </si>
  <si>
    <t>SP_Arrival_Lecture_London_1975-03-08.MP3</t>
  </si>
  <si>
    <t>https://audio.iskcondesiretree.com/01_-_Srila_Prabhupada/01_-_Lectures/01_-_English/01_-_Topic_wise/Arrival_Address/SP_Arrival_Lecture_London_1975-03-08.MP3</t>
  </si>
  <si>
    <t>SP_Room_Conversation_01_London_1975-03-08.MP3</t>
  </si>
  <si>
    <t>https://audio.iskcondesiretree.com/01_-_Srila_Prabhupada/01_-_Lectures/01_-_English/01_-_Topic_wise/Room_Conversation/SP_Room_Conversation_01_London_1975-03-08.MP3</t>
  </si>
  <si>
    <t>Arrival_1975-03-08_AR-LONDON.MP3</t>
  </si>
  <si>
    <t>https://audio.iskcondesiretree.com/01_-_Srila_Prabhupada/01_-_Lectures/01_-_English/02_-_Month_wise/03_-_March/08/Arrival_1975-03-08_AR-LONDON.MP3</t>
  </si>
  <si>
    <t>Conv_1975-03-08_R1-LONDON.MP3</t>
  </si>
  <si>
    <t>https://audio.iskcondesiretree.com/01_-_Srila_Prabhupada/01_-_Lectures/01_-_English/02_-_Month_wise/03_-_March/08/Conv_1975-03-08_R1-LONDON.MP3</t>
  </si>
  <si>
    <t>SP_BG_07-01_London_1975-03-09_Attachment_to_the_Supreme.mp3</t>
  </si>
  <si>
    <t>https://audio.iskcondesiretree.com/01_-_Srila_Prabhupada/01_-_Lectures/01_-_English/01_-_Topic_wise/Bhagavad_Gita/Chapter-07/SP_BG_07-01_London_1975-03-09_Attachment_to_the_Supreme.mp3</t>
  </si>
  <si>
    <t>SP_Room_Conversation_London_1975-03-09_Reporter--Produce_Food_or_Problems.mp3</t>
  </si>
  <si>
    <t>https://audio.iskcondesiretree.com/01_-_Srila_Prabhupada/01_-_Lectures/01_-_English/01_-_Topic_wise/Room_Conversation/SP_Room_Conversation_London_1975-03-09_Reporter--Produce_Food_or_Problems.mp3</t>
  </si>
  <si>
    <t>Bg-07-01_1975-03-09_BG-LONDON.MP3</t>
  </si>
  <si>
    <t>https://audio.iskcondesiretree.com/01_-_Srila_Prabhupada/01_-_Lectures/01_-_English/02_-_Month_wise/03_-_March/09/Bg-07-01_1975-03-09_BG-LONDON.MP3</t>
  </si>
  <si>
    <t>Bg_07-01_LON_1975-03-09_Attachment_to_the_Supreme.mp3</t>
  </si>
  <si>
    <t>https://audio.iskcondesiretree.com/01_-_Srila_Prabhupada/01_-_Lectures/01_-_English/02_-_Month_wise/03_-_March/09/Bg_07-01_LON_1975-03-09_Attachment_to_the_Supreme.mp3</t>
  </si>
  <si>
    <t>Conv_1975-03-09_R1-LONDON.MP3</t>
  </si>
  <si>
    <t>https://audio.iskcondesiretree.com/01_-_Srila_Prabhupada/01_-_Lectures/01_-_English/02_-_Month_wise/03_-_March/09/Conv_1975-03-09_R1-LONDON.MP3</t>
  </si>
  <si>
    <t>RC_LON_1975-03-09_Reporter--Produce_Food_or_Problems.mp3</t>
  </si>
  <si>
    <t>https://audio.iskcondesiretree.com/01_-_Srila_Prabhupada/01_-_Lectures/01_-_English/02_-_Month_wise/03_-_March/09/RC_LON_1975-03-09_Reporter--Produce_Food_or_Problems.mp3</t>
  </si>
  <si>
    <t>SP_BG_07-02_London_1975-03-10_Madras_After_the_Disease.mp3</t>
  </si>
  <si>
    <t>https://audio.iskcondesiretree.com/01_-_Srila_Prabhupada/01_-_Lectures/01_-_English/01_-_Topic_wise/Bhagavad_Gita/Chapter-07/SP_BG_07-02_London_1975-03-10_Madras_After_the_Disease.mp3</t>
  </si>
  <si>
    <t>Bg-07-02_1975-03-10_BG-LONDON.MP3</t>
  </si>
  <si>
    <t>https://audio.iskcondesiretree.com/01_-_Srila_Prabhupada/01_-_Lectures/01_-_English/02_-_Month_wise/03_-_March/10/Bg-07-02_1975-03-10_BG-LONDON.MP3</t>
  </si>
  <si>
    <t>Bg_07-02_LON_1975-03-10_Mad_After_the_Disease.mp3</t>
  </si>
  <si>
    <t>https://audio.iskcondesiretree.com/01_-_Srila_Prabhupada/01_-_Lectures/01_-_English/02_-_Month_wise/03_-_March/10/Bg_07-02_LON_1975-03-10_Mad_After_the_Disease.mp3</t>
  </si>
  <si>
    <t>SP_BG_07-03_London_1975-03-11_Your_Next_Life_Sir-Bow_Wow.mp3</t>
  </si>
  <si>
    <t>https://audio.iskcondesiretree.com/01_-_Srila_Prabhupada/01_-_Lectures/01_-_English/01_-_Topic_wise/Bhagavad_Gita/Chapter-07/SP_BG_07-03_London_1975-03-11_Your_Next_Life_Sir-Bow_Wow.mp3</t>
  </si>
  <si>
    <t>SP_Morning_Walk_-_London_1975-03-11_Not_Only_India-The_Whole_World.mp3</t>
  </si>
  <si>
    <t>https://audio.iskcondesiretree.com/01_-_Srila_Prabhupada/01_-_Lectures/01_-_English/01_-_Topic_wise/Morning_Walk/SP_Morning_Walk_-_London_1975-03-11_Not_Only_India-The_Whole_World.mp3</t>
  </si>
  <si>
    <t>Bg-07-03_1975-03-11_BG-LONDON.MP3</t>
  </si>
  <si>
    <t>https://audio.iskcondesiretree.com/01_-_Srila_Prabhupada/01_-_Lectures/01_-_English/02_-_Month_wise/03_-_March/11/Bg-07-03_1975-03-11_BG-LONDON.MP3</t>
  </si>
  <si>
    <t>Bg_07-03_LON_1975-03-11_Your_Next_Life%2C_Sir-Bow%2C_Wow.mp3</t>
  </si>
  <si>
    <t>https://audio.iskcondesiretree.com/01_-_Srila_Prabhupada/01_-_Lectures/01_-_English/02_-_Month_wise/03_-_March/11/Bg_07-03_LON_1975-03-11_Your_Next_Life%2C_Sir-Bow%2C_Wow.mp3</t>
  </si>
  <si>
    <t>MW_LON_1975-03-11_Not_Only_India-The_Whole_World.mp3</t>
  </si>
  <si>
    <t>https://audio.iskcondesiretree.com/01_-_Srila_Prabhupada/01_-_Lectures/01_-_English/02_-_Month_wise/03_-_March/11/MW_LON_1975-03-11_Not_Only_India-The_Whole_World.mp3</t>
  </si>
  <si>
    <t>Walk_1975-03-11_MW-LONDON.MP3</t>
  </si>
  <si>
    <t>https://audio.iskcondesiretree.com/01_-_Srila_Prabhupada/01_-_Lectures/01_-_English/02_-_Month_wise/03_-_March/11/Walk_1975-03-11_MW-LONDON.MP3</t>
  </si>
  <si>
    <t>SP_Departure_Lecture_1975-03-12_London.MP3</t>
  </si>
  <si>
    <t>https://audio.iskcondesiretree.com/01_-_Srila_Prabhupada/01_-_Lectures/01_-_English/01_-_Topic_wise/Departure_Address/SP_Departure_Lecture_1975-03-12_London.MP3</t>
  </si>
  <si>
    <t>SP_Lecture_London_1975-03-12_Krishna_Candy-Every_Side_Sweet.mp3</t>
  </si>
  <si>
    <t>https://audio.iskcondesiretree.com/01_-_Srila_Prabhupada/01_-_Lectures/01_-_English/01_-_Topic_wise/Various/SP_Lecture_London_1975-03-12_Krishna_Candy-Every_Side_Sweet.mp3</t>
  </si>
  <si>
    <t>Departure_1975-03-12_DP-LONDON.MP3</t>
  </si>
  <si>
    <t>https://audio.iskcondesiretree.com/01_-_Srila_Prabhupada/01_-_Lectures/01_-_English/02_-_Month_wise/03_-_March/12/Departure_1975-03-12_DP-LONDON.MP3</t>
  </si>
  <si>
    <t>Lect_LON_1975-03-12_Krishna_Candy-Every_Side_Sweet.mp3</t>
  </si>
  <si>
    <t>https://audio.iskcondesiretree.com/01_-_Srila_Prabhupada/01_-_Lectures/01_-_English/02_-_Month_wise/03_-_March/12/Lect_LON_1975-03-12_Krishna_Candy-Every_Side_Sweet.mp3</t>
  </si>
  <si>
    <t>SP_Morning_Walk_-_Tehran_1975-03-13.MP3</t>
  </si>
  <si>
    <t>https://audio.iskcondesiretree.com/01_-_Srila_Prabhupada/01_-_Lectures/01_-_English/01_-_Topic_wise/Morning_Walk/SP_Morning_Walk_-_Tehran_1975-03-13.MP3</t>
  </si>
  <si>
    <t>SP_Room_Conversation_Tehran_1975-03-13_Canadian_Ambassador_to--etc.mp3</t>
  </si>
  <si>
    <t>https://audio.iskcondesiretree.com/01_-_Srila_Prabhupada/01_-_Lectures/01_-_English/01_-_Topic_wise/Room_Conversation/SP_Room_Conversation_Tehran_1975-03-13_Canadian_Ambassador_to--etc.mp3</t>
  </si>
  <si>
    <t>SP_Room_Conversation_Tehran_1975-03-13_Indians--Only_Krishna_Should_Be_Satisfied.mp3</t>
  </si>
  <si>
    <t>https://audio.iskcondesiretree.com/01_-_Srila_Prabhupada/01_-_Lectures/01_-_English/01_-_Topic_wise/Room_Conversation/SP_Room_Conversation_Tehran_1975-03-13_Indians--Only_Krishna_Should_Be_Satisfied.mp3</t>
  </si>
  <si>
    <t>SP_SB_1-10-03-04_Tehran_1975-03-13_Monarchy_%26_Maha-Mantra-Perfect.MP3</t>
  </si>
  <si>
    <t>https://audio.iskcondesiretree.com/01_-_Srila_Prabhupada/01_-_Lectures/01_-_English/01_-_Topic_wise/Srimad_Bhagavatam/Canto-01/SP_SB_1-10-03-04_Tehran_1975-03-13_Monarchy_%26_Maha-Mantra-Perfect.MP3</t>
  </si>
  <si>
    <t>SP_SB_1-10-03_Tehran_1975-03-13_Monarchy_%26_Maha-Mantra-Perfect.mp3</t>
  </si>
  <si>
    <t>https://audio.iskcondesiretree.com/01_-_Srila_Prabhupada/01_-_Lectures/01_-_English/01_-_Topic_wise/Srimad_Bhagavatam/Canto-01/SP_SB_1-10-03_Tehran_1975-03-13_Monarchy_%26_Maha-Mantra-Perfect.mp3</t>
  </si>
  <si>
    <t>Conv_1975-03-13_R1-TEHRAN.MP3</t>
  </si>
  <si>
    <t>https://audio.iskcondesiretree.com/01_-_Srila_Prabhupada/01_-_Lectures/01_-_English/02_-_Month_wise/03_-_March/13/Conv_1975-03-13_R1-TEHRAN.MP3</t>
  </si>
  <si>
    <t>Conv_1975-03-13_R2-TEHRAN.MP3</t>
  </si>
  <si>
    <t>https://audio.iskcondesiretree.com/01_-_Srila_Prabhupada/01_-_Lectures/01_-_English/02_-_Month_wise/03_-_March/13/Conv_1975-03-13_R2-TEHRAN.MP3</t>
  </si>
  <si>
    <t>RC_TEH_1975-03-13_Canadian_Ambassador_to_etc.mp3</t>
  </si>
  <si>
    <t>https://audio.iskcondesiretree.com/01_-_Srila_Prabhupada/01_-_Lectures/01_-_English/02_-_Month_wise/03_-_March/13/RC_TEH_1975-03-13_Canadian_Ambassador_to_etc.mp3</t>
  </si>
  <si>
    <t>RC_TEH_1975-03-13_Indians--Only_Krishna_Should_Be_Satisfied.mp3</t>
  </si>
  <si>
    <t>https://audio.iskcondesiretree.com/01_-_Srila_Prabhupada/01_-_Lectures/01_-_English/02_-_Month_wise/03_-_March/13/RC_TEH_1975-03-13_Indians--Only_Krishna_Should_Be_Satisfied.mp3</t>
  </si>
  <si>
    <t>SB-01-10-03%E2%80%9304_1975-03-13_SB-TEHRAN.MP3</t>
  </si>
  <si>
    <t>https://audio.iskcondesiretree.com/01_-_Srila_Prabhupada/01_-_Lectures/01_-_English/02_-_Month_wise/03_-_March/13/SB-01-10-03%E2%80%9304_1975-03-13_SB-TEHRAN.MP3</t>
  </si>
  <si>
    <t>SB_1-10-03_TEH_1975-03-13_Monarchy_%26_Maha-Mantra-Perfect.mp3</t>
  </si>
  <si>
    <t>https://audio.iskcondesiretree.com/01_-_Srila_Prabhupada/01_-_Lectures/01_-_English/02_-_Month_wise/03_-_March/13/SB_1-10-03_TEH_1975-03-13_Monarchy_%26_Maha-Mantra-Perfect.mp3</t>
  </si>
  <si>
    <t>Walk_1975-03-13_MW-TEHRAN.MP3</t>
  </si>
  <si>
    <t>https://audio.iskcondesiretree.com/01_-_Srila_Prabhupada/01_-_Lectures/01_-_English/02_-_Month_wise/03_-_March/13/Walk_1975-03-13_MW-TEHRAN.MP3</t>
  </si>
  <si>
    <t>SP_Morning_Walk_-_Tehran_1975-03-14.MP3</t>
  </si>
  <si>
    <t>https://audio.iskcondesiretree.com/01_-_Srila_Prabhupada/01_-_Lectures/01_-_English/01_-_Topic_wise/Morning_Walk/SP_Morning_Walk_-_Tehran_1975-03-14.MP3</t>
  </si>
  <si>
    <t>SP_Room_Conversation_Tehran_1975-03-14_Yoga_Student--The_Clear_Conception_of_God.mp3</t>
  </si>
  <si>
    <t>https://audio.iskcondesiretree.com/01_-_Srila_Prabhupada/01_-_Lectures/01_-_English/01_-_Topic_wise/Room_Conversation/SP_Room_Conversation_Tehran_1975-03-14_Yoga_Student--The_Clear_Conception_of_God.mp3</t>
  </si>
  <si>
    <t>SP_Room_Conversation_Tehran_1975-03-14_Yoga_Student_and_Other_Guests.MP3</t>
  </si>
  <si>
    <t>https://audio.iskcondesiretree.com/01_-_Srila_Prabhupada/01_-_Lectures/01_-_English/01_-_Topic_wise/Room_Conversation/SP_Room_Conversation_Tehran_1975-03-14_Yoga_Student_and_Other_Guests.MP3</t>
  </si>
  <si>
    <t>Conv_1975-03-14_R1-TEHRAN.MP3</t>
  </si>
  <si>
    <t>https://audio.iskcondesiretree.com/01_-_Srila_Prabhupada/01_-_Lectures/01_-_English/02_-_Month_wise/03_-_March/14/Conv_1975-03-14_R1-TEHRAN.MP3</t>
  </si>
  <si>
    <t>Conv_1975-03-14_R2-TEHRAN.MP3</t>
  </si>
  <si>
    <t>https://audio.iskcondesiretree.com/01_-_Srila_Prabhupada/01_-_Lectures/01_-_English/02_-_Month_wise/03_-_March/14/Conv_1975-03-14_R2-TEHRAN.MP3</t>
  </si>
  <si>
    <t>RC_TEH_1975-03-14_Yoga_Student--The_Clear_Conception_of_God.mp3</t>
  </si>
  <si>
    <t>https://audio.iskcondesiretree.com/01_-_Srila_Prabhupada/01_-_Lectures/01_-_English/02_-_Month_wise/03_-_March/14/RC_TEH_1975-03-14_Yoga_Student--The_Clear_Conception_of_God.mp3</t>
  </si>
  <si>
    <t>Walk_1975-03-14_MW-TEHRAN.MP3</t>
  </si>
  <si>
    <t>https://audio.iskcondesiretree.com/01_-_Srila_Prabhupada/01_-_Lectures/01_-_English/02_-_Month_wise/03_-_March/14/Walk_1975-03-14_MW-TEHRAN.MP3</t>
  </si>
  <si>
    <t>SP_Morning_Walk_-_Tehran_1975-03-15.MP3</t>
  </si>
  <si>
    <t>https://audio.iskcondesiretree.com/01_-_Srila_Prabhupada/01_-_Lectures/01_-_English/01_-_Topic_wise/Morning_Walk/SP_Morning_Walk_-_Tehran_1975-03-15.MP3</t>
  </si>
  <si>
    <t>SP_Room_Conversation_01_Tehran_1975-03-15.MP3</t>
  </si>
  <si>
    <t>https://audio.iskcondesiretree.com/01_-_Srila_Prabhupada/01_-_Lectures/01_-_English/01_-_Topic_wise/Room_Conversation/SP_Room_Conversation_01_Tehran_1975-03-15.MP3</t>
  </si>
  <si>
    <t>Conv_1975-03-15_R1-TEHRAN.MP3</t>
  </si>
  <si>
    <t>https://audio.iskcondesiretree.com/01_-_Srila_Prabhupada/01_-_Lectures/01_-_English/02_-_Month_wise/03_-_March/15/Conv_1975-03-15_R1-TEHRAN.MP3</t>
  </si>
  <si>
    <t>Walk_1975-03-15_MW-TEHRAN.MP3</t>
  </si>
  <si>
    <t>https://audio.iskcondesiretree.com/01_-_Srila_Prabhupada/01_-_Lectures/01_-_English/02_-_Month_wise/03_-_March/15/Walk_1975-03-15_MW-TEHRAN.MP3</t>
  </si>
  <si>
    <t>SP_Address_Calcutta_1975-03-20_Hinduism_Muslimism_Christianism--etc.mp3</t>
  </si>
  <si>
    <t>https://audio.iskcondesiretree.com/01_-_Srila_Prabhupada/01_-_Lectures/01_-_English/01_-_Topic_wise/Arrival_Address/SP_Address_Calcutta_1975-03-20_Hinduism_Muslimism_Christianism--etc.mp3</t>
  </si>
  <si>
    <t>SP_Arrival_Address_Calcutta_1975-03-20.MP3</t>
  </si>
  <si>
    <t>https://audio.iskcondesiretree.com/01_-_Srila_Prabhupada/01_-_Lectures/01_-_English/01_-_Topic_wise/Arrival_Address/SP_Arrival_Address_Calcutta_1975-03-20.MP3</t>
  </si>
  <si>
    <t>Arr_CAL_1975-03-20_Hinduism%2C_Muslimism%2C_Christianism_etc.mp3</t>
  </si>
  <si>
    <t>https://audio.iskcondesiretree.com/01_-_Srila_Prabhupada/01_-_Lectures/01_-_English/02_-_Month_wise/03_-_March/20/Arr_CAL_1975-03-20_Hinduism%2C_Muslimism%2C_Christianism_etc.mp3</t>
  </si>
  <si>
    <t>Arrival_1975-03-20_AR-CALCUTTA.MP3</t>
  </si>
  <si>
    <t>https://audio.iskcondesiretree.com/01_-_Srila_Prabhupada/01_-_Lectures/01_-_English/02_-_Month_wise/03_-_March/20/Arrival_1975-03-20_AR-CALCUTTA.MP3</t>
  </si>
  <si>
    <t>SP_Interview_Calcutta1975-03-21_Pseudo_Scientists_Deny_Supreme.mp3</t>
  </si>
  <si>
    <t>https://audio.iskcondesiretree.com/01_-_Srila_Prabhupada/01_-_Lectures/01_-_English/01_-_Topic_wise/Interview/SP_Interview_Calcutta1975-03-21_Pseudo_Scientists_Deny_Supreme.mp3</t>
  </si>
  <si>
    <t>SP_Room_Conversation_01_Calcutta_1975-03-21.MP3</t>
  </si>
  <si>
    <t>https://audio.iskcondesiretree.com/01_-_Srila_Prabhupada/01_-_Lectures/01_-_English/01_-_Topic_wise/Room_Conversation/SP_Room_Conversation_01_Calcutta_1975-03-21.MP3</t>
  </si>
  <si>
    <t>Conv_1975-03-21_R1-CALCUTTA.MP3</t>
  </si>
  <si>
    <t>https://audio.iskcondesiretree.com/01_-_Srila_Prabhupada/01_-_Lectures/01_-_English/02_-_Month_wise/03_-_March/21/Conv_1975-03-21_R1-CALCUTTA.MP3</t>
  </si>
  <si>
    <t>Interv_CAL_1975-03-21_Pseudo_Scientists_Deny_Supreme.mp3</t>
  </si>
  <si>
    <t>https://audio.iskcondesiretree.com/01_-_Srila_Prabhupada/01_-_Lectures/01_-_English/02_-_Month_wise/03_-_March/21/Interv_CAL_1975-03-21_Pseudo_Scientists_Deny_Supreme.mp3</t>
  </si>
  <si>
    <t>SB-01-02-06%E2%80%93Hindi_1975-03-21_SB-CALCUTTA.MP3</t>
  </si>
  <si>
    <t>https://audio.iskcondesiretree.com/01_-_Srila_Prabhupada/01_-_Lectures/01_-_English/02_-_Month_wise/03_-_March/21/SB-01-02-06%E2%80%93Hindi_1975-03-21_SB-CALCUTTA.MP3</t>
  </si>
  <si>
    <t>SB-01-02-07%E2%80%93Hindi_1975-03-22_SB-CALCUTTA.MP3</t>
  </si>
  <si>
    <t>https://audio.iskcondesiretree.com/01_-_Srila_Prabhupada/01_-_Lectures/01_-_English/02_-_Month_wise/03_-_March/22/SB-01-02-07%E2%80%93Hindi_1975-03-22_SB-CALCUTTA.MP3</t>
  </si>
  <si>
    <t>SP_Arrival_Talk_Mayapur_1975-03-23.MP3</t>
  </si>
  <si>
    <t>https://audio.iskcondesiretree.com/01_-_Srila_Prabhupada/01_-_Lectures/01_-_English/01_-_Topic_wise/Arrival_Address/SP_Arrival_Talk_Mayapur_1975-03-23.MP3</t>
  </si>
  <si>
    <t>SP_Room_Conversation_Mayapur_1975-03-23_Bhaktivinode_Predicted_Someone.mp3</t>
  </si>
  <si>
    <t>https://audio.iskcondesiretree.com/01_-_Srila_Prabhupada/01_-_Lectures/01_-_English/01_-_Topic_wise/Room_Conversation/SP_Room_Conversation_Mayapur_1975-03-23_Bhaktivinode_Predicted_Someone.mp3</t>
  </si>
  <si>
    <t>Arrival_1975-03-23_AR-MAYAPUR.MP3</t>
  </si>
  <si>
    <t>https://audio.iskcondesiretree.com/01_-_Srila_Prabhupada/01_-_Lectures/01_-_English/02_-_Month_wise/03_-_March/23/Arrival_1975-03-23_AR-MAYAPUR.MP3</t>
  </si>
  <si>
    <t>RC_MAY_1975-03-23_Bhaktivinode_Predicted_Someone.mp3</t>
  </si>
  <si>
    <t>https://audio.iskcondesiretree.com/01_-_Srila_Prabhupada/01_-_Lectures/01_-_English/02_-_Month_wise/03_-_March/23/RC_MAY_1975-03-23_Bhaktivinode_Predicted_Someone.mp3</t>
  </si>
  <si>
    <t>SB-01-02-08%E2%80%93Hindi_1975-03-23_SB-CALCUTTA.MP3</t>
  </si>
  <si>
    <t>https://audio.iskcondesiretree.com/01_-_Srila_Prabhupada/01_-_Lectures/01_-_English/02_-_Month_wise/03_-_March/23/SB-01-02-08%E2%80%93Hindi_1975-03-23_SB-CALCUTTA.MP3</t>
  </si>
  <si>
    <t>SP_CC_A_01-01_Mayapur_1975-03-25_Become_a_Guru%2C_Not_a_God.mp3</t>
  </si>
  <si>
    <t>https://audio.iskcondesiretree.com/01_-_Srila_Prabhupada/01_-_Lectures/01_-_English/01_-_Topic_wise/Chaitanya_Charitamrita/Adi_Lila/SP_CC_A_01-01_Mayapur_1975-03-25_Become_a_Guru%2C_Not_a_God.mp3</t>
  </si>
  <si>
    <t>SP_Morning_Walk_-_Mayapur_1975-03-25.MP3</t>
  </si>
  <si>
    <t>https://audio.iskcondesiretree.com/01_-_Srila_Prabhupada/01_-_Lectures/01_-_English/01_-_Topic_wise/Morning_Walk/SP_Morning_Walk_-_Mayapur_1975-03-25.MP3</t>
  </si>
  <si>
    <t>Cc_A_1-01_MAY_1975-03-25_Become_a_Guru%2C_Not_a_God.mp3</t>
  </si>
  <si>
    <t>https://audio.iskcondesiretree.com/01_-_Srila_Prabhupada/01_-_Lectures/01_-_English/02_-_Month_wise/03_-_March/25/Cc_A_1-01_MAY_1975-03-25_Become_a_Guru%2C_Not_a_God.mp3</t>
  </si>
  <si>
    <t>CcAdi-01-001_1975-03-25_CC-MAYAPUR.MP3</t>
  </si>
  <si>
    <t>https://audio.iskcondesiretree.com/01_-_Srila_Prabhupada/01_-_Lectures/01_-_English/02_-_Month_wise/03_-_March/25/CcAdi-01-001_1975-03-25_CC-MAYAPUR.MP3</t>
  </si>
  <si>
    <t>Walk_1975-03-25_MW-MAYAPUR.MP3</t>
  </si>
  <si>
    <t>https://audio.iskcondesiretree.com/01_-_Srila_Prabhupada/01_-_Lectures/01_-_English/02_-_Month_wise/03_-_March/25/Walk_1975-03-25_MW-MAYAPUR.MP3</t>
  </si>
  <si>
    <t>SP_CC_A_01-02_Mayapur_1975-03-26_The_Darkness_Dispellers.mp3</t>
  </si>
  <si>
    <t>https://audio.iskcondesiretree.com/01_-_Srila_Prabhupada/01_-_Lectures/01_-_English/01_-_Topic_wise/Chaitanya_Charitamrita/Adi_Lila/SP_CC_A_01-02_Mayapur_1975-03-26_The_Darkness_Dispellers.mp3</t>
  </si>
  <si>
    <t>SP_Morning_Walk_-_Mayapur_1975-03-26.MP3</t>
  </si>
  <si>
    <t>https://audio.iskcondesiretree.com/01_-_Srila_Prabhupada/01_-_Lectures/01_-_English/01_-_Topic_wise/Morning_Walk/SP_Morning_Walk_-_Mayapur_1975-03-26.MP3</t>
  </si>
  <si>
    <t>Cc_A_1-02_MAY_1975-03-26_The_Darkness_Dispellers.mp3</t>
  </si>
  <si>
    <t>https://audio.iskcondesiretree.com/01_-_Srila_Prabhupada/01_-_Lectures/01_-_English/02_-_Month_wise/03_-_March/26/Cc_A_1-02_MAY_1975-03-26_The_Darkness_Dispellers.mp3</t>
  </si>
  <si>
    <t>CcAdi-01-002_1975-03-26_CC-MAYAPUR.MP3</t>
  </si>
  <si>
    <t>https://audio.iskcondesiretree.com/01_-_Srila_Prabhupada/01_-_Lectures/01_-_English/02_-_Month_wise/03_-_March/26/CcAdi-01-002_1975-03-26_CC-MAYAPUR.MP3</t>
  </si>
  <si>
    <t>Walk_1975-03-26_MW-MAYAPUR.MP3</t>
  </si>
  <si>
    <t>https://audio.iskcondesiretree.com/01_-_Srila_Prabhupada/01_-_Lectures/01_-_English/02_-_Month_wise/03_-_March/26/Walk_1975-03-26_MW-MAYAPUR.MP3</t>
  </si>
  <si>
    <t>SP_CC_A_01-03_Mayapur_1975-03-27_My_My_My--What_Ignorance.mp3</t>
  </si>
  <si>
    <t>https://audio.iskcondesiretree.com/01_-_Srila_Prabhupada/01_-_Lectures/01_-_English/01_-_Topic_wise/Chaitanya_Charitamrita/Adi_Lila/SP_CC_A_01-03_Mayapur_1975-03-27_My_My_My--What_Ignorance.mp3</t>
  </si>
  <si>
    <t>SP_Room_Conversation_01_Mayapur_1975-03-27.MP3</t>
  </si>
  <si>
    <t>https://audio.iskcondesiretree.com/01_-_Srila_Prabhupada/01_-_Lectures/01_-_English/01_-_Topic_wise/Room_Conversation/SP_Room_Conversation_01_Mayapur_1975-03-27.MP3</t>
  </si>
  <si>
    <t>Cc_A_1-03_MAY_1975-03-27_My_My_My_What_Ignorance.mp3</t>
  </si>
  <si>
    <t>https://audio.iskcondesiretree.com/01_-_Srila_Prabhupada/01_-_Lectures/01_-_English/02_-_Month_wise/03_-_March/27/Cc_A_1-03_MAY_1975-03-27_My_My_My_What_Ignorance.mp3</t>
  </si>
  <si>
    <t>CcAdi-01-003_1975-03-27_CC-MAYAPUR.MP3</t>
  </si>
  <si>
    <t>https://audio.iskcondesiretree.com/01_-_Srila_Prabhupada/01_-_Lectures/01_-_English/02_-_Month_wise/03_-_March/27/CcAdi-01-003_1975-03-27_CC-MAYAPUR.MP3</t>
  </si>
  <si>
    <t>Conv_1975-03-27_R1-MAYAPUR.MP3</t>
  </si>
  <si>
    <t>https://audio.iskcondesiretree.com/01_-_Srila_Prabhupada/01_-_Lectures/01_-_English/02_-_Month_wise/03_-_March/27/Conv_1975-03-27_R1-MAYAPUR.MP3</t>
  </si>
  <si>
    <t>SP_CC_A_01-04_Mayapur_1975-03-28_Every_One_of_You--Become_a_Guru.mp3</t>
  </si>
  <si>
    <t>https://audio.iskcondesiretree.com/01_-_Srila_Prabhupada/01_-_Lectures/01_-_English/01_-_Topic_wise/Chaitanya_Charitamrita/Adi_Lila/SP_CC_A_01-04_Mayapur_1975-03-28_Every_One_of_You--Become_a_Guru.mp3</t>
  </si>
  <si>
    <t>Cc_A_1-04_MAY_1975-03-28_Every_One_of_You--Become_a_Guru.mp3</t>
  </si>
  <si>
    <t>https://audio.iskcondesiretree.com/01_-_Srila_Prabhupada/01_-_Lectures/01_-_English/02_-_Month_wise/03_-_March/28/Cc_A_1-04_MAY_1975-03-28_Every_One_of_You--Become_a_Guru.mp3</t>
  </si>
  <si>
    <t>CcAdi-01-004_1975-03-28_CC-MAYAPUR.MP3</t>
  </si>
  <si>
    <t>https://audio.iskcondesiretree.com/01_-_Srila_Prabhupada/01_-_Lectures/01_-_English/02_-_Month_wise/03_-_March/28/CcAdi-01-004_1975-03-28_CC-MAYAPUR.MP3</t>
  </si>
  <si>
    <t>SP_CC_A_01-05_Mayapur_1975-03-29_Science_of_Supreme_Pleasure.mp3</t>
  </si>
  <si>
    <t>https://audio.iskcondesiretree.com/01_-_Srila_Prabhupada/01_-_Lectures/01_-_English/01_-_Topic_wise/Chaitanya_Charitamrita/Adi_Lila/SP_CC_A_01-05_Mayapur_1975-03-29_Science_of_Supreme_Pleasure.mp3</t>
  </si>
  <si>
    <t>SP_Lecture_Mayapur_1975-03-29_After_Manipur_Dancing.MP3</t>
  </si>
  <si>
    <t>https://audio.iskcondesiretree.com/01_-_Srila_Prabhupada/01_-_Lectures/01_-_English/01_-_Topic_wise/Various/SP_Lecture_Mayapur_1975-03-29_After_Manipur_Dancing.MP3</t>
  </si>
  <si>
    <t>Cc_A_1-05_MAY_1975-03-29_Science_of_Supreme_Pleasure.mp3</t>
  </si>
  <si>
    <t>https://audio.iskcondesiretree.com/01_-_Srila_Prabhupada/01_-_Lectures/01_-_English/02_-_Month_wise/03_-_March/29/Cc_A_1-05_MAY_1975-03-29_Science_of_Supreme_Pleasure.mp3</t>
  </si>
  <si>
    <t>CcAdi-01-005_1975-03-29_CC-MAYAPUR.MP3</t>
  </si>
  <si>
    <t>https://audio.iskcondesiretree.com/01_-_Srila_Prabhupada/01_-_Lectures/01_-_English/02_-_Month_wise/03_-_March/29/CcAdi-01-005_1975-03-29_CC-MAYAPUR.MP3</t>
  </si>
  <si>
    <t>Lecture_1975-03-29_LE-MAYAPUR.MP3</t>
  </si>
  <si>
    <t>https://audio.iskcondesiretree.com/01_-_Srila_Prabhupada/01_-_Lectures/01_-_English/02_-_Month_wise/03_-_March/29/Lecture_1975-03-29_LE-MAYAPUR.MP3</t>
  </si>
  <si>
    <t>SP_CC_A_01-06_Mayapur_1975-03-30_Krishna_Is_Enjoying_Differently.mp3</t>
  </si>
  <si>
    <t>https://audio.iskcondesiretree.com/01_-_Srila_Prabhupada/01_-_Lectures/01_-_English/01_-_Topic_wise/Chaitanya_Charitamrita/Adi_Lila/SP_CC_A_01-06_Mayapur_1975-03-30_Krishna_Is_Enjoying_Differently.mp3</t>
  </si>
  <si>
    <t>SP_Room_Conversation_Mayapur_1975-03-30_Entering_the_Family_of_Krishna.mp3</t>
  </si>
  <si>
    <t>https://audio.iskcondesiretree.com/01_-_Srila_Prabhupada/01_-_Lectures/01_-_English/01_-_Topic_wise/Room_Conversation/SP_Room_Conversation_Mayapur_1975-03-30_Entering_the_Family_of_Krishna.mp3</t>
  </si>
  <si>
    <t>SP_Room_Conversation_Mayapur_1975-03-30_Meeting_with_GBC.MP3</t>
  </si>
  <si>
    <t>https://audio.iskcondesiretree.com/01_-_Srila_Prabhupada/01_-_Lectures/01_-_English/01_-_Topic_wise/Room_Conversation/SP_Room_Conversation_Mayapur_1975-03-30_Meeting_with_GBC.MP3</t>
  </si>
  <si>
    <t>Cc_A_1-06_MAY_1975-03-30_Krishna_Is_Enjoying_Differently.mp3</t>
  </si>
  <si>
    <t>https://audio.iskcondesiretree.com/01_-_Srila_Prabhupada/01_-_Lectures/01_-_English/02_-_Month_wise/03_-_March/30/Cc_A_1-06_MAY_1975-03-30_Krishna_Is_Enjoying_Differently.mp3</t>
  </si>
  <si>
    <t>CcAdi-01-006_1975-03-30_CC-MAYAPUR.MP3</t>
  </si>
  <si>
    <t>https://audio.iskcondesiretree.com/01_-_Srila_Prabhupada/01_-_Lectures/01_-_English/02_-_Month_wise/03_-_March/30/CcAdi-01-006_1975-03-30_CC-MAYAPUR.MP3</t>
  </si>
  <si>
    <t>Conv_1975-03-30_R1-MAYAPUR.MP3</t>
  </si>
  <si>
    <t>https://audio.iskcondesiretree.com/01_-_Srila_Prabhupada/01_-_Lectures/01_-_English/02_-_Month_wise/03_-_March/30/Conv_1975-03-30_R1-MAYAPUR.MP3</t>
  </si>
  <si>
    <t>Conv_1975-03-30_R2-MAYAPUR.MP3</t>
  </si>
  <si>
    <t>https://audio.iskcondesiretree.com/01_-_Srila_Prabhupada/01_-_Lectures/01_-_English/02_-_Month_wise/03_-_March/30/Conv_1975-03-30_R2-MAYAPUR.MP3</t>
  </si>
  <si>
    <t>RC_MAY_1975-03-30_Entering_the_Family_of_Krishna.mp3</t>
  </si>
  <si>
    <t>https://audio.iskcondesiretree.com/01_-_Srila_Prabhupada/01_-_Lectures/01_-_English/02_-_Month_wise/03_-_March/30/RC_MAY_1975-03-30_Entering_the_Family_of_Krishna.mp3</t>
  </si>
  <si>
    <t>SP_CC_A_01-07_Mayapur_1975-03-31_Ever_Expanding_Life_with_Krishna.mp3</t>
  </si>
  <si>
    <t>https://audio.iskcondesiretree.com/01_-_Srila_Prabhupada/01_-_Lectures/01_-_English/01_-_Topic_wise/Chaitanya_Charitamrita/Adi_Lila/SP_CC_A_01-07_Mayapur_1975-03-31_Ever_Expanding_Life_with_Krishna.mp3</t>
  </si>
  <si>
    <t>SP_Room_Conversation_Mayapur_1975-03-31_Conversations_with_Devotees.MP3</t>
  </si>
  <si>
    <t>https://audio.iskcondesiretree.com/01_-_Srila_Prabhupada/01_-_Lectures/01_-_English/01_-_Topic_wise/Room_Conversation/SP_Room_Conversation_Mayapur_1975-03-31_Conversations_with_Devotees.MP3</t>
  </si>
  <si>
    <t>Cc_A_1-07_MAY_1975-03-31_Ever_Expanding_Life_with_Krishna.mp3</t>
  </si>
  <si>
    <t>https://audio.iskcondesiretree.com/01_-_Srila_Prabhupada/01_-_Lectures/01_-_English/02_-_Month_wise/03_-_March/31/Cc_A_1-07_MAY_1975-03-31_Ever_Expanding_Life_with_Krishna.mp3</t>
  </si>
  <si>
    <t>CcAdi-01-007_1975-03-31_CC-MAYAPUR.MP3</t>
  </si>
  <si>
    <t>https://audio.iskcondesiretree.com/01_-_Srila_Prabhupada/01_-_Lectures/01_-_English/02_-_Month_wise/03_-_March/31/CcAdi-01-007_1975-03-31_CC-MAYAPUR.MP3</t>
  </si>
  <si>
    <t>Conv_1975-03-31_R1-MAYAPUR.MP3</t>
  </si>
  <si>
    <t>https://audio.iskcondesiretree.com/01_-_Srila_Prabhupada/01_-_Lectures/01_-_English/02_-_Month_wise/03_-_March/31/Conv_1975-03-31_R1-MAYAPUR.MP3</t>
  </si>
  <si>
    <t>SP_CC_A_01-08_Mayapur_1975-04-01_Spread_Krsna_Consciousness--etc.mp3</t>
  </si>
  <si>
    <t>https://audio.iskcondesiretree.com/01_-_Srila_Prabhupada/01_-_Lectures/01_-_English/01_-_Topic_wise/Chaitanya_Charitamrita/Adi_Lila/SP_CC_A_01-08_Mayapur_1975-04-01_Spread_Krsna_Consciousness--etc.mp3</t>
  </si>
  <si>
    <t>SP_Morning_Walk_-_Mayapur_1975-04-01_Deaf_Man_Thinks_All_Others_are_Deaf.mp3</t>
  </si>
  <si>
    <t>https://audio.iskcondesiretree.com/01_-_Srila_Prabhupada/01_-_Lectures/01_-_English/01_-_Topic_wise/Morning_Walk/SP_Morning_Walk_-_Mayapur_1975-04-01_Deaf_Man_Thinks_All_Others_are_Deaf.mp3</t>
  </si>
  <si>
    <t>SP_Room_Conversation_Mayapur_1975-04-01_Theologian_Speculators.mp3</t>
  </si>
  <si>
    <t>https://audio.iskcondesiretree.com/01_-_Srila_Prabhupada/01_-_Lectures/01_-_English/01_-_Topic_wise/Room_Conversation/SP_Room_Conversation_Mayapur_1975-04-01_Theologian_Speculators.mp3</t>
  </si>
  <si>
    <t>Cc_A_1-08_MAY_1975-04-01_Spread_Krsna_Consciousness_etc.mp3</t>
  </si>
  <si>
    <t>https://audio.iskcondesiretree.com/01_-_Srila_Prabhupada/01_-_Lectures/01_-_English/02_-_Month_wise/04_-_April/01/Cc_A_1-08_MAY_1975-04-01_Spread_Krsna_Consciousness_etc.mp3</t>
  </si>
  <si>
    <t>CcAdi-01-008_1975-04-01_CC-MAYAPUR.MP3</t>
  </si>
  <si>
    <t>https://audio.iskcondesiretree.com/01_-_Srila_Prabhupada/01_-_Lectures/01_-_English/02_-_Month_wise/04_-_April/01/CcAdi-01-008_1975-04-01_CC-MAYAPUR.MP3</t>
  </si>
  <si>
    <t>Conv_1975-04-01_R1-MAYAPUR.MP3</t>
  </si>
  <si>
    <t>https://audio.iskcondesiretree.com/01_-_Srila_Prabhupada/01_-_Lectures/01_-_English/02_-_Month_wise/04_-_April/01/Conv_1975-04-01_R1-MAYAPUR.MP3</t>
  </si>
  <si>
    <t>MW_MAY_1975-04-01_Deaf_Man_Thinks_All_Others_are_Deaf.mp3</t>
  </si>
  <si>
    <t>https://audio.iskcondesiretree.com/01_-_Srila_Prabhupada/01_-_Lectures/01_-_English/02_-_Month_wise/04_-_April/01/MW_MAY_1975-04-01_Deaf_Man_Thinks_All_Others_are_Deaf.mp3</t>
  </si>
  <si>
    <t>RC_MAY_1975-04-01_Theologian_Speculators.mp3</t>
  </si>
  <si>
    <t>https://audio.iskcondesiretree.com/01_-_Srila_Prabhupada/01_-_Lectures/01_-_English/02_-_Month_wise/04_-_April/01/RC_MAY_1975-04-01_Theologian_Speculators.mp3</t>
  </si>
  <si>
    <t>Walk_1975-04-01_MW-MAYAPUR.MP3</t>
  </si>
  <si>
    <t>https://audio.iskcondesiretree.com/01_-_Srila_Prabhupada/01_-_Lectures/01_-_English/02_-_Month_wise/04_-_April/01/Walk_1975-04-01_MW-MAYAPUR.MP3</t>
  </si>
  <si>
    <t>SP_CC_A_01-09_Mayapur_1975-04-02_Big_Chunk_of_Nonsense.mp3</t>
  </si>
  <si>
    <t>https://audio.iskcondesiretree.com/01_-_Srila_Prabhupada/01_-_Lectures/01_-_English/01_-_Topic_wise/Chaitanya_Charitamrita/Adi_Lila/SP_CC_A_01-09_Mayapur_1975-04-02_Big_Chunk_of_Nonsense.mp3</t>
  </si>
  <si>
    <t>SP_Morning_Walk_-_Mayapur_1975-04-02_Very_Expert_in_Misinterpreting.mp3</t>
  </si>
  <si>
    <t>https://audio.iskcondesiretree.com/01_-_Srila_Prabhupada/01_-_Lectures/01_-_English/01_-_Topic_wise/Morning_Walk/SP_Morning_Walk_-_Mayapur_1975-04-02_Very_Expert_in_Misinterpreting.mp3</t>
  </si>
  <si>
    <t>Cc_A_1-09_MAY_1975-04-02_Big_Chunk_of_Nonsense.mp3</t>
  </si>
  <si>
    <t>https://audio.iskcondesiretree.com/01_-_Srila_Prabhupada/01_-_Lectures/01_-_English/02_-_Month_wise/04_-_April/02/Cc_A_1-09_MAY_1975-04-02_Big_Chunk_of_Nonsense.mp3</t>
  </si>
  <si>
    <t>CcAdi-01-009_1975-04-02_CC-MAYAPUR.MP3</t>
  </si>
  <si>
    <t>https://audio.iskcondesiretree.com/01_-_Srila_Prabhupada/01_-_Lectures/01_-_English/02_-_Month_wise/04_-_April/02/CcAdi-01-009_1975-04-02_CC-MAYAPUR.MP3</t>
  </si>
  <si>
    <t>MW_MAY_1975-04-02_Very_Expert_in_Misinterpreting.mp3</t>
  </si>
  <si>
    <t>https://audio.iskcondesiretree.com/01_-_Srila_Prabhupada/01_-_Lectures/01_-_English/02_-_Month_wise/04_-_April/02/MW_MAY_1975-04-02_Very_Expert_in_Misinterpreting.mp3</t>
  </si>
  <si>
    <t>Walk_1975-04-02_MW-MAYAPUR.MP3</t>
  </si>
  <si>
    <t>https://audio.iskcondesiretree.com/01_-_Srila_Prabhupada/01_-_Lectures/01_-_English/02_-_Month_wise/04_-_April/02/Walk_1975-04-02_MW-MAYAPUR.MP3</t>
  </si>
  <si>
    <t>SP_CC_A_01-10_Mayapur_1975-04-03_Getting_God_to_Talk_to_You.mp3</t>
  </si>
  <si>
    <t>https://audio.iskcondesiretree.com/01_-_Srila_Prabhupada/01_-_Lectures/01_-_English/01_-_Topic_wise/Chaitanya_Charitamrita/Adi_Lila/SP_CC_A_01-10_Mayapur_1975-04-03_Getting_God_to_Talk_to_You.mp3</t>
  </si>
  <si>
    <t>SP_Morning_Walk_-_Mayapur_1975-04-03_High-Tech_High-Sci_Rascals.mp3</t>
  </si>
  <si>
    <t>https://audio.iskcondesiretree.com/01_-_Srila_Prabhupada/01_-_Lectures/01_-_English/01_-_Topic_wise/Morning_Walk/SP_Morning_Walk_-_Mayapur_1975-04-03_High-Tech_High-Sci_Rascals.mp3</t>
  </si>
  <si>
    <t>SP_Morning_Walk_-_Mayapur_1975-04-03_The_Return_Ticket_Hell--Heaven--Hell.mp3</t>
  </si>
  <si>
    <t>https://audio.iskcondesiretree.com/01_-_Srila_Prabhupada/01_-_Lectures/01_-_English/01_-_Topic_wise/Morning_Walk/SP_Morning_Walk_-_Mayapur_1975-04-03_The_Return_Ticket_Hell--Heaven--Hell.mp3</t>
  </si>
  <si>
    <t>Cc_A_1-10_MAY_1975-04-03_Getting_God_to_Talk_to_You.mp3</t>
  </si>
  <si>
    <t>https://audio.iskcondesiretree.com/01_-_Srila_Prabhupada/01_-_Lectures/01_-_English/02_-_Month_wise/04_-_April/03/Cc_A_1-10_MAY_1975-04-03_Getting_God_to_Talk_to_You.mp3</t>
  </si>
  <si>
    <t>CcAdi-01-010_1975-04-03_CC-MAYAPUR.MP3</t>
  </si>
  <si>
    <t>https://audio.iskcondesiretree.com/01_-_Srila_Prabhupada/01_-_Lectures/01_-_English/02_-_Month_wise/04_-_April/03/CcAdi-01-010_1975-04-03_CC-MAYAPUR.MP3</t>
  </si>
  <si>
    <t>MW_MAY_1975-04-03_High-Tech_High-Sci_Rascals.mp3</t>
  </si>
  <si>
    <t>https://audio.iskcondesiretree.com/01_-_Srila_Prabhupada/01_-_Lectures/01_-_English/02_-_Month_wise/04_-_April/03/MW_MAY_1975-04-03_High-Tech_High-Sci_Rascals.mp3</t>
  </si>
  <si>
    <t>MW_MAY_1975-04-03_The_Return_Ticket_Hell_Heaven_Hell.mp3</t>
  </si>
  <si>
    <t>https://audio.iskcondesiretree.com/01_-_Srila_Prabhupada/01_-_Lectures/01_-_English/02_-_Month_wise/04_-_April/03/MW_MAY_1975-04-03_The_Return_Ticket_Hell_Heaven_Hell.mp3</t>
  </si>
  <si>
    <t>Walk_1975-04-03_MW-MAYAPUR.MP3</t>
  </si>
  <si>
    <t>https://audio.iskcondesiretree.com/01_-_Srila_Prabhupada/01_-_Lectures/01_-_English/02_-_Month_wise/04_-_April/03/Walk_1975-04-03_MW-MAYAPUR.MP3</t>
  </si>
  <si>
    <t>SP_CC_A_01-11_Mayapur_1975-04-04_Update_On_Struggle_Immortal--etc.mp3</t>
  </si>
  <si>
    <t>https://audio.iskcondesiretree.com/01_-_Srila_Prabhupada/01_-_Lectures/01_-_English/01_-_Topic_wise/Chaitanya_Charitamrita/Adi_Lila/SP_CC_A_01-11_Mayapur_1975-04-04_Update_On_Struggle_Immortal--etc.mp3</t>
  </si>
  <si>
    <t>SP_Morning_Walk_-_Mayapur_1975-04-04_Preparing_for_World_War_Three.mp3</t>
  </si>
  <si>
    <t>https://audio.iskcondesiretree.com/01_-_Srila_Prabhupada/01_-_Lectures/01_-_English/01_-_Topic_wise/Morning_Walk/SP_Morning_Walk_-_Mayapur_1975-04-04_Preparing_for_World_War_Three.mp3</t>
  </si>
  <si>
    <t>SP_Room_Conversation_Mayapur_1975-04-04_They_Are_Envious_of_Me.mp3</t>
  </si>
  <si>
    <t>https://audio.iskcondesiretree.com/01_-_Srila_Prabhupada/01_-_Lectures/01_-_English/01_-_Topic_wise/Room_Conversation/SP_Room_Conversation_Mayapur_1975-04-04_They_Are_Envious_of_Me.mp3</t>
  </si>
  <si>
    <t>Cc_A_1-11_MAY_1975-04-04_Update_On_Struggle_Immortal_etc.mp3</t>
  </si>
  <si>
    <t>https://audio.iskcondesiretree.com/01_-_Srila_Prabhupada/01_-_Lectures/01_-_English/02_-_Month_wise/04_-_April/04/Cc_A_1-11_MAY_1975-04-04_Update_On_Struggle_Immortal_etc.mp3</t>
  </si>
  <si>
    <t>CcAdi-01-011_1975-04-04_CC-MAYAPUR.MP3</t>
  </si>
  <si>
    <t>https://audio.iskcondesiretree.com/01_-_Srila_Prabhupada/01_-_Lectures/01_-_English/02_-_Month_wise/04_-_April/04/CcAdi-01-011_1975-04-04_CC-MAYAPUR.MP3</t>
  </si>
  <si>
    <t>Conv_1975-04-04_R1-MAYAPUR.MP3</t>
  </si>
  <si>
    <t>https://audio.iskcondesiretree.com/01_-_Srila_Prabhupada/01_-_Lectures/01_-_English/02_-_Month_wise/04_-_April/04/Conv_1975-04-04_R1-MAYAPUR.MP3</t>
  </si>
  <si>
    <t>MW_MAY_1975-04-04_Preparing_for_World_War_Three.mp3</t>
  </si>
  <si>
    <t>https://audio.iskcondesiretree.com/01_-_Srila_Prabhupada/01_-_Lectures/01_-_English/02_-_Month_wise/04_-_April/04/MW_MAY_1975-04-04_Preparing_for_World_War_Three.mp3</t>
  </si>
  <si>
    <t>RC_MAY_1975-04-04_They_Are_Envious_of_Me.mp3</t>
  </si>
  <si>
    <t>https://audio.iskcondesiretree.com/01_-_Srila_Prabhupada/01_-_Lectures/01_-_English/02_-_Month_wise/04_-_April/04/RC_MAY_1975-04-04_They_Are_Envious_of_Me.mp3</t>
  </si>
  <si>
    <t>Walk_1975-04-04_MW-MAYAPUR.MP3</t>
  </si>
  <si>
    <t>https://audio.iskcondesiretree.com/01_-_Srila_Prabhupada/01_-_Lectures/01_-_English/02_-_Month_wise/04_-_April/04/Walk_1975-04-04_MW-MAYAPUR.MP3</t>
  </si>
  <si>
    <t>SP_CC_A_01-12_Mayapur_1975-04-05_Big_Chunk-Big_Chumps-Big_Controller.mp3</t>
  </si>
  <si>
    <t>https://audio.iskcondesiretree.com/01_-_Srila_Prabhupada/01_-_Lectures/01_-_English/01_-_Topic_wise/Chaitanya_Charitamrita/Adi_Lila/SP_CC_A_01-12_Mayapur_1975-04-05_Big_Chunk-Big_Chumps-Big_Controller.mp3</t>
  </si>
  <si>
    <t>SP_Morning_Walk_-_Mayapur_1975-04-05.MP3</t>
  </si>
  <si>
    <t>https://audio.iskcondesiretree.com/01_-_Srila_Prabhupada/01_-_Lectures/01_-_English/01_-_Topic_wise/Morning_Walk/SP_Morning_Walk_-_Mayapur_1975-04-05.MP3</t>
  </si>
  <si>
    <t>Cc_A_1-12_MAY_1975-04-05_Big_Chunk-Big_Chumps-Big_Controller.mp3</t>
  </si>
  <si>
    <t>https://audio.iskcondesiretree.com/01_-_Srila_Prabhupada/01_-_Lectures/01_-_English/02_-_Month_wise/04_-_April/05/Cc_A_1-12_MAY_1975-04-05_Big_Chunk-Big_Chumps-Big_Controller.mp3</t>
  </si>
  <si>
    <t>CcAdi-01-012_1975-04-05_CC-MAYAPUR.MP3</t>
  </si>
  <si>
    <t>https://audio.iskcondesiretree.com/01_-_Srila_Prabhupada/01_-_Lectures/01_-_English/02_-_Month_wise/04_-_April/05/CcAdi-01-012_1975-04-05_CC-MAYAPUR.MP3</t>
  </si>
  <si>
    <t>Walk_1975-04-05_MW-MAYAPUR.MP3</t>
  </si>
  <si>
    <t>https://audio.iskcondesiretree.com/01_-_Srila_Prabhupada/01_-_Lectures/01_-_English/02_-_Month_wise/04_-_April/05/Walk_1975-04-05_MW-MAYAPUR.MP3</t>
  </si>
  <si>
    <t>SP_CC_A_01-13_Mayapur_1975-04-06.MP3</t>
  </si>
  <si>
    <t>https://audio.iskcondesiretree.com/01_-_Srila_Prabhupada/01_-_Lectures/01_-_English/01_-_Topic_wise/Chaitanya_Charitamrita/Adi_Lila/SP_CC_A_01-13_Mayapur_1975-04-06.MP3</t>
  </si>
  <si>
    <t>SP_Morning_Walk_-_Hyderabad_1975-04-06_A_Perfect_Disciple%27s_Imperfection.mp3</t>
  </si>
  <si>
    <t>https://audio.iskcondesiretree.com/01_-_Srila_Prabhupada/01_-_Lectures/01_-_English/01_-_Topic_wise/Morning_Walk/SP_Morning_Walk_-_Hyderabad_1975-04-06_A_Perfect_Disciple%27s_Imperfection.mp3</t>
  </si>
  <si>
    <t>SP_Lecture_Mayapur_1975-04-06.MP3</t>
  </si>
  <si>
    <t>https://audio.iskcondesiretree.com/01_-_Srila_Prabhupada/01_-_Lectures/01_-_English/01_-_Topic_wise/Various/SP_Lecture_Mayapur_1975-04-06.MP3</t>
  </si>
  <si>
    <t>CcAdi-01-013_1975-04-06_CC-MAYAPUR.MP3</t>
  </si>
  <si>
    <t>https://audio.iskcondesiretree.com/01_-_Srila_Prabhupada/01_-_Lectures/01_-_English/02_-_Month_wise/04_-_April/06/CcAdi-01-013_1975-04-06_CC-MAYAPUR.MP3</t>
  </si>
  <si>
    <t>Lecture_1975-04-06_LE-MAYAPUR.MP3</t>
  </si>
  <si>
    <t>https://audio.iskcondesiretree.com/01_-_Srila_Prabhupada/01_-_Lectures/01_-_English/02_-_Month_wise/04_-_April/06/Lecture_1975-04-06_LE-MAYAPUR.MP3</t>
  </si>
  <si>
    <t>MW_HYD_1975-04-06_A_Perfect_Disciple%27s_Imperfection.mp3</t>
  </si>
  <si>
    <t>https://audio.iskcondesiretree.com/01_-_Srila_Prabhupada/01_-_Lectures/01_-_English/02_-_Month_wise/04_-_April/06/MW_HYD_1975-04-06_A_Perfect_Disciple%27s_Imperfection.mp3</t>
  </si>
  <si>
    <t>Walk_1975-04-06_MW-MAYAPUR.MP3</t>
  </si>
  <si>
    <t>https://audio.iskcondesiretree.com/01_-_Srila_Prabhupada/01_-_Lectures/01_-_English/02_-_Month_wise/04_-_April/06/Walk_1975-04-06_MW-MAYAPUR.MP3</t>
  </si>
  <si>
    <t>SP_CC_A_01-14_Mayapur_1975-04-07_For_Materialists_Stool_Is_Sublime.mp3</t>
  </si>
  <si>
    <t>https://audio.iskcondesiretree.com/01_-_Srila_Prabhupada/01_-_Lectures/01_-_English/01_-_Topic_wise/Chaitanya_Charitamrita/Adi_Lila/SP_CC_A_01-14_Mayapur_1975-04-07_For_Materialists_Stool_Is_Sublime.mp3</t>
  </si>
  <si>
    <t>SP_Morning_Walk_-_Hyderabad_1975-04-07_You_Can_Chant_Even_in_Moscow.mp3</t>
  </si>
  <si>
    <t>https://audio.iskcondesiretree.com/01_-_Srila_Prabhupada/01_-_Lectures/01_-_English/01_-_Topic_wise/Morning_Walk/SP_Morning_Walk_-_Hyderabad_1975-04-07_You_Can_Chant_Even_in_Moscow.mp3</t>
  </si>
  <si>
    <t>Cc_A_1-14_MAY_1975-04-07_For_Materialists_Stool_Is_Sublime.mp3</t>
  </si>
  <si>
    <t>https://audio.iskcondesiretree.com/01_-_Srila_Prabhupada/01_-_Lectures/01_-_English/02_-_Month_wise/04_-_April/07/Cc_A_1-14_MAY_1975-04-07_For_Materialists_Stool_Is_Sublime.mp3</t>
  </si>
  <si>
    <t>CcAdi-01-014_1975-04-07_CC-MAYAPUR.MP3</t>
  </si>
  <si>
    <t>https://audio.iskcondesiretree.com/01_-_Srila_Prabhupada/01_-_Lectures/01_-_English/02_-_Month_wise/04_-_April/07/CcAdi-01-014_1975-04-07_CC-MAYAPUR.MP3</t>
  </si>
  <si>
    <t>MW_HYD_1975-04-07_You_Can_Chant_Even_in_Moscow.mp3</t>
  </si>
  <si>
    <t>https://audio.iskcondesiretree.com/01_-_Srila_Prabhupada/01_-_Lectures/01_-_English/02_-_Month_wise/04_-_April/07/MW_HYD_1975-04-07_You_Can_Chant_Even_in_Moscow.mp3</t>
  </si>
  <si>
    <t>Walk_1975-04-07_MW-MAYAPUR.MP3</t>
  </si>
  <si>
    <t>https://audio.iskcondesiretree.com/01_-_Srila_Prabhupada/01_-_Lectures/01_-_English/02_-_Month_wise/04_-_April/07/Walk_1975-04-07_MW-MAYAPUR.MP3</t>
  </si>
  <si>
    <t>SP_CC_A_01-15_Mayapur_1975-04-08_Gold_Religion.mp3</t>
  </si>
  <si>
    <t>https://audio.iskcondesiretree.com/01_-_Srila_Prabhupada/01_-_Lectures/01_-_English/01_-_Topic_wise/Chaitanya_Charitamrita/Adi_Lila/SP_CC_A_01-15_Mayapur_1975-04-08_Gold_Religion.mp3</t>
  </si>
  <si>
    <t>SP_Morning_Walk_-_Mayapur_1975-04-08.MP3</t>
  </si>
  <si>
    <t>https://audio.iskcondesiretree.com/01_-_Srila_Prabhupada/01_-_Lectures/01_-_English/01_-_Topic_wise/Morning_Walk/SP_Morning_Walk_-_Mayapur_1975-04-08.MP3</t>
  </si>
  <si>
    <t>Cc_A_1-15_MAY_1975-04-08_Gold_Religion.mp3</t>
  </si>
  <si>
    <t>https://audio.iskcondesiretree.com/01_-_Srila_Prabhupada/01_-_Lectures/01_-_English/02_-_Month_wise/04_-_April/08/Cc_A_1-15_MAY_1975-04-08_Gold_Religion.mp3</t>
  </si>
  <si>
    <t>CcAdi-01-015_1975-04-08_CC-MAYAPUR.MP3</t>
  </si>
  <si>
    <t>https://audio.iskcondesiretree.com/01_-_Srila_Prabhupada/01_-_Lectures/01_-_English/02_-_Month_wise/04_-_April/08/CcAdi-01-015_1975-04-08_CC-MAYAPUR.MP3</t>
  </si>
  <si>
    <t>Walk_1975-04-08_MW-MAYAPUR.MP3</t>
  </si>
  <si>
    <t>https://audio.iskcondesiretree.com/01_-_Srila_Prabhupada/01_-_Lectures/01_-_English/02_-_Month_wise/04_-_April/08/Walk_1975-04-08_MW-MAYAPUR.MP3</t>
  </si>
  <si>
    <t>SP_CC_A_01-16_Hyderabad_1975-04-09_Window_to_the_Spiritual_World.mp3</t>
  </si>
  <si>
    <t>https://audio.iskcondesiretree.com/01_-_Srila_Prabhupada/01_-_Lectures/01_-_English/01_-_Topic_wise/Chaitanya_Charitamrita/Adi_Lila/SP_CC_A_01-16_Hyderabad_1975-04-09_Window_to_the_Spiritual_World.mp3</t>
  </si>
  <si>
    <t>SP_Morning_Walk_-_Mayapur_1975-04-09.MP3</t>
  </si>
  <si>
    <t>https://audio.iskcondesiretree.com/01_-_Srila_Prabhupada/01_-_Lectures/01_-_English/01_-_Topic_wise/Morning_Walk/SP_Morning_Walk_-_Mayapur_1975-04-09.MP3</t>
  </si>
  <si>
    <t>Cc_A_1-16_HYD_1975-04-09_Window_to_the_Spiritual_World.mp3</t>
  </si>
  <si>
    <t>https://audio.iskcondesiretree.com/01_-_Srila_Prabhupada/01_-_Lectures/01_-_English/02_-_Month_wise/04_-_April/09/Cc_A_1-16_HYD_1975-04-09_Window_to_the_Spiritual_World.mp3</t>
  </si>
  <si>
    <t>CcAdi-01-016_1975-04-09_CC-MAYAPUR.MP3</t>
  </si>
  <si>
    <t>https://audio.iskcondesiretree.com/01_-_Srila_Prabhupada/01_-_Lectures/01_-_English/02_-_Month_wise/04_-_April/09/CcAdi-01-016_1975-04-09_CC-MAYAPUR.MP3</t>
  </si>
  <si>
    <t>Walk_1975-04-09_MW-MAYAPUR.MP3</t>
  </si>
  <si>
    <t>https://audio.iskcondesiretree.com/01_-_Srila_Prabhupada/01_-_Lectures/01_-_English/02_-_Month_wise/04_-_April/09/Walk_1975-04-09_MW-MAYAPUR.MP3</t>
  </si>
  <si>
    <t>SP_SB_5-05-01_Hyderabad_1975-04-10_Gold_Is_Gold_God_Is_God.mp3</t>
  </si>
  <si>
    <t>https://audio.iskcondesiretree.com/01_-_Srila_Prabhupada/01_-_Lectures/01_-_English/01_-_Topic_wise/Srimad_Bhagavatam/Canto-05/SP_SB_5-05-01_Hyderabad_1975-04-10_Gold_Is_Gold_God_Is_God.mp3</t>
  </si>
  <si>
    <t>SB-05-05-01_1975-04-10_SB-HYDERABAD.MP3</t>
  </si>
  <si>
    <t>https://audio.iskcondesiretree.com/01_-_Srila_Prabhupada/01_-_Lectures/01_-_English/02_-_Month_wise/04_-_April/10/SB-05-05-01_1975-04-10_SB-HYDERABAD.MP3</t>
  </si>
  <si>
    <t>SB_5-05-01_HYD_1975-04-10_Gold_Is_Gold%2C_God_Is_God.mp3</t>
  </si>
  <si>
    <t>https://audio.iskcondesiretree.com/01_-_Srila_Prabhupada/01_-_Lectures/01_-_English/02_-_Month_wise/04_-_April/10/SB_5-05-01_HYD_1975-04-10_Gold_Is_Gold%2C_God_Is_God.mp3</t>
  </si>
  <si>
    <t>SP_SB_5-05-02_Hyderabad_1975-04-11_Don%27t_Kill_Yourself.mp3</t>
  </si>
  <si>
    <t>https://audio.iskcondesiretree.com/01_-_Srila_Prabhupada/01_-_Lectures/01_-_English/01_-_Topic_wise/Srimad_Bhagavatam/Canto-05/SP_SB_5-05-02_Hyderabad_1975-04-11_Don%27t_Kill_Yourself.mp3</t>
  </si>
  <si>
    <t>SB-05-05-02_1975-04-11_SB-HYDERABAD.MP3</t>
  </si>
  <si>
    <t>https://audio.iskcondesiretree.com/01_-_Srila_Prabhupada/01_-_Lectures/01_-_English/02_-_Month_wise/04_-_April/11/SB-05-05-02_1975-04-11_SB-HYDERABAD.MP3</t>
  </si>
  <si>
    <t>SB_5-05-02_HYD_1975-04-11_Don%27t_Kill_Yourself.mp3</t>
  </si>
  <si>
    <t>https://audio.iskcondesiretree.com/01_-_Srila_Prabhupada/01_-_Lectures/01_-_English/02_-_Month_wise/04_-_April/11/SB_5-05-02_HYD_1975-04-11_Don%27t_Kill_Yourself.mp3</t>
  </si>
  <si>
    <t>SP_Room_Conversation_01_Hyderabad_1975-04-12.MP3</t>
  </si>
  <si>
    <t>https://audio.iskcondesiretree.com/01_-_Srila_Prabhupada/01_-_Lectures/01_-_English/01_-_Topic_wise/Room_Conversation/SP_Room_Conversation_01_Hyderabad_1975-04-12.MP3</t>
  </si>
  <si>
    <t>SP_Room_Conversation_02_Hyderabad_1975-04-12.MP3</t>
  </si>
  <si>
    <t>https://audio.iskcondesiretree.com/01_-_Srila_Prabhupada/01_-_Lectures/01_-_English/01_-_Topic_wise/Room_Conversation/SP_Room_Conversation_02_Hyderabad_1975-04-12.MP3</t>
  </si>
  <si>
    <t>SP_Room_Conversation_Hyderabad_1975-04-12_Sannyasa_Mentality.mp3</t>
  </si>
  <si>
    <t>https://audio.iskcondesiretree.com/01_-_Srila_Prabhupada/01_-_Lectures/01_-_English/01_-_Topic_wise/Room_Conversation/SP_Room_Conversation_Hyderabad_1975-04-12_Sannyasa_Mentality.mp3</t>
  </si>
  <si>
    <t>SP_Room_Conversation_Hyderabad_1975-04-12_You_Cannot_Preach_Your_Philosophy.mp3</t>
  </si>
  <si>
    <t>https://audio.iskcondesiretree.com/01_-_Srila_Prabhupada/01_-_Lectures/01_-_English/01_-_Topic_wise/Room_Conversation/SP_Room_Conversation_Hyderabad_1975-04-12_You_Cannot_Preach_Your_Philosophy.mp3</t>
  </si>
  <si>
    <t>SP_SB_5-05-02_Hyderabad_1975-04-12_The_Essence_of_Scripture.mp3</t>
  </si>
  <si>
    <t>https://audio.iskcondesiretree.com/01_-_Srila_Prabhupada/01_-_Lectures/01_-_English/01_-_Topic_wise/Srimad_Bhagavatam/Canto-05/SP_SB_5-05-02_Hyderabad_1975-04-12_The_Essence_of_Scripture.mp3</t>
  </si>
  <si>
    <t>Conv_1975-04-12_R1-HYDERABAD.MP3</t>
  </si>
  <si>
    <t>https://audio.iskcondesiretree.com/01_-_Srila_Prabhupada/01_-_Lectures/01_-_English/02_-_Month_wise/04_-_April/12/Conv_1975-04-12_R1-HYDERABAD.MP3</t>
  </si>
  <si>
    <t>Conv_1975-04-12_R2-HYDERABAD.MP3</t>
  </si>
  <si>
    <t>https://audio.iskcondesiretree.com/01_-_Srila_Prabhupada/01_-_Lectures/01_-_English/02_-_Month_wise/04_-_April/12/Conv_1975-04-12_R2-HYDERABAD.MP3</t>
  </si>
  <si>
    <t>Conv_1975-04-12_R3-HYDERABAD.MP3</t>
  </si>
  <si>
    <t>https://audio.iskcondesiretree.com/01_-_Srila_Prabhupada/01_-_Lectures/01_-_English/02_-_Month_wise/04_-_April/12/Conv_1975-04-12_R3-HYDERABAD.MP3</t>
  </si>
  <si>
    <t>RC_HYD_1975-04-12_Sannyasa_Mentality.mp3</t>
  </si>
  <si>
    <t>https://audio.iskcondesiretree.com/01_-_Srila_Prabhupada/01_-_Lectures/01_-_English/02_-_Month_wise/04_-_April/12/RC_HYD_1975-04-12_Sannyasa_Mentality.mp3</t>
  </si>
  <si>
    <t>RC_HYD_1975-04-12_You_Cannot_Preach_Your_Philosophy.mp3</t>
  </si>
  <si>
    <t>https://audio.iskcondesiretree.com/01_-_Srila_Prabhupada/01_-_Lectures/01_-_English/02_-_Month_wise/04_-_April/12/RC_HYD_1975-04-12_You_Cannot_Preach_Your_Philosophy.mp3</t>
  </si>
  <si>
    <t>SB-05-05-02_1975-04-12_SB-HYDERABAD.MP3</t>
  </si>
  <si>
    <t>https://audio.iskcondesiretree.com/01_-_Srila_Prabhupada/01_-_Lectures/01_-_English/02_-_Month_wise/04_-_April/12/SB-05-05-02_1975-04-12_SB-HYDERABAD.MP3</t>
  </si>
  <si>
    <t>SB_5-05-02_HYD_1975-04-12_The_Essence_of_Scripture.mp3</t>
  </si>
  <si>
    <t>https://audio.iskcondesiretree.com/01_-_Srila_Prabhupada/01_-_Lectures/01_-_English/02_-_Month_wise/04_-_April/12/SB_5-05-02_HYD_1975-04-12_The_Essence_of_Scripture.mp3</t>
  </si>
  <si>
    <t>SP_SB_5-05-02_Hyderabad_1975-04-13_Liberation_Meaning_What.mp3</t>
  </si>
  <si>
    <t>https://audio.iskcondesiretree.com/01_-_Srila_Prabhupada/01_-_Lectures/01_-_English/01_-_Topic_wise/Srimad_Bhagavatam/Canto-05/SP_SB_5-05-02_Hyderabad_1975-04-13_Liberation_Meaning_What.mp3</t>
  </si>
  <si>
    <t>SB-05-05-02_1975-04-13_SB-HYDERABAD.MP3</t>
  </si>
  <si>
    <t>https://audio.iskcondesiretree.com/01_-_Srila_Prabhupada/01_-_Lectures/01_-_English/02_-_Month_wise/04_-_April/13/SB-05-05-02_1975-04-13_SB-HYDERABAD.MP3</t>
  </si>
  <si>
    <t>SB_5-05-02_HYD_1975-04-13_Liberation_Meaning_What.mp3</t>
  </si>
  <si>
    <t>https://audio.iskcondesiretree.com/01_-_Srila_Prabhupada/01_-_Lectures/01_-_English/02_-_Month_wise/04_-_April/13/SB_5-05-02_HYD_1975-04-13_Liberation_Meaning_What.mp3</t>
  </si>
  <si>
    <t>SP_Address_Hyderabad_1975-04-14_At_Life_Member%27s_House--Let_Us--etc.mp3</t>
  </si>
  <si>
    <t>https://audio.iskcondesiretree.com/01_-_Srila_Prabhupada/01_-_Lectures/01_-_English/01_-_Topic_wise/Arrival_Address/SP_Address_Hyderabad_1975-04-14_At_Life_Member%27s_House--Let_Us--etc.mp3</t>
  </si>
  <si>
    <t>SP_Room_Conversation_Hyderabad_1975-04-14_Supreme_Science_Supreme_Music.mp3</t>
  </si>
  <si>
    <t>https://audio.iskcondesiretree.com/01_-_Srila_Prabhupada/01_-_Lectures/01_-_English/01_-_Topic_wise/Room_Conversation/SP_Room_Conversation_Hyderabad_1975-04-14_Supreme_Science_Supreme_Music.mp3</t>
  </si>
  <si>
    <t>SP_Lecture_Hyderabad_1975-04-14.MP3</t>
  </si>
  <si>
    <t>https://audio.iskcondesiretree.com/01_-_Srila_Prabhupada/01_-_Lectures/01_-_English/01_-_Topic_wise/Various/SP_Lecture_Hyderabad_1975-04-14.MP3</t>
  </si>
  <si>
    <t>SP_Lecture_Hyderabad_1975-04-14_Let_Us_Become_Dogs_of_Krishna.mp3</t>
  </si>
  <si>
    <t>https://audio.iskcondesiretree.com/01_-_Srila_Prabhupada/01_-_Lectures/01_-_English/01_-_Topic_wise/Various/SP_Lecture_Hyderabad_1975-04-14_Let_Us_Become_Dogs_of_Krishna.mp3</t>
  </si>
  <si>
    <t>Addr_HYD_1975-04-14_At_Life_Member%27s_House_Let_Us_etc.mp3</t>
  </si>
  <si>
    <t>https://audio.iskcondesiretree.com/01_-_Srila_Prabhupada/01_-_Lectures/01_-_English/02_-_Month_wise/04_-_April/14/Addr_HYD_1975-04-14_At_Life_Member%27s_House_Let_Us_etc.mp3</t>
  </si>
  <si>
    <t>Conv_1975-04-14_R1-HYDERABAD.MP3</t>
  </si>
  <si>
    <t>https://audio.iskcondesiretree.com/01_-_Srila_Prabhupada/01_-_Lectures/01_-_English/02_-_Month_wise/04_-_April/14/Conv_1975-04-14_R1-HYDERABAD.MP3</t>
  </si>
  <si>
    <t>Lect_HYD_1975-04-14_Let_Us_Become_Dogs_of_Krishna.mp3</t>
  </si>
  <si>
    <t>https://audio.iskcondesiretree.com/01_-_Srila_Prabhupada/01_-_Lectures/01_-_English/02_-_Month_wise/04_-_April/14/Lect_HYD_1975-04-14_Let_Us_Become_Dogs_of_Krishna.mp3</t>
  </si>
  <si>
    <t>Lecture_1975-04-14_L2-HYDERABAD.MP3</t>
  </si>
  <si>
    <t>https://audio.iskcondesiretree.com/01_-_Srila_Prabhupada/01_-_Lectures/01_-_English/02_-_Month_wise/04_-_April/14/Lecture_1975-04-14_L2-HYDERABAD.MP3</t>
  </si>
  <si>
    <t>Lecture_1975-04-14_LE-HYDERABAD.MP3</t>
  </si>
  <si>
    <t>https://audio.iskcondesiretree.com/01_-_Srila_Prabhupada/01_-_Lectures/01_-_English/02_-_Month_wise/04_-_April/14/Lecture_1975-04-14_LE-HYDERABAD.MP3</t>
  </si>
  <si>
    <t>RC_HYD_1975-04-14_Supreme_Science%2C_Supreme_Music.mp3</t>
  </si>
  <si>
    <t>https://audio.iskcondesiretree.com/01_-_Srila_Prabhupada/01_-_Lectures/01_-_English/02_-_Month_wise/04_-_April/14/RC_HYD_1975-04-14_Supreme_Science%2C_Supreme_Music.mp3</t>
  </si>
  <si>
    <t>SP_SB_5-05-02_Hyderabad_1975-04-15_How_to_Find_a_Grhasta-mahatma.mp3</t>
  </si>
  <si>
    <t>https://audio.iskcondesiretree.com/01_-_Srila_Prabhupada/01_-_Lectures/01_-_English/01_-_Topic_wise/Srimad_Bhagavatam/Canto-05/SP_SB_5-05-02_Hyderabad_1975-04-15_How_to_Find_a_Grhasta-mahatma.mp3</t>
  </si>
  <si>
    <t>SB-05-05-03_1975-04-15_SB-HYDERABAD.MP3</t>
  </si>
  <si>
    <t>https://audio.iskcondesiretree.com/01_-_Srila_Prabhupada/01_-_Lectures/01_-_English/02_-_Month_wise/04_-_April/15/SB-05-05-03_1975-04-15_SB-HYDERABAD.MP3</t>
  </si>
  <si>
    <t>SB_5-05-02_HYD_1975-04-15_How_to_Find_a_Grhasta-mahatma.mp3</t>
  </si>
  <si>
    <t>https://audio.iskcondesiretree.com/01_-_Srila_Prabhupada/01_-_Lectures/01_-_English/02_-_Month_wise/04_-_April/15/SB_5-05-02_HYD_1975-04-15_How_to_Find_a_Grhasta-mahatma.mp3</t>
  </si>
  <si>
    <t>SP_BG_09-01_Vrindavan_1975-04-17_How_to_Become_Non-Envious.mp3</t>
  </si>
  <si>
    <t>https://audio.iskcondesiretree.com/01_-_Srila_Prabhupada/01_-_Lectures/01_-_English/01_-_Topic_wise/Bhagavad_Gita/Chapter-09/SP_BG_09-01_Vrindavan_1975-04-17_How_to_Become_Non-Envious.mp3</t>
  </si>
  <si>
    <t>SP_Morning_Walk_-_Vrindavan_1975-04-17.MP3</t>
  </si>
  <si>
    <t>https://audio.iskcondesiretree.com/01_-_Srila_Prabhupada/01_-_Lectures/01_-_English/01_-_Topic_wise/Morning_Walk/SP_Morning_Walk_-_Vrindavan_1975-04-17.MP3</t>
  </si>
  <si>
    <t>Bg-09-01_1975-04-17_BG-VRNDAVAN.MP3</t>
  </si>
  <si>
    <t>https://audio.iskcondesiretree.com/01_-_Srila_Prabhupada/01_-_Lectures/01_-_English/02_-_Month_wise/04_-_April/17/Bg-09-01_1975-04-17_BG-VRNDAVAN.MP3</t>
  </si>
  <si>
    <t>Bg_09-01_VRN_1975-04-17_How_to_Become_Non-Envious.mp3</t>
  </si>
  <si>
    <t>https://audio.iskcondesiretree.com/01_-_Srila_Prabhupada/01_-_Lectures/01_-_English/02_-_Month_wise/04_-_April/17/Bg_09-01_VRN_1975-04-17_How_to_Become_Non-Envious.mp3</t>
  </si>
  <si>
    <t>Walk_1975-04-17_MW-VRNDAVAN.MP3</t>
  </si>
  <si>
    <t>https://audio.iskcondesiretree.com/01_-_Srila_Prabhupada/01_-_Lectures/01_-_English/02_-_Month_wise/04_-_April/17/Walk_1975-04-17_MW-VRNDAVAN.MP3</t>
  </si>
  <si>
    <t>SP_SB_1-07-06_Vrindavan_1975-04-18_Unwanted_Nonsense-and_Freedom.mp3</t>
  </si>
  <si>
    <t>https://audio.iskcondesiretree.com/01_-_Srila_Prabhupada/01_-_Lectures/01_-_English/01_-_Topic_wise/Srimad_Bhagavatam/Canto-01/SP_SB_1-07-06_Vrindavan_1975-04-18_Unwanted_Nonsense-and_Freedom.mp3</t>
  </si>
  <si>
    <t>SB-01-07-06_1975-04-18_SB-VRNDAVAN.MP3</t>
  </si>
  <si>
    <t>https://audio.iskcondesiretree.com/01_-_Srila_Prabhupada/01_-_Lectures/01_-_English/02_-_Month_wise/04_-_April/18/SB-01-07-06_1975-04-18_SB-VRNDAVAN.MP3</t>
  </si>
  <si>
    <t>SB_1-07-06_VRN_1975-04-18_Unwanted_Nonsense_and_Freedom.mp3</t>
  </si>
  <si>
    <t>https://audio.iskcondesiretree.com/01_-_Srila_Prabhupada/01_-_Lectures/01_-_English/02_-_Month_wise/04_-_April/18/SB_1-07-06_VRN_1975-04-18_Unwanted_Nonsense_and_Freedom.mp3</t>
  </si>
  <si>
    <t>SP_Morning_Walk_-_Vrindavan_1975-04-19.MP3</t>
  </si>
  <si>
    <t>https://audio.iskcondesiretree.com/01_-_Srila_Prabhupada/01_-_Lectures/01_-_English/01_-_Topic_wise/Morning_Walk/SP_Morning_Walk_-_Vrindavan_1975-04-19.MP3</t>
  </si>
  <si>
    <t>SP_Room_Conversation_Vrindavan_1975-04-19.MP3</t>
  </si>
  <si>
    <t>https://audio.iskcondesiretree.com/01_-_Srila_Prabhupada/01_-_Lectures/01_-_English/01_-_Topic_wise/Room_Conversation/SP_Room_Conversation_Vrindavan_1975-04-19.MP3</t>
  </si>
  <si>
    <t>Conv_1975-04-19_R1-VRNDAVAN.MP3</t>
  </si>
  <si>
    <t>https://audio.iskcondesiretree.com/01_-_Srila_Prabhupada/01_-_Lectures/01_-_English/02_-_Month_wise/04_-_April/19/Conv_1975-04-19_R1-VRNDAVAN.MP3</t>
  </si>
  <si>
    <t>Walk_1975-04-19_MW-VRNDAVAN.MP3</t>
  </si>
  <si>
    <t>https://audio.iskcondesiretree.com/01_-_Srila_Prabhupada/01_-_Lectures/01_-_English/02_-_Month_wise/04_-_April/19/Walk_1975-04-19_MW-VRNDAVAN.MP3</t>
  </si>
  <si>
    <t>SP_Room_Conversation_Vrindavan_1975-04-20_Governor--The_State_Should_Train_Men.mp3</t>
  </si>
  <si>
    <t>https://audio.iskcondesiretree.com/01_-_Srila_Prabhupada/01_-_Lectures/01_-_English/01_-_Topic_wise/Room_Conversation/SP_Room_Conversation_Vrindavan_1975-04-20_Governor--The_State_Should_Train_Men.mp3</t>
  </si>
  <si>
    <t>SP_Lecture_Vrindavan_1975-04-20_These_Boys_Were_Jagai_%26_Madhai.mp3</t>
  </si>
  <si>
    <t>https://audio.iskcondesiretree.com/01_-_Srila_Prabhupada/01_-_Lectures/01_-_English/01_-_Topic_wise/Various/SP_Lecture_Vrindavan_1975-04-20_These_Boys_Were_Jagai_%26_Madhai.mp3</t>
  </si>
  <si>
    <t>CcMadhya-19-053_1975-04-20_SP-VRNDAVAN.MP3</t>
  </si>
  <si>
    <t>https://audio.iskcondesiretree.com/01_-_Srila_Prabhupada/01_-_Lectures/01_-_English/02_-_Month_wise/04_-_April/20/CcMadhya-19-053_1975-04-20_SP-VRNDAVAN.MP3</t>
  </si>
  <si>
    <t>Conv_1975-04-20_R1-VRNDAVAN.MP3</t>
  </si>
  <si>
    <t>https://audio.iskcondesiretree.com/01_-_Srila_Prabhupada/01_-_Lectures/01_-_English/02_-_Month_wise/04_-_April/20/Conv_1975-04-20_R1-VRNDAVAN.MP3</t>
  </si>
  <si>
    <t>Lect_VRN_1975-04-20_These_Boys_Were_Jagai_%26_Madhai.mp3</t>
  </si>
  <si>
    <t>https://audio.iskcondesiretree.com/01_-_Srila_Prabhupada/01_-_Lectures/01_-_English/02_-_Month_wise/04_-_April/20/Lect_VRN_1975-04-20_These_Boys_Were_Jagai_%26_Madhai.mp3</t>
  </si>
  <si>
    <t>RC_VRN_1975-04-20_Governor-The_State_Should_Train_Men.mp3</t>
  </si>
  <si>
    <t>https://audio.iskcondesiretree.com/01_-_Srila_Prabhupada/01_-_Lectures/01_-_English/02_-_Month_wise/04_-_April/20/RC_VRN_1975-04-20_Governor-The_State_Should_Train_Men.mp3</t>
  </si>
  <si>
    <t>Speech_1975-04-20_SP-VRNDAVAN.MP3</t>
  </si>
  <si>
    <t>https://audio.iskcondesiretree.com/01_-_Srila_Prabhupada/01_-_Lectures/01_-_English/02_-_Month_wise/04_-_April/20/Speech_1975-04-20_SP-VRNDAVAN.MP3</t>
  </si>
  <si>
    <t>SP_Morning_Walk_-_Vrindavan_1975-04-23.MP3</t>
  </si>
  <si>
    <t>https://audio.iskcondesiretree.com/01_-_Srila_Prabhupada/01_-_Lectures/01_-_English/01_-_Topic_wise/Morning_Walk/SP_Morning_Walk_-_Vrindavan_1975-04-23.MP3</t>
  </si>
  <si>
    <t>SP_SB_1-07-06_Vrindavan_1975-04-23_Making_Good_Use_of_the_Useless.mp3</t>
  </si>
  <si>
    <t>https://audio.iskcondesiretree.com/01_-_Srila_Prabhupada/01_-_Lectures/01_-_English/01_-_Topic_wise/Srimad_Bhagavatam/Canto-01/SP_SB_1-07-06_Vrindavan_1975-04-23_Making_Good_Use_of_the_Useless.mp3</t>
  </si>
  <si>
    <t>SB-01-07-06_1975-04-23_SB-VRNDAVAN.MP3</t>
  </si>
  <si>
    <t>https://audio.iskcondesiretree.com/01_-_Srila_Prabhupada/01_-_Lectures/01_-_English/02_-_Month_wise/04_-_April/23/SB-01-07-06_1975-04-23_SB-VRNDAVAN.MP3</t>
  </si>
  <si>
    <t>SB_1-07-06_VRN_1975-04-23_Making_Good_Use_of_the_Useless.mp3</t>
  </si>
  <si>
    <t>https://audio.iskcondesiretree.com/01_-_Srila_Prabhupada/01_-_Lectures/01_-_English/02_-_Month_wise/04_-_April/23/SB_1-07-06_VRN_1975-04-23_Making_Good_Use_of_the_Useless.mp3</t>
  </si>
  <si>
    <t>Walk_1975-04-23_MW-VRNDAVAN.MP3</t>
  </si>
  <si>
    <t>https://audio.iskcondesiretree.com/01_-_Srila_Prabhupada/01_-_Lectures/01_-_English/02_-_Month_wise/04_-_April/23/Walk_1975-04-23_MW-VRNDAVAN.MP3</t>
  </si>
  <si>
    <t>SP_SB_1-07-07_Vrindavan_1975-04-24_Curing_Our_Heart_Disease.mp3</t>
  </si>
  <si>
    <t>https://audio.iskcondesiretree.com/01_-_Srila_Prabhupada/01_-_Lectures/01_-_English/01_-_Topic_wise/Srimad_Bhagavatam/Canto-01/SP_SB_1-07-07_Vrindavan_1975-04-24_Curing_Our_Heart_Disease.mp3</t>
  </si>
  <si>
    <t>SB-01-07-07_1975-04-24_SB-VRNDAVAN.MP3</t>
  </si>
  <si>
    <t>https://audio.iskcondesiretree.com/01_-_Srila_Prabhupada/01_-_Lectures/01_-_English/02_-_Month_wise/04_-_April/24/SB-01-07-07_1975-04-24_SB-VRNDAVAN.MP3</t>
  </si>
  <si>
    <t>SB_1-07-07_VRN_1975-04-24_Curing_Our_Heart_Disease.mp3</t>
  </si>
  <si>
    <t>https://audio.iskcondesiretree.com/01_-_Srila_Prabhupada/01_-_Lectures/01_-_English/02_-_Month_wise/04_-_April/24/SB_1-07-07_VRN_1975-04-24_Curing_Our_Heart_Disease.mp3</t>
  </si>
  <si>
    <t>SP_Lecture_Vrindavan_1975-04-27_Explanation_of_Nrsimha_Vallabha.MP3</t>
  </si>
  <si>
    <t>https://audio.iskcondesiretree.com/01_-_Srila_Prabhupada/01_-_Lectures/01_-_English/01_-_Topic_wise/Various/SP_Lecture_Vrindavan_1975-04-27_Explanation_of_Nrsimha_Vallabha.MP3</t>
  </si>
  <si>
    <t>Speech_1975-04-27_SP-VRNDAVAN.MP3</t>
  </si>
  <si>
    <t>https://audio.iskcondesiretree.com/01_-_Srila_Prabhupada/01_-_Lectures/01_-_English/02_-_Month_wise/04_-_April/27/Speech_1975-04-27_SP-VRNDAVAN.MP3</t>
  </si>
  <si>
    <t>SP_Morning_Walk_-_Vrindavan_1975-04-28.MP3</t>
  </si>
  <si>
    <t>https://audio.iskcondesiretree.com/01_-_Srila_Prabhupada/01_-_Lectures/01_-_English/01_-_Topic_wise/Morning_Walk/SP_Morning_Walk_-_Vrindavan_1975-04-28.MP3</t>
  </si>
  <si>
    <t>Walk_1975-04-28_MW-VRNDAVAN.MP3</t>
  </si>
  <si>
    <t>https://audio.iskcondesiretree.com/01_-_Srila_Prabhupada/01_-_Lectures/01_-_English/02_-_Month_wise/04_-_April/28/Walk_1975-04-28_MW-VRNDAVAN.MP3</t>
  </si>
  <si>
    <t>SP_Lecture_Perth_1975-05-06_Evening_Discussion.MP3</t>
  </si>
  <si>
    <t>https://audio.iskcondesiretree.com/01_-_Srila_Prabhupada/01_-_Lectures/01_-_English/01_-_Topic_wise/Various/SP_Lecture_Perth_1975-05-06_Evening_Discussion.MP3</t>
  </si>
  <si>
    <t>Darshan_1975-05-06_ED-PERTH.MP3</t>
  </si>
  <si>
    <t>https://audio.iskcondesiretree.com/01_-_Srila_Prabhupada/01_-_Lectures/01_-_English/02_-_Month_wise/05_-_May/06/Darshan_1975-05-06_ED-PERTH.MP3</t>
  </si>
  <si>
    <t>SP_Morning_Walk_-_Perth_1975-05-07.MP3</t>
  </si>
  <si>
    <t>https://audio.iskcondesiretree.com/01_-_Srila_Prabhupada/01_-_Lectures/01_-_English/01_-_Topic_wise/Morning_Walk/SP_Morning_Walk_-_Perth_1975-05-07.MP3</t>
  </si>
  <si>
    <t>Walk_1975-05-07_MW-PERTH.MP3</t>
  </si>
  <si>
    <t>https://audio.iskcondesiretree.com/01_-_Srila_Prabhupada/01_-_Lectures/01_-_English/02_-_Month_wise/05_-_May/07/Walk_1975-05-07_MW-PERTH.MP3</t>
  </si>
  <si>
    <t>SP_Morning_Walk_-_Perth_1975-05-08_Enlightened_Egoism.mp3</t>
  </si>
  <si>
    <t>https://audio.iskcondesiretree.com/01_-_Srila_Prabhupada/01_-_Lectures/01_-_English/01_-_Topic_wise/Morning_Walk/SP_Morning_Walk_-_Perth_1975-05-08_Enlightened_Egoism.mp3</t>
  </si>
  <si>
    <t>SP_Room_Conversation_Perth_1975-05-08_Philosopher--Drug_Philosophy_---etc.mp3</t>
  </si>
  <si>
    <t>https://audio.iskcondesiretree.com/01_-_Srila_Prabhupada/01_-_Lectures/01_-_English/01_-_Topic_wise/Room_Conversation/SP_Room_Conversation_Perth_1975-05-08_Philosopher--Drug_Philosophy_---etc.mp3</t>
  </si>
  <si>
    <t>Conv_1975-05-08_R1-PERTH.MP3</t>
  </si>
  <si>
    <t>https://audio.iskcondesiretree.com/01_-_Srila_Prabhupada/01_-_Lectures/01_-_English/02_-_Month_wise/05_-_May/08/Conv_1975-05-08_R1-PERTH.MP3</t>
  </si>
  <si>
    <t>MW_PER_1975-05-08_Enlightened_Egoism.mp3</t>
  </si>
  <si>
    <t>https://audio.iskcondesiretree.com/01_-_Srila_Prabhupada/01_-_Lectures/01_-_English/02_-_Month_wise/05_-_May/08/MW_PER_1975-05-08_Enlightened_Egoism.mp3</t>
  </si>
  <si>
    <t>RC_PER_1975-05-08_Philosopher--Drug_Philosophy_etc.mp3</t>
  </si>
  <si>
    <t>https://audio.iskcondesiretree.com/01_-_Srila_Prabhupada/01_-_Lectures/01_-_English/02_-_Month_wise/05_-_May/08/RC_PER_1975-05-08_Philosopher--Drug_Philosophy_etc.mp3</t>
  </si>
  <si>
    <t>Walk_1975-05-08_MW-PERTH.MP3</t>
  </si>
  <si>
    <t>https://audio.iskcondesiretree.com/01_-_Srila_Prabhupada/01_-_Lectures/01_-_English/02_-_Month_wise/05_-_May/08/Walk_1975-05-08_MW-PERTH.MP3</t>
  </si>
  <si>
    <t>SP_Morning_Walk_-_Perth_1975-05-09.MP3</t>
  </si>
  <si>
    <t>https://audio.iskcondesiretree.com/01_-_Srila_Prabhupada/01_-_Lectures/01_-_English/01_-_Topic_wise/Morning_Walk/SP_Morning_Walk_-_Perth_1975-05-09.MP3</t>
  </si>
  <si>
    <t>Walk_1975-05-09_MW-PERTH.MP3</t>
  </si>
  <si>
    <t>https://audio.iskcondesiretree.com/01_-_Srila_Prabhupada/01_-_Lectures/01_-_English/02_-_Month_wise/05_-_May/09/Walk_1975-05-09_MW-PERTH.MP3</t>
  </si>
  <si>
    <t>SP_Morning_Walk_-_Perth_1975-05-10.MP3</t>
  </si>
  <si>
    <t>https://audio.iskcondesiretree.com/01_-_Srila_Prabhupada/01_-_Lectures/01_-_English/01_-_Topic_wise/Morning_Walk/SP_Morning_Walk_-_Perth_1975-05-10.MP3</t>
  </si>
  <si>
    <t>SP_Room_Conversation_Perth_1975-05-10.MP3</t>
  </si>
  <si>
    <t>https://audio.iskcondesiretree.com/01_-_Srila_Prabhupada/01_-_Lectures/01_-_English/01_-_Topic_wise/Room_Conversation/SP_Room_Conversation_Perth_1975-05-10.MP3</t>
  </si>
  <si>
    <t>Conv_1975-05-10_R1-PERTH.MP3</t>
  </si>
  <si>
    <t>https://audio.iskcondesiretree.com/01_-_Srila_Prabhupada/01_-_Lectures/01_-_English/02_-_Month_wise/05_-_May/10/Conv_1975-05-10_R1-PERTH.MP3</t>
  </si>
  <si>
    <t>Walk_1975-05-10_MW-PERTH.MP3</t>
  </si>
  <si>
    <t>https://audio.iskcondesiretree.com/01_-_Srila_Prabhupada/01_-_Lectures/01_-_English/02_-_Month_wise/05_-_May/10/Walk_1975-05-10_MW-PERTH.MP3</t>
  </si>
  <si>
    <t>SP_Morning_Walk_-_Perth_1975-05-11.MP3</t>
  </si>
  <si>
    <t>https://audio.iskcondesiretree.com/01_-_Srila_Prabhupada/01_-_Lectures/01_-_English/01_-_Topic_wise/Morning_Walk/SP_Morning_Walk_-_Perth_1975-05-11.MP3</t>
  </si>
  <si>
    <t>Walk_1975-05-11_MW-PERTH.MP3</t>
  </si>
  <si>
    <t>https://audio.iskcondesiretree.com/01_-_Srila_Prabhupada/01_-_Lectures/01_-_English/02_-_Month_wise/05_-_May/11/Walk_1975-05-11_MW-PERTH.MP3</t>
  </si>
  <si>
    <t>SP_Morning_Walk_-_Perth_1975-05-12.MP3</t>
  </si>
  <si>
    <t>https://audio.iskcondesiretree.com/01_-_Srila_Prabhupada/01_-_Lectures/01_-_English/01_-_Topic_wise/Morning_Walk/SP_Morning_Walk_-_Perth_1975-05-12.MP3</t>
  </si>
  <si>
    <t>SP_Room_Conversation_Perth_1975-05-12_Psychiatrist_and_Indian--etc.mp3</t>
  </si>
  <si>
    <t>https://audio.iskcondesiretree.com/01_-_Srila_Prabhupada/01_-_Lectures/01_-_English/01_-_Topic_wise/Room_Conversation/SP_Room_Conversation_Perth_1975-05-12_Psychiatrist_and_Indian--etc.mp3</t>
  </si>
  <si>
    <t>Conv_1975-05-12_R1-PERTH.MP3</t>
  </si>
  <si>
    <t>https://audio.iskcondesiretree.com/01_-_Srila_Prabhupada/01_-_Lectures/01_-_English/02_-_Month_wise/05_-_May/12/Conv_1975-05-12_R1-PERTH.MP3</t>
  </si>
  <si>
    <t>RC_PER_1975-05-12_Psychiatrist_and_Indian_etc.mp3</t>
  </si>
  <si>
    <t>https://audio.iskcondesiretree.com/01_-_Srila_Prabhupada/01_-_Lectures/01_-_English/02_-_Month_wise/05_-_May/12/RC_PER_1975-05-12_Psychiatrist_and_Indian_etc.mp3</t>
  </si>
  <si>
    <t>Walk_1975-05-12_MW-PERTH.MP3</t>
  </si>
  <si>
    <t>https://audio.iskcondesiretree.com/01_-_Srila_Prabhupada/01_-_Lectures/01_-_English/02_-_Month_wise/05_-_May/12/Walk_1975-05-12_MW-PERTH.MP3</t>
  </si>
  <si>
    <t>SP_Morning_Walk_-_Perth_1975-05-13.MP3</t>
  </si>
  <si>
    <t>https://audio.iskcondesiretree.com/01_-_Srila_Prabhupada/01_-_Lectures/01_-_English/01_-_Topic_wise/Morning_Walk/SP_Morning_Walk_-_Perth_1975-05-13.MP3</t>
  </si>
  <si>
    <t>SP_Room_Conversation_01_Perth_1975-05-13.MP3</t>
  </si>
  <si>
    <t>https://audio.iskcondesiretree.com/01_-_Srila_Prabhupada/01_-_Lectures/01_-_English/01_-_Topic_wise/Room_Conversation/SP_Room_Conversation_01_Perth_1975-05-13.MP3</t>
  </si>
  <si>
    <t>SP_Room_Conversation_02_Perth_1975-05-13.MP3</t>
  </si>
  <si>
    <t>https://audio.iskcondesiretree.com/01_-_Srila_Prabhupada/01_-_Lectures/01_-_English/01_-_Topic_wise/Room_Conversation/SP_Room_Conversation_02_Perth_1975-05-13.MP3</t>
  </si>
  <si>
    <t>SP_Room_Conversation_03_Perth_1975-05-13.MP3</t>
  </si>
  <si>
    <t>https://audio.iskcondesiretree.com/01_-_Srila_Prabhupada/01_-_Lectures/01_-_English/01_-_Topic_wise/Room_Conversation/SP_Room_Conversation_03_Perth_1975-05-13.MP3</t>
  </si>
  <si>
    <t>Conv_1975-05-13_R1-PERTH.MP3</t>
  </si>
  <si>
    <t>https://audio.iskcondesiretree.com/01_-_Srila_Prabhupada/01_-_Lectures/01_-_English/02_-_Month_wise/05_-_May/13/Conv_1975-05-13_R1-PERTH.MP3</t>
  </si>
  <si>
    <t>Conv_1975-05-13_R2-PERTH.MP3</t>
  </si>
  <si>
    <t>https://audio.iskcondesiretree.com/01_-_Srila_Prabhupada/01_-_Lectures/01_-_English/02_-_Month_wise/05_-_May/13/Conv_1975-05-13_R2-PERTH.MP3</t>
  </si>
  <si>
    <t>Conv_1975-05-13_R3-PERTH.MP3</t>
  </si>
  <si>
    <t>https://audio.iskcondesiretree.com/01_-_Srila_Prabhupada/01_-_Lectures/01_-_English/02_-_Month_wise/05_-_May/13/Conv_1975-05-13_R3-PERTH.MP3</t>
  </si>
  <si>
    <t>Walk_1975-05-13_MW-PERTH.MP3</t>
  </si>
  <si>
    <t>https://audio.iskcondesiretree.com/01_-_Srila_Prabhupada/01_-_Lectures/01_-_English/02_-_Month_wise/05_-_May/13/Walk_1975-05-13_MW-PERTH.MP3</t>
  </si>
  <si>
    <t>SP_Morning_Walk_-_Perth_1975-05-14.MP3</t>
  </si>
  <si>
    <t>https://audio.iskcondesiretree.com/01_-_Srila_Prabhupada/01_-_Lectures/01_-_English/01_-_Topic_wise/Morning_Walk/SP_Morning_Walk_-_Perth_1975-05-14.MP3</t>
  </si>
  <si>
    <t>SP_Room_Conversation_Perth_1975-05-14_Geographer--No_Grain-Will_You_Eat_Money.mp3</t>
  </si>
  <si>
    <t>https://audio.iskcondesiretree.com/01_-_Srila_Prabhupada/01_-_Lectures/01_-_English/01_-_Topic_wise/Room_Conversation/SP_Room_Conversation_Perth_1975-05-14_Geographer--No_Grain-Will_You_Eat_Money.mp3</t>
  </si>
  <si>
    <t>RC_PER_1975-05-14_Geographer-No_Grain-Will_You_Eat_Money.mp3</t>
  </si>
  <si>
    <t>https://audio.iskcondesiretree.com/01_-_Srila_Prabhupada/01_-_Lectures/01_-_English/02_-_Month_wise/05_-_May/14/RC_PER_1975-05-14_Geographer-No_Grain-Will_You_Eat_Money.mp3</t>
  </si>
  <si>
    <t>Walk_1975-05-14_MW-PERTH.MP3</t>
  </si>
  <si>
    <t>https://audio.iskcondesiretree.com/01_-_Srila_Prabhupada/01_-_Lectures/01_-_English/02_-_Month_wise/05_-_May/14/Walk_1975-05-14_MW-PERTH.MP3</t>
  </si>
  <si>
    <t>SP_Morning_Walk_-_Perth_1975-05-15.MP3</t>
  </si>
  <si>
    <t>https://audio.iskcondesiretree.com/01_-_Srila_Prabhupada/01_-_Lectures/01_-_English/01_-_Topic_wise/Morning_Walk/SP_Morning_Walk_-_Perth_1975-05-15.MP3</t>
  </si>
  <si>
    <t>Walk_1975-05-15_MW-PERTH.MP3</t>
  </si>
  <si>
    <t>https://audio.iskcondesiretree.com/01_-_Srila_Prabhupada/01_-_Lectures/01_-_English/02_-_Month_wise/05_-_May/15/Walk_1975-05-15_MW-PERTH.MP3</t>
  </si>
  <si>
    <t>SP_Morning_Walk_-_Perth_1975-05-16.MP3</t>
  </si>
  <si>
    <t>https://audio.iskcondesiretree.com/01_-_Srila_Prabhupada/01_-_Lectures/01_-_English/01_-_Topic_wise/Morning_Walk/SP_Morning_Walk_-_Perth_1975-05-16.MP3</t>
  </si>
  <si>
    <t>SP_Room_Conversation_01_Perth_1975-05-16.MP3</t>
  </si>
  <si>
    <t>https://audio.iskcondesiretree.com/01_-_Srila_Prabhupada/01_-_Lectures/01_-_English/01_-_Topic_wise/Room_Conversation/SP_Room_Conversation_01_Perth_1975-05-16.MP3</t>
  </si>
  <si>
    <t>SP_Room_Conversation_Perth_1975-05-16_Alcohol_%26_Drug_Hospital--Send_All--etc.mp3</t>
  </si>
  <si>
    <t>https://audio.iskcondesiretree.com/01_-_Srila_Prabhupada/01_-_Lectures/01_-_English/01_-_Topic_wise/Room_Conversation/SP_Room_Conversation_Perth_1975-05-16_Alcohol_%26_Drug_Hospital--Send_All--etc.mp3</t>
  </si>
  <si>
    <t>Conv_1975-05-16_R1-PERTH.MP3</t>
  </si>
  <si>
    <t>https://audio.iskcondesiretree.com/01_-_Srila_Prabhupada/01_-_Lectures/01_-_English/02_-_Month_wise/05_-_May/16/Conv_1975-05-16_R1-PERTH.MP3</t>
  </si>
  <si>
    <t>Conv_1975-05-16_R2-PERTH.MP3</t>
  </si>
  <si>
    <t>https://audio.iskcondesiretree.com/01_-_Srila_Prabhupada/01_-_Lectures/01_-_English/02_-_Month_wise/05_-_May/16/Conv_1975-05-16_R2-PERTH.MP3</t>
  </si>
  <si>
    <t>RC_PER_1975-05-16_Alcohol_%26_Drug_Hospital_Send_All_etc.mp3</t>
  </si>
  <si>
    <t>https://audio.iskcondesiretree.com/01_-_Srila_Prabhupada/01_-_Lectures/01_-_English/02_-_Month_wise/05_-_May/16/RC_PER_1975-05-16_Alcohol_%26_Drug_Hospital_Send_All_etc.mp3</t>
  </si>
  <si>
    <t>Walk_1975-05-16_MW-PERTH.MP3</t>
  </si>
  <si>
    <t>https://audio.iskcondesiretree.com/01_-_Srila_Prabhupada/01_-_Lectures/01_-_English/02_-_Month_wise/05_-_May/16/Walk_1975-05-16_MW-PERTH.MP3</t>
  </si>
  <si>
    <t>SP_Morning_Walk_-_Perth_1975-05-17.MP3</t>
  </si>
  <si>
    <t>https://audio.iskcondesiretree.com/01_-_Srila_Prabhupada/01_-_Lectures/01_-_English/01_-_Topic_wise/Morning_Walk/SP_Morning_Walk_-_Perth_1975-05-17.MP3</t>
  </si>
  <si>
    <t>SP_Room_Converstion_01_Perth_1975-05-17.MP3</t>
  </si>
  <si>
    <t>https://audio.iskcondesiretree.com/01_-_Srila_Prabhupada/01_-_Lectures/01_-_English/01_-_Topic_wise/Room_Conversation/SP_Room_Converstion_01_Perth_1975-05-17.MP3</t>
  </si>
  <si>
    <t>Conv_1975-05-17_R1-PERTH.MP3</t>
  </si>
  <si>
    <t>https://audio.iskcondesiretree.com/01_-_Srila_Prabhupada/01_-_Lectures/01_-_English/02_-_Month_wise/05_-_May/17/Conv_1975-05-17_R1-PERTH.MP3</t>
  </si>
  <si>
    <t>Walk_1975-05-17_MW-PERTH.MP3</t>
  </si>
  <si>
    <t>https://audio.iskcondesiretree.com/01_-_Srila_Prabhupada/01_-_Lectures/01_-_English/02_-_Month_wise/05_-_May/17/Walk_1975-05-17_MW-PERTH.MP3</t>
  </si>
  <si>
    <t>SP_Interview_Melbourne_1975-05-19_Press--No_Culture-Just_Money.mp3</t>
  </si>
  <si>
    <t>https://audio.iskcondesiretree.com/01_-_Srila_Prabhupada/01_-_Lectures/01_-_English/01_-_Topic_wise/Interview/SP_Interview_Melbourne_1975-05-19_Press--No_Culture-Just_Money.mp3</t>
  </si>
  <si>
    <t>SP_Morning_Walk_-_Melbourne_1975-05-19_The_Envious_and_the_Merciful.mp3</t>
  </si>
  <si>
    <t>https://audio.iskcondesiretree.com/01_-_Srila_Prabhupada/01_-_Lectures/01_-_English/01_-_Topic_wise/Morning_Walk/SP_Morning_Walk_-_Melbourne_1975-05-19_The_Envious_and_the_Merciful.mp3</t>
  </si>
  <si>
    <t>SP_Room_Conversation_Melbourne_1975-05-19_Mystic_Concoction_vs_Spiritual_Vision.mp3</t>
  </si>
  <si>
    <t>https://audio.iskcondesiretree.com/01_-_Srila_Prabhupada/01_-_Lectures/01_-_English/01_-_Topic_wise/Room_Conversation/SP_Room_Conversation_Melbourne_1975-05-19_Mystic_Concoction_vs_Spiritual_Vision.mp3</t>
  </si>
  <si>
    <t>SP_Room_Conversation_Melbourne_1975-05-19_When_Looking_Inward_is_Looking_Outward.mp3</t>
  </si>
  <si>
    <t>https://audio.iskcondesiretree.com/01_-_Srila_Prabhupada/01_-_Lectures/01_-_English/01_-_Topic_wise/Room_Conversation/SP_Room_Conversation_Melbourne_1975-05-19_When_Looking_Inward_is_Looking_Outward.mp3</t>
  </si>
  <si>
    <t>SP_Room_Converstion_01_Melbourne_1975-05-19.MP3</t>
  </si>
  <si>
    <t>https://audio.iskcondesiretree.com/01_-_Srila_Prabhupada/01_-_Lectures/01_-_English/01_-_Topic_wise/Room_Conversation/SP_Room_Converstion_01_Melbourne_1975-05-19.MP3</t>
  </si>
  <si>
    <t>SP_Lecture_Melbourne_1975-05-19_We_Are_Doing_Our_Bit_to_Make--etc.mp3</t>
  </si>
  <si>
    <t>https://audio.iskcondesiretree.com/01_-_Srila_Prabhupada/01_-_Lectures/01_-_English/01_-_Topic_wise/Various/SP_Lecture_Melbourne_1975-05-19_We_Are_Doing_Our_Bit_to_Make--etc.mp3</t>
  </si>
  <si>
    <t>Conv_1975-05-19_R1-MELBOURNE.MP3</t>
  </si>
  <si>
    <t>https://audio.iskcondesiretree.com/01_-_Srila_Prabhupada/01_-_Lectures/01_-_English/02_-_Month_wise/05_-_May/19/Conv_1975-05-19_R1-MELBOURNE.MP3</t>
  </si>
  <si>
    <t>Conv_1975-05-19_R2-MELBOURNE.MP3</t>
  </si>
  <si>
    <t>https://audio.iskcondesiretree.com/01_-_Srila_Prabhupada/01_-_Lectures/01_-_English/02_-_Month_wise/05_-_May/19/Conv_1975-05-19_R2-MELBOURNE.MP3</t>
  </si>
  <si>
    <t>Interv_MEL_1975-05-19_Press-No_Culture-Just_Money.mp3</t>
  </si>
  <si>
    <t>https://audio.iskcondesiretree.com/01_-_Srila_Prabhupada/01_-_Lectures/01_-_English/02_-_Month_wise/05_-_May/19/Interv_MEL_1975-05-19_Press-No_Culture-Just_Money.mp3</t>
  </si>
  <si>
    <t>Lect_MEL_1975-05-19_We_Are_Doing_Our_Bit_to_Make_etc.mp3</t>
  </si>
  <si>
    <t>https://audio.iskcondesiretree.com/01_-_Srila_Prabhupada/01_-_Lectures/01_-_English/02_-_Month_wise/05_-_May/19/Lect_MEL_1975-05-19_We_Are_Doing_Our_Bit_to_Make_etc.mp3</t>
  </si>
  <si>
    <t>MW_MEL_1975-05-19_The_Envious_and_the_Merciful.mp3</t>
  </si>
  <si>
    <t>https://audio.iskcondesiretree.com/01_-_Srila_Prabhupada/01_-_Lectures/01_-_English/02_-_Month_wise/05_-_May/19/MW_MEL_1975-05-19_The_Envious_and_the_Merciful.mp3</t>
  </si>
  <si>
    <t>RC_MEL_1975-05-19_Mystic_Concoction_vs_Spiritual_Vision.mp3</t>
  </si>
  <si>
    <t>https://audio.iskcondesiretree.com/01_-_Srila_Prabhupada/01_-_Lectures/01_-_English/02_-_Month_wise/05_-_May/19/RC_MEL_1975-05-19_Mystic_Concoction_vs_Spiritual_Vision.mp3</t>
  </si>
  <si>
    <t>RC_MEL_1975-05-19_When_Looking_Inward_is_Looking_Outward.mp3</t>
  </si>
  <si>
    <t>https://audio.iskcondesiretree.com/01_-_Srila_Prabhupada/01_-_Lectures/01_-_English/02_-_Month_wise/05_-_May/19/RC_MEL_1975-05-19_When_Looking_Inward_is_Looking_Outward.mp3</t>
  </si>
  <si>
    <t>SB-Lecture_1975-05-19_SB-MELBOURNE.MP3</t>
  </si>
  <si>
    <t>https://audio.iskcondesiretree.com/01_-_Srila_Prabhupada/01_-_Lectures/01_-_English/02_-_Month_wise/05_-_May/19/SB-Lecture_1975-05-19_SB-MELBOURNE.MP3</t>
  </si>
  <si>
    <t>Walk_1975-05-19_MW-MELBOURNE.MP3</t>
  </si>
  <si>
    <t>https://audio.iskcondesiretree.com/01_-_Srila_Prabhupada/01_-_Lectures/01_-_English/02_-_Month_wise/05_-_May/19/Walk_1975-05-19_MW-MELBOURNE.MP3</t>
  </si>
  <si>
    <t>SP_Morning_Walk_-_Melbourne_1975-05-20.MP3</t>
  </si>
  <si>
    <t>https://audio.iskcondesiretree.com/01_-_Srila_Prabhupada/01_-_Lectures/01_-_English/01_-_Topic_wise/Morning_Walk/SP_Morning_Walk_-_Melbourne_1975-05-20.MP3</t>
  </si>
  <si>
    <t>SP_Room_Converstion_01_Melbourne_1975-05-20.MP3</t>
  </si>
  <si>
    <t>https://audio.iskcondesiretree.com/01_-_Srila_Prabhupada/01_-_Lectures/01_-_English/01_-_Topic_wise/Room_Conversation/SP_Room_Converstion_01_Melbourne_1975-05-20.MP3</t>
  </si>
  <si>
    <t>SP_SB_6-01-01_Melbourne_1975-05-20_What_to_Do_About_Death.mp3</t>
  </si>
  <si>
    <t>https://audio.iskcondesiretree.com/01_-_Srila_Prabhupada/01_-_Lectures/01_-_English/01_-_Topic_wise/Srimad_Bhagavatam/Canto-06/SP_SB_6-01-01_Melbourne_1975-05-20_What_to_Do_About_Death.mp3</t>
  </si>
  <si>
    <t>Conv_1975-05-20_R1-MELBOURNE.MP3</t>
  </si>
  <si>
    <t>https://audio.iskcondesiretree.com/01_-_Srila_Prabhupada/01_-_Lectures/01_-_English/02_-_Month_wise/05_-_May/20/Conv_1975-05-20_R1-MELBOURNE.MP3</t>
  </si>
  <si>
    <t>SB_6-01-01_MEL_1975-05-20_What_to_Do_About_Death.mp3</t>
  </si>
  <si>
    <t>https://audio.iskcondesiretree.com/01_-_Srila_Prabhupada/01_-_Lectures/01_-_English/02_-_Month_wise/05_-_May/20/SB_6-01-01_MEL_1975-05-20_What_to_Do_About_Death.mp3</t>
  </si>
  <si>
    <t>SB%E2%80%9306-01-01%E2%80%9304_1975-05-20_SB-MELBOURNE.MP3</t>
  </si>
  <si>
    <r>
      <rPr>
        <u/>
        <sz val="11"/>
        <color rgb="FF1155CC"/>
        <rFont val="&quot;Aptos Narrow&quot;, sans-serif"/>
      </rPr>
      <t>https://audio.iskcondesiretree.com/01_-_Srila_Prabhupada/01_-_Lectures/01_-_English/02_-_Month_wise/05_-_May/20/SB%E2%80%9306-01-01%E2%80%9304_1975-05-20_SB-MELBOURNE.MP3</t>
    </r>
  </si>
  <si>
    <t>Walk_1975-05-20_MW-MELBOURNE.MP3</t>
  </si>
  <si>
    <t>https://audio.iskcondesiretree.com/01_-_Srila_Prabhupada/01_-_Lectures/01_-_English/02_-_Month_wise/05_-_May/20/Walk_1975-05-20_MW-MELBOURNE.MP3</t>
  </si>
  <si>
    <t>SP_Morning_Walk_-_Melbourne_1975-05-21.MP3</t>
  </si>
  <si>
    <t>https://audio.iskcondesiretree.com/01_-_Srila_Prabhupada/01_-_Lectures/01_-_English/01_-_Topic_wise/Morning_Walk/SP_Morning_Walk_-_Melbourne_1975-05-21.MP3</t>
  </si>
  <si>
    <t>SP_Room_Conversation_Melbourne_1975-05-21_Director_of_Research--Vox--etc.mp3</t>
  </si>
  <si>
    <t>https://audio.iskcondesiretree.com/01_-_Srila_Prabhupada/01_-_Lectures/01_-_English/01_-_Topic_wise/Room_Conversation/SP_Room_Conversation_Melbourne_1975-05-21_Director_of_Research--Vox--etc.mp3</t>
  </si>
  <si>
    <t>SP_SB_6-01-01_Melbourne_1975-05-21_Serve_the_Divine_or_Designations.mp3</t>
  </si>
  <si>
    <t>https://audio.iskcondesiretree.com/01_-_Srila_Prabhupada/01_-_Lectures/01_-_English/01_-_Topic_wise/Srimad_Bhagavatam/Canto-06/SP_SB_6-01-01_Melbourne_1975-05-21_Serve_the_Divine_or_Designations.mp3</t>
  </si>
  <si>
    <t>Conv_1975-05-21_R1-MELBOURNE.MP3</t>
  </si>
  <si>
    <t>https://audio.iskcondesiretree.com/01_-_Srila_Prabhupada/01_-_Lectures/01_-_English/02_-_Month_wise/05_-_May/21/Conv_1975-05-21_R1-MELBOURNE.MP3</t>
  </si>
  <si>
    <t>RC_MEL_1975-05-21_Director_of_Research_Vox_etc.mp3</t>
  </si>
  <si>
    <t>https://audio.iskcondesiretree.com/01_-_Srila_Prabhupada/01_-_Lectures/01_-_English/02_-_Month_wise/05_-_May/21/RC_MEL_1975-05-21_Director_of_Research_Vox_etc.mp3</t>
  </si>
  <si>
    <t>SB-06-01-01_1975-05-21_SB-MELBOURNE.MP3</t>
  </si>
  <si>
    <t>https://audio.iskcondesiretree.com/01_-_Srila_Prabhupada/01_-_Lectures/01_-_English/02_-_Month_wise/05_-_May/21/SB-06-01-01_1975-05-21_SB-MELBOURNE.MP3</t>
  </si>
  <si>
    <t>SB_6-01-01_MEL_1975-05-21_Serve_the_Divine_or_Designations.mp3</t>
  </si>
  <si>
    <t>https://audio.iskcondesiretree.com/01_-_Srila_Prabhupada/01_-_Lectures/01_-_English/02_-_Month_wise/05_-_May/21/SB_6-01-01_MEL_1975-05-21_Serve_the_Divine_or_Designations.mp3</t>
  </si>
  <si>
    <t>Walk_1975-05-21_MW-MELBOURNE.MP3</t>
  </si>
  <si>
    <t>https://audio.iskcondesiretree.com/01_-_Srila_Prabhupada/01_-_Lectures/01_-_English/02_-_Month_wise/05_-_May/21/Walk_1975-05-21_MW-MELBOURNE.MP3</t>
  </si>
  <si>
    <t>SP_Morning_Walk_-_Melbourne_1975-05-22.MP3</t>
  </si>
  <si>
    <t>https://audio.iskcondesiretree.com/01_-_Srila_Prabhupada/01_-_Lectures/01_-_English/01_-_Topic_wise/Morning_Walk/SP_Morning_Walk_-_Melbourne_1975-05-22.MP3</t>
  </si>
  <si>
    <t>SP_Room_Conversation_Melbourne_1975-05-22_Lawyers--If_One_Doesn%27t_Know_What--etc.mp3</t>
  </si>
  <si>
    <t>https://audio.iskcondesiretree.com/01_-_Srila_Prabhupada/01_-_Lectures/01_-_English/01_-_Topic_wise/Room_Conversation/SP_Room_Conversation_Melbourne_1975-05-22_Lawyers--If_One_Doesn%27t_Know_What--etc.mp3</t>
  </si>
  <si>
    <t>SP_Room_Converstion_01_Melbourne_1975-05-22.MP3</t>
  </si>
  <si>
    <t>https://audio.iskcondesiretree.com/01_-_Srila_Prabhupada/01_-_Lectures/01_-_English/01_-_Topic_wise/Room_Conversation/SP_Room_Converstion_01_Melbourne_1975-05-22.MP3</t>
  </si>
  <si>
    <t>SP_SB_6-01-01-02_Melbourne_1975-05-22_Hog%27s_Life-_Eat_Any_Damned_Food.MP3</t>
  </si>
  <si>
    <t>https://audio.iskcondesiretree.com/01_-_Srila_Prabhupada/01_-_Lectures/01_-_English/01_-_Topic_wise/Srimad_Bhagavatam/Canto-06/SP_SB_6-01-01-02_Melbourne_1975-05-22_Hog%27s_Life-_Eat_Any_Damned_Food.MP3</t>
  </si>
  <si>
    <t>SP_SB_6-01-01_Melbourne_1975-05-22_Hog%27s_Life-_Eat_Any_Damned_Food.mp3</t>
  </si>
  <si>
    <t>https://audio.iskcondesiretree.com/01_-_Srila_Prabhupada/01_-_Lectures/01_-_English/01_-_Topic_wise/Srimad_Bhagavatam/Canto-06/SP_SB_6-01-01_Melbourne_1975-05-22_Hog%27s_Life-_Eat_Any_Damned_Food.mp3</t>
  </si>
  <si>
    <t>Conv_1975-05-22_R1-MELBOURNE.MP3</t>
  </si>
  <si>
    <t>https://audio.iskcondesiretree.com/01_-_Srila_Prabhupada/01_-_Lectures/01_-_English/02_-_Month_wise/05_-_May/22/Conv_1975-05-22_R1-MELBOURNE.MP3</t>
  </si>
  <si>
    <t>Conv_1975-05-22_R2-MELBOURNE.MP3</t>
  </si>
  <si>
    <t>https://audio.iskcondesiretree.com/01_-_Srila_Prabhupada/01_-_Lectures/01_-_English/02_-_Month_wise/05_-_May/22/Conv_1975-05-22_R2-MELBOURNE.MP3</t>
  </si>
  <si>
    <t>RC_MEL_1975-05-22_Lawyers-If_One_Doesn%27t_Know_What_etc.mp3</t>
  </si>
  <si>
    <t>https://audio.iskcondesiretree.com/01_-_Srila_Prabhupada/01_-_Lectures/01_-_English/02_-_Month_wise/05_-_May/22/RC_MEL_1975-05-22_Lawyers-If_One_Doesn%27t_Know_What_etc.mp3</t>
  </si>
  <si>
    <t>SB_6-01-01_MEL_1975-05-22_Hog%27s_Life_Eat_Any_Damned_Food.mp3</t>
  </si>
  <si>
    <t>https://audio.iskcondesiretree.com/01_-_Srila_Prabhupada/01_-_Lectures/01_-_English/02_-_Month_wise/05_-_May/22/SB_6-01-01_MEL_1975-05-22_Hog%27s_Life_Eat_Any_Damned_Food.mp3</t>
  </si>
  <si>
    <t>SB%E2%80%9306-01-01%E2%80%9302_1975-05-22_SB-MELBOURNE.MP3</t>
  </si>
  <si>
    <r>
      <rPr>
        <u/>
        <sz val="11"/>
        <color rgb="FF1155CC"/>
        <rFont val="&quot;Aptos Narrow&quot;, sans-serif"/>
      </rPr>
      <t>https://audio.iskcondesiretree.com/01_-_Srila_Prabhupada/01_-_Lectures/01_-_English/02_-_Month_wise/05_-_May/22/SB%E2%80%9306-01-01%E2%80%9302_1975-05-22_SB-MELBOURNE.MP3</t>
    </r>
  </si>
  <si>
    <t>Walk_1975-05-22_MW-MELBOURNE.MP3</t>
  </si>
  <si>
    <t>https://audio.iskcondesiretree.com/01_-_Srila_Prabhupada/01_-_Lectures/01_-_English/02_-_Month_wise/05_-_May/22/Walk_1975-05-22_MW-MELBOURNE.MP3</t>
  </si>
  <si>
    <t>SP_Morning_Walk_-_Melbourne_1975-05-23_The_One_Way_to_Rectify_Rascals.mp3</t>
  </si>
  <si>
    <t>https://audio.iskcondesiretree.com/01_-_Srila_Prabhupada/01_-_Lectures/01_-_English/01_-_Topic_wise/Morning_Walk/SP_Morning_Walk_-_Melbourne_1975-05-23_The_One_Way_to_Rectify_Rascals.mp3</t>
  </si>
  <si>
    <t>MW_MEL_1975-05-23_The_One_Way_to_Rectify_Rascals.mp3</t>
  </si>
  <si>
    <t>https://audio.iskcondesiretree.com/01_-_Srila_Prabhupada/01_-_Lectures/01_-_English/02_-_Month_wise/05_-_May/23/MW_MEL_1975-05-23_The_One_Way_to_Rectify_Rascals.mp3</t>
  </si>
  <si>
    <t>Walk_1975-05-23_MW-MELBOURNE.MP3</t>
  </si>
  <si>
    <t>https://audio.iskcondesiretree.com/01_-_Srila_Prabhupada/01_-_Lectures/01_-_English/02_-_Month_wise/05_-_May/23/Walk_1975-05-23_MW-MELBOURNE.MP3</t>
  </si>
  <si>
    <t>SP_BG_07-01_Fiji_1975-05-24_The_Only_Business_of_the_Human_Being.mp3</t>
  </si>
  <si>
    <t>https://audio.iskcondesiretree.com/01_-_Srila_Prabhupada/01_-_Lectures/01_-_English/01_-_Topic_wise/Bhagavad_Gita/Chapter-07/SP_BG_07-01_Fiji_1975-05-24_The_Only_Business_of_the_Human_Being.mp3</t>
  </si>
  <si>
    <t>Bg-07-01_1975-05-24_BG-FIJI.MP3</t>
  </si>
  <si>
    <t>https://audio.iskcondesiretree.com/01_-_Srila_Prabhupada/01_-_Lectures/01_-_English/02_-_Month_wise/05_-_May/24/Bg-07-01_1975-05-24_BG-FIJI.MP3</t>
  </si>
  <si>
    <t>Bg_07-01_FIJ_1975-05-24_The_Only_Business_of_the_Human_Being.mp3</t>
  </si>
  <si>
    <t>https://audio.iskcondesiretree.com/01_-_Srila_Prabhupada/01_-_Lectures/01_-_English/02_-_Month_wise/05_-_May/24/Bg_07-01_FIJ_1975-05-24_The_Only_Business_of_the_Human_Being.mp3</t>
  </si>
  <si>
    <t>SP_Arrival_Lecture_Honolulu_1975-05-25.MP3</t>
  </si>
  <si>
    <t>https://audio.iskcondesiretree.com/01_-_Srila_Prabhupada/01_-_Lectures/01_-_English/01_-_Topic_wise/Arrival_Address/SP_Arrival_Lecture_Honolulu_1975-05-25.MP3</t>
  </si>
  <si>
    <t>SP_Interview_Fiji_1975-05-25_Radio--You_Can_Make_Whole_World_India.mp3</t>
  </si>
  <si>
    <t>https://audio.iskcondesiretree.com/01_-_Srila_Prabhupada/01_-_Lectures/01_-_English/01_-_Topic_wise/Interview/SP_Interview_Fiji_1975-05-25_Radio--You_Can_Make_Whole_World_India.mp3</t>
  </si>
  <si>
    <t>SP_Lecture_Honolulu_1975-05-25_Become_a_Devotee-God_Will_Take_Special_Care.mp3</t>
  </si>
  <si>
    <t>https://audio.iskcondesiretree.com/01_-_Srila_Prabhupada/01_-_Lectures/01_-_English/01_-_Topic_wise/Various/SP_Lecture_Honolulu_1975-05-25_Become_a_Devotee-God_Will_Take_Special_Care.mp3</t>
  </si>
  <si>
    <t>Arrival_1975-05-25_AR-HONOLULU.MP3</t>
  </si>
  <si>
    <t>https://audio.iskcondesiretree.com/01_-_Srila_Prabhupada/01_-_Lectures/01_-_English/02_-_Month_wise/05_-_May/25/Arrival_1975-05-25_AR-HONOLULU.MP3</t>
  </si>
  <si>
    <t>Interv_FIJ_1975-05-25_Radio-You_Can_Make_Whole_World_India.mp3</t>
  </si>
  <si>
    <t>https://audio.iskcondesiretree.com/01_-_Srila_Prabhupada/01_-_Lectures/01_-_English/02_-_Month_wise/05_-_May/25/Interv_FIJ_1975-05-25_Radio-You_Can_Make_Whole_World_India.mp3</t>
  </si>
  <si>
    <t>Interview_1975-05-25_IV-FIJI.MP3</t>
  </si>
  <si>
    <t>https://audio.iskcondesiretree.com/01_-_Srila_Prabhupada/01_-_Lectures/01_-_English/02_-_Month_wise/05_-_May/25/Interview_1975-05-25_IV-FIJI.MP3</t>
  </si>
  <si>
    <t>Lect_HON_1975-05-25_Become_a_Devotee-God_Will_Take_Special_Care.mp3</t>
  </si>
  <si>
    <t>https://audio.iskcondesiretree.com/01_-_Srila_Prabhupada/01_-_Lectures/01_-_English/02_-_Month_wise/05_-_May/25/Lect_HON_1975-05-25_Become_a_Devotee-God_Will_Take_Special_Care.mp3</t>
  </si>
  <si>
    <t>Lecture_1975-05-25_LE-HONOLULU.MP3</t>
  </si>
  <si>
    <t>https://audio.iskcondesiretree.com/01_-_Srila_Prabhupada/01_-_Lectures/01_-_English/02_-_Month_wise/05_-_May/25/Lecture_1975-05-25_LE-HONOLULU.MP3</t>
  </si>
  <si>
    <t>SP_Morning_Walk_-_Honolulu_1975-05-27.MP3</t>
  </si>
  <si>
    <t>https://audio.iskcondesiretree.com/01_-_Srila_Prabhupada/01_-_Lectures/01_-_English/01_-_Topic_wise/Morning_Walk/SP_Morning_Walk_-_Honolulu_1975-05-27.MP3</t>
  </si>
  <si>
    <t>Walk_1975-05-27_MW-HONOLULU.MP3</t>
  </si>
  <si>
    <t>https://audio.iskcondesiretree.com/01_-_Srila_Prabhupada/01_-_Lectures/01_-_English/02_-_Month_wise/05_-_May/27/Walk_1975-05-27_MW-HONOLULU.MP3</t>
  </si>
  <si>
    <t>SP_Morning_Walk_-_Honolulu_1975-05-28.MP3</t>
  </si>
  <si>
    <t>https://audio.iskcondesiretree.com/01_-_Srila_Prabhupada/01_-_Lectures/01_-_English/01_-_Topic_wise/Morning_Walk/SP_Morning_Walk_-_Honolulu_1975-05-28.MP3</t>
  </si>
  <si>
    <t>Walk_1975-05-28_MW-HONOLULU.MP3</t>
  </si>
  <si>
    <t>https://audio.iskcondesiretree.com/01_-_Srila_Prabhupada/01_-_Lectures/01_-_English/02_-_Month_wise/05_-_May/28/Walk_1975-05-28_MW-HONOLULU.MP3</t>
  </si>
  <si>
    <t>SP_Morning_Walk_-_Honolulu_1975-05-29.MP3</t>
  </si>
  <si>
    <t>https://audio.iskcondesiretree.com/01_-_Srila_Prabhupada/01_-_Lectures/01_-_English/01_-_Topic_wise/Morning_Walk/SP_Morning_Walk_-_Honolulu_1975-05-29.MP3</t>
  </si>
  <si>
    <t>Walk_1975-05-29_MW-HONOLULU.MP3</t>
  </si>
  <si>
    <t>https://audio.iskcondesiretree.com/01_-_Srila_Prabhupada/01_-_Lectures/01_-_English/02_-_Month_wise/05_-_May/29/Walk_1975-05-29_MW-HONOLULU.MP3</t>
  </si>
  <si>
    <t>SP_Morning_Walk_-_Honolulu_1975-05-31.MP3</t>
  </si>
  <si>
    <t>https://audio.iskcondesiretree.com/01_-_Srila_Prabhupada/01_-_Lectures/01_-_English/01_-_Topic_wise/Morning_Walk/SP_Morning_Walk_-_Honolulu_1975-05-31.MP3</t>
  </si>
  <si>
    <t>Walk_1975-05-31_MW-HONOLULU.MP3</t>
  </si>
  <si>
    <t>https://audio.iskcondesiretree.com/01_-_Srila_Prabhupada/01_-_Lectures/01_-_English/02_-_Month_wise/05_-_May/31/Walk_1975-05-31_MW-HONOLULU.MP3</t>
  </si>
  <si>
    <t>SP_SB_3-28-01_Honolulu_1975-06-01_The_Path_to_Permanence.mp3</t>
  </si>
  <si>
    <t>https://audio.iskcondesiretree.com/01_-_Srila_Prabhupada/01_-_Lectures/01_-_English/01_-_Topic_wise/Srimad_Bhagavatam/Canto-03/SP_SB_3-28-01_Honolulu_1975-06-01_The_Path_to_Permanence.mp3</t>
  </si>
  <si>
    <t>SB-03-28-01_1975-06-01_SB-HONOLULU.MP3</t>
  </si>
  <si>
    <t>https://audio.iskcondesiretree.com/01_-_Srila_Prabhupada/01_-_Lectures/01_-_English/02_-_Month_wise/06_-_June/01/SB-03-28-01_1975-06-01_SB-HONOLULU.MP3</t>
  </si>
  <si>
    <t>SB_3-28-01_HON_1975-06-01_The_Path_to_Permanence.mp3</t>
  </si>
  <si>
    <t>https://audio.iskcondesiretree.com/01_-_Srila_Prabhupada/01_-_Lectures/01_-_English/02_-_Month_wise/06_-_June/01/SB_3-28-01_HON_1975-06-01_The_Path_to_Permanence.mp3</t>
  </si>
  <si>
    <t>SP_Morning_Walk_-_Honolulu_1975-06-02.MP3</t>
  </si>
  <si>
    <t>https://audio.iskcondesiretree.com/01_-_Srila_Prabhupada/01_-_Lectures/01_-_English/01_-_Topic_wise/Morning_Walk/SP_Morning_Walk_-_Honolulu_1975-06-02.MP3</t>
  </si>
  <si>
    <t>Walk_1975-06-02_MW-HONOLULU.MP3</t>
  </si>
  <si>
    <t>https://audio.iskcondesiretree.com/01_-_Srila_Prabhupada/01_-_Lectures/01_-_English/02_-_Month_wise/06_-_June/02/Walk_1975-06-02_MW-HONOLULU.MP3</t>
  </si>
  <si>
    <t>SP_Lecture_Honolulu_1975-06-03_Initiation_of_Ambarisa_Dasa.MP3</t>
  </si>
  <si>
    <t>https://audio.iskcondesiretree.com/01_-_Srila_Prabhupada/01_-_Lectures/01_-_English/01_-_Topic_wise/Various/SP_Lecture_Honolulu_1975-06-03_Initiation_of_Ambarisa_Dasa.MP3</t>
  </si>
  <si>
    <t>Initiations_1975-06-03_IN-HONOLULU.MP3</t>
  </si>
  <si>
    <t>https://audio.iskcondesiretree.com/01_-_Srila_Prabhupada/01_-_Lectures/01_-_English/02_-_Month_wise/06_-_June/03/Initiations_1975-06-03_IN-HONOLULU.MP3</t>
  </si>
  <si>
    <t>SP_Morning_Walk_-_Honolulu_1975-06-04.MP3</t>
  </si>
  <si>
    <t>https://audio.iskcondesiretree.com/01_-_Srila_Prabhupada/01_-_Lectures/01_-_English/01_-_Topic_wise/Morning_Walk/SP_Morning_Walk_-_Honolulu_1975-06-04.MP3</t>
  </si>
  <si>
    <t>Walk_1975-06-04_MW-HONOLULU.MP3</t>
  </si>
  <si>
    <t>https://audio.iskcondesiretree.com/01_-_Srila_Prabhupada/01_-_Lectures/01_-_English/02_-_Month_wise/06_-_June/04/Walk_1975-06-04_MW-HONOLULU.MP3</t>
  </si>
  <si>
    <t>SP_Morning_Walk_-_Hawaii_1975-06-07_Human_Sheep_and_Jackals.mp3</t>
  </si>
  <si>
    <t>https://audio.iskcondesiretree.com/01_-_Srila_Prabhupada/01_-_Lectures/01_-_English/01_-_Topic_wise/Morning_Walk/SP_Morning_Walk_-_Hawaii_1975-06-07_Human_Sheep_and_Jackals.mp3</t>
  </si>
  <si>
    <t>SP_Room_Conversation_Hawaii_1975-06-07_Yogi_Bhajan--Looking_Toward_Unity_of_Men.mp3</t>
  </si>
  <si>
    <t>https://audio.iskcondesiretree.com/01_-_Srila_Prabhupada/01_-_Lectures/01_-_English/01_-_Topic_wise/Room_Conversation/SP_Room_Conversation_Hawaii_1975-06-07_Yogi_Bhajan--Looking_Toward_Unity_of_Men.mp3</t>
  </si>
  <si>
    <t>Conv_1975-06-07_R1-HONOLULU.MP3</t>
  </si>
  <si>
    <t>https://audio.iskcondesiretree.com/01_-_Srila_Prabhupada/01_-_Lectures/01_-_English/02_-_Month_wise/06_-_June/07/Conv_1975-06-07_R1-HONOLULU.MP3</t>
  </si>
  <si>
    <t>MW_HAW_1975-06-07_Human_Sheep_and_Jackals.mp3</t>
  </si>
  <si>
    <t>https://audio.iskcondesiretree.com/01_-_Srila_Prabhupada/01_-_Lectures/01_-_English/02_-_Month_wise/06_-_June/07/MW_HAW_1975-06-07_Human_Sheep_and_Jackals.mp3</t>
  </si>
  <si>
    <t>RC_HAW_1975-06-07_Yogi_Bhajan--Looking_Toward_Unity_of_Men.mp3</t>
  </si>
  <si>
    <t>https://audio.iskcondesiretree.com/01_-_Srila_Prabhupada/01_-_Lectures/01_-_English/02_-_Month_wise/06_-_June/07/RC_HAW_1975-06-07_Yogi_Bhajan--Looking_Toward_Unity_of_Men.mp3</t>
  </si>
  <si>
    <t>Walk_1975-06-07_MW-HONOLULU.MP3</t>
  </si>
  <si>
    <t>https://audio.iskcondesiretree.com/01_-_Srila_Prabhupada/01_-_Lectures/01_-_English/02_-_Month_wise/06_-_June/07/Walk_1975-06-07_MW-HONOLULU.MP3</t>
  </si>
  <si>
    <t>SP_Morning_Walk_-_Honolulu_1975-06-08.MP3</t>
  </si>
  <si>
    <t>https://audio.iskcondesiretree.com/01_-_Srila_Prabhupada/01_-_Lectures/01_-_English/01_-_Topic_wise/Morning_Walk/SP_Morning_Walk_-_Honolulu_1975-06-08.MP3</t>
  </si>
  <si>
    <t>SP_SB_6-01-01_Hawaii_1975-06-08_Saving_the_Independent_from_Hell.mp3</t>
  </si>
  <si>
    <t>https://audio.iskcondesiretree.com/01_-_Srila_Prabhupada/01_-_Lectures/01_-_English/01_-_Topic_wise/Srimad_Bhagavatam/Canto-06/SP_SB_6-01-01_Hawaii_1975-06-08_Saving_the_Independent_from_Hell.mp3</t>
  </si>
  <si>
    <t>SB_6-01-01_HAW_1975-06-08_Saving_the_Independent_from_Hell.mp3</t>
  </si>
  <si>
    <t>https://audio.iskcondesiretree.com/01_-_Srila_Prabhupada/01_-_Lectures/01_-_English/02_-_Month_wise/06_-_June/08/SB_6-01-01_HAW_1975-06-08_Saving_the_Independent_from_Hell.mp3</t>
  </si>
  <si>
    <t>SB%E2%80%9306-01-06%E2%80%9307_1975-06-08_SB-HONOLULU.MP3</t>
  </si>
  <si>
    <r>
      <rPr>
        <u/>
        <sz val="11"/>
        <color rgb="FF1155CC"/>
        <rFont val="&quot;Aptos Narrow&quot;, sans-serif"/>
      </rPr>
      <t>https://audio.iskcondesiretree.com/01_-_Srila_Prabhupada/01_-_Lectures/01_-_English/02_-_Month_wise/06_-_June/08/SB%E2%80%9306-01-06%E2%80%9307_1975-06-08_SB-HONOLULU.MP3</t>
    </r>
  </si>
  <si>
    <t>Walk_1975-06-08_MW-HONOLULU.MP3</t>
  </si>
  <si>
    <t>https://audio.iskcondesiretree.com/01_-_Srila_Prabhupada/01_-_Lectures/01_-_English/02_-_Month_wise/06_-_June/08/Walk_1975-06-08_MW-HONOLULU.MP3</t>
  </si>
  <si>
    <t>SP_Morning_Walk_-_Honolulu_1975-06-10.MP3</t>
  </si>
  <si>
    <t>https://audio.iskcondesiretree.com/01_-_Srila_Prabhupada/01_-_Lectures/01_-_English/01_-_Topic_wise/Morning_Walk/SP_Morning_Walk_-_Honolulu_1975-06-10.MP3</t>
  </si>
  <si>
    <t>Walk_1975-06-10_MW-HONOLULU.MP3</t>
  </si>
  <si>
    <t>https://audio.iskcondesiretree.com/01_-_Srila_Prabhupada/01_-_Lectures/01_-_English/02_-_Month_wise/06_-_June/10/Walk_1975-06-10_MW-HONOLULU.MP3</t>
  </si>
  <si>
    <t>SP_Morning_Walk_-_Honolulu_1975-06-11.MP3</t>
  </si>
  <si>
    <t>https://audio.iskcondesiretree.com/01_-_Srila_Prabhupada/01_-_Lectures/01_-_English/01_-_Topic_wise/Morning_Walk/SP_Morning_Walk_-_Honolulu_1975-06-11.MP3</t>
  </si>
  <si>
    <t>SP_Room_Converstion_01_Honolulu_1975-06-11.MP3</t>
  </si>
  <si>
    <t>https://audio.iskcondesiretree.com/01_-_Srila_Prabhupada/01_-_Lectures/01_-_English/01_-_Topic_wise/Room_Conversation/SP_Room_Converstion_01_Honolulu_1975-06-11.MP3</t>
  </si>
  <si>
    <t>Conv_1975-06-11_R1-HONOLULU.MP3</t>
  </si>
  <si>
    <t>https://audio.iskcondesiretree.com/01_-_Srila_Prabhupada/01_-_Lectures/01_-_English/02_-_Month_wise/06_-_June/11/Conv_1975-06-11_R1-HONOLULU.MP3</t>
  </si>
  <si>
    <t>Walk_1975-06-11_MW-HONOLULU.MP3</t>
  </si>
  <si>
    <t>https://audio.iskcondesiretree.com/01_-_Srila_Prabhupada/01_-_Lectures/01_-_English/02_-_Month_wise/06_-_June/11/Walk_1975-06-11_MW-HONOLULU.MP3</t>
  </si>
  <si>
    <t>SP_Room_Converstion_01_Honolulu_1975-06-12.MP3</t>
  </si>
  <si>
    <t>https://audio.iskcondesiretree.com/01_-_Srila_Prabhupada/01_-_Lectures/01_-_English/01_-_Topic_wise/Room_Conversation/SP_Room_Converstion_01_Honolulu_1975-06-12.MP3</t>
  </si>
  <si>
    <t>Conv_1975-06-12_R1-HONOLULU.MP3</t>
  </si>
  <si>
    <t>https://audio.iskcondesiretree.com/01_-_Srila_Prabhupada/01_-_Lectures/01_-_English/02_-_Month_wise/06_-_June/12/Conv_1975-06-12_R1-HONOLULU.MP3</t>
  </si>
  <si>
    <t>SP_Morning_Walk_-_Honolulu_1975-06-14.MP3</t>
  </si>
  <si>
    <t>https://audio.iskcondesiretree.com/01_-_Srila_Prabhupada/01_-_Lectures/01_-_English/01_-_Topic_wise/Morning_Walk/SP_Morning_Walk_-_Honolulu_1975-06-14.MP3</t>
  </si>
  <si>
    <t>SP_Room_Converstion_01_Honolulu_1975-06-14.MP3</t>
  </si>
  <si>
    <t>https://audio.iskcondesiretree.com/01_-_Srila_Prabhupada/01_-_Lectures/01_-_English/01_-_Topic_wise/Room_Conversation/SP_Room_Converstion_01_Honolulu_1975-06-14.MP3</t>
  </si>
  <si>
    <t>Conv_1975-06-14_R1-HONOLULU.MP3</t>
  </si>
  <si>
    <t>https://audio.iskcondesiretree.com/01_-_Srila_Prabhupada/01_-_Lectures/01_-_English/02_-_Month_wise/06_-_June/14/Conv_1975-06-14_R1-HONOLULU.MP3</t>
  </si>
  <si>
    <t>Walk_1975-06-14_MW-HONOLULU.MP3</t>
  </si>
  <si>
    <t>https://audio.iskcondesiretree.com/01_-_Srila_Prabhupada/01_-_Lectures/01_-_English/02_-_Month_wise/06_-_June/14/Walk_1975-06-14_MW-HONOLULU.MP3</t>
  </si>
  <si>
    <t>SP_Morning_Walk_-_Honolulu_1975-06-15.MP3</t>
  </si>
  <si>
    <t>https://audio.iskcondesiretree.com/01_-_Srila_Prabhupada/01_-_Lectures/01_-_English/01_-_Topic_wise/Morning_Walk/SP_Morning_Walk_-_Honolulu_1975-06-15.MP3</t>
  </si>
  <si>
    <t>SP_Room_Converstion_01_Honolulu_1975-06-15.MP3</t>
  </si>
  <si>
    <t>https://audio.iskcondesiretree.com/01_-_Srila_Prabhupada/01_-_Lectures/01_-_English/01_-_Topic_wise/Room_Conversation/SP_Room_Converstion_01_Honolulu_1975-06-15.MP3</t>
  </si>
  <si>
    <t>SP_Room_Converstion_02_Honolulu_1975-06-15.MP3</t>
  </si>
  <si>
    <t>https://audio.iskcondesiretree.com/01_-_Srila_Prabhupada/01_-_Lectures/01_-_English/01_-_Topic_wise/Room_Conversation/SP_Room_Converstion_02_Honolulu_1975-06-15.MP3</t>
  </si>
  <si>
    <t>SP_Room_Converstion_03_Honolulu_1975-06-15.MP3</t>
  </si>
  <si>
    <t>https://audio.iskcondesiretree.com/01_-_Srila_Prabhupada/01_-_Lectures/01_-_English/01_-_Topic_wise/Room_Conversation/SP_Room_Converstion_03_Honolulu_1975-06-15.MP3</t>
  </si>
  <si>
    <t>SP_Room_Converstion_04_Honolulu_1975-06-15.MP3</t>
  </si>
  <si>
    <t>https://audio.iskcondesiretree.com/01_-_Srila_Prabhupada/01_-_Lectures/01_-_English/01_-_Topic_wise/Room_Conversation/SP_Room_Converstion_04_Honolulu_1975-06-15.MP3</t>
  </si>
  <si>
    <t>SP_SB_6-01-07_Honolulu_1975-06-15_The_Perfect_Sympathizer.mp3</t>
  </si>
  <si>
    <t>https://audio.iskcondesiretree.com/01_-_Srila_Prabhupada/01_-_Lectures/01_-_English/01_-_Topic_wise/Srimad_Bhagavatam/Canto-06/SP_SB_6-01-07_Honolulu_1975-06-15_The_Perfect_Sympathizer.mp3</t>
  </si>
  <si>
    <t>Conv_1975-06-15_R1-HONOLULU.MP3</t>
  </si>
  <si>
    <t>https://audio.iskcondesiretree.com/01_-_Srila_Prabhupada/01_-_Lectures/01_-_English/02_-_Month_wise/06_-_June/15/Conv_1975-06-15_R1-HONOLULU.MP3</t>
  </si>
  <si>
    <t>Conv_1975-06-15_R2-HONOLULU.MP3</t>
  </si>
  <si>
    <t>https://audio.iskcondesiretree.com/01_-_Srila_Prabhupada/01_-_Lectures/01_-_English/02_-_Month_wise/06_-_June/15/Conv_1975-06-15_R2-HONOLULU.MP3</t>
  </si>
  <si>
    <t>Conv_1975-06-15_R3-HONOLULU.MP3</t>
  </si>
  <si>
    <t>https://audio.iskcondesiretree.com/01_-_Srila_Prabhupada/01_-_Lectures/01_-_English/02_-_Month_wise/06_-_June/15/Conv_1975-06-15_R3-HONOLULU.MP3</t>
  </si>
  <si>
    <t>Conv_1975-06-15_R4-HONOLULU.MP3</t>
  </si>
  <si>
    <t>https://audio.iskcondesiretree.com/01_-_Srila_Prabhupada/01_-_Lectures/01_-_English/02_-_Month_wise/06_-_June/15/Conv_1975-06-15_R4-HONOLULU.MP3</t>
  </si>
  <si>
    <t>SB-06-01-07_1975-06-15_SB-HONOLULU.MP3</t>
  </si>
  <si>
    <t>https://audio.iskcondesiretree.com/01_-_Srila_Prabhupada/01_-_Lectures/01_-_English/02_-_Month_wise/06_-_June/15/SB-06-01-07_1975-06-15_SB-HONOLULU.MP3</t>
  </si>
  <si>
    <t>SB_6-01-07_HON_1975-06-15_The_Perfect_Sympathizer.mp3</t>
  </si>
  <si>
    <t>https://audio.iskcondesiretree.com/01_-_Srila_Prabhupada/01_-_Lectures/01_-_English/02_-_Month_wise/06_-_June/15/SB_6-01-07_HON_1975-06-15_The_Perfect_Sympathizer.mp3</t>
  </si>
  <si>
    <t>Walk_1975-06-15_MW-HONOLULU.MP3</t>
  </si>
  <si>
    <t>https://audio.iskcondesiretree.com/01_-_Srila_Prabhupada/01_-_Lectures/01_-_English/02_-_Month_wise/06_-_June/15/Walk_1975-06-15_MW-HONOLULU.MP3</t>
  </si>
  <si>
    <t>SP_Morning_Walk_-_Honolulu_1975-06-16.MP3</t>
  </si>
  <si>
    <t>https://audio.iskcondesiretree.com/01_-_Srila_Prabhupada/01_-_Lectures/01_-_English/01_-_Topic_wise/Morning_Walk/SP_Morning_Walk_-_Honolulu_1975-06-16.MP3</t>
  </si>
  <si>
    <t>SP_Room_Converstion_01_Honolulu_1975-06-16.MP3</t>
  </si>
  <si>
    <t>https://audio.iskcondesiretree.com/01_-_Srila_Prabhupada/01_-_Lectures/01_-_English/01_-_Topic_wise/Room_Conversation/SP_Room_Converstion_01_Honolulu_1975-06-16.MP3</t>
  </si>
  <si>
    <t>SP_Room_Converstion_02_Honolulu_1975-06-16.MP3</t>
  </si>
  <si>
    <t>https://audio.iskcondesiretree.com/01_-_Srila_Prabhupada/01_-_Lectures/01_-_English/01_-_Topic_wise/Room_Conversation/SP_Room_Converstion_02_Honolulu_1975-06-16.MP3</t>
  </si>
  <si>
    <t>SP_Room_Converstion_03_Honolulu_1975-06-16.MP3</t>
  </si>
  <si>
    <t>https://audio.iskcondesiretree.com/01_-_Srila_Prabhupada/01_-_Lectures/01_-_English/01_-_Topic_wise/Room_Conversation/SP_Room_Converstion_03_Honolulu_1975-06-16.MP3</t>
  </si>
  <si>
    <t>SP_Room_Converstion_04_Honolulu_1975-06-16.MP3</t>
  </si>
  <si>
    <t>https://audio.iskcondesiretree.com/01_-_Srila_Prabhupada/01_-_Lectures/01_-_English/01_-_Topic_wise/Room_Conversation/SP_Room_Converstion_04_Honolulu_1975-06-16.MP3</t>
  </si>
  <si>
    <t>Conv_1975-06-16_R1-HONOLULU.MP3</t>
  </si>
  <si>
    <t>https://audio.iskcondesiretree.com/01_-_Srila_Prabhupada/01_-_Lectures/01_-_English/02_-_Month_wise/06_-_June/16/Conv_1975-06-16_R1-HONOLULU.MP3</t>
  </si>
  <si>
    <t>Conv_1975-06-16_R2-HONOLULU.MP3</t>
  </si>
  <si>
    <t>https://audio.iskcondesiretree.com/01_-_Srila_Prabhupada/01_-_Lectures/01_-_English/02_-_Month_wise/06_-_June/16/Conv_1975-06-16_R2-HONOLULU.MP3</t>
  </si>
  <si>
    <t>Conv_1975-06-16_R3-HONOLULU.MP3</t>
  </si>
  <si>
    <t>https://audio.iskcondesiretree.com/01_-_Srila_Prabhupada/01_-_Lectures/01_-_English/02_-_Month_wise/06_-_June/16/Conv_1975-06-16_R3-HONOLULU.MP3</t>
  </si>
  <si>
    <t>Conv_1975-06-16_R4-HONOLULU.MP3</t>
  </si>
  <si>
    <t>https://audio.iskcondesiretree.com/01_-_Srila_Prabhupada/01_-_Lectures/01_-_English/02_-_Month_wise/06_-_June/16/Conv_1975-06-16_R4-HONOLULU.MP3</t>
  </si>
  <si>
    <t>Walk_1975-06-16_MW-HONOLULU.MP3</t>
  </si>
  <si>
    <t>https://audio.iskcondesiretree.com/01_-_Srila_Prabhupada/01_-_Lectures/01_-_English/02_-_Month_wise/06_-_June/16/Walk_1975-06-16_MW-HONOLULU.MP3</t>
  </si>
  <si>
    <t>SP_Morning_Walk_-_Honolulu_1975-06-17.MP3</t>
  </si>
  <si>
    <t>https://audio.iskcondesiretree.com/01_-_Srila_Prabhupada/01_-_Lectures/01_-_English/01_-_Topic_wise/Morning_Walk/SP_Morning_Walk_-_Honolulu_1975-06-17.MP3</t>
  </si>
  <si>
    <t>SP_Room_Converstion_01_Honolulu_1975-06-17.MP3</t>
  </si>
  <si>
    <t>https://audio.iskcondesiretree.com/01_-_Srila_Prabhupada/01_-_Lectures/01_-_English/01_-_Topic_wise/Room_Conversation/SP_Room_Converstion_01_Honolulu_1975-06-17.MP3</t>
  </si>
  <si>
    <t>SP_SB_6-01-17_Honolulu_1975-06-17_Happiness--Dance_With_Krishna.mp3</t>
  </si>
  <si>
    <t>https://audio.iskcondesiretree.com/01_-_Srila_Prabhupada/01_-_Lectures/01_-_English/01_-_Topic_wise/Srimad_Bhagavatam/Canto-06/SP_SB_6-01-17_Honolulu_1975-06-17_Happiness--Dance_With_Krishna.mp3</t>
  </si>
  <si>
    <t>Conv_1975-06-17_R1-HONOLULU.MP3</t>
  </si>
  <si>
    <t>https://audio.iskcondesiretree.com/01_-_Srila_Prabhupada/01_-_Lectures/01_-_English/02_-_Month_wise/06_-_June/17/Conv_1975-06-17_R1-HONOLULU.MP3</t>
  </si>
  <si>
    <t>SB_6-01-17_HON_1975-06-17_Happiness-Dance_With_Krishna.mp3</t>
  </si>
  <si>
    <t>https://audio.iskcondesiretree.com/01_-_Srila_Prabhupada/01_-_Lectures/01_-_English/02_-_Month_wise/06_-_June/17/SB_6-01-17_HON_1975-06-17_Happiness-Dance_With_Krishna.mp3</t>
  </si>
  <si>
    <t>Walk_1975-06-17_MW-HONOLULU.MP3</t>
  </si>
  <si>
    <t>https://audio.iskcondesiretree.com/01_-_Srila_Prabhupada/01_-_Lectures/01_-_English/02_-_Month_wise/06_-_June/17/Walk_1975-06-17_MW-HONOLULU.MP3</t>
  </si>
  <si>
    <t>SP_Morning_Walk_-_Honolulu_1975-06-18.MP3</t>
  </si>
  <si>
    <t>https://audio.iskcondesiretree.com/01_-_Srila_Prabhupada/01_-_Lectures/01_-_English/01_-_Topic_wise/Morning_Walk/SP_Morning_Walk_-_Honolulu_1975-06-18.MP3</t>
  </si>
  <si>
    <t>SP_Room_Converstion_01_Honolulu_1975-06-18.MP3</t>
  </si>
  <si>
    <t>https://audio.iskcondesiretree.com/01_-_Srila_Prabhupada/01_-_Lectures/01_-_English/01_-_Topic_wise/Room_Conversation/SP_Room_Converstion_01_Honolulu_1975-06-18.MP3</t>
  </si>
  <si>
    <t>Conv_1975-06-18_R1-HONOLULU.MP3</t>
  </si>
  <si>
    <t>https://audio.iskcondesiretree.com/01_-_Srila_Prabhupada/01_-_Lectures/01_-_English/02_-_Month_wise/06_-_June/18/Conv_1975-06-18_R1-HONOLULU.MP3</t>
  </si>
  <si>
    <t>Walk_1975-06-18_MW-HONOLULU.MP3</t>
  </si>
  <si>
    <t>https://audio.iskcondesiretree.com/01_-_Srila_Prabhupada/01_-_Lectures/01_-_English/02_-_Month_wise/06_-_June/18/Walk_1975-06-18_MW-HONOLULU.MP3</t>
  </si>
  <si>
    <t>SP_Morning_Walk_-_Honolulu_1975-06-19.MP3</t>
  </si>
  <si>
    <t>https://audio.iskcondesiretree.com/01_-_Srila_Prabhupada/01_-_Lectures/01_-_English/01_-_Topic_wise/Morning_Walk/SP_Morning_Walk_-_Honolulu_1975-06-19.MP3</t>
  </si>
  <si>
    <t>Walk_1975-06-19_MW-HONOLULU.MP3</t>
  </si>
  <si>
    <t>https://audio.iskcondesiretree.com/01_-_Srila_Prabhupada/01_-_Lectures/01_-_English/02_-_Month_wise/06_-_June/19/Walk_1975-06-19_MW-HONOLULU.MP3</t>
  </si>
  <si>
    <t>SP_Arrival_Lecture_Los_Angeles_1975-06-20.MP3</t>
  </si>
  <si>
    <t>https://audio.iskcondesiretree.com/01_-_Srila_Prabhupada/01_-_Lectures/01_-_English/01_-_Topic_wise/Arrival_Address/SP_Arrival_Lecture_Los_Angeles_1975-06-20.MP3</t>
  </si>
  <si>
    <t>SP_Arrival_Los_Angeles_1975-06-20_Kindly_Help_Me.mp3</t>
  </si>
  <si>
    <t>https://audio.iskcondesiretree.com/01_-_Srila_Prabhupada/01_-_Lectures/01_-_English/01_-_Topic_wise/Arrival_Address/SP_Arrival_Los_Angeles_1975-06-20_Kindly_Help_Me.mp3</t>
  </si>
  <si>
    <t>SP_Departure_Lecture_Honolulu_1975-06-20.MP3</t>
  </si>
  <si>
    <t>https://audio.iskcondesiretree.com/01_-_Srila_Prabhupada/01_-_Lectures/01_-_English/01_-_Topic_wise/Departure_Address/SP_Departure_Lecture_Honolulu_1975-06-20.MP3</t>
  </si>
  <si>
    <t>SP_Room_Conversation_Los_Angeles_1975-06-20_These_Are_Krishna%27s_Books.mp3</t>
  </si>
  <si>
    <t>https://audio.iskcondesiretree.com/01_-_Srila_Prabhupada/01_-_Lectures/01_-_English/01_-_Topic_wise/Room_Conversation/SP_Room_Conversation_Los_Angeles_1975-06-20_These_Are_Krishna%27s_Books.mp3</t>
  </si>
  <si>
    <t>SP_Car_Conversation_Honolulu_1975-06-20.MP3</t>
  </si>
  <si>
    <t>https://audio.iskcondesiretree.com/01_-_Srila_Prabhupada/01_-_Lectures/01_-_English/01_-_Topic_wise/Various/SP_Car_Conversation_Honolulu_1975-06-20.MP3</t>
  </si>
  <si>
    <t>Arr_LA_1975-06-20_Kindly_Help_Me.mp3</t>
  </si>
  <si>
    <t>https://audio.iskcondesiretree.com/01_-_Srila_Prabhupada/01_-_Lectures/01_-_English/02_-_Month_wise/06_-_June/20/Arr_LA_1975-06-20_Kindly_Help_Me.mp3</t>
  </si>
  <si>
    <t>Arrival_1975-06-20_A2-LOS%20ANGELES.MP3</t>
  </si>
  <si>
    <t>https://audio.iskcondesiretree.com/01_-_Srila_Prabhupada/01_-_Lectures/01_-_English/02_-_Month_wise/06_-_June/20/Arrival_1975-06-20_A2-LOS%20ANGELES.MP3</t>
  </si>
  <si>
    <t>Arrival_1975-06-20_AR-LOS%20ANGELES.MP3</t>
  </si>
  <si>
    <t>https://audio.iskcondesiretree.com/01_-_Srila_Prabhupada/01_-_Lectures/01_-_English/02_-_Month_wise/06_-_June/20/Arrival_1975-06-20_AR-LOS%20ANGELES.MP3</t>
  </si>
  <si>
    <t>Conv_1975-06-20_CR-HONOLULU.MP3</t>
  </si>
  <si>
    <t>https://audio.iskcondesiretree.com/01_-_Srila_Prabhupada/01_-_Lectures/01_-_English/02_-_Month_wise/06_-_June/20/Conv_1975-06-20_CR-HONOLULU.MP3</t>
  </si>
  <si>
    <t>Departure_1975-06-20_DP-HONOLULU.MP3</t>
  </si>
  <si>
    <t>https://audio.iskcondesiretree.com/01_-_Srila_Prabhupada/01_-_Lectures/01_-_English/02_-_Month_wise/06_-_June/20/Departure_1975-06-20_DP-HONOLULU.MP3</t>
  </si>
  <si>
    <t>RC_LA_1975-06-20_These_Are_Krishna%27s_Books.mp3</t>
  </si>
  <si>
    <t>https://audio.iskcondesiretree.com/01_-_Srila_Prabhupada/01_-_Lectures/01_-_English/02_-_Month_wise/06_-_June/20/RC_LA_1975-06-20_These_Are_Krishna%27s_Books.mp3</t>
  </si>
  <si>
    <t>SP_Morning_Walk_-_Los_Angeles_1975-06-21_Struggling_for_Eternality.mp3</t>
  </si>
  <si>
    <t>https://audio.iskcondesiretree.com/01_-_Srila_Prabhupada/01_-_Lectures/01_-_English/01_-_Topic_wise/Morning_Walk/SP_Morning_Walk_-_Los_Angeles_1975-06-21_Struggling_for_Eternality.mp3</t>
  </si>
  <si>
    <t>SP_SB_6-01-08_Los_Angeles_1975-06-21_A_Vaisnavas_Concern.mp3</t>
  </si>
  <si>
    <t>https://audio.iskcondesiretree.com/01_-_Srila_Prabhupada/01_-_Lectures/01_-_English/01_-_Topic_wise/Srimad_Bhagavatam/Canto-06/SP_SB_6-01-08_Los_Angeles_1975-06-21_A_Vaisnavas_Concern.mp3</t>
  </si>
  <si>
    <t>MW_LA_1975-06-21_Struggling_for_Eternality.mp3</t>
  </si>
  <si>
    <t>https://audio.iskcondesiretree.com/01_-_Srila_Prabhupada/01_-_Lectures/01_-_English/02_-_Month_wise/06_-_June/21/MW_LA_1975-06-21_Struggling_for_Eternality.mp3</t>
  </si>
  <si>
    <t>SB-06-01-08_1975-06-21_SB-LOS%20ANGELES.MP3</t>
  </si>
  <si>
    <t>https://audio.iskcondesiretree.com/01_-_Srila_Prabhupada/01_-_Lectures/01_-_English/02_-_Month_wise/06_-_June/21/SB-06-01-08_1975-06-21_SB-LOS%20ANGELES.MP3</t>
  </si>
  <si>
    <t>SB_6-01-08_LA_1975-06-21_A_Vaisnavas_Concern.mp3</t>
  </si>
  <si>
    <t>https://audio.iskcondesiretree.com/01_-_Srila_Prabhupada/01_-_Lectures/01_-_English/02_-_Month_wise/06_-_June/21/SB_6-01-08_LA_1975-06-21_A_Vaisnavas_Concern.mp3</t>
  </si>
  <si>
    <t>Walk_1975-06-21_MW-LOS%20ANGELES.MP3</t>
  </si>
  <si>
    <t>https://audio.iskcondesiretree.com/01_-_Srila_Prabhupada/01_-_Lectures/01_-_English/02_-_Month_wise/06_-_June/21/Walk_1975-06-21_MW-LOS%20ANGELES.MP3</t>
  </si>
  <si>
    <t>SP_Morning_Walk_-_Los_Angeles_1975-06-22_Dedicated_to_the_Supreme_Scientist.mp3</t>
  </si>
  <si>
    <t>https://audio.iskcondesiretree.com/01_-_Srila_Prabhupada/01_-_Lectures/01_-_English/01_-_Topic_wise/Morning_Walk/SP_Morning_Walk_-_Los_Angeles_1975-06-22_Dedicated_to_the_Supreme_Scientist.mp3</t>
  </si>
  <si>
    <t>SP_Room_Conversation_Los_Angeles_1975-06-22_Dr_Gerson--Happiness_Is_for_the_Devotees.mp3</t>
  </si>
  <si>
    <t>https://audio.iskcondesiretree.com/01_-_Srila_Prabhupada/01_-_Lectures/01_-_English/01_-_Topic_wise/Room_Conversation/SP_Room_Conversation_Los_Angeles_1975-06-22_Dr_Gerson--Happiness_Is_for_the_Devotees.mp3</t>
  </si>
  <si>
    <t>SP_SB_6-01-09_Los_Angeles_1975-06-22.MP3</t>
  </si>
  <si>
    <t>https://audio.iskcondesiretree.com/01_-_Srila_Prabhupada/01_-_Lectures/01_-_English/01_-_Topic_wise/Srimad_Bhagavatam/Canto-06/SP_SB_6-01-09_Los_Angeles_1975-06-22.MP3</t>
  </si>
  <si>
    <t>Conv_1975-06-22_GC-LOS%20ANGELES.MP3</t>
  </si>
  <si>
    <t>https://audio.iskcondesiretree.com/01_-_Srila_Prabhupada/01_-_Lectures/01_-_English/02_-_Month_wise/06_-_June/22/Conv_1975-06-22_GC-LOS%20ANGELES.MP3</t>
  </si>
  <si>
    <t>MW_LA_1975-06-22_Dedicated_to_the_Supreme_Scientist.mp3</t>
  </si>
  <si>
    <t>https://audio.iskcondesiretree.com/01_-_Srila_Prabhupada/01_-_Lectures/01_-_English/02_-_Month_wise/06_-_June/22/MW_LA_1975-06-22_Dedicated_to_the_Supreme_Scientist.mp3</t>
  </si>
  <si>
    <t>RC_LA_1975-06-22_Dr._Gerson-Happiness_Is_for_the_Devotees.mp3</t>
  </si>
  <si>
    <t>https://audio.iskcondesiretree.com/01_-_Srila_Prabhupada/01_-_Lectures/01_-_English/02_-_Month_wise/06_-_June/22/RC_LA_1975-06-22_Dr._Gerson-Happiness_Is_for_the_Devotees.mp3</t>
  </si>
  <si>
    <t>SB-06-01-09_1975-06-22_SB-LOS%20ANGELES.MP3</t>
  </si>
  <si>
    <t>https://audio.iskcondesiretree.com/01_-_Srila_Prabhupada/01_-_Lectures/01_-_English/02_-_Month_wise/06_-_June/22/SB-06-01-09_1975-06-22_SB-LOS%20ANGELES.MP3</t>
  </si>
  <si>
    <t>Walk_1975-06-22_MW-LOS%20ANGELES.MP3</t>
  </si>
  <si>
    <t>https://audio.iskcondesiretree.com/01_-_Srila_Prabhupada/01_-_Lectures/01_-_English/02_-_Month_wise/06_-_June/22/Walk_1975-06-22_MW-LOS%20ANGELES.MP3</t>
  </si>
  <si>
    <t>SP_Morning_Walk_-_Los_Angeles_1975-06-23_Varnashram_College_3--Colleges_for--etc.mp3</t>
  </si>
  <si>
    <t>https://audio.iskcondesiretree.com/01_-_Srila_Prabhupada/01_-_Lectures/01_-_English/01_-_Topic_wise/Morning_Walk/SP_Morning_Walk_-_Los_Angeles_1975-06-23_Varnashram_College_3--Colleges_for--etc.mp3</t>
  </si>
  <si>
    <t>SP_Room_Conversation_Los_Angeles_1975-06-23_Philosopher--Bad_Allowed_by_the_All-Good.mp3</t>
  </si>
  <si>
    <t>https://audio.iskcondesiretree.com/01_-_Srila_Prabhupada/01_-_Lectures/01_-_English/01_-_Topic_wise/Room_Conversation/SP_Room_Conversation_Los_Angeles_1975-06-23_Philosopher--Bad_Allowed_by_the_All-Good.mp3</t>
  </si>
  <si>
    <t>SP_SB_6-01-10_Los_Angeles_1975-06-23_New_Orleans_Heart_Free_of_Dirt.mp3</t>
  </si>
  <si>
    <t>https://audio.iskcondesiretree.com/01_-_Srila_Prabhupada/01_-_Lectures/01_-_English/01_-_Topic_wise/Srimad_Bhagavatam/Canto-06/SP_SB_6-01-10_Los_Angeles_1975-06-23_New_Orleans_Heart_Free_of_Dirt.mp3</t>
  </si>
  <si>
    <t>Conv_1975-06-23_R1-LOS%20ANGELES.MP3</t>
  </si>
  <si>
    <t>https://audio.iskcondesiretree.com/01_-_Srila_Prabhupada/01_-_Lectures/01_-_English/02_-_Month_wise/06_-_June/23/Conv_1975-06-23_R1-LOS%20ANGELES.MP3</t>
  </si>
  <si>
    <t>MW_LA_1975-06-23_Varnashram_College_3-Colleges_for_etc.mp3</t>
  </si>
  <si>
    <t>https://audio.iskcondesiretree.com/01_-_Srila_Prabhupada/01_-_Lectures/01_-_English/02_-_Month_wise/06_-_June/23/MW_LA_1975-06-23_Varnashram_College_3-Colleges_for_etc.mp3</t>
  </si>
  <si>
    <t>RC_LA_1975-06-23_Philosopher--Bad_Allowed_by_the_All-Good.mp3</t>
  </si>
  <si>
    <t>https://audio.iskcondesiretree.com/01_-_Srila_Prabhupada/01_-_Lectures/01_-_English/02_-_Month_wise/06_-_June/23/RC_LA_1975-06-23_Philosopher--Bad_Allowed_by_the_All-Good.mp3</t>
  </si>
  <si>
    <t>SB-06-01-10_1975-06-23_SB-LOS%20ANGELES.MP3</t>
  </si>
  <si>
    <t>https://audio.iskcondesiretree.com/01_-_Srila_Prabhupada/01_-_Lectures/01_-_English/02_-_Month_wise/06_-_June/23/SB-06-01-10_1975-06-23_SB-LOS%20ANGELES.MP3</t>
  </si>
  <si>
    <t>SB_6-01-10_LA_1975-06-23_No_Heart_Free_of_Dirt.mp3</t>
  </si>
  <si>
    <t>https://audio.iskcondesiretree.com/01_-_Srila_Prabhupada/01_-_Lectures/01_-_English/02_-_Month_wise/06_-_June/23/SB_6-01-10_LA_1975-06-23_No_Heart_Free_of_Dirt.mp3</t>
  </si>
  <si>
    <t>Walk_1975-06-23_MW-LOS%20ANGELES.MP3</t>
  </si>
  <si>
    <t>https://audio.iskcondesiretree.com/01_-_Srila_Prabhupada/01_-_Lectures/01_-_English/02_-_Month_wise/06_-_June/23/Walk_1975-06-23_MW-LOS%20ANGELES.MP3</t>
  </si>
  <si>
    <t>SP_Morning_Walk_-_Los_Angeles_1975-06-24.MP3</t>
  </si>
  <si>
    <t>https://audio.iskcondesiretree.com/01_-_Srila_Prabhupada/01_-_Lectures/01_-_English/01_-_Topic_wise/Morning_Walk/SP_Morning_Walk_-_Los_Angeles_1975-06-24.MP3</t>
  </si>
  <si>
    <t>SP_Room_Conversation_Los_Angeles_1975-06-24_Profs--Bird-Brained_Scholarship.mp3</t>
  </si>
  <si>
    <t>https://audio.iskcondesiretree.com/01_-_Srila_Prabhupada/01_-_Lectures/01_-_English/01_-_Topic_wise/Room_Conversation/SP_Room_Conversation_Los_Angeles_1975-06-24_Profs--Bird-Brained_Scholarship.mp3</t>
  </si>
  <si>
    <t>Conv_1975-06-24_GC-LOS%20ANGELES.MP3</t>
  </si>
  <si>
    <t>https://audio.iskcondesiretree.com/01_-_Srila_Prabhupada/01_-_Lectures/01_-_English/02_-_Month_wise/06_-_June/24/Conv_1975-06-24_GC-LOS%20ANGELES.MP3</t>
  </si>
  <si>
    <t>RC_LA_1975-06-24_Profs-Bird-Brained_Scholarship.mp3</t>
  </si>
  <si>
    <t>https://audio.iskcondesiretree.com/01_-_Srila_Prabhupada/01_-_Lectures/01_-_English/02_-_Month_wise/06_-_June/24/RC_LA_1975-06-24_Profs-Bird-Brained_Scholarship.mp3</t>
  </si>
  <si>
    <t>Walk_1975-06-24_MW-LOS%20ANGELES.MP3</t>
  </si>
  <si>
    <t>https://audio.iskcondesiretree.com/01_-_Srila_Prabhupada/01_-_Lectures/01_-_English/02_-_Month_wise/06_-_June/24/Walk_1975-06-24_MW-LOS%20ANGELES.MP3</t>
  </si>
  <si>
    <t>SP_Morning_Walk_-_Los_Angeles_1975-06-25_Here_Is_God--Why_Not_Accept.mp3</t>
  </si>
  <si>
    <t>https://audio.iskcondesiretree.com/01_-_Srila_Prabhupada/01_-_Lectures/01_-_English/01_-_Topic_wise/Morning_Walk/SP_Morning_Walk_-_Los_Angeles_1975-06-25_Here_Is_God--Why_Not_Accept.mp3</t>
  </si>
  <si>
    <t>SP_Room_Conversation_Los_Angeles_1975-06-25_God_Is_As_Sure_As_Death.mp3</t>
  </si>
  <si>
    <t>https://audio.iskcondesiretree.com/01_-_Srila_Prabhupada/01_-_Lectures/01_-_English/01_-_Topic_wise/Room_Conversation/SP_Room_Conversation_Los_Angeles_1975-06-25_God_Is_As_Sure_As_Death.mp3</t>
  </si>
  <si>
    <t>SP_SB_6-01-12_Los_Angeles_1975-06-25_Repent_Sinners--How.mp3</t>
  </si>
  <si>
    <t>https://audio.iskcondesiretree.com/01_-_Srila_Prabhupada/01_-_Lectures/01_-_English/01_-_Topic_wise/Srimad_Bhagavatam/Canto-06/SP_SB_6-01-12_Los_Angeles_1975-06-25_Repent_Sinners--How.mp3</t>
  </si>
  <si>
    <t>MW_LA_1975-06-25_Here_Is_God-Why_Not_Accept.mp3</t>
  </si>
  <si>
    <t>https://audio.iskcondesiretree.com/01_-_Srila_Prabhupada/01_-_Lectures/01_-_English/02_-_Month_wise/06_-_June/25/MW_LA_1975-06-25_Here_Is_God-Why_Not_Accept.mp3</t>
  </si>
  <si>
    <t>RC_LA_1975-06-25_God_Is_As_Sure_As_Death.mp3</t>
  </si>
  <si>
    <t>https://audio.iskcondesiretree.com/01_-_Srila_Prabhupada/01_-_Lectures/01_-_English/02_-_Month_wise/06_-_June/25/RC_LA_1975-06-25_God_Is_As_Sure_As_Death.mp3</t>
  </si>
  <si>
    <t>SB-06-01-12_1975-06-25_SB-LOS%20ANGELES.MP3</t>
  </si>
  <si>
    <t>https://audio.iskcondesiretree.com/01_-_Srila_Prabhupada/01_-_Lectures/01_-_English/02_-_Month_wise/06_-_June/25/SB-06-01-12_1975-06-25_SB-LOS%20ANGELES.MP3</t>
  </si>
  <si>
    <t>SB_6-01-12_LA_1975-06-25_Repent_Sinners_How.mp3</t>
  </si>
  <si>
    <t>https://audio.iskcondesiretree.com/01_-_Srila_Prabhupada/01_-_Lectures/01_-_English/02_-_Month_wise/06_-_June/25/SB_6-01-12_LA_1975-06-25_Repent_Sinners_How.mp3</t>
  </si>
  <si>
    <t>Walk_1975-06-25_MW-LOS%20ANGELES.MP3</t>
  </si>
  <si>
    <t>https://audio.iskcondesiretree.com/01_-_Srila_Prabhupada/01_-_Lectures/01_-_English/02_-_Month_wise/06_-_June/25/Walk_1975-06-25_MW-LOS%20ANGELES.MP3</t>
  </si>
  <si>
    <t>SP_Morning_Walk_-_Los_Angeles_1975-06-26_Hypnotized_by_Television_or_by_Krishna.mp3</t>
  </si>
  <si>
    <t>https://audio.iskcondesiretree.com/01_-_Srila_Prabhupada/01_-_Lectures/01_-_English/01_-_Topic_wise/Morning_Walk/SP_Morning_Walk_-_Los_Angeles_1975-06-26_Hypnotized_by_Television_or_by_Krishna.mp3</t>
  </si>
  <si>
    <t>SP_Room_Conversation_01_Los_Angeles_1975-06-26.MP3</t>
  </si>
  <si>
    <t>https://audio.iskcondesiretree.com/01_-_Srila_Prabhupada/01_-_Lectures/01_-_English/01_-_Topic_wise/Room_Conversation/SP_Room_Conversation_01_Los_Angeles_1975-06-26.MP3</t>
  </si>
  <si>
    <t>SP_Room_Conversation_02_Los_Angeles_1975-06-26.MP3</t>
  </si>
  <si>
    <t>https://audio.iskcondesiretree.com/01_-_Srila_Prabhupada/01_-_Lectures/01_-_English/01_-_Topic_wise/Room_Conversation/SP_Room_Conversation_02_Los_Angeles_1975-06-26.MP3</t>
  </si>
  <si>
    <t>SP_SB_6-01-13_Honolulu_1975-06-26_God_is_not_a_Petty_Thing.mp3</t>
  </si>
  <si>
    <t>https://audio.iskcondesiretree.com/01_-_Srila_Prabhupada/01_-_Lectures/01_-_English/01_-_Topic_wise/Srimad_Bhagavatam/Canto-06/SP_SB_6-01-13_Honolulu_1975-06-26_God_is_not_a_Petty_Thing.mp3</t>
  </si>
  <si>
    <t>Conv_1975-06-26_R1-LOS%20ANGELES.MP3</t>
  </si>
  <si>
    <t>https://audio.iskcondesiretree.com/01_-_Srila_Prabhupada/01_-_Lectures/01_-_English/02_-_Month_wise/06_-_June/26/Conv_1975-06-26_R1-LOS%20ANGELES.MP3</t>
  </si>
  <si>
    <t>Conv_1975-06-26_R2-LOS%20ANGELES.MP3</t>
  </si>
  <si>
    <t>https://audio.iskcondesiretree.com/01_-_Srila_Prabhupada/01_-_Lectures/01_-_English/02_-_Month_wise/06_-_June/26/Conv_1975-06-26_R2-LOS%20ANGELES.MP3</t>
  </si>
  <si>
    <t>MW_LA_1975-06-26_Hypnotized_by_Television_or_by_Krishna.mp3</t>
  </si>
  <si>
    <t>https://audio.iskcondesiretree.com/01_-_Srila_Prabhupada/01_-_Lectures/01_-_English/02_-_Month_wise/06_-_June/26/MW_LA_1975-06-26_Hypnotized_by_Television_or_by_Krishna.mp3</t>
  </si>
  <si>
    <t>SB-06-01-13%E2%80%9314_1975-06-26_SB-LOS%20ANGELES.MP3</t>
  </si>
  <si>
    <t>https://audio.iskcondesiretree.com/01_-_Srila_Prabhupada/01_-_Lectures/01_-_English/02_-_Month_wise/06_-_June/26/SB-06-01-13%E2%80%9314_1975-06-26_SB-LOS%20ANGELES.MP3</t>
  </si>
  <si>
    <t>SB_6-01-13_HON_1975-06-26_God_is_not_a_Petty_Thing.mp3</t>
  </si>
  <si>
    <t>https://audio.iskcondesiretree.com/01_-_Srila_Prabhupada/01_-_Lectures/01_-_English/02_-_Month_wise/06_-_June/26/SB_6-01-13_HON_1975-06-26_God_is_not_a_Petty_Thing.mp3</t>
  </si>
  <si>
    <t>Walk_1975-06-26_MW-LOS%20ANGELES.MP3</t>
  </si>
  <si>
    <t>https://audio.iskcondesiretree.com/01_-_Srila_Prabhupada/01_-_Lectures/01_-_English/02_-_Month_wise/06_-_June/26/Walk_1975-06-26_MW-LOS%20ANGELES.MP3</t>
  </si>
  <si>
    <t>SP_Arrival_Delhi_1975-06-27_Americans_with_Krsna_Consciousness.mp3</t>
  </si>
  <si>
    <t>https://audio.iskcondesiretree.com/01_-_Srila_Prabhupada/01_-_Lectures/01_-_English/01_-_Topic_wise/Arrival_Address/SP_Arrival_Delhi_1975-06-27_Americans_with_Krsna_Consciousness.mp3</t>
  </si>
  <si>
    <t>SP_Departure_Lecture_Los_Angeles_1975-06-27.MP3</t>
  </si>
  <si>
    <t>https://audio.iskcondesiretree.com/01_-_Srila_Prabhupada/01_-_Lectures/01_-_English/01_-_Topic_wise/Departure_Address/SP_Departure_Lecture_Los_Angeles_1975-06-27.MP3</t>
  </si>
  <si>
    <t>SP_Morning_Walk_-_Atlanta_1975-06-27.MP3</t>
  </si>
  <si>
    <t>https://audio.iskcondesiretree.com/01_-_Srila_Prabhupada/01_-_Lectures/01_-_English/01_-_Topic_wise/Morning_Walk/SP_Morning_Walk_-_Atlanta_1975-06-27.MP3</t>
  </si>
  <si>
    <t>SP_SB_6-1-15_Los_Angeles_1975-06-27.MP3</t>
  </si>
  <si>
    <t>https://audio.iskcondesiretree.com/01_-_Srila_Prabhupada/01_-_Lectures/01_-_English/01_-_Topic_wise/Srimad_Bhagavatam/Canto-06/SP_SB_6-1-15_Los_Angeles_1975-06-27.MP3</t>
  </si>
  <si>
    <t>Arr_DEN_1975-06-27_Americans_with_Krsna_Consciousness.mp3</t>
  </si>
  <si>
    <t>https://audio.iskcondesiretree.com/01_-_Srila_Prabhupada/01_-_Lectures/01_-_English/02_-_Month_wise/06_-_June/27/Arr_DEN_1975-06-27_Americans_with_Krsna_Consciousness.mp3</t>
  </si>
  <si>
    <t>Arrival_1975-06-27_AR-DENVER.MP3</t>
  </si>
  <si>
    <t>https://audio.iskcondesiretree.com/01_-_Srila_Prabhupada/01_-_Lectures/01_-_English/02_-_Month_wise/06_-_June/27/Arrival_1975-06-27_AR-DENVER.MP3</t>
  </si>
  <si>
    <t>Departure_1975-06-27_DP-LOS%20ANGELES.MP3</t>
  </si>
  <si>
    <t>https://audio.iskcondesiretree.com/01_-_Srila_Prabhupada/01_-_Lectures/01_-_English/02_-_Month_wise/06_-_June/27/Departure_1975-06-27_DP-LOS%20ANGELES.MP3</t>
  </si>
  <si>
    <t>SB-06-01-15_1975-06-27_SB-LOS%20ANGELES.MP3</t>
  </si>
  <si>
    <t>https://audio.iskcondesiretree.com/01_-_Srila_Prabhupada/01_-_Lectures/01_-_English/02_-_Month_wise/06_-_June/27/SB-06-01-15_1975-06-27_SB-LOS%20ANGELES.MP3</t>
  </si>
  <si>
    <t>Walk_1975-06-27_MW-LOS%20ANGELES.MP3</t>
  </si>
  <si>
    <t>https://audio.iskcondesiretree.com/01_-_Srila_Prabhupada/01_-_Lectures/01_-_English/02_-_Month_wise/06_-_June/27/Walk_1975-06-27_MW-LOS%20ANGELES.MP3</t>
  </si>
  <si>
    <t>SP_Morning_Walk_-_Denver_1975-06-28_Dog_Race_in_a_Dangerous_Place.mp3</t>
  </si>
  <si>
    <t>https://audio.iskcondesiretree.com/01_-_Srila_Prabhupada/01_-_Lectures/01_-_English/01_-_Topic_wise/Morning_Walk/SP_Morning_Walk_-_Denver_1975-06-28_Dog_Race_in_a_Dangerous_Place.mp3</t>
  </si>
  <si>
    <t>SP_SB_6-01-15_Denver_1975-06-28_The_Whole_Material_World_is--etc.mp3</t>
  </si>
  <si>
    <t>https://audio.iskcondesiretree.com/01_-_Srila_Prabhupada/01_-_Lectures/01_-_English/01_-_Topic_wise/Srimad_Bhagavatam/Canto-06/SP_SB_6-01-15_Denver_1975-06-28_The_Whole_Material_World_is--etc.mp3</t>
  </si>
  <si>
    <t>MW_DEN_1975-06-28_Dog_Race_in_a_Dangerous_Place.mp3</t>
  </si>
  <si>
    <t>https://audio.iskcondesiretree.com/01_-_Srila_Prabhupada/01_-_Lectures/01_-_English/02_-_Month_wise/06_-_June/28/MW_DEN_1975-06-28_Dog_Race_in_a_Dangerous_Place.mp3</t>
  </si>
  <si>
    <t>SB-06-01-15_1975-06-28_SB-DENVER.MP3</t>
  </si>
  <si>
    <t>https://audio.iskcondesiretree.com/01_-_Srila_Prabhupada/01_-_Lectures/01_-_English/02_-_Month_wise/06_-_June/28/SB-06-01-15_1975-06-28_SB-DENVER.MP3</t>
  </si>
  <si>
    <t>SB_6-01-15_DEN_1975-06-28_The_Whole_Material_World_is_etc.mp3</t>
  </si>
  <si>
    <t>https://audio.iskcondesiretree.com/01_-_Srila_Prabhupada/01_-_Lectures/01_-_English/02_-_Month_wise/06_-_June/28/SB_6-01-15_DEN_1975-06-28_The_Whole_Material_World_is_etc.mp3</t>
  </si>
  <si>
    <t>Walk_1975-06-28_MW-DENVER.MP3</t>
  </si>
  <si>
    <t>https://audio.iskcondesiretree.com/01_-_Srila_Prabhupada/01_-_Lectures/01_-_English/02_-_Month_wise/06_-_June/28/Walk_1975-06-28_MW-DENVER.MP3</t>
  </si>
  <si>
    <t>SP_Morning_Walk_-_Denver_1975-06-29_With_Less_Labor_Back_to_Godhead.mp3</t>
  </si>
  <si>
    <t>https://audio.iskcondesiretree.com/01_-_Srila_Prabhupada/01_-_Lectures/01_-_English/01_-_Topic_wise/Morning_Walk/SP_Morning_Walk_-_Denver_1975-06-29_With_Less_Labor_Back_to_Godhead.mp3</t>
  </si>
  <si>
    <t>SP_SB_1-2-6_Denver_1975-06-29_Sunday_Feast_Lecture.MP3</t>
  </si>
  <si>
    <t>https://audio.iskcondesiretree.com/01_-_Srila_Prabhupada/01_-_Lectures/01_-_English/01_-_Topic_wise/Srimad_Bhagavatam/Canto-01/SP_SB_1-2-6_Denver_1975-06-29_Sunday_Feast_Lecture.MP3</t>
  </si>
  <si>
    <t>SP_SB_6-1-16_Denver_1975-06-29.MP3</t>
  </si>
  <si>
    <t>https://audio.iskcondesiretree.com/01_-_Srila_Prabhupada/01_-_Lectures/01_-_English/01_-_Topic_wise/Srimad_Bhagavatam/Canto-06/SP_SB_6-1-16_Denver_1975-06-29.MP3</t>
  </si>
  <si>
    <t>MW_DEN_1975-06-29_With_Less_Labor_Back_to_Godhead.mp3</t>
  </si>
  <si>
    <t>https://audio.iskcondesiretree.com/01_-_Srila_Prabhupada/01_-_Lectures/01_-_English/02_-_Month_wise/06_-_June/29/MW_DEN_1975-06-29_With_Less_Labor_Back_to_Godhead.mp3</t>
  </si>
  <si>
    <t>SB-01-02-06_1975-06-29_SF-DENVER.MP3</t>
  </si>
  <si>
    <t>https://audio.iskcondesiretree.com/01_-_Srila_Prabhupada/01_-_Lectures/01_-_English/02_-_Month_wise/06_-_June/29/SB-01-02-06_1975-06-29_SF-DENVER.MP3</t>
  </si>
  <si>
    <t>SB-06-01-16_1975-06-29_SB-DENVER.MP3</t>
  </si>
  <si>
    <t>https://audio.iskcondesiretree.com/01_-_Srila_Prabhupada/01_-_Lectures/01_-_English/02_-_Month_wise/06_-_June/29/SB-06-01-16_1975-06-29_SB-DENVER.MP3</t>
  </si>
  <si>
    <t>Walk_1975-06-29_MW-DENVER.MP3</t>
  </si>
  <si>
    <t>https://audio.iskcondesiretree.com/01_-_Srila_Prabhupada/01_-_Lectures/01_-_English/02_-_Month_wise/06_-_June/29/Walk_1975-06-29_MW-DENVER.MP3</t>
  </si>
  <si>
    <t>SP_Morning_Walk_-_Denver_1975-06-30_Most_Powerful_Personality.mp3</t>
  </si>
  <si>
    <t>https://audio.iskcondesiretree.com/01_-_Srila_Prabhupada/01_-_Lectures/01_-_English/01_-_Topic_wise/Morning_Walk/SP_Morning_Walk_-_Denver_1975-06-30_Most_Powerful_Personality.mp3</t>
  </si>
  <si>
    <t>SP_SB_6-01-17_Denver_1975-06-30_Who_Is_a_True_Christian.mp3</t>
  </si>
  <si>
    <t>https://audio.iskcondesiretree.com/01_-_Srila_Prabhupada/01_-_Lectures/01_-_English/01_-_Topic_wise/Srimad_Bhagavatam/Canto-06/SP_SB_6-01-17_Denver_1975-06-30_Who_Is_a_True_Christian.mp3</t>
  </si>
  <si>
    <t>MW_DEN_1975-06-30_Most_Powerful_Personality.mp3</t>
  </si>
  <si>
    <t>https://audio.iskcondesiretree.com/01_-_Srila_Prabhupada/01_-_Lectures/01_-_English/02_-_Month_wise/06_-_June/30/MW_DEN_1975-06-30_Most_Powerful_Personality.mp3</t>
  </si>
  <si>
    <t>SB-06-01-17_1975-06-30_SB-DENVER.MP3</t>
  </si>
  <si>
    <t>https://audio.iskcondesiretree.com/01_-_Srila_Prabhupada/01_-_Lectures/01_-_English/02_-_Month_wise/06_-_June/30/SB-06-01-17_1975-06-30_SB-DENVER.MP3</t>
  </si>
  <si>
    <t>SB_6-01-17_DEN_1975-06-30_Who_Is_a_True_Christian.mp3</t>
  </si>
  <si>
    <t>https://audio.iskcondesiretree.com/01_-_Srila_Prabhupada/01_-_Lectures/01_-_English/02_-_Month_wise/06_-_June/30/SB_6-01-17_DEN_1975-06-30_Who_Is_a_True_Christian.mp3</t>
  </si>
  <si>
    <t>Walk_1975-06-30_MW-DENVER.MP3</t>
  </si>
  <si>
    <t>https://audio.iskcondesiretree.com/01_-_Srila_Prabhupada/01_-_Lectures/01_-_English/02_-_Month_wise/06_-_June/30/Walk_1975-06-30_MW-DENVER.MP3</t>
  </si>
  <si>
    <t>SP_Morning_Walk_-_Denver_1975-07-01_Spiritual_Food_and_Finance.mp3</t>
  </si>
  <si>
    <t>https://audio.iskcondesiretree.com/01_-_Srila_Prabhupada/01_-_Lectures/01_-_English/01_-_Topic_wise/Morning_Walk/SP_Morning_Walk_-_Denver_1975-07-01_Spiritual_Food_and_Finance.mp3</t>
  </si>
  <si>
    <t>SP_SB_6-01-18_Denver_1975-07-01_Prasadam_Krishna%27s--etc.mp3</t>
  </si>
  <si>
    <t>https://audio.iskcondesiretree.com/01_-_Srila_Prabhupada/01_-_Lectures/01_-_English/01_-_Topic_wise/Srimad_Bhagavatam/Canto-06/SP_SB_6-01-18_Denver_1975-07-01_Prasadam_Krishna%27s--etc.mp3</t>
  </si>
  <si>
    <t>SP_SB_6-01-19_Denver_1975-07-01_Pure_Profit.mp3</t>
  </si>
  <si>
    <t>https://audio.iskcondesiretree.com/01_-_Srila_Prabhupada/01_-_Lectures/01_-_English/01_-_Topic_wise/Srimad_Bhagavatam/Canto-06/SP_SB_6-01-19_Denver_1975-07-01_Pure_Profit.mp3</t>
  </si>
  <si>
    <t>MW_DEN_1975-07-01_Spiritual_Food_and_Finance.mp3</t>
  </si>
  <si>
    <t>https://audio.iskcondesiretree.com/01_-_Srila_Prabhupada/01_-_Lectures/01_-_English/02_-_Month_wise/07_-_July/01/MW_DEN_1975-07-01_Spiritual_Food_and_Finance.mp3</t>
  </si>
  <si>
    <t>SB-06-01-18_1975-07-01_SB-DENVER.MP3</t>
  </si>
  <si>
    <t>https://audio.iskcondesiretree.com/01_-_Srila_Prabhupada/01_-_Lectures/01_-_English/02_-_Month_wise/07_-_July/01/SB-06-01-18_1975-07-01_SB-DENVER.MP3</t>
  </si>
  <si>
    <t>SB_6-01-18_DEN_1975-07-01_Prasadam_Krishna%27s_etc.mp3</t>
  </si>
  <si>
    <t>https://audio.iskcondesiretree.com/01_-_Srila_Prabhupada/01_-_Lectures/01_-_English/02_-_Month_wise/07_-_July/01/SB_6-01-18_DEN_1975-07-01_Prasadam_Krishna%27s_etc.mp3</t>
  </si>
  <si>
    <t>SB_6-01-19_DEN_1975-07-01_Pure_Profit.mp3</t>
  </si>
  <si>
    <t>https://audio.iskcondesiretree.com/01_-_Srila_Prabhupada/01_-_Lectures/01_-_English/02_-_Month_wise/07_-_July/01/SB_6-01-19_DEN_1975-07-01_Pure_Profit.mp3</t>
  </si>
  <si>
    <t>Walk_1975-07-01_MW-DENVER.MP3</t>
  </si>
  <si>
    <t>https://audio.iskcondesiretree.com/01_-_Srila_Prabhupada/01_-_Lectures/01_-_English/02_-_Month_wise/07_-_July/01/Walk_1975-07-01_MW-DENVER.MP3</t>
  </si>
  <si>
    <t>SP_Morning_Walk_-_Denver_1975-07-02_Each_Second_a_New_Body.mp3</t>
  </si>
  <si>
    <t>https://audio.iskcondesiretree.com/01_-_Srila_Prabhupada/01_-_Lectures/01_-_English/01_-_Topic_wise/Morning_Walk/SP_Morning_Walk_-_Denver_1975-07-02_Each_Second_a_New_Body.mp3</t>
  </si>
  <si>
    <t>MW_DEN_1975-07-02_Each_Second_a_New_Body.mp3</t>
  </si>
  <si>
    <t>https://audio.iskcondesiretree.com/01_-_Srila_Prabhupada/01_-_Lectures/01_-_English/02_-_Month_wise/07_-_July/02/MW_DEN_1975-07-02_Each_Second_a_New_Body.mp3</t>
  </si>
  <si>
    <t>SB-06-01-19_1975-07-02_SB-DENVER.MP3</t>
  </si>
  <si>
    <t>https://audio.iskcondesiretree.com/01_-_Srila_Prabhupada/01_-_Lectures/01_-_English/02_-_Month_wise/07_-_July/02/SB-06-01-19_1975-07-02_SB-DENVER.MP3</t>
  </si>
  <si>
    <t>Walk_1975-07-02_MW-DENVER.MP3</t>
  </si>
  <si>
    <t>https://audio.iskcondesiretree.com/01_-_Srila_Prabhupada/01_-_Lectures/01_-_English/02_-_Month_wise/07_-_July/02/Walk_1975-07-02_MW-DENVER.MP3</t>
  </si>
  <si>
    <t>SP_Arrival_Chicago_1975-07-03_My_Mission_Is_To_Stop_the_Crimes--etc.mp3</t>
  </si>
  <si>
    <t>https://audio.iskcondesiretree.com/01_-_Srila_Prabhupada/01_-_Lectures/01_-_English/01_-_Topic_wise/Arrival_Address/SP_Arrival_Chicago_1975-07-03_My_Mission_Is_To_Stop_the_Crimes--etc.mp3</t>
  </si>
  <si>
    <t>SP_Morning_Walk_-_Denver_1975-07-03_Sometimes_This_Material_World_Is--etc.mp3</t>
  </si>
  <si>
    <t>https://audio.iskcondesiretree.com/01_-_Srila_Prabhupada/01_-_Lectures/01_-_English/01_-_Topic_wise/Morning_Walk/SP_Morning_Walk_-_Denver_1975-07-03_Sometimes_This_Material_World_Is--etc.mp3</t>
  </si>
  <si>
    <t>Arr_CHI_1975-07-03_My_Mission_Is_To_Stop_the_Crimes_etc.mp3</t>
  </si>
  <si>
    <t>https://audio.iskcondesiretree.com/01_-_Srila_Prabhupada/01_-_Lectures/01_-_English/02_-_Month_wise/07_-_July/03/Arr_CHI_1975-07-03_My_Mission_Is_To_Stop_the_Crimes_etc.mp3</t>
  </si>
  <si>
    <t>Arrival_1975-07-03_AR-CHICAGO.MP3</t>
  </si>
  <si>
    <t>https://audio.iskcondesiretree.com/01_-_Srila_Prabhupada/01_-_Lectures/01_-_English/02_-_Month_wise/07_-_July/03/Arrival_1975-07-03_AR-CHICAGO.MP3</t>
  </si>
  <si>
    <t>MW_DEN_1975-07-03_Sometimes_This_Material_World_Is_etc.mp3</t>
  </si>
  <si>
    <t>https://audio.iskcondesiretree.com/01_-_Srila_Prabhupada/01_-_Lectures/01_-_English/02_-_Month_wise/07_-_July/03/MW_DEN_1975-07-03_Sometimes_This_Material_World_Is_etc.mp3</t>
  </si>
  <si>
    <t>Walk_1975-07-03_MW-DENVER.MP3</t>
  </si>
  <si>
    <t>https://audio.iskcondesiretree.com/01_-_Srila_Prabhupada/01_-_Lectures/01_-_English/02_-_Month_wise/07_-_July/03/Walk_1975-07-03_MW-DENVER.MP3</t>
  </si>
  <si>
    <t>SP_Morning_Walk_-_Chicago_1975-07-04_Scientists_Controlling_Nature--That--etc.mp3</t>
  </si>
  <si>
    <t>https://audio.iskcondesiretree.com/01_-_Srila_Prabhupada/01_-_Lectures/01_-_English/01_-_Topic_wise/Morning_Walk/SP_Morning_Walk_-_Chicago_1975-07-04_Scientists_Controlling_Nature--That--etc.mp3</t>
  </si>
  <si>
    <t>SP_Room_Conversation_Chicago_1975-07-04_Mayor_of_Evanston--Administrators--etc.mp3</t>
  </si>
  <si>
    <t>https://audio.iskcondesiretree.com/01_-_Srila_Prabhupada/01_-_Lectures/01_-_English/01_-_Topic_wise/Room_Conversation/SP_Room_Conversation_Chicago_1975-07-04_Mayor_of_Evanston--Administrators--etc.mp3</t>
  </si>
  <si>
    <t>SP_SB_6-01-20_Chicago_1975-07-04_Crime-Why_and_What_to_Do.mp3</t>
  </si>
  <si>
    <t>https://audio.iskcondesiretree.com/01_-_Srila_Prabhupada/01_-_Lectures/01_-_English/01_-_Topic_wise/Srimad_Bhagavatam/Canto-06/SP_SB_6-01-20_Chicago_1975-07-04_Crime-Why_and_What_to_Do.mp3</t>
  </si>
  <si>
    <t>Conv_1975-07-04_R1-CHICAGO.MP3</t>
  </si>
  <si>
    <t>https://audio.iskcondesiretree.com/01_-_Srila_Prabhupada/01_-_Lectures/01_-_English/02_-_Month_wise/07_-_July/04/Conv_1975-07-04_R1-CHICAGO.MP3</t>
  </si>
  <si>
    <t>MW_CHI_1975-07-04_Scientists_Controlling_Nature_That_etc.mp3</t>
  </si>
  <si>
    <t>https://audio.iskcondesiretree.com/01_-_Srila_Prabhupada/01_-_Lectures/01_-_English/02_-_Month_wise/07_-_July/04/MW_CHI_1975-07-04_Scientists_Controlling_Nature_That_etc.mp3</t>
  </si>
  <si>
    <t>RC_CHI_1975-07-04_Mayor_of_Evanston-Administrators_etc.mp3</t>
  </si>
  <si>
    <t>https://audio.iskcondesiretree.com/01_-_Srila_Prabhupada/01_-_Lectures/01_-_English/02_-_Month_wise/07_-_July/04/RC_CHI_1975-07-04_Mayor_of_Evanston-Administrators_etc.mp3</t>
  </si>
  <si>
    <t>SB-06-01-20_1975-07-04_SB-CHICAGO.MP3</t>
  </si>
  <si>
    <t>https://audio.iskcondesiretree.com/01_-_Srila_Prabhupada/01_-_Lectures/01_-_English/02_-_Month_wise/07_-_July/04/SB-06-01-20_1975-07-04_SB-CHICAGO.MP3</t>
  </si>
  <si>
    <t>SB_6-01-20_CHI_1975-07-04_Crime-Why_and_What_to_Do.mp3</t>
  </si>
  <si>
    <t>https://audio.iskcondesiretree.com/01_-_Srila_Prabhupada/01_-_Lectures/01_-_English/02_-_Month_wise/07_-_July/04/SB_6-01-20_CHI_1975-07-04_Crime-Why_and_What_to_Do.mp3</t>
  </si>
  <si>
    <t>Walk_1975-07-04_MW-CHICAGO.MP3</t>
  </si>
  <si>
    <t>https://audio.iskcondesiretree.com/01_-_Srila_Prabhupada/01_-_Lectures/01_-_English/02_-_Month_wise/07_-_July/04/Walk_1975-07-04_MW-CHICAGO.MP3</t>
  </si>
  <si>
    <t>SP_Morning_Walk_-_Chicago_1975-07-05_The_Rarest_Books_in_the_World.mp3</t>
  </si>
  <si>
    <t>https://audio.iskcondesiretree.com/01_-_Srila_Prabhupada/01_-_Lectures/01_-_English/01_-_Topic_wise/Morning_Walk/SP_Morning_Walk_-_Chicago_1975-07-05_The_Rarest_Books_in_the_World.mp3</t>
  </si>
  <si>
    <t>SP_Room_Conversation_Chicago_1975-07-05_Chicago_Police_Dept--How_to_Prevent_Crime.mp3</t>
  </si>
  <si>
    <t>https://audio.iskcondesiretree.com/01_-_Srila_Prabhupada/01_-_Lectures/01_-_English/01_-_Topic_wise/Room_Conversation/SP_Room_Conversation_Chicago_1975-07-05_Chicago_Police_Dept--How_to_Prevent_Crime.mp3</t>
  </si>
  <si>
    <t>SP_Room_Conversation_Chicago_1975-07-05_Editor_of_Playboy_Magazine--Can_a--etc.mp3</t>
  </si>
  <si>
    <t>https://audio.iskcondesiretree.com/01_-_Srila_Prabhupada/01_-_Lectures/01_-_English/01_-_Topic_wise/Room_Conversation/SP_Room_Conversation_Chicago_1975-07-05_Editor_of_Playboy_Magazine--Can_a--etc.mp3</t>
  </si>
  <si>
    <t>SP_SB_6-01-21_Chicago_1975-07-05_How_to_Prevent_Crime.mp3</t>
  </si>
  <si>
    <t>https://audio.iskcondesiretree.com/01_-_Srila_Prabhupada/01_-_Lectures/01_-_English/01_-_Topic_wise/Srimad_Bhagavatam/Canto-06/SP_SB_6-01-21_Chicago_1975-07-05_How_to_Prevent_Crime.mp3</t>
  </si>
  <si>
    <t>Conv_1975-07-05_R1-CHICAGO.MP3</t>
  </si>
  <si>
    <t>https://audio.iskcondesiretree.com/01_-_Srila_Prabhupada/01_-_Lectures/01_-_English/02_-_Month_wise/07_-_July/05/Conv_1975-07-05_R1-CHICAGO.MP3</t>
  </si>
  <si>
    <t>Conv_1975-07-05_R2-CHICAGO.MP3</t>
  </si>
  <si>
    <t>https://audio.iskcondesiretree.com/01_-_Srila_Prabhupada/01_-_Lectures/01_-_English/02_-_Month_wise/07_-_July/05/Conv_1975-07-05_R2-CHICAGO.MP3</t>
  </si>
  <si>
    <t>MW_CHI_1975-07-05_The_Rarest_Books_in_the_World.mp3</t>
  </si>
  <si>
    <t>https://audio.iskcondesiretree.com/01_-_Srila_Prabhupada/01_-_Lectures/01_-_English/02_-_Month_wise/07_-_July/05/MW_CHI_1975-07-05_The_Rarest_Books_in_the_World.mp3</t>
  </si>
  <si>
    <t>RC_CHI_1975-07-05_CHI_Police_Dept.--How_to_Prevent_Crime.mp3</t>
  </si>
  <si>
    <t>https://audio.iskcondesiretree.com/01_-_Srila_Prabhupada/01_-_Lectures/01_-_English/02_-_Month_wise/07_-_July/05/RC_CHI_1975-07-05_CHI_Police_Dept.--How_to_Prevent_Crime.mp3</t>
  </si>
  <si>
    <t>RC_CHI_1975-07-05_Editor_of_Playboy_Magazine-Can_a_etc.mp3</t>
  </si>
  <si>
    <t>https://audio.iskcondesiretree.com/01_-_Srila_Prabhupada/01_-_Lectures/01_-_English/02_-_Month_wise/07_-_July/05/RC_CHI_1975-07-05_Editor_of_Playboy_Magazine-Can_a_etc.mp3</t>
  </si>
  <si>
    <t>SB-06-01-21_1975-07-05_SB-CHICAGO.MP3</t>
  </si>
  <si>
    <t>https://audio.iskcondesiretree.com/01_-_Srila_Prabhupada/01_-_Lectures/01_-_English/02_-_Month_wise/07_-_July/05/SB-06-01-21_1975-07-05_SB-CHICAGO.MP3</t>
  </si>
  <si>
    <t>SB_6-01-21_CHI_1975-07-05_How_to_Prevent_Crime.mp3</t>
  </si>
  <si>
    <t>https://audio.iskcondesiretree.com/01_-_Srila_Prabhupada/01_-_Lectures/01_-_English/02_-_Month_wise/07_-_July/05/SB_6-01-21_CHI_1975-07-05_How_to_Prevent_Crime.mp3</t>
  </si>
  <si>
    <t>Walk_1975-07-05_MW-CHICAGO.MP3</t>
  </si>
  <si>
    <t>https://audio.iskcondesiretree.com/01_-_Srila_Prabhupada/01_-_Lectures/01_-_English/02_-_Month_wise/07_-_July/05/Walk_1975-07-05_MW-CHICAGO.MP3</t>
  </si>
  <si>
    <t>SP_Morning_Walk_-_Chicago_1975-07-06_These_Demonic_Communists_Should_Be_Finished.mp3</t>
  </si>
  <si>
    <t>https://audio.iskcondesiretree.com/01_-_Srila_Prabhupada/01_-_Lectures/01_-_English/01_-_Topic_wise/Morning_Walk/SP_Morning_Walk_-_Chicago_1975-07-06_These_Demonic_Communists_Should_Be_Finished.mp3</t>
  </si>
  <si>
    <t>SP_SB_6-01-22_Chicago_1975-07-06_Fifth_Class_Education...--etc.mp3</t>
  </si>
  <si>
    <t>https://audio.iskcondesiretree.com/01_-_Srila_Prabhupada/01_-_Lectures/01_-_English/01_-_Topic_wise/Srimad_Bhagavatam/Canto-06/SP_SB_6-01-22_Chicago_1975-07-06_Fifth_Class_Education...--etc.mp3</t>
  </si>
  <si>
    <t>MW_CHI_1975-07-06_These_Demonic_Communists_Should_Be_Finished.mp3</t>
  </si>
  <si>
    <t>https://audio.iskcondesiretree.com/01_-_Srila_Prabhupada/01_-_Lectures/01_-_English/02_-_Month_wise/07_-_July/06/MW_CHI_1975-07-06_These_Demonic_Communists_Should_Be_Finished.mp3</t>
  </si>
  <si>
    <t>SB-06-01-22_1975-07-06_SB-CHICAGO.MP3</t>
  </si>
  <si>
    <t>https://audio.iskcondesiretree.com/01_-_Srila_Prabhupada/01_-_Lectures/01_-_English/02_-_Month_wise/07_-_July/06/SB-06-01-22_1975-07-06_SB-CHICAGO.MP3</t>
  </si>
  <si>
    <t>SB_6-01-22_CHI_1975-07-06_Fifth_Class_Education_etc.mp3</t>
  </si>
  <si>
    <t>https://audio.iskcondesiretree.com/01_-_Srila_Prabhupada/01_-_Lectures/01_-_English/02_-_Month_wise/07_-_July/06/SB_6-01-22_CHI_1975-07-06_Fifth_Class_Education_etc.mp3</t>
  </si>
  <si>
    <t>Walk_1975-07-06_MW-CHICAGO.MP3</t>
  </si>
  <si>
    <t>https://audio.iskcondesiretree.com/01_-_Srila_Prabhupada/01_-_Lectures/01_-_English/02_-_Month_wise/07_-_July/06/Walk_1975-07-06_MW-CHICAGO.MP3</t>
  </si>
  <si>
    <t>SP_Morning_Walk_-_Chicago_1975-07-07.MP3</t>
  </si>
  <si>
    <t>https://audio.iskcondesiretree.com/01_-_Srila_Prabhupada/01_-_Lectures/01_-_English/01_-_Topic_wise/Morning_Walk/SP_Morning_Walk_-_Chicago_1975-07-07.MP3</t>
  </si>
  <si>
    <t>SP_SB_6-01-23_Chicago_1975-07-07_Time_and_Tide_Wait_for_New_Orleans_Man.mp3</t>
  </si>
  <si>
    <t>https://audio.iskcondesiretree.com/01_-_Srila_Prabhupada/01_-_Lectures/01_-_English/01_-_Topic_wise/Srimad_Bhagavatam/Canto-06/SP_SB_6-01-23_Chicago_1975-07-07_Time_and_Tide_Wait_for_New_Orleans_Man.mp3</t>
  </si>
  <si>
    <t>SB-06-01-23_1975-07-07_SB-CHICAGO.MP3</t>
  </si>
  <si>
    <t>https://audio.iskcondesiretree.com/01_-_Srila_Prabhupada/01_-_Lectures/01_-_English/02_-_Month_wise/07_-_July/07/SB-06-01-23_1975-07-07_SB-CHICAGO.MP3</t>
  </si>
  <si>
    <t>SB_6-01-23_CHI_1975-07-07_Time_and_Tide_Wait_for_No_Man.mp3</t>
  </si>
  <si>
    <t>https://audio.iskcondesiretree.com/01_-_Srila_Prabhupada/01_-_Lectures/01_-_English/02_-_Month_wise/07_-_July/07/SB_6-01-23_CHI_1975-07-07_Time_and_Tide_Wait_for_No_Man.mp3</t>
  </si>
  <si>
    <t>Walk_1975-07-07_MW-CHICAGO.MP3</t>
  </si>
  <si>
    <t>https://audio.iskcondesiretree.com/01_-_Srila_Prabhupada/01_-_Lectures/01_-_English/02_-_Month_wise/07_-_July/07/Walk_1975-07-07_MW-CHICAGO.MP3</t>
  </si>
  <si>
    <t>SP_Morning_Walk_-_Chicago_1975-07-08_How_Blind_People_Are%21.mp3</t>
  </si>
  <si>
    <t>https://audio.iskcondesiretree.com/01_-_Srila_Prabhupada/01_-_Lectures/01_-_English/01_-_Topic_wise/Morning_Walk/SP_Morning_Walk_-_Chicago_1975-07-08_How_Blind_People_Are%21.mp3</t>
  </si>
  <si>
    <t>SP_SB_6-01-24_Chicago_1975-07-08_Family_Life.mp3</t>
  </si>
  <si>
    <t>https://audio.iskcondesiretree.com/01_-_Srila_Prabhupada/01_-_Lectures/01_-_English/01_-_Topic_wise/Srimad_Bhagavatam/Canto-06/SP_SB_6-01-24_Chicago_1975-07-08_Family_Life.mp3</t>
  </si>
  <si>
    <t>MW_CHI_1975-07-08_How_Blind_People_Are.mp3</t>
  </si>
  <si>
    <t>https://audio.iskcondesiretree.com/01_-_Srila_Prabhupada/01_-_Lectures/01_-_English/02_-_Month_wise/07_-_July/08/MW_CHI_1975-07-08_How_Blind_People_Are.mp3</t>
  </si>
  <si>
    <t>SB-06-01-24_1975-07-08_SB-CHICAGO.MP3</t>
  </si>
  <si>
    <t>https://audio.iskcondesiretree.com/01_-_Srila_Prabhupada/01_-_Lectures/01_-_English/02_-_Month_wise/07_-_July/08/SB-06-01-24_1975-07-08_SB-CHICAGO.MP3</t>
  </si>
  <si>
    <t>SB_6-01-24_CHI_1975-07-08_Family_Life.mp3</t>
  </si>
  <si>
    <t>https://audio.iskcondesiretree.com/01_-_Srila_Prabhupada/01_-_Lectures/01_-_English/02_-_Month_wise/07_-_July/08/SB_6-01-24_CHI_1975-07-08_Family_Life.mp3</t>
  </si>
  <si>
    <t>Walk_1975-07-08_MW-CHICAGO.MP3</t>
  </si>
  <si>
    <t>https://audio.iskcondesiretree.com/01_-_Srila_Prabhupada/01_-_Lectures/01_-_English/02_-_Month_wise/07_-_July/08/Walk_1975-07-08_MW-CHICAGO.MP3</t>
  </si>
  <si>
    <t>SP_Interview_Chicago_1975-07-09_Press--A_Higher_Philosophy.mp3</t>
  </si>
  <si>
    <t>https://audio.iskcondesiretree.com/01_-_Srila_Prabhupada/01_-_Lectures/01_-_English/01_-_Topic_wise/Interview/SP_Interview_Chicago_1975-07-09_Press--A_Higher_Philosophy.mp3</t>
  </si>
  <si>
    <t>SP_Interview_Chicago_1975-07-09_Television--Actual_Woman%27s_Liberation.mp3</t>
  </si>
  <si>
    <t>https://audio.iskcondesiretree.com/01_-_Srila_Prabhupada/01_-_Lectures/01_-_English/01_-_Topic_wise/Interview/SP_Interview_Chicago_1975-07-09_Television--Actual_Woman%27s_Liberation.mp3</t>
  </si>
  <si>
    <t>SP_Morning_Walk_-_Chicago_1975-07-09_All-isms_is_Equal_to_Animalism.mp3</t>
  </si>
  <si>
    <t>https://audio.iskcondesiretree.com/01_-_Srila_Prabhupada/01_-_Lectures/01_-_English/01_-_Topic_wise/Morning_Walk/SP_Morning_Walk_-_Chicago_1975-07-09_All-isms_is_Equal_to_Animalism.mp3</t>
  </si>
  <si>
    <t>SP_Room_Conversation_Chicago_1975-07-09_Can_You_Pass_a_Resolution.mp3</t>
  </si>
  <si>
    <t>https://audio.iskcondesiretree.com/01_-_Srila_Prabhupada/01_-_Lectures/01_-_English/01_-_Topic_wise/Room_Conversation/SP_Room_Conversation_Chicago_1975-07-09_Can_You_Pass_a_Resolution.mp3</t>
  </si>
  <si>
    <t>SP_SB_6-01-25_Chicago_1975-07-09_Attachment-To_Shadows.mp3</t>
  </si>
  <si>
    <t>https://audio.iskcondesiretree.com/01_-_Srila_Prabhupada/01_-_Lectures/01_-_English/01_-_Topic_wise/Srimad_Bhagavatam/Canto-06/SP_SB_6-01-25_Chicago_1975-07-09_Attachment-To_Shadows.mp3</t>
  </si>
  <si>
    <t>Conv_1975-07-09_R1-CHICAGO.MP3</t>
  </si>
  <si>
    <t>https://audio.iskcondesiretree.com/01_-_Srila_Prabhupada/01_-_Lectures/01_-_English/02_-_Month_wise/07_-_July/09/Conv_1975-07-09_R1-CHICAGO.MP3</t>
  </si>
  <si>
    <t>Interv_CHI_1975-07-09_Press-A_Higher_Philosophy.mp3</t>
  </si>
  <si>
    <t>https://audio.iskcondesiretree.com/01_-_Srila_Prabhupada/01_-_Lectures/01_-_English/02_-_Month_wise/07_-_July/09/Interv_CHI_1975-07-09_Press-A_Higher_Philosophy.mp3</t>
  </si>
  <si>
    <t>Interv_CHI_1975-07-09_Television-Actual_Woman%27s_Liberation.mp3</t>
  </si>
  <si>
    <t>https://audio.iskcondesiretree.com/01_-_Srila_Prabhupada/01_-_Lectures/01_-_English/02_-_Month_wise/07_-_July/09/Interv_CHI_1975-07-09_Television-Actual_Woman%27s_Liberation.mp3</t>
  </si>
  <si>
    <t>Interview_1975-07-09_IV-CHICAGO.MP3</t>
  </si>
  <si>
    <t>https://audio.iskcondesiretree.com/01_-_Srila_Prabhupada/01_-_Lectures/01_-_English/02_-_Month_wise/07_-_July/09/Interview_1975-07-09_IV-CHICAGO.MP3</t>
  </si>
  <si>
    <t>MW_CHI_1975-07-09_All-isms_is_Equal_to_Animalism.mp3</t>
  </si>
  <si>
    <t>https://audio.iskcondesiretree.com/01_-_Srila_Prabhupada/01_-_Lectures/01_-_English/02_-_Month_wise/07_-_July/09/MW_CHI_1975-07-09_All-isms_is_Equal_to_Animalism.mp3</t>
  </si>
  <si>
    <t>PressConf_1975-07-09_PC-CHICAGO.MP3</t>
  </si>
  <si>
    <t>https://audio.iskcondesiretree.com/01_-_Srila_Prabhupada/01_-_Lectures/01_-_English/02_-_Month_wise/07_-_July/09/PressConf_1975-07-09_PC-CHICAGO.MP3</t>
  </si>
  <si>
    <t>RC_CHI_1975-07-09_Can_You_Pass_a_Resolution.mp3</t>
  </si>
  <si>
    <t>https://audio.iskcondesiretree.com/01_-_Srila_Prabhupada/01_-_Lectures/01_-_English/02_-_Month_wise/07_-_July/09/RC_CHI_1975-07-09_Can_You_Pass_a_Resolution.mp3</t>
  </si>
  <si>
    <t>SB-06-01-25_1975-07-09_SB-CHICAGO.MP3</t>
  </si>
  <si>
    <t>https://audio.iskcondesiretree.com/01_-_Srila_Prabhupada/01_-_Lectures/01_-_English/02_-_Month_wise/07_-_July/09/SB-06-01-25_1975-07-09_SB-CHICAGO.MP3</t>
  </si>
  <si>
    <t>SB_6-01-25_CHI_1975-07-09_Attachment-To_Shadows.mp3</t>
  </si>
  <si>
    <t>https://audio.iskcondesiretree.com/01_-_Srila_Prabhupada/01_-_Lectures/01_-_English/02_-_Month_wise/07_-_July/09/SB_6-01-25_CHI_1975-07-09_Attachment-To_Shadows.mp3</t>
  </si>
  <si>
    <t>Walk_1975-07-09_MW-CHICAGO.MP3</t>
  </si>
  <si>
    <t>https://audio.iskcondesiretree.com/01_-_Srila_Prabhupada/01_-_Lectures/01_-_English/02_-_Month_wise/07_-_July/09/Walk_1975-07-09_MW-CHICAGO.MP3</t>
  </si>
  <si>
    <t>SP_Morning_Walk_-_Chicago_1975-07-10.MP3</t>
  </si>
  <si>
    <t>https://audio.iskcondesiretree.com/01_-_Srila_Prabhupada/01_-_Lectures/01_-_English/01_-_Topic_wise/Morning_Walk/SP_Morning_Walk_-_Chicago_1975-07-10.MP3</t>
  </si>
  <si>
    <t>SP_Room_Conversation_01_Chicago_1975-07-10.MP3</t>
  </si>
  <si>
    <t>https://audio.iskcondesiretree.com/01_-_Srila_Prabhupada/01_-_Lectures/01_-_English/01_-_Topic_wise/Room_Conversation/SP_Room_Conversation_01_Chicago_1975-07-10.MP3</t>
  </si>
  <si>
    <t>SP_Lecture_and_Initiation_Chicago_1975-07-10.MP3</t>
  </si>
  <si>
    <t>https://audio.iskcondesiretree.com/01_-_Srila_Prabhupada/01_-_Lectures/01_-_English/01_-_Topic_wise/Various/SP_Lecture_and_Initiation_Chicago_1975-07-10.MP3</t>
  </si>
  <si>
    <t>Conv_1975-07-10_R1-CHICAGO.MP3</t>
  </si>
  <si>
    <t>https://audio.iskcondesiretree.com/01_-_Srila_Prabhupada/01_-_Lectures/01_-_English/02_-_Month_wise/07_-_July/10/Conv_1975-07-10_R1-CHICAGO.MP3</t>
  </si>
  <si>
    <t>Initiations_1975-07-10_IN-CHICAGO.MP3</t>
  </si>
  <si>
    <t>https://audio.iskcondesiretree.com/01_-_Srila_Prabhupada/01_-_Lectures/01_-_English/02_-_Month_wise/07_-_July/10/Initiations_1975-07-10_IN-CHICAGO.MP3</t>
  </si>
  <si>
    <t>Walk_1975-07-10_MW-CHICAGO.MP3</t>
  </si>
  <si>
    <t>https://audio.iskcondesiretree.com/01_-_Srila_Prabhupada/01_-_Lectures/01_-_English/02_-_Month_wise/07_-_July/10/Walk_1975-07-10_MW-CHICAGO.MP3</t>
  </si>
  <si>
    <t>SP_Arrival_Philadelphia_1975-07-11.MP3</t>
  </si>
  <si>
    <t>https://audio.iskcondesiretree.com/01_-_Srila_Prabhupada/01_-_Lectures/01_-_English/01_-_Topic_wise/Arrival_Address/SP_Arrival_Philadelphia_1975-07-11.MP3</t>
  </si>
  <si>
    <t>SP_Arrival_Philadelphia_1975-07-11_The_Dancing_Platform.mp3</t>
  </si>
  <si>
    <t>https://audio.iskcondesiretree.com/01_-_Srila_Prabhupada/01_-_Lectures/01_-_English/01_-_Topic_wise/Arrival_Address/SP_Arrival_Philadelphia_1975-07-11_The_Dancing_Platform.mp3</t>
  </si>
  <si>
    <t>SP_Interview_Philadelphia_1975-07-11_Press--Spirits_in_Alien_Machines.mp3</t>
  </si>
  <si>
    <t>https://audio.iskcondesiretree.com/01_-_Srila_Prabhupada/01_-_Lectures/01_-_English/01_-_Topic_wise/Interview/SP_Interview_Philadelphia_1975-07-11_Press--Spirits_in_Alien_Machines.mp3</t>
  </si>
  <si>
    <t>SP_Morning_Walk_-_Chicago_1975-07-11_Darwin%27s_Speculation_is_Not_Science.mp3</t>
  </si>
  <si>
    <t>https://audio.iskcondesiretree.com/01_-_Srila_Prabhupada/01_-_Lectures/01_-_English/01_-_Topic_wise/Morning_Walk/SP_Morning_Walk_-_Chicago_1975-07-11_Darwin%27s_Speculation_is_Not_Science.mp3</t>
  </si>
  <si>
    <t>SP_SB_6-01-26_Chicago_1975-07-11_An_Ass%27s_Affection.mp3</t>
  </si>
  <si>
    <t>https://audio.iskcondesiretree.com/01_-_Srila_Prabhupada/01_-_Lectures/01_-_English/01_-_Topic_wise/Srimad_Bhagavatam/Canto-06/SP_SB_6-01-26_Chicago_1975-07-11_An_Ass%27s_Affection.mp3</t>
  </si>
  <si>
    <t>Arr_PHI_1975-07-11_The_Dancing_Platform.mp3</t>
  </si>
  <si>
    <t>https://audio.iskcondesiretree.com/01_-_Srila_Prabhupada/01_-_Lectures/01_-_English/02_-_Month_wise/07_-_July/11/Arr_PHI_1975-07-11_The_Dancing_Platform.mp3</t>
  </si>
  <si>
    <t>Arrival_1975-07-11_A2-PHILADELPHIA.MP3</t>
  </si>
  <si>
    <t>https://audio.iskcondesiretree.com/01_-_Srila_Prabhupada/01_-_Lectures/01_-_English/02_-_Month_wise/07_-_July/11/Arrival_1975-07-11_A2-PHILADELPHIA.MP3</t>
  </si>
  <si>
    <t>Arrival_1975-07-11_AR-PHILADELPHIA.MP3</t>
  </si>
  <si>
    <t>https://audio.iskcondesiretree.com/01_-_Srila_Prabhupada/01_-_Lectures/01_-_English/02_-_Month_wise/07_-_July/11/Arrival_1975-07-11_AR-PHILADELPHIA.MP3</t>
  </si>
  <si>
    <t>Initiations_1975-07-11_IN-CHICAGO.MP3</t>
  </si>
  <si>
    <t>https://audio.iskcondesiretree.com/01_-_Srila_Prabhupada/01_-_Lectures/01_-_English/02_-_Month_wise/07_-_July/11/Initiations_1975-07-11_IN-CHICAGO.MP3</t>
  </si>
  <si>
    <t>Interv_PHI_1975-07-11_Press-Spirits_in_Alien_Machines.mp3</t>
  </si>
  <si>
    <t>https://audio.iskcondesiretree.com/01_-_Srila_Prabhupada/01_-_Lectures/01_-_English/02_-_Month_wise/07_-_July/11/Interv_PHI_1975-07-11_Press-Spirits_in_Alien_Machines.mp3</t>
  </si>
  <si>
    <t>MW_CHI_1975-07-11_Darwin%27s_Speculation_is_Not_Science.mp3</t>
  </si>
  <si>
    <t>https://audio.iskcondesiretree.com/01_-_Srila_Prabhupada/01_-_Lectures/01_-_English/02_-_Month_wise/07_-_July/11/MW_CHI_1975-07-11_Darwin%27s_Speculation_is_Not_Science.mp3</t>
  </si>
  <si>
    <t>SB-06-01-26_1975-07-11_SB-CHICAGO.MP3</t>
  </si>
  <si>
    <t>https://audio.iskcondesiretree.com/01_-_Srila_Prabhupada/01_-_Lectures/01_-_English/02_-_Month_wise/07_-_July/11/SB-06-01-26_1975-07-11_SB-CHICAGO.MP3</t>
  </si>
  <si>
    <t>SB_6-01-26_CHI_1975-07-11_An_Ass%27s_Affection.mp3</t>
  </si>
  <si>
    <t>https://audio.iskcondesiretree.com/01_-_Srila_Prabhupada/01_-_Lectures/01_-_English/02_-_Month_wise/07_-_July/11/SB_6-01-26_CHI_1975-07-11_An_Ass%27s_Affection.mp3</t>
  </si>
  <si>
    <t>Walk_1975-07-11_MW-CHICAGO.MP3</t>
  </si>
  <si>
    <t>https://audio.iskcondesiretree.com/01_-_Srila_Prabhupada/01_-_Lectures/01_-_English/02_-_Month_wise/07_-_July/11/Walk_1975-07-11_MW-CHICAGO.MP3</t>
  </si>
  <si>
    <t>SP_Festivals_Philadelphia_1975-07-12_Ratha-yatra--Glimpse_of_the_Spiritual_World.mp3</t>
  </si>
  <si>
    <t>https://audio.iskcondesiretree.com/01_-_Srila_Prabhupada/01_-_Lectures/01_-_English/01_-_Topic_wise/Festivals/SP_Festivals_Philadelphia_1975-07-12_Ratha-yatra--Glimpse_of_the_Spiritual_World.mp3</t>
  </si>
  <si>
    <t>SP_Morning_Walk_-_Philadelphia_1975-07-12_Inductive_Illusion.mp3</t>
  </si>
  <si>
    <t>https://audio.iskcondesiretree.com/01_-_Srila_Prabhupada/01_-_Lectures/01_-_English/01_-_Topic_wise/Morning_Walk/SP_Morning_Walk_-_Philadelphia_1975-07-12_Inductive_Illusion.mp3</t>
  </si>
  <si>
    <t>SP_SB_6-01-27_Philadelphia_1975-07-12_Asses_All.mp3</t>
  </si>
  <si>
    <t>https://audio.iskcondesiretree.com/01_-_Srila_Prabhupada/01_-_Lectures/01_-_English/01_-_Topic_wise/Srimad_Bhagavatam/Canto-06/SP_SB_6-01-27_Philadelphia_1975-07-12_Asses_All.mp3</t>
  </si>
  <si>
    <t>Fest_PHI_1975-07-12_Ratha-yatra-Glimpse_of_the_Spiritual_World.mp3</t>
  </si>
  <si>
    <t>https://audio.iskcondesiretree.com/01_-_Srila_Prabhupada/01_-_Lectures/01_-_English/02_-_Month_wise/07_-_July/12/Fest_PHI_1975-07-12_Ratha-yatra-Glimpse_of_the_Spiritual_World.mp3</t>
  </si>
  <si>
    <t>MW_PHI_1975-07-12_Inductive_Illusion.mp3</t>
  </si>
  <si>
    <t>https://audio.iskcondesiretree.com/01_-_Srila_Prabhupada/01_-_Lectures/01_-_English/02_-_Month_wise/07_-_July/12/MW_PHI_1975-07-12_Inductive_Illusion.mp3</t>
  </si>
  <si>
    <t>RathaYatra_1975-07-12_RY-PHILADELPHIA.MP3</t>
  </si>
  <si>
    <t>https://audio.iskcondesiretree.com/01_-_Srila_Prabhupada/01_-_Lectures/01_-_English/02_-_Month_wise/07_-_July/12/RathaYatra_1975-07-12_RY-PHILADELPHIA.MP3</t>
  </si>
  <si>
    <t>SB-06-01-27_1975-07-12_SB-PHILADELPHIA.MP3</t>
  </si>
  <si>
    <t>https://audio.iskcondesiretree.com/01_-_Srila_Prabhupada/01_-_Lectures/01_-_English/02_-_Month_wise/07_-_July/12/SB-06-01-27_1975-07-12_SB-PHILADELPHIA.MP3</t>
  </si>
  <si>
    <t>SB_6-01-27_PHI_1975-07-12_Asses_All.mp3</t>
  </si>
  <si>
    <t>https://audio.iskcondesiretree.com/01_-_Srila_Prabhupada/01_-_Lectures/01_-_English/02_-_Month_wise/07_-_July/12/SB_6-01-27_PHI_1975-07-12_Asses_All.mp3</t>
  </si>
  <si>
    <t>Walk_1975-07-12_MW-PHILADELPHIA.MP3</t>
  </si>
  <si>
    <t>https://audio.iskcondesiretree.com/01_-_Srila_Prabhupada/01_-_Lectures/01_-_English/02_-_Month_wise/07_-_July/12/Walk_1975-07-12_MW-PHILADELPHIA.MP3</t>
  </si>
  <si>
    <t>SP_Interview_Philadelphia_1975-07-13_Press--Phi._Enquirer--Women%27s--etc.mp3</t>
  </si>
  <si>
    <t>https://audio.iskcondesiretree.com/01_-_Srila_Prabhupada/01_-_Lectures/01_-_English/01_-_Topic_wise/Interview/SP_Interview_Philadelphia_1975-07-13_Press--Phi._Enquirer--Women%27s--etc.mp3</t>
  </si>
  <si>
    <t>SP_Room_Conversation_01_Philadelphia_1975-07-13.MP3</t>
  </si>
  <si>
    <t>https://audio.iskcondesiretree.com/01_-_Srila_Prabhupada/01_-_Lectures/01_-_English/01_-_Topic_wise/Room_Conversation/SP_Room_Conversation_01_Philadelphia_1975-07-13.MP3</t>
  </si>
  <si>
    <t>SP_Room_Conversation_02_Philadelphia_1975-07-13.MP3</t>
  </si>
  <si>
    <t>https://audio.iskcondesiretree.com/01_-_Srila_Prabhupada/01_-_Lectures/01_-_English/01_-_Topic_wise/Room_Conversation/SP_Room_Conversation_02_Philadelphia_1975-07-13.MP3</t>
  </si>
  <si>
    <t>SP_Room_Conversation_Philadelphia_1975-07-13_Prof_Thomas_J_Hopkins--The_Churn--etc.mp3</t>
  </si>
  <si>
    <t>https://audio.iskcondesiretree.com/01_-_Srila_Prabhupada/01_-_Lectures/01_-_English/01_-_Topic_wise/Room_Conversation/SP_Room_Conversation_Philadelphia_1975-07-13_Prof_Thomas_J_Hopkins--The_Churn--etc.mp3</t>
  </si>
  <si>
    <t>SP_Room_Conversation_Philadelphia_1975-07-13_You_Are_Reborn_At_Every_Moment.mp3</t>
  </si>
  <si>
    <t>https://audio.iskcondesiretree.com/01_-_Srila_Prabhupada/01_-_Lectures/01_-_English/01_-_Topic_wise/Room_Conversation/SP_Room_Conversation_Philadelphia_1975-07-13_You_Are_Reborn_At_Every_Moment.mp3</t>
  </si>
  <si>
    <t>SP_SB_6-01-28_Philadelphia_1975-07-13_Krishna_Is_Very_Tricky.mp3</t>
  </si>
  <si>
    <t>https://audio.iskcondesiretree.com/01_-_Srila_Prabhupada/01_-_Lectures/01_-_English/01_-_Topic_wise/Srimad_Bhagavatam/Canto-06/SP_SB_6-01-28_Philadelphia_1975-07-13_Krishna_Is_Very_Tricky.mp3</t>
  </si>
  <si>
    <t>Conv_1975-07-13_R1-PHILADELPHIA.MP3</t>
  </si>
  <si>
    <t>https://audio.iskcondesiretree.com/01_-_Srila_Prabhupada/01_-_Lectures/01_-_English/02_-_Month_wise/07_-_July/13/Conv_1975-07-13_R1-PHILADELPHIA.MP3</t>
  </si>
  <si>
    <t>Conv_1975-07-13_R2-PHILADELPHIA.MP3</t>
  </si>
  <si>
    <t>https://audio.iskcondesiretree.com/01_-_Srila_Prabhupada/01_-_Lectures/01_-_English/02_-_Month_wise/07_-_July/13/Conv_1975-07-13_R2-PHILADELPHIA.MP3</t>
  </si>
  <si>
    <t>Conv_1975-07-13_R3-PHILADELPHIA.MP3</t>
  </si>
  <si>
    <t>https://audio.iskcondesiretree.com/01_-_Srila_Prabhupada/01_-_Lectures/01_-_English/02_-_Month_wise/07_-_July/13/Conv_1975-07-13_R3-PHILADELPHIA.MP3</t>
  </si>
  <si>
    <t>Interv_PHI_1975-07-13_Press-Phi._Enquirer-Women%27s_etc.mp3</t>
  </si>
  <si>
    <t>https://audio.iskcondesiretree.com/01_-_Srila_Prabhupada/01_-_Lectures/01_-_English/02_-_Month_wise/07_-_July/13/Interv_PHI_1975-07-13_Press-Phi._Enquirer-Women%27s_etc.mp3</t>
  </si>
  <si>
    <t>RC_PHI_1975-07-13_Prof_Thomas_J_Hopkins-The_Churn_etc.mp3</t>
  </si>
  <si>
    <t>https://audio.iskcondesiretree.com/01_-_Srila_Prabhupada/01_-_Lectures/01_-_English/02_-_Month_wise/07_-_July/13/RC_PHI_1975-07-13_Prof_Thomas_J_Hopkins-The_Churn_etc.mp3</t>
  </si>
  <si>
    <t>RC_PHI_1975-07-13_You_Are_Reborn_At_Every_Moment.mp3</t>
  </si>
  <si>
    <t>https://audio.iskcondesiretree.com/01_-_Srila_Prabhupada/01_-_Lectures/01_-_English/02_-_Month_wise/07_-_July/13/RC_PHI_1975-07-13_You_Are_Reborn_At_Every_Moment.mp3</t>
  </si>
  <si>
    <t>SB-06-01-28%E2%80%9329_1975-07-13_SB-PHILADELPHIA.MP3</t>
  </si>
  <si>
    <t>https://audio.iskcondesiretree.com/01_-_Srila_Prabhupada/01_-_Lectures/01_-_English/02_-_Month_wise/07_-_July/13/SB-06-01-28%E2%80%9329_1975-07-13_SB-PHILADELPHIA.MP3</t>
  </si>
  <si>
    <t>SB_6-01-28_PHI_1975-07-13_Krishna_Is_Very_Tricky.mp3</t>
  </si>
  <si>
    <t>https://audio.iskcondesiretree.com/01_-_Srila_Prabhupada/01_-_Lectures/01_-_English/02_-_Month_wise/07_-_July/13/SB_6-01-28_PHI_1975-07-13_Krishna_Is_Very_Tricky.mp3</t>
  </si>
  <si>
    <t>SP_Morning_Walk_-_Philadelphia_1975-07-14_Our_Soul_Necessity.mp3</t>
  </si>
  <si>
    <t>https://audio.iskcondesiretree.com/01_-_Srila_Prabhupada/01_-_Lectures/01_-_English/01_-_Topic_wise/Morning_Walk/SP_Morning_Walk_-_Philadelphia_1975-07-14_Our_Soul_Necessity.mp3</t>
  </si>
  <si>
    <t>SP_SB_6-01-30_Philadelphia_1975-07-14_Stop_Wasting_Your_Time--etc.mp3</t>
  </si>
  <si>
    <t>https://audio.iskcondesiretree.com/01_-_Srila_Prabhupada/01_-_Lectures/01_-_English/01_-_Topic_wise/Srimad_Bhagavatam/Canto-06/SP_SB_6-01-30_Philadelphia_1975-07-14_Stop_Wasting_Your_Time--etc.mp3</t>
  </si>
  <si>
    <t>MW_PHI_1975-07-14_Our_Soul_Necessity.mp3</t>
  </si>
  <si>
    <t>https://audio.iskcondesiretree.com/01_-_Srila_Prabhupada/01_-_Lectures/01_-_English/02_-_Month_wise/07_-_July/14/MW_PHI_1975-07-14_Our_Soul_Necessity.mp3</t>
  </si>
  <si>
    <t>SB-06-01-30_1975-07-14_SB-PHILADELPHIA.MP3</t>
  </si>
  <si>
    <t>https://audio.iskcondesiretree.com/01_-_Srila_Prabhupada/01_-_Lectures/01_-_English/02_-_Month_wise/07_-_July/14/SB-06-01-30_1975-07-14_SB-PHILADELPHIA.MP3</t>
  </si>
  <si>
    <t>SB_6-01-30_PHI_1975-07-14_Stop_Wasting_Your_Time_etc.mp3</t>
  </si>
  <si>
    <t>https://audio.iskcondesiretree.com/01_-_Srila_Prabhupada/01_-_Lectures/01_-_English/02_-_Month_wise/07_-_July/14/SB_6-01-30_PHI_1975-07-14_Stop_Wasting_Your_Time_etc.mp3</t>
  </si>
  <si>
    <t>Walk_1975-07-14_MW-PHILADELPHIA.MP3</t>
  </si>
  <si>
    <t>https://audio.iskcondesiretree.com/01_-_Srila_Prabhupada/01_-_Lectures/01_-_English/02_-_Month_wise/07_-_July/14/Walk_1975-07-14_MW-PHILADELPHIA.MP3</t>
  </si>
  <si>
    <t>SP_Arrival_San_Francisco_1975-07-15_Unflinching_Faith_in_God_%26_Guru.mp3</t>
  </si>
  <si>
    <t>https://audio.iskcondesiretree.com/01_-_Srila_Prabhupada/01_-_Lectures/01_-_English/01_-_Topic_wise/Arrival_Address/SP_Arrival_San_Francisco_1975-07-15_Unflinching_Faith_in_God_%26_Guru.mp3</t>
  </si>
  <si>
    <t>Arr_SF_1975-07-15_Unflinching_Faith_in_God_%26_Guru.mp3</t>
  </si>
  <si>
    <t>https://audio.iskcondesiretree.com/01_-_Srila_Prabhupada/01_-_Lectures/01_-_English/02_-_Month_wise/07_-_July/15/Arr_SF_1975-07-15_Unflinching_Faith_in_God_%26_Guru.mp3</t>
  </si>
  <si>
    <t>Arrival_1975-07-15_AR-SAN%20FRANCISCO.MP3</t>
  </si>
  <si>
    <t>https://audio.iskcondesiretree.com/01_-_Srila_Prabhupada/01_-_Lectures/01_-_English/02_-_Month_wise/07_-_July/15/Arrival_1975-07-15_AR-SAN%20FRANCISCO.MP3</t>
  </si>
  <si>
    <t>SP_Morning_Walk_-_San_Francisco_1975-07-16_Become_a_Tree_at_the_University.mp3</t>
  </si>
  <si>
    <t>https://audio.iskcondesiretree.com/01_-_Srila_Prabhupada/01_-_Lectures/01_-_English/01_-_Topic_wise/Morning_Walk/SP_Morning_Walk_-_San_Francisco_1975-07-16_Become_a_Tree_at_the_University.mp3</t>
  </si>
  <si>
    <t>SP_SB_6-01-31_San_Francisco_1975-07-16_Doom_Boon_and_Deliverance.mp3</t>
  </si>
  <si>
    <t>https://audio.iskcondesiretree.com/01_-_Srila_Prabhupada/01_-_Lectures/01_-_English/01_-_Topic_wise/Srimad_Bhagavatam/Canto-06/SP_SB_6-01-31_San_Francisco_1975-07-16_Doom_Boon_and_Deliverance.mp3</t>
  </si>
  <si>
    <t>SP_Lecture_Press_Conference_San_Francisco_1975-07-16.MP3</t>
  </si>
  <si>
    <t>https://audio.iskcondesiretree.com/01_-_Srila_Prabhupada/01_-_Lectures/01_-_English/01_-_Topic_wise/Various/SP_Lecture_Press_Conference_San_Francisco_1975-07-16.MP3</t>
  </si>
  <si>
    <t>MW_SF_1975-07-16_Become_a_Tree_at_the_University.mp3</t>
  </si>
  <si>
    <t>https://audio.iskcondesiretree.com/01_-_Srila_Prabhupada/01_-_Lectures/01_-_English/02_-_Month_wise/07_-_July/16/MW_SF_1975-07-16_Become_a_Tree_at_the_University.mp3</t>
  </si>
  <si>
    <t>PressConf_1975-07-16_PC-SAN%20FRANCISCO.MP3</t>
  </si>
  <si>
    <t>https://audio.iskcondesiretree.com/01_-_Srila_Prabhupada/01_-_Lectures/01_-_English/02_-_Month_wise/07_-_July/16/PressConf_1975-07-16_PC-SAN%20FRANCISCO.MP3</t>
  </si>
  <si>
    <t>SB-06-01-31_1975-07-16_SB-SAN%20FRANCISCO.MP3</t>
  </si>
  <si>
    <t>https://audio.iskcondesiretree.com/01_-_Srila_Prabhupada/01_-_Lectures/01_-_English/02_-_Month_wise/07_-_July/16/SB-06-01-31_1975-07-16_SB-SAN%20FRANCISCO.MP3</t>
  </si>
  <si>
    <t>SB_6-01-31_SF_1975-07-16_Doom_Boon_and_Deliverance.mp3</t>
  </si>
  <si>
    <t>https://audio.iskcondesiretree.com/01_-_Srila_Prabhupada/01_-_Lectures/01_-_English/02_-_Month_wise/07_-_July/16/SB_6-01-31_SF_1975-07-16_Doom_Boon_and_Deliverance.mp3</t>
  </si>
  <si>
    <t>Walk_1975-07-16_MW-SAN%20FRANCISCO.MP3</t>
  </si>
  <si>
    <t>https://audio.iskcondesiretree.com/01_-_Srila_Prabhupada/01_-_Lectures/01_-_English/02_-_Month_wise/07_-_July/16/Walk_1975-07-16_MW-SAN%20FRANCISCO.MP3</t>
  </si>
  <si>
    <t>SP_Morning_Walk_-_San_Francisco_1975-07-17_Human_Civilization--Where.mp3</t>
  </si>
  <si>
    <t>https://audio.iskcondesiretree.com/01_-_Srila_Prabhupada/01_-_Lectures/01_-_English/01_-_Topic_wise/Morning_Walk/SP_Morning_Walk_-_San_Francisco_1975-07-17_Human_Civilization--Where.mp3</t>
  </si>
  <si>
    <t>SP_SB_6-01-32_San_Francisco_1975-07-17_Universal_Government.mp3</t>
  </si>
  <si>
    <t>https://audio.iskcondesiretree.com/01_-_Srila_Prabhupada/01_-_Lectures/01_-_English/01_-_Topic_wise/Srimad_Bhagavatam/Canto-06/SP_SB_6-01-32_San_Francisco_1975-07-17_Universal_Government.mp3</t>
  </si>
  <si>
    <t>MW_SF_1975-07-17_Human_Civilization_Where.mp3</t>
  </si>
  <si>
    <t>https://audio.iskcondesiretree.com/01_-_Srila_Prabhupada/01_-_Lectures/01_-_English/02_-_Month_wise/07_-_July/17/MW_SF_1975-07-17_Human_Civilization_Where.mp3</t>
  </si>
  <si>
    <t>SB-06-01-32_1975-07-17_SB-SAN%20FRANCISCO.MP3</t>
  </si>
  <si>
    <t>https://audio.iskcondesiretree.com/01_-_Srila_Prabhupada/01_-_Lectures/01_-_English/02_-_Month_wise/07_-_July/17/SB-06-01-32_1975-07-17_SB-SAN%20FRANCISCO.MP3</t>
  </si>
  <si>
    <t>SB_6-01-32_SF_1975-07-17_Universal_Government.mp3</t>
  </si>
  <si>
    <t>https://audio.iskcondesiretree.com/01_-_Srila_Prabhupada/01_-_Lectures/01_-_English/02_-_Month_wise/07_-_July/17/SB_6-01-32_SF_1975-07-17_Universal_Government.mp3</t>
  </si>
  <si>
    <t>Walk_1975-07-17_MW-SAN%20FRANCISCO.MP3</t>
  </si>
  <si>
    <t>https://audio.iskcondesiretree.com/01_-_Srila_Prabhupada/01_-_Lectures/01_-_English/02_-_Month_wise/07_-_July/17/Walk_1975-07-17_MW-SAN%20FRANCISCO.MP3</t>
  </si>
  <si>
    <t>SP_Morning_Walk_-_San_Francisco_1975-07-18_Crossing_the_Ocean_by_Becoming_a_Fish.mp3</t>
  </si>
  <si>
    <t>https://audio.iskcondesiretree.com/01_-_Srila_Prabhupada/01_-_Lectures/01_-_English/01_-_Topic_wise/Morning_Walk/SP_Morning_Walk_-_San_Francisco_1975-07-18_Crossing_the_Ocean_by_Becoming_a_Fish.mp3</t>
  </si>
  <si>
    <t>SP_SB_6-01-33_San_Francisco_1975-07-18_Catching_the_Tail_of_a_Dog.mp3</t>
  </si>
  <si>
    <t>https://audio.iskcondesiretree.com/01_-_Srila_Prabhupada/01_-_Lectures/01_-_English/01_-_Topic_wise/Srimad_Bhagavatam/Canto-06/SP_SB_6-01-33_San_Francisco_1975-07-18_Catching_the_Tail_of_a_Dog.mp3</t>
  </si>
  <si>
    <t>MW_SF_1975-07-18_Crossing_the_Ocean_by_Becoming_a_Fish.mp3</t>
  </si>
  <si>
    <t>https://audio.iskcondesiretree.com/01_-_Srila_Prabhupada/01_-_Lectures/01_-_English/02_-_Month_wise/07_-_July/18/MW_SF_1975-07-18_Crossing_the_Ocean_by_Becoming_a_Fish.mp3</t>
  </si>
  <si>
    <t>SB-06-01-33_1975-07-18_SB-SAN%20FRANCISCO.MP3</t>
  </si>
  <si>
    <t>https://audio.iskcondesiretree.com/01_-_Srila_Prabhupada/01_-_Lectures/01_-_English/02_-_Month_wise/07_-_July/18/SB-06-01-33_1975-07-18_SB-SAN%20FRANCISCO.MP3</t>
  </si>
  <si>
    <t>SB_6-01-33_SF_1975-07-18_Catching_the_Tail_of_a_Dog.mp3</t>
  </si>
  <si>
    <t>https://audio.iskcondesiretree.com/01_-_Srila_Prabhupada/01_-_Lectures/01_-_English/02_-_Month_wise/07_-_July/18/SB_6-01-33_SF_1975-07-18_Catching_the_Tail_of_a_Dog.mp3</t>
  </si>
  <si>
    <t>Walk_1975-07-18_MW-SAN%20FRANCISCO.MP3</t>
  </si>
  <si>
    <t>https://audio.iskcondesiretree.com/01_-_Srila_Prabhupada/01_-_Lectures/01_-_English/02_-_Month_wise/07_-_July/18/Walk_1975-07-18_MW-SAN%20FRANCISCO.MP3</t>
  </si>
  <si>
    <t>SP_Morning_Walk_-_San_Francisco_1975-07-19_%27I_Have_Gold%27_-_%27I_Am_God%27.mp3</t>
  </si>
  <si>
    <t>https://audio.iskcondesiretree.com/01_-_Srila_Prabhupada/01_-_Lectures/01_-_English/01_-_Topic_wise/Morning_Walk/SP_Morning_Walk_-_San_Francisco_1975-07-19_%27I_Have_Gold%27_-_%27I_Am_God%27.mp3</t>
  </si>
  <si>
    <t>SP_SB_6-01-37_San_Francisco_1975-07-19_Irreligious_Religion.mp3</t>
  </si>
  <si>
    <t>https://audio.iskcondesiretree.com/01_-_Srila_Prabhupada/01_-_Lectures/01_-_English/01_-_Topic_wise/Srimad_Bhagavatam/Canto-06/SP_SB_6-01-37_San_Francisco_1975-07-19_Irreligious_Religion.mp3</t>
  </si>
  <si>
    <t>MW_SF_1975-07-19_I_Have_Gold-I_Am_God.mp3</t>
  </si>
  <si>
    <t>https://audio.iskcondesiretree.com/01_-_Srila_Prabhupada/01_-_Lectures/01_-_English/02_-_Month_wise/07_-_July/19/MW_SF_1975-07-19_I_Have_Gold-I_Am_God.mp3</t>
  </si>
  <si>
    <t>SB-06-01-37_1975-07-19_SB-SAN%20FRANCISCO.MP3</t>
  </si>
  <si>
    <t>https://audio.iskcondesiretree.com/01_-_Srila_Prabhupada/01_-_Lectures/01_-_English/02_-_Month_wise/07_-_July/19/SB-06-01-37_1975-07-19_SB-SAN%20FRANCISCO.MP3</t>
  </si>
  <si>
    <t>SB_6-01-37_SF_1975-07-19_Irreligious_Religion.mp3</t>
  </si>
  <si>
    <t>https://audio.iskcondesiretree.com/01_-_Srila_Prabhupada/01_-_Lectures/01_-_English/02_-_Month_wise/07_-_July/19/SB_6-01-37_SF_1975-07-19_Irreligious_Religion.mp3</t>
  </si>
  <si>
    <t>Walk_1975-07-19_MW-SAN%20FRANCISCO.MP3</t>
  </si>
  <si>
    <t>https://audio.iskcondesiretree.com/01_-_Srila_Prabhupada/01_-_Lectures/01_-_English/02_-_Month_wise/07_-_July/19/Walk_1975-07-19_MW-SAN%20FRANCISCO.MP3</t>
  </si>
  <si>
    <t>SP_Morning_Walk_-_San_Francisco_1975-07-20_Life_from_Chemicals-Prove_by_Experiment.mp3</t>
  </si>
  <si>
    <t>https://audio.iskcondesiretree.com/01_-_Srila_Prabhupada/01_-_Lectures/01_-_English/01_-_Topic_wise/Morning_Walk/SP_Morning_Walk_-_San_Francisco_1975-07-20_Life_from_Chemicals-Prove_by_Experiment.mp3</t>
  </si>
  <si>
    <t>SP_SB_6-01-39_San_Francisco_1975-07-20_Who_Is_Punishable.mp3</t>
  </si>
  <si>
    <t>https://audio.iskcondesiretree.com/01_-_Srila_Prabhupada/01_-_Lectures/01_-_English/01_-_Topic_wise/Srimad_Bhagavatam/Canto-06/SP_SB_6-01-39_San_Francisco_1975-07-20_Who_Is_Punishable.mp3</t>
  </si>
  <si>
    <t>MW_SF_1975-07-20_Life_from_Chemicals-Prove_by_Experiment.mp3</t>
  </si>
  <si>
    <t>https://audio.iskcondesiretree.com/01_-_Srila_Prabhupada/01_-_Lectures/01_-_English/02_-_Month_wise/07_-_July/20/MW_SF_1975-07-20_Life_from_Chemicals-Prove_by_Experiment.mp3</t>
  </si>
  <si>
    <t>SB-06-01-39_1975-07-20_SB-SAN%20FRANCISCO.MP3</t>
  </si>
  <si>
    <t>https://audio.iskcondesiretree.com/01_-_Srila_Prabhupada/01_-_Lectures/01_-_English/02_-_Month_wise/07_-_July/20/SB-06-01-39_1975-07-20_SB-SAN%20FRANCISCO.MP3</t>
  </si>
  <si>
    <t>SB_6-01-39_SF_1975-07-20_Who_Is_Punishable.mp3</t>
  </si>
  <si>
    <t>https://audio.iskcondesiretree.com/01_-_Srila_Prabhupada/01_-_Lectures/01_-_English/02_-_Month_wise/07_-_July/20/SB_6-01-39_SF_1975-07-20_Who_Is_Punishable.mp3</t>
  </si>
  <si>
    <t>Walk_1975-07-20_MW-SAN%20FRANCISCO.MP3</t>
  </si>
  <si>
    <t>https://audio.iskcondesiretree.com/01_-_Srila_Prabhupada/01_-_Lectures/01_-_English/02_-_Month_wise/07_-_July/20/Walk_1975-07-20_MW-SAN%20FRANCISCO.MP3</t>
  </si>
  <si>
    <t>SP_Morning_Walk_-_San_Francisco_1975-07-21_Moon_Rocks_from_Arizona.mp3</t>
  </si>
  <si>
    <t>https://audio.iskcondesiretree.com/01_-_Srila_Prabhupada/01_-_Lectures/01_-_English/01_-_Topic_wise/Morning_Walk/SP_Morning_Walk_-_San_Francisco_1975-07-21_Moon_Rocks_from_Arizona.mp3</t>
  </si>
  <si>
    <t>SP_Room_Conversation_01_San_Francisco_1975-07-21.MP3</t>
  </si>
  <si>
    <t>https://audio.iskcondesiretree.com/01_-_Srila_Prabhupada/01_-_Lectures/01_-_English/01_-_Topic_wise/Room_Conversation/SP_Room_Conversation_01_San_Francisco_1975-07-21.MP3</t>
  </si>
  <si>
    <t>SP_SB_6-01-40_San_Francisco_1975-07-21_God_Is_Krishna-Satan_Is_Maya.mp3</t>
  </si>
  <si>
    <t>https://audio.iskcondesiretree.com/01_-_Srila_Prabhupada/01_-_Lectures/01_-_English/01_-_Topic_wise/Srimad_Bhagavatam/Canto-06/SP_SB_6-01-40_San_Francisco_1975-07-21_God_Is_Krishna-Satan_Is_Maya.mp3</t>
  </si>
  <si>
    <t>SP_Lecture_San_Francisco_1975-07-21_Gurudasa_Sannyasa_and_Harinama_Initiations.MP3</t>
  </si>
  <si>
    <t>https://audio.iskcondesiretree.com/01_-_Srila_Prabhupada/01_-_Lectures/01_-_English/01_-_Topic_wise/Various/SP_Lecture_San_Francisco_1975-07-21_Gurudasa_Sannyasa_and_Harinama_Initiations.MP3</t>
  </si>
  <si>
    <t>Conv_1975-07-21_R1-SAN%20FRANCISCO.MP3</t>
  </si>
  <si>
    <t>https://audio.iskcondesiretree.com/01_-_Srila_Prabhupada/01_-_Lectures/01_-_English/02_-_Month_wise/07_-_July/21/Conv_1975-07-21_R1-SAN%20FRANCISCO.MP3</t>
  </si>
  <si>
    <t>Initiations_1975-07-21_IN-SAN%20FRANCISCO.MP3</t>
  </si>
  <si>
    <t>https://audio.iskcondesiretree.com/01_-_Srila_Prabhupada/01_-_Lectures/01_-_English/02_-_Month_wise/07_-_July/21/Initiations_1975-07-21_IN-SAN%20FRANCISCO.MP3</t>
  </si>
  <si>
    <t>MW_SF_1975-07-21_Moon_Rocks_from_Arizona.mp3</t>
  </si>
  <si>
    <t>https://audio.iskcondesiretree.com/01_-_Srila_Prabhupada/01_-_Lectures/01_-_English/02_-_Month_wise/07_-_July/21/MW_SF_1975-07-21_Moon_Rocks_from_Arizona.mp3</t>
  </si>
  <si>
    <t>SB-06-01-40_1975-07-21_SB-SAN%20FRANCISCO.MP3</t>
  </si>
  <si>
    <t>https://audio.iskcondesiretree.com/01_-_Srila_Prabhupada/01_-_Lectures/01_-_English/02_-_Month_wise/07_-_July/21/SB-06-01-40_1975-07-21_SB-SAN%20FRANCISCO.MP3</t>
  </si>
  <si>
    <t>SB_6-01-40_SF_1975-07-21_God_Is_Krishna-Satan_Is_Maya.mp3</t>
  </si>
  <si>
    <t>https://audio.iskcondesiretree.com/01_-_Srila_Prabhupada/01_-_Lectures/01_-_English/02_-_Month_wise/07_-_July/21/SB_6-01-40_SF_1975-07-21_God_Is_Krishna-Satan_Is_Maya.mp3</t>
  </si>
  <si>
    <t>Walk_1975-07-21_MW-SAN%20FRANCISCO.MP3</t>
  </si>
  <si>
    <t>https://audio.iskcondesiretree.com/01_-_Srila_Prabhupada/01_-_Lectures/01_-_English/02_-_Month_wise/07_-_July/21/Walk_1975-07-21_MW-SAN%20FRANCISCO.MP3</t>
  </si>
  <si>
    <t>SP_SB_6-1-41_Los_Angeles_1975-07-22.MP3</t>
  </si>
  <si>
    <t>https://audio.iskcondesiretree.com/01_-_Srila_Prabhupada/01_-_Lectures/01_-_English/01_-_Topic_wise/Srimad_Bhagavatam/Canto-06/SP_SB_6-1-41_Los_Angeles_1975-07-22.MP3</t>
  </si>
  <si>
    <t>SB-06-01-41_1975-07-22_SB-LOS%20ANGELES.MP3</t>
  </si>
  <si>
    <t>https://audio.iskcondesiretree.com/01_-_Srila_Prabhupada/01_-_Lectures/01_-_English/02_-_Month_wise/07_-_July/22/SB-06-01-41_1975-07-22_SB-LOS%20ANGELES.MP3</t>
  </si>
  <si>
    <t>SP_SB_6-1-42_Los_Angeles_1975-07-23.MP3</t>
  </si>
  <si>
    <t>https://audio.iskcondesiretree.com/01_-_Srila_Prabhupada/01_-_Lectures/01_-_English/01_-_Topic_wise/Srimad_Bhagavatam/Canto-06/SP_SB_6-1-42_Los_Angeles_1975-07-23.MP3</t>
  </si>
  <si>
    <t>SB-06-01-42_1975-07-23_SB-LOS%20ANGELES.MP3</t>
  </si>
  <si>
    <t>https://audio.iskcondesiretree.com/01_-_Srila_Prabhupada/01_-_Lectures/01_-_English/02_-_Month_wise/07_-_July/23/SB-06-01-42_1975-07-23_SB-LOS%20ANGELES.MP3</t>
  </si>
  <si>
    <t>SP_Morning_Walk_-_Los_Angeles_1975-07-24_Progress_Means_When_You_Conquer_Death.mp3</t>
  </si>
  <si>
    <t>https://audio.iskcondesiretree.com/01_-_Srila_Prabhupada/01_-_Lectures/01_-_English/01_-_Topic_wise/Morning_Walk/SP_Morning_Walk_-_Los_Angeles_1975-07-24_Progress_Means_When_You_Conquer_Death.mp3</t>
  </si>
  <si>
    <t>SP_SB_6-1-43_Los_Angeles_1975-07-24.MP3</t>
  </si>
  <si>
    <t>https://audio.iskcondesiretree.com/01_-_Srila_Prabhupada/01_-_Lectures/01_-_English/01_-_Topic_wise/Srimad_Bhagavatam/Canto-06/SP_SB_6-1-43_Los_Angeles_1975-07-24.MP3</t>
  </si>
  <si>
    <t>MW_LA_1975-07-24_Progress_Means_When_You_Conquer_Death.mp3</t>
  </si>
  <si>
    <t>https://audio.iskcondesiretree.com/01_-_Srila_Prabhupada/01_-_Lectures/01_-_English/02_-_Month_wise/07_-_July/24/MW_LA_1975-07-24_Progress_Means_When_You_Conquer_Death.mp3</t>
  </si>
  <si>
    <t>SB-06-01-43_1975-07-24_SB-LOS%20ANGELES.MP3</t>
  </si>
  <si>
    <t>https://audio.iskcondesiretree.com/01_-_Srila_Prabhupada/01_-_Lectures/01_-_English/02_-_Month_wise/07_-_July/24/SB-06-01-43_1975-07-24_SB-LOS%20ANGELES.MP3</t>
  </si>
  <si>
    <t>Walk_1975-07-24_MW-LOS%20ANGELES.MP3</t>
  </si>
  <si>
    <t>https://audio.iskcondesiretree.com/01_-_Srila_Prabhupada/01_-_Lectures/01_-_English/02_-_Month_wise/07_-_July/24/Walk_1975-07-24_MW-LOS%20ANGELES.MP3</t>
  </si>
  <si>
    <t>SP_Morning_Walk_-_Los_Angeles_1975-07-25_Full_of_Anxiety_Is_Not_OK.mp3</t>
  </si>
  <si>
    <t>https://audio.iskcondesiretree.com/01_-_Srila_Prabhupada/01_-_Lectures/01_-_English/01_-_Topic_wise/Morning_Walk/SP_Morning_Walk_-_Los_Angeles_1975-07-25_Full_of_Anxiety_Is_Not_OK.mp3</t>
  </si>
  <si>
    <t>SP_SB_6-1-44_Los_Angeles_1975-07-25.MP3</t>
  </si>
  <si>
    <t>https://audio.iskcondesiretree.com/01_-_Srila_Prabhupada/01_-_Lectures/01_-_English/01_-_Topic_wise/Srimad_Bhagavatam/Canto-06/SP_SB_6-1-44_Los_Angeles_1975-07-25.MP3</t>
  </si>
  <si>
    <t>MW_LA_1975-07-25_Full_of_Anxiety_Is_Not_OK.mp3</t>
  </si>
  <si>
    <t>https://audio.iskcondesiretree.com/01_-_Srila_Prabhupada/01_-_Lectures/01_-_English/02_-_Month_wise/07_-_July/25/MW_LA_1975-07-25_Full_of_Anxiety_Is_Not_OK.mp3</t>
  </si>
  <si>
    <t>SB-06-01-44_1975-07-25_SB-LOS%20ANGELES.MP3</t>
  </si>
  <si>
    <t>https://audio.iskcondesiretree.com/01_-_Srila_Prabhupada/01_-_Lectures/01_-_English/02_-_Month_wise/07_-_July/25/SB-06-01-44_1975-07-25_SB-LOS%20ANGELES.MP3</t>
  </si>
  <si>
    <t>Walk_1975-07-25_MW-LOS%20ANGELES.MP3</t>
  </si>
  <si>
    <t>https://audio.iskcondesiretree.com/01_-_Srila_Prabhupada/01_-_Lectures/01_-_English/02_-_Month_wise/07_-_July/25/Walk_1975-07-25_MW-LOS%20ANGELES.MP3</t>
  </si>
  <si>
    <t>SP_Morning_Walk_-_Laguna_Beach_1975-07-26.MP3</t>
  </si>
  <si>
    <t>https://audio.iskcondesiretree.com/01_-_Srila_Prabhupada/01_-_Lectures/01_-_English/01_-_Topic_wise/Morning_Walk/SP_Morning_Walk_-_Laguna_Beach_1975-07-26.MP3</t>
  </si>
  <si>
    <t>SP_Room_Conversation_Laguna_Beach_1975-07-26_We_Cannot_Possess_and_Renounce.mp3</t>
  </si>
  <si>
    <t>https://audio.iskcondesiretree.com/01_-_Srila_Prabhupada/01_-_Lectures/01_-_English/01_-_Topic_wise/Room_Conversation/SP_Room_Conversation_Laguna_Beach_1975-07-26_We_Cannot_Possess_and_Renounce.mp3</t>
  </si>
  <si>
    <t>SP_SB_6-01-45_Laguna_Beach_1975-07-26_Why_Not_Eternal_Life.mp3</t>
  </si>
  <si>
    <t>https://audio.iskcondesiretree.com/01_-_Srila_Prabhupada/01_-_Lectures/01_-_English/01_-_Topic_wise/Srimad_Bhagavatam/Canto-06/SP_SB_6-01-45_Laguna_Beach_1975-07-26_Why_Not_Eternal_Life.mp3</t>
  </si>
  <si>
    <t>Conv_1975-07-26_R1-LAGUNA%20BEACH.MP3</t>
  </si>
  <si>
    <t>https://audio.iskcondesiretree.com/01_-_Srila_Prabhupada/01_-_Lectures/01_-_English/02_-_Month_wise/07_-_July/26/Conv_1975-07-26_R1-LAGUNA%20BEACH.MP3</t>
  </si>
  <si>
    <t>RC_LB_1975-07-26_We_Cannot_Possess_and_Renounce.mp3</t>
  </si>
  <si>
    <t>https://audio.iskcondesiretree.com/01_-_Srila_Prabhupada/01_-_Lectures/01_-_English/02_-_Month_wise/07_-_July/26/RC_LB_1975-07-26_We_Cannot_Possess_and_Renounce.mp3</t>
  </si>
  <si>
    <t>SB-06-01-45_1975-07-26_SB-LAGUNA%20BEACH.MP3</t>
  </si>
  <si>
    <t>https://audio.iskcondesiretree.com/01_-_Srila_Prabhupada/01_-_Lectures/01_-_English/02_-_Month_wise/07_-_July/26/SB-06-01-45_1975-07-26_SB-LAGUNA%20BEACH.MP3</t>
  </si>
  <si>
    <t>SB_6-01-45_LB_1975-07-26_Why_Not_Eternal_Life.mp3</t>
  </si>
  <si>
    <t>https://audio.iskcondesiretree.com/01_-_Srila_Prabhupada/01_-_Lectures/01_-_English/02_-_Month_wise/07_-_July/26/SB_6-01-45_LB_1975-07-26_Why_Not_Eternal_Life.mp3</t>
  </si>
  <si>
    <t>Walk_1975-07-26_MW-LAGUNA%20BEACH.MP3</t>
  </si>
  <si>
    <t>https://audio.iskcondesiretree.com/01_-_Srila_Prabhupada/01_-_Lectures/01_-_English/02_-_Month_wise/07_-_July/26/Walk_1975-07-26_MW-LAGUNA%20BEACH.MP3</t>
  </si>
  <si>
    <t>SP_Morning_Walk_-_San_Diego_1975-07-27.MP3</t>
  </si>
  <si>
    <t>https://audio.iskcondesiretree.com/01_-_Srila_Prabhupada/01_-_Lectures/01_-_English/01_-_Topic_wise/Morning_Walk/SP_Morning_Walk_-_San_Diego_1975-07-27.MP3</t>
  </si>
  <si>
    <t>SP_SB_6-01-46_San_Diego_1975-07-27_Transcending_All_Misery.mp3</t>
  </si>
  <si>
    <t>https://audio.iskcondesiretree.com/01_-_Srila_Prabhupada/01_-_Lectures/01_-_English/01_-_Topic_wise/Srimad_Bhagavatam/Canto-06/SP_SB_6-01-46_San_Diego_1975-07-27_Transcending_All_Misery.mp3</t>
  </si>
  <si>
    <t>SB-06-01-46_1975-07-27_SB-SAN%20DIEGO.MP3</t>
  </si>
  <si>
    <t>https://audio.iskcondesiretree.com/01_-_Srila_Prabhupada/01_-_Lectures/01_-_English/02_-_Month_wise/07_-_July/27/SB-06-01-46_1975-07-27_SB-SAN%20DIEGO.MP3</t>
  </si>
  <si>
    <t>SB_6-01-46_SD_1975-07-27_Transcending_All_Misery.mp3</t>
  </si>
  <si>
    <t>https://audio.iskcondesiretree.com/01_-_Srila_Prabhupada/01_-_Lectures/01_-_English/02_-_Month_wise/07_-_July/27/SB_6-01-46_SD_1975-07-27_Transcending_All_Misery.mp3</t>
  </si>
  <si>
    <t>Walk_1975-07-27MW-SAN%20DIEGO.MP3</t>
  </si>
  <si>
    <t>https://audio.iskcondesiretree.com/01_-_Srila_Prabhupada/01_-_Lectures/01_-_English/02_-_Month_wise/07_-_July/27/Walk_1975-07-27MW-SAN%20DIEGO.MP3</t>
  </si>
  <si>
    <t>SP_Interview_Dallas_1975-07-28_Press_At_Airport--Without--etc.mp3</t>
  </si>
  <si>
    <t>https://audio.iskcondesiretree.com/01_-_Srila_Prabhupada/01_-_Lectures/01_-_English/01_-_Topic_wise/Interview/SP_Interview_Dallas_1975-07-28_Press_At_Airport--Without--etc.mp3</t>
  </si>
  <si>
    <t>SP_Morning_Walk_-_San_Diego_1975-07-28.MP3</t>
  </si>
  <si>
    <t>https://audio.iskcondesiretree.com/01_-_Srila_Prabhupada/01_-_Lectures/01_-_English/01_-_Topic_wise/Morning_Walk/SP_Morning_Walk_-_San_Diego_1975-07-28.MP3</t>
  </si>
  <si>
    <t>Interv_DAL_1975-07-28_Press_At_Airport_Without_etc.mp3</t>
  </si>
  <si>
    <t>https://audio.iskcondesiretree.com/01_-_Srila_Prabhupada/01_-_Lectures/01_-_English/02_-_Month_wise/07_-_July/28/Interv_DAL_1975-07-28_Press_At_Airport_Without_etc.mp3</t>
  </si>
  <si>
    <t>PressConf_1975-07-28_PC-DALLAS.MP3</t>
  </si>
  <si>
    <t>https://audio.iskcondesiretree.com/01_-_Srila_Prabhupada/01_-_Lectures/01_-_English/02_-_Month_wise/07_-_July/28/PressConf_1975-07-28_PC-DALLAS.MP3</t>
  </si>
  <si>
    <t>Walk_1975-07-28_MW-SAN%20DIEGO.MP3</t>
  </si>
  <si>
    <t>https://audio.iskcondesiretree.com/01_-_Srila_Prabhupada/01_-_Lectures/01_-_English/02_-_Month_wise/07_-_July/28/Walk_1975-07-28_MW-SAN%20DIEGO.MP3</t>
  </si>
  <si>
    <t>SP_Morning_Walk_-_Dallas_1975-07-29.MP3</t>
  </si>
  <si>
    <t>https://audio.iskcondesiretree.com/01_-_Srila_Prabhupada/01_-_Lectures/01_-_English/01_-_Topic_wise/Morning_Walk/SP_Morning_Walk_-_Dallas_1975-07-29.MP3</t>
  </si>
  <si>
    <t>SP_SB_6-01-47_Dallas_1975-07-29_Your_Next_Life-What_Will_It_Be.mp3</t>
  </si>
  <si>
    <t>https://audio.iskcondesiretree.com/01_-_Srila_Prabhupada/01_-_Lectures/01_-_English/01_-_Topic_wise/Srimad_Bhagavatam/Canto-06/SP_SB_6-01-47_Dallas_1975-07-29_Your_Next_Life-What_Will_It_Be.mp3</t>
  </si>
  <si>
    <t>SB-06-01-47_1975-07-29_SB-DALLAS.MP3</t>
  </si>
  <si>
    <t>https://audio.iskcondesiretree.com/01_-_Srila_Prabhupada/01_-_Lectures/01_-_English/02_-_Month_wise/07_-_July/29/SB-06-01-47_1975-07-29_SB-DALLAS.MP3</t>
  </si>
  <si>
    <t>SB_6-01-47_DAL_1975-07-29_Your_Next_Life-What_Will_It_Be.mp3</t>
  </si>
  <si>
    <t>https://audio.iskcondesiretree.com/01_-_Srila_Prabhupada/01_-_Lectures/01_-_English/02_-_Month_wise/07_-_July/29/SB_6-01-47_DAL_1975-07-29_Your_Next_Life-What_Will_It_Be.mp3</t>
  </si>
  <si>
    <t>Walk_1975-07-29_MW-DALLAS.MP3</t>
  </si>
  <si>
    <t>https://audio.iskcondesiretree.com/01_-_Srila_Prabhupada/01_-_Lectures/01_-_English/02_-_Month_wise/07_-_July/29/Walk_1975-07-29_MW-DALLAS.MP3</t>
  </si>
  <si>
    <t>SP_Morning_Walk_-_Dallas_1975-07-30.MP3</t>
  </si>
  <si>
    <t>https://audio.iskcondesiretree.com/01_-_Srila_Prabhupada/01_-_Lectures/01_-_English/01_-_Topic_wise/Morning_Walk/SP_Morning_Walk_-_Dallas_1975-07-30.MP3</t>
  </si>
  <si>
    <t>SP_SB_6-01-48_Dallas_1975-07-30_Part_and_Parcel_of_Krishna.mp3</t>
  </si>
  <si>
    <t>https://audio.iskcondesiretree.com/01_-_Srila_Prabhupada/01_-_Lectures/01_-_English/01_-_Topic_wise/Srimad_Bhagavatam/Canto-06/SP_SB_6-01-48_Dallas_1975-07-30_Part_and_Parcel_of_Krishna.mp3</t>
  </si>
  <si>
    <t>SB-06-01-48_1975-07-30_SB-DALLAS.MP3</t>
  </si>
  <si>
    <t>https://audio.iskcondesiretree.com/01_-_Srila_Prabhupada/01_-_Lectures/01_-_English/02_-_Month_wise/07_-_July/30/SB-06-01-48_1975-07-30_SB-DALLAS.MP3</t>
  </si>
  <si>
    <t>SB_6-01-48_DAL_1975-07-30_Part_and_Parcel_of_Krishna.mp3</t>
  </si>
  <si>
    <t>https://audio.iskcondesiretree.com/01_-_Srila_Prabhupada/01_-_Lectures/01_-_English/02_-_Month_wise/07_-_July/30/SB_6-01-48_DAL_1975-07-30_Part_and_Parcel_of_Krishna.mp3</t>
  </si>
  <si>
    <t>Walk_1975-07-30_MW-DALLAS.MP3</t>
  </si>
  <si>
    <t>https://audio.iskcondesiretree.com/01_-_Srila_Prabhupada/01_-_Lectures/01_-_English/02_-_Month_wise/07_-_July/30/Walk_1975-07-30_MW-DALLAS.MP3</t>
  </si>
  <si>
    <t>SP_Morning_Walk_-_Dallas_1975-07-31.MP3</t>
  </si>
  <si>
    <t>https://audio.iskcondesiretree.com/01_-_Srila_Prabhupada/01_-_Lectures/01_-_English/01_-_Topic_wise/Morning_Walk/SP_Morning_Walk_-_Dallas_1975-07-31.MP3</t>
  </si>
  <si>
    <t>SP_Room_Conversation_01_New_Orleans_1975-07-31.MP3</t>
  </si>
  <si>
    <t>https://audio.iskcondesiretree.com/01_-_Srila_Prabhupada/01_-_Lectures/01_-_English/01_-_Topic_wise/Room_Conversation/SP_Room_Conversation_01_New_Orleans_1975-07-31.MP3</t>
  </si>
  <si>
    <t>Conv_1975-07-31_R1-NEW%20ORLEANS.MP3</t>
  </si>
  <si>
    <t>https://audio.iskcondesiretree.com/01_-_Srila_Prabhupada/01_-_Lectures/01_-_English/02_-_Month_wise/07_-_July/31/Conv_1975-07-31_R1-NEW%20ORLEANS.MP3</t>
  </si>
  <si>
    <t>Walk_1975-07-31_MW-DALLAS.MP3</t>
  </si>
  <si>
    <t>https://audio.iskcondesiretree.com/01_-_Srila_Prabhupada/01_-_Lectures/01_-_English/02_-_Month_wise/07_-_July/31/Walk_1975-07-31_MW-DALLAS.MP3</t>
  </si>
  <si>
    <t>SP_Room_Conversation_01_New_Orleans_1975-08-01.MP3</t>
  </si>
  <si>
    <t>https://audio.iskcondesiretree.com/01_-_Srila_Prabhupada/01_-_Lectures/01_-_English/01_-_Topic_wise/Room_Conversation/SP_Room_Conversation_01_New_Orleans_1975-08-01.MP3</t>
  </si>
  <si>
    <t>SP_SB_6-01-49_New_Orleans_1975-08-01_Take_Advantage_of_the_Sastra.mp3</t>
  </si>
  <si>
    <t>https://audio.iskcondesiretree.com/01_-_Srila_Prabhupada/01_-_Lectures/01_-_English/01_-_Topic_wise/Srimad_Bhagavatam/Canto-06/SP_SB_6-01-49_New_Orleans_1975-08-01_Take_Advantage_of_the_Sastra.mp3</t>
  </si>
  <si>
    <t>SP_Lecture_New_Orleans_1975-08-01_Walk_Around_Farm.MP3</t>
  </si>
  <si>
    <t>https://audio.iskcondesiretree.com/01_-_Srila_Prabhupada/01_-_Lectures/01_-_English/01_-_Topic_wise/Various/SP_Lecture_New_Orleans_1975-08-01_Walk_Around_Farm.MP3</t>
  </si>
  <si>
    <t>Conv_1975-08-01_R1-NEW%20ORLEANS.MP3</t>
  </si>
  <si>
    <t>https://audio.iskcondesiretree.com/01_-_Srila_Prabhupada/01_-_Lectures/01_-_English/02_-_Month_wise/08_-_August/01/Conv_1975-08-01_R1-NEW%20ORLEANS.MP3</t>
  </si>
  <si>
    <t>SB-06-01-49_1975-08-01_SB-NEW%20ORLEANS.MP3</t>
  </si>
  <si>
    <t>https://audio.iskcondesiretree.com/01_-_Srila_Prabhupada/01_-_Lectures/01_-_English/02_-_Month_wise/08_-_August/01/SB-06-01-49_1975-08-01_SB-NEW%20ORLEANS.MP3</t>
  </si>
  <si>
    <t>SB_6-01-49_NO_1975-08-01_Take_Advantage_of_the_Sastra.mp3</t>
  </si>
  <si>
    <t>https://audio.iskcondesiretree.com/01_-_Srila_Prabhupada/01_-_Lectures/01_-_English/02_-_Month_wise/08_-_August/01/SB_6-01-49_NO_1975-08-01_Take_Advantage_of_the_Sastra.mp3</t>
  </si>
  <si>
    <t>Walk_1975-08-01_MF-NEW%20ORLEANS.MP3</t>
  </si>
  <si>
    <t>https://audio.iskcondesiretree.com/01_-_Srila_Prabhupada/01_-_Lectures/01_-_English/02_-_Month_wise/08_-_August/01/Walk_1975-08-01_MF-NEW%20ORLEANS.MP3</t>
  </si>
  <si>
    <t>SP_SB_1-02-09_Detroit_1975-08-02_Can_Sugar_Not_be_Sweet.mp3</t>
  </si>
  <si>
    <t>https://audio.iskcondesiretree.com/01_-_Srila_Prabhupada/01_-_Lectures/01_-_English/01_-_Topic_wise/Srimad_Bhagavatam/Canto-01/SP_SB_1-02-09_Detroit_1975-08-02_Can_Sugar_Not_be_Sweet.mp3</t>
  </si>
  <si>
    <t>SB_1-02-09_DET_1975-08-02_Can_Sugar_Not_be_Sweet.mp3</t>
  </si>
  <si>
    <t>https://audio.iskcondesiretree.com/01_-_Srila_Prabhupada/01_-_Lectures/01_-_English/02_-_Month_wise/08_-_August/02/SB_1-02-09_DET_1975-08-02_Can_Sugar_Not_be_Sweet.mp3</t>
  </si>
  <si>
    <t>SP_SB_1-2-9_Detroit_1975-08-03_University_Lecture.MP3</t>
  </si>
  <si>
    <t>https://audio.iskcondesiretree.com/01_-_Srila_Prabhupada/01_-_Lectures/01_-_English/01_-_Topic_wise/Srimad_Bhagavatam/Canto-01/SP_SB_1-2-9_Detroit_1975-08-03_University_Lecture.MP3</t>
  </si>
  <si>
    <t>SP_SB_6-01-50_Detroit_1975-08-03_Live_Happily_and_Go_Back.mp3</t>
  </si>
  <si>
    <t>https://audio.iskcondesiretree.com/01_-_Srila_Prabhupada/01_-_Lectures/01_-_English/01_-_Topic_wise/Srimad_Bhagavatam/Canto-06/SP_SB_6-01-50_Detroit_1975-08-03_Live_Happily_and_Go_Back.mp3</t>
  </si>
  <si>
    <t>SP_Car_Conversation_Detroit_1975-08-03.MP3</t>
  </si>
  <si>
    <t>https://audio.iskcondesiretree.com/01_-_Srila_Prabhupada/01_-_Lectures/01_-_English/01_-_Topic_wise/Various/SP_Car_Conversation_Detroit_1975-08-03.MP3</t>
  </si>
  <si>
    <t>Conv_1975-08-03_CC-DETROIT.MP3</t>
  </si>
  <si>
    <t>https://audio.iskcondesiretree.com/01_-_Srila_Prabhupada/01_-_Lectures/01_-_English/02_-_Month_wise/08_-_August/03/Conv_1975-08-03_CC-DETROIT.MP3</t>
  </si>
  <si>
    <t>SB-01-02-09_1975-08-03_S2-DETROIT.MP3</t>
  </si>
  <si>
    <t>https://audio.iskcondesiretree.com/01_-_Srila_Prabhupada/01_-_Lectures/01_-_English/02_-_Month_wise/08_-_August/03/SB-01-02-09_1975-08-03_S2-DETROIT.MP3</t>
  </si>
  <si>
    <t>SB-06-01-50_1975-08-03_SB-DETROIT.MP3</t>
  </si>
  <si>
    <t>https://audio.iskcondesiretree.com/01_-_Srila_Prabhupada/01_-_Lectures/01_-_English/02_-_Month_wise/08_-_August/03/SB-06-01-50_1975-08-03_SB-DETROIT.MP3</t>
  </si>
  <si>
    <t>SB_6-01-50_DET_1975-08-03_Live_Happily_and_Go_Back.mp3</t>
  </si>
  <si>
    <t>https://audio.iskcondesiretree.com/01_-_Srila_Prabhupada/01_-_Lectures/01_-_English/02_-_Month_wise/08_-_August/03/SB_6-01-50_DET_1975-08-03_Live_Happily_and_Go_Back.mp3</t>
  </si>
  <si>
    <t>SP_Morning_Walk_-_Detroit_1975-08-04.MP3</t>
  </si>
  <si>
    <t>https://audio.iskcondesiretree.com/01_-_Srila_Prabhupada/01_-_Lectures/01_-_English/01_-_Topic_wise/Morning_Walk/SP_Morning_Walk_-_Detroit_1975-08-04.MP3</t>
  </si>
  <si>
    <t>SP_SB_6-01-51_Detroit_1975-08-04_All_Wrapped_Up_in_Matter.mp3</t>
  </si>
  <si>
    <t>https://audio.iskcondesiretree.com/01_-_Srila_Prabhupada/01_-_Lectures/01_-_English/01_-_Topic_wise/Srimad_Bhagavatam/Canto-06/SP_SB_6-01-51_Detroit_1975-08-04_All_Wrapped_Up_in_Matter.mp3</t>
  </si>
  <si>
    <t>SB-06-01-51_1975-08-04_SB-DETROIT.MP3</t>
  </si>
  <si>
    <t>https://audio.iskcondesiretree.com/01_-_Srila_Prabhupada/01_-_Lectures/01_-_English/02_-_Month_wise/04_-_April/SB-06-01-51_1975-08-04_SB-DETROIT.MP3</t>
  </si>
  <si>
    <t>Walk_1975-08-04_MW-DETROIT.MP3</t>
  </si>
  <si>
    <t>https://audio.iskcondesiretree.com/01_-_Srila_Prabhupada/01_-_Lectures/01_-_English/02_-_Month_wise/04_-_April/Walk_1975-08-04_MW-DETROIT.MP3</t>
  </si>
  <si>
    <t>SB_6-01-51_DET_1975-08-04_All_Wrapped_Up_in_Matter.mp3</t>
  </si>
  <si>
    <t>https://audio.iskcondesiretree.com/01_-_Srila_Prabhupada/01_-_Lectures/01_-_English/02_-_Month_wise/08_-_August/04/SB_6-01-51_DET_1975-08-04_All_Wrapped_Up_in_Matter.mp3</t>
  </si>
  <si>
    <t>SP_Morning_Walk_-_Detroit_1975-08-05.MP3</t>
  </si>
  <si>
    <t>https://audio.iskcondesiretree.com/01_-_Srila_Prabhupada/01_-_Lectures/01_-_English/01_-_Topic_wise/Morning_Walk/SP_Morning_Walk_-_Detroit_1975-08-05.MP3</t>
  </si>
  <si>
    <t>SP_SB_6-01-52_Detroit_1975-08-05_New_Orleans_Hard_Labor-Only_Light.mp3</t>
  </si>
  <si>
    <t>https://audio.iskcondesiretree.com/01_-_Srila_Prabhupada/01_-_Lectures/01_-_English/01_-_Topic_wise/Srimad_Bhagavatam/Canto-06/SP_SB_6-01-52_Detroit_1975-08-05_New_Orleans_Hard_Labor-Only_Light.mp3</t>
  </si>
  <si>
    <t>SB-06-01-52_1975-08-05_SB-DETROIT.MP3</t>
  </si>
  <si>
    <t>https://audio.iskcondesiretree.com/01_-_Srila_Prabhupada/01_-_Lectures/01_-_English/02_-_Month_wise/08_-_August/05/SB-06-01-52_1975-08-05_SB-DETROIT.MP3</t>
  </si>
  <si>
    <t>SB_6-01-52_DET_1975-08-05_No_Hard_Labor-Only_Light.mp3</t>
  </si>
  <si>
    <t>https://audio.iskcondesiretree.com/01_-_Srila_Prabhupada/01_-_Lectures/01_-_English/02_-_Month_wise/08_-_August/05/SB_6-01-52_DET_1975-08-05_No_Hard_Labor-Only_Light.mp3</t>
  </si>
  <si>
    <t>Walk_1975-08-05_MW-DETROIT.MP3</t>
  </si>
  <si>
    <t>https://audio.iskcondesiretree.com/01_-_Srila_Prabhupada/01_-_Lectures/01_-_English/02_-_Month_wise/08_-_August/05/Walk_1975-08-05_MW-DETROIT.MP3</t>
  </si>
  <si>
    <t>SP_Morning_Walk_-_Detroit_1975-08-06_Krishna_and_Christ-Father_%26_Son.mp3</t>
  </si>
  <si>
    <t>https://audio.iskcondesiretree.com/01_-_Srila_Prabhupada/01_-_Lectures/01_-_English/01_-_Topic_wise/Morning_Walk/SP_Morning_Walk_-_Detroit_1975-08-06_Krishna_and_Christ-Father_%26_Son.mp3</t>
  </si>
  <si>
    <t>MW_DET_1975-08-06_Krishna_and_Christ-Father_%26_Son.mp3</t>
  </si>
  <si>
    <t>https://audio.iskcondesiretree.com/01_-_Srila_Prabhupada/01_-_Lectures/01_-_English/02_-_Month_wise/08_-_August/06/MW_DET_1975-08-06_Krishna_and_Christ-Father_%26_Son.mp3</t>
  </si>
  <si>
    <t>Walk_1975-08-06_MW-DETROIT.MP3</t>
  </si>
  <si>
    <t>https://audio.iskcondesiretree.com/01_-_Srila_Prabhupada/01_-_Lectures/01_-_English/02_-_Month_wise/08_-_August/06/Walk_1975-08-06_MW-DETROIT.MP3</t>
  </si>
  <si>
    <t>SP_Morning_Walk_-_Toronto_1975-08-07_Dog_by_Action-Human_by_Law.mp3</t>
  </si>
  <si>
    <t>https://audio.iskcondesiretree.com/01_-_Srila_Prabhupada/01_-_Lectures/01_-_English/01_-_Topic_wise/Morning_Walk/SP_Morning_Walk_-_Toronto_1975-08-07_Dog_by_Action-Human_by_Law.mp3</t>
  </si>
  <si>
    <t>MW_TOR_1975-08-07_Dog_by_Action-Human_by_Law.mp3</t>
  </si>
  <si>
    <t>https://audio.iskcondesiretree.com/01_-_Srila_Prabhupada/01_-_Lectures/01_-_English/02_-_Month_wise/08_-_August/07/MW_TOR_1975-08-07_Dog_by_Action-Human_by_Law.mp3</t>
  </si>
  <si>
    <t>Walk_1975-08-07_MW-TORONTO.MP3</t>
  </si>
  <si>
    <t>https://audio.iskcondesiretree.com/01_-_Srila_Prabhupada/01_-_Lectures/01_-_English/02_-_Month_wise/08_-_August/07/Walk_1975-08-07_MW-TORONTO.MP3</t>
  </si>
  <si>
    <t>SP_Arrival_Paris_1975-08-11_Where_Are_Your_Liberty-Equality-Fraternity.mp3</t>
  </si>
  <si>
    <t>https://audio.iskcondesiretree.com/01_-_Srila_Prabhupada/01_-_Lectures/01_-_English/01_-_Topic_wise/Arrival_Address/SP_Arrival_Paris_1975-08-11_Where_Are_Your_Liberty-Equality-Fraternity.mp3</t>
  </si>
  <si>
    <t>SP_SB_6-01-55_Paris_1975-08-11_Dangerous_Yogis.mp3</t>
  </si>
  <si>
    <t>https://audio.iskcondesiretree.com/01_-_Srila_Prabhupada/01_-_Lectures/01_-_English/01_-_Topic_wise/Srimad_Bhagavatam/Canto-06/SP_SB_6-01-55_Paris_1975-08-11_Dangerous_Yogis.mp3</t>
  </si>
  <si>
    <t>SP_SB_6-12-24-35_Paris_1975-08-11.MP3</t>
  </si>
  <si>
    <t>https://audio.iskcondesiretree.com/01_-_Srila_Prabhupada/01_-_Lectures/01_-_English/01_-_Topic_wise/Srimad_Bhagavatam/Canto-06/SP_SB_6-12-24-35_Paris_1975-08-11.MP3</t>
  </si>
  <si>
    <t>Arr_PAR_1975-08-11_Where_Are_Your_Liberty-Equality-Fraternity.mp3</t>
  </si>
  <si>
    <t>https://audio.iskcondesiretree.com/01_-_Srila_Prabhupada/01_-_Lectures/01_-_English/02_-_Month_wise/08_-_August/11/Arr_PAR_1975-08-11_Where_Are_Your_Liberty-Equality-Fraternity.mp3</t>
  </si>
  <si>
    <t>Arrival_1975-08-11_AR-PARIS.MP3</t>
  </si>
  <si>
    <t>https://audio.iskcondesiretree.com/01_-_Srila_Prabhupada/01_-_Lectures/01_-_English/02_-_Month_wise/08_-_August/11/Arrival_1975-08-11_AR-PARIS.MP3</t>
  </si>
  <si>
    <t>Dictation-SB-06-12-24-35_1975-08-11_DT-PARIS.MP3</t>
  </si>
  <si>
    <t>https://audio.iskcondesiretree.com/01_-_Srila_Prabhupada/01_-_Lectures/01_-_English/02_-_Month_wise/08_-_August/11/Dictation-SB-06-12-24-35_1975-08-11_DT-PARIS.MP3</t>
  </si>
  <si>
    <t>SB-06-01-55_1975-08-11_SB-PARIS.MP3</t>
  </si>
  <si>
    <t>https://audio.iskcondesiretree.com/01_-_Srila_Prabhupada/01_-_Lectures/01_-_English/02_-_Month_wise/08_-_August/11/SB-06-01-55_1975-08-11_SB-PARIS.MP3</t>
  </si>
  <si>
    <t>SB_6-01-55_PAR_1975-08-11_Dangerous_Yogis.mp3</t>
  </si>
  <si>
    <t>https://audio.iskcondesiretree.com/01_-_Srila_Prabhupada/01_-_Lectures/01_-_English/02_-_Month_wise/08_-_August/11/SB_6-01-55_PAR_1975-08-11_Dangerous_Yogis.mp3</t>
  </si>
  <si>
    <t>SP_Morning_Walk_-_Paris_1975-08-12_Responsible_Jackals.mp3</t>
  </si>
  <si>
    <t>https://audio.iskcondesiretree.com/01_-_Srila_Prabhupada/01_-_Lectures/01_-_English/01_-_Topic_wise/Morning_Walk/SP_Morning_Walk_-_Paris_1975-08-12_Responsible_Jackals.mp3</t>
  </si>
  <si>
    <t>SP_Room_Conversation_Paris_1975-08-12.MP3</t>
  </si>
  <si>
    <t>https://audio.iskcondesiretree.com/01_-_Srila_Prabhupada/01_-_Lectures/01_-_English/01_-_Topic_wise/Room_Conversation/SP_Room_Conversation_Paris_1975-08-12.MP3</t>
  </si>
  <si>
    <t>Conv_1975-08-12_R1-PARIS.MP3</t>
  </si>
  <si>
    <t>https://audio.iskcondesiretree.com/01_-_Srila_Prabhupada/01_-_Lectures/01_-_English/02_-_Month_wise/08_-_August/12/Conv_1975-08-12_R1-PARIS.MP3</t>
  </si>
  <si>
    <t>MW_PAR_1975-08-12_Responsible_Jackals.mp3</t>
  </si>
  <si>
    <t>https://audio.iskcondesiretree.com/01_-_Srila_Prabhupada/01_-_Lectures/01_-_English/02_-_Month_wise/08_-_August/12/MW_PAR_1975-08-12_Responsible_Jackals.mp3</t>
  </si>
  <si>
    <t>Walk_1975-08-12_MW-PARIS.MP3</t>
  </si>
  <si>
    <t>https://audio.iskcondesiretree.com/01_-_Srila_Prabhupada/01_-_Lectures/01_-_English/02_-_Month_wise/08_-_August/12/Walk_1975-08-12_MW-PARIS.MP3</t>
  </si>
  <si>
    <t>SP_Morning_Walk_-_London_1975-08-13.MP3</t>
  </si>
  <si>
    <t>https://audio.iskcondesiretree.com/01_-_Srila_Prabhupada/01_-_Lectures/01_-_English/01_-_Topic_wise/Morning_Walk/SP_Morning_Walk_-_London_1975-08-13.MP3</t>
  </si>
  <si>
    <t>SP_SB_6-01-55_London_1975-08-13_Be_a_Helper-Not_the_Whole_Show.mp3</t>
  </si>
  <si>
    <t>https://audio.iskcondesiretree.com/01_-_Srila_Prabhupada/01_-_Lectures/01_-_English/01_-_Topic_wise/Srimad_Bhagavatam/Canto-06/SP_SB_6-01-55_London_1975-08-13_Be_a_Helper-Not_the_Whole_Show.mp3</t>
  </si>
  <si>
    <t>SB-06-01-55_1975-08-13_SB-LONDON.MP3</t>
  </si>
  <si>
    <t>https://audio.iskcondesiretree.com/01_-_Srila_Prabhupada/01_-_Lectures/01_-_English/02_-_Month_wise/08_-_August/13/SB-06-01-55_1975-08-13_SB-LONDON.MP3</t>
  </si>
  <si>
    <t>SB_6-01-55_LON_1975-08-13_Be_a_Helper-Not_the_Whole_Show.mp3</t>
  </si>
  <si>
    <t>https://audio.iskcondesiretree.com/01_-_Srila_Prabhupada/01_-_Lectures/01_-_English/02_-_Month_wise/08_-_August/13/SB_6-01-55_LON_1975-08-13_Be_a_Helper-Not_the_Whole_Show.mp3</t>
  </si>
  <si>
    <t>Walk_1975-08-13_MW-LONDON.MP3</t>
  </si>
  <si>
    <t>https://audio.iskcondesiretree.com/01_-_Srila_Prabhupada/01_-_Lectures/01_-_English/02_-_Month_wise/08_-_August/13/Walk_1975-08-13_MW-LONDON.MP3</t>
  </si>
  <si>
    <t>SP_SB_6-01-56_Bombay_1975-08-14_Skin_Expert_to_Soul_Expert.mp3</t>
  </si>
  <si>
    <t>https://audio.iskcondesiretree.com/01_-_Srila_Prabhupada/01_-_Lectures/01_-_English/01_-_Topic_wise/Srimad_Bhagavatam/Canto-06/SP_SB_6-01-56_Bombay_1975-08-14_Skin_Expert_to_Soul_Expert.mp3</t>
  </si>
  <si>
    <t>SB-06-01-56%E2%80%9357_1975-08-14_SB-BOMBAY.MP3</t>
  </si>
  <si>
    <t>https://audio.iskcondesiretree.com/01_-_Srila_Prabhupada/01_-_Lectures/01_-_English/02_-_Month_wise/08_-_August/14/SB-06-01-56%E2%80%9357_1975-08-14_SB-BOMBAY.MP3</t>
  </si>
  <si>
    <t>SB_6-01-56_BOM_1975-08-14_Skin_Expert_to_Soul_Expert.mp3</t>
  </si>
  <si>
    <t>https://audio.iskcondesiretree.com/01_-_Srila_Prabhupada/01_-_Lectures/01_-_English/02_-_Month_wise/08_-_August/14/SB_6-01-56_BOM_1975-08-14_Skin_Expert_to_Soul_Expert.mp3</t>
  </si>
  <si>
    <t>SP_Morning_Walk_-_Bombay_1975-08-15.MP3</t>
  </si>
  <si>
    <t>https://audio.iskcondesiretree.com/01_-_Srila_Prabhupada/01_-_Lectures/01_-_English/01_-_Topic_wise/Morning_Walk/SP_Morning_Walk_-_Bombay_1975-08-15.MP3</t>
  </si>
  <si>
    <t>Walk_1975-08-15_MW-BOMBAY.MP3</t>
  </si>
  <si>
    <t>https://audio.iskcondesiretree.com/01_-_Srila_Prabhupada/01_-_Lectures/01_-_English/02_-_Month_wise/08_-_August/15/Walk_1975-08-15_MW-BOMBAY.MP3</t>
  </si>
  <si>
    <t>SP_Morning_Walk_-_Bombay_1975-08-17.MP3</t>
  </si>
  <si>
    <t>https://audio.iskcondesiretree.com/01_-_Srila_Prabhupada/01_-_Lectures/01_-_English/01_-_Topic_wise/Morning_Walk/SP_Morning_Walk_-_Bombay_1975-08-17.MP3</t>
  </si>
  <si>
    <t>Walk_1975-08-17_MW-BOMBAY.MP3</t>
  </si>
  <si>
    <t>https://audio.iskcondesiretree.com/01_-_Srila_Prabhupada/01_-_Lectures/01_-_English/02_-_Month_wise/08_-_August/17/Walk_1975-08-17_MW-BOMBAY.MP3</t>
  </si>
  <si>
    <t>SB-06-01-58%E2%80%93Hindi_1975-08-19_SB-BOMBAY.MP3</t>
  </si>
  <si>
    <t>https://audio.iskcondesiretree.com/01_-_Srila_Prabhupada/01_-_Lectures/01_-_English/02_-_Month_wise/08_-_August/19/SB-06-01-58%E2%80%93Hindi_1975-08-19_SB-BOMBAY.MP3</t>
  </si>
  <si>
    <t>SP_Room_Conversation_01_Bombay_1975-08-21.MP3</t>
  </si>
  <si>
    <t>https://audio.iskcondesiretree.com/01_-_Srila_Prabhupada/01_-_Lectures/01_-_English/01_-_Topic_wise/Room_Conversation/SP_Room_Conversation_01_Bombay_1975-08-21.MP3</t>
  </si>
  <si>
    <t>Conv_1975-08-21_R1-BOMBAY.MP3</t>
  </si>
  <si>
    <t>https://audio.iskcondesiretree.com/01_-_Srila_Prabhupada/01_-_Lectures/01_-_English/02_-_Month_wise/08_-_August/21/Conv_1975-08-21_R1-BOMBAY.MP3</t>
  </si>
  <si>
    <t>SP_Morning_Walk_-_Delhi_1975-08-24.MP3</t>
  </si>
  <si>
    <t>https://audio.iskcondesiretree.com/01_-_Srila_Prabhupada/01_-_Lectures/01_-_English/01_-_Topic_wise/Morning_Walk/SP_Morning_Walk_-_Delhi_1975-08-24.MP3</t>
  </si>
  <si>
    <t>Walk_1975-08-24_MW-DELHI.MP3</t>
  </si>
  <si>
    <t>https://audio.iskcondesiretree.com/01_-_Srila_Prabhupada/01_-_Lectures/01_-_English/02_-_Month_wise/08_-_August/24/Walk_1975-08-24_MW-DELHI.MP3</t>
  </si>
  <si>
    <t>SP_Morning_Walk_-_Vrindavan_1975-08-25.MP3</t>
  </si>
  <si>
    <t>https://audio.iskcondesiretree.com/01_-_Srila_Prabhupada/01_-_Lectures/01_-_English/01_-_Topic_wise/Morning_Walk/SP_Morning_Walk_-_Vrindavan_1975-08-25.MP3</t>
  </si>
  <si>
    <t>Walk_1975-08-25_MW-VRNDAVAN.MP3</t>
  </si>
  <si>
    <t>https://audio.iskcondesiretree.com/01_-_Srila_Prabhupada/01_-_Lectures/01_-_English/02_-_Month_wise/08_-_August/25/Walk_1975-08-25_MW-VRNDAVAN.MP3</t>
  </si>
  <si>
    <t>SP_Room_Conversation_01_Vrindavan_1975-08-26.MP3</t>
  </si>
  <si>
    <t>https://audio.iskcondesiretree.com/01_-_Srila_Prabhupada/01_-_Lectures/01_-_English/01_-_Topic_wise/Room_Conversation/SP_Room_Conversation_01_Vrindavan_1975-08-26.MP3</t>
  </si>
  <si>
    <t>Bg-07-01%E2%80%93Hindi_1975-08-26_BG-VRNDAVAN.MP3</t>
  </si>
  <si>
    <t>https://audio.iskcondesiretree.com/01_-_Srila_Prabhupada/01_-_Lectures/01_-_English/02_-_Month_wise/08_-_August/26/Bg-07-01%E2%80%93Hindi_1975-08-26_BG-VRNDAVAN.MP3</t>
  </si>
  <si>
    <t>Conv_1975-08-26_R1-VRNDAVAN.MP3</t>
  </si>
  <si>
    <t>https://audio.iskcondesiretree.com/01_-_Srila_Prabhupada/01_-_Lectures/01_-_English/02_-_Month_wise/08_-_August/26/Conv_1975-08-26_R1-VRNDAVAN.MP3</t>
  </si>
  <si>
    <t>SP_Morning_Walk_-_Vrindavan_1975-08-27.MP3</t>
  </si>
  <si>
    <t>https://audio.iskcondesiretree.com/01_-_Srila_Prabhupada/01_-_Lectures/01_-_English/01_-_Topic_wise/Morning_Walk/SP_Morning_Walk_-_Vrindavan_1975-08-27.MP3</t>
  </si>
  <si>
    <t>Walk_1975-08-27_MW-VRNDAVAN.MP3</t>
  </si>
  <si>
    <t>https://audio.iskcondesiretree.com/01_-_Srila_Prabhupada/01_-_Lectures/01_-_English/02_-_Month_wise/08_-_August/27/Walk_1975-08-27_MW-VRNDAVAN.MP3</t>
  </si>
  <si>
    <t>SP_Morning_Walk_-_Vrindavan_1975-08-28.MP3</t>
  </si>
  <si>
    <t>https://audio.iskcondesiretree.com/01_-_Srila_Prabhupada/01_-_Lectures/01_-_English/01_-_Topic_wise/Morning_Walk/SP_Morning_Walk_-_Vrindavan_1975-08-28.MP3</t>
  </si>
  <si>
    <t>SP_SB_6-01-61_Vrindavan_1975-08-28_Sexual_Heart_Disease.mp3</t>
  </si>
  <si>
    <t>https://audio.iskcondesiretree.com/01_-_Srila_Prabhupada/01_-_Lectures/01_-_English/01_-_Topic_wise/Srimad_Bhagavatam/Canto-06/SP_SB_6-01-61_Vrindavan_1975-08-28_Sexual_Heart_Disease.mp3</t>
  </si>
  <si>
    <t>SB-06-01-61_1975-08-28_SB-VRNDAVAN.MP3</t>
  </si>
  <si>
    <t>https://audio.iskcondesiretree.com/01_-_Srila_Prabhupada/01_-_Lectures/01_-_English/02_-_Month_wise/08_-_August/28/SB-06-01-61_1975-08-28_SB-VRNDAVAN.MP3</t>
  </si>
  <si>
    <t>SB_6-01-61_VRN_1975-08-28_Sexual_Heart_Disease.mp3</t>
  </si>
  <si>
    <t>https://audio.iskcondesiretree.com/01_-_Srila_Prabhupada/01_-_Lectures/01_-_English/02_-_Month_wise/08_-_August/28/SB_6-01-61_VRN_1975-08-28_Sexual_Heart_Disease.mp3</t>
  </si>
  <si>
    <t>Walk_1975-08-28_MW-VRNDAVAN.MP3</t>
  </si>
  <si>
    <t>https://audio.iskcondesiretree.com/01_-_Srila_Prabhupada/01_-_Lectures/01_-_English/02_-_Month_wise/08_-_August/28/Walk_1975-08-28_MW-VRNDAVAN.MP3</t>
  </si>
  <si>
    <t>SP_Morning_Walk_-_Vrindavan_1975-08-29.MP3</t>
  </si>
  <si>
    <t>https://audio.iskcondesiretree.com/01_-_Srila_Prabhupada/01_-_Lectures/01_-_English/01_-_Topic_wise/Morning_Walk/SP_Morning_Walk_-_Vrindavan_1975-08-29.MP3</t>
  </si>
  <si>
    <t>SP_SB_6-01-62_Vrindavan_1975-08-29_The_Agitated_Mind.mp3</t>
  </si>
  <si>
    <t>https://audio.iskcondesiretree.com/01_-_Srila_Prabhupada/01_-_Lectures/01_-_English/01_-_Topic_wise/Srimad_Bhagavatam/Canto-06/SP_SB_6-01-62_Vrindavan_1975-08-29_The_Agitated_Mind.mp3</t>
  </si>
  <si>
    <t>Bg-Lecture%E2%80%93Hindi_1975-08-29_BG-VRNDAVAN.MP3</t>
  </si>
  <si>
    <t>https://audio.iskcondesiretree.com/01_-_Srila_Prabhupada/01_-_Lectures/01_-_English/02_-_Month_wise/08_-_August/29/Bg-Lecture%E2%80%93Hindi_1975-08-29_BG-VRNDAVAN.MP3</t>
  </si>
  <si>
    <t>SB-06-01-62_1975-08-29_SB-VRNDAVAN.MP3</t>
  </si>
  <si>
    <t>https://audio.iskcondesiretree.com/01_-_Srila_Prabhupada/01_-_Lectures/01_-_English/02_-_Month_wise/08_-_August/29/SB-06-01-62_1975-08-29_SB-VRNDAVAN.MP3</t>
  </si>
  <si>
    <t>SB_6-01-62_VRN_1975-08-29_The_Agitated_Mind.mp3</t>
  </si>
  <si>
    <t>https://audio.iskcondesiretree.com/01_-_Srila_Prabhupada/01_-_Lectures/01_-_English/02_-_Month_wise/08_-_August/29/SB_6-01-62_VRN_1975-08-29_The_Agitated_Mind.mp3</t>
  </si>
  <si>
    <t>Walk_1975-08-29_MW-VRNDAVAN.MP3</t>
  </si>
  <si>
    <t>https://audio.iskcondesiretree.com/01_-_Srila_Prabhupada/01_-_Lectures/01_-_English/02_-_Month_wise/08_-_August/29/Walk_1975-08-29_MW-VRNDAVAN.MP3</t>
  </si>
  <si>
    <t>SP_SB_6-01-63_Vrindavan_1975-08-30_Haunted_Enjoyment.mp3</t>
  </si>
  <si>
    <t>https://audio.iskcondesiretree.com/01_-_Srila_Prabhupada/01_-_Lectures/01_-_English/01_-_Topic_wise/Srimad_Bhagavatam/Canto-06/SP_SB_6-01-63_Vrindavan_1975-08-30_Haunted_Enjoyment.mp3</t>
  </si>
  <si>
    <t>Bg-07-03%E2%80%93Hindi_1975-08-30_BG-VRNDAVAN.MP3</t>
  </si>
  <si>
    <t>https://audio.iskcondesiretree.com/01_-_Srila_Prabhupada/01_-_Lectures/01_-_English/02_-_Month_wise/08_-_August/30/Bg-07-03%E2%80%93Hindi_1975-08-30_BG-VRNDAVAN.MP3</t>
  </si>
  <si>
    <t>SB-06-01-63_1975-08-30_SB-VRNDAVAN.MP3</t>
  </si>
  <si>
    <t>https://audio.iskcondesiretree.com/01_-_Srila_Prabhupada/01_-_Lectures/01_-_English/02_-_Month_wise/08_-_August/30/SB-06-01-63_1975-08-30_SB-VRNDAVAN.MP3</t>
  </si>
  <si>
    <t>SB_6-01-63_VRN_1975-08-30_Haunted_Enjoyment.mp3</t>
  </si>
  <si>
    <t>https://audio.iskcondesiretree.com/01_-_Srila_Prabhupada/01_-_Lectures/01_-_English/02_-_Month_wise/08_-_August/30/SB_6-01-63_VRN_1975-08-30_Haunted_Enjoyment.mp3</t>
  </si>
  <si>
    <t>Lecture%E2%80%93Hindi_1975-08-31_LE-VRNDAVAN.MP3</t>
  </si>
  <si>
    <t>https://audio.iskcondesiretree.com/01_-_Srila_Prabhupada/01_-_Lectures/01_-_English/02_-_Month_wise/08_-_August/31/Lecture%E2%80%93Hindi_1975-08-31_LE-VRNDAVAN.MP3</t>
  </si>
  <si>
    <t>SP_Morning_Walk_-_Vrindavan_1975-09-01.MP3</t>
  </si>
  <si>
    <t>https://audio.iskcondesiretree.com/01_-_Srila_Prabhupada/01_-_Lectures/01_-_English/01_-_Topic_wise/Morning_Walk/SP_Morning_Walk_-_Vrindavan_1975-09-01.MP3</t>
  </si>
  <si>
    <t>SP_SB_6-01-64_Vrindavan_1975-09-01_Above_Material_Nature.mp3</t>
  </si>
  <si>
    <t>https://audio.iskcondesiretree.com/01_-_Srila_Prabhupada/01_-_Lectures/01_-_English/01_-_Topic_wise/Srimad_Bhagavatam/Canto-06/SP_SB_6-01-64_Vrindavan_1975-09-01_Above_Material_Nature.mp3</t>
  </si>
  <si>
    <t>SB-06-01-64%E2%80%9365_1975-09-01_SB-VRNDAVAN.MP3</t>
  </si>
  <si>
    <t>https://audio.iskcondesiretree.com/01_-_Srila_Prabhupada/01_-_Lectures/01_-_English/02_-_Month_wise/09_-_September/01/SB-06-01-64%E2%80%9365_1975-09-01_SB-VRNDAVAN.MP3</t>
  </si>
  <si>
    <t>SB_6-01-64_VRN_1975-09-01_Above_Material_Nature.mp3</t>
  </si>
  <si>
    <t>https://audio.iskcondesiretree.com/01_-_Srila_Prabhupada/01_-_Lectures/01_-_English/02_-_Month_wise/09_-_September/01/SB_6-01-64_VRN_1975-09-01_Above_Material_Nature.mp3</t>
  </si>
  <si>
    <t>Walk_1975-09-01_MW-VRNDAVAN.MP3</t>
  </si>
  <si>
    <t>https://audio.iskcondesiretree.com/01_-_Srila_Prabhupada/01_-_Lectures/01_-_English/02_-_Month_wise/09_-_September/01/Walk_1975-09-01_MW-VRNDAVAN.MP3</t>
  </si>
  <si>
    <t>SP_SB_6-01-66_Vrindavan_1975-09-02_How_to_Degrade_Yourself.mp3</t>
  </si>
  <si>
    <t>https://audio.iskcondesiretree.com/01_-_Srila_Prabhupada/01_-_Lectures/01_-_English/01_-_Topic_wise/Srimad_Bhagavatam/Canto-06/SP_SB_6-01-66_Vrindavan_1975-09-02_How_to_Degrade_Yourself.mp3</t>
  </si>
  <si>
    <t>SB-06-01-66_1975-09-02_SB-VRNDAVAN.MP3</t>
  </si>
  <si>
    <t>https://audio.iskcondesiretree.com/01_-_Srila_Prabhupada/01_-_Lectures/01_-_English/02_-_Month_wise/09_-_September/02/SB-06-01-66_1975-09-02_SB-VRNDAVAN.MP3</t>
  </si>
  <si>
    <t>SB_6-01-66_VRN_1975-09-02_How_to_Degrade_Yourself.mp3</t>
  </si>
  <si>
    <t>https://audio.iskcondesiretree.com/01_-_Srila_Prabhupada/01_-_Lectures/01_-_English/02_-_Month_wise/09_-_September/02/SB_6-01-66_VRN_1975-09-02_How_to_Degrade_Yourself.mp3</t>
  </si>
  <si>
    <t>SP_Morning_Walk_-_Vrindavan_1975-09-03.MP3</t>
  </si>
  <si>
    <t>https://audio.iskcondesiretree.com/01_-_Srila_Prabhupada/01_-_Lectures/01_-_English/01_-_Topic_wise/Morning_Walk/SP_Morning_Walk_-_Vrindavan_1975-09-03.MP3</t>
  </si>
  <si>
    <t>SP_SB_6-01-67_Vrindavan_1975-09-03_Life_Is_Very_Risky.mp3</t>
  </si>
  <si>
    <t>https://audio.iskcondesiretree.com/01_-_Srila_Prabhupada/01_-_Lectures/01_-_English/01_-_Topic_wise/Srimad_Bhagavatam/Canto-06/SP_SB_6-01-67_Vrindavan_1975-09-03_Life_Is_Very_Risky.mp3</t>
  </si>
  <si>
    <t>SB-06-01-67_1975-09-03_SB-VRNDAVAN.MP3</t>
  </si>
  <si>
    <t>https://audio.iskcondesiretree.com/01_-_Srila_Prabhupada/01_-_Lectures/01_-_English/02_-_Month_wise/09_-_September/03/SB-06-01-67_1975-09-03_SB-VRNDAVAN.MP3</t>
  </si>
  <si>
    <t>SB_6-01-67_VRN_1975-09-03_Life_Is_Very_Risky.mp3</t>
  </si>
  <si>
    <t>https://audio.iskcondesiretree.com/01_-_Srila_Prabhupada/01_-_Lectures/01_-_English/02_-_Month_wise/09_-_September/03/SB_6-01-67_VRN_1975-09-03_Life_Is_Very_Risky.mp3</t>
  </si>
  <si>
    <t>Walk_1975-09-03_MW-VRNDAVAN.MP3</t>
  </si>
  <si>
    <t>https://audio.iskcondesiretree.com/01_-_Srila_Prabhupada/01_-_Lectures/01_-_English/02_-_Month_wise/09_-_September/03/Walk_1975-09-03_MW-VRNDAVAN.MP3</t>
  </si>
  <si>
    <t>SP_Morning_Walk_-_Vrindavan_1975-09-04.MP3</t>
  </si>
  <si>
    <t>https://audio.iskcondesiretree.com/01_-_Srila_Prabhupada/01_-_Lectures/01_-_English/01_-_Topic_wise/Morning_Walk/SP_Morning_Walk_-_Vrindavan_1975-09-04.MP3</t>
  </si>
  <si>
    <t>SP_SB_6-01-68_Vrindavan_1975-09-04_Don%27t_Infect_Yourself_with--etc.mp3</t>
  </si>
  <si>
    <t>https://audio.iskcondesiretree.com/01_-_Srila_Prabhupada/01_-_Lectures/01_-_English/01_-_Topic_wise/Srimad_Bhagavatam/Canto-06/SP_SB_6-01-68_Vrindavan_1975-09-04_Don%27t_Infect_Yourself_with--etc.mp3</t>
  </si>
  <si>
    <t>SB-06-01-68_1975-09-04_SB-VRNDAVAN.MP3</t>
  </si>
  <si>
    <t>https://audio.iskcondesiretree.com/01_-_Srila_Prabhupada/01_-_Lectures/01_-_English/02_-_Month_wise/09_-_September/04/SB-06-01-68_1975-09-04_SB-VRNDAVAN.MP3</t>
  </si>
  <si>
    <t>SB_6-01-68_VRN_1975-09-04_Don%27t_Infect_Yourself_with_etc.mp3</t>
  </si>
  <si>
    <t>https://audio.iskcondesiretree.com/01_-_Srila_Prabhupada/01_-_Lectures/01_-_English/02_-_Month_wise/09_-_September/04/SB_6-01-68_VRN_1975-09-04_Don%27t_Infect_Yourself_with_etc.mp3</t>
  </si>
  <si>
    <t>Walk_1975-09-04_MW-VRNDAVAN.MP3</t>
  </si>
  <si>
    <t>https://audio.iskcondesiretree.com/01_-_Srila_Prabhupada/01_-_Lectures/01_-_English/02_-_Month_wise/09_-_September/04/Walk_1975-09-04_MW-VRNDAVAN.MP3</t>
  </si>
  <si>
    <t>SP_Morning_Walk_-_Vrindavan_1975-09-05.MP3</t>
  </si>
  <si>
    <t>https://audio.iskcondesiretree.com/01_-_Srila_Prabhupada/01_-_Lectures/01_-_English/01_-_Topic_wise/Morning_Walk/SP_Morning_Walk_-_Vrindavan_1975-09-05.MP3</t>
  </si>
  <si>
    <t>SP_SB_6-02-01_Vrindavan_1975-09-05_ABC%27s_of_Degradation_%26_Elevation.mp3</t>
  </si>
  <si>
    <t>https://audio.iskcondesiretree.com/01_-_Srila_Prabhupada/01_-_Lectures/01_-_English/01_-_Topic_wise/Srimad_Bhagavatam/Canto-06/SP_SB_6-02-01_Vrindavan_1975-09-05_ABC%27s_of_Degradation_%26_Elevation.mp3</t>
  </si>
  <si>
    <t>SB-06-02-01_1975-09-05_SB-VRNDAVAN.MP3</t>
  </si>
  <si>
    <t>https://audio.iskcondesiretree.com/01_-_Srila_Prabhupada/01_-_Lectures/01_-_English/02_-_Month_wise/09_-_September/05/SB-06-02-01_1975-09-05_SB-VRNDAVAN.MP3</t>
  </si>
  <si>
    <t>SB_6-02-01_VRN_1975-09-05_ABC%27s_of_Degradation_%26_Elevation.mp3</t>
  </si>
  <si>
    <t>https://audio.iskcondesiretree.com/01_-_Srila_Prabhupada/01_-_Lectures/01_-_English/02_-_Month_wise/09_-_September/05/SB_6-02-01_VRN_1975-09-05_ABC%27s_of_Degradation_%26_Elevation.mp3</t>
  </si>
  <si>
    <t>Walk_1975-09-05_MW-VRNDAVAN.MP3</t>
  </si>
  <si>
    <t>https://audio.iskcondesiretree.com/01_-_Srila_Prabhupada/01_-_Lectures/01_-_English/02_-_Month_wise/09_-_September/05/Walk_1975-09-05_MW-VRNDAVAN.MP3</t>
  </si>
  <si>
    <t>SP_Morning_Walk_-_Vrindavan_1975-09-06_Sex_Propaganda_Can%27t_Stop_Death.mp3</t>
  </si>
  <si>
    <t>https://audio.iskcondesiretree.com/01_-_Srila_Prabhupada/01_-_Lectures/01_-_English/01_-_Topic_wise/Morning_Walk/SP_Morning_Walk_-_Vrindavan_1975-09-06_Sex_Propaganda_Can%27t_Stop_Death.mp3</t>
  </si>
  <si>
    <t>SP_SB_6-02-02_Vrindavan_1975-09-06_The_Absolute_Science.mp3</t>
  </si>
  <si>
    <t>https://audio.iskcondesiretree.com/01_-_Srila_Prabhupada/01_-_Lectures/01_-_English/01_-_Topic_wise/Srimad_Bhagavatam/Canto-06/SP_SB_6-02-02_Vrindavan_1975-09-06_The_Absolute_Science.mp3</t>
  </si>
  <si>
    <t>MW_VRN_1975-09-06_Sex_Propaganda_Can%27t_Stop_Death.mp3</t>
  </si>
  <si>
    <t>https://audio.iskcondesiretree.com/01_-_Srila_Prabhupada/01_-_Lectures/01_-_English/02_-_Month_wise/09_-_September/06/MW_VRN_1975-09-06_Sex_Propaganda_Can%27t_Stop_Death.mp3</t>
  </si>
  <si>
    <t>SB-06-02-02_1975-09-06_SB-VRNDAVAN.MP3</t>
  </si>
  <si>
    <t>https://audio.iskcondesiretree.com/01_-_Srila_Prabhupada/01_-_Lectures/01_-_English/02_-_Month_wise/09_-_September/06/SB-06-02-02_1975-09-06_SB-VRNDAVAN.MP3</t>
  </si>
  <si>
    <t>SB_6-02-02_VRN_1975-09-06_The_Absolute_Science.mp3</t>
  </si>
  <si>
    <t>https://audio.iskcondesiretree.com/01_-_Srila_Prabhupada/01_-_Lectures/01_-_English/02_-_Month_wise/09_-_September/06/SB_6-02-02_VRN_1975-09-06_The_Absolute_Science.mp3</t>
  </si>
  <si>
    <t>Walk_1975-09-06_MW-VRNDAVAN.MP3</t>
  </si>
  <si>
    <t>https://audio.iskcondesiretree.com/01_-_Srila_Prabhupada/01_-_Lectures/01_-_English/02_-_Month_wise/09_-_September/06/Walk_1975-09-06_MW-VRNDAVAN.MP3</t>
  </si>
  <si>
    <t>SP_SB_6-02-03_Vrindavan_1975-09-07_Save_Your_Dependent.mp3</t>
  </si>
  <si>
    <t>https://audio.iskcondesiretree.com/01_-_Srila_Prabhupada/01_-_Lectures/01_-_English/01_-_Topic_wise/Srimad_Bhagavatam/Canto-06/SP_SB_6-02-03_Vrindavan_1975-09-07_Save_Your_Dependent.mp3</t>
  </si>
  <si>
    <t>SB-06-02-03_1975-09-07_SB-VRNDAVAN.MP3</t>
  </si>
  <si>
    <t>https://audio.iskcondesiretree.com/01_-_Srila_Prabhupada/01_-_Lectures/01_-_English/02_-_Month_wise/09_-_September/07/SB-06-02-03_1975-09-07_SB-VRNDAVAN.MP3</t>
  </si>
  <si>
    <t>SB_6-02-03_VRN_1975-09-07_Save_Your_Dependent.mp3</t>
  </si>
  <si>
    <t>https://audio.iskcondesiretree.com/01_-_Srila_Prabhupada/01_-_Lectures/01_-_English/02_-_Month_wise/09_-_September/07/SB_6-02-03_VRN_1975-09-07_Save_Your_Dependent.mp3</t>
  </si>
  <si>
    <t>SP_SB_6-02-04_Vrindavan_1975-09-08_Behave_Ideally_or_Don%27t_Preach.mp3</t>
  </si>
  <si>
    <t>https://audio.iskcondesiretree.com/01_-_Srila_Prabhupada/01_-_Lectures/01_-_English/01_-_Topic_wise/Srimad_Bhagavatam/Canto-06/SP_SB_6-02-04_Vrindavan_1975-09-08_Behave_Ideally_or_Don%27t_Preach.mp3</t>
  </si>
  <si>
    <t>SB-06-02-04_1975-09-08_SB-VRNDAVAN.MP3</t>
  </si>
  <si>
    <t>https://audio.iskcondesiretree.com/01_-_Srila_Prabhupada/01_-_Lectures/01_-_English/02_-_Month_wise/09_-_September/08/SB-06-02-04_1975-09-08_SB-VRNDAVAN.MP3</t>
  </si>
  <si>
    <t>SB_6-02-04_VRN_1975-09-08_Behave_Ideally_or_Don%27t_Preach.mp3</t>
  </si>
  <si>
    <t>https://audio.iskcondesiretree.com/01_-_Srila_Prabhupada/01_-_Lectures/01_-_English/02_-_Month_wise/09_-_September/08/SB_6-02-04_VRN_1975-09-08_Behave_Ideally_or_Don%27t_Preach.mp3</t>
  </si>
  <si>
    <t>SP_Morning_Walk_-_Vrindavan_1975-09-09.MP3</t>
  </si>
  <si>
    <t>https://audio.iskcondesiretree.com/01_-_Srila_Prabhupada/01_-_Lectures/01_-_English/01_-_Topic_wise/Morning_Walk/SP_Morning_Walk_-_Vrindavan_1975-09-09.MP3</t>
  </si>
  <si>
    <t>SP_SB_6-02-05_Vrindavan_1975-09-09_In_Contact_with_a_Bona_Fide_Guru.mp3</t>
  </si>
  <si>
    <t>https://audio.iskcondesiretree.com/01_-_Srila_Prabhupada/01_-_Lectures/01_-_English/01_-_Topic_wise/Srimad_Bhagavatam/Canto-06/SP_SB_6-02-05_Vrindavan_1975-09-09_In_Contact_with_a_Bona_Fide_Guru.mp3</t>
  </si>
  <si>
    <t>SB-06-02-05%E2%80%9306_1975-09-09_SB-VRNDAVAN.MP3</t>
  </si>
  <si>
    <t>https://audio.iskcondesiretree.com/01_-_Srila_Prabhupada/01_-_Lectures/01_-_English/02_-_Month_wise/09_-_September/09/SB-06-02-05%E2%80%9306_1975-09-09_SB-VRNDAVAN.MP3</t>
  </si>
  <si>
    <t>SB_6-02-05_VRN_1975-09-09_In_Contact_with_a_Bona_Fide_Guru.mp3</t>
  </si>
  <si>
    <t>https://audio.iskcondesiretree.com/01_-_Srila_Prabhupada/01_-_Lectures/01_-_English/02_-_Month_wise/09_-_September/09/SB_6-02-05_VRN_1975-09-09_In_Contact_with_a_Bona_Fide_Guru.mp3</t>
  </si>
  <si>
    <t>Walk_1975-09-09_MW-VRNDAVAN.MP3</t>
  </si>
  <si>
    <t>https://audio.iskcondesiretree.com/01_-_Srila_Prabhupada/01_-_Lectures/01_-_English/02_-_Month_wise/09_-_September/09/Walk_1975-09-09_MW-VRNDAVAN.MP3</t>
  </si>
  <si>
    <t>SP_SB_6-02-07_Vrindavan_1975-09-10_Government_and_Guardians.mp3</t>
  </si>
  <si>
    <t>https://audio.iskcondesiretree.com/01_-_Srila_Prabhupada/01_-_Lectures/01_-_English/01_-_Topic_wise/Srimad_Bhagavatam/Canto-06/SP_SB_6-02-07_Vrindavan_1975-09-10_Government_and_Guardians.mp3</t>
  </si>
  <si>
    <t>SB-06-02-07_1975-09-10_SB-VRNDAVAN.MP3</t>
  </si>
  <si>
    <t>https://audio.iskcondesiretree.com/01_-_Srila_Prabhupada/01_-_Lectures/01_-_English/02_-_Month_wise/09_-_September/10/SB-06-02-07_1975-09-10_SB-VRNDAVAN.MP3</t>
  </si>
  <si>
    <t>SB_6-02-07_VRN_1975-09-10_Government_and_Guardians.mp3</t>
  </si>
  <si>
    <t>https://audio.iskcondesiretree.com/01_-_Srila_Prabhupada/01_-_Lectures/01_-_English/02_-_Month_wise/09_-_September/10/SB_6-02-07_VRN_1975-09-10_Government_and_Guardians.mp3</t>
  </si>
  <si>
    <t>SP_SB_6-02-08_Vrindavan_1975-09-11_Chant_Hare_Krishna-No_Loss.mp3</t>
  </si>
  <si>
    <t>https://audio.iskcondesiretree.com/01_-_Srila_Prabhupada/01_-_Lectures/01_-_English/01_-_Topic_wise/Srimad_Bhagavatam/Canto-06/SP_SB_6-02-08_Vrindavan_1975-09-11_Chant_Hare_Krishna-No_Loss.mp3</t>
  </si>
  <si>
    <t>SB-06-02-08_1975-09-11_SB-VRNDAVAN.MP3</t>
  </si>
  <si>
    <t>https://audio.iskcondesiretree.com/01_-_Srila_Prabhupada/01_-_Lectures/01_-_English/02_-_Month_wise/09_-_September/11/SB-06-02-08_1975-09-11_SB-VRNDAVAN.MP3</t>
  </si>
  <si>
    <t>SB_6-02-08_VRN_1975-09-11_Chant_Hare_Krishna-No_Loss.mp3</t>
  </si>
  <si>
    <t>https://audio.iskcondesiretree.com/01_-_Srila_Prabhupada/01_-_Lectures/01_-_English/02_-_Month_wise/09_-_September/11/SB_6-02-08_VRN_1975-09-11_Chant_Hare_Krishna-No_Loss.mp3</t>
  </si>
  <si>
    <t>SP_Morning_Walk_-_Vrindavan_1975-09-13_Who_Made_You_Embodied.mp3</t>
  </si>
  <si>
    <t>https://audio.iskcondesiretree.com/01_-_Srila_Prabhupada/01_-_Lectures/01_-_English/01_-_Topic_wise/Morning_Walk/SP_Morning_Walk_-_Vrindavan_1975-09-13_Who_Made_You_Embodied.mp3</t>
  </si>
  <si>
    <t>SP_SB_6-02-11_Vrindavan_1975-09-13_Unalloyed_Peace-How.mp3</t>
  </si>
  <si>
    <t>https://audio.iskcondesiretree.com/01_-_Srila_Prabhupada/01_-_Lectures/01_-_English/01_-_Topic_wise/Srimad_Bhagavatam/Canto-06/SP_SB_6-02-11_Vrindavan_1975-09-13_Unalloyed_Peace-How.mp3</t>
  </si>
  <si>
    <t>Lecture%E2%80%93Hindi_1975-09-13_LE-VRNDAVAN.MP3</t>
  </si>
  <si>
    <t>https://audio.iskcondesiretree.com/01_-_Srila_Prabhupada/01_-_Lectures/01_-_English/02_-_Month_wise/09_-_September/13/Lecture%E2%80%93Hindi_1975-09-13_LE-VRNDAVAN.MP3</t>
  </si>
  <si>
    <t>MW_VRN_1975-09-13_Who_Made_You_Embodied.mp3</t>
  </si>
  <si>
    <t>https://audio.iskcondesiretree.com/01_-_Srila_Prabhupada/01_-_Lectures/01_-_English/02_-_Month_wise/09_-_September/13/MW_VRN_1975-09-13_Who_Made_You_Embodied.mp3</t>
  </si>
  <si>
    <t>SB-06-02-11_1975-09-13_SB-VRNDAVAN.MP3</t>
  </si>
  <si>
    <t>https://audio.iskcondesiretree.com/01_-_Srila_Prabhupada/01_-_Lectures/01_-_English/02_-_Month_wise/09_-_September/13/SB-06-02-11_1975-09-13_SB-VRNDAVAN.MP3</t>
  </si>
  <si>
    <t>SB_6-02-11_VRN_1975-09-13_Unalloyed_Peace-How.mp3</t>
  </si>
  <si>
    <t>https://audio.iskcondesiretree.com/01_-_Srila_Prabhupada/01_-_Lectures/01_-_English/02_-_Month_wise/09_-_September/13/SB_6-02-11_VRN_1975-09-13_Unalloyed_Peace-How.mp3</t>
  </si>
  <si>
    <t>Walk_1975-09-13_MW-VRNDAVAN.MP3</t>
  </si>
  <si>
    <t>https://audio.iskcondesiretree.com/01_-_Srila_Prabhupada/01_-_Lectures/01_-_English/02_-_Month_wise/09_-_September/13/Walk_1975-09-13_MW-VRNDAVAN.MP3</t>
  </si>
  <si>
    <t>SP_Morning_Walk_-_Vrindavan_1975-09-15_Successful_Suicide--G-Zero-D.mp3</t>
  </si>
  <si>
    <t>https://audio.iskcondesiretree.com/01_-_Srila_Prabhupada/01_-_Lectures/01_-_English/01_-_Topic_wise/Morning_Walk/SP_Morning_Walk_-_Vrindavan_1975-09-15_Successful_Suicide--G-Zero-D.mp3</t>
  </si>
  <si>
    <t>SP_SB_6-02-13_Vrindavan_1975-09-15_Seeing_Is_Not_Believing.mp3</t>
  </si>
  <si>
    <t>https://audio.iskcondesiretree.com/01_-_Srila_Prabhupada/01_-_Lectures/01_-_English/01_-_Topic_wise/Srimad_Bhagavatam/Canto-06/SP_SB_6-02-13_Vrindavan_1975-09-15_Seeing_Is_Not_Believing.mp3</t>
  </si>
  <si>
    <t>MW_VRN_1975-09-15_Successful_Suicide-G-Zero-D.mp3</t>
  </si>
  <si>
    <t>https://audio.iskcondesiretree.com/01_-_Srila_Prabhupada/01_-_Lectures/01_-_English/02_-_Month_wise/09_-_September/15/MW_VRN_1975-09-15_Successful_Suicide-G-Zero-D.mp3</t>
  </si>
  <si>
    <t>SB-06-02-13_1975-09-15_SB-VRNDAVAN.MP3</t>
  </si>
  <si>
    <t>https://audio.iskcondesiretree.com/01_-_Srila_Prabhupada/01_-_Lectures/01_-_English/02_-_Month_wise/09_-_September/15/SB-06-02-13_1975-09-15_SB-VRNDAVAN.MP3</t>
  </si>
  <si>
    <t>SB_6-02-13_VRN_1975-09-15_Seeing_Is_Not_Believing.mp3</t>
  </si>
  <si>
    <t>https://audio.iskcondesiretree.com/01_-_Srila_Prabhupada/01_-_Lectures/01_-_English/02_-_Month_wise/09_-_September/15/SB_6-02-13_VRN_1975-09-15_Seeing_Is_Not_Believing.mp3</t>
  </si>
  <si>
    <t>Walk_1975-09-15_MW-VRNDAVAN.MP3</t>
  </si>
  <si>
    <t>https://audio.iskcondesiretree.com/01_-_Srila_Prabhupada/01_-_Lectures/01_-_English/02_-_Month_wise/09_-_September/15/Walk_1975-09-15_MW-VRNDAVAN.MP3</t>
  </si>
  <si>
    <t>SP_Morning_Walk_-_Vrindavan_1975-09-17.MP3</t>
  </si>
  <si>
    <t>https://audio.iskcondesiretree.com/01_-_Srila_Prabhupada/01_-_Lectures/01_-_English/01_-_Topic_wise/Morning_Walk/SP_Morning_Walk_-_Vrindavan_1975-09-17.MP3</t>
  </si>
  <si>
    <t>SP_SB_6-02-14_Vrindavan_1975-09-17_Non-Anxiety-Ask_for_It_by_Name.mp3</t>
  </si>
  <si>
    <t>https://audio.iskcondesiretree.com/01_-_Srila_Prabhupada/01_-_Lectures/01_-_English/01_-_Topic_wise/Srimad_Bhagavatam/Canto-06/SP_SB_6-02-14_Vrindavan_1975-09-17_Non-Anxiety-Ask_for_It_by_Name.mp3</t>
  </si>
  <si>
    <t>SB-06-02-14_1975-09-17_SB-VRNDAVAN.MP3</t>
  </si>
  <si>
    <t>https://audio.iskcondesiretree.com/01_-_Srila_Prabhupada/01_-_Lectures/01_-_English/02_-_Month_wise/09_-_September/17/SB-06-02-14_1975-09-17_SB-VRNDAVAN.MP3</t>
  </si>
  <si>
    <t>SB_6-02-14_VRN_1975-09-17_Non-Anxiety-Ask_for_It_by_Name.mp3</t>
  </si>
  <si>
    <t>https://audio.iskcondesiretree.com/01_-_Srila_Prabhupada/01_-_Lectures/01_-_English/02_-_Month_wise/09_-_September/17/SB_6-02-14_VRN_1975-09-17_Non-Anxiety-Ask_for_It_by_Name.mp3</t>
  </si>
  <si>
    <t>Walk_1975-09-17_MW-VRNDAVAN.MP3</t>
  </si>
  <si>
    <t>https://audio.iskcondesiretree.com/01_-_Srila_Prabhupada/01_-_Lectures/01_-_English/02_-_Month_wise/09_-_September/17/Walk_1975-09-17_MW-VRNDAVAN.MP3</t>
  </si>
  <si>
    <t>SP_Morning_Walk_-_Vrindavan_1975-09-18.MP3</t>
  </si>
  <si>
    <t>https://audio.iskcondesiretree.com/01_-_Srila_Prabhupada/01_-_Lectures/01_-_English/01_-_Topic_wise/Morning_Walk/SP_Morning_Walk_-_Vrindavan_1975-09-18.MP3</t>
  </si>
  <si>
    <t>SP_SB_6-02-15_Vrindavan_1975-09-18_The_Glories_of_the_Holy_Name.mp3</t>
  </si>
  <si>
    <t>https://audio.iskcondesiretree.com/01_-_Srila_Prabhupada/01_-_Lectures/01_-_English/01_-_Topic_wise/Srimad_Bhagavatam/Canto-06/SP_SB_6-02-15_Vrindavan_1975-09-18_The_Glories_of_the_Holy_Name.mp3</t>
  </si>
  <si>
    <t>SB-06-02-15_1975-09-18_SB-VRNDAVAN.MP3</t>
  </si>
  <si>
    <t>https://audio.iskcondesiretree.com/01_-_Srila_Prabhupada/01_-_Lectures/01_-_English/02_-_Month_wise/09_-_September/18/SB-06-02-15_1975-09-18_SB-VRNDAVAN.MP3</t>
  </si>
  <si>
    <t>SB_6-02-15_VRN_1975-09-18_The_Glories_of_the_Holy_Name.mp3</t>
  </si>
  <si>
    <t>https://audio.iskcondesiretree.com/01_-_Srila_Prabhupada/01_-_Lectures/01_-_English/02_-_Month_wise/09_-_September/18/SB_6-02-15_VRN_1975-09-18_The_Glories_of_the_Holy_Name.mp3</t>
  </si>
  <si>
    <t>Walk_1975-09-18_MW-VRNDAVAN.MP3</t>
  </si>
  <si>
    <t>https://audio.iskcondesiretree.com/01_-_Srila_Prabhupada/01_-_Lectures/01_-_English/02_-_Month_wise/09_-_September/18/Walk_1975-09-18_MW-VRNDAVAN.MP3</t>
  </si>
  <si>
    <t>SP_Morning_Walk_-_Vrindavan_1975-09-19.MP3</t>
  </si>
  <si>
    <t>https://audio.iskcondesiretree.com/01_-_Srila_Prabhupada/01_-_Lectures/01_-_English/01_-_Topic_wise/Morning_Walk/SP_Morning_Walk_-_Vrindavan_1975-09-19.MP3</t>
  </si>
  <si>
    <t>SP_SB_6-02-16_Vrindavan_1975-09-19_Krishna_in_Outlaw_Country.mp3</t>
  </si>
  <si>
    <t>https://audio.iskcondesiretree.com/01_-_Srila_Prabhupada/01_-_Lectures/01_-_English/01_-_Topic_wise/Srimad_Bhagavatam/Canto-06/SP_SB_6-02-16_Vrindavan_1975-09-19_Krishna_in_Outlaw_Country.mp3</t>
  </si>
  <si>
    <t>SB-06-02-16_1975-09-19_SB-VRNDAVAN.MP3</t>
  </si>
  <si>
    <t>https://audio.iskcondesiretree.com/01_-_Srila_Prabhupada/01_-_Lectures/01_-_English/02_-_Month_wise/09_-_September/19/SB-06-02-16_1975-09-19_SB-VRNDAVAN.MP3</t>
  </si>
  <si>
    <t>SB_6-02-16_VRN_1975-09-19_Krishna_in_Outlaw_Country.mp3</t>
  </si>
  <si>
    <t>https://audio.iskcondesiretree.com/01_-_Srila_Prabhupada/01_-_Lectures/01_-_English/02_-_Month_wise/09_-_September/19/SB_6-02-16_VRN_1975-09-19_Krishna_in_Outlaw_Country.mp3</t>
  </si>
  <si>
    <t>Walk_1975-09-19_MW-VRNDAVAN.MP3</t>
  </si>
  <si>
    <t>https://audio.iskcondesiretree.com/01_-_Srila_Prabhupada/01_-_Lectures/01_-_English/02_-_Month_wise/09_-_September/19/Walk_1975-09-19_MW-VRNDAVAN.MP3</t>
  </si>
  <si>
    <t>SP_SB_6-02-17_Vrindavan_1975-09-20_Don%27t_Try_to_Be_Happy_Here.mp3</t>
  </si>
  <si>
    <t>https://audio.iskcondesiretree.com/01_-_Srila_Prabhupada/01_-_Lectures/01_-_English/01_-_Topic_wise/Srimad_Bhagavatam/Canto-06/SP_SB_6-02-17_Vrindavan_1975-09-20_Don%27t_Try_to_Be_Happy_Here.mp3</t>
  </si>
  <si>
    <t>SB-06-02-17_1975-09-20_SB-VRNDAVAN.MP3</t>
  </si>
  <si>
    <t>https://audio.iskcondesiretree.com/01_-_Srila_Prabhupada/01_-_Lectures/01_-_English/02_-_Month_wise/09_-_September/20/SB-06-02-17_1975-09-20_SB-VRNDAVAN.MP3</t>
  </si>
  <si>
    <t>SB_6-02-17_VRN_1975-09-20_Don%27t_Try_to_Be_Happy_Here.mp3</t>
  </si>
  <si>
    <t>https://audio.iskcondesiretree.com/01_-_Srila_Prabhupada/01_-_Lectures/01_-_English/02_-_Month_wise/09_-_September/20/SB_6-02-17_VRN_1975-09-20_Don%27t_Try_to_Be_Happy_Here.mp3</t>
  </si>
  <si>
    <t>SP_Morning_Walk_-_Hyderabad_1975-09-25_From_the_Frying_Pan_to_the_Fire.mp3</t>
  </si>
  <si>
    <t>https://audio.iskcondesiretree.com/01_-_Srila_Prabhupada/01_-_Lectures/01_-_English/01_-_Topic_wise/Morning_Walk/SP_Morning_Walk_-_Hyderabad_1975-09-25_From_the_Frying_Pan_to_the_Fire.mp3</t>
  </si>
  <si>
    <t>Bg-07-01%E2%80%93Hindi_1975-09-25_BG-AHMEDABAD.MP3</t>
  </si>
  <si>
    <t>https://audio.iskcondesiretree.com/01_-_Srila_Prabhupada/01_-_Lectures/01_-_English/02_-_Month_wise/09_-_September/25/Bg-07-01%E2%80%93Hindi_1975-09-25_BG-AHMEDABAD.MP3</t>
  </si>
  <si>
    <t>MW_HYD_1975-09-25_From_the_Frying_Pan_to_the_Fire.mp3</t>
  </si>
  <si>
    <t>https://audio.iskcondesiretree.com/01_-_Srila_Prabhupada/01_-_Lectures/01_-_English/02_-_Month_wise/09_-_September/25/MW_HYD_1975-09-25_From_the_Frying_Pan_to_the_Fire.mp3</t>
  </si>
  <si>
    <t>Walk_1975-09-25_MW-AHMEDABAD.MP3</t>
  </si>
  <si>
    <t>https://audio.iskcondesiretree.com/01_-_Srila_Prabhupada/01_-_Lectures/01_-_English/02_-_Month_wise/09_-_September/25/Walk_1975-09-25_MW-AHMEDABAD.MP3</t>
  </si>
  <si>
    <t>SP_Morning_Walk_-_Ahmedabad_1975-09-26.MP3</t>
  </si>
  <si>
    <t>https://audio.iskcondesiretree.com/01_-_Srila_Prabhupada/01_-_Lectures/01_-_English/01_-_Topic_wise/Morning_Walk/SP_Morning_Walk_-_Ahmedabad_1975-09-26.MP3</t>
  </si>
  <si>
    <t>Walk_1975-09-26_MW-AHMEDABAD.MP3</t>
  </si>
  <si>
    <t>https://audio.iskcondesiretree.com/01_-_Srila_Prabhupada/01_-_Lectures/01_-_English/02_-_Month_wise/09_-_September/26/Walk_1975-09-26_MW-AHMEDABAD.MP3</t>
  </si>
  <si>
    <t>SP_Morning_Walk_-_Ahmedabad_1975-09-27.MP3</t>
  </si>
  <si>
    <t>https://audio.iskcondesiretree.com/01_-_Srila_Prabhupada/01_-_Lectures/01_-_English/01_-_Topic_wise/Morning_Walk/SP_Morning_Walk_-_Ahmedabad_1975-09-27.MP3</t>
  </si>
  <si>
    <t>Conv%E2%80%93Hindi_1975-09-27_R1-AHMEDABAD.MP3</t>
  </si>
  <si>
    <t>https://audio.iskcondesiretree.com/01_-_Srila_Prabhupada/01_-_Lectures/01_-_English/02_-_Month_wise/09_-_September/27/Conv%E2%80%93Hindi_1975-09-27_R1-AHMEDABAD.MP3</t>
  </si>
  <si>
    <t>SB-01-02-06%E2%80%93Hindi_1975-09-27_SB-AHMEDABAD.MP3</t>
  </si>
  <si>
    <t>https://audio.iskcondesiretree.com/01_-_Srila_Prabhupada/01_-_Lectures/01_-_English/02_-_Month_wise/09_-_September/27/SB-01-02-06%E2%80%93Hindi_1975-09-27_SB-AHMEDABAD.MP3</t>
  </si>
  <si>
    <t>Walk_1975-09-27_MW-AHMEDABAD.MP3</t>
  </si>
  <si>
    <t>https://audio.iskcondesiretree.com/01_-_Srila_Prabhupada/01_-_Lectures/01_-_English/02_-_Month_wise/09_-_September/27/Walk_1975-09-27_MW-AHMEDABAD.MP3</t>
  </si>
  <si>
    <t>SP_Morning_Walk_-_Ahmedabad_1975-09-29.MP3</t>
  </si>
  <si>
    <t>https://audio.iskcondesiretree.com/01_-_Srila_Prabhupada/01_-_Lectures/01_-_English/01_-_Topic_wise/Morning_Walk/SP_Morning_Walk_-_Ahmedabad_1975-09-29.MP3</t>
  </si>
  <si>
    <t>Walk_1975-09-29_MW-AHMEDABAD.MP3</t>
  </si>
  <si>
    <t>https://audio.iskcondesiretree.com/01_-_Srila_Prabhupada/01_-_Lectures/01_-_English/02_-_Month_wise/09_-_September/29/Walk_1975-09-29_MW-AHMEDABAD.MP3</t>
  </si>
  <si>
    <t>SP_Morning_Walk_-_Bombay_1975-09-30.MP3</t>
  </si>
  <si>
    <t>https://audio.iskcondesiretree.com/01_-_Srila_Prabhupada/01_-_Lectures/01_-_English/01_-_Topic_wise/Morning_Walk/SP_Morning_Walk_-_Bombay_1975-09-30.MP3</t>
  </si>
  <si>
    <t>Walk_1975-09-30_MW-BOMBAY.MP3</t>
  </si>
  <si>
    <t>https://audio.iskcondesiretree.com/01_-_Srila_Prabhupada/01_-_Lectures/01_-_English/02_-_Month_wise/09_-_September/30/Walk_1975-09-30_MW-BOMBAY.MP3</t>
  </si>
  <si>
    <t>SP_Arrival_Mauritius_1975-10-01_This_Body_Is_a_Bag.mp3</t>
  </si>
  <si>
    <t>https://audio.iskcondesiretree.com/01_-_Srila_Prabhupada/01_-_Lectures/01_-_English/01_-_Topic_wise/Arrival_Address/SP_Arrival_Mauritius_1975-10-01_This_Body_Is_a_Bag.mp3</t>
  </si>
  <si>
    <t>SP_BG_02-11_Mauritius_1975-10-01_Lament_for_a_Lump.mp3</t>
  </si>
  <si>
    <t>https://audio.iskcondesiretree.com/01_-_Srila_Prabhupada/01_-_Lectures/01_-_English/01_-_Topic_wise/Bhagavad_Gita/Chapter-02/SP_BG_02-11_Mauritius_1975-10-01_Lament_for_a_Lump.mp3</t>
  </si>
  <si>
    <t>Arr_MAU_1975-10-01_This_Body_Is_a_Bag.mp3</t>
  </si>
  <si>
    <t>https://audio.iskcondesiretree.com/01_-_Srila_Prabhupada/01_-_Lectures/01_-_English/02_-_Month_wise/10_-_October/01/Arr_MAU_1975-10-01_This_Body_Is_a_Bag.mp3</t>
  </si>
  <si>
    <t>Arrival_1975-10-01_A2-MAURITIUS.MP3</t>
  </si>
  <si>
    <t>https://audio.iskcondesiretree.com/01_-_Srila_Prabhupada/01_-_Lectures/01_-_English/02_-_Month_wise/10_-_October/01/Arrival_1975-10-01_A2-MAURITIUS.MP3</t>
  </si>
  <si>
    <t>Arrival_1975-10-01_AR-MAURITIUS.MP3</t>
  </si>
  <si>
    <t>https://audio.iskcondesiretree.com/01_-_Srila_Prabhupada/01_-_Lectures/01_-_English/02_-_Month_wise/10_-_October/01/Arrival_1975-10-01_AR-MAURITIUS.MP3</t>
  </si>
  <si>
    <t>Bg-02-11_1975-10-01_BG-MAURITIUS.MP3</t>
  </si>
  <si>
    <t>https://audio.iskcondesiretree.com/01_-_Srila_Prabhupada/01_-_Lectures/01_-_English/02_-_Month_wise/10_-_October/01/Bg-02-11_1975-10-01_BG-MAURITIUS.MP3</t>
  </si>
  <si>
    <t>Bg_02-11_MAU_1975-10-01_Lament_for_a_Lump.mp3</t>
  </si>
  <si>
    <t>https://audio.iskcondesiretree.com/01_-_Srila_Prabhupada/01_-_Lectures/01_-_English/02_-_Month_wise/10_-_October/01/Bg_02-11_MAU_1975-10-01_Lament_for_a_Lump.mp3</t>
  </si>
  <si>
    <t>SP_SB_7-05-30_Mauritius_1975-10-02_Material_Life.mp3</t>
  </si>
  <si>
    <t>https://audio.iskcondesiretree.com/01_-_Srila_Prabhupada/01_-_Lectures/01_-_English/01_-_Topic_wise/Srimad_Bhagavatam/Canto-07/SP_SB_7-05-30_Mauritius_1975-10-02_Material_Life.mp3</t>
  </si>
  <si>
    <t>PressConf_1975-10-02_PC-MAURITIUS.MP3</t>
  </si>
  <si>
    <t>https://audio.iskcondesiretree.com/01_-_Srila_Prabhupada/01_-_Lectures/01_-_English/02_-_Month_wise/10_-_October/02/PressConf_1975-10-02_PC-MAURITIUS.MP3</t>
  </si>
  <si>
    <t>SB-07-05-30_1975-10-02_SB-MAURITIUS.MP3</t>
  </si>
  <si>
    <t>https://audio.iskcondesiretree.com/01_-_Srila_Prabhupada/01_-_Lectures/01_-_English/02_-_Month_wise/10_-_October/02/SB-07-05-30_1975-10-02_SB-MAURITIUS.MP3</t>
  </si>
  <si>
    <t>SB_7-05-30_MAU_1975-10-02_Material_Life.mp3</t>
  </si>
  <si>
    <t>https://audio.iskcondesiretree.com/01_-_Srila_Prabhupada/01_-_Lectures/01_-_English/02_-_Month_wise/10_-_October/02/SB_7-05-30_MAU_1975-10-02_Material_Life.mp3</t>
  </si>
  <si>
    <t>Walk_1975-10-02_MW-MAURITIUS.MP3</t>
  </si>
  <si>
    <t>https://audio.iskcondesiretree.com/01_-_Srila_Prabhupada/01_-_Lectures/01_-_English/02_-_Month_wise/10_-_October/02/Walk_1975-10-02_MW-MAURITIUS.MP3</t>
  </si>
  <si>
    <t>SP_Morning_Walk_-_Mauritius_1975-10-03_Progress-Die_Quickly.mp3</t>
  </si>
  <si>
    <t>https://audio.iskcondesiretree.com/01_-_Srila_Prabhupada/01_-_Lectures/01_-_English/01_-_Topic_wise/Morning_Walk/SP_Morning_Walk_-_Mauritius_1975-10-03_Progress-Die_Quickly.mp3</t>
  </si>
  <si>
    <t>SP_Morning_Walk_-_Mauritius_1975-10-03_The_Great_Ones-All_Rascals.mp3</t>
  </si>
  <si>
    <t>https://audio.iskcondesiretree.com/01_-_Srila_Prabhupada/01_-_Lectures/01_-_English/01_-_Topic_wise/Morning_Walk/SP_Morning_Walk_-_Mauritius_1975-10-03_The_Great_Ones-All_Rascals.mp3</t>
  </si>
  <si>
    <t>MW_MAU_1975-10-03_Progress-Die_Quickly.mp3</t>
  </si>
  <si>
    <t>https://audio.iskcondesiretree.com/01_-_Srila_Prabhupada/01_-_Lectures/01_-_English/02_-_Month_wise/10_-_October/03/MW_MAU_1975-10-03_Progress-Die_Quickly.mp3</t>
  </si>
  <si>
    <t>MW_MAU_1975-10-03_The_Great_Ones-All_Rascals.mp3</t>
  </si>
  <si>
    <t>https://audio.iskcondesiretree.com/01_-_Srila_Prabhupada/01_-_Lectures/01_-_English/02_-_Month_wise/10_-_October/03/MW_MAU_1975-10-03_The_Great_Ones-All_Rascals.mp3</t>
  </si>
  <si>
    <t>Walk_1975-10-03_MW-MAURITIUS.MP3</t>
  </si>
  <si>
    <t>https://audio.iskcondesiretree.com/01_-_Srila_Prabhupada/01_-_Lectures/01_-_English/02_-_Month_wise/10_-_October/03/Walk_1975-10-03_MW-MAURITIUS.MP3</t>
  </si>
  <si>
    <t>SP_Morning_Walk_-_Mauritius_1975-10-04_The_Modern_Misunderstanding.mp3</t>
  </si>
  <si>
    <t>https://audio.iskcondesiretree.com/01_-_Srila_Prabhupada/01_-_Lectures/01_-_English/01_-_Topic_wise/Morning_Walk/SP_Morning_Walk_-_Mauritius_1975-10-04_The_Modern_Misunderstanding.mp3</t>
  </si>
  <si>
    <t>SP_Room_Conversation_Mauritius_1975-10-04_Students--Death-The_Ultimate_Philosophy.mp3</t>
  </si>
  <si>
    <t>https://audio.iskcondesiretree.com/01_-_Srila_Prabhupada/01_-_Lectures/01_-_English/01_-_Topic_wise/Room_Conversation/SP_Room_Conversation_Mauritius_1975-10-04_Students--Death-The_Ultimate_Philosophy.mp3</t>
  </si>
  <si>
    <t>SP_SB_7-05-31_Mauritius_1975-10-04_Books_for_the_Blind.mp3</t>
  </si>
  <si>
    <t>https://audio.iskcondesiretree.com/01_-_Srila_Prabhupada/01_-_Lectures/01_-_English/01_-_Topic_wise/Srimad_Bhagavatam/Canto-07/SP_SB_7-05-31_Mauritius_1975-10-04_Books_for_the_Blind.mp3</t>
  </si>
  <si>
    <t>Conv_1975-10-04_R1-MAURITIUS.MP3</t>
  </si>
  <si>
    <t>https://audio.iskcondesiretree.com/01_-_Srila_Prabhupada/01_-_Lectures/01_-_English/02_-_Month_wise/10_-_October/04/Conv_1975-10-04_R1-MAURITIUS.MP3</t>
  </si>
  <si>
    <t>MW_MAU_1975-10-04_The_Modern_Misunderstanding.mp3</t>
  </si>
  <si>
    <t>https://audio.iskcondesiretree.com/01_-_Srila_Prabhupada/01_-_Lectures/01_-_English/02_-_Month_wise/10_-_October/04/MW_MAU_1975-10-04_The_Modern_Misunderstanding.mp3</t>
  </si>
  <si>
    <t>RC_MAU_1975-10-04_Students-Death-The_Ultimate_Philosophy.mp3</t>
  </si>
  <si>
    <t>https://audio.iskcondesiretree.com/01_-_Srila_Prabhupada/01_-_Lectures/01_-_English/02_-_Month_wise/10_-_October/04/RC_MAU_1975-10-04_Students-Death-The_Ultimate_Philosophy.mp3</t>
  </si>
  <si>
    <t>SB-07-05-31_1975-10-04_SB-MAURITIUS.MP3</t>
  </si>
  <si>
    <t>https://audio.iskcondesiretree.com/01_-_Srila_Prabhupada/01_-_Lectures/01_-_English/02_-_Month_wise/10_-_October/04/SB-07-05-31_1975-10-04_SB-MAURITIUS.MP3</t>
  </si>
  <si>
    <t>SB_7-05-31_MAU_1975-10-04_Books_for_the_Blind.mp3</t>
  </si>
  <si>
    <t>https://audio.iskcondesiretree.com/01_-_Srila_Prabhupada/01_-_Lectures/01_-_English/02_-_Month_wise/10_-_October/04/SB_7-05-31_MAU_1975-10-04_Books_for_the_Blind.mp3</t>
  </si>
  <si>
    <t>Walk_1975-10-04_MW-MAURITIUS.MP3</t>
  </si>
  <si>
    <t>https://audio.iskcondesiretree.com/01_-_Srila_Prabhupada/01_-_Lectures/01_-_English/02_-_Month_wise/10_-_October/04/Walk_1975-10-04_MW-MAURITIUS.MP3</t>
  </si>
  <si>
    <t>SP_Morning_Walk_-_Mauritius_1975-10-05_Human_Life-Don%27t_Miss_the_Boat.mp3</t>
  </si>
  <si>
    <t>https://audio.iskcondesiretree.com/01_-_Srila_Prabhupada/01_-_Lectures/01_-_English/01_-_Topic_wise/Morning_Walk/SP_Morning_Walk_-_Mauritius_1975-10-05_Human_Life-Don%27t_Miss_the_Boat.mp3</t>
  </si>
  <si>
    <t>SP_Room_Conversation_Mauritius_1975-10-05_Blueprint_for_a_Blissful_Life.mp3</t>
  </si>
  <si>
    <t>https://audio.iskcondesiretree.com/01_-_Srila_Prabhupada/01_-_Lectures/01_-_English/01_-_Topic_wise/Room_Conversation/SP_Room_Conversation_Mauritius_1975-10-05_Blueprint_for_a_Blissful_Life.mp3</t>
  </si>
  <si>
    <t>SP_SB_1-02-06_Mauritius_1975-10-05_Our_Superior_Engagement.mp3</t>
  </si>
  <si>
    <t>https://audio.iskcondesiretree.com/01_-_Srila_Prabhupada/01_-_Lectures/01_-_English/01_-_Topic_wise/Srimad_Bhagavatam/Canto-01/SP_SB_1-02-06_Mauritius_1975-10-05_Our_Superior_Engagement.mp3</t>
  </si>
  <si>
    <t>Conv_1975-10-05_R1-MAURITIUS.MP3</t>
  </si>
  <si>
    <t>https://audio.iskcondesiretree.com/01_-_Srila_Prabhupada/01_-_Lectures/01_-_English/02_-_Month_wise/10_-_October/05/Conv_1975-10-05_R1-MAURITIUS.MP3</t>
  </si>
  <si>
    <t>MW_MAU_1975-10-05_Human_Life-Don%27t_Miss_the_Boat.mp3</t>
  </si>
  <si>
    <t>https://audio.iskcondesiretree.com/01_-_Srila_Prabhupada/01_-_Lectures/01_-_English/02_-_Month_wise/10_-_October/05/MW_MAU_1975-10-05_Human_Life-Don%27t_Miss_the_Boat.mp3</t>
  </si>
  <si>
    <t>RC_MAU_1975-10-05_Blueprint_for_a_Blissful_Life.mp3</t>
  </si>
  <si>
    <t>https://audio.iskcondesiretree.com/01_-_Srila_Prabhupada/01_-_Lectures/01_-_English/02_-_Month_wise/10_-_October/05/RC_MAU_1975-10-05_Blueprint_for_a_Blissful_Life.mp3</t>
  </si>
  <si>
    <t>SB-01-02-06_1975-10-05_SB-MAURITIUS.MP3</t>
  </si>
  <si>
    <t>https://audio.iskcondesiretree.com/01_-_Srila_Prabhupada/01_-_Lectures/01_-_English/02_-_Month_wise/10_-_October/05/SB-01-02-06_1975-10-05_SB-MAURITIUS.MP3</t>
  </si>
  <si>
    <t>SB_1-02-06_MAU_1975-10-05_Our_Superior_Engagement.mp3</t>
  </si>
  <si>
    <t>https://audio.iskcondesiretree.com/01_-_Srila_Prabhupada/01_-_Lectures/01_-_English/02_-_Month_wise/10_-_October/05/SB_1-02-06_MAU_1975-10-05_Our_Superior_Engagement.mp3</t>
  </si>
  <si>
    <t>Walk_1975-10-05_MW-MAURITIUS.MP3</t>
  </si>
  <si>
    <t>https://audio.iskcondesiretree.com/01_-_Srila_Prabhupada/01_-_Lectures/01_-_English/02_-_Month_wise/10_-_October/05/Walk_1975-10-05_MW-MAURITIUS.MP3</t>
  </si>
  <si>
    <t>Walk_1975-10-06_MW-DURBAN.MP3</t>
  </si>
  <si>
    <t>https://audio.iskcondesiretree.com/01_-_Srila_Prabhupada/01_-_Lectures/01_-_English/02_-_Month_wise/10_-_October/06/Walk_1975-10-06_MW-DURBAN.MP3</t>
  </si>
  <si>
    <t>SP_Lecture_Durban_1975-10-07_At_City_Hall--Sense_Gratification-No_Sense.mp3</t>
  </si>
  <si>
    <t>https://audio.iskcondesiretree.com/01_-_Srila_Prabhupada/01_-_Lectures/01_-_English/01_-_Topic_wise/Various/SP_Lecture_Durban_1975-10-07_At_City_Hall--Sense_Gratification-No_Sense.mp3</t>
  </si>
  <si>
    <t>Lect_DUR_1975-10-07_At_City_Hall-Sense_Gratification-No_Sense.mp3</t>
  </si>
  <si>
    <t>https://audio.iskcondesiretree.com/01_-_Srila_Prabhupada/01_-_Lectures/01_-_English/02_-_Month_wise/10_-_October/07/Lect_DUR_1975-10-07_At_City_Hall-Sense_Gratification-No_Sense.mp3</t>
  </si>
  <si>
    <t>Lecture_1975-10-07_LE-DURBAN.MP3</t>
  </si>
  <si>
    <t>https://audio.iskcondesiretree.com/01_-_Srila_Prabhupada/01_-_Lectures/01_-_English/02_-_Month_wise/10_-_October/07/Lecture_1975-10-07_LE-DURBAN.MP3</t>
  </si>
  <si>
    <t>Walk_1975-10-07_MW-DURBAN.MP3</t>
  </si>
  <si>
    <t>https://audio.iskcondesiretree.com/01_-_Srila_Prabhupada/01_-_Lectures/01_-_English/02_-_Month_wise/10_-_October/07/Walk_1975-10-07_MW-DURBAN.MP3</t>
  </si>
  <si>
    <t>Conv_1975-10-08_R1-DURBAN.MP3</t>
  </si>
  <si>
    <t>https://audio.iskcondesiretree.com/01_-_Srila_Prabhupada/01_-_Lectures/01_-_English/02_-_Month_wise/10_-_October/08/Conv_1975-10-08_R1-DURBAN.MP3</t>
  </si>
  <si>
    <t>Conv_1975-10-08_R2-DURBAN.MP3</t>
  </si>
  <si>
    <t>https://audio.iskcondesiretree.com/01_-_Srila_Prabhupada/01_-_Lectures/01_-_English/02_-_Month_wise/10_-_October/08/Conv_1975-10-08_R2-DURBAN.MP3</t>
  </si>
  <si>
    <t>Walk_1975-10-08_MW-DURBAN.MP3</t>
  </si>
  <si>
    <t>https://audio.iskcondesiretree.com/01_-_Srila_Prabhupada/01_-_Lectures/01_-_English/02_-_Month_wise/10_-_October/08/Walk_1975-10-08_MW-DURBAN.MP3</t>
  </si>
  <si>
    <t>SP_BG_07-01_Durban_1975-10-09_Relatively_Dirty_or_Absolutely_Clean.mp3</t>
  </si>
  <si>
    <t>https://audio.iskcondesiretree.com/01_-_Srila_Prabhupada/01_-_Lectures/01_-_English/01_-_Topic_wise/Bhagavad_Gita/Chapter-07/SP_BG_07-01_Durban_1975-10-09_Relatively_Dirty_or_Absolutely_Clean.mp3</t>
  </si>
  <si>
    <t>Bg-07-01_1975-10-09_BG-DURBAN.MP3</t>
  </si>
  <si>
    <t>https://audio.iskcondesiretree.com/01_-_Srila_Prabhupada/01_-_Lectures/01_-_English/02_-_Month_wise/10_-_October/09/Bg-07-01_1975-10-09_BG-DURBAN.MP3</t>
  </si>
  <si>
    <t>Bg_07-01_DUR_1975-10-09_Relatively_Dirty_or_Absolutely_Clean.mp3</t>
  </si>
  <si>
    <t>https://audio.iskcondesiretree.com/01_-_Srila_Prabhupada/01_-_Lectures/01_-_English/02_-_Month_wise/10_-_October/09/Bg_07-01_DUR_1975-10-09_Relatively_Dirty_or_Absolutely_Clean.mp3</t>
  </si>
  <si>
    <t>Walk_1975-10-09_MW-DURBAN.MP3</t>
  </si>
  <si>
    <t>https://audio.iskcondesiretree.com/01_-_Srila_Prabhupada/01_-_Lectures/01_-_English/02_-_Month_wise/10_-_October/09/Walk_1975-10-09_MW-DURBAN.MP3</t>
  </si>
  <si>
    <t>SP_Room_Conversation_Durban_1975-10-10_Prof--This_Body_Is_Always_Dead.mp3</t>
  </si>
  <si>
    <t>https://audio.iskcondesiretree.com/01_-_Srila_Prabhupada/01_-_Lectures/01_-_English/01_-_Topic_wise/Room_Conversation/SP_Room_Conversation_Durban_1975-10-10_Prof--This_Body_Is_Always_Dead.mp3</t>
  </si>
  <si>
    <t>Conv_1975-10-10_R1-DURBAN.MP3</t>
  </si>
  <si>
    <t>https://audio.iskcondesiretree.com/01_-_Srila_Prabhupada/01_-_Lectures/01_-_English/02_-_Month_wise/10_-_October/10/Conv_1975-10-10_R1-DURBAN.MP3</t>
  </si>
  <si>
    <t>RC_DUR_1975-10-10_Prof-This_Body_Is_Always_Dead.mp3</t>
  </si>
  <si>
    <t>https://audio.iskcondesiretree.com/01_-_Srila_Prabhupada/01_-_Lectures/01_-_English/02_-_Month_wise/10_-_October/10/RC_DUR_1975-10-10_Prof-This_Body_Is_Always_Dead.mp3</t>
  </si>
  <si>
    <t>Walk_1975-10-10_MW-DURBAN.MP3</t>
  </si>
  <si>
    <t>https://audio.iskcondesiretree.com/01_-_Srila_Prabhupada/01_-_Lectures/01_-_English/02_-_Month_wise/10_-_October/10/Walk_1975-10-10_MW-DURBAN.MP3</t>
  </si>
  <si>
    <t>SP_Lecture_Durban_1975-10-11_Happiness_on_the_Planet_of_Misery.mp3</t>
  </si>
  <si>
    <t>https://audio.iskcondesiretree.com/01_-_Srila_Prabhupada/01_-_Lectures/01_-_English/01_-_Topic_wise/Various/SP_Lecture_Durban_1975-10-11_Happiness_on_the_Planet_of_Misery.mp3</t>
  </si>
  <si>
    <t>Bg-18-45_1975-10-11_BG-DURBAN.MP3</t>
  </si>
  <si>
    <t>https://audio.iskcondesiretree.com/01_-_Srila_Prabhupada/01_-_Lectures/01_-_English/02_-_Month_wise/10_-_October/11/Bg-18-45_1975-10-11_BG-DURBAN.MP3</t>
  </si>
  <si>
    <t>Lect_DUR_1975-10-11_Happiness_on_the_Planet_of_Misery.mp3</t>
  </si>
  <si>
    <t>https://audio.iskcondesiretree.com/01_-_Srila_Prabhupada/01_-_Lectures/01_-_English/02_-_Month_wise/10_-_October/11/Lect_DUR_1975-10-11_Happiness_on_the_Planet_of_Misery.mp3</t>
  </si>
  <si>
    <t>Walk_1975-10-12_MW-DURBAN.MP3</t>
  </si>
  <si>
    <t>https://audio.iskcondesiretree.com/01_-_Srila_Prabhupada/01_-_Lectures/01_-_English/02_-_Month_wise/10_-_October/12/Walk_1975-10-12_MW-DURBAN.MP3</t>
  </si>
  <si>
    <t>SP_BG_13-01-02_Durban_1975-10-13_The_Rented_House.MP3</t>
  </si>
  <si>
    <t>https://audio.iskcondesiretree.com/01_-_Srila_Prabhupada/01_-_Lectures/01_-_English/01_-_Topic_wise/Bhagavad_Gita/Chapter-13/SP_BG_13-01-02_Durban_1975-10-13_The_Rented_House.MP3</t>
  </si>
  <si>
    <t>SP_BG_13-01_Durban_1975-10-13_The_Rented_House.mp3</t>
  </si>
  <si>
    <t>https://audio.iskcondesiretree.com/01_-_Srila_Prabhupada/01_-_Lectures/01_-_English/01_-_Topic_wise/Bhagavad_Gita/Chapter-13/SP_BG_13-01_Durban_1975-10-13_The_Rented_House.mp3</t>
  </si>
  <si>
    <t>SP_Morning_Walk_-_Durban_1975-10-13_Modern_Primitives.mp3</t>
  </si>
  <si>
    <t>https://audio.iskcondesiretree.com/01_-_Srila_Prabhupada/01_-_Lectures/01_-_English/01_-_Topic_wise/Morning_Walk/SP_Morning_Walk_-_Durban_1975-10-13_Modern_Primitives.mp3</t>
  </si>
  <si>
    <t>SP_Room_Conversation_Durban_1975-10-13_Why_No_More_Men_from_Apes.mp3</t>
  </si>
  <si>
    <t>https://audio.iskcondesiretree.com/01_-_Srila_Prabhupada/01_-_Lectures/01_-_English/01_-_Topic_wise/Room_Conversation/SP_Room_Conversation_Durban_1975-10-13_Why_No_More_Men_from_Apes.mp3</t>
  </si>
  <si>
    <t>Bg-13-01%E2%80%9303_1975-10-13_BG-DURBAN.MP3</t>
  </si>
  <si>
    <t>https://audio.iskcondesiretree.com/01_-_Srila_Prabhupada/01_-_Lectures/01_-_English/02_-_Month_wise/10_-_October/13/Bg-13-01%E2%80%9303_1975-10-13_BG-DURBAN.MP3</t>
  </si>
  <si>
    <t>Bg_13-01_DUR_1975-10-13_The_Rented_House.mp3</t>
  </si>
  <si>
    <t>https://audio.iskcondesiretree.com/01_-_Srila_Prabhupada/01_-_Lectures/01_-_English/02_-_Month_wise/10_-_October/13/Bg_13-01_DUR_1975-10-13_The_Rented_House.mp3</t>
  </si>
  <si>
    <t>Conv_1975-10-13_CR-DURBAN.MP3</t>
  </si>
  <si>
    <t>https://audio.iskcondesiretree.com/01_-_Srila_Prabhupada/01_-_Lectures/01_-_English/02_-_Month_wise/10_-_October/13/Conv_1975-10-13_CR-DURBAN.MP3</t>
  </si>
  <si>
    <t>MW_DUR_1975-10-13_Modern_Primitives.mp3</t>
  </si>
  <si>
    <t>https://audio.iskcondesiretree.com/01_-_Srila_Prabhupada/01_-_Lectures/01_-_English/02_-_Month_wise/10_-_October/13/MW_DUR_1975-10-13_Modern_Primitives.mp3</t>
  </si>
  <si>
    <t>RC_DUR_1975-10-13_Why_No_More_Men_from_Apes.mp3</t>
  </si>
  <si>
    <t>https://audio.iskcondesiretree.com/01_-_Srila_Prabhupada/01_-_Lectures/01_-_English/02_-_Month_wise/10_-_October/13/RC_DUR_1975-10-13_Why_No_More_Men_from_Apes.mp3</t>
  </si>
  <si>
    <t>Walk_1975-10-13_MW-DURBAN.MP3</t>
  </si>
  <si>
    <t>https://audio.iskcondesiretree.com/01_-_Srila_Prabhupada/01_-_Lectures/01_-_English/02_-_Month_wise/10_-_October/13/Walk_1975-10-13_MW-DURBAN.MP3</t>
  </si>
  <si>
    <t>SP_Morning_Walk_-_Johannesburg_1975-10-14_Mischievous_Merit.mp3</t>
  </si>
  <si>
    <t>https://audio.iskcondesiretree.com/01_-_Srila_Prabhupada/01_-_Lectures/01_-_English/01_-_Topic_wise/Morning_Walk/SP_Morning_Walk_-_Johannesburg_1975-10-14_Mischievous_Merit.mp3</t>
  </si>
  <si>
    <t>SP_Room_Conversation_Johannesburg_1975-10-14_Monkeys_Produced_Man--and_You_Call--etc.mp3</t>
  </si>
  <si>
    <t>https://audio.iskcondesiretree.com/01_-_Srila_Prabhupada/01_-_Lectures/01_-_English/01_-_Topic_wise/Room_Conversation/SP_Room_Conversation_Johannesburg_1975-10-14_Monkeys_Produced_Man--and_You_Call--etc.mp3</t>
  </si>
  <si>
    <t>SP_SB_1-07-02-04_Durban_1975-10-14_Seeing_Krishna_24_Hours_a_Day.MP3</t>
  </si>
  <si>
    <t>https://audio.iskcondesiretree.com/01_-_Srila_Prabhupada/01_-_Lectures/01_-_English/01_-_Topic_wise/Srimad_Bhagavatam/Canto-01/SP_SB_1-07-02-04_Durban_1975-10-14_Seeing_Krishna_24_Hours_a_Day.MP3</t>
  </si>
  <si>
    <t>SP_SB_1-07-02_Durban_1975-10-14_Seeing_Krishna_24_Hours_a_Day.mp3</t>
  </si>
  <si>
    <t>https://audio.iskcondesiretree.com/01_-_Srila_Prabhupada/01_-_Lectures/01_-_English/01_-_Topic_wise/Srimad_Bhagavatam/Canto-01/SP_SB_1-07-02_Durban_1975-10-14_Seeing_Krishna_24_Hours_a_Day.mp3</t>
  </si>
  <si>
    <t>Conv_1975-10-14_R1-JOHANNESBURG.MP3</t>
  </si>
  <si>
    <t>https://audio.iskcondesiretree.com/01_-_Srila_Prabhupada/01_-_Lectures/01_-_English/02_-_Month_wise/10_-_October/14/Conv_1975-10-14_R1-JOHANNESBURG.MP3</t>
  </si>
  <si>
    <t>Lecture_1975-10-14_LE-JOHANNESBURG.MP3</t>
  </si>
  <si>
    <t>https://audio.iskcondesiretree.com/01_-_Srila_Prabhupada/01_-_Lectures/01_-_English/02_-_Month_wise/10_-_October/14/Lecture_1975-10-14_LE-JOHANNESBURG.MP3</t>
  </si>
  <si>
    <t>MW_JOH_1975-10-14_Mischievous_Merit.mp3</t>
  </si>
  <si>
    <t>https://audio.iskcondesiretree.com/01_-_Srila_Prabhupada/01_-_Lectures/01_-_English/02_-_Month_wise/10_-_October/14/MW_JOH_1975-10-14_Mischievous_Merit.mp3</t>
  </si>
  <si>
    <t>RC_JOH_1975-10-14_Monkeys_Produced_Man_and_You_Call_etc.mp3</t>
  </si>
  <si>
    <t>https://audio.iskcondesiretree.com/01_-_Srila_Prabhupada/01_-_Lectures/01_-_English/02_-_Month_wise/10_-_October/14/RC_JOH_1975-10-14_Monkeys_Produced_Man_and_You_Call_etc.mp3</t>
  </si>
  <si>
    <t>SB-01-07-02%E2%80%9304_1975-10-14_SB-JOHANNESBURG.MP3</t>
  </si>
  <si>
    <t>https://audio.iskcondesiretree.com/01_-_Srila_Prabhupada/01_-_Lectures/01_-_English/02_-_Month_wise/10_-_October/14/SB-01-07-02%E2%80%9304_1975-10-14_SB-JOHANNESBURG.MP3</t>
  </si>
  <si>
    <t>SB_1-07-02_DUR_1975-10-14_Seeing_Krishna_24_Hours_a_Day.mp3</t>
  </si>
  <si>
    <t>https://audio.iskcondesiretree.com/01_-_Srila_Prabhupada/01_-_Lectures/01_-_English/02_-_Month_wise/10_-_October/14/SB_1-07-02_DUR_1975-10-14_Seeing_Krishna_24_Hours_a_Day.mp3</t>
  </si>
  <si>
    <t>SP_Room_Conversation_Durban_1975-10-15_Dogs%27_Obstinacy.mp3</t>
  </si>
  <si>
    <t>https://audio.iskcondesiretree.com/01_-_Srila_Prabhupada/01_-_Lectures/01_-_English/01_-_Topic_wise/Room_Conversation/SP_Room_Conversation_Durban_1975-10-15_Dogs%27_Obstinacy.mp3</t>
  </si>
  <si>
    <t>SP_SB_1-07-05_Johannesburg_1975-10-15_Survival_of_the...What_Fittest.mp3</t>
  </si>
  <si>
    <t>https://audio.iskcondesiretree.com/01_-_Srila_Prabhupada/01_-_Lectures/01_-_English/01_-_Topic_wise/Srimad_Bhagavatam/Canto-01/SP_SB_1-07-05_Johannesburg_1975-10-15_Survival_of_the...What_Fittest.mp3</t>
  </si>
  <si>
    <t>Conv_1975-10-15_R1-JOHANNESBURG.MP3</t>
  </si>
  <si>
    <t>https://audio.iskcondesiretree.com/01_-_Srila_Prabhupada/01_-_Lectures/01_-_English/02_-_Month_wise/10_-_October/15/Conv_1975-10-15_R1-JOHANNESBURG.MP3</t>
  </si>
  <si>
    <t>RC_DUR_1975-10-15_Dogs%27_Obstinacy.mp3</t>
  </si>
  <si>
    <t>https://audio.iskcondesiretree.com/01_-_Srila_Prabhupada/01_-_Lectures/01_-_English/02_-_Month_wise/10_-_October/15/RC_DUR_1975-10-15_Dogs%27_Obstinacy.mp3</t>
  </si>
  <si>
    <t>SB-01-07-05%E2%80%9306_1975-10-15_SB-JOHANNESBURG.MP3</t>
  </si>
  <si>
    <t>https://audio.iskcondesiretree.com/01_-_Srila_Prabhupada/01_-_Lectures/01_-_English/02_-_Month_wise/10_-_October/15/SB-01-07-05%E2%80%9306_1975-10-15_SB-JOHANNESBURG.MP3</t>
  </si>
  <si>
    <t>SB_1-07-05_JOH_1975-10-15_Survival_of_the_What_Fittest.mp3</t>
  </si>
  <si>
    <t>https://audio.iskcondesiretree.com/01_-_Srila_Prabhupada/01_-_Lectures/01_-_English/02_-_Month_wise/10_-_October/15/SB_1-07-05_JOH_1975-10-15_Survival_of_the_What_Fittest.mp3</t>
  </si>
  <si>
    <t>SP_Room_Conversation_Johannesburg_1975-10-16_People_Follow_Leader.mp3</t>
  </si>
  <si>
    <t>https://audio.iskcondesiretree.com/01_-_Srila_Prabhupada/01_-_Lectures/01_-_English/01_-_Topic_wise/Room_Conversation/SP_Room_Conversation_Johannesburg_1975-10-16_People_Follow_Leader.mp3</t>
  </si>
  <si>
    <t>Conv_1975-10-16_R1-JOHANNESBURG.MP3</t>
  </si>
  <si>
    <t>https://audio.iskcondesiretree.com/01_-_Srila_Prabhupada/01_-_Lectures/01_-_English/02_-_Month_wise/10_-_October/16/Conv_1975-10-16_R1-JOHANNESBURG.MP3</t>
  </si>
  <si>
    <t>RC_JOH_1975-10-16_People_Follow_Leader.mp3</t>
  </si>
  <si>
    <t>https://audio.iskcondesiretree.com/01_-_Srila_Prabhupada/01_-_Lectures/01_-_English/02_-_Month_wise/10_-_October/16/RC_JOH_1975-10-16_People_Follow_Leader.mp3</t>
  </si>
  <si>
    <t>Walk_1975-10-16_MW-JOHANNESBURG.MP3</t>
  </si>
  <si>
    <t>https://audio.iskcondesiretree.com/01_-_Srila_Prabhupada/01_-_Lectures/01_-_English/02_-_Month_wise/10_-_October/16/Walk_1975-10-16_MW-JOHANNESBURG.MP3</t>
  </si>
  <si>
    <t>SP_BG_02-01_Johannesburg_1975-10-17_When_to_Approach_a_Guru.mp3</t>
  </si>
  <si>
    <t>https://audio.iskcondesiretree.com/01_-_Srila_Prabhupada/01_-_Lectures/01_-_English/01_-_Topic_wise/Bhagavad_Gita/Chapter-02/SP_BG_02-01_Johannesburg_1975-10-17_When_to_Approach_a_Guru.mp3</t>
  </si>
  <si>
    <t>Bg-02-01%E2%80%9311_1975-10-17_BG-JOHANNESBURG.MP3</t>
  </si>
  <si>
    <t>https://audio.iskcondesiretree.com/01_-_Srila_Prabhupada/01_-_Lectures/01_-_English/02_-_Month_wise/10_-_October/17/Bg-02-01%E2%80%9311_1975-10-17_BG-JOHANNESBURG.MP3</t>
  </si>
  <si>
    <t>Bg_02-01_JOH_1975-10-17_When_to_Approach_a_Guru.mp3</t>
  </si>
  <si>
    <t>https://audio.iskcondesiretree.com/01_-_Srila_Prabhupada/01_-_Lectures/01_-_English/02_-_Month_wise/10_-_October/17/Bg_02-01_JOH_1975-10-17_When_to_Approach_a_Guru.mp3</t>
  </si>
  <si>
    <t>Conv_1975-10-17_R1-JOHANNESBURG.MP3</t>
  </si>
  <si>
    <t>https://audio.iskcondesiretree.com/01_-_Srila_Prabhupada/01_-_Lectures/01_-_English/02_-_Month_wise/10_-_October/17/Conv_1975-10-17_R1-JOHANNESBURG.MP3</t>
  </si>
  <si>
    <t>Walk_1975-10-17_MW-JOHANNESBURG.MP3</t>
  </si>
  <si>
    <t>https://audio.iskcondesiretree.com/01_-_Srila_Prabhupada/01_-_Lectures/01_-_English/02_-_Month_wise/10_-_October/17/Walk_1975-10-17_MW-JOHANNESBURG.MP3</t>
  </si>
  <si>
    <t>SP_BG_16-06_Durban_1975-10-18_Demons%27_Symptoms.mp3</t>
  </si>
  <si>
    <t>https://audio.iskcondesiretree.com/01_-_Srila_Prabhupada/01_-_Lectures/01_-_English/01_-_Topic_wise/Bhagavad_Gita/Chapter-16/SP_BG_16-06_Durban_1975-10-18_Demons%27_Symptoms.mp3</t>
  </si>
  <si>
    <t>SP_Morning_Walk_-_Johannesburg_1975-10-18_Modern_Education_Makes_Asses.mp3</t>
  </si>
  <si>
    <t>https://audio.iskcondesiretree.com/01_-_Srila_Prabhupada/01_-_Lectures/01_-_English/01_-_Topic_wise/Morning_Walk/SP_Morning_Walk_-_Johannesburg_1975-10-18_Modern_Education_Makes_Asses.mp3</t>
  </si>
  <si>
    <t>Bg-16-06_1975-10-18_BG-JOHANNESBURG.MP3</t>
  </si>
  <si>
    <t>https://audio.iskcondesiretree.com/01_-_Srila_Prabhupada/01_-_Lectures/01_-_English/02_-_Month_wise/10_-_October/18/Bg-16-06_1975-10-18_BG-JOHANNESBURG.MP3</t>
  </si>
  <si>
    <t>Bg_16-06_DUR_1975-10-18_Demons_Symptoms.mp3</t>
  </si>
  <si>
    <t>https://audio.iskcondesiretree.com/01_-_Srila_Prabhupada/01_-_Lectures/01_-_English/02_-_Month_wise/10_-_October/18/Bg_16-06_DUR_1975-10-18_Demons_Symptoms.mp3</t>
  </si>
  <si>
    <t>MW_JOH_1975-10-18_Modern_Education_Makes_Asses.mp3</t>
  </si>
  <si>
    <t>https://audio.iskcondesiretree.com/01_-_Srila_Prabhupada/01_-_Lectures/01_-_English/02_-_Month_wise/10_-_October/18/MW_JOH_1975-10-18_Modern_Education_Makes_Asses.mp3</t>
  </si>
  <si>
    <t>Walk_1975-10-18_MW-JOHANNESBURG.MP3</t>
  </si>
  <si>
    <t>https://audio.iskcondesiretree.com/01_-_Srila_Prabhupada/01_-_Lectures/01_-_English/02_-_Month_wise/10_-_October/18/Walk_1975-10-18_MW-JOHANNESBURG.MP3</t>
  </si>
  <si>
    <t>SP_BG_04-13_Johannesburg_1975-10-19_Sunday_Feast--Cat_and_Dog_Society.mp3</t>
  </si>
  <si>
    <t>https://audio.iskcondesiretree.com/01_-_Srila_Prabhupada/01_-_Lectures/01_-_English/01_-_Topic_wise/Bhagavad_Gita/Chapter-04/SP_BG_04-13_Johannesburg_1975-10-19_Sunday_Feast--Cat_and_Dog_Society.mp3</t>
  </si>
  <si>
    <t>Bg-04-13_1975-10-19_BG-JOHANNESBURG.MP3</t>
  </si>
  <si>
    <t>https://audio.iskcondesiretree.com/01_-_Srila_Prabhupada/01_-_Lectures/01_-_English/02_-_Month_wise/10_-_October/19/Bg-04-13_1975-10-19_BG-JOHANNESBURG.MP3</t>
  </si>
  <si>
    <t>Bg_04-13_JOH_1975-10-19_Sunday_Feast-Cat_and_Dog_Society.mp3</t>
  </si>
  <si>
    <t>https://audio.iskcondesiretree.com/01_-_Srila_Prabhupada/01_-_Lectures/01_-_English/02_-_Month_wise/10_-_October/19/Bg_04-13_JOH_1975-10-19_Sunday_Feast-Cat_and_Dog_Society.mp3</t>
  </si>
  <si>
    <t>Walk_1975-10-19_MW-JOHANNESBURG.MP3</t>
  </si>
  <si>
    <t>https://audio.iskcondesiretree.com/01_-_Srila_Prabhupada/01_-_Lectures/01_-_English/02_-_Month_wise/10_-_October/19/Walk_1975-10-19_MW-JOHANNESBURG.MP3</t>
  </si>
  <si>
    <t>SP_Morning_Walk_-_Johannesburg_1975-10-20_I%27m_Happy-I%27m_Fool_Number_One.mp3</t>
  </si>
  <si>
    <t>https://audio.iskcondesiretree.com/01_-_Srila_Prabhupada/01_-_Lectures/01_-_English/01_-_Topic_wise/Morning_Walk/SP_Morning_Walk_-_Johannesburg_1975-10-20_I%27m_Happy-I%27m_Fool_Number_One.mp3</t>
  </si>
  <si>
    <t>SP_SB_5-05-01_Johannesburg_1975-10-20_The_Natural_World--Unnatural.mp3</t>
  </si>
  <si>
    <t>https://audio.iskcondesiretree.com/01_-_Srila_Prabhupada/01_-_Lectures/01_-_English/01_-_Topic_wise/Srimad_Bhagavatam/Canto-05/SP_SB_5-05-01_Johannesburg_1975-10-20_The_Natural_World--Unnatural.mp3</t>
  </si>
  <si>
    <t>MW_JOH_1975-10-20_I%27m_Happy-I%27m_Fool_Number_One.mp3</t>
  </si>
  <si>
    <t>https://audio.iskcondesiretree.com/01_-_Srila_Prabhupada/01_-_Lectures/01_-_English/02_-_Month_wise/10_-_October/20/MW_JOH_1975-10-20_I%27m_Happy-I%27m_Fool_Number_One.mp3</t>
  </si>
  <si>
    <t>SB-05-05-01_1975-10-20_SB-JOHANNESBURG.MP3</t>
  </si>
  <si>
    <t>https://audio.iskcondesiretree.com/01_-_Srila_Prabhupada/01_-_Lectures/01_-_English/02_-_Month_wise/10_-_October/20/SB-05-05-01_1975-10-20_SB-JOHANNESBURG.MP3</t>
  </si>
  <si>
    <t>SB_5-05-01_JOH_1975-10-20_The_Natural_World_Unnatural.mp3</t>
  </si>
  <si>
    <t>https://audio.iskcondesiretree.com/01_-_Srila_Prabhupada/01_-_Lectures/01_-_English/02_-_Month_wise/10_-_October/20/SB_5-05-01_JOH_1975-10-20_The_Natural_World_Unnatural.mp3</t>
  </si>
  <si>
    <t>Walk_1975-10-20_MW-JOHANNESBURG.MP3</t>
  </si>
  <si>
    <t>https://audio.iskcondesiretree.com/01_-_Srila_Prabhupada/01_-_Lectures/01_-_English/02_-_Month_wise/10_-_October/20/Walk_1975-10-20_MW-JOHANNESBURG.MP3</t>
  </si>
  <si>
    <t>SP_Morning_Walk_-_Johannesburg_1975-10-21_Abortionists-Kick_Them_in_Nose.mp3</t>
  </si>
  <si>
    <t>https://audio.iskcondesiretree.com/01_-_Srila_Prabhupada/01_-_Lectures/01_-_English/01_-_Topic_wise/Morning_Walk/SP_Morning_Walk_-_Johannesburg_1975-10-21_Abortionists-Kick_Them_in_Nose.mp3</t>
  </si>
  <si>
    <t>SP_Room_Conversation_Johannesburg_1975-10-21_Border_Between_Matter_%26_Spirit.mp3</t>
  </si>
  <si>
    <t>https://audio.iskcondesiretree.com/01_-_Srila_Prabhupada/01_-_Lectures/01_-_English/01_-_Topic_wise/Room_Conversation/SP_Room_Conversation_Johannesburg_1975-10-21_Border_Between_Matter_%26_Spirit.mp3</t>
  </si>
  <si>
    <t>Conv_1975-10-21_R1-JOHANNESBURG.MP3</t>
  </si>
  <si>
    <t>https://audio.iskcondesiretree.com/01_-_Srila_Prabhupada/01_-_Lectures/01_-_English/02_-_Month_wise/10_-_October/21/Conv_1975-10-21_R1-JOHANNESBURG.MP3</t>
  </si>
  <si>
    <t>MW_JOH_1975-10-21_Abortionists-Kick_Them_in_Nose.mp3</t>
  </si>
  <si>
    <t>https://audio.iskcondesiretree.com/01_-_Srila_Prabhupada/01_-_Lectures/01_-_English/02_-_Month_wise/10_-_October/21/MW_JOH_1975-10-21_Abortionists-Kick_Them_in_Nose.mp3</t>
  </si>
  <si>
    <t>RC_JOH_1975-10-21_Border_Between_Matter_%26_Spirit.mp3</t>
  </si>
  <si>
    <t>https://audio.iskcondesiretree.com/01_-_Srila_Prabhupada/01_-_Lectures/01_-_English/02_-_Month_wise/10_-_October/21/RC_JOH_1975-10-21_Border_Between_Matter_%26_Spirit.mp3</t>
  </si>
  <si>
    <t>Walk_1975-10-21_MW-JOHANNESBURG.MP3</t>
  </si>
  <si>
    <t>https://audio.iskcondesiretree.com/01_-_Srila_Prabhupada/01_-_Lectures/01_-_English/02_-_Month_wise/10_-_October/21/Walk_1975-10-21_MW-JOHANNESBURG.MP3</t>
  </si>
  <si>
    <t>SP_SB_5-05-02_Johannesburg_1975-10-22_Get_Out_of_Material_Disease.mp3</t>
  </si>
  <si>
    <t>https://audio.iskcondesiretree.com/01_-_Srila_Prabhupada/01_-_Lectures/01_-_English/01_-_Topic_wise/Srimad_Bhagavatam/Canto-05/SP_SB_5-05-02_Johannesburg_1975-10-22_Get_Out_of_Material_Disease.mp3</t>
  </si>
  <si>
    <t>SB-05-05-02_1975-10-22_SB-JOHANNESBURG.MP3</t>
  </si>
  <si>
    <t>https://audio.iskcondesiretree.com/01_-_Srila_Prabhupada/01_-_Lectures/01_-_English/02_-_Month_wise/10_-_October/22/SB-05-05-02_1975-10-22_SB-JOHANNESBURG.MP3</t>
  </si>
  <si>
    <t>SB_5-05-02_JOH_1975-10-22_Get_Out_of_Material_Disease.mp3</t>
  </si>
  <si>
    <t>https://audio.iskcondesiretree.com/01_-_Srila_Prabhupada/01_-_Lectures/01_-_English/02_-_Month_wise/10_-_October/22/SB_5-05-02_JOH_1975-10-22_Get_Out_of_Material_Disease.mp3</t>
  </si>
  <si>
    <t>Walk_1975-10-25_MW-MAURITIUS.MP3</t>
  </si>
  <si>
    <t>https://audio.iskcondesiretree.com/01_-_Srila_Prabhupada/01_-_Lectures/01_-_English/02_-_Month_wise/10_-_October/25/Walk_1975-10-25_MW-MAURITIUS.MP3</t>
  </si>
  <si>
    <t>SP_SB_3-28-17_Nairobi_1975-10-26_I_Must_Love_Krishna.mp3</t>
  </si>
  <si>
    <t>https://audio.iskcondesiretree.com/01_-_Srila_Prabhupada/01_-_Lectures/01_-_English/01_-_Topic_wise/Srimad_Bhagavatam/Canto-03/SP_SB_3-28-17_Nairobi_1975-10-26_I_Must_Love_Krishna.mp3</t>
  </si>
  <si>
    <t>SB-03-28-17_1975-10-26_SB-NAIROBI.MP3</t>
  </si>
  <si>
    <t>https://audio.iskcondesiretree.com/01_-_Srila_Prabhupada/01_-_Lectures/01_-_English/02_-_Month_wise/10_-_October/26/SB-03-28-17_1975-10-26_SB-NAIROBI.MP3</t>
  </si>
  <si>
    <t>SB_3-28-17_NAI_1975-10-26_I_Must_Love_Krishna.mp3</t>
  </si>
  <si>
    <t>https://audio.iskcondesiretree.com/01_-_Srila_Prabhupada/01_-_Lectures/01_-_English/02_-_Month_wise/10_-_October/26/SB_3-28-17_NAI_1975-10-26_I_Must_Love_Krishna.mp3</t>
  </si>
  <si>
    <t>Walk_1975-10-26_MW-MAURITIUS.MP3</t>
  </si>
  <si>
    <t>https://audio.iskcondesiretree.com/01_-_Srila_Prabhupada/01_-_Lectures/01_-_English/02_-_Month_wise/10_-_October/26/Walk_1975-10-26_MW-MAURITIUS.MP3</t>
  </si>
  <si>
    <t>SP_BG_07-01_Nairobi_1975-10-27_Always_Think_of_Krishna.mp3</t>
  </si>
  <si>
    <t>https://audio.iskcondesiretree.com/01_-_Srila_Prabhupada/01_-_Lectures/01_-_English/01_-_Topic_wise/Bhagavad_Gita/Chapter-07/SP_BG_07-01_Nairobi_1975-10-27_Always_Think_of_Krishna.mp3</t>
  </si>
  <si>
    <t>SP_SB_3-12-18_Nairobi_1975-10-27_Stay_Under_Krishna%27s_Protection.mp3</t>
  </si>
  <si>
    <t>https://audio.iskcondesiretree.com/01_-_Srila_Prabhupada/01_-_Lectures/01_-_English/01_-_Topic_wise/Srimad_Bhagavatam/Canto-03/SP_SB_3-12-18_Nairobi_1975-10-27_Stay_Under_Krishna%27s_Protection.mp3</t>
  </si>
  <si>
    <t>Bg-07-01_1975-10-27_BG-NAIROBI.MP3</t>
  </si>
  <si>
    <t>https://audio.iskcondesiretree.com/01_-_Srila_Prabhupada/01_-_Lectures/01_-_English/02_-_Month_wise/10_-_October/27/Bg-07-01_1975-10-27_BG-NAIROBI.MP3</t>
  </si>
  <si>
    <t>Bg_07-01_NAI_1975-10-27_Always_Think_of_Krishna.mp3</t>
  </si>
  <si>
    <t>https://audio.iskcondesiretree.com/01_-_Srila_Prabhupada/01_-_Lectures/01_-_English/02_-_Month_wise/10_-_October/27/Bg_07-01_NAI_1975-10-27_Always_Think_of_Krishna.mp3</t>
  </si>
  <si>
    <t>SB-03-28-18_1975-10-27_SB-NAIROBI.MP3</t>
  </si>
  <si>
    <t>https://audio.iskcondesiretree.com/01_-_Srila_Prabhupada/01_-_Lectures/01_-_English/02_-_Month_wise/10_-_October/27/SB-03-28-18_1975-10-27_SB-NAIROBI.MP3</t>
  </si>
  <si>
    <t>SB_3-12-18_NAI_1975-10-27_Stay_Under_Krishna%27s_Protection.mp3</t>
  </si>
  <si>
    <t>https://audio.iskcondesiretree.com/01_-_Srila_Prabhupada/01_-_Lectures/01_-_English/02_-_Month_wise/10_-_October/27/SB_3-12-18_NAI_1975-10-27_Stay_Under_Krishna%27s_Protection.mp3</t>
  </si>
  <si>
    <t>SP_BG_07-01_NAI_1975-10-27_Sempre_Pense_em_Krsna.mp3</t>
  </si>
  <si>
    <t>https://audio.iskcondesiretree.com/01_-_Srila_Prabhupada/01_-_Lectures/04_-_Translation/Portuguese/by_Lilananda_Prabhu/SP_BG_07-01_NAI_1975-10-27_Sempre_Pense_em_Krsna.mp3</t>
  </si>
  <si>
    <t>SP_BG_07-02_Nairobi_1975-10-28_Madmen_Can%27t_Give_You_Knowledge.mp3</t>
  </si>
  <si>
    <t>https://audio.iskcondesiretree.com/01_-_Srila_Prabhupada/01_-_Lectures/01_-_English/01_-_Topic_wise/Bhagavad_Gita/Chapter-07/SP_BG_07-02_Nairobi_1975-10-28_Madmen_Can%27t_Give_You_Knowledge.mp3</t>
  </si>
  <si>
    <t>Bg-07-02_1975-10-28_BG-NAIROBI.MP3</t>
  </si>
  <si>
    <t>https://audio.iskcondesiretree.com/01_-_Srila_Prabhupada/01_-_Lectures/01_-_English/02_-_Month_wise/10_-_October/28/Bg-07-02_1975-10-28_BG-NAIROBI.MP3</t>
  </si>
  <si>
    <t>Bg_07-02_NAI_1975-10-28_Madmen_Can%27t_Give_You_Knowledge.mp3</t>
  </si>
  <si>
    <t>https://audio.iskcondesiretree.com/01_-_Srila_Prabhupada/01_-_Lectures/01_-_English/02_-_Month_wise/10_-_October/28/Bg_07-02_NAI_1975-10-28_Madmen_Can%27t_Give_You_Knowledge.mp3</t>
  </si>
  <si>
    <t>Walk_1975-10-28_MW-NAIROBI.MP3</t>
  </si>
  <si>
    <t>https://audio.iskcondesiretree.com/01_-_Srila_Prabhupada/01_-_Lectures/01_-_English/02_-_Month_wise/10_-_October/28/Walk_1975-10-28_MW-NAIROBI.MP3</t>
  </si>
  <si>
    <t>SP_BG_07-03_Nairobi_1975-10-29_Everyone_Here_Is_a_Fool_Number_One.mp3</t>
  </si>
  <si>
    <t>https://audio.iskcondesiretree.com/01_-_Srila_Prabhupada/01_-_Lectures/01_-_English/01_-_Topic_wise/Bhagavad_Gita/Chapter-07/SP_BG_07-03_Nairobi_1975-10-29_Everyone_Here_Is_a_Fool_Number_One.mp3</t>
  </si>
  <si>
    <t>SP_Room_Conversation_Nairobi_1975-10-29_Serving_Krishna-Feeding_Stomach.mp3</t>
  </si>
  <si>
    <t>https://audio.iskcondesiretree.com/01_-_Srila_Prabhupada/01_-_Lectures/01_-_English/01_-_Topic_wise/Room_Conversation/SP_Room_Conversation_Nairobi_1975-10-29_Serving_Krishna-Feeding_Stomach.mp3</t>
  </si>
  <si>
    <t>SP_SB_3-28-19_Nairobi_1975-10-29_Krishna%27s_Impression_in_Heart.mp3</t>
  </si>
  <si>
    <t>https://audio.iskcondesiretree.com/01_-_Srila_Prabhupada/01_-_Lectures/01_-_English/01_-_Topic_wise/Srimad_Bhagavatam/Canto-03/SP_SB_3-28-19_Nairobi_1975-10-29_Krishna%27s_Impression_in_Heart.mp3</t>
  </si>
  <si>
    <t>Bg-07-03_1975-10-29_BG-NAIROBI.MP3</t>
  </si>
  <si>
    <t>https://audio.iskcondesiretree.com/01_-_Srila_Prabhupada/01_-_Lectures/01_-_English/02_-_Month_wise/10_-_October/29/Bg-07-03_1975-10-29_BG-NAIROBI.MP3</t>
  </si>
  <si>
    <t>Bg_07-03_NAI_1975-10-29_Everyone_Here_Is_a_Fool_Number_One.mp3</t>
  </si>
  <si>
    <t>https://audio.iskcondesiretree.com/01_-_Srila_Prabhupada/01_-_Lectures/01_-_English/02_-_Month_wise/10_-_October/29/Bg_07-03_NAI_1975-10-29_Everyone_Here_Is_a_Fool_Number_One.mp3</t>
  </si>
  <si>
    <t>Conv_1975-10-29_R1-NAIROBI.MP3</t>
  </si>
  <si>
    <t>https://audio.iskcondesiretree.com/01_-_Srila_Prabhupada/01_-_Lectures/01_-_English/02_-_Month_wise/10_-_October/29/Conv_1975-10-29_R1-NAIROBI.MP3</t>
  </si>
  <si>
    <t>Conv_1975-10-29_R2-NAIROBI.MP3</t>
  </si>
  <si>
    <t>https://audio.iskcondesiretree.com/01_-_Srila_Prabhupada/01_-_Lectures/01_-_English/02_-_Month_wise/10_-_October/29/Conv_1975-10-29_R2-NAIROBI.MP3</t>
  </si>
  <si>
    <t>RC_NAI_1975-10-29_Serving_Krishna-Feeding_Stomach.mp3</t>
  </si>
  <si>
    <t>https://audio.iskcondesiretree.com/01_-_Srila_Prabhupada/01_-_Lectures/01_-_English/02_-_Month_wise/10_-_October/29/RC_NAI_1975-10-29_Serving_Krishna-Feeding_Stomach.mp3</t>
  </si>
  <si>
    <t>SB-03-28-19_1975-10-29_SB-NAIROBI.MP3</t>
  </si>
  <si>
    <t>https://audio.iskcondesiretree.com/01_-_Srila_Prabhupada/01_-_Lectures/01_-_English/02_-_Month_wise/10_-_October/29/SB-03-28-19_1975-10-29_SB-NAIROBI.MP3</t>
  </si>
  <si>
    <t>SB_3-28-19_NAI_1975-10-29_Krishna%27s_Impression_in_Heart.mp3</t>
  </si>
  <si>
    <t>https://audio.iskcondesiretree.com/01_-_Srila_Prabhupada/01_-_Lectures/01_-_English/02_-_Month_wise/10_-_October/29/SB_3-28-19_NAI_1975-10-29_Krishna%27s_Impression_in_Heart.mp3</t>
  </si>
  <si>
    <t>Walk_1975-10-29_MW-NAIROBI.MP3</t>
  </si>
  <si>
    <t>https://audio.iskcondesiretree.com/01_-_Srila_Prabhupada/01_-_Lectures/01_-_English/02_-_Month_wise/10_-_October/29/Walk_1975-10-29_MW-NAIROBI.MP3</t>
  </si>
  <si>
    <t>SP_SB_3-28-20_Nairobi_1975-10-30_A_Most_Moving_%27Statue%27.mp3</t>
  </si>
  <si>
    <t>https://audio.iskcondesiretree.com/01_-_Srila_Prabhupada/01_-_Lectures/01_-_English/01_-_Topic_wise/Srimad_Bhagavatam/Canto-03/SP_SB_3-28-20_Nairobi_1975-10-30_A_Most_Moving_%27Statue%27.mp3</t>
  </si>
  <si>
    <t>SB-03-28-20_1975-10-30_SB-NAIROBI.MP3</t>
  </si>
  <si>
    <t>https://audio.iskcondesiretree.com/01_-_Srila_Prabhupada/01_-_Lectures/01_-_English/02_-_Month_wise/10_-_October/30/SB-03-28-20_1975-10-30_SB-NAIROBI.MP3</t>
  </si>
  <si>
    <t>SB_3-28-20_NAI_1975-10-30_A_Most_Moving_Statue.mp3</t>
  </si>
  <si>
    <t>https://audio.iskcondesiretree.com/01_-_Srila_Prabhupada/01_-_Lectures/01_-_English/02_-_Month_wise/10_-_October/30/SB_3-28-20_NAI_1975-10-30_A_Most_Moving_Statue.mp3</t>
  </si>
  <si>
    <t>SP_BG_07-04_Nairobi_1975-10-31_Darwin-Monkeys%27_Knowledge.mp3</t>
  </si>
  <si>
    <t>https://audio.iskcondesiretree.com/01_-_Srila_Prabhupada/01_-_Lectures/01_-_English/01_-_Topic_wise/Bhagavad_Gita/Chapter-07/SP_BG_07-04_Nairobi_1975-10-31_Darwin-Monkeys%27_Knowledge.mp3</t>
  </si>
  <si>
    <t>Bg-07-04_1975-10-31_BG-NAIROBI.MP3</t>
  </si>
  <si>
    <t>https://audio.iskcondesiretree.com/01_-_Srila_Prabhupada/01_-_Lectures/01_-_English/02_-_Month_wise/10_-_October/31/Bg-07-04_1975-10-31_BG-NAIROBI.MP3</t>
  </si>
  <si>
    <t>Bg_07-04_NAI_1975-10-31_Darwin-Monkeys_Knowledge.mp3</t>
  </si>
  <si>
    <t>https://audio.iskcondesiretree.com/01_-_Srila_Prabhupada/01_-_Lectures/01_-_English/02_-_Month_wise/10_-_October/31/Bg_07-04_NAI_1975-10-31_Darwin-Monkeys_Knowledge.mp3</t>
  </si>
  <si>
    <t>SP_BG_07-05_Nairobi_1975-11-01_High_Energy-Low_Energy.mp3</t>
  </si>
  <si>
    <t>https://audio.iskcondesiretree.com/01_-_Srila_Prabhupada/01_-_Lectures/01_-_English/01_-_Topic_wise/Bhagavad_Gita/Chapter-07/SP_BG_07-05_Nairobi_1975-11-01_High_Energy-Low_Energy.mp3</t>
  </si>
  <si>
    <t>SP_Room_Conversation_Nairobi_1975-11-01_Lord%27s_Gigantic_Body.mp3</t>
  </si>
  <si>
    <t>https://audio.iskcondesiretree.com/01_-_Srila_Prabhupada/01_-_Lectures/01_-_English/01_-_Topic_wise/Room_Conversation/SP_Room_Conversation_Nairobi_1975-11-01_Lord%27s_Gigantic_Body.mp3</t>
  </si>
  <si>
    <t>SP_SB_3-28-21_Nairobi_1975-11-01_Why_Pay_Electric--etc.mp3</t>
  </si>
  <si>
    <t>https://audio.iskcondesiretree.com/01_-_Srila_Prabhupada/01_-_Lectures/01_-_English/01_-_Topic_wise/Srimad_Bhagavatam/Canto-03/SP_SB_3-28-21_Nairobi_1975-11-01_Why_Pay_Electric--etc.mp3</t>
  </si>
  <si>
    <t>Bg-07-05_1975-11-01_BG-NAIROBI.MP3</t>
  </si>
  <si>
    <t>https://audio.iskcondesiretree.com/01_-_Srila_Prabhupada/01_-_Lectures/01_-_English/02_-_Month_wise/11_-_November/01/Bg-07-05_1975-11-01_BG-NAIROBI.MP3</t>
  </si>
  <si>
    <t>Bg_07-05_NAI_1975-11-01_High_Energy-Low_Energy.mp3</t>
  </si>
  <si>
    <t>https://audio.iskcondesiretree.com/01_-_Srila_Prabhupada/01_-_Lectures/01_-_English/02_-_Month_wise/11_-_November/01/Bg_07-05_NAI_1975-11-01_High_Energy-Low_Energy.mp3</t>
  </si>
  <si>
    <t>RC_NAI_1975-11-01_Lord%27s_Gigantic_Body.mp3</t>
  </si>
  <si>
    <t>https://audio.iskcondesiretree.com/01_-_Srila_Prabhupada/01_-_Lectures/01_-_English/02_-_Month_wise/11_-_November/01/RC_NAI_1975-11-01_Lord%27s_Gigantic_Body.mp3</t>
  </si>
  <si>
    <t>SB-03-28-21_1975-11-01_SB-NAIROBI.MP3</t>
  </si>
  <si>
    <t>https://audio.iskcondesiretree.com/01_-_Srila_Prabhupada/01_-_Lectures/01_-_English/02_-_Month_wise/11_-_November/01/SB-03-28-21_1975-11-01_SB-NAIROBI.MP3</t>
  </si>
  <si>
    <t>SB_3-28-21_NAI_1975-11-01_Why_Pay_Electric_etc.mp3</t>
  </si>
  <si>
    <t>https://audio.iskcondesiretree.com/01_-_Srila_Prabhupada/01_-_Lectures/01_-_English/02_-_Month_wise/11_-_November/01/SB_3-28-21_NAI_1975-11-01_Why_Pay_Electric_etc.mp3</t>
  </si>
  <si>
    <t>Walk_1975-11-01_MW-NAIROBI.MP3</t>
  </si>
  <si>
    <t>https://audio.iskcondesiretree.com/01_-_Srila_Prabhupada/01_-_Lectures/01_-_English/02_-_Month_wise/11_-_November/01/Walk_1975-11-01_MW-NAIROBI.MP3</t>
  </si>
  <si>
    <t>Lecture%E2%80%93Hindi_1975-11-02_LE-BOMBAY.MP3</t>
  </si>
  <si>
    <t>https://audio.iskcondesiretree.com/01_-_Srila_Prabhupada/01_-_Lectures/01_-_English/02_-_Month_wise/11_-_November/02/Lecture%E2%80%93Hindi_1975-11-02_LE-BOMBAY.MP3</t>
  </si>
  <si>
    <t>Walk_1975-11-02_MW-NAIROBI.MP3</t>
  </si>
  <si>
    <t>https://audio.iskcondesiretree.com/01_-_Srila_Prabhupada/01_-_Lectures/01_-_English/02_-_Month_wise/11_-_November/02/Walk_1975-11-02_MW-NAIROBI.MP3</t>
  </si>
  <si>
    <t>SP_CC_M_20-101_Bombay_1975-11-03_To_Become_Spiritually_Advanced.mp3</t>
  </si>
  <si>
    <t>https://audio.iskcondesiretree.com/01_-_Srila_Prabhupada/01_-_Lectures/01_-_English/01_-_Topic_wise/Chaitanya_Charitamrita/Madhya_Lila/SP_CC_M_20-101_Bombay_1975-11-03_To_Become_Spiritually_Advanced.mp3</t>
  </si>
  <si>
    <t>SP_Morning_Walk_-_Bombay_1975-11-03_Peace_in_Society_of_Dogs.mp3</t>
  </si>
  <si>
    <t>https://audio.iskcondesiretree.com/01_-_Srila_Prabhupada/01_-_Lectures/01_-_English/01_-_Topic_wise/Morning_Walk/SP_Morning_Walk_-_Bombay_1975-11-03_Peace_in_Society_of_Dogs.mp3</t>
  </si>
  <si>
    <t>Cc_M_20-101_BOM_1975-11-03_To_Become_Spiritually_Advanced.mp3</t>
  </si>
  <si>
    <t>https://audio.iskcondesiretree.com/01_-_Srila_Prabhupada/01_-_Lectures/01_-_English/02_-_Month_wise/11_-_November/03/Cc_M_20-101_BOM_1975-11-03_To_Become_Spiritually_Advanced.mp3</t>
  </si>
  <si>
    <t>CcMadhya-20-101%E2%80%93104_1975-11-03_CC-BOMBAY.MP3</t>
  </si>
  <si>
    <t>https://audio.iskcondesiretree.com/01_-_Srila_Prabhupada/01_-_Lectures/01_-_English/02_-_Month_wise/11_-_November/03/CcMadhya-20-101%E2%80%93104_1975-11-03_CC-BOMBAY.MP3</t>
  </si>
  <si>
    <t>MW_BOM_1975-11-03_Peace_in_Society_of_Dogs.mp3</t>
  </si>
  <si>
    <t>https://audio.iskcondesiretree.com/01_-_Srila_Prabhupada/01_-_Lectures/01_-_English/02_-_Month_wise/11_-_November/03/MW_BOM_1975-11-03_Peace_in_Society_of_Dogs.mp3</t>
  </si>
  <si>
    <t>Walk_1975-11-03_MW-BOMBAY.MP3</t>
  </si>
  <si>
    <t>https://audio.iskcondesiretree.com/01_-_Srila_Prabhupada/01_-_Lectures/01_-_English/02_-_Month_wise/11_-_November/03/Walk_1975-11-03_MW-BOMBAY.MP3</t>
  </si>
  <si>
    <t>Walk_1975-11-04_MW-BOMBAY.MP3</t>
  </si>
  <si>
    <t>https://audio.iskcondesiretree.com/01_-_Srila_Prabhupada/01_-_Lectures/01_-_English/02_-_Month_wise/11_-_November/04/Walk_1975-11-04_MW-BOMBAY.MP3</t>
  </si>
  <si>
    <t>SP_Morning_Walk_-_Bombay_1975-11-07_Discussion_of_Dioramas.mp3</t>
  </si>
  <si>
    <t>https://audio.iskcondesiretree.com/01_-_Srila_Prabhupada/01_-_Lectures/01_-_English/01_-_Topic_wise/Morning_Walk/SP_Morning_Walk_-_Bombay_1975-11-07_Discussion_of_Dioramas.mp3</t>
  </si>
  <si>
    <t>MW_BOM_1975-11-07_Discussion_of_Dioramas.mp3</t>
  </si>
  <si>
    <t>https://audio.iskcondesiretree.com/01_-_Srila_Prabhupada/01_-_Lectures/01_-_English/02_-_Month_wise/11_-_November/07/MW_BOM_1975-11-07_Discussion_of_Dioramas.mp3</t>
  </si>
  <si>
    <t>Walk_1975-11-07_MW-BOMBAY.MP3</t>
  </si>
  <si>
    <t>https://audio.iskcondesiretree.com/01_-_Srila_Prabhupada/01_-_Lectures/01_-_English/02_-_Month_wise/11_-_November/07/Walk_1975-11-07_MW-BOMBAY.MP3</t>
  </si>
  <si>
    <t>SP_Morning_Walk_-_Bombay_1975-11-08_So-Called_Knowledge_Is_Useless.mp3</t>
  </si>
  <si>
    <t>https://audio.iskcondesiretree.com/01_-_Srila_Prabhupada/01_-_Lectures/01_-_English/01_-_Topic_wise/Morning_Walk/SP_Morning_Walk_-_Bombay_1975-11-08_So-Called_Knowledge_Is_Useless.mp3</t>
  </si>
  <si>
    <t>MW_BOM_1975-11-08_So-Called_Knowledge_Is_Useless.mp3</t>
  </si>
  <si>
    <t>https://audio.iskcondesiretree.com/01_-_Srila_Prabhupada/01_-_Lectures/01_-_English/02_-_Month_wise/11_-_November/08/MW_BOM_1975-11-08_So-Called_Knowledge_Is_Useless.mp3</t>
  </si>
  <si>
    <t>Walk_1975-11-08_MW-BOMBAY.MP3</t>
  </si>
  <si>
    <t>https://audio.iskcondesiretree.com/01_-_Srila_Prabhupada/01_-_Lectures/01_-_English/02_-_Month_wise/11_-_November/08/Walk_1975-11-08_MW-BOMBAY.MP3</t>
  </si>
  <si>
    <t>SP_CC_M_20-100_Bombay_1975-11-09_How_to_Accept_the_Lord%27s_Instruction.mp3</t>
  </si>
  <si>
    <t>https://audio.iskcondesiretree.com/01_-_Srila_Prabhupada/01_-_Lectures/01_-_English/01_-_Topic_wise/Chaitanya_Charitamrita/Madhya_Lila/SP_CC_M_20-100_Bombay_1975-11-09_How_to_Accept_the_Lord%27s_Instruction.mp3</t>
  </si>
  <si>
    <t>Cc_M_20-100_BOM_1975-11-09_How_to_Accept_the_Lord%27s_Instruction.mp3</t>
  </si>
  <si>
    <t>https://audio.iskcondesiretree.com/01_-_Srila_Prabhupada/01_-_Lectures/01_-_English/02_-_Month_wise/11_-_November/09/Cc_M_20-100_BOM_1975-11-09_How_to_Accept_the_Lord%27s_Instruction.mp3</t>
  </si>
  <si>
    <t>CcMadhya-20-100%E2%80%93108_1975-11-09_CC-BOMBAY.MP3</t>
  </si>
  <si>
    <t>https://audio.iskcondesiretree.com/01_-_Srila_Prabhupada/01_-_Lectures/01_-_English/02_-_Month_wise/11_-_November/09/CcMadhya-20-100%E2%80%93108_1975-11-09_CC-BOMBAY.MP3</t>
  </si>
  <si>
    <t>SP_Morning_Walk_-_Bombay_1975-11-10_Nationalism_Is_Irrationalism.mp3</t>
  </si>
  <si>
    <t>https://audio.iskcondesiretree.com/01_-_Srila_Prabhupada/01_-_Lectures/01_-_English/01_-_Topic_wise/Morning_Walk/SP_Morning_Walk_-_Bombay_1975-11-10_Nationalism_Is_Irrationalism.mp3</t>
  </si>
  <si>
    <t>MW_BOM_1975-11-10_Nationalism_Is_Irrationalism.mp3</t>
  </si>
  <si>
    <t>https://audio.iskcondesiretree.com/01_-_Srila_Prabhupada/01_-_Lectures/01_-_English/02_-_Month_wise/11_-_November/10/MW_BOM_1975-11-10_Nationalism_Is_Irrationalism.mp3</t>
  </si>
  <si>
    <t>Walk_1975-11-10_MW-BOMBAY.MP3</t>
  </si>
  <si>
    <t>https://audio.iskcondesiretree.com/01_-_Srila_Prabhupada/01_-_Lectures/01_-_English/02_-_Month_wise/11_-_November/10/Walk_1975-11-10_MW-BOMBAY.MP3</t>
  </si>
  <si>
    <t>SP_Morning_Walk_-_Bombay_1975-11-11_Advancement_of_Maya.mp3</t>
  </si>
  <si>
    <t>https://audio.iskcondesiretree.com/01_-_Srila_Prabhupada/01_-_Lectures/01_-_English/01_-_Topic_wise/Morning_Walk/SP_Morning_Walk_-_Bombay_1975-11-11_Advancement_of_Maya.mp3</t>
  </si>
  <si>
    <t>MW_BOM_1975-11-11_Advancement_of_Maya.mp3</t>
  </si>
  <si>
    <t>https://audio.iskcondesiretree.com/01_-_Srila_Prabhupada/01_-_Lectures/01_-_English/02_-_Month_wise/11_-_November/11/MW_BOM_1975-11-11_Advancement_of_Maya.mp3</t>
  </si>
  <si>
    <t>Walk_1975-11-11_MW-BOMBAY.MP3</t>
  </si>
  <si>
    <t>https://audio.iskcondesiretree.com/01_-_Srila_Prabhupada/01_-_Lectures/01_-_English/02_-_Month_wise/11_-_November/11/Walk_1975-11-11_MW-BOMBAY.MP3</t>
  </si>
  <si>
    <t>SP_CC_M_20-102_Bombay_1975-11-12_Who_Am_I--Why_Am_I_Miserable.mp3</t>
  </si>
  <si>
    <t>https://audio.iskcondesiretree.com/01_-_Srila_Prabhupada/01_-_Lectures/01_-_English/01_-_Topic_wise/Chaitanya_Charitamrita/Madhya_Lila/SP_CC_M_20-102_Bombay_1975-11-12_Who_Am_I--Why_Am_I_Miserable.mp3</t>
  </si>
  <si>
    <t>SP_Morning_Walk_-_Bombay_1975-11-12_Maya_and_Her_Ministers.mp3</t>
  </si>
  <si>
    <t>https://audio.iskcondesiretree.com/01_-_Srila_Prabhupada/01_-_Lectures/01_-_English/01_-_Topic_wise/Morning_Walk/SP_Morning_Walk_-_Bombay_1975-11-12_Maya_and_Her_Ministers.mp3</t>
  </si>
  <si>
    <t>Cc_M_20-102_BOM_1975-11-12_Who_Am_I-Why_Am_I_Miserable.mp3</t>
  </si>
  <si>
    <t>https://audio.iskcondesiretree.com/01_-_Srila_Prabhupada/01_-_Lectures/01_-_English/02_-_Month_wise/11_-_November/12/Cc_M_20-102_BOM_1975-11-12_Who_Am_I-Why_Am_I_Miserable.mp3</t>
  </si>
  <si>
    <t>CcMadhya-20-120_1975-11-12_CC-BOMBAY.MP3</t>
  </si>
  <si>
    <t>https://audio.iskcondesiretree.com/01_-_Srila_Prabhupada/01_-_Lectures/01_-_English/02_-_Month_wise/11_-_November/12/CcMadhya-20-120_1975-11-12_CC-BOMBAY.MP3</t>
  </si>
  <si>
    <t>MW_BOM_1975-11-12_Maya_and_Her_Ministers.mp3</t>
  </si>
  <si>
    <t>https://audio.iskcondesiretree.com/01_-_Srila_Prabhupada/01_-_Lectures/01_-_English/02_-_Month_wise/11_-_November/12/MW_BOM_1975-11-12_Maya_and_Her_Ministers.mp3</t>
  </si>
  <si>
    <t>Walk_1975-11-12_MW-BOMBAY.MP3</t>
  </si>
  <si>
    <t>https://audio.iskcondesiretree.com/01_-_Srila_Prabhupada/01_-_Lectures/01_-_English/02_-_Month_wise/11_-_November/12/Walk_1975-11-12_MW-BOMBAY.MP3</t>
  </si>
  <si>
    <t>SP_Morning_Walk_-_Bombay_1975-11-13_Anyone_Who_is_Not_a_Devotee_Is_a_Rascal.mp3</t>
  </si>
  <si>
    <t>https://audio.iskcondesiretree.com/01_-_Srila_Prabhupada/01_-_Lectures/01_-_English/01_-_Topic_wise/Morning_Walk/SP_Morning_Walk_-_Bombay_1975-11-13_Anyone_Who_is_Not_a_Devotee_Is_a_Rascal.mp3</t>
  </si>
  <si>
    <t>MW_BOM_1975-11-13_Anyone_Who_is_Not_a_Devotee_Is_a_Rascal.mp3</t>
  </si>
  <si>
    <t>https://audio.iskcondesiretree.com/01_-_Srila_Prabhupada/01_-_Lectures/01_-_English/02_-_Month_wise/11_-_November/13/MW_BOM_1975-11-13_Anyone_Who_is_Not_a_Devotee_Is_a_Rascal.mp3</t>
  </si>
  <si>
    <t>Walk_1975-11-13_MW-BOMBAY.MP3</t>
  </si>
  <si>
    <t>https://audio.iskcondesiretree.com/01_-_Srila_Prabhupada/01_-_Lectures/01_-_English/02_-_Month_wise/11_-_November/13/Walk_1975-11-13_MW-BOMBAY.MP3</t>
  </si>
  <si>
    <t>SP_Morning_Walk_-_Bombay_1975-11-14_Scientific_Know-Nothings.mp3</t>
  </si>
  <si>
    <t>https://audio.iskcondesiretree.com/01_-_Srila_Prabhupada/01_-_Lectures/01_-_English/01_-_Topic_wise/Morning_Walk/SP_Morning_Walk_-_Bombay_1975-11-14_Scientific_Know-Nothings.mp3</t>
  </si>
  <si>
    <t>MW_BOM_1975-11-14_Scientific_Know-Nothings.mp3</t>
  </si>
  <si>
    <t>https://audio.iskcondesiretree.com/01_-_Srila_Prabhupada/01_-_Lectures/01_-_English/02_-_Month_wise/11_-_November/14/MW_BOM_1975-11-14_Scientific_Know-Nothings.mp3</t>
  </si>
  <si>
    <t>SB-05-05-01%E2%80%93Hindi_1975-11-14_SB-BOMBAY.MP3</t>
  </si>
  <si>
    <t>https://audio.iskcondesiretree.com/01_-_Srila_Prabhupada/01_-_Lectures/01_-_English/02_-_Month_wise/11_-_November/14/SB-05-05-01%E2%80%93Hindi_1975-11-14_SB-BOMBAY.MP3</t>
  </si>
  <si>
    <t>Walk_1975-11-14_MW-BOMBAY.MP3</t>
  </si>
  <si>
    <t>https://audio.iskcondesiretree.com/01_-_Srila_Prabhupada/01_-_Lectures/01_-_English/02_-_Month_wise/11_-_November/14/Walk_1975-11-14_MW-BOMBAY.MP3</t>
  </si>
  <si>
    <t>Lecture%E2%80%93Hindi_1975-11-15_LE-BOMBAY.MP3</t>
  </si>
  <si>
    <t>https://audio.iskcondesiretree.com/01_-_Srila_Prabhupada/01_-_Lectures/01_-_English/02_-_Month_wise/11_-_November/15/Lecture%E2%80%93Hindi_1975-11-15_LE-BOMBAY.MP3</t>
  </si>
  <si>
    <t>Walk_1975-11-15_MW-BOMBAY.MP3</t>
  </si>
  <si>
    <t>https://audio.iskcondesiretree.com/01_-_Srila_Prabhupada/01_-_Lectures/01_-_English/02_-_Month_wise/11_-_November/15/Walk_1975-11-15_MW-BOMBAY.MP3</t>
  </si>
  <si>
    <t>SP_Morning_Walk_-_Bombay_1975-11-16_Scientists_Goats_Politicians.mp3</t>
  </si>
  <si>
    <t>https://audio.iskcondesiretree.com/01_-_Srila_Prabhupada/01_-_Lectures/01_-_English/01_-_Topic_wise/Morning_Walk/SP_Morning_Walk_-_Bombay_1975-11-16_Scientists_Goats_Politicians.mp3</t>
  </si>
  <si>
    <t>SP_Lecture_Bombay_1975-11-16_The_Covered_Margin--Uncovered.mp3</t>
  </si>
  <si>
    <t>https://audio.iskcondesiretree.com/01_-_Srila_Prabhupada/01_-_Lectures/01_-_English/01_-_Topic_wise/Various/SP_Lecture_Bombay_1975-11-16_The_Covered_Margin--Uncovered.mp3</t>
  </si>
  <si>
    <t>CcMadhya-20-108_1975-11-16_CC-BOMBAY.MP3</t>
  </si>
  <si>
    <t>https://audio.iskcondesiretree.com/01_-_Srila_Prabhupada/01_-_Lectures/01_-_English/02_-_Month_wise/11_-_November/16/CcMadhya-20-108_1975-11-16_CC-BOMBAY.MP3</t>
  </si>
  <si>
    <t>Lect_BOM_1975-11-16_The_Covered_Margin_Uncovered.mp3</t>
  </si>
  <si>
    <t>https://audio.iskcondesiretree.com/01_-_Srila_Prabhupada/01_-_Lectures/01_-_English/02_-_Month_wise/11_-_November/16/Lect_BOM_1975-11-16_The_Covered_Margin_Uncovered.mp3</t>
  </si>
  <si>
    <t>MW_BOM_1975-11-16_Scientists%2C_Goats%2C_Politicians.mp3</t>
  </si>
  <si>
    <t>https://audio.iskcondesiretree.com/01_-_Srila_Prabhupada/01_-_Lectures/01_-_English/02_-_Month_wise/11_-_November/16/MW_BOM_1975-11-16_Scientists%2C_Goats%2C_Politicians.mp3</t>
  </si>
  <si>
    <t>Walk_1975-11-16_MW-BOMBAY.MP3</t>
  </si>
  <si>
    <t>https://audio.iskcondesiretree.com/01_-_Srila_Prabhupada/01_-_Lectures/01_-_English/02_-_Month_wise/11_-_November/16/Walk_1975-11-16_MW-BOMBAY.MP3</t>
  </si>
  <si>
    <t>SP_CC_M_20-110_Bombay_1975-11-17_Truth_About_False_Ego.mp3</t>
  </si>
  <si>
    <t>https://audio.iskcondesiretree.com/01_-_Srila_Prabhupada/01_-_Lectures/01_-_English/01_-_Topic_wise/Chaitanya_Charitamrita/Madhya_Lila/SP_CC_M_20-110_Bombay_1975-11-17_Truth_About_False_Ego.mp3</t>
  </si>
  <si>
    <t>SP_Morning_Walk_-_Bombay_1975-11-17_Dressed_Animals-Educated_Dogs.mp3</t>
  </si>
  <si>
    <t>https://audio.iskcondesiretree.com/01_-_Srila_Prabhupada/01_-_Lectures/01_-_English/01_-_Topic_wise/Morning_Walk/SP_Morning_Walk_-_Bombay_1975-11-17_Dressed_Animals-Educated_Dogs.mp3</t>
  </si>
  <si>
    <t>Cc_M_20-110_BOM_1975-11-17_Truth_About_False_Ego.mp3</t>
  </si>
  <si>
    <t>https://audio.iskcondesiretree.com/01_-_Srila_Prabhupada/01_-_Lectures/01_-_English/02_-_Month_wise/11_-_November/17/Cc_M_20-110_BOM_1975-11-17_Truth_About_False_Ego.mp3</t>
  </si>
  <si>
    <t>CcMadhya-20-110%E2%80%93111_1975-11-17_CC-BOMBAY.MP3</t>
  </si>
  <si>
    <t>https://audio.iskcondesiretree.com/01_-_Srila_Prabhupada/01_-_Lectures/01_-_English/02_-_Month_wise/11_-_November/17/CcMadhya-20-110%E2%80%93111_1975-11-17_CC-BOMBAY.MP3</t>
  </si>
  <si>
    <t>MW_BOM_1975-11-17_Dressed_Animals-Educated_Dogs.mp3</t>
  </si>
  <si>
    <t>https://audio.iskcondesiretree.com/01_-_Srila_Prabhupada/01_-_Lectures/01_-_English/02_-_Month_wise/11_-_November/17/MW_BOM_1975-11-17_Dressed_Animals-Educated_Dogs.mp3</t>
  </si>
  <si>
    <t>Walk_1975-11-17_MW-BOMBAY.MP3</t>
  </si>
  <si>
    <t>https://audio.iskcondesiretree.com/01_-_Srila_Prabhupada/01_-_Lectures/01_-_English/02_-_Month_wise/11_-_November/17/Walk_1975-11-17_MW-BOMBAY.MP3</t>
  </si>
  <si>
    <t>SP_Morning_Walk_-_Bombay_1975-11-18_Bhakta_Is_the_Only_Scientist.mp3</t>
  </si>
  <si>
    <t>https://audio.iskcondesiretree.com/01_-_Srila_Prabhupada/01_-_Lectures/01_-_English/01_-_Topic_wise/Morning_Walk/SP_Morning_Walk_-_Bombay_1975-11-18_Bhakta_Is_the_Only_Scientist.mp3</t>
  </si>
  <si>
    <t>SP_Lecture_Bombay_1975-11-18_Initiation_Sannyasa--Deliver_One--etc.mp3</t>
  </si>
  <si>
    <t>https://audio.iskcondesiretree.com/01_-_Srila_Prabhupada/01_-_Lectures/01_-_English/01_-_Topic_wise/Various/SP_Lecture_Bombay_1975-11-18_Initiation_Sannyasa--Deliver_One--etc.mp3</t>
  </si>
  <si>
    <t>Initiations_1975-11-18_IN-BOMBAY.MP3</t>
  </si>
  <si>
    <t>https://audio.iskcondesiretree.com/01_-_Srila_Prabhupada/01_-_Lectures/01_-_English/02_-_Month_wise/11_-_November/18/Initiations_1975-11-18_IN-BOMBAY.MP3</t>
  </si>
  <si>
    <t>Lect_BOM_1975-11-18_Initiation_Sannyasa-Deliver_One_etc.mp3</t>
  </si>
  <si>
    <t>https://audio.iskcondesiretree.com/01_-_Srila_Prabhupada/01_-_Lectures/01_-_English/02_-_Month_wise/11_-_November/18/Lect_BOM_1975-11-18_Initiation_Sannyasa-Deliver_One_etc.mp3</t>
  </si>
  <si>
    <t>MW_BOM_1975-11-18_Bhakta_Is_the_Only_Scientist.mp3</t>
  </si>
  <si>
    <t>https://audio.iskcondesiretree.com/01_-_Srila_Prabhupada/01_-_Lectures/01_-_English/02_-_Month_wise/11_-_November/18/MW_BOM_1975-11-18_Bhakta_Is_the_Only_Scientist.mp3</t>
  </si>
  <si>
    <t>Walk_1975-11-18_MW-BOMBAY.MP3</t>
  </si>
  <si>
    <t>https://audio.iskcondesiretree.com/01_-_Srila_Prabhupada/01_-_Lectures/01_-_English/02_-_Month_wise/11_-_November/18/Walk_1975-11-18_MW-BOMBAY.MP3</t>
  </si>
  <si>
    <t>SP_Morning_Walk_-_Bombay_1975-11-19_Everyone_Knows_Your_Philosophy.mp3</t>
  </si>
  <si>
    <t>https://audio.iskcondesiretree.com/01_-_Srila_Prabhupada/01_-_Lectures/01_-_English/01_-_Topic_wise/Morning_Walk/SP_Morning_Walk_-_Bombay_1975-11-19_Everyone_Knows_Your_Philosophy.mp3</t>
  </si>
  <si>
    <t>MW_BOM_1975-11-19_Everyone_Knows_Your_Philosophy.mp3</t>
  </si>
  <si>
    <t>https://audio.iskcondesiretree.com/01_-_Srila_Prabhupada/01_-_Lectures/01_-_English/02_-_Month_wise/11_-_November/19/MW_BOM_1975-11-19_Everyone_Knows_Your_Philosophy.mp3</t>
  </si>
  <si>
    <t>Walk_1975-11-19_MW-BOMBAY.MP3</t>
  </si>
  <si>
    <t>https://audio.iskcondesiretree.com/01_-_Srila_Prabhupada/01_-_Lectures/01_-_English/02_-_Month_wise/11_-_November/19/Walk_1975-11-19_MW-BOMBAY.MP3</t>
  </si>
  <si>
    <t>SP_Morning_Walk_-_Bombay_1975-11-20_Christ_Survived_the_Cross.mp3</t>
  </si>
  <si>
    <t>https://audio.iskcondesiretree.com/01_-_Srila_Prabhupada/01_-_Lectures/01_-_English/01_-_Topic_wise/Morning_Walk/SP_Morning_Walk_-_Bombay_1975-11-20_Christ_Survived_the_Cross.mp3</t>
  </si>
  <si>
    <t>MW_BOM_1975-11-20_Christ_Survived_the_Cross.mp3</t>
  </si>
  <si>
    <t>https://audio.iskcondesiretree.com/01_-_Srila_Prabhupada/01_-_Lectures/01_-_English/02_-_Month_wise/11_-_November/20/MW_BOM_1975-11-20_Christ_Survived_the_Cross.mp3</t>
  </si>
  <si>
    <t>Walk_1975-11-20_MW-BOMBAY.MP3</t>
  </si>
  <si>
    <t>https://audio.iskcondesiretree.com/01_-_Srila_Prabhupada/01_-_Lectures/01_-_English/02_-_Month_wise/11_-_November/20/Walk_1975-11-20_MW-BOMBAY.MP3</t>
  </si>
  <si>
    <t>SP_Morning_Walk_-_Bombay_1975-11-21_Aryan_Blood-A_Misnomer.mp3</t>
  </si>
  <si>
    <t>https://audio.iskcondesiretree.com/01_-_Srila_Prabhupada/01_-_Lectures/01_-_English/01_-_Topic_wise/Morning_Walk/SP_Morning_Walk_-_Bombay_1975-11-21_Aryan_Blood-A_Misnomer.mp3</t>
  </si>
  <si>
    <t>MW_BOM_1975-11-21_Aryan_Blood-A_Misnomer.mp3</t>
  </si>
  <si>
    <t>https://audio.iskcondesiretree.com/01_-_Srila_Prabhupada/01_-_Lectures/01_-_English/02_-_Month_wise/11_-_November/21/MW_BOM_1975-11-21_Aryan_Blood-A_Misnomer.mp3</t>
  </si>
  <si>
    <t>Walk_1975-11-21_MW-BOMBAY.MP3</t>
  </si>
  <si>
    <t>https://audio.iskcondesiretree.com/01_-_Srila_Prabhupada/01_-_Lectures/01_-_English/02_-_Month_wise/11_-_November/21/Walk_1975-11-21_MW-BOMBAY.MP3</t>
  </si>
  <si>
    <t>SP_CC_M_20-112_Bombay_1975-11-24_You_Can%27t_Demand_Peace.mp3</t>
  </si>
  <si>
    <t>https://audio.iskcondesiretree.com/01_-_Srila_Prabhupada/01_-_Lectures/01_-_English/01_-_Topic_wise/Chaitanya_Charitamrita/Madhya_Lila/SP_CC_M_20-112_Bombay_1975-11-24_You_Can%27t_Demand_Peace.mp3</t>
  </si>
  <si>
    <t>SP_Morning_Walk_-_Bombay_1975-11-24_No_Rain-Chant.mp3</t>
  </si>
  <si>
    <t>https://audio.iskcondesiretree.com/01_-_Srila_Prabhupada/01_-_Lectures/01_-_English/01_-_Topic_wise/Morning_Walk/SP_Morning_Walk_-_Bombay_1975-11-24_No_Rain-Chant.mp3</t>
  </si>
  <si>
    <t>Cc_M_20-112_BOM_1975-11-24_You_Can%27t_Demand_Peace.mp3</t>
  </si>
  <si>
    <t>https://audio.iskcondesiretree.com/01_-_Srila_Prabhupada/01_-_Lectures/01_-_English/02_-_Month_wise/11_-_November/24/Cc_M_20-112_BOM_1975-11-24_You_Can%27t_Demand_Peace.mp3</t>
  </si>
  <si>
    <t>CcMadhya-06-154_1975-11-24_CC-BOMBAY.MP3</t>
  </si>
  <si>
    <t>https://audio.iskcondesiretree.com/01_-_Srila_Prabhupada/01_-_Lectures/01_-_English/02_-_Month_wise/11_-_November/24/CcMadhya-06-154_1975-11-24_CC-BOMBAY.MP3</t>
  </si>
  <si>
    <t>MW_BOM_1975-11-24_No_Rain-Chant.mp3</t>
  </si>
  <si>
    <t>https://audio.iskcondesiretree.com/01_-_Srila_Prabhupada/01_-_Lectures/01_-_English/02_-_Month_wise/11_-_November/24/MW_BOM_1975-11-24_No_Rain-Chant.mp3</t>
  </si>
  <si>
    <t>Walk_1975-11-24_MW-BOMBAY.MP3</t>
  </si>
  <si>
    <t>https://audio.iskcondesiretree.com/01_-_Srila_Prabhupada/01_-_Lectures/01_-_English/02_-_Month_wise/11_-_November/24/Walk_1975-11-24_MW-BOMBAY.MP3</t>
  </si>
  <si>
    <t>Conv_1975-11-25_R1-DELHI.MP3</t>
  </si>
  <si>
    <t>https://audio.iskcondesiretree.com/01_-_Srila_Prabhupada/01_-_Lectures/01_-_English/02_-_Month_wise/11_-_November/25/Conv_1975-11-25_R1-DELHI.MP3</t>
  </si>
  <si>
    <t>SP_Morning_Walk_-_Delhi_1975-11-26_Other_Religious_Systems_Have_No_Knowledge.mp3</t>
  </si>
  <si>
    <t>https://audio.iskcondesiretree.com/01_-_Srila_Prabhupada/01_-_Lectures/01_-_English/01_-_Topic_wise/Morning_Walk/SP_Morning_Walk_-_Delhi_1975-11-26_Other_Religious_Systems_Have_No_Knowledge.mp3</t>
  </si>
  <si>
    <t>MW_DEL_1975-11-26_Other_Religious_Systems_Have_No_Knowledge.mp3</t>
  </si>
  <si>
    <t>https://audio.iskcondesiretree.com/01_-_Srila_Prabhupada/01_-_Lectures/01_-_English/02_-_Month_wise/11_-_November/26/MW_DEL_1975-11-26_Other_Religious_Systems_Have_No_Knowledge.mp3</t>
  </si>
  <si>
    <t>Walk_1975-11-26_MW-DELHI.MP3</t>
  </si>
  <si>
    <t>https://audio.iskcondesiretree.com/01_-_Srila_Prabhupada/01_-_Lectures/01_-_English/02_-_Month_wise/11_-_November/26/Walk_1975-11-26_MW-DELHI.MP3</t>
  </si>
  <si>
    <t>SP_SB_5-05-01_Delhi_1975-11-28_Hog_Civilization.mp3</t>
  </si>
  <si>
    <t>https://audio.iskcondesiretree.com/01_-_Srila_Prabhupada/01_-_Lectures/01_-_English/01_-_Topic_wise/Srimad_Bhagavatam/Canto-05/SP_SB_5-05-01_Delhi_1975-11-28_Hog_Civilization.mp3</t>
  </si>
  <si>
    <t>SB-05-05-01_1975-11-28_SB-DELHI.MP3</t>
  </si>
  <si>
    <t>https://audio.iskcondesiretree.com/01_-_Srila_Prabhupada/01_-_Lectures/01_-_English/02_-_Month_wise/11_-_November/28/SB-05-05-01_1975-11-28_SB-DELHI.MP3</t>
  </si>
  <si>
    <t>SB_5-05-01_DEL_1975-11-28_Hog_Civilization.mp3</t>
  </si>
  <si>
    <t>https://audio.iskcondesiretree.com/01_-_Srila_Prabhupada/01_-_Lectures/01_-_English/02_-_Month_wise/11_-_November/28/SB_5-05-01_DEL_1975-11-28_Hog_Civilization.mp3</t>
  </si>
  <si>
    <t>SP_Morning_Walk_-_Delhi_1975-11-29_Lions_Are_Better_than_Marxists.mp3</t>
  </si>
  <si>
    <t>https://audio.iskcondesiretree.com/01_-_Srila_Prabhupada/01_-_Lectures/01_-_English/01_-_Topic_wise/Morning_Walk/SP_Morning_Walk_-_Delhi_1975-11-29_Lions_Are_Better_than_Marxists.mp3</t>
  </si>
  <si>
    <t>MW_DEL_1975-11-29_Lions_Are_Better_than_Marxists.mp3</t>
  </si>
  <si>
    <t>https://audio.iskcondesiretree.com/01_-_Srila_Prabhupada/01_-_Lectures/01_-_English/02_-_Month_wise/11_-_November/29/MW_DEL_1975-11-29_Lions_Are_Better_than_Marxists.mp3</t>
  </si>
  <si>
    <t>Walk_1975-11-29_MW-DELHI.MP3</t>
  </si>
  <si>
    <t>https://audio.iskcondesiretree.com/01_-_Srila_Prabhupada/01_-_Lectures/01_-_English/02_-_Month_wise/11_-_November/29/Walk_1975-11-29_MW-DELHI.MP3</t>
  </si>
  <si>
    <t>SP_Morning_Walk_-_Delhi_1975-11-30_Income_Tax_Department-Cheating_Department.mp3</t>
  </si>
  <si>
    <t>https://audio.iskcondesiretree.com/01_-_Srila_Prabhupada/01_-_Lectures/01_-_English/01_-_Topic_wise/Morning_Walk/SP_Morning_Walk_-_Delhi_1975-11-30_Income_Tax_Department-Cheating_Department.mp3</t>
  </si>
  <si>
    <t>MW_DEL_1975-11-30_Income_Tax_Department-Cheating_Department.mp3</t>
  </si>
  <si>
    <t>https://audio.iskcondesiretree.com/01_-_Srila_Prabhupada/01_-_Lectures/01_-_English/02_-_Month_wise/11_-_November/30/MW_DEL_1975-11-30_Income_Tax_Department-Cheating_Department.mp3</t>
  </si>
  <si>
    <t>Walk_1975-11-30_MW-DELHI.MP3</t>
  </si>
  <si>
    <t>https://audio.iskcondesiretree.com/01_-_Srila_Prabhupada/01_-_Lectures/01_-_English/02_-_Month_wise/11_-_November/30/Walk_1975-11-30_MW-DELHI.MP3</t>
  </si>
  <si>
    <t>SP_SB_7-06-01_Vrindavan_1975-12-02_Here_Is_God-Krishna-Take_It.mp3</t>
  </si>
  <si>
    <t>https://audio.iskcondesiretree.com/01_-_Srila_Prabhupada/01_-_Lectures/01_-_English/01_-_Topic_wise/Srimad_Bhagavatam/Canto-07/SP_SB_7-06-01_Vrindavan_1975-12-02_Here_Is_God-Krishna-Take_It.mp3</t>
  </si>
  <si>
    <t>SB-07-06-01_1975-12-02_SB-VRNDAVAN.MP3</t>
  </si>
  <si>
    <t>https://audio.iskcondesiretree.com/01_-_Srila_Prabhupada/01_-_Lectures/01_-_English/02_-_Month_wise/12_-_December/02/SB-07-06-01_1975-12-02_SB-VRNDAVAN.MP3</t>
  </si>
  <si>
    <t>SB_7-06-01_VRN_1975-12-02_Here_Is_God-Krishna-Take_It.mp3</t>
  </si>
  <si>
    <t>https://audio.iskcondesiretree.com/01_-_Srila_Prabhupada/01_-_Lectures/01_-_English/02_-_Month_wise/12_-_December/02/SB_7-06-01_VRN_1975-12-02_Here_Is_God-Krishna-Take_It.mp3</t>
  </si>
  <si>
    <t>SP_Morning_Walk_-_Vrindavan_1975-12-03_Voidists_Impersonalists.mp3</t>
  </si>
  <si>
    <t>https://audio.iskcondesiretree.com/01_-_Srila_Prabhupada/01_-_Lectures/01_-_English/01_-_Topic_wise/Morning_Walk/SP_Morning_Walk_-_Vrindavan_1975-12-03_Voidists_Impersonalists.mp3</t>
  </si>
  <si>
    <t>SP_SB_7-06-02_Vrindavan_1975-12-03_Everyone_Is_Dear_to_Krishna.mp3</t>
  </si>
  <si>
    <t>https://audio.iskcondesiretree.com/01_-_Srila_Prabhupada/01_-_Lectures/01_-_English/01_-_Topic_wise/Srimad_Bhagavatam/Canto-07/SP_SB_7-06-02_Vrindavan_1975-12-03_Everyone_Is_Dear_to_Krishna.mp3</t>
  </si>
  <si>
    <t>MW_VRN_1975-12-03_Voidists%2C_Impersonalists.mp3</t>
  </si>
  <si>
    <t>https://audio.iskcondesiretree.com/01_-_Srila_Prabhupada/01_-_Lectures/01_-_English/02_-_Month_wise/12_-_December/03/MW_VRN_1975-12-03_Voidists%2C_Impersonalists.mp3</t>
  </si>
  <si>
    <t>SB-07-06-02_1975-12-03_SB-VRNDAVAN.MP3</t>
  </si>
  <si>
    <t>https://audio.iskcondesiretree.com/01_-_Srila_Prabhupada/01_-_Lectures/01_-_English/02_-_Month_wise/12_-_December/03/SB-07-06-02_1975-12-03_SB-VRNDAVAN.MP3</t>
  </si>
  <si>
    <t>SB_7-06-02_VRN_1975-12-03_Everyone_Is_Dear_to_Krishna.mp3</t>
  </si>
  <si>
    <t>https://audio.iskcondesiretree.com/01_-_Srila_Prabhupada/01_-_Lectures/01_-_English/02_-_Month_wise/12_-_December/03/SB_7-06-02_VRN_1975-12-03_Everyone_Is_Dear_to_Krishna.mp3</t>
  </si>
  <si>
    <t>Walk_1975-12-03_MW-VRNDAVAN.MP3</t>
  </si>
  <si>
    <t>https://audio.iskcondesiretree.com/01_-_Srila_Prabhupada/01_-_Lectures/01_-_English/02_-_Month_wise/12_-_December/03/Walk_1975-12-03_MW-VRNDAVAN.MP3</t>
  </si>
  <si>
    <t>SP_Morning_Walk_-_Vrindavan_1975-12-04_Want_to_Imitate_Rama.mp3</t>
  </si>
  <si>
    <t>https://audio.iskcondesiretree.com/01_-_Srila_Prabhupada/01_-_Lectures/01_-_English/01_-_Topic_wise/Morning_Walk/SP_Morning_Walk_-_Vrindavan_1975-12-04_Want_to_Imitate_Rama.mp3</t>
  </si>
  <si>
    <t>SP_SB_7-06-03_Vrindavan_1975-12-04_Our_Human_Opportunity.mp3</t>
  </si>
  <si>
    <t>https://audio.iskcondesiretree.com/01_-_Srila_Prabhupada/01_-_Lectures/01_-_English/01_-_Topic_wise/Srimad_Bhagavatam/Canto-07/SP_SB_7-06-03_Vrindavan_1975-12-04_Our_Human_Opportunity.mp3</t>
  </si>
  <si>
    <t>MW_VRN_1975-12-04_Want_to_Imitate_Rama.mp3</t>
  </si>
  <si>
    <t>https://audio.iskcondesiretree.com/01_-_Srila_Prabhupada/01_-_Lectures/01_-_English/02_-_Month_wise/12_-_December/04/MW_VRN_1975-12-04_Want_to_Imitate_Rama.mp3</t>
  </si>
  <si>
    <t>SB-07-06-03_1975-12-04_SB-VRNDAVAN.MP3</t>
  </si>
  <si>
    <t>https://audio.iskcondesiretree.com/01_-_Srila_Prabhupada/01_-_Lectures/01_-_English/02_-_Month_wise/12_-_December/04/SB-07-06-03_1975-12-04_SB-VRNDAVAN.MP3</t>
  </si>
  <si>
    <t>SB_7-06-03_VRN_1975-12-04_Our_Human_Opportunity.mp3</t>
  </si>
  <si>
    <t>https://audio.iskcondesiretree.com/01_-_Srila_Prabhupada/01_-_Lectures/01_-_English/02_-_Month_wise/12_-_December/04/SB_7-06-03_VRN_1975-12-04_Our_Human_Opportunity.mp3</t>
  </si>
  <si>
    <t>Walk_1975-12-04_MW-VRNDAVAN.MP3</t>
  </si>
  <si>
    <t>https://audio.iskcondesiretree.com/01_-_Srila_Prabhupada/01_-_Lectures/01_-_English/02_-_Month_wise/12_-_December/04/Walk_1975-12-04_MW-VRNDAVAN.MP3</t>
  </si>
  <si>
    <t>SP_SB_7-06-04_Vrindavan_1975-12-05_How_to_Waste_Your_Life.mp3</t>
  </si>
  <si>
    <t>https://audio.iskcondesiretree.com/01_-_Srila_Prabhupada/01_-_Lectures/01_-_English/01_-_Topic_wise/Srimad_Bhagavatam/Canto-07/SP_SB_7-06-04_Vrindavan_1975-12-05_How_to_Waste_Your_Life.mp3</t>
  </si>
  <si>
    <t>SB-07-06-04_1975-12-05_SB-VRNDAVAN.MP3</t>
  </si>
  <si>
    <t>https://audio.iskcondesiretree.com/01_-_Srila_Prabhupada/01_-_Lectures/01_-_English/02_-_Month_wise/12_-_December/05/SB-07-06-04_1975-12-05_SB-VRNDAVAN.MP3</t>
  </si>
  <si>
    <t>SB_7-06-04_VRN_1975-12-05_How_to_Waste_Your_Life.mp3</t>
  </si>
  <si>
    <t>https://audio.iskcondesiretree.com/01_-_Srila_Prabhupada/01_-_Lectures/01_-_English/02_-_Month_wise/12_-_December/05/SB_7-06-04_VRN_1975-12-05_How_to_Waste_Your_Life.mp3</t>
  </si>
  <si>
    <t>Initiations_1975-12-06_LE-VRNDAVAN.MP3</t>
  </si>
  <si>
    <t>https://audio.iskcondesiretree.com/01_-_Srila_Prabhupada/01_-_Lectures/01_-_English/02_-_Month_wise/12_-_December/06/Initiations_1975-12-06_LE-VRNDAVAN.MP3</t>
  </si>
  <si>
    <t>SP_Morning_Walk_-_Delhi_1975-12-07_Scientific_Eggheads-_Manufacture_an_Egg.mp3</t>
  </si>
  <si>
    <t>https://audio.iskcondesiretree.com/01_-_Srila_Prabhupada/01_-_Lectures/01_-_English/01_-_Topic_wise/Morning_Walk/SP_Morning_Walk_-_Delhi_1975-12-07_Scientific_Eggheads-_Manufacture_an_Egg.mp3</t>
  </si>
  <si>
    <t>SP_SB_7-06-05_Vrindavan_1975-12-07_Polished_Pig-ism.mp3</t>
  </si>
  <si>
    <t>https://audio.iskcondesiretree.com/01_-_Srila_Prabhupada/01_-_Lectures/01_-_English/01_-_Topic_wise/Srimad_Bhagavatam/Canto-07/SP_SB_7-06-05_Vrindavan_1975-12-07_Polished_Pig-ism.mp3</t>
  </si>
  <si>
    <t>MW_DEL_1975-12-07_Scientific_Eggheads-_Manufacture_an_Egg.mp3</t>
  </si>
  <si>
    <t>https://audio.iskcondesiretree.com/01_-_Srila_Prabhupada/01_-_Lectures/01_-_English/02_-_Month_wise/12_-_December/07/MW_DEL_1975-12-07_Scientific_Eggheads-_Manufacture_an_Egg.mp3</t>
  </si>
  <si>
    <t>SB-07-06-05_1975-12-07_SB-VRNDAVAN.MP3</t>
  </si>
  <si>
    <t>https://audio.iskcondesiretree.com/01_-_Srila_Prabhupada/01_-_Lectures/01_-_English/02_-_Month_wise/12_-_December/07/SB-07-06-05_1975-12-07_SB-VRNDAVAN.MP3</t>
  </si>
  <si>
    <t>SB_7-06-05_VRN_1975-12-07_Polished_Pig-ism.mp3</t>
  </si>
  <si>
    <t>https://audio.iskcondesiretree.com/01_-_Srila_Prabhupada/01_-_Lectures/01_-_English/02_-_Month_wise/12_-_December/07/SB_7-06-05_VRN_1975-12-07_Polished_Pig-ism.mp3</t>
  </si>
  <si>
    <t>Walk_1975-12-07_MW-VRNDAVAN.MP3</t>
  </si>
  <si>
    <t>https://audio.iskcondesiretree.com/01_-_Srila_Prabhupada/01_-_Lectures/01_-_English/02_-_Month_wise/12_-_December/07/Walk_1975-12-07_MW-VRNDAVAN.MP3</t>
  </si>
  <si>
    <t>SP_SB_7-06-06_Vrindavan_1975-12-08_The_Victors_and_the_Victimized.mp3</t>
  </si>
  <si>
    <t>https://audio.iskcondesiretree.com/01_-_Srila_Prabhupada/01_-_Lectures/01_-_English/01_-_Topic_wise/Srimad_Bhagavatam/Canto-07/SP_SB_7-06-06_Vrindavan_1975-12-08_The_Victors_and_the_Victimized.mp3</t>
  </si>
  <si>
    <t>SB-07-06-06_1975-12-08_SB-VRNDAVAN.MP3</t>
  </si>
  <si>
    <t>https://audio.iskcondesiretree.com/01_-_Srila_Prabhupada/01_-_Lectures/01_-_English/02_-_Month_wise/12_-_December/08/SB-07-06-06_1975-12-08_SB-VRNDAVAN.MP3</t>
  </si>
  <si>
    <t>SB_7-06-06_VRN_1975-12-08_The_Victors_and_the_Victimized.mp3</t>
  </si>
  <si>
    <t>https://audio.iskcondesiretree.com/01_-_Srila_Prabhupada/01_-_Lectures/01_-_English/02_-_Month_wise/12_-_December/08/SB_7-06-06_VRN_1975-12-08_The_Victors_and_the_Victimized.mp3</t>
  </si>
  <si>
    <t>SP_SB_7-06-07_Vrindavan_1975-12-09_We%27re_Taking_Death_As_Life.mp3</t>
  </si>
  <si>
    <t>https://audio.iskcondesiretree.com/01_-_Srila_Prabhupada/01_-_Lectures/01_-_English/01_-_Topic_wise/Srimad_Bhagavatam/Canto-07/SP_SB_7-06-07_Vrindavan_1975-12-09_We%27re_Taking_Death_As_Life.mp3</t>
  </si>
  <si>
    <t>SB-07-06-07_1975-12-09_SB-VRNDAVAN.MP3</t>
  </si>
  <si>
    <t>https://audio.iskcondesiretree.com/01_-_Srila_Prabhupada/01_-_Lectures/01_-_English/02_-_Month_wise/12_-_December/09/SB-07-06-07_1975-12-09_SB-VRNDAVAN.MP3</t>
  </si>
  <si>
    <t>SB_7-06-07_VRN_1975-12-09_We%27re_Taking_Death_As_Life.mp3</t>
  </si>
  <si>
    <t>https://audio.iskcondesiretree.com/01_-_Srila_Prabhupada/01_-_Lectures/01_-_English/02_-_Month_wise/12_-_December/09/SB_7-06-07_VRN_1975-12-09_We%27re_Taking_Death_As_Life.mp3</t>
  </si>
  <si>
    <t>Walk_1975-12-09_MW-VRNDAVAN.MP3</t>
  </si>
  <si>
    <t>https://audio.iskcondesiretree.com/01_-_Srila_Prabhupada/01_-_Lectures/01_-_English/02_-_Month_wise/12_-_December/09/Walk_1975-12-09_MW-VRNDAVAN.MP3</t>
  </si>
  <si>
    <t>SP_Morning_Walk_-_Vrindavan_1975-12-10_Why_Doesn%27t_Swamiji_Like_Women.mp3</t>
  </si>
  <si>
    <t>https://audio.iskcondesiretree.com/01_-_Srila_Prabhupada/01_-_Lectures/01_-_English/01_-_Topic_wise/Morning_Walk/SP_Morning_Walk_-_Vrindavan_1975-12-10_Why_Doesn%27t_Swamiji_Like_Women.mp3</t>
  </si>
  <si>
    <t>SP_SB_7-06-08_Vrindavan_1975-12-10_Madras_Attachments_in_a_Bad_Age.mp3</t>
  </si>
  <si>
    <t>https://audio.iskcondesiretree.com/01_-_Srila_Prabhupada/01_-_Lectures/01_-_English/01_-_Topic_wise/Srimad_Bhagavatam/Canto-07/SP_SB_7-06-08_Vrindavan_1975-12-10_Madras_Attachments_in_a_Bad_Age.mp3</t>
  </si>
  <si>
    <t>MW_VRN_1975-12-10_Why_Doesn%27t_Swamiji_Like_Women.mp3</t>
  </si>
  <si>
    <t>https://audio.iskcondesiretree.com/01_-_Srila_Prabhupada/01_-_Lectures/01_-_English/02_-_Month_wise/12_-_December/10/MW_VRN_1975-12-10_Why_Doesn%27t_Swamiji_Like_Women.mp3</t>
  </si>
  <si>
    <t>SB-07-06-08_1975-12-10_SB-VRNDAVAN.MP3</t>
  </si>
  <si>
    <t>https://audio.iskcondesiretree.com/01_-_Srila_Prabhupada/01_-_Lectures/01_-_English/02_-_Month_wise/12_-_December/10/SB-07-06-08_1975-12-10_SB-VRNDAVAN.MP3</t>
  </si>
  <si>
    <t>SB_7-06-08_VRN_1975-12-10_Mad_Attachments_in_a_Bad_Age.mp3</t>
  </si>
  <si>
    <t>https://audio.iskcondesiretree.com/01_-_Srila_Prabhupada/01_-_Lectures/01_-_English/02_-_Month_wise/12_-_December/10/SB_7-06-08_VRN_1975-12-10_Mad_Attachments_in_a_Bad_Age.mp3</t>
  </si>
  <si>
    <t>Walk_1975-12-10_MW-VRNDAVAN.MP3</t>
  </si>
  <si>
    <t>https://audio.iskcondesiretree.com/01_-_Srila_Prabhupada/01_-_Lectures/01_-_English/02_-_Month_wise/12_-_December/10/Walk_1975-12-10_MW-VRNDAVAN.MP3</t>
  </si>
  <si>
    <t>SP_Morning_Walk_-_Vrindavan_1975-12-11_Knowledge-To_Find_the_Source.mp3</t>
  </si>
  <si>
    <t>https://audio.iskcondesiretree.com/01_-_Srila_Prabhupada/01_-_Lectures/01_-_English/01_-_Topic_wise/Morning_Walk/SP_Morning_Walk_-_Vrindavan_1975-12-11_Knowledge-To_Find_the_Source.mp3</t>
  </si>
  <si>
    <t>SP_SB_7-06-09_Vrindavan_1975-12-11_Attachment_Education.mp3</t>
  </si>
  <si>
    <t>https://audio.iskcondesiretree.com/01_-_Srila_Prabhupada/01_-_Lectures/01_-_English/01_-_Topic_wise/Srimad_Bhagavatam/Canto-07/SP_SB_7-06-09_Vrindavan_1975-12-11_Attachment_Education.mp3</t>
  </si>
  <si>
    <t>MW_VRN_1975-12-11_Knowledge-To_Find_the_Source.mp3</t>
  </si>
  <si>
    <t>https://audio.iskcondesiretree.com/01_-_Srila_Prabhupada/01_-_Lectures/01_-_English/02_-_Month_wise/12_-_December/11/MW_VRN_1975-12-11_Knowledge-To_Find_the_Source.mp3</t>
  </si>
  <si>
    <t>SB-07-06-09_1975-12-11_SB-VRNDAVAN.MP3</t>
  </si>
  <si>
    <t>https://audio.iskcondesiretree.com/01_-_Srila_Prabhupada/01_-_Lectures/01_-_English/02_-_Month_wise/12_-_December/11/SB-07-06-09_1975-12-11_SB-VRNDAVAN.MP3</t>
  </si>
  <si>
    <t>SB_7-06-09_VRN_1975-12-11_Attachment_Education.mp3</t>
  </si>
  <si>
    <t>https://audio.iskcondesiretree.com/01_-_Srila_Prabhupada/01_-_Lectures/01_-_English/02_-_Month_wise/12_-_December/11/SB_7-06-09_VRN_1975-12-11_Attachment_Education.mp3</t>
  </si>
  <si>
    <t>Walk_1975-12-11_MW-VRNDAVAN.MP3</t>
  </si>
  <si>
    <t>https://audio.iskcondesiretree.com/01_-_Srila_Prabhupada/01_-_Lectures/01_-_English/02_-_Month_wise/12_-_December/11/Walk_1975-12-11_MW-VRNDAVAN.MP3</t>
  </si>
  <si>
    <t>SP_Morning_Walk_-_Vrindavan_1975-12-12_Our_Gross_and_Subtle_Toys.mp3</t>
  </si>
  <si>
    <t>https://audio.iskcondesiretree.com/01_-_Srila_Prabhupada/01_-_Lectures/01_-_English/01_-_Topic_wise/Morning_Walk/SP_Morning_Walk_-_Vrindavan_1975-12-12_Our_Gross_and_Subtle_Toys.mp3</t>
  </si>
  <si>
    <t>SP_SB_7-06-10_Vrindavan_1975-12-12_Krishna_and_Non-Krishna_Desires.mp3</t>
  </si>
  <si>
    <t>https://audio.iskcondesiretree.com/01_-_Srila_Prabhupada/01_-_Lectures/01_-_English/01_-_Topic_wise/Srimad_Bhagavatam/Canto-07/SP_SB_7-06-10_Vrindavan_1975-12-12_Krishna_and_Non-Krishna_Desires.mp3</t>
  </si>
  <si>
    <t>MW_VRN_1975-12-12_Our_Gross_and_Subtle_Toys.mp3</t>
  </si>
  <si>
    <t>https://audio.iskcondesiretree.com/01_-_Srila_Prabhupada/01_-_Lectures/01_-_English/02_-_Month_wise/12_-_December/12/MW_VRN_1975-12-12_Our_Gross_and_Subtle_Toys.mp3</t>
  </si>
  <si>
    <t>SB-07-06-10_1975-12-12_SB-VRNDAVAN.MP3</t>
  </si>
  <si>
    <t>https://audio.iskcondesiretree.com/01_-_Srila_Prabhupada/01_-_Lectures/01_-_English/02_-_Month_wise/12_-_December/12/SB-07-06-10_1975-12-12_SB-VRNDAVAN.MP3</t>
  </si>
  <si>
    <t>SB_7-06-10_VRN_1975-12-12_Krishna_and_Non-Krishna_Desires.mp3</t>
  </si>
  <si>
    <t>https://audio.iskcondesiretree.com/01_-_Srila_Prabhupada/01_-_Lectures/01_-_English/02_-_Month_wise/12_-_December/12/SB_7-06-10_VRN_1975-12-12_Krishna_and_Non-Krishna_Desires.mp3</t>
  </si>
  <si>
    <t>Walk_1975-12-12_MW-VRNDAVAN.MP3</t>
  </si>
  <si>
    <t>https://audio.iskcondesiretree.com/01_-_Srila_Prabhupada/01_-_Lectures/01_-_English/02_-_Month_wise/12_-_December/12/Walk_1975-12-12_MW-VRNDAVAN.MP3</t>
  </si>
  <si>
    <t>SP_Morning_Walk_-_Delhi_1975-12-14_Happiness_Is_for_Intelligent.mp3</t>
  </si>
  <si>
    <t>https://audio.iskcondesiretree.com/01_-_Srila_Prabhupada/01_-_Lectures/01_-_English/01_-_Topic_wise/Morning_Walk/SP_Morning_Walk_-_Delhi_1975-12-14_Happiness_Is_for_Intelligent.mp3</t>
  </si>
  <si>
    <t>SP_Room_Conversation_Delhi_1975-12-14_All_Doing_the_Same_Business.mp3</t>
  </si>
  <si>
    <t>https://audio.iskcondesiretree.com/01_-_Srila_Prabhupada/01_-_Lectures/01_-_English/01_-_Topic_wise/Room_Conversation/SP_Room_Conversation_Delhi_1975-12-14_All_Doing_the_Same_Business.mp3</t>
  </si>
  <si>
    <t>Conv_1975-12-14_R1-DELHI.MP3</t>
  </si>
  <si>
    <t>https://audio.iskcondesiretree.com/01_-_Srila_Prabhupada/01_-_Lectures/01_-_English/02_-_Month_wise/12_-_December/14/Conv_1975-12-14_R1-DELHI.MP3</t>
  </si>
  <si>
    <t>MW_DEL_1975-12-14_Happiness_Is_for_Intelligent.mp3</t>
  </si>
  <si>
    <t>https://audio.iskcondesiretree.com/01_-_Srila_Prabhupada/01_-_Lectures/01_-_English/02_-_Month_wise/12_-_December/14/MW_DEL_1975-12-14_Happiness_Is_for_Intelligent.mp3</t>
  </si>
  <si>
    <t>RC_DEL_1975-12-14_All_Doing_the_Same_Business.mp3</t>
  </si>
  <si>
    <t>https://audio.iskcondesiretree.com/01_-_Srila_Prabhupada/01_-_Lectures/01_-_English/02_-_Month_wise/12_-_December/14/RC_DEL_1975-12-14_All_Doing_the_Same_Business.mp3</t>
  </si>
  <si>
    <t>Walk_1975-12-14_MW-DELHI.MP3</t>
  </si>
  <si>
    <t>https://audio.iskcondesiretree.com/01_-_Srila_Prabhupada/01_-_Lectures/01_-_English/02_-_Month_wise/12_-_December/14/Walk_1975-12-14_MW-DELHI.MP3</t>
  </si>
  <si>
    <t>SP_Morning_Walk_-_Bombay_1975-12-16_Scholar-Deviation_from_Krishna.mp3</t>
  </si>
  <si>
    <t>https://audio.iskcondesiretree.com/01_-_Srila_Prabhupada/01_-_Lectures/01_-_English/01_-_Topic_wise/Morning_Walk/SP_Morning_Walk_-_Bombay_1975-12-16_Scholar-Deviation_from_Krishna.mp3</t>
  </si>
  <si>
    <t>MW_BOM_1975-12-16_Scholar-Deviation_from_Krishna.mp3</t>
  </si>
  <si>
    <t>https://audio.iskcondesiretree.com/01_-_Srila_Prabhupada/01_-_Lectures/01_-_English/02_-_Month_wise/12_-_December/16/MW_BOM_1975-12-16_Scholar-Deviation_from_Krishna.mp3</t>
  </si>
  <si>
    <t>SB-07-06-01_1975-12-16_LE-BOMBAY.MP3</t>
  </si>
  <si>
    <t>https://audio.iskcondesiretree.com/01_-_Srila_Prabhupada/01_-_Lectures/01_-_English/02_-_Month_wise/12_-_December/16/SB-07-06-01_1975-12-16_LE-BOMBAY.MP3</t>
  </si>
  <si>
    <t>Walk_1975-12-16_MW-BOMBAY.MP3</t>
  </si>
  <si>
    <t>https://audio.iskcondesiretree.com/01_-_Srila_Prabhupada/01_-_Lectures/01_-_English/02_-_Month_wise/12_-_December/16/Walk_1975-12-16_MW-BOMBAY.MP3</t>
  </si>
  <si>
    <t>SP_Morning_Walk_-_Bombay_1975-12-17_No_Question_of_Hating_Women.mp3</t>
  </si>
  <si>
    <t>https://audio.iskcondesiretree.com/01_-_Srila_Prabhupada/01_-_Lectures/01_-_English/01_-_Topic_wise/Morning_Walk/SP_Morning_Walk_-_Bombay_1975-12-17_No_Question_of_Hating_Women.mp3</t>
  </si>
  <si>
    <t>SP_SB_7-06-01_Bombay_1975-12-17_We_Are_Expansions_of_Radharani.mp3</t>
  </si>
  <si>
    <t>https://audio.iskcondesiretree.com/01_-_Srila_Prabhupada/01_-_Lectures/01_-_English/01_-_Topic_wise/Srimad_Bhagavatam/Canto-07/SP_SB_7-06-01_Bombay_1975-12-17_We_Are_Expansions_of_Radharani.mp3</t>
  </si>
  <si>
    <t>MW_BOM_1975-12-17_No_Question_of_Hating_Women.mp3</t>
  </si>
  <si>
    <t>https://audio.iskcondesiretree.com/01_-_Srila_Prabhupada/01_-_Lectures/01_-_English/02_-_Month_wise/12_-_December/17/MW_BOM_1975-12-17_No_Question_of_Hating_Women.mp3</t>
  </si>
  <si>
    <t>SB_7-06-01_BOM_1975-12-17_We_Are_Expansions_of_Radharani.mp3</t>
  </si>
  <si>
    <t>https://audio.iskcondesiretree.com/01_-_Srila_Prabhupada/01_-_Lectures/01_-_English/02_-_Month_wise/12_-_December/17/SB_7-06-01_BOM_1975-12-17_We_Are_Expansions_of_Radharani.mp3</t>
  </si>
  <si>
    <t>Walk_1975-12-17_MW-BOMBAY.MP3</t>
  </si>
  <si>
    <t>https://audio.iskcondesiretree.com/01_-_Srila_Prabhupada/01_-_Lectures/01_-_English/02_-_Month_wise/12_-_December/17/Walk_1975-12-17_MW-BOMBAY.MP3</t>
  </si>
  <si>
    <t>Walk_1975-12-18_MW-BOMBAY.MP3</t>
  </si>
  <si>
    <t>https://audio.iskcondesiretree.com/01_-_Srila_Prabhupada/01_-_Lectures/01_-_English/02_-_Month_wise/12_-_December/18/Walk_1975-12-18_MW-BOMBAY.MP3</t>
  </si>
  <si>
    <t>Walk_1975-12-19_MW-BOMBAY.MP3</t>
  </si>
  <si>
    <t>https://audio.iskcondesiretree.com/01_-_Srila_Prabhupada/01_-_Lectures/01_-_English/02_-_Month_wise/12_-_December/19/Walk_1975-12-19_MW-BOMBAY.MP3</t>
  </si>
  <si>
    <t>SP_BG_07-01_Bombay_1975-12-20_The_Real_Thing.mp3</t>
  </si>
  <si>
    <t>https://audio.iskcondesiretree.com/01_-_Srila_Prabhupada/01_-_Lectures/01_-_English/01_-_Topic_wise/Bhagavad_Gita/Chapter-07/SP_BG_07-01_Bombay_1975-12-20_The_Real_Thing.mp3</t>
  </si>
  <si>
    <t>SP_Morning_Walk_-_Bombay_1975-12-20_God_and_Guru-No_Substitutes.mp3</t>
  </si>
  <si>
    <t>https://audio.iskcondesiretree.com/01_-_Srila_Prabhupada/01_-_Lectures/01_-_English/01_-_Topic_wise/Morning_Walk/SP_Morning_Walk_-_Bombay_1975-12-20_God_and_Guru-No_Substitutes.mp3</t>
  </si>
  <si>
    <t>Bg-07-01_1975-12-20_BG-BOMBAY.MP3</t>
  </si>
  <si>
    <t>https://audio.iskcondesiretree.com/01_-_Srila_Prabhupada/01_-_Lectures/01_-_English/02_-_Month_wise/12_-_December/20/Bg-07-01_1975-12-20_BG-BOMBAY.MP3</t>
  </si>
  <si>
    <t>Bg_07-01_BOM_1975-12-20_The_Real_Thing.mp3</t>
  </si>
  <si>
    <t>https://audio.iskcondesiretree.com/01_-_Srila_Prabhupada/01_-_Lectures/01_-_English/02_-_Month_wise/12_-_December/20/Bg_07-01_BOM_1975-12-20_The_Real_Thing.mp3</t>
  </si>
  <si>
    <t>MW_BOM_1975-12-20_God_and_Guru-No_Substitutes.mp3</t>
  </si>
  <si>
    <t>https://audio.iskcondesiretree.com/01_-_Srila_Prabhupada/01_-_Lectures/01_-_English/02_-_Month_wise/12_-_December/20/MW_BOM_1975-12-20_God_and_Guru-No_Substitutes.mp3</t>
  </si>
  <si>
    <t>Walk_1975-12-20_MW-BOMBAY.MP3</t>
  </si>
  <si>
    <t>https://audio.iskcondesiretree.com/01_-_Srila_Prabhupada/01_-_Lectures/01_-_English/02_-_Month_wise/12_-_December/20/Walk_1975-12-20_MW-BOMBAY.MP3</t>
  </si>
  <si>
    <t>SP_BG_16-07_Bombay_1975-12-22_Demons_and_Devotees.mp3</t>
  </si>
  <si>
    <t>https://audio.iskcondesiretree.com/01_-_Srila_Prabhupada/01_-_Lectures/01_-_English/01_-_Topic_wise/Bhagavad_Gita/Chapter-16/SP_BG_16-07_Bombay_1975-12-22_Demons_and_Devotees.mp3</t>
  </si>
  <si>
    <t>SP_Festivals_Bombay_1975-12-22_Bhaktisiddhanta_Disappearance.mp3</t>
  </si>
  <si>
    <t>https://audio.iskcondesiretree.com/01_-_Srila_Prabhupada/01_-_Lectures/01_-_English/01_-_Topic_wise/Festivals/SP_Festivals_Bombay_1975-12-22_Bhaktisiddhanta_Disappearance.mp3</t>
  </si>
  <si>
    <t>Bg-16-07_1975-12-22_DB-BOMBAY.MP3</t>
  </si>
  <si>
    <t>https://audio.iskcondesiretree.com/01_-_Srila_Prabhupada/01_-_Lectures/01_-_English/02_-_Month_wise/12_-_December/22/Bg-16-07_1975-12-22_DB-BOMBAY.MP3</t>
  </si>
  <si>
    <t>Bg_16-07_BOM_1975-12-22_Demons_and_Devotees.mp3</t>
  </si>
  <si>
    <t>https://audio.iskcondesiretree.com/01_-_Srila_Prabhupada/01_-_Lectures/01_-_English/02_-_Month_wise/12_-_December/22/Bg_16-07_BOM_1975-12-22_Demons_and_Devotees.mp3</t>
  </si>
  <si>
    <t>Fest_BOM_1975-12-22_Bhaktisiddhanta_Disappearance.mp3</t>
  </si>
  <si>
    <t>https://audio.iskcondesiretree.com/01_-_Srila_Prabhupada/01_-_Lectures/01_-_English/02_-_Month_wise/12_-_December/22/Fest_BOM_1975-12-22_Bhaktisiddhanta_Disappearance.mp3</t>
  </si>
  <si>
    <t>SP_Morning_Walk_-_Bombay_1975-12-23_Bhakti...Not_Business.mp3</t>
  </si>
  <si>
    <t>https://audio.iskcondesiretree.com/01_-_Srila_Prabhupada/01_-_Lectures/01_-_English/01_-_Topic_wise/Morning_Walk/SP_Morning_Walk_-_Bombay_1975-12-23_Bhakti...Not_Business.mp3</t>
  </si>
  <si>
    <t>SP_Morning_Walk_-_Bombay_1975-12-23_In_Love_with_God_24_Hours_a_Day.mp3</t>
  </si>
  <si>
    <t>https://audio.iskcondesiretree.com/01_-_Srila_Prabhupada/01_-_Lectures/01_-_English/01_-_Topic_wise/Morning_Walk/SP_Morning_Walk_-_Bombay_1975-12-23_In_Love_with_God_24_Hours_a_Day.mp3</t>
  </si>
  <si>
    <t>MW_BOM_1975-12-23_Bhakti_Not_Business.mp3</t>
  </si>
  <si>
    <t>https://audio.iskcondesiretree.com/01_-_Srila_Prabhupada/01_-_Lectures/01_-_English/02_-_Month_wise/12_-_December/23/MW_BOM_1975-12-23_Bhakti_Not_Business.mp3</t>
  </si>
  <si>
    <t>MW_BOM_1975-12-23_In_Love_with_God_24_Hours_a_Day.mp3</t>
  </si>
  <si>
    <t>https://audio.iskcondesiretree.com/01_-_Srila_Prabhupada/01_-_Lectures/01_-_English/02_-_Month_wise/12_-_December/23/MW_BOM_1975-12-23_In_Love_with_God_24_Hours_a_Day.mp3</t>
  </si>
  <si>
    <t>Walk_1975-12-23_MW-BOMBAY.MP3</t>
  </si>
  <si>
    <t>https://audio.iskcondesiretree.com/01_-_Srila_Prabhupada/01_-_Lectures/01_-_English/02_-_Month_wise/12_-_December/23/Walk_1975-12-23_MW-BOMBAY.MP3</t>
  </si>
  <si>
    <t>Lecture%E2%80%93Hindi_1975-12-24_LE-SANAND.MP3</t>
  </si>
  <si>
    <t>https://audio.iskcondesiretree.com/01_-_Srila_Prabhupada/01_-_Lectures/01_-_English/02_-_Month_wise/12_-_December/24/Lecture%E2%80%93Hindi_1975-12-24_LE-SANAND.MP3</t>
  </si>
  <si>
    <t>Walk_1975-12-24_MW-BOMBAY.MP3</t>
  </si>
  <si>
    <t>https://audio.iskcondesiretree.com/01_-_Srila_Prabhupada/01_-_Lectures/01_-_English/02_-_Month_wise/12_-_December/24/Walk_1975-12-24_MW-BOMBAY.MP3</t>
  </si>
  <si>
    <t>SP_Lecture_Sanand_1975-12-25_Follow...or_Folly.mp3</t>
  </si>
  <si>
    <t>https://audio.iskcondesiretree.com/01_-_Srila_Prabhupada/01_-_Lectures/01_-_English/01_-_Topic_wise/Various/SP_Lecture_Sanand_1975-12-25_Follow...or_Folly.mp3</t>
  </si>
  <si>
    <t>Bg-07-01_1975-12-25_BG-SANAND.MP3</t>
  </si>
  <si>
    <t>https://audio.iskcondesiretree.com/01_-_Srila_Prabhupada/01_-_Lectures/01_-_English/02_-_Month_wise/12_-_December/25/Bg-07-01_1975-12-25_BG-SANAND.MP3</t>
  </si>
  <si>
    <t>Lect_SAN_1975-12-25_Follow_or_Folly.mp3</t>
  </si>
  <si>
    <t>https://audio.iskcondesiretree.com/01_-_Srila_Prabhupada/01_-_Lectures/01_-_English/02_-_Month_wise/12_-_December/25/Lect_SAN_1975-12-25_Follow_or_Folly.mp3</t>
  </si>
  <si>
    <t>Walk_1975-12-25_MW-SANAND.MP3</t>
  </si>
  <si>
    <t>https://audio.iskcondesiretree.com/01_-_Srila_Prabhupada/01_-_Lectures/01_-_English/02_-_Month_wise/12_-_December/25/Walk_1975-12-25_MW-SANAND.MP3</t>
  </si>
  <si>
    <t>SP_BG_16-07_Sanand_1975-12-26_From_Papa-yoni_to_Devata.mp3</t>
  </si>
  <si>
    <t>https://audio.iskcondesiretree.com/01_-_Srila_Prabhupada/01_-_Lectures/01_-_English/01_-_Topic_wise/Bhagavad_Gita/Chapter-16/SP_BG_16-07_Sanand_1975-12-26_From_Papa-yoni_to_Devata.mp3</t>
  </si>
  <si>
    <t>SP_Room_Conversation_Sanand_1975-12-26_Hampered_Enjoyment.mp3</t>
  </si>
  <si>
    <t>https://audio.iskcondesiretree.com/01_-_Srila_Prabhupada/01_-_Lectures/01_-_English/01_-_Topic_wise/Room_Conversation/SP_Room_Conversation_Sanand_1975-12-26_Hampered_Enjoyment.mp3</t>
  </si>
  <si>
    <t>Bg-16-07_1975-12-26_BG-SANAND.MP3</t>
  </si>
  <si>
    <t>https://audio.iskcondesiretree.com/01_-_Srila_Prabhupada/01_-_Lectures/01_-_English/02_-_Month_wise/12_-_December/26/Bg-16-07_1975-12-26_BG-SANAND.MP3</t>
  </si>
  <si>
    <t>Bg_16-07_SAN_1975-12-26_From_Papa-yoni_to_Devata.mp3</t>
  </si>
  <si>
    <t>https://audio.iskcondesiretree.com/01_-_Srila_Prabhupada/01_-_Lectures/01_-_English/02_-_Month_wise/12_-_December/26/Bg_16-07_SAN_1975-12-26_From_Papa-yoni_to_Devata.mp3</t>
  </si>
  <si>
    <t>Conv_1975-12-26_RF-SANAND.MP3</t>
  </si>
  <si>
    <t>https://audio.iskcondesiretree.com/01_-_Srila_Prabhupada/01_-_Lectures/01_-_English/02_-_Month_wise/12_-_December/26/Conv_1975-12-26_RF-SANAND.MP3</t>
  </si>
  <si>
    <t>Lecture%E2%80%93Hindi_1975-12-26_LE-SANAND.MP3</t>
  </si>
  <si>
    <t>https://audio.iskcondesiretree.com/01_-_Srila_Prabhupada/01_-_Lectures/01_-_English/02_-_Month_wise/12_-_December/26/Lecture%E2%80%93Hindi_1975-12-26_LE-SANAND.MP3</t>
  </si>
  <si>
    <t>RC_SAN_1975-12-26_Hampered_Enjoyment.mp3</t>
  </si>
  <si>
    <t>https://audio.iskcondesiretree.com/01_-_Srila_Prabhupada/01_-_Lectures/01_-_English/02_-_Month_wise/12_-_December/26/RC_SAN_1975-12-26_Hampered_Enjoyment.mp3</t>
  </si>
  <si>
    <t>Walk_1975-12-26_MW-SANAND.MP3</t>
  </si>
  <si>
    <t>https://audio.iskcondesiretree.com/01_-_Srila_Prabhupada/01_-_Lectures/01_-_English/02_-_Month_wise/12_-_December/26/Walk_1975-12-26_MW-SANAND.MP3</t>
  </si>
  <si>
    <t>SP_Lecture_Sanand_1975-12-27_Attachment_to_Krishna_Is_Natural.mp3</t>
  </si>
  <si>
    <t>https://audio.iskcondesiretree.com/01_-_Srila_Prabhupada/01_-_Lectures/01_-_English/01_-_Topic_wise/Various/SP_Lecture_Sanand_1975-12-27_Attachment_to_Krishna_Is_Natural.mp3</t>
  </si>
  <si>
    <t>Bg-03-14_1975-12-27_BG-SANAND.MP3</t>
  </si>
  <si>
    <t>https://audio.iskcondesiretree.com/01_-_Srila_Prabhupada/01_-_Lectures/01_-_English/02_-_Month_wise/12_-_December/27/Bg-03-14_1975-12-27_BG-SANAND.MP3</t>
  </si>
  <si>
    <t>Bg-07-07_1975-12-27_BG-SANAND.MP3</t>
  </si>
  <si>
    <t>https://audio.iskcondesiretree.com/01_-_Srila_Prabhupada/01_-_Lectures/01_-_English/02_-_Month_wise/12_-_December/27/Bg-07-07_1975-12-27_BG-SANAND.MP3</t>
  </si>
  <si>
    <t>Lect_SAN_1975-12-27_Attachment_to_Krishna_Is_Natural.mp3</t>
  </si>
  <si>
    <t>https://audio.iskcondesiretree.com/01_-_Srila_Prabhupada/01_-_Lectures/01_-_English/02_-_Month_wise/12_-_December/27/Lect_SAN_1975-12-27_Attachment_to_Krishna_Is_Natural.mp3</t>
  </si>
  <si>
    <t>Bg-07-02%E2%80%93Hindi_1975-12-28_BG-SANAND.MP3</t>
  </si>
  <si>
    <t>https://audio.iskcondesiretree.com/01_-_Srila_Prabhupada/01_-_Lectures/01_-_English/02_-_Month_wise/12_-_December/28/Bg-07-02%E2%80%93Hindi_1975-12-28_BG-SANAND.MP3</t>
  </si>
  <si>
    <t>SP_BG_03-07_Madras_1976-01-01_Educating_the_Mudhas.mp3</t>
  </si>
  <si>
    <t>https://audio.iskcondesiretree.com/01_-_Srila_Prabhupada/01_-_Lectures/01_-_English/01_-_Topic_wise/Bhagavad_Gita/Chapter-03/SP_BG_03-07_Madras_1976-01-01_Educating_the_Mudhas.mp3</t>
  </si>
  <si>
    <t>Bg-03-27_1976-01-01-MADRAS.MP3</t>
  </si>
  <si>
    <t>https://audio.iskcondesiretree.com/01_-_Srila_Prabhupada/01_-_Lectures/01_-_English/02_-_Month_wise/01_-_January/01/Bg-03-27_1976-01-01-MADRAS.MP3</t>
  </si>
  <si>
    <t>BG_03-07_MAD_1976-01-01_Educating_the_Mudhas.mp3</t>
  </si>
  <si>
    <t>https://audio.iskcondesiretree.com/01_-_Srila_Prabhupada/01_-_Lectures/01_-_English/02_-_Month_wise/01_-_January/01/BG_03-07_MAD_1976-01-01_Educating_the_Mudhas.mp3</t>
  </si>
  <si>
    <t>SP_Morning_Walk_-_Madras_1976-01-02_Bodily_Spirituality_Exposed.mp3</t>
  </si>
  <si>
    <t>https://audio.iskcondesiretree.com/01_-_Srila_Prabhupada/01_-_Lectures/01_-_English/01_-_Topic_wise/Morning_Walk/SP_Morning_Walk_-_Madras_1976-01-02_Bodily_Spirituality_Exposed.mp3</t>
  </si>
  <si>
    <t>SP_SB_7-06-01_Madras_1976-01-02_Spiritual_Convalescence_%26_Cure.mp3</t>
  </si>
  <si>
    <t>https://audio.iskcondesiretree.com/01_-_Srila_Prabhupada/01_-_Lectures/01_-_English/01_-_Topic_wise/Srimad_Bhagavatam/Canto-07/SP_SB_7-06-01_Madras_1976-01-02_Spiritual_Convalescence_%26_Cure.mp3</t>
  </si>
  <si>
    <t>MW_MAD_1976-01-02_Bodily_Spirituality_Exposed.mp3</t>
  </si>
  <si>
    <t>https://audio.iskcondesiretree.com/01_-_Srila_Prabhupada/01_-_Lectures/01_-_English/02_-_Month_wise/01_-_January/02/MW_MAD_1976-01-02_Bodily_Spirituality_Exposed.mp3</t>
  </si>
  <si>
    <t>SB-07-06-01_1976-01-02_SB-MADRAS.MP3</t>
  </si>
  <si>
    <t>https://audio.iskcondesiretree.com/01_-_Srila_Prabhupada/01_-_Lectures/01_-_English/02_-_Month_wise/01_-_January/02/SB-07-06-01_1976-01-02_SB-MADRAS.MP3</t>
  </si>
  <si>
    <t>SB_7-06-01_MAD_1976-01-02_Spiritual_Convalescence_%26_Cure.mp3</t>
  </si>
  <si>
    <t>https://audio.iskcondesiretree.com/01_-_Srila_Prabhupada/01_-_Lectures/01_-_English/02_-_Month_wise/01_-_January/02/SB_7-06-01_MAD_1976-01-02_Spiritual_Convalescence_%26_Cure.mp3</t>
  </si>
  <si>
    <t>Walk_1976-01-02_MW-MADRAS.MP3</t>
  </si>
  <si>
    <t>https://audio.iskcondesiretree.com/01_-_Srila_Prabhupada/01_-_Lectures/01_-_English/02_-_Month_wise/01_-_January/02/Walk_1976-01-02_MW-MADRAS.MP3</t>
  </si>
  <si>
    <t>SP_Morning_Walk_-_Nellore_1976-01-03_Independent_Thinking.mp3</t>
  </si>
  <si>
    <t>https://audio.iskcondesiretree.com/01_-_Srila_Prabhupada/01_-_Lectures/01_-_English/01_-_Topic_wise/Morning_Walk/SP_Morning_Walk_-_Nellore_1976-01-03_Independent_Thinking.mp3</t>
  </si>
  <si>
    <t>SP_Room_Conversation_Nellore_1976-01-03_Napoleon-Drink_Horse_Urine.mp3</t>
  </si>
  <si>
    <t>https://audio.iskcondesiretree.com/01_-_Srila_Prabhupada/01_-_Lectures/01_-_English/01_-_Topic_wise/Room_Conversation/SP_Room_Conversation_Nellore_1976-01-03_Napoleon-Drink_Horse_Urine.mp3</t>
  </si>
  <si>
    <t>Conv_1976-01-03_R1-NELLORE.MP3</t>
  </si>
  <si>
    <t>https://audio.iskcondesiretree.com/01_-_Srila_Prabhupada/01_-_Lectures/01_-_English/02_-_Month_wise/01_-_January/03/Conv_1976-01-03_R1-NELLORE.MP3</t>
  </si>
  <si>
    <t>MW_NEL_1976-01-03_Independent_Thinking.mp3</t>
  </si>
  <si>
    <t>https://audio.iskcondesiretree.com/01_-_Srila_Prabhupada/01_-_Lectures/01_-_English/02_-_Month_wise/01_-_January/03/MW_NEL_1976-01-03_Independent_Thinking.mp3</t>
  </si>
  <si>
    <t>RC_NEL_1976-01-03_Napoleon-Drink_Horse_Urine.mp3</t>
  </si>
  <si>
    <t>https://audio.iskcondesiretree.com/01_-_Srila_Prabhupada/01_-_Lectures/01_-_English/02_-_Month_wise/01_-_January/03/RC_NEL_1976-01-03_Napoleon-Drink_Horse_Urine.mp3</t>
  </si>
  <si>
    <t>Walk_1976-01-03_MW-NELLORE.MP3</t>
  </si>
  <si>
    <t>https://audio.iskcondesiretree.com/01_-_Srila_Prabhupada/01_-_Lectures/01_-_English/02_-_Month_wise/01_-_January/03/Walk_1976-01-03_MW-NELLORE.MP3</t>
  </si>
  <si>
    <t>SP_Morning_Walk_-_Nellore_1976-01-04_Caitanya_Mahaprabhu_Left_the--etc.mp3</t>
  </si>
  <si>
    <t>https://audio.iskcondesiretree.com/01_-_Srila_Prabhupada/01_-_Lectures/01_-_English/01_-_Topic_wise/Morning_Walk/SP_Morning_Walk_-_Nellore_1976-01-04_Caitanya_Mahaprabhu_Left_the--etc.mp3</t>
  </si>
  <si>
    <t>SP_Lecture_Nellore_1976-01-04_Teach_What_Krishna_Has_Said.mp3</t>
  </si>
  <si>
    <t>https://audio.iskcondesiretree.com/01_-_Srila_Prabhupada/01_-_Lectures/01_-_English/01_-_Topic_wise/Various/SP_Lecture_Nellore_1976-01-04_Teach_What_Krishna_Has_Said.mp3</t>
  </si>
  <si>
    <t>Lect_NEL_1976-01-04_Teach_What_Krishna_Has_Said.mp3</t>
  </si>
  <si>
    <t>https://audio.iskcondesiretree.com/01_-_Srila_Prabhupada/01_-_Lectures/01_-_English/02_-_Month_wise/01_-_January/04/Lect_NEL_1976-01-04_Teach_What_Krishna_Has_Said.mp3</t>
  </si>
  <si>
    <t>Lecture_1976-01-04_LE-NELLORE.MP3</t>
  </si>
  <si>
    <t>https://audio.iskcondesiretree.com/01_-_Srila_Prabhupada/01_-_Lectures/01_-_English/02_-_Month_wise/01_-_January/04/Lecture_1976-01-04_LE-NELLORE.MP3</t>
  </si>
  <si>
    <t>MW_NEL_1976-01-04_Caitanya_Mahaprabhu_Left_the_etc.mp3</t>
  </si>
  <si>
    <t>https://audio.iskcondesiretree.com/01_-_Srila_Prabhupada/01_-_Lectures/01_-_English/02_-_Month_wise/01_-_January/04/MW_NEL_1976-01-04_Caitanya_Mahaprabhu_Left_the_etc.mp3</t>
  </si>
  <si>
    <t>Walk_1976-01-04_MW-NELLORE.MP3</t>
  </si>
  <si>
    <t>https://audio.iskcondesiretree.com/01_-_Srila_Prabhupada/01_-_Lectures/01_-_English/02_-_Month_wise/01_-_January/04/Walk_1976-01-04_MW-NELLORE.MP3</t>
  </si>
  <si>
    <t>SP_SB_6-01-06_Nellore_1976-01-05_Cleansing_Away_Our_Criminality.mp3</t>
  </si>
  <si>
    <t>https://audio.iskcondesiretree.com/01_-_Srila_Prabhupada/01_-_Lectures/01_-_English/01_-_Topic_wise/Srimad_Bhagavatam/Canto-06/SP_SB_6-01-06_Nellore_1976-01-05_Cleansing_Away_Our_Criminality.mp3</t>
  </si>
  <si>
    <t>SB-06-01-06_1976-01-05_SB-NELLORE.MP3</t>
  </si>
  <si>
    <t>https://audio.iskcondesiretree.com/01_-_Srila_Prabhupada/01_-_Lectures/01_-_English/02_-_Month_wise/01_-_January/05/SB-06-01-06_1976-01-05_SB-NELLORE.MP3</t>
  </si>
  <si>
    <t>SB_6-01-06_NEL_1976-01-05_Cleansing_Away_Our_Criminality.mp3</t>
  </si>
  <si>
    <t>https://audio.iskcondesiretree.com/01_-_Srila_Prabhupada/01_-_Lectures/01_-_English/02_-_Month_wise/01_-_January/05/SB_6-01-06_NEL_1976-01-05_Cleansing_Away_Our_Criminality.mp3</t>
  </si>
  <si>
    <t>SP_Morning_Walk_-_Nellore_1976-01-06_Why_Not_Become_a_Wise_Man.mp3</t>
  </si>
  <si>
    <t>https://audio.iskcondesiretree.com/01_-_Srila_Prabhupada/01_-_Lectures/01_-_English/01_-_Topic_wise/Morning_Walk/SP_Morning_Walk_-_Nellore_1976-01-06_Why_Not_Become_a_Wise_Man.mp3</t>
  </si>
  <si>
    <t>MW_NEL_1976-01-06_Why_Not_Become_a_Wise_Man.mp3</t>
  </si>
  <si>
    <t>https://audio.iskcondesiretree.com/01_-_Srila_Prabhupada/01_-_Lectures/01_-_English/02_-_Month_wise/01_-_January/06/MW_NEL_1976-01-06_Why_Not_Become_a_Wise_Man.mp3</t>
  </si>
  <si>
    <t>Walk_1976-01-06_MW-NELLORE.MP3</t>
  </si>
  <si>
    <t>https://audio.iskcondesiretree.com/01_-_Srila_Prabhupada/01_-_Lectures/01_-_English/02_-_Month_wise/01_-_January/06/Walk_1976-01-06_MW-NELLORE.MP3</t>
  </si>
  <si>
    <t>SP_SB_6-01-09_Nellore_1976-01-07_Devotional_Desire.mp3</t>
  </si>
  <si>
    <t>https://audio.iskcondesiretree.com/01_-_Srila_Prabhupada/01_-_Lectures/01_-_English/01_-_Topic_wise/Srimad_Bhagavatam/Canto-06/SP_SB_6-01-09_Nellore_1976-01-07_Devotional_Desire.mp3</t>
  </si>
  <si>
    <t>Conv_1976-01-07_R1-NELLORE.MP3</t>
  </si>
  <si>
    <t>https://audio.iskcondesiretree.com/01_-_Srila_Prabhupada/01_-_Lectures/01_-_English/02_-_Month_wise/01_-_January/07/Conv_1976-01-07_R1-NELLORE.MP3</t>
  </si>
  <si>
    <t>SB-06-01-09_1976-01-07_SB-NELLORE.MP3</t>
  </si>
  <si>
    <t>https://audio.iskcondesiretree.com/01_-_Srila_Prabhupada/01_-_Lectures/01_-_English/02_-_Month_wise/01_-_January/07/SB-06-01-09_1976-01-07_SB-NELLORE.MP3</t>
  </si>
  <si>
    <t>SB_6-01-09_NEL_1976-01-07_Devotional_Desire.mp3</t>
  </si>
  <si>
    <t>https://audio.iskcondesiretree.com/01_-_Srila_Prabhupada/01_-_Lectures/01_-_English/02_-_Month_wise/01_-_January/07/SB_6-01-09_NEL_1976-01-07_Devotional_Desire.mp3</t>
  </si>
  <si>
    <t>SP_Room_Conversation_Nellore_1976-01-08_Special_Eyes.mp3</t>
  </si>
  <si>
    <t>https://audio.iskcondesiretree.com/01_-_Srila_Prabhupada/01_-_Lectures/01_-_English/01_-_Topic_wise/Room_Conversation/SP_Room_Conversation_Nellore_1976-01-08_Special_Eyes.mp3</t>
  </si>
  <si>
    <t>SP_SB_6-01-15_Nellore_1976-01-08_Liberation_by_Pure_Understanding.mp3</t>
  </si>
  <si>
    <t>https://audio.iskcondesiretree.com/01_-_Srila_Prabhupada/01_-_Lectures/01_-_English/01_-_Topic_wise/Srimad_Bhagavatam/Canto-06/SP_SB_6-01-15_Nellore_1976-01-08_Liberation_by_Pure_Understanding.mp3</t>
  </si>
  <si>
    <t>Conv_1976-01-08_R1-NELLORE.MP3</t>
  </si>
  <si>
    <t>https://audio.iskcondesiretree.com/01_-_Srila_Prabhupada/01_-_Lectures/01_-_English/02_-_Month_wise/01_-_January/08/Conv_1976-01-08_R1-NELLORE.MP3</t>
  </si>
  <si>
    <t>RC_NEL_1976-01-08_Special_Eyes.mp3</t>
  </si>
  <si>
    <t>https://audio.iskcondesiretree.com/01_-_Srila_Prabhupada/01_-_Lectures/01_-_English/02_-_Month_wise/01_-_January/08/RC_NEL_1976-01-08_Special_Eyes.mp3</t>
  </si>
  <si>
    <t>SB-06-01-15_1976-01-08_SB-NELLORE.MP3</t>
  </si>
  <si>
    <t>https://audio.iskcondesiretree.com/01_-_Srila_Prabhupada/01_-_Lectures/01_-_English/02_-_Month_wise/01_-_January/08/SB-06-01-15_1976-01-08_SB-NELLORE.MP3</t>
  </si>
  <si>
    <t>SB_6-01-15_NEL_1976-01-08_Liberation_by_Pure_Understanding.mp3</t>
  </si>
  <si>
    <t>https://audio.iskcondesiretree.com/01_-_Srila_Prabhupada/01_-_Lectures/01_-_English/02_-_Month_wise/01_-_January/08/SB_6-01-15_NEL_1976-01-08_Liberation_by_Pure_Understanding.mp3</t>
  </si>
  <si>
    <t>Walk_1976-01-08_MW-NELLORE.MP3</t>
  </si>
  <si>
    <t>https://audio.iskcondesiretree.com/01_-_Srila_Prabhupada/01_-_Lectures/01_-_English/02_-_Month_wise/01_-_January/08/Walk_1976-01-08_MW-NELLORE.MP3</t>
  </si>
  <si>
    <t>Walk_1976-01-09_MW-MADRAS.MP3</t>
  </si>
  <si>
    <t>https://audio.iskcondesiretree.com/01_-_Srila_Prabhupada/01_-_Lectures/01_-_English/02_-_Month_wise/01_-_January/09/Walk_1976-01-09_MW-MADRAS.MP3</t>
  </si>
  <si>
    <t>SB-05-05-01_Hindi_1976-01-12_SB-BOMBAY.MP3</t>
  </si>
  <si>
    <t>https://audio.iskcondesiretree.com/01_-_Srila_Prabhupada/01_-_Lectures/01_-_English/02_-_Month_wise/01_-_January/12/SB-05-05-01_Hindi_1976-01-12_SB-BOMBAY.MP3</t>
  </si>
  <si>
    <t>Walk_1976-01-12_MW-BOMBAY.MP3</t>
  </si>
  <si>
    <t>https://audio.iskcondesiretree.com/01_-_Srila_Prabhupada/01_-_Lectures/01_-_English/02_-_Month_wise/01_-_January/12/Walk_1976-01-12_MW-BOMBAY.MP3</t>
  </si>
  <si>
    <t>SB-05-05-02_Bengali_1976-01-13_SB-CALCUTTA.MP3</t>
  </si>
  <si>
    <t>https://audio.iskcondesiretree.com/01_-_Srila_Prabhupada/01_-_Lectures/01_-_English/02_-_Month_wise/01_-_January/13/SB-05-05-02_Bengali_1976-01-13_SB-CALCUTTA.MP3</t>
  </si>
  <si>
    <t>Walk_1976-01-13_MW-CALCUTTA.MP3</t>
  </si>
  <si>
    <t>https://audio.iskcondesiretree.com/01_-_Srila_Prabhupada/01_-_Lectures/01_-_English/02_-_Month_wise/01_-_January/13/Walk_1976-01-13_MW-CALCUTTA.MP3</t>
  </si>
  <si>
    <t>SB-05-05-02_Bengali_1976-01-14_SB-CALCUTTA.MP3</t>
  </si>
  <si>
    <t>https://audio.iskcondesiretree.com/01_-_Srila_Prabhupada/01_-_Lectures/01_-_English/02_-_Month_wise/01_-_January/14/SB-05-05-02_Bengali_1976-01-14_SB-CALCUTTA.MP3</t>
  </si>
  <si>
    <t>Conv_1976-01-15_R1-MAYAPUR.MP3</t>
  </si>
  <si>
    <t>https://audio.iskcondesiretree.com/01_-_Srila_Prabhupada/01_-_Lectures/01_-_English/02_-_Month_wise/01_-_January/15/Conv_1976-01-15_R1-MAYAPUR.MP3</t>
  </si>
  <si>
    <t>Speech_1976-01-15_SE-MAYAPUR.MP3</t>
  </si>
  <si>
    <t>https://audio.iskcondesiretree.com/01_-_Srila_Prabhupada/01_-_Lectures/01_-_English/02_-_Month_wise/01_-_January/15/Speech_1976-01-15_SE-MAYAPUR.MP3</t>
  </si>
  <si>
    <t>Walk_1976-01-15_MW-CALCUTTA.MP3</t>
  </si>
  <si>
    <t>https://audio.iskcondesiretree.com/01_-_Srila_Prabhupada/01_-_Lectures/01_-_English/02_-_Month_wise/01_-_January/15/Walk_1976-01-15_MW-CALCUTTA.MP3</t>
  </si>
  <si>
    <t>SP_Room_Conversation_Mayapur_1976-01-16_Science-Dogmatic_Foolishness.mp3</t>
  </si>
  <si>
    <t>https://audio.iskcondesiretree.com/01_-_Srila_Prabhupada/01_-_Lectures/01_-_English/01_-_Topic_wise/Room_Conversation/SP_Room_Conversation_Mayapur_1976-01-16_Science-Dogmatic_Foolishness.mp3</t>
  </si>
  <si>
    <t>Conv_1976-01-16_R1-MAYAPUR.MP3</t>
  </si>
  <si>
    <t>https://audio.iskcondesiretree.com/01_-_Srila_Prabhupada/01_-_Lectures/01_-_English/02_-_Month_wise/01_-_January/16/Conv_1976-01-16_R1-MAYAPUR.MP3</t>
  </si>
  <si>
    <t>RC_MAY_1976-01-16_Science-Dogmatic_Foolishness.mp3</t>
  </si>
  <si>
    <t>https://audio.iskcondesiretree.com/01_-_Srila_Prabhupada/01_-_Lectures/01_-_English/02_-_Month_wise/01_-_January/16/RC_MAY_1976-01-16_Science-Dogmatic_Foolishness.mp3</t>
  </si>
  <si>
    <t>Walk_1976-01-16_MW-MAYAPUR.MP3</t>
  </si>
  <si>
    <t>https://audio.iskcondesiretree.com/01_-_Srila_Prabhupada/01_-_Lectures/01_-_English/02_-_Month_wise/01_-_January/16/Walk_1976-01-16_MW-MAYAPUR.MP3</t>
  </si>
  <si>
    <t>Walk_1976-01-17_MW-MAYAPUR.MP3</t>
  </si>
  <si>
    <t>https://audio.iskcondesiretree.com/01_-_Srila_Prabhupada/01_-_Lectures/01_-_English/02_-_Month_wise/01_-_January/17/Walk_1976-01-17_MW-MAYAPUR.MP3</t>
  </si>
  <si>
    <t>Walk_1976-01-17_R1-MAYAPUR.MP3</t>
  </si>
  <si>
    <t>https://audio.iskcondesiretree.com/01_-_Srila_Prabhupada/01_-_Lectures/01_-_English/02_-_Month_wise/01_-_January/17/Walk_1976-01-17_R1-MAYAPUR.MP3</t>
  </si>
  <si>
    <t>Conv_1976-01-18_R1-MAYAPUR.MP3</t>
  </si>
  <si>
    <t>https://audio.iskcondesiretree.com/01_-_Srila_Prabhupada/01_-_Lectures/01_-_English/02_-_Month_wise/01_-_January/18/Conv_1976-01-18_R1-MAYAPUR.MP3</t>
  </si>
  <si>
    <t>Walk_1976-01-18_MW-MAYAPUR.MP3</t>
  </si>
  <si>
    <t>https://audio.iskcondesiretree.com/01_-_Srila_Prabhupada/01_-_Lectures/01_-_English/02_-_Month_wise/01_-_January/18/Walk_1976-01-18_MW-MAYAPUR.MP3</t>
  </si>
  <si>
    <t>Conv_1976-01-19_R1-MAYAPUR.MP3</t>
  </si>
  <si>
    <t>https://audio.iskcondesiretree.com/01_-_Srila_Prabhupada/01_-_Lectures/01_-_English/02_-_Month_wise/01_-_January/19/Conv_1976-01-19_R1-MAYAPUR.MP3</t>
  </si>
  <si>
    <t>Walk_1976-01-19_MW-MAYAPUR.MP3</t>
  </si>
  <si>
    <t>https://audio.iskcondesiretree.com/01_-_Srila_Prabhupada/01_-_Lectures/01_-_English/02_-_Month_wise/01_-_January/19/Walk_1976-01-19_MW-MAYAPUR.MP3</t>
  </si>
  <si>
    <t>Walk_1976-01-20_MW-MAYAPUR.MP3</t>
  </si>
  <si>
    <t>https://audio.iskcondesiretree.com/01_-_Srila_Prabhupada/01_-_Lectures/01_-_English/02_-_Month_wise/01_-_January/20/Walk_1976-01-20_MW-MAYAPUR.MP3</t>
  </si>
  <si>
    <t>Walk_1976-01-21_MW-MAYAPUR.MP3</t>
  </si>
  <si>
    <t>https://audio.iskcondesiretree.com/01_-_Srila_Prabhupada/01_-_Lectures/01_-_English/02_-_Month_wise/01_-_January/21/Walk_1976-01-21_MW-MAYAPUR.MP3</t>
  </si>
  <si>
    <t>Walk_1976-01-22_MW-MAYAPUR.MP3</t>
  </si>
  <si>
    <t>https://audio.iskcondesiretree.com/01_-_Srila_Prabhupada/01_-_Lectures/01_-_English/02_-_Month_wise/01_-_January/22/Walk_1976-01-22_MW-MAYAPUR.MP3</t>
  </si>
  <si>
    <t>Walk_1976-01-23_MW-MAYAPUR.MP3</t>
  </si>
  <si>
    <t>https://audio.iskcondesiretree.com/01_-_Srila_Prabhupada/01_-_Lectures/01_-_English/02_-_Month_wise/01_-_January/23/Walk_1976-01-23_MW-MAYAPUR.MP3</t>
  </si>
  <si>
    <t>Walk_1976-01-25MW-BOMBAY.MP3</t>
  </si>
  <si>
    <t>https://audio.iskcondesiretree.com/01_-_Srila_Prabhupada/01_-_Lectures/01_-_English/02_-_Month_wise/12_-_December/25/Walk_1976-01-25MW-BOMBAY.MP3</t>
  </si>
  <si>
    <t>SP_Morning_Walk_-_Mayapur_1976-02-03_You_Scientists_Make_the_Sun_Rise_at--etc.mp3</t>
  </si>
  <si>
    <t>https://audio.iskcondesiretree.com/01_-_Srila_Prabhupada/01_-_Lectures/01_-_English/01_-_Topic_wise/Morning_Walk/SP_Morning_Walk_-_Mayapur_1976-02-03_You_Scientists_Make_the_Sun_Rise_at--etc.mp3</t>
  </si>
  <si>
    <t>MW_MAY_1976-02-03_You_Scientists_Make_the_Sun_Rise_at_etc.mp3</t>
  </si>
  <si>
    <t>https://audio.iskcondesiretree.com/01_-_Srila_Prabhupada/01_-_Lectures/01_-_English/02_-_Month_wise/02_-_Feburary/03/MW_MAY_1976-02-03_You_Scientists_Make_the_Sun_Rise_at_etc.mp3</t>
  </si>
  <si>
    <t>Walk_1976-02-03_MW-MAYAPUR.MP3</t>
  </si>
  <si>
    <t>https://audio.iskcondesiretree.com/01_-_Srila_Prabhupada/01_-_Lectures/01_-_English/02_-_Month_wise/02_-_Feburary/03/Walk_1976-02-03_MW-MAYAPUR.MP3</t>
  </si>
  <si>
    <t>SP_Morning_Walk_-_Mayapur_1976-02-04_Science_Makes_Everybody_a_Fool.mp3</t>
  </si>
  <si>
    <t>https://audio.iskcondesiretree.com/01_-_Srila_Prabhupada/01_-_Lectures/01_-_English/01_-_Topic_wise/Morning_Walk/SP_Morning_Walk_-_Mayapur_1976-02-04_Science_Makes_Everybody_a_Fool.mp3</t>
  </si>
  <si>
    <t>MW_MAY_1976-02-04_Science_Makes_Everybody_a_Fool.mp3</t>
  </si>
  <si>
    <t>https://audio.iskcondesiretree.com/01_-_Srila_Prabhupada/01_-_Lectures/01_-_English/02_-_Month_wise/02_-_Feburary/04/MW_MAY_1976-02-04_Science_Makes_Everybody_a_Fool.mp3</t>
  </si>
  <si>
    <t>Walk_1976-02-04_MW-MAYAPUR.MP3</t>
  </si>
  <si>
    <t>https://audio.iskcondesiretree.com/01_-_Srila_Prabhupada/01_-_Lectures/01_-_English/02_-_Month_wise/02_-_Feburary/04/Walk_1976-02-04_MW-MAYAPUR.MP3</t>
  </si>
  <si>
    <t>SP_Morning_Walk_-_Mayapur_1976-02-05_Primordial_Criminality.mp3</t>
  </si>
  <si>
    <t>https://audio.iskcondesiretree.com/01_-_Srila_Prabhupada/01_-_Lectures/01_-_English/01_-_Topic_wise/Morning_Walk/SP_Morning_Walk_-_Mayapur_1976-02-05_Primordial_Criminality.mp3</t>
  </si>
  <si>
    <t>SP_Lecture_Mayapur_1976-02-05_Initiation_Sannyasa--Welfare_to_Others.mp3</t>
  </si>
  <si>
    <t>https://audio.iskcondesiretree.com/01_-_Srila_Prabhupada/01_-_Lectures/01_-_English/01_-_Topic_wise/Various/SP_Lecture_Mayapur_1976-02-05_Initiation_Sannyasa--Welfare_to_Others.mp3</t>
  </si>
  <si>
    <t>Initiations_1976-02-05_IN-MAYAPUR.MP3</t>
  </si>
  <si>
    <t>https://audio.iskcondesiretree.com/01_-_Srila_Prabhupada/01_-_Lectures/01_-_English/02_-_Month_wise/02_-_Feburary/05/Initiations_1976-02-05_IN-MAYAPUR.MP3</t>
  </si>
  <si>
    <t>Lect_MAY_1976-02-05_Initiation_Sannyasa--Welfare_to_Others.mp3</t>
  </si>
  <si>
    <t>https://audio.iskcondesiretree.com/01_-_Srila_Prabhupada/01_-_Lectures/01_-_English/02_-_Month_wise/02_-_Feburary/05/Lect_MAY_1976-02-05_Initiation_Sannyasa--Welfare_to_Others.mp3</t>
  </si>
  <si>
    <t>MW_MAY_1976-02-05_Primordial_Criminality.mp3</t>
  </si>
  <si>
    <t>https://audio.iskcondesiretree.com/01_-_Srila_Prabhupada/01_-_Lectures/01_-_English/02_-_Month_wise/02_-_Feburary/05/MW_MAY_1976-02-05_Primordial_Criminality.mp3</t>
  </si>
  <si>
    <t>Walk_1976-02-05_MW-MAYAPUR.MP3</t>
  </si>
  <si>
    <t>https://audio.iskcondesiretree.com/01_-_Srila_Prabhupada/01_-_Lectures/01_-_English/02_-_Month_wise/02_-_Feburary/05/Walk_1976-02-05_MW-MAYAPUR.MP3</t>
  </si>
  <si>
    <t>SP_Morning_Walk_-_Mayapur_1976-02-06_The_Fighting_Philosophy.mp3</t>
  </si>
  <si>
    <t>https://audio.iskcondesiretree.com/01_-_Srila_Prabhupada/01_-_Lectures/01_-_English/01_-_Topic_wise/Morning_Walk/SP_Morning_Walk_-_Mayapur_1976-02-06_The_Fighting_Philosophy.mp3</t>
  </si>
  <si>
    <t>MW_MAY_1976-02-06_The_Fighting_Philosophy.mp3</t>
  </si>
  <si>
    <t>https://audio.iskcondesiretree.com/01_-_Srila_Prabhupada/01_-_Lectures/01_-_English/02_-_Month_wise/02_-_Feburary/06/MW_MAY_1976-02-06_The_Fighting_Philosophy.mp3</t>
  </si>
  <si>
    <t>Walk_1976-02-06_MW-MAYAPUR.MP3</t>
  </si>
  <si>
    <t>https://audio.iskcondesiretree.com/01_-_Srila_Prabhupada/01_-_Lectures/01_-_English/02_-_Month_wise/02_-_Feburary/06/Walk_1976-02-06_MW-MAYAPUR.MP3</t>
  </si>
  <si>
    <t>SP_SB_7-09-01_Mayapur_1976-02-08_Don%27t_Make_Krishna_Unhappy.mp3</t>
  </si>
  <si>
    <t>https://audio.iskcondesiretree.com/01_-_Srila_Prabhupada/01_-_Lectures/01_-_English/01_-_Topic_wise/Srimad_Bhagavatam/Canto-07/SP_SB_7-09-01_Mayapur_1976-02-08_Don%27t_Make_Krishna_Unhappy.mp3</t>
  </si>
  <si>
    <t>SB-07-09-01_1976-02-08_SB-MAYAPUR.MP3</t>
  </si>
  <si>
    <t>https://audio.iskcondesiretree.com/01_-_Srila_Prabhupada/01_-_Lectures/01_-_English/02_-_Month_wise/02_-_Feburary/08/SB-07-09-01_1976-02-08_SB-MAYAPUR.MP3</t>
  </si>
  <si>
    <t>SB_7-09-01_MAY_1976-02-08_Don%27t_Make_Krishna_Unhappy.mp3</t>
  </si>
  <si>
    <t>https://audio.iskcondesiretree.com/01_-_Srila_Prabhupada/01_-_Lectures/01_-_English/02_-_Month_wise/02_-_Feburary/08/SB_7-09-01_MAY_1976-02-08_Don%27t_Make_Krishna_Unhappy.mp3</t>
  </si>
  <si>
    <t>SP_Morning_Walk_-_Mayapur_1976-02-09_Varnashram_Dharma--How_Necessary.mp3</t>
  </si>
  <si>
    <t>https://audio.iskcondesiretree.com/01_-_Srila_Prabhupada/01_-_Lectures/01_-_English/01_-_Topic_wise/Morning_Walk/SP_Morning_Walk_-_Mayapur_1976-02-09_Varnashram_Dharma--How_Necessary.mp3</t>
  </si>
  <si>
    <t>MW_MAY_1976-02-09_Varnashram_Dharma--How_Necessary.mp3</t>
  </si>
  <si>
    <t>https://audio.iskcondesiretree.com/01_-_Srila_Prabhupada/01_-_Lectures/01_-_English/02_-_Month_wise/02_-_Feburary/09/MW_MAY_1976-02-09_Varnashram_Dharma--How_Necessary.mp3</t>
  </si>
  <si>
    <t>Walk_1976-02-09_MW-MAYAPUR.MP3</t>
  </si>
  <si>
    <t>https://audio.iskcondesiretree.com/01_-_Srila_Prabhupada/01_-_Lectures/01_-_English/02_-_Month_wise/02_-_Feburary/09/Walk_1976-02-09_MW-MAYAPUR.MP3</t>
  </si>
  <si>
    <t>SP_Morning_Walk_-_Mayapur_1976-02-10_Ten-Handed_Krishna.mp3</t>
  </si>
  <si>
    <t>https://audio.iskcondesiretree.com/01_-_Srila_Prabhupada/01_-_Lectures/01_-_English/01_-_Topic_wise/Morning_Walk/SP_Morning_Walk_-_Mayapur_1976-02-10_Ten-Handed_Krishna.mp3</t>
  </si>
  <si>
    <t>SP_SB_7-09-03_Mayapur_1976-02-10_Never_Think_%27I_Have_Become_Big%27.mp3</t>
  </si>
  <si>
    <t>https://audio.iskcondesiretree.com/01_-_Srila_Prabhupada/01_-_Lectures/01_-_English/01_-_Topic_wise/Srimad_Bhagavatam/Canto-07/SP_SB_7-09-03_Mayapur_1976-02-10_Never_Think_%27I_Have_Become_Big%27.mp3</t>
  </si>
  <si>
    <t>MW_MAY_1976-02-10_Ten-Handed_Krishna.mp3</t>
  </si>
  <si>
    <t>https://audio.iskcondesiretree.com/01_-_Srila_Prabhupada/01_-_Lectures/01_-_English/02_-_Month_wise/02_-_Feburary/10/MW_MAY_1976-02-10_Ten-Handed_Krishna.mp3</t>
  </si>
  <si>
    <t>SB-07-09-03_1976-02-10_SB-MAYAPUR.MP3</t>
  </si>
  <si>
    <t>https://audio.iskcondesiretree.com/01_-_Srila_Prabhupada/01_-_Lectures/01_-_English/02_-_Month_wise/02_-_Feburary/10/SB-07-09-03_1976-02-10_SB-MAYAPUR.MP3</t>
  </si>
  <si>
    <t>SB_7-09-03_MAY_1976-02-10_Never_Think_%27I_Have_Become_Big.mp3</t>
  </si>
  <si>
    <t>https://audio.iskcondesiretree.com/01_-_Srila_Prabhupada/01_-_Lectures/01_-_English/02_-_Month_wise/02_-_Feburary/10/SB_7-09-03_MAY_1976-02-10_Never_Think_%27I_Have_Become_Big.mp3</t>
  </si>
  <si>
    <t>Walk_1976-02-10_MW-MAYAPUR.MP3</t>
  </si>
  <si>
    <t>https://audio.iskcondesiretree.com/01_-_Srila_Prabhupada/01_-_Lectures/01_-_English/02_-_Month_wise/02_-_Feburary/10/Walk_1976-02-10_MW-MAYAPUR.MP3</t>
  </si>
  <si>
    <t>SB-07-09-04_1976-02-11_SB-MAYAPUR.MP3</t>
  </si>
  <si>
    <t>https://audio.iskcondesiretree.com/01_-_Srila_Prabhupada/01_-_Lectures/01_-_English/02_-_Month_wise/02_-_Feburary/11/SB-07-09-04_1976-02-11_SB-MAYAPUR.MP3</t>
  </si>
  <si>
    <t>Walk_1976-02-11_MW-MAYAPUR.MP3</t>
  </si>
  <si>
    <t>https://audio.iskcondesiretree.com/01_-_Srila_Prabhupada/01_-_Lectures/01_-_English/02_-_Month_wise/02_-_Feburary/11/Walk_1976-02-11_MW-MAYAPUR.MP3</t>
  </si>
  <si>
    <t>SP_Morning_Walk_-_Mayapur_1976-02-12_Laziness_Is_Less_than_Demonic.mp3</t>
  </si>
  <si>
    <t>https://audio.iskcondesiretree.com/01_-_Srila_Prabhupada/01_-_Lectures/01_-_English/01_-_Topic_wise/Morning_Walk/SP_Morning_Walk_-_Mayapur_1976-02-12_Laziness_Is_Less_than_Demonic.mp3</t>
  </si>
  <si>
    <t>MW_MAY_1976-02-12_Laziness_Is_Less_than_Demonic.mp3</t>
  </si>
  <si>
    <t>https://audio.iskcondesiretree.com/01_-_Srila_Prabhupada/01_-_Lectures/01_-_English/02_-_Month_wise/02_-_Feburary/12/MW_MAY_1976-02-12_Laziness_Is_Less_than_Demonic.mp3</t>
  </si>
  <si>
    <t>SB-07-09-05_1976-02-12_SB-MAYAPUR.MP3</t>
  </si>
  <si>
    <t>https://audio.iskcondesiretree.com/01_-_Srila_Prabhupada/01_-_Lectures/01_-_English/02_-_Month_wise/02_-_Feburary/12/SB-07-09-05_1976-02-12_SB-MAYAPUR.MP3</t>
  </si>
  <si>
    <t>Walk_1976-02-12_MW-MAYAPUR.MP3</t>
  </si>
  <si>
    <t>https://audio.iskcondesiretree.com/01_-_Srila_Prabhupada/01_-_Lectures/01_-_English/02_-_Month_wise/02_-_Feburary/12/Walk_1976-02-12_MW-MAYAPUR.MP3</t>
  </si>
  <si>
    <t>SP_SB_7-09-07_Mayapur_1976-02-14_Making_Faith_Firm.mp3</t>
  </si>
  <si>
    <t>https://audio.iskcondesiretree.com/01_-_Srila_Prabhupada/01_-_Lectures/01_-_English/01_-_Topic_wise/Srimad_Bhagavatam/Canto-07/SP_SB_7-09-07_Mayapur_1976-02-14_Making_Faith_Firm.mp3</t>
  </si>
  <si>
    <t>SB-07-09-07_1976-02-14_SB-MAYAPUR.MP3</t>
  </si>
  <si>
    <t>https://audio.iskcondesiretree.com/01_-_Srila_Prabhupada/01_-_Lectures/01_-_English/02_-_Month_wise/02_-_Feburary/14/SB-07-09-07_1976-02-14_SB-MAYAPUR.MP3</t>
  </si>
  <si>
    <t>SB_7-09-07_MAY_1976-02-14_Making_Faith_Firm.mp3</t>
  </si>
  <si>
    <t>https://audio.iskcondesiretree.com/01_-_Srila_Prabhupada/01_-_Lectures/01_-_English/02_-_Month_wise/02_-_Feburary/14/SB_7-09-07_MAY_1976-02-14_Making_Faith_Firm.mp3</t>
  </si>
  <si>
    <t>SP_SB_7-09-08_Mayapur_1976-02-15_Hell_Heaven_or_Home--Decide.mp3</t>
  </si>
  <si>
    <t>https://audio.iskcondesiretree.com/01_-_Srila_Prabhupada/01_-_Lectures/01_-_English/01_-_Topic_wise/Srimad_Bhagavatam/Canto-07/SP_SB_7-09-08_Mayapur_1976-02-15_Hell_Heaven_or_Home--Decide.mp3</t>
  </si>
  <si>
    <t>SB-07-09-08_1976-02-15_SB-MAYAPUR.MP3</t>
  </si>
  <si>
    <t>https://audio.iskcondesiretree.com/01_-_Srila_Prabhupada/01_-_Lectures/01_-_English/02_-_Month_wise/02_-_Feburary/15/SB-07-09-08_1976-02-15_SB-MAYAPUR.MP3</t>
  </si>
  <si>
    <t>SB_7-09-08_MAY_1976-02-15_Hell%2C_Heaven_or_Home_Decide.mp3</t>
  </si>
  <si>
    <t>https://audio.iskcondesiretree.com/01_-_Srila_Prabhupada/01_-_Lectures/01_-_English/02_-_Month_wise/02_-_Feburary/15/SB_7-09-08_MAY_1976-02-15_Hell%2C_Heaven_or_Home_Decide.mp3</t>
  </si>
  <si>
    <t>SP_SB_7-09-09_Mayapur_1976-02-16_Education_Is_Not_Electronic.mp3</t>
  </si>
  <si>
    <t>https://audio.iskcondesiretree.com/01_-_Srila_Prabhupada/01_-_Lectures/01_-_English/01_-_Topic_wise/Srimad_Bhagavatam/Canto-07/SP_SB_7-09-09_Mayapur_1976-02-16_Education_Is_Not_Electronic.mp3</t>
  </si>
  <si>
    <t>SB-07-09-09_1976-02-16_SB-MAYAPUR.MP3</t>
  </si>
  <si>
    <t>https://audio.iskcondesiretree.com/01_-_Srila_Prabhupada/01_-_Lectures/01_-_English/02_-_Month_wise/02_-_Feburary/16/SB-07-09-09_1976-02-16_SB-MAYAPUR.MP3</t>
  </si>
  <si>
    <t>SB_7-09-09_MAY_1976-02-16_Education_Is_Not_Electronic.mp3</t>
  </si>
  <si>
    <t>https://audio.iskcondesiretree.com/01_-_Srila_Prabhupada/01_-_Lectures/01_-_English/02_-_Month_wise/02_-_Feburary/16/SB_7-09-09_MAY_1976-02-16_Education_Is_Not_Electronic.mp3</t>
  </si>
  <si>
    <t>SP_SB_7-09-10_Mayapur_1976-02-17_Every_Dog_Has_His_Pride.mp3</t>
  </si>
  <si>
    <t>https://audio.iskcondesiretree.com/01_-_Srila_Prabhupada/01_-_Lectures/01_-_English/01_-_Topic_wise/Srimad_Bhagavatam/Canto-07/SP_SB_7-09-10_Mayapur_1976-02-17_Every_Dog_Has_His_Pride.mp3</t>
  </si>
  <si>
    <t>SB-07-09-10_1976-02-17_SB-MAYAPUR.MP3</t>
  </si>
  <si>
    <t>https://audio.iskcondesiretree.com/01_-_Srila_Prabhupada/01_-_Lectures/01_-_English/02_-_Month_wise/02_-_Feburary/17/SB-07-09-10_1976-02-17_SB-MAYAPUR.MP3</t>
  </si>
  <si>
    <t>SB_7-09-10_MAY_1976-02-17_Every_Dog_Has_His_Pride.mp3</t>
  </si>
  <si>
    <t>https://audio.iskcondesiretree.com/01_-_Srila_Prabhupada/01_-_Lectures/01_-_English/02_-_Month_wise/02_-_Feburary/17/SB_7-09-10_MAY_1976-02-17_Every_Dog_Has_His_Pride.mp3</t>
  </si>
  <si>
    <t>SP_SB_7-09-11_Mayapur_1976-02-18_Krishna_Needs_Us--Why.mp3</t>
  </si>
  <si>
    <t>https://audio.iskcondesiretree.com/01_-_Srila_Prabhupada/01_-_Lectures/01_-_English/01_-_Topic_wise/Srimad_Bhagavatam/Canto-07/SP_SB_7-09-11_Mayapur_1976-02-18_Krishna_Needs_Us--Why.mp3</t>
  </si>
  <si>
    <t>SB-07-09-11_1976-02-18_SB-MAYAPUR.MP3</t>
  </si>
  <si>
    <t>https://audio.iskcondesiretree.com/01_-_Srila_Prabhupada/01_-_Lectures/01_-_English/02_-_Month_wise/02_-_Feburary/18/SB-07-09-11_1976-02-18_SB-MAYAPUR.MP3</t>
  </si>
  <si>
    <t>SB_7-09-11_MAY_1976-02-18_Krishna_Needs_Us_Why.mp3</t>
  </si>
  <si>
    <t>https://audio.iskcondesiretree.com/01_-_Srila_Prabhupada/01_-_Lectures/01_-_English/02_-_Month_wise/02_-_Feburary/18/SB_7-09-11_MAY_1976-02-18_Krishna_Needs_Us_Why.mp3</t>
  </si>
  <si>
    <t>Walk_1976-02-18_MW-MAYAPUR.MP3</t>
  </si>
  <si>
    <t>https://audio.iskcondesiretree.com/01_-_Srila_Prabhupada/01_-_Lectures/01_-_English/02_-_Month_wise/02_-_Feburary/18/Walk_1976-02-18_MW-MAYAPUR.MP3</t>
  </si>
  <si>
    <t>SP_SB_7-09-12_Mayapur_1976-02-19_Follow_Without_Mental_Concoction.mp3</t>
  </si>
  <si>
    <t>https://audio.iskcondesiretree.com/01_-_Srila_Prabhupada/01_-_Lectures/01_-_English/01_-_Topic_wise/Srimad_Bhagavatam/Canto-07/SP_SB_7-09-12_Mayapur_1976-02-19_Follow_Without_Mental_Concoction.mp3</t>
  </si>
  <si>
    <t>SB-07-09-12_1976-02-19_SB-MAYAPUR.MP3</t>
  </si>
  <si>
    <t>https://audio.iskcondesiretree.com/01_-_Srila_Prabhupada/01_-_Lectures/01_-_English/02_-_Month_wise/02_-_Feburary/19/SB-07-09-12_1976-02-19_SB-MAYAPUR.MP3</t>
  </si>
  <si>
    <t>SB_7-09-12_MAY_1976-02-19_Follow_Without_Mental_Concoction.mp3</t>
  </si>
  <si>
    <t>https://audio.iskcondesiretree.com/01_-_Srila_Prabhupada/01_-_Lectures/01_-_English/02_-_Month_wise/02_-_Feburary/19/SB_7-09-12_MAY_1976-02-19_Follow_Without_Mental_Concoction.mp3</t>
  </si>
  <si>
    <t>Walk_1976-02-19_MW-MAYAPUR.MP3</t>
  </si>
  <si>
    <t>https://audio.iskcondesiretree.com/01_-_Srila_Prabhupada/01_-_Lectures/01_-_English/02_-_Month_wise/02_-_Feburary/19/Walk_1976-02-19_MW-MAYAPUR.MP3</t>
  </si>
  <si>
    <t>SP_SB_7-09-13_Mayapur_1976-02-20_Snakes_Don%27t_Scare_Devotees.mp3</t>
  </si>
  <si>
    <t>https://audio.iskcondesiretree.com/01_-_Srila_Prabhupada/01_-_Lectures/01_-_English/01_-_Topic_wise/Srimad_Bhagavatam/Canto-07/SP_SB_7-09-13_Mayapur_1976-02-20_Snakes_Don%27t_Scare_Devotees.mp3</t>
  </si>
  <si>
    <t>SB-07-09-13_1976-02-20_SB-MAYAPUR.MP3</t>
  </si>
  <si>
    <t>https://audio.iskcondesiretree.com/01_-_Srila_Prabhupada/01_-_Lectures/01_-_English/02_-_Month_wise/02_-_Feburary/20/SB-07-09-13_1976-02-20_SB-MAYAPUR.MP3</t>
  </si>
  <si>
    <t>SB_7-09-13_MAY_1976-02-20_Snakes_Don%27t_Scare_Devotees.mp3</t>
  </si>
  <si>
    <t>https://audio.iskcondesiretree.com/01_-_Srila_Prabhupada/01_-_Lectures/01_-_English/02_-_Month_wise/02_-_Feburary/20/SB_7-09-13_MAY_1976-02-20_Snakes_Don%27t_Scare_Devotees.mp3</t>
  </si>
  <si>
    <t>Walk_1976-02-20_MW-MAYAPUR.MP3</t>
  </si>
  <si>
    <t>https://audio.iskcondesiretree.com/01_-_Srila_Prabhupada/01_-_Lectures/01_-_English/02_-_Month_wise/02_-_Feburary/20/Walk_1976-02-20_MW-MAYAPUR.MP3</t>
  </si>
  <si>
    <t>SP_Festivals_Mayapur_1976-02-21_Bhaktisiddhanta_Appearance.mp3</t>
  </si>
  <si>
    <t>https://audio.iskcondesiretree.com/01_-_Srila_Prabhupada/01_-_Lectures/01_-_English/01_-_Topic_wise/Festivals/SP_Festivals_Mayapur_1976-02-21_Bhaktisiddhanta_Appearance.mp3</t>
  </si>
  <si>
    <t>SP_SB_7-09-14_Mayapur_1976-02-21_Demoniac--Disturbing_%26_Disturbed.mp3</t>
  </si>
  <si>
    <t>https://audio.iskcondesiretree.com/01_-_Srila_Prabhupada/01_-_Lectures/01_-_English/01_-_Topic_wise/Srimad_Bhagavatam/Canto-07/SP_SB_7-09-14_Mayapur_1976-02-21_Demoniac--Disturbing_%26_Disturbed.mp3</t>
  </si>
  <si>
    <t>SP_Lecture_Mayapur_1976-02-21_What_to_Fear.mp3</t>
  </si>
  <si>
    <t>https://audio.iskcondesiretree.com/01_-_Srila_Prabhupada/01_-_Lectures/01_-_English/01_-_Topic_wise/Various/SP_Lecture_Mayapur_1976-02-21_What_to_Fear.mp3</t>
  </si>
  <si>
    <t>Bhaktisiddhanta_Appearance_1976-02-21_BA-MAYAPUR.MP3</t>
  </si>
  <si>
    <t>https://audio.iskcondesiretree.com/01_-_Srila_Prabhupada/01_-_Lectures/01_-_English/02_-_Month_wise/02_-_Feburary/21/Bhaktisiddhanta_Appearance_1976-02-21_BA-MAYAPUR.MP3</t>
  </si>
  <si>
    <t>Fest_MAY_1976-02-21_Bhaktisiddhanta_Appearance.mp3</t>
  </si>
  <si>
    <t>https://audio.iskcondesiretree.com/01_-_Srila_Prabhupada/01_-_Lectures/01_-_English/02_-_Month_wise/02_-_Feburary/21/Fest_MAY_1976-02-21_Bhaktisiddhanta_Appearance.mp3</t>
  </si>
  <si>
    <t>Lect_MAY_1976-02-21_What_to_Fear.mp3</t>
  </si>
  <si>
    <t>https://audio.iskcondesiretree.com/01_-_Srila_Prabhupada/01_-_Lectures/01_-_English/02_-_Month_wise/02_-_Feburary/21/Lect_MAY_1976-02-21_What_to_Fear.mp3</t>
  </si>
  <si>
    <t>SB-07-09-14_1976-02-21_SB-MAYAPUR.MP3</t>
  </si>
  <si>
    <t>https://audio.iskcondesiretree.com/01_-_Srila_Prabhupada/01_-_Lectures/01_-_English/02_-_Month_wise/02_-_Feburary/21/SB-07-09-14_1976-02-21_SB-MAYAPUR.MP3</t>
  </si>
  <si>
    <t>SB_7-09-14_MAY_1976-02-21_Demoniac--Disturbing_%26_Disturbed.mp3</t>
  </si>
  <si>
    <t>https://audio.iskcondesiretree.com/01_-_Srila_Prabhupada/01_-_Lectures/01_-_English/02_-_Month_wise/02_-_Feburary/21/SB_7-09-14_MAY_1976-02-21_Demoniac--Disturbing_%26_Disturbed.mp3</t>
  </si>
  <si>
    <t>Walk_1976-02-21_MW-MAYAPUR.MP3</t>
  </si>
  <si>
    <t>https://audio.iskcondesiretree.com/01_-_Srila_Prabhupada/01_-_Lectures/01_-_English/02_-_Month_wise/02_-_Feburary/21/Walk_1976-02-21_MW-MAYAPUR.MP3</t>
  </si>
  <si>
    <t>SP_SB_7-09-15_Mayapur_1976-02-22_New_Orleans_Gentleman_Can_Live_Here.mp3</t>
  </si>
  <si>
    <t>https://audio.iskcondesiretree.com/01_-_Srila_Prabhupada/01_-_Lectures/01_-_English/01_-_Topic_wise/Srimad_Bhagavatam/Canto-07/SP_SB_7-09-15_Mayapur_1976-02-22_New_Orleans_Gentleman_Can_Live_Here.mp3</t>
  </si>
  <si>
    <t>SB-07-09-15_1976-02-22_SB-MAYAPUR.MP3</t>
  </si>
  <si>
    <t>https://audio.iskcondesiretree.com/01_-_Srila_Prabhupada/01_-_Lectures/01_-_English/02_-_Month_wise/02_-_Feburary/22/SB-07-09-15_1976-02-22_SB-MAYAPUR.MP3</t>
  </si>
  <si>
    <t>SB_7-09-15_MAY_1976-02-22_No_Gentleman_Can_Live_Here.mp3</t>
  </si>
  <si>
    <t>https://audio.iskcondesiretree.com/01_-_Srila_Prabhupada/01_-_Lectures/01_-_English/02_-_Month_wise/02_-_Feburary/22/SB_7-09-15_MAY_1976-02-22_No_Gentleman_Can_Live_Here.mp3</t>
  </si>
  <si>
    <t>Walk_1976-02-22_MW-MAYAPUR.MP3</t>
  </si>
  <si>
    <t>https://audio.iskcondesiretree.com/01_-_Srila_Prabhupada/01_-_Lectures/01_-_English/02_-_Month_wise/02_-_Feburary/22/Walk_1976-02-22_MW-MAYAPUR.MP3</t>
  </si>
  <si>
    <t>SP_SB_7-09-16_Mayapur_1976-02-23_Spreading_the_Moonlight.mp3</t>
  </si>
  <si>
    <t>https://audio.iskcondesiretree.com/01_-_Srila_Prabhupada/01_-_Lectures/01_-_English/01_-_Topic_wise/Srimad_Bhagavatam/Canto-07/SP_SB_7-09-16_Mayapur_1976-02-23_Spreading_the_Moonlight.mp3</t>
  </si>
  <si>
    <t>SB-07-09-16_1976-02-23_SB-MAYAPUR.MP3</t>
  </si>
  <si>
    <t>https://audio.iskcondesiretree.com/01_-_Srila_Prabhupada/01_-_Lectures/01_-_English/02_-_Month_wise/02_-_Feburary/23/SB-07-09-16_1976-02-23_SB-MAYAPUR.MP3</t>
  </si>
  <si>
    <t>SB_7-09-16_MAY_1976-02-23_Spreading_the_Moonlight.mp3</t>
  </si>
  <si>
    <t>https://audio.iskcondesiretree.com/01_-_Srila_Prabhupada/01_-_Lectures/01_-_English/02_-_Month_wise/02_-_Feburary/23/SB_7-09-16_MAY_1976-02-23_Spreading_the_Moonlight.mp3</t>
  </si>
  <si>
    <t>SP_SB_7-09-17_Mayapur_1976-02-24_Crushed_by_the_Wheel_of_Time.mp3</t>
  </si>
  <si>
    <t>https://audio.iskcondesiretree.com/01_-_Srila_Prabhupada/01_-_Lectures/01_-_English/01_-_Topic_wise/Srimad_Bhagavatam/Canto-07/SP_SB_7-09-17_Mayapur_1976-02-24_Crushed_by_the_Wheel_of_Time.mp3</t>
  </si>
  <si>
    <t>SB-07-09-17_1976-02-24_SB-MAYAPUR.MP3</t>
  </si>
  <si>
    <t>https://audio.iskcondesiretree.com/01_-_Srila_Prabhupada/01_-_Lectures/01_-_English/02_-_Month_wise/02_-_Feburary/24/SB-07-09-17_1976-02-24_SB-MAYAPUR.MP3</t>
  </si>
  <si>
    <t>SB_7-09-17_MAY_1976-02-24_Crushed_by_the_Wheel_of_Time.mp3</t>
  </si>
  <si>
    <t>https://audio.iskcondesiretree.com/01_-_Srila_Prabhupada/01_-_Lectures/01_-_English/02_-_Month_wise/02_-_Feburary/24/SB_7-09-17_MAY_1976-02-24_Crushed_by_the_Wheel_of_Time.mp3</t>
  </si>
  <si>
    <t>SP_Morning_Walk_-_Mayapur_1976-02-25_The_Process_of_Disgust.mp3</t>
  </si>
  <si>
    <t>https://audio.iskcondesiretree.com/01_-_Srila_Prabhupada/01_-_Lectures/01_-_English/01_-_Topic_wise/Morning_Walk/SP_Morning_Walk_-_Mayapur_1976-02-25_The_Process_of_Disgust.mp3</t>
  </si>
  <si>
    <t>SP_SB_7-09-18_Mayapur_1976-02-25_Literature_vs._Litter-ature.mp3</t>
  </si>
  <si>
    <t>https://audio.iskcondesiretree.com/01_-_Srila_Prabhupada/01_-_Lectures/01_-_English/01_-_Topic_wise/Srimad_Bhagavatam/Canto-07/SP_SB_7-09-18_Mayapur_1976-02-25_Literature_vs._Litter-ature.mp3</t>
  </si>
  <si>
    <t>MW_MAY_1976-02-25_The_Process_of_Disgust.mp3</t>
  </si>
  <si>
    <t>https://audio.iskcondesiretree.com/01_-_Srila_Prabhupada/01_-_Lectures/01_-_English/02_-_Month_wise/02_-_Feburary/25/MW_MAY_1976-02-25_The_Process_of_Disgust.mp3</t>
  </si>
  <si>
    <t>SB-07-09-18_1976-02-25_SB-MAYAPUR.MP3</t>
  </si>
  <si>
    <t>https://audio.iskcondesiretree.com/01_-_Srila_Prabhupada/01_-_Lectures/01_-_English/02_-_Month_wise/02_-_Feburary/25/SB-07-09-18_1976-02-25_SB-MAYAPUR.MP3</t>
  </si>
  <si>
    <t>SB_7-09-18_MAY_1976-02-25_Literature_vs_Literature.mp3</t>
  </si>
  <si>
    <t>https://audio.iskcondesiretree.com/01_-_Srila_Prabhupada/01_-_Lectures/01_-_English/02_-_Month_wise/02_-_Feburary/25/SB_7-09-18_MAY_1976-02-25_Literature_vs_Literature.mp3</t>
  </si>
  <si>
    <t>Walk_1976-02-25_MW-MAYAPUR.MP3</t>
  </si>
  <si>
    <t>https://audio.iskcondesiretree.com/01_-_Srila_Prabhupada/01_-_Lectures/01_-_English/02_-_Month_wise/02_-_Feburary/25/Walk_1976-02-25_MW-MAYAPUR.MP3</t>
  </si>
  <si>
    <t>SP_Morning_Walk_-_Mayapur_1976-02-26_Nothing_But_Krishna.mp3</t>
  </si>
  <si>
    <t>https://audio.iskcondesiretree.com/01_-_Srila_Prabhupada/01_-_Lectures/01_-_English/01_-_Topic_wise/Morning_Walk/SP_Morning_Walk_-_Mayapur_1976-02-26_Nothing_But_Krishna.mp3</t>
  </si>
  <si>
    <t>SP_SB_7-09-19_Mayapur_1976-02-26_Remember_the_Titanic.mp3</t>
  </si>
  <si>
    <t>https://audio.iskcondesiretree.com/01_-_Srila_Prabhupada/01_-_Lectures/01_-_English/01_-_Topic_wise/Srimad_Bhagavatam/Canto-07/SP_SB_7-09-19_Mayapur_1976-02-26_Remember_the_Titanic.mp3</t>
  </si>
  <si>
    <t>MW_MAY_1976-02-26_Nothing_But_Krishna.mp3</t>
  </si>
  <si>
    <t>https://audio.iskcondesiretree.com/01_-_Srila_Prabhupada/01_-_Lectures/01_-_English/02_-_Month_wise/02_-_Feburary/26/MW_MAY_1976-02-26_Nothing_But_Krishna.mp3</t>
  </si>
  <si>
    <t>SB-07-09-19_1976-02-26_SB-MAYAPUR.MP3</t>
  </si>
  <si>
    <t>https://audio.iskcondesiretree.com/01_-_Srila_Prabhupada/01_-_Lectures/01_-_English/02_-_Month_wise/02_-_Feburary/26/SB-07-09-19_1976-02-26_SB-MAYAPUR.MP3</t>
  </si>
  <si>
    <t>SB_7-09-19_MAY_1976-02-26_Remember_the_Titanic.mp3</t>
  </si>
  <si>
    <t>https://audio.iskcondesiretree.com/01_-_Srila_Prabhupada/01_-_Lectures/01_-_English/02_-_Month_wise/02_-_Feburary/26/SB_7-09-19_MAY_1976-02-26_Remember_the_Titanic.mp3</t>
  </si>
  <si>
    <t>Walk_1976-02-26_MW-MAYAPUR.MP3</t>
  </si>
  <si>
    <t>https://audio.iskcondesiretree.com/01_-_Srila_Prabhupada/01_-_Lectures/01_-_English/02_-_Month_wise/02_-_Feburary/26/Walk_1976-02-26_MW-MAYAPUR.MP3</t>
  </si>
  <si>
    <t>SP_SB_7-09-20_Mayapur_1976-02-27_Nothing_Other_than_Krishna.mp3</t>
  </si>
  <si>
    <t>https://audio.iskcondesiretree.com/01_-_Srila_Prabhupada/01_-_Lectures/01_-_English/01_-_Topic_wise/Srimad_Bhagavatam/Canto-07/SP_SB_7-09-20_Mayapur_1976-02-27_Nothing_Other_than_Krishna.mp3</t>
  </si>
  <si>
    <t>SB-07-09-20_1976-02-27_SB-MAYAPUR.MP3</t>
  </si>
  <si>
    <t>https://audio.iskcondesiretree.com/01_-_Srila_Prabhupada/01_-_Lectures/01_-_English/02_-_Month_wise/02_-_Feburary/27/SB-07-09-20_1976-02-27_SB-MAYAPUR.MP3</t>
  </si>
  <si>
    <t>SB_7-09-20_MAY_1976-02-27_Nothing_Other_than_Krishna.mp3</t>
  </si>
  <si>
    <t>https://audio.iskcondesiretree.com/01_-_Srila_Prabhupada/01_-_Lectures/01_-_English/02_-_Month_wise/02_-_Feburary/27/SB_7-09-20_MAY_1976-02-27_Nothing_Other_than_Krishna.mp3</t>
  </si>
  <si>
    <t>Walk_1976-02-27_MW-MAYAPUR.MP3</t>
  </si>
  <si>
    <t>https://audio.iskcondesiretree.com/01_-_Srila_Prabhupada/01_-_Lectures/01_-_English/02_-_Month_wise/02_-_Feburary/27/Walk_1976-02-27_MW-MAYAPUR.MP3</t>
  </si>
  <si>
    <t>SP_SB_7-09-21_Mayapur_1976-02-28_Beginning_of_Material_Life.mp3</t>
  </si>
  <si>
    <t>https://audio.iskcondesiretree.com/01_-_Srila_Prabhupada/01_-_Lectures/01_-_English/01_-_Topic_wise/Srimad_Bhagavatam/Canto-07/SP_SB_7-09-21_Mayapur_1976-02-28_Beginning_of_Material_Life.mp3</t>
  </si>
  <si>
    <t>SB-07-09-21_1976-02-28_SB-MAYAPUR.MP3</t>
  </si>
  <si>
    <t>https://audio.iskcondesiretree.com/01_-_Srila_Prabhupada/01_-_Lectures/01_-_English/02_-_Month_wise/02_-_Feburary/28/SB-07-09-21_1976-02-28_SB-MAYAPUR.MP3</t>
  </si>
  <si>
    <t>SB_7-09-21_MAY_1976-02-28_Beginning_of_Material_Life.mp3</t>
  </si>
  <si>
    <t>https://audio.iskcondesiretree.com/01_-_Srila_Prabhupada/01_-_Lectures/01_-_English/02_-_Month_wise/02_-_Feburary/28/SB_7-09-21_MAY_1976-02-28_Beginning_of_Material_Life.mp3</t>
  </si>
  <si>
    <t>Walk_1976-02-28_MW-MAYAPUR.MP3</t>
  </si>
  <si>
    <t>https://audio.iskcondesiretree.com/01_-_Srila_Prabhupada/01_-_Lectures/01_-_English/02_-_Month_wise/02_-_Feburary/28/Walk_1976-02-28_MW-MAYAPUR.MP3</t>
  </si>
  <si>
    <t>SP_SB_7-09-22_Mayapur_1976-02-29_It_Is_Not_Alright.mp3</t>
  </si>
  <si>
    <t>https://audio.iskcondesiretree.com/01_-_Srila_Prabhupada/01_-_Lectures/01_-_English/01_-_Topic_wise/Srimad_Bhagavatam/Canto-07/SP_SB_7-09-22_Mayapur_1976-02-29_It_Is_Not_Alright.mp3</t>
  </si>
  <si>
    <t>SB-07-09-22_1976-02-29_SB-MAYAPUR.MP3</t>
  </si>
  <si>
    <t>https://audio.iskcondesiretree.com/01_-_Srila_Prabhupada/01_-_Lectures/01_-_English/02_-_Month_wise/02_-_Feburary/29/SB-07-09-22_1976-02-29_SB-MAYAPUR.MP3</t>
  </si>
  <si>
    <t>SB_7-09-22_MAY_1976-02-29_It_Is_Not_Alright.mp3</t>
  </si>
  <si>
    <t>https://audio.iskcondesiretree.com/01_-_Srila_Prabhupada/01_-_Lectures/01_-_English/02_-_Month_wise/02_-_Feburary/29/SB_7-09-22_MAY_1976-02-29_It_Is_Not_Alright.mp3</t>
  </si>
  <si>
    <t>Walk_1976-02-29_MW-MAYAPUR.MP3</t>
  </si>
  <si>
    <t>https://audio.iskcondesiretree.com/01_-_Srila_Prabhupada/01_-_Lectures/01_-_English/02_-_Month_wise/02_-_Feburary/29/Walk_1976-02-29_MW-MAYAPUR.MP3</t>
  </si>
  <si>
    <t>SP_SB_7-09-23_Mayapur_1976-03-01_Krishna_Impersonators_Killed.mp3</t>
  </si>
  <si>
    <t>https://audio.iskcondesiretree.com/01_-_Srila_Prabhupada/01_-_Lectures/01_-_English/01_-_Topic_wise/Srimad_Bhagavatam/Canto-07/SP_SB_7-09-23_Mayapur_1976-03-01_Krishna_Impersonators_Killed.mp3</t>
  </si>
  <si>
    <t>SB-07-09-23_1976-03-01_SB-MAYAPUR.MP3</t>
  </si>
  <si>
    <t>https://audio.iskcondesiretree.com/01_-_Srila_Prabhupada/01_-_Lectures/01_-_English/02_-_Month_wise/03_-_March/01/SB-07-09-23_1976-03-01_SB-MAYAPUR.MP3</t>
  </si>
  <si>
    <t>SB_7-09-23_MAY_1976-03-01_Krishna_Impersonators_Killed.mp3</t>
  </si>
  <si>
    <t>https://audio.iskcondesiretree.com/01_-_Srila_Prabhupada/01_-_Lectures/01_-_English/02_-_Month_wise/03_-_March/01/SB_7-09-23_MAY_1976-03-01_Krishna_Impersonators_Killed.mp3</t>
  </si>
  <si>
    <t>Walk_1976-03-01_MW-MAYAPUR.MP3</t>
  </si>
  <si>
    <t>https://audio.iskcondesiretree.com/01_-_Srila_Prabhupada/01_-_Lectures/01_-_English/02_-_Month_wise/03_-_March/01/Walk_1976-03-01_MW-MAYAPUR.MP3</t>
  </si>
  <si>
    <t>SP_SB_7-09-24_Mayapur_1976-03-02_The_Master_Disease.mp3</t>
  </si>
  <si>
    <t>https://audio.iskcondesiretree.com/01_-_Srila_Prabhupada/01_-_Lectures/01_-_English/01_-_Topic_wise/Srimad_Bhagavatam/Canto-07/SP_SB_7-09-24_Mayapur_1976-03-02_The_Master_Disease.mp3</t>
  </si>
  <si>
    <t>SB-07-09-24_1976-03-02_SB-MAYAPUR.MP3</t>
  </si>
  <si>
    <t>https://audio.iskcondesiretree.com/01_-_Srila_Prabhupada/01_-_Lectures/01_-_English/02_-_Month_wise/03_-_March/02/SB-07-09-24_1976-03-02_SB-MAYAPUR.MP3</t>
  </si>
  <si>
    <t>SB_7-09-24_MAY_1976-03-02_The_Master_Disease.mp3</t>
  </si>
  <si>
    <t>https://audio.iskcondesiretree.com/01_-_Srila_Prabhupada/01_-_Lectures/01_-_English/02_-_Month_wise/03_-_March/02/SB_7-09-24_MAY_1976-03-02_The_Master_Disease.mp3</t>
  </si>
  <si>
    <t>Walk_1976-03-02_MW-MAYAPUR.MP3</t>
  </si>
  <si>
    <t>https://audio.iskcondesiretree.com/01_-_Srila_Prabhupada/01_-_Lectures/01_-_English/02_-_Month_wise/03_-_March/02/Walk_1976-03-02_MW-MAYAPUR.MP3</t>
  </si>
  <si>
    <t>Walk_1976-03-03_MW-MAYAPUR.MP3</t>
  </si>
  <si>
    <t>https://audio.iskcondesiretree.com/01_-_Srila_Prabhupada/01_-_Lectures/01_-_English/02_-_Month_wise/03_-_March/03/Walk_1976-03-03_MW-MAYAPUR.MP3</t>
  </si>
  <si>
    <t>SP_SB_7-09-26_Mayapur_1976-03-04_Krishna%27s_Touch.mp3</t>
  </si>
  <si>
    <t>https://audio.iskcondesiretree.com/01_-_Srila_Prabhupada/01_-_Lectures/01_-_English/01_-_Topic_wise/Srimad_Bhagavatam/Canto-07/SP_SB_7-09-26_Mayapur_1976-03-04_Krishna%27s_Touch.mp3</t>
  </si>
  <si>
    <t>SB-07-09-26_1976-03-04_SB-MAYAPUR.MP3</t>
  </si>
  <si>
    <t>https://audio.iskcondesiretree.com/01_-_Srila_Prabhupada/01_-_Lectures/01_-_English/02_-_Month_wise/03_-_March/04/SB-07-09-26_1976-03-04_SB-MAYAPUR.MP3</t>
  </si>
  <si>
    <t>SB_7-09-26_MAY_1976-03-04_Krishna%27s_Touch.mp3</t>
  </si>
  <si>
    <t>https://audio.iskcondesiretree.com/01_-_Srila_Prabhupada/01_-_Lectures/01_-_English/02_-_Month_wise/03_-_March/04/SB_7-09-26_MAY_1976-03-04_Krishna%27s_Touch.mp3</t>
  </si>
  <si>
    <t>SP_SB_7-09-27_Mayapur_1976-03-05_Jealousy--It%27s_Cause_and_Cure.mp3</t>
  </si>
  <si>
    <t>https://audio.iskcondesiretree.com/01_-_Srila_Prabhupada/01_-_Lectures/01_-_English/01_-_Topic_wise/Srimad_Bhagavatam/Canto-07/SP_SB_7-09-27_Mayapur_1976-03-05_Jealousy--It%27s_Cause_and_Cure.mp3</t>
  </si>
  <si>
    <t>SB-07-09-27_1976-03-05_SB-MAYAPUR.MP3</t>
  </si>
  <si>
    <t>https://audio.iskcondesiretree.com/01_-_Srila_Prabhupada/01_-_Lectures/01_-_English/02_-_Month_wise/03_-_March/05/SB-07-09-27_1976-03-05_SB-MAYAPUR.MP3</t>
  </si>
  <si>
    <t>SB_7-09-27_MAY_1976-03-05_Jealousy--It%27s_Cause_and_Cure.mp3</t>
  </si>
  <si>
    <t>https://audio.iskcondesiretree.com/01_-_Srila_Prabhupada/01_-_Lectures/01_-_English/02_-_Month_wise/03_-_March/05/SB_7-09-27_MAY_1976-03-05_Jealousy--It%27s_Cause_and_Cure.mp3</t>
  </si>
  <si>
    <t>Walk_1976-03-05_MW-MAYAPUR.MP3</t>
  </si>
  <si>
    <t>https://audio.iskcondesiretree.com/01_-_Srila_Prabhupada/01_-_Lectures/01_-_English/02_-_Month_wise/03_-_March/05/Walk_1976-03-05_MW-MAYAPUR.MP3</t>
  </si>
  <si>
    <t>SP_SB_7-09-28_Mayapur_1976-03-06_Serpents_and_Servants.mp3</t>
  </si>
  <si>
    <t>https://audio.iskcondesiretree.com/01_-_Srila_Prabhupada/01_-_Lectures/01_-_English/01_-_Topic_wise/Srimad_Bhagavatam/Canto-07/SP_SB_7-09-28_Mayapur_1976-03-06_Serpents_and_Servants.mp3</t>
  </si>
  <si>
    <t>Meeting%E2%80%93Bengali_1976-03-06_ME-MAYAPUR.MP3</t>
  </si>
  <si>
    <t>https://audio.iskcondesiretree.com/01_-_Srila_Prabhupada/01_-_Lectures/01_-_English/02_-_Month_wise/03_-_March/06/Meeting%E2%80%93Bengali_1976-03-06_ME-MAYAPUR.MP3</t>
  </si>
  <si>
    <t>SB-07-09-28_1976-03-06_SB-MAYAPUR.MP3</t>
  </si>
  <si>
    <t>https://audio.iskcondesiretree.com/01_-_Srila_Prabhupada/01_-_Lectures/01_-_English/02_-_Month_wise/03_-_March/06/SB-07-09-28_1976-03-06_SB-MAYAPUR.MP3</t>
  </si>
  <si>
    <t>SB_7-09-28_MAY_1976-03-06_Serpents_and_Servants.mp3</t>
  </si>
  <si>
    <t>https://audio.iskcondesiretree.com/01_-_Srila_Prabhupada/01_-_Lectures/01_-_English/02_-_Month_wise/03_-_March/06/SB_7-09-28_MAY_1976-03-06_Serpents_and_Servants.mp3</t>
  </si>
  <si>
    <t>1976-03-06_Lecture_-_Mayapur.MP3</t>
  </si>
  <si>
    <t>https://audio.iskcondesiretree.com/01_-_Srila_Prabhupada/01_-_Lectures/02_-_Bengali/1976-03-06_Lecture_-_Mayapur.MP3</t>
  </si>
  <si>
    <t>SP_Morning_Walk_-_Mayapur_1976-03-07_Disciple-Discipline.mp3</t>
  </si>
  <si>
    <t>https://audio.iskcondesiretree.com/01_-_Srila_Prabhupada/01_-_Lectures/01_-_English/01_-_Topic_wise/Morning_Walk/SP_Morning_Walk_-_Mayapur_1976-03-07_Disciple-Discipline.mp3</t>
  </si>
  <si>
    <t>SP_SB_7-09-29_Mayapur_1976-03-07_The_Clever_One.mp3</t>
  </si>
  <si>
    <t>https://audio.iskcondesiretree.com/01_-_Srila_Prabhupada/01_-_Lectures/01_-_English/01_-_Topic_wise/Srimad_Bhagavatam/Canto-07/SP_SB_7-09-29_Mayapur_1976-03-07_The_Clever_One.mp3</t>
  </si>
  <si>
    <t>MW_MAY_1976-03-07_Disciple-Discipline.mp3</t>
  </si>
  <si>
    <t>https://audio.iskcondesiretree.com/01_-_Srila_Prabhupada/01_-_Lectures/01_-_English/02_-_Month_wise/03_-_March/07/MW_MAY_1976-03-07_Disciple-Discipline.mp3</t>
  </si>
  <si>
    <t>SB-07-09-29_1976-03-07_SB-MAYAPUR.MP3</t>
  </si>
  <si>
    <t>https://audio.iskcondesiretree.com/01_-_Srila_Prabhupada/01_-_Lectures/01_-_English/02_-_Month_wise/03_-_March/07/SB-07-09-29_1976-03-07_SB-MAYAPUR.MP3</t>
  </si>
  <si>
    <t>SB_7-09-29_MAY_1976-03-07_The_Clever_One.mp3</t>
  </si>
  <si>
    <t>https://audio.iskcondesiretree.com/01_-_Srila_Prabhupada/01_-_Lectures/01_-_English/02_-_Month_wise/03_-_March/07/SB_7-09-29_MAY_1976-03-07_The_Clever_One.mp3</t>
  </si>
  <si>
    <t>Walk_1976-03-07_MW-MAYAPUR.MP3</t>
  </si>
  <si>
    <t>https://audio.iskcondesiretree.com/01_-_Srila_Prabhupada/01_-_Lectures/01_-_English/02_-_Month_wise/03_-_March/07/Walk_1976-03-07_MW-MAYAPUR.MP3</t>
  </si>
  <si>
    <t>SP_SB_7-09-30_Mayapur_1976-03-08_Enter_the_Spirit.mp3</t>
  </si>
  <si>
    <t>https://audio.iskcondesiretree.com/01_-_Srila_Prabhupada/01_-_Lectures/01_-_English/01_-_Topic_wise/Srimad_Bhagavatam/Canto-07/SP_SB_7-09-30_Mayapur_1976-03-08_Enter_the_Spirit.mp3</t>
  </si>
  <si>
    <t>SB-07-09-30_1976-03-08_SB-MAYAPUR.MP3</t>
  </si>
  <si>
    <t>https://audio.iskcondesiretree.com/01_-_Srila_Prabhupada/01_-_Lectures/01_-_English/02_-_Month_wise/03_-_March/08/SB-07-09-30_1976-03-08_SB-MAYAPUR.MP3</t>
  </si>
  <si>
    <t>SB_7-09-30_MAY_1976-03-08_Enter_the_Spirit.mp3</t>
  </si>
  <si>
    <t>https://audio.iskcondesiretree.com/01_-_Srila_Prabhupada/01_-_Lectures/01_-_English/02_-_Month_wise/03_-_March/08/SB_7-09-30_MAY_1976-03-08_Enter_the_Spirit.mp3</t>
  </si>
  <si>
    <t>Walk_1976-03-08_MW-MAYAPUR.MP3</t>
  </si>
  <si>
    <t>https://audio.iskcondesiretree.com/01_-_Srila_Prabhupada/01_-_Lectures/01_-_English/02_-_Month_wise/03_-_March/08/Walk_1976-03-08_MW-MAYAPUR.MP3</t>
  </si>
  <si>
    <t>SP_SB_7-09-31_Mayapur_1976-03-09_First_Lesson--Who_Am_I.mp3</t>
  </si>
  <si>
    <t>https://audio.iskcondesiretree.com/01_-_Srila_Prabhupada/01_-_Lectures/01_-_English/01_-_Topic_wise/Srimad_Bhagavatam/Canto-07/SP_SB_7-09-31_Mayapur_1976-03-09_First_Lesson--Who_Am_I.mp3</t>
  </si>
  <si>
    <t>SB-07-09-31_1976-03-09_SB-MAYAPUR.MP3</t>
  </si>
  <si>
    <t>https://audio.iskcondesiretree.com/01_-_Srila_Prabhupada/01_-_Lectures/01_-_English/02_-_Month_wise/03_-_March/09/SB-07-09-31_1976-03-09_SB-MAYAPUR.MP3</t>
  </si>
  <si>
    <t>SB_7-09-31_MAY_1976-03-09_First_Lesson--Who_Am_I.mp3</t>
  </si>
  <si>
    <t>https://audio.iskcondesiretree.com/01_-_Srila_Prabhupada/01_-_Lectures/01_-_English/02_-_Month_wise/03_-_March/09/SB_7-09-31_MAY_1976-03-09_First_Lesson--Who_Am_I.mp3</t>
  </si>
  <si>
    <t>Walk_1976-03-09_MW-MAYAPUR.MP3</t>
  </si>
  <si>
    <t>https://audio.iskcondesiretree.com/01_-_Srila_Prabhupada/01_-_Lectures/01_-_English/02_-_Month_wise/03_-_March/09/Walk_1976-03-09_MW-MAYAPUR.MP3</t>
  </si>
  <si>
    <t>SP_SB_7-09-32_Mayapur_1976-03-10_The_All_Pure_and_Powerful.mp3</t>
  </si>
  <si>
    <t>https://audio.iskcondesiretree.com/01_-_Srila_Prabhupada/01_-_Lectures/01_-_English/01_-_Topic_wise/Srimad_Bhagavatam/Canto-07/SP_SB_7-09-32_Mayapur_1976-03-10_The_All_Pure_and_Powerful.mp3</t>
  </si>
  <si>
    <t>SB-07-09-32_1976-03-10_SB-MAYAPUR.MP3</t>
  </si>
  <si>
    <t>https://audio.iskcondesiretree.com/01_-_Srila_Prabhupada/01_-_Lectures/01_-_English/02_-_Month_wise/03_-_March/10/SB-07-09-32_1976-03-10_SB-MAYAPUR.MP3</t>
  </si>
  <si>
    <t>SB_7-09-32_MAY_1976-03-10_The_All_Pure_and_Powerful.mp3</t>
  </si>
  <si>
    <t>https://audio.iskcondesiretree.com/01_-_Srila_Prabhupada/01_-_Lectures/01_-_English/02_-_Month_wise/03_-_March/10/SB_7-09-32_MAY_1976-03-10_The_All_Pure_and_Powerful.mp3</t>
  </si>
  <si>
    <t>Walk_1976-03-10_MW-MAYAPUR.MP3</t>
  </si>
  <si>
    <t>https://audio.iskcondesiretree.com/01_-_Srila_Prabhupada/01_-_Lectures/01_-_English/02_-_Month_wise/03_-_March/10/Walk_1976-03-10_MW-MAYAPUR.MP3</t>
  </si>
  <si>
    <t>SP_Morning_Walk_-_Mayapur_1976-03-11_God_Will_Come_If_there_are_Devotees.mp3</t>
  </si>
  <si>
    <t>https://audio.iskcondesiretree.com/01_-_Srila_Prabhupada/01_-_Lectures/01_-_English/01_-_Topic_wise/Morning_Walk/SP_Morning_Walk_-_Mayapur_1976-03-11_God_Will_Come_If_there_are_Devotees.mp3</t>
  </si>
  <si>
    <t>SP_SB_7-09-33_Mayapur_1976-03-11_Basic_Principle.mp3</t>
  </si>
  <si>
    <t>https://audio.iskcondesiretree.com/01_-_Srila_Prabhupada/01_-_Lectures/01_-_English/01_-_Topic_wise/Srimad_Bhagavatam/Canto-07/SP_SB_7-09-33_Mayapur_1976-03-11_Basic_Principle.mp3</t>
  </si>
  <si>
    <t>MW_MAY_1976-03-11_God_Will_Come_If_there_are_Devotees.mp3</t>
  </si>
  <si>
    <t>https://audio.iskcondesiretree.com/01_-_Srila_Prabhupada/01_-_Lectures/01_-_English/02_-_Month_wise/03_-_March/11/MW_MAY_1976-03-11_God_Will_Come_If_there_are_Devotees.mp3</t>
  </si>
  <si>
    <t>SB-07-09-33_1976-03-11_SB-MAYAPUR.MP3</t>
  </si>
  <si>
    <t>https://audio.iskcondesiretree.com/01_-_Srila_Prabhupada/01_-_Lectures/01_-_English/02_-_Month_wise/03_-_March/11/SB-07-09-33_1976-03-11_SB-MAYAPUR.MP3</t>
  </si>
  <si>
    <t>SB_7-09-33_MAY_1976-03-11_Basic_Principle.mp3</t>
  </si>
  <si>
    <t>https://audio.iskcondesiretree.com/01_-_Srila_Prabhupada/01_-_Lectures/01_-_English/02_-_Month_wise/03_-_March/11/SB_7-09-33_MAY_1976-03-11_Basic_Principle.mp3</t>
  </si>
  <si>
    <t>Walk_1976-03-11_MW-MAYAPUR.MP3</t>
  </si>
  <si>
    <t>https://audio.iskcondesiretree.com/01_-_Srila_Prabhupada/01_-_Lectures/01_-_English/02_-_Month_wise/03_-_March/11/Walk_1976-03-11_MW-MAYAPUR.MP3</t>
  </si>
  <si>
    <t>SP_Morning_Walk_-_Mayapur_1976-03-12_One_Should_Give_to_Temple.mp3</t>
  </si>
  <si>
    <t>https://audio.iskcondesiretree.com/01_-_Srila_Prabhupada/01_-_Lectures/01_-_English/01_-_Topic_wise/Morning_Walk/SP_Morning_Walk_-_Mayapur_1976-03-12_One_Should_Give_to_Temple.mp3</t>
  </si>
  <si>
    <t>SP_SB_7-09-34_Mayapur_1976-03-12_Make_Krishna_Smile.mp3</t>
  </si>
  <si>
    <t>https://audio.iskcondesiretree.com/01_-_Srila_Prabhupada/01_-_Lectures/01_-_English/01_-_Topic_wise/Srimad_Bhagavatam/Canto-07/SP_SB_7-09-34_Mayapur_1976-03-12_Make_Krishna_Smile.mp3</t>
  </si>
  <si>
    <t>MW_MAY_1976-03-12_One_Should_Give_to_Temple.mp3</t>
  </si>
  <si>
    <t>https://audio.iskcondesiretree.com/01_-_Srila_Prabhupada/01_-_Lectures/01_-_English/02_-_Month_wise/03_-_March/12/MW_MAY_1976-03-12_One_Should_Give_to_Temple.mp3</t>
  </si>
  <si>
    <t>SB-07-09-34_1976-03-12_SB-MAYAPUR.MP3</t>
  </si>
  <si>
    <t>https://audio.iskcondesiretree.com/01_-_Srila_Prabhupada/01_-_Lectures/01_-_English/02_-_Month_wise/03_-_March/12/SB-07-09-34_1976-03-12_SB-MAYAPUR.MP3</t>
  </si>
  <si>
    <t>SB_7-09-34_MAY_1976-03-12_Make_Krishna_Smile.mp3</t>
  </si>
  <si>
    <t>https://audio.iskcondesiretree.com/01_-_Srila_Prabhupada/01_-_Lectures/01_-_English/02_-_Month_wise/03_-_March/12/SB_7-09-34_MAY_1976-03-12_Make_Krishna_Smile.mp3</t>
  </si>
  <si>
    <t>Walk_1976-03-12_MW-MAYAPUR.MP3</t>
  </si>
  <si>
    <t>https://audio.iskcondesiretree.com/01_-_Srila_Prabhupada/01_-_Lectures/01_-_English/02_-_Month_wise/03_-_March/12/Walk_1976-03-12_MW-MAYAPUR.MP3</t>
  </si>
  <si>
    <t>SB-07-09-35_1976-03-13_SB-MAYAPUR.MP3</t>
  </si>
  <si>
    <t>https://audio.iskcondesiretree.com/01_-_Srila_Prabhupada/01_-_Lectures/01_-_English/02_-_Month_wise/03_-_March/13/SB-07-09-35_1976-03-13_SB-MAYAPUR.MP3</t>
  </si>
  <si>
    <t>Walk_1976-03-13_MW-MAYAPUR.MP3</t>
  </si>
  <si>
    <t>https://audio.iskcondesiretree.com/01_-_Srila_Prabhupada/01_-_Lectures/01_-_English/02_-_Month_wise/03_-_March/13/Walk_1976-03-13_MW-MAYAPUR.MP3</t>
  </si>
  <si>
    <t>SP_SB_7-09-36_Mayapur_1976-03-14_Simple_Boy-Real_God.mp3</t>
  </si>
  <si>
    <t>https://audio.iskcondesiretree.com/01_-_Srila_Prabhupada/01_-_Lectures/01_-_English/01_-_Topic_wise/Srimad_Bhagavatam/Canto-07/SP_SB_7-09-36_Mayapur_1976-03-14_Simple_Boy-Real_God.mp3</t>
  </si>
  <si>
    <t>SB-07-09-36_1976-03-14_SB-MAYAPUR.MP3</t>
  </si>
  <si>
    <t>https://audio.iskcondesiretree.com/01_-_Srila_Prabhupada/01_-_Lectures/01_-_English/02_-_Month_wise/03_-_March/14/SB-07-09-36_1976-03-14_SB-MAYAPUR.MP3</t>
  </si>
  <si>
    <t>SB_7-09-36_MAY_1976-03-14_Simple_Boy-Real_God.mp3</t>
  </si>
  <si>
    <t>https://audio.iskcondesiretree.com/01_-_Srila_Prabhupada/01_-_Lectures/01_-_English/02_-_Month_wise/03_-_March/14/SB_7-09-36_MAY_1976-03-14_Simple_Boy-Real_God.mp3</t>
  </si>
  <si>
    <t>Walk_1976-03-14_MW-MAYAPUR.MP3</t>
  </si>
  <si>
    <t>https://audio.iskcondesiretree.com/01_-_Srila_Prabhupada/01_-_Lectures/01_-_English/02_-_Month_wise/03_-_March/14/Walk_1976-03-14_MW-MAYAPUR.MP3</t>
  </si>
  <si>
    <t>SP_SB_7-09-37_Mayapur_1976-03-15_Faith_Vs._Fact.mp3</t>
  </si>
  <si>
    <t>https://audio.iskcondesiretree.com/01_-_Srila_Prabhupada/01_-_Lectures/01_-_English/01_-_Topic_wise/Srimad_Bhagavatam/Canto-07/SP_SB_7-09-37_Mayapur_1976-03-15_Faith_Vs._Fact.mp3</t>
  </si>
  <si>
    <t>SB-07-09-37_1976-03-15_SB-MAYAPUR.MP3</t>
  </si>
  <si>
    <t>https://audio.iskcondesiretree.com/01_-_Srila_Prabhupada/01_-_Lectures/01_-_English/02_-_Month_wise/03_-_March/15/SB-07-09-37_1976-03-15_SB-MAYAPUR.MP3</t>
  </si>
  <si>
    <t>SB_7-09-37_MAY_1976-03-15_Faith_Vs_Fact.mp3</t>
  </si>
  <si>
    <t>https://audio.iskcondesiretree.com/01_-_Srila_Prabhupada/01_-_Lectures/01_-_English/02_-_Month_wise/03_-_March/15/SB_7-09-37_MAY_1976-03-15_Faith_Vs_Fact.mp3</t>
  </si>
  <si>
    <t>Walk_1976-03-15_MW-MAYAPUR.MP3</t>
  </si>
  <si>
    <t>https://audio.iskcondesiretree.com/01_-_Srila_Prabhupada/01_-_Lectures/01_-_English/02_-_Month_wise/03_-_March/15/Walk_1976-03-15_MW-MAYAPUR.MP3</t>
  </si>
  <si>
    <t>SP_Morning_Walk_-_Mayapur_1976-03-16_What_Is_Next.mp3</t>
  </si>
  <si>
    <t>https://audio.iskcondesiretree.com/01_-_Srila_Prabhupada/01_-_Lectures/01_-_English/01_-_Topic_wise/Morning_Walk/SP_Morning_Walk_-_Mayapur_1976-03-16_What_Is_Next.mp3</t>
  </si>
  <si>
    <t>SP_SB_7-09-38_Mayapur_1976-03-16_Gaura_Purnima--The_Undercover_Avatar.mp3</t>
  </si>
  <si>
    <t>https://audio.iskcondesiretree.com/01_-_Srila_Prabhupada/01_-_Lectures/01_-_English/01_-_Topic_wise/Srimad_Bhagavatam/Canto-07/SP_SB_7-09-38_Mayapur_1976-03-16_Gaura_Purnima--The_Undercover_Avatar.mp3</t>
  </si>
  <si>
    <t>SP_Lecture_Mayapur_1976-03-16_Initiation_Sannyasa--No_Ism--No_Schism.mp3</t>
  </si>
  <si>
    <t>https://audio.iskcondesiretree.com/01_-_Srila_Prabhupada/01_-_Lectures/01_-_English/01_-_Topic_wise/Various/SP_Lecture_Mayapur_1976-03-16_Initiation_Sannyasa--No_Ism--No_Schism.mp3</t>
  </si>
  <si>
    <t>Conv_1976-03-16_R1-MAYAPUR.MP3</t>
  </si>
  <si>
    <t>https://audio.iskcondesiretree.com/01_-_Srila_Prabhupada/01_-_Lectures/01_-_English/02_-_Month_wise/03_-_March/16/Conv_1976-03-16_R1-MAYAPUR.MP3</t>
  </si>
  <si>
    <t>Initiations_1976-03-16_IN-MAYAPUR.MP3</t>
  </si>
  <si>
    <t>https://audio.iskcondesiretree.com/01_-_Srila_Prabhupada/01_-_Lectures/01_-_English/02_-_Month_wise/03_-_March/16/Initiations_1976-03-16_IN-MAYAPUR.MP3</t>
  </si>
  <si>
    <t>Lect_MAY_1976-03-16_Initiation_Sannyasa_No_Ism_No_Schism.mp3</t>
  </si>
  <si>
    <t>https://audio.iskcondesiretree.com/01_-_Srila_Prabhupada/01_-_Lectures/01_-_English/02_-_Month_wise/03_-_March/16/Lect_MAY_1976-03-16_Initiation_Sannyasa_No_Ism_No_Schism.mp3</t>
  </si>
  <si>
    <t>MW_MAY_1976-03-16_What_Is_Next.mp3</t>
  </si>
  <si>
    <t>https://audio.iskcondesiretree.com/01_-_Srila_Prabhupada/01_-_Lectures/01_-_English/02_-_Month_wise/03_-_March/16/MW_MAY_1976-03-16_What_Is_Next.mp3</t>
  </si>
  <si>
    <t>SB-07-09-38_1976-03-16_SB-MAYAPUR.MP3</t>
  </si>
  <si>
    <t>https://audio.iskcondesiretree.com/01_-_Srila_Prabhupada/01_-_Lectures/01_-_English/02_-_Month_wise/03_-_March/16/SB-07-09-38_1976-03-16_SB-MAYAPUR.MP3</t>
  </si>
  <si>
    <t>SB_7-09-38_MAY_1976-03-16_Gaura_Purnima--The_Undercover_Avatar.mp3</t>
  </si>
  <si>
    <t>https://audio.iskcondesiretree.com/01_-_Srila_Prabhupada/01_-_Lectures/01_-_English/02_-_Month_wise/03_-_March/16/SB_7-09-38_MAY_1976-03-16_Gaura_Purnima--The_Undercover_Avatar.mp3</t>
  </si>
  <si>
    <t>Walk_1976-03-16_MW-MAYAPUR.MP3</t>
  </si>
  <si>
    <t>https://audio.iskcondesiretree.com/01_-_Srila_Prabhupada/01_-_Lectures/01_-_English/02_-_Month_wise/03_-_March/16/Walk_1976-03-16_MW-MAYAPUR.MP3</t>
  </si>
  <si>
    <t>SP_Morning_Walk_-_Mayapur_1976-03-17_Brain_Is_Already_Created.mp3</t>
  </si>
  <si>
    <t>https://audio.iskcondesiretree.com/01_-_Srila_Prabhupada/01_-_Lectures/01_-_English/01_-_Topic_wise/Morning_Walk/SP_Morning_Walk_-_Mayapur_1976-03-17_Brain_Is_Already_Created.mp3</t>
  </si>
  <si>
    <t>SP_SB_7-09-39_Mayapur_1976-03-17_How_Will_They_Become_Brahmanas.mp3</t>
  </si>
  <si>
    <t>https://audio.iskcondesiretree.com/01_-_Srila_Prabhupada/01_-_Lectures/01_-_English/01_-_Topic_wise/Srimad_Bhagavatam/Canto-07/SP_SB_7-09-39_Mayapur_1976-03-17_How_Will_They_Become_Brahmanas.mp3</t>
  </si>
  <si>
    <t>MW_MAY_1976-03-17_Brain_Is_Already_Created.mp3</t>
  </si>
  <si>
    <t>https://audio.iskcondesiretree.com/01_-_Srila_Prabhupada/01_-_Lectures/01_-_English/02_-_Month_wise/03_-_March/17/MW_MAY_1976-03-17_Brain_Is_Already_Created.mp3</t>
  </si>
  <si>
    <t>SB-07-09-39_1976-03-17_SB-MAYAPUR.MP3</t>
  </si>
  <si>
    <t>https://audio.iskcondesiretree.com/01_-_Srila_Prabhupada/01_-_Lectures/01_-_English/02_-_Month_wise/03_-_March/17/SB-07-09-39_1976-03-17_SB-MAYAPUR.MP3</t>
  </si>
  <si>
    <t>SB_7-09-39_MAY_1976-03-17_How_Will_They_Become_Brahmanas.mp3</t>
  </si>
  <si>
    <t>https://audio.iskcondesiretree.com/01_-_Srila_Prabhupada/01_-_Lectures/01_-_English/02_-_Month_wise/03_-_March/17/SB_7-09-39_MAY_1976-03-17_How_Will_They_Become_Brahmanas.mp3</t>
  </si>
  <si>
    <t>Walk_1976-03-17_MW-MAYAPUR.MP3</t>
  </si>
  <si>
    <t>https://audio.iskcondesiretree.com/01_-_Srila_Prabhupada/01_-_Lectures/01_-_English/02_-_Month_wise/03_-_March/17/Walk_1976-03-17_MW-MAYAPUR.MP3</t>
  </si>
  <si>
    <t>SP_Morning_Walk_-_Mayapur_1976-03-18_Chance...None_-_but_One.mp3</t>
  </si>
  <si>
    <t>https://audio.iskcondesiretree.com/01_-_Srila_Prabhupada/01_-_Lectures/01_-_English/01_-_Topic_wise/Morning_Walk/SP_Morning_Walk_-_Mayapur_1976-03-18_Chance...None_-_but_One.mp3</t>
  </si>
  <si>
    <t>SP_SB_7-09-40_Mayapur_1976-03-18_Serve_One_Master_Or_Many.mp3</t>
  </si>
  <si>
    <t>https://audio.iskcondesiretree.com/01_-_Srila_Prabhupada/01_-_Lectures/01_-_English/01_-_Topic_wise/Srimad_Bhagavatam/Canto-07/SP_SB_7-09-40_Mayapur_1976-03-18_Serve_One_Master_Or_Many.mp3</t>
  </si>
  <si>
    <t>MW_MAY_1976-03-18_Chance_None_but_One.mp3</t>
  </si>
  <si>
    <t>https://audio.iskcondesiretree.com/01_-_Srila_Prabhupada/01_-_Lectures/01_-_English/02_-_Month_wise/03_-_March/18/MW_MAY_1976-03-18_Chance_None_but_One.mp3</t>
  </si>
  <si>
    <t>SB-07-09-40_1976-03-18_SB-MAYAPUR.MP3</t>
  </si>
  <si>
    <t>https://audio.iskcondesiretree.com/01_-_Srila_Prabhupada/01_-_Lectures/01_-_English/02_-_Month_wise/03_-_March/18/SB-07-09-40_1976-03-18_SB-MAYAPUR.MP3</t>
  </si>
  <si>
    <t>SB_7-09-40_MAY_1976-03-18_Serve_One_Master_Or_Many.mp3</t>
  </si>
  <si>
    <t>https://audio.iskcondesiretree.com/01_-_Srila_Prabhupada/01_-_Lectures/01_-_English/02_-_Month_wise/03_-_March/18/SB_7-09-40_MAY_1976-03-18_Serve_One_Master_Or_Many.mp3</t>
  </si>
  <si>
    <t>Walk_1976-03-18_MW-MAYAPUR.MP3</t>
  </si>
  <si>
    <t>https://audio.iskcondesiretree.com/01_-_Srila_Prabhupada/01_-_Lectures/01_-_English/02_-_Month_wise/03_-_March/18/Walk_1976-03-18_MW-MAYAPUR.MP3</t>
  </si>
  <si>
    <t>SP_SB_7-09-41_Mayapur_1976-03-19_Is_God_Unkind.mp3</t>
  </si>
  <si>
    <t>https://audio.iskcondesiretree.com/01_-_Srila_Prabhupada/01_-_Lectures/01_-_English/01_-_Topic_wise/Srimad_Bhagavatam/Canto-07/SP_SB_7-09-41_Mayapur_1976-03-19_Is_God_Unkind.mp3</t>
  </si>
  <si>
    <t>SB-07-09-41_1976-03-19_SB-MAYAPUR.MP3</t>
  </si>
  <si>
    <t>https://audio.iskcondesiretree.com/01_-_Srila_Prabhupada/01_-_Lectures/01_-_English/02_-_Month_wise/03_-_March/19/SB-07-09-41_1976-03-19_SB-MAYAPUR.MP3</t>
  </si>
  <si>
    <t>SB_7-09-41_MAY_1976-03-19_Is_God_Unkind.mp3</t>
  </si>
  <si>
    <t>https://audio.iskcondesiretree.com/01_-_Srila_Prabhupada/01_-_Lectures/01_-_English/02_-_Month_wise/03_-_March/19/SB_7-09-41_MAY_1976-03-19_Is_God_Unkind.mp3</t>
  </si>
  <si>
    <t>Walk_1976-03-19_MW-MAYAPUR.MP3</t>
  </si>
  <si>
    <t>https://audio.iskcondesiretree.com/01_-_Srila_Prabhupada/01_-_Lectures/01_-_English/02_-_Month_wise/03_-_March/19/Walk_1976-03-19_MW-MAYAPUR.MP3</t>
  </si>
  <si>
    <t>Lecture_1976-03-20_LE%E2%80%93Bengali-HARIDASPUR.MP3</t>
  </si>
  <si>
    <t>https://audio.iskcondesiretree.com/01_-_Srila_Prabhupada/01_-_Lectures/01_-_English/02_-_Month_wise/03_-_March/20/Lecture_1976-03-20_LE%E2%80%93Bengali-HARIDASPUR.MP3</t>
  </si>
  <si>
    <t>1976-03-20_Lecture_-_Haridaspur.mp3</t>
  </si>
  <si>
    <t>https://audio.iskcondesiretree.com/01_-_Srila_Prabhupada/01_-_Lectures/02_-_Bengali/1976-03-20_Lecture_-_Haridaspur.mp3</t>
  </si>
  <si>
    <t>Walk_1976-03-21_MW-MAYAPUR.MP3</t>
  </si>
  <si>
    <t>https://audio.iskcondesiretree.com/01_-_Srila_Prabhupada/01_-_Lectures/01_-_English/02_-_Month_wise/03_-_March/21/Walk_1976-03-21_MW-MAYAPUR.MP3</t>
  </si>
  <si>
    <t>SP_SB_7-09-42_Mayapur_1976-03-22_Impossible_to_Be_Independent.mp3</t>
  </si>
  <si>
    <t>https://audio.iskcondesiretree.com/01_-_Srila_Prabhupada/01_-_Lectures/01_-_English/01_-_Topic_wise/Srimad_Bhagavatam/Canto-07/SP_SB_7-09-42_Mayapur_1976-03-22_Impossible_to_Be_Independent.mp3</t>
  </si>
  <si>
    <t>Arrival_1976-03-22_AR-CALCUTTA.MP3</t>
  </si>
  <si>
    <t>https://audio.iskcondesiretree.com/01_-_Srila_Prabhupada/01_-_Lectures/01_-_English/02_-_Month_wise/03_-_March/22/Arrival_1976-03-22_AR-CALCUTTA.MP3</t>
  </si>
  <si>
    <t>Conv%E2%80%93Bengali_1976-03-22_R1-MAYAPUR.MP3</t>
  </si>
  <si>
    <t>https://audio.iskcondesiretree.com/01_-_Srila_Prabhupada/01_-_Lectures/01_-_English/02_-_Month_wise/03_-_March/22/Conv%E2%80%93Bengali_1976-03-22_R1-MAYAPUR.MP3</t>
  </si>
  <si>
    <t>SB-07-09-42_1976-03-22_SB-MAYAPUR.MP3</t>
  </si>
  <si>
    <t>https://audio.iskcondesiretree.com/01_-_Srila_Prabhupada/01_-_Lectures/01_-_English/02_-_Month_wise/03_-_March/22/SB-07-09-42_1976-03-22_SB-MAYAPUR.MP3</t>
  </si>
  <si>
    <t>SB_7-09-42_MAY_1976-03-22_Impossible_to_Be_Independent.mp3</t>
  </si>
  <si>
    <t>https://audio.iskcondesiretree.com/01_-_Srila_Prabhupada/01_-_Lectures/01_-_English/02_-_Month_wise/03_-_March/22/SB_7-09-42_MAY_1976-03-22_Impossible_to_Be_Independent.mp3</t>
  </si>
  <si>
    <t>1976-03-22_Lecture_-_Mayapur.MP3</t>
  </si>
  <si>
    <t>https://audio.iskcondesiretree.com/01_-_Srila_Prabhupada/01_-_Lectures/02_-_Bengali/1976-03-22_Lecture_-_Mayapur.MP3</t>
  </si>
  <si>
    <t>SB-07-09-43_1976-03-23_SB-CALCUTTA.MP3</t>
  </si>
  <si>
    <t>https://audio.iskcondesiretree.com/01_-_Srila_Prabhupada/01_-_Lectures/01_-_English/02_-_Month_wise/03_-_March/23/SB-07-09-43_1976-03-23_SB-CALCUTTA.MP3</t>
  </si>
  <si>
    <t>Conv_1976-03-24_R1-CALCUTTA.MP3</t>
  </si>
  <si>
    <t>https://audio.iskcondesiretree.com/01_-_Srila_Prabhupada/01_-_Lectures/01_-_English/02_-_Month_wise/03_-_March/24/Conv_1976-03-24_R1-CALCUTTA.MP3</t>
  </si>
  <si>
    <t>SP_BG_02-11_Delhi_1976-03-25_Evolution-Darwinian_or_Divine.mp3</t>
  </si>
  <si>
    <t>https://audio.iskcondesiretree.com/01_-_Srila_Prabhupada/01_-_Lectures/01_-_English/01_-_Topic_wise/Bhagavad_Gita/Chapter-02/SP_BG_02-11_Delhi_1976-03-25_Evolution-Darwinian_or_Divine.mp3</t>
  </si>
  <si>
    <t>SP_Interview_Delhi_1976-03-25_Press--India-_Overintelligent.mp3</t>
  </si>
  <si>
    <t>https://audio.iskcondesiretree.com/01_-_Srila_Prabhupada/01_-_Lectures/01_-_English/01_-_Topic_wise/Interview/SP_Interview_Delhi_1976-03-25_Press--India-_Overintelligent.mp3</t>
  </si>
  <si>
    <t>SP_Morning_Walk_-_Delhi_1976-03-25_Suffering_Is_Your_Creation.mp3</t>
  </si>
  <si>
    <t>https://audio.iskcondesiretree.com/01_-_Srila_Prabhupada/01_-_Lectures/01_-_English/01_-_Topic_wise/Morning_Walk/SP_Morning_Walk_-_Delhi_1976-03-25_Suffering_Is_Your_Creation.mp3</t>
  </si>
  <si>
    <t>Bg-02-11_1976-03-25_BG-DELHI.MP3</t>
  </si>
  <si>
    <t>https://audio.iskcondesiretree.com/01_-_Srila_Prabhupada/01_-_Lectures/01_-_English/02_-_Month_wise/03_-_March/25/Bg-02-11_1976-03-25_BG-DELHI.MP3</t>
  </si>
  <si>
    <t>Bg_02-11_DEL_1976-03-25_Evolution-Darwinian_or_Divine.mp3</t>
  </si>
  <si>
    <t>https://audio.iskcondesiretree.com/01_-_Srila_Prabhupada/01_-_Lectures/01_-_English/02_-_Month_wise/03_-_March/25/Bg_02-11_DEL_1976-03-25_Evolution-Darwinian_or_Divine.mp3</t>
  </si>
  <si>
    <t>Conv_1976-03-25_R1-DELHI.MP3</t>
  </si>
  <si>
    <t>https://audio.iskcondesiretree.com/01_-_Srila_Prabhupada/01_-_Lectures/01_-_English/02_-_Month_wise/03_-_March/25/Conv_1976-03-25_R1-DELHI.MP3</t>
  </si>
  <si>
    <t>Interv_DEL_1976-03-25_Press--India-_Overintelligent.mp3</t>
  </si>
  <si>
    <t>https://audio.iskcondesiretree.com/01_-_Srila_Prabhupada/01_-_Lectures/01_-_English/02_-_Month_wise/03_-_March/25/Interv_DEL_1976-03-25_Press--India-_Overintelligent.mp3</t>
  </si>
  <si>
    <t>MW_DEL_1976-03-25_Suffering_Is_Your_Creation.mp3</t>
  </si>
  <si>
    <t>https://audio.iskcondesiretree.com/01_-_Srila_Prabhupada/01_-_Lectures/01_-_English/02_-_Month_wise/03_-_March/25/MW_DEL_1976-03-25_Suffering_Is_Your_Creation.mp3</t>
  </si>
  <si>
    <t>Walk_1976-03-25_MW-DELHI.MP3</t>
  </si>
  <si>
    <t>https://audio.iskcondesiretree.com/01_-_Srila_Prabhupada/01_-_Lectures/01_-_English/02_-_Month_wise/03_-_March/25/Walk_1976-03-25_MW-DELHI.MP3</t>
  </si>
  <si>
    <t>SP_Morning_Walk_-_Delhi_1976-03-26_Impious_and_Pious_are_the_Same.mp3</t>
  </si>
  <si>
    <t>https://audio.iskcondesiretree.com/01_-_Srila_Prabhupada/01_-_Lectures/01_-_English/01_-_Topic_wise/Morning_Walk/SP_Morning_Walk_-_Delhi_1976-03-26_Impious_and_Pious_are_the_Same.mp3</t>
  </si>
  <si>
    <t>SP_SB_7-09-44_Mayapur_1976-03-26_How_to_Get_Krishna%27s_Attention.mp3</t>
  </si>
  <si>
    <t>https://audio.iskcondesiretree.com/01_-_Srila_Prabhupada/01_-_Lectures/01_-_English/01_-_Topic_wise/Srimad_Bhagavatam/Canto-07/SP_SB_7-09-44_Mayapur_1976-03-26_How_to_Get_Krishna%27s_Attention.mp3</t>
  </si>
  <si>
    <t>MW_DEL_1976-03-26_Impious_and_Pious_are_the_Same.mp3</t>
  </si>
  <si>
    <t>https://audio.iskcondesiretree.com/01_-_Srila_Prabhupada/01_-_Lectures/01_-_English/02_-_Month_wise/03_-_March/26/MW_DEL_1976-03-26_Impious_and_Pious_are_the_Same.mp3</t>
  </si>
  <si>
    <t>SB-07-09-44_1976-03-26_SB-DELHI.MP3</t>
  </si>
  <si>
    <t>https://audio.iskcondesiretree.com/01_-_Srila_Prabhupada/01_-_Lectures/01_-_English/02_-_Month_wise/03_-_March/26/SB-07-09-44_1976-03-26_SB-DELHI.MP3</t>
  </si>
  <si>
    <t>SB_7-09-44_MAY_1976-03-26_How_to_Get_Krishna%27s_Attention.mp3</t>
  </si>
  <si>
    <t>https://audio.iskcondesiretree.com/01_-_Srila_Prabhupada/01_-_Lectures/01_-_English/02_-_Month_wise/03_-_March/26/SB_7-09-44_MAY_1976-03-26_How_to_Get_Krishna%27s_Attention.mp3</t>
  </si>
  <si>
    <t>Walk_1976-03-26_MW-DELHI.MP3</t>
  </si>
  <si>
    <t>https://audio.iskcondesiretree.com/01_-_Srila_Prabhupada/01_-_Lectures/01_-_English/02_-_Month_wise/03_-_March/26/Walk_1976-03-26_MW-DELHI.MP3</t>
  </si>
  <si>
    <t>SP_SB_7-05-23_Vrindavan_1976-03-31_Hear_from_a_Real_Devotee.mp3</t>
  </si>
  <si>
    <t>https://audio.iskcondesiretree.com/01_-_Srila_Prabhupada/01_-_Lectures/01_-_English/01_-_Topic_wise/Srimad_Bhagavatam/Canto-07/SP_SB_7-05-23_Vrindavan_1976-03-31_Hear_from_a_Real_Devotee.mp3</t>
  </si>
  <si>
    <t>SB-07-05-23%E2%80%9324_1976-03-31_SB-VRNDAVAN.MP3</t>
  </si>
  <si>
    <t>https://audio.iskcondesiretree.com/01_-_Srila_Prabhupada/01_-_Lectures/01_-_English/02_-_Month_wise/03_-_March/31/SB-07-05-23%E2%80%9324_1976-03-31_SB-VRNDAVAN.MP3</t>
  </si>
  <si>
    <t>SB_7-05-23_VRN_1976-03-31_Hear_from_a_Real_Devotee.mp3</t>
  </si>
  <si>
    <t>https://audio.iskcondesiretree.com/01_-_Srila_Prabhupada/01_-_Lectures/01_-_English/02_-_Month_wise/03_-_March/31/SB_7-05-23_VRN_1976-03-31_Hear_from_a_Real_Devotee.mp3</t>
  </si>
  <si>
    <t>SB-07-09-46_1976-04-01_SB-VRNDAVAN.MP3</t>
  </si>
  <si>
    <t>https://audio.iskcondesiretree.com/01_-_Srila_Prabhupada/01_-_Lectures/01_-_English/02_-_Month_wise/04_-_April/01/SB-07-09-46_1976-04-01_SB-VRNDAVAN.MP3</t>
  </si>
  <si>
    <t>SP_SB_7-09-47_Vrindavan_1976-04-02_Demonic_Habits_Are_Being_Killed.mp3</t>
  </si>
  <si>
    <t>https://audio.iskcondesiretree.com/01_-_Srila_Prabhupada/01_-_Lectures/01_-_English/01_-_Topic_wise/Srimad_Bhagavatam/Canto-07/SP_SB_7-09-47_Vrindavan_1976-04-02_Demonic_Habits_Are_Being_Killed.mp3</t>
  </si>
  <si>
    <t>SB-07-09-47_1976-04-02_SB-VRNDAVAN.MP3</t>
  </si>
  <si>
    <t>https://audio.iskcondesiretree.com/01_-_Srila_Prabhupada/01_-_Lectures/01_-_English/02_-_Month_wise/04_-_April/02/SB-07-09-47_1976-04-02_SB-VRNDAVAN.MP3</t>
  </si>
  <si>
    <t>SB_7-09-47_VRN_1976-04-02_Demonic_Habits_Are_Being_Killed.mp3</t>
  </si>
  <si>
    <t>https://audio.iskcondesiretree.com/01_-_Srila_Prabhupada/01_-_Lectures/01_-_English/02_-_Month_wise/04_-_April/02/SB_7-09-47_VRN_1976-04-02_Demonic_Habits_Are_Being_Killed.mp3</t>
  </si>
  <si>
    <t>Walk_1976-04-02_MW-VRNDAVAN.MP3</t>
  </si>
  <si>
    <t>https://audio.iskcondesiretree.com/01_-_Srila_Prabhupada/01_-_Lectures/01_-_English/02_-_Month_wise/04_-_April/02/Walk_1976-04-02_MW-VRNDAVAN.MP3</t>
  </si>
  <si>
    <t>SB-07-09-48_1976-04-03_SB-VRNDAVAN.MP3</t>
  </si>
  <si>
    <t>https://audio.iskcondesiretree.com/01_-_Srila_Prabhupada/01_-_Lectures/01_-_English/02_-_Month_wise/04_-_April/03/SB-07-09-48_1976-04-03_SB-VRNDAVAN.MP3</t>
  </si>
  <si>
    <t>Walk_1976-04-03_MW-VRNDAVAN.MP3</t>
  </si>
  <si>
    <t>https://audio.iskcondesiretree.com/01_-_Srila_Prabhupada/01_-_Lectures/01_-_English/02_-_Month_wise/04_-_April/03/Walk_1976-04-03_MW-VRNDAVAN.MP3</t>
  </si>
  <si>
    <t>SP_SB_7-09-49_Vrindavan_1976-04-04_Big_Talk_Hard_Work-_Not_the_Way.mp3</t>
  </si>
  <si>
    <t>https://audio.iskcondesiretree.com/01_-_Srila_Prabhupada/01_-_Lectures/01_-_English/01_-_Topic_wise/Srimad_Bhagavatam/Canto-07/SP_SB_7-09-49_Vrindavan_1976-04-04_Big_Talk_Hard_Work-_Not_the_Way.mp3</t>
  </si>
  <si>
    <t>Conv_1976-04-04_R1-VRNDAVAN.MP3</t>
  </si>
  <si>
    <t>https://audio.iskcondesiretree.com/01_-_Srila_Prabhupada/01_-_Lectures/01_-_English/02_-_Month_wise/04_-_April/04/Conv_1976-04-04_R1-VRNDAVAN.MP3</t>
  </si>
  <si>
    <t>Initiations_1976-04-04_IN-VRNDAVAN.MP3</t>
  </si>
  <si>
    <t>https://audio.iskcondesiretree.com/01_-_Srila_Prabhupada/01_-_Lectures/01_-_English/02_-_Month_wise/04_-_April/04/Initiations_1976-04-04_IN-VRNDAVAN.MP3</t>
  </si>
  <si>
    <t>SB-07-09-49_1976-04-04_SB-VRNDAVAN.MP3</t>
  </si>
  <si>
    <t>https://audio.iskcondesiretree.com/01_-_Srila_Prabhupada/01_-_Lectures/01_-_English/02_-_Month_wise/04_-_April/04/SB-07-09-49_1976-04-04_SB-VRNDAVAN.MP3</t>
  </si>
  <si>
    <t>SB_7-09-49_VRN_1976-04-04_Big_Talk%2C_Hard_Work-_Not_the_Way.mp3</t>
  </si>
  <si>
    <t>https://audio.iskcondesiretree.com/01_-_Srila_Prabhupada/01_-_Lectures/01_-_English/02_-_Month_wise/04_-_April/04/SB_7-09-49_VRN_1976-04-04_Big_Talk%2C_Hard_Work-_Not_the_Way.mp3</t>
  </si>
  <si>
    <t>Conv_1976-04-05_R1-VRNDAVAN.MP3</t>
  </si>
  <si>
    <t>https://audio.iskcondesiretree.com/01_-_Srila_Prabhupada/01_-_Lectures/01_-_English/02_-_Month_wise/04_-_April/05/Conv_1976-04-05_R1-VRNDAVAN.MP3</t>
  </si>
  <si>
    <t>SB-07-09-50_1976-04-05_SB-VRNDAVAN.MP3</t>
  </si>
  <si>
    <t>https://audio.iskcondesiretree.com/01_-_Srila_Prabhupada/01_-_Lectures/01_-_English/02_-_Month_wise/04_-_April/05/SB-07-09-50_1976-04-05_SB-VRNDAVAN.MP3</t>
  </si>
  <si>
    <t>Walk_1976-04-05-MW-VRNDAVAN.MP3</t>
  </si>
  <si>
    <t>https://audio.iskcondesiretree.com/01_-_Srila_Prabhupada/01_-_Lectures/01_-_English/02_-_Month_wise/04_-_April/05/Walk_1976-04-05-MW-VRNDAVAN.MP3</t>
  </si>
  <si>
    <t>Conv_1976-04-06_R2-VRNDAVAN.MP3</t>
  </si>
  <si>
    <t>https://audio.iskcondesiretree.com/01_-_Srila_Prabhupada/01_-_Lectures/01_-_English/02_-_Month_wise/04_-_April/06/Conv_1976-04-06_R2-VRNDAVAN.MP3</t>
  </si>
  <si>
    <t>Conv%E2%80%93Hindi_1976-04-06_R1-VRNDAVAN.MP3</t>
  </si>
  <si>
    <t>https://audio.iskcondesiretree.com/01_-_Srila_Prabhupada/01_-_Lectures/01_-_English/02_-_Month_wise/04_-_April/06/Conv%E2%80%93Hindi_1976-04-06_R1-VRNDAVAN.MP3</t>
  </si>
  <si>
    <t>Meeting_1976-04-06_ME-VRNDAVAN.MP3</t>
  </si>
  <si>
    <t>https://audio.iskcondesiretree.com/01_-_Srila_Prabhupada/01_-_Lectures/01_-_English/02_-_Month_wise/04_-_April/06/Meeting_1976-04-06_ME-VRNDAVAN.MP3</t>
  </si>
  <si>
    <t>SB-07-09-51_1976-04-06_SB-VRNDAVAN.MP3</t>
  </si>
  <si>
    <t>https://audio.iskcondesiretree.com/01_-_Srila_Prabhupada/01_-_Lectures/01_-_English/02_-_Month_wise/04_-_April/06/SB-07-09-51_1976-04-06_SB-VRNDAVAN.MP3</t>
  </si>
  <si>
    <t>Walk_1976-04-06_MW-VRNDAVAN.MP3</t>
  </si>
  <si>
    <t>https://audio.iskcondesiretree.com/01_-_Srila_Prabhupada/01_-_Lectures/01_-_English/02_-_Month_wise/04_-_April/06/Walk_1976-04-06_MW-VRNDAVAN.MP3</t>
  </si>
  <si>
    <t>SP_SB_7-09-52_Vrindavan_1976-04-07_Nondevotees--Cruel_Cruel_Cruel.mp3</t>
  </si>
  <si>
    <t>https://audio.iskcondesiretree.com/01_-_Srila_Prabhupada/01_-_Lectures/01_-_English/01_-_Topic_wise/Srimad_Bhagavatam/Canto-07/SP_SB_7-09-52_Vrindavan_1976-04-07_Nondevotees--Cruel_Cruel_Cruel.mp3</t>
  </si>
  <si>
    <t>SP_Lecture_Vrindavan_1976-04-07_The_Guru%27s_Business_is_Not_to--etc.mp3</t>
  </si>
  <si>
    <t>https://audio.iskcondesiretree.com/01_-_Srila_Prabhupada/01_-_Lectures/01_-_English/01_-_Topic_wise/Various/SP_Lecture_Vrindavan_1976-04-07_The_Guru%27s_Business_is_Not_to--etc.mp3</t>
  </si>
  <si>
    <t>Lect_VRN_1976-04-07_The_Guru%27s_Business_is_Not_to_etc.mp3</t>
  </si>
  <si>
    <t>https://audio.iskcondesiretree.com/01_-_Srila_Prabhupada/01_-_Lectures/01_-_English/02_-_Month_wise/04_-_April/07/Lect_VRN_1976-04-07_The_Guru%27s_Business_is_Not_to_etc.mp3</t>
  </si>
  <si>
    <t>Lecture_1976-04-07_LE-VRNDAVAN.MP3</t>
  </si>
  <si>
    <t>https://audio.iskcondesiretree.com/01_-_Srila_Prabhupada/01_-_Lectures/01_-_English/02_-_Month_wise/04_-_April/07/Lecture_1976-04-07_LE-VRNDAVAN.MP3</t>
  </si>
  <si>
    <t>SB-07-09-52_1976-04-07_SB-VRNDAVAN.MP3</t>
  </si>
  <si>
    <t>https://audio.iskcondesiretree.com/01_-_Srila_Prabhupada/01_-_Lectures/01_-_English/02_-_Month_wise/04_-_April/07/SB-07-09-52_1976-04-07_SB-VRNDAVAN.MP3</t>
  </si>
  <si>
    <t>SB_7-09-52_VRN_1976-04-07_Nondevotees_Cruel_Cruel_Cruel.mp3</t>
  </si>
  <si>
    <t>https://audio.iskcondesiretree.com/01_-_Srila_Prabhupada/01_-_Lectures/01_-_English/02_-_Month_wise/04_-_April/07/SB_7-09-52_VRN_1976-04-07_Nondevotees_Cruel_Cruel_Cruel.mp3</t>
  </si>
  <si>
    <t>Walk_1976-04-07_MW-VRNDAVAN.MP3</t>
  </si>
  <si>
    <t>https://audio.iskcondesiretree.com/01_-_Srila_Prabhupada/01_-_Lectures/01_-_English/02_-_Month_wise/04_-_April/07/Walk_1976-04-07_MW-VRNDAVAN.MP3</t>
  </si>
  <si>
    <t>SP_SB_7-09-53_Vrindavan_1976-04-08_Please_Krishna_See_Krishna.mp3</t>
  </si>
  <si>
    <t>https://audio.iskcondesiretree.com/01_-_Srila_Prabhupada/01_-_Lectures/01_-_English/01_-_Topic_wise/Srimad_Bhagavatam/Canto-07/SP_SB_7-09-53_Vrindavan_1976-04-08_Please_Krishna_See_Krishna.mp3</t>
  </si>
  <si>
    <t>Lecture%E2%80%93Hindi_1976-04-08_LE-VRNDAVAN.MP3</t>
  </si>
  <si>
    <t>https://audio.iskcondesiretree.com/01_-_Srila_Prabhupada/01_-_Lectures/01_-_English/02_-_Month_wise/04_-_April/08/Lecture%E2%80%93Hindi_1976-04-08_LE-VRNDAVAN.MP3</t>
  </si>
  <si>
    <t>SB-07-09-53_1976-04-08_SB-VRNDAVAN.MP3</t>
  </si>
  <si>
    <t>https://audio.iskcondesiretree.com/01_-_Srila_Prabhupada/01_-_Lectures/01_-_English/02_-_Month_wise/04_-_April/08/SB-07-09-53_1976-04-08_SB-VRNDAVAN.MP3</t>
  </si>
  <si>
    <t>SB_7-09-53_VRN_1976-04-08_Please_Krishna%2C_See_Krishna.mp3</t>
  </si>
  <si>
    <t>https://audio.iskcondesiretree.com/01_-_Srila_Prabhupada/01_-_Lectures/01_-_English/02_-_Month_wise/04_-_April/08/SB_7-09-53_VRN_1976-04-08_Please_Krishna%2C_See_Krishna.mp3</t>
  </si>
  <si>
    <t>Speech%E2%80%93Hindi_1976-04-08_SP-VRNDAVAN.MP3</t>
  </si>
  <si>
    <t>https://audio.iskcondesiretree.com/01_-_Srila_Prabhupada/01_-_Lectures/01_-_English/02_-_Month_wise/04_-_April/08/Speech%E2%80%93Hindi_1976-04-08_SP-VRNDAVAN.MP3</t>
  </si>
  <si>
    <t>Walk_1976-04-08_MW-VRNDAVAN.MP3</t>
  </si>
  <si>
    <t>https://audio.iskcondesiretree.com/01_-_Srila_Prabhupada/01_-_Lectures/01_-_English/02_-_Month_wise/04_-_April/08/Walk_1976-04-08_MW-VRNDAVAN.MP3</t>
  </si>
  <si>
    <t>SP_SB_7-09-54_Vrindavan_1976-04-09_New_Orleans_More_Wanting.mp3</t>
  </si>
  <si>
    <t>https://audio.iskcondesiretree.com/01_-_Srila_Prabhupada/01_-_Lectures/01_-_English/01_-_Topic_wise/Srimad_Bhagavatam/Canto-07/SP_SB_7-09-54_Vrindavan_1976-04-09_New_Orleans_More_Wanting.mp3</t>
  </si>
  <si>
    <t>Lecture%E2%80%93Hindi_1976-04-09_LE-VRNDAVAN.MP3</t>
  </si>
  <si>
    <t>https://audio.iskcondesiretree.com/01_-_Srila_Prabhupada/01_-_Lectures/01_-_English/02_-_Month_wise/04_-_April/09/Lecture%E2%80%93Hindi_1976-04-09_LE-VRNDAVAN.MP3</t>
  </si>
  <si>
    <t>SB-07-09-54_1976-04-09_SB-VRNDAVAN.MP3</t>
  </si>
  <si>
    <t>https://audio.iskcondesiretree.com/01_-_Srila_Prabhupada/01_-_Lectures/01_-_English/02_-_Month_wise/04_-_April/09/SB-07-09-54_1976-04-09_SB-VRNDAVAN.MP3</t>
  </si>
  <si>
    <t>SB_7-09-54_VRN_1976-04-09_No_More_Wanting.mp3</t>
  </si>
  <si>
    <t>https://audio.iskcondesiretree.com/01_-_Srila_Prabhupada/01_-_Lectures/01_-_English/02_-_Month_wise/04_-_April/09/SB_7-09-54_VRN_1976-04-09_No_More_Wanting.mp3</t>
  </si>
  <si>
    <t>Walk_1976-04-09_MW-VRNDAVAN.MP3</t>
  </si>
  <si>
    <t>https://audio.iskcondesiretree.com/01_-_Srila_Prabhupada/01_-_Lectures/01_-_English/02_-_Month_wise/04_-_April/09/Walk_1976-04-09_MW-VRNDAVAN.MP3</t>
  </si>
  <si>
    <t>SP_Morning_Walk_-_Vrindavan_1976-04-10_The_Crow_Tal-Fruit_Controversy.mp3</t>
  </si>
  <si>
    <t>https://audio.iskcondesiretree.com/01_-_Srila_Prabhupada/01_-_Lectures/01_-_English/01_-_Topic_wise/Morning_Walk/SP_Morning_Walk_-_Vrindavan_1976-04-10_The_Crow_Tal-Fruit_Controversy.mp3</t>
  </si>
  <si>
    <t>SP_SB_7-09-55_Vrindavan_1976-04-10_The_Spoiling_Civilization.mp3</t>
  </si>
  <si>
    <t>https://audio.iskcondesiretree.com/01_-_Srila_Prabhupada/01_-_Lectures/01_-_English/01_-_Topic_wise/Srimad_Bhagavatam/Canto-07/SP_SB_7-09-55_Vrindavan_1976-04-10_The_Spoiling_Civilization.mp3</t>
  </si>
  <si>
    <t>MW_VRN_1976-04-10_The_Crow_Tal-Fruit_Controversy.mp3</t>
  </si>
  <si>
    <t>https://audio.iskcondesiretree.com/01_-_Srila_Prabhupada/01_-_Lectures/01_-_English/02_-_Month_wise/04_-_April/10/MW_VRN_1976-04-10_The_Crow_Tal-Fruit_Controversy.mp3</t>
  </si>
  <si>
    <t>SB-07-09-55_1976-04-10_SB-VRNDAVAN.MP3</t>
  </si>
  <si>
    <t>https://audio.iskcondesiretree.com/01_-_Srila_Prabhupada/01_-_Lectures/01_-_English/02_-_Month_wise/04_-_April/10/SB-07-09-55_1976-04-10_SB-VRNDAVAN.MP3</t>
  </si>
  <si>
    <t>SB_7-09-55_VRN_1976-04-10_The_Spoiling_Civilization.mp3</t>
  </si>
  <si>
    <t>https://audio.iskcondesiretree.com/01_-_Srila_Prabhupada/01_-_Lectures/01_-_English/02_-_Month_wise/04_-_April/10/SB_7-09-55_VRN_1976-04-10_The_Spoiling_Civilization.mp3</t>
  </si>
  <si>
    <t>Walk_1976-04-10_MW-VRNDAVAN.MP3</t>
  </si>
  <si>
    <t>https://audio.iskcondesiretree.com/01_-_Srila_Prabhupada/01_-_Lectures/01_-_English/02_-_Month_wise/04_-_April/10/Walk_1976-04-10_MW-VRNDAVAN.MP3</t>
  </si>
  <si>
    <t>SP_SB_7-12-01_Bombay_1976-04-12_I_Don%27t_Say_You%27re_a_Rascal.mp3</t>
  </si>
  <si>
    <t>https://audio.iskcondesiretree.com/01_-_Srila_Prabhupada/01_-_Lectures/01_-_English/01_-_Topic_wise/Srimad_Bhagavatam/Canto-07/SP_SB_7-12-01_Bombay_1976-04-12_I_Don%27t_Say_You%27re_a_Rascal.mp3</t>
  </si>
  <si>
    <t>SB-07-12-01_1976-04-12_SB-BOMBAY.MP3</t>
  </si>
  <si>
    <t>https://audio.iskcondesiretree.com/01_-_Srila_Prabhupada/01_-_Lectures/01_-_English/02_-_Month_wise/04_-_April/12/SB-07-12-01_1976-04-12_SB-BOMBAY.MP3</t>
  </si>
  <si>
    <t>SB_7-12-01_BOM_1976-04-12_I_Don%27t_Say_You%27re_a_Rascal.mp3</t>
  </si>
  <si>
    <t>https://audio.iskcondesiretree.com/01_-_Srila_Prabhupada/01_-_Lectures/01_-_English/02_-_Month_wise/04_-_April/12/SB_7-12-01_BOM_1976-04-12_I_Don%27t_Say_You%27re_a_Rascal.mp3</t>
  </si>
  <si>
    <t>Walk_1976-04-12_MW-BOMBAY.MP3</t>
  </si>
  <si>
    <t>https://audio.iskcondesiretree.com/01_-_Srila_Prabhupada/01_-_Lectures/01_-_English/02_-_Month_wise/04_-_April/12/Walk_1976-04-12_MW-BOMBAY.MP3</t>
  </si>
  <si>
    <t>SP_SB_7-12-02_Bombay_1976-04-13_Hippie_Population.mp3</t>
  </si>
  <si>
    <t>https://audio.iskcondesiretree.com/01_-_Srila_Prabhupada/01_-_Lectures/01_-_English/01_-_Topic_wise/Srimad_Bhagavatam/Canto-07/SP_SB_7-12-02_Bombay_1976-04-13_Hippie_Population.mp3</t>
  </si>
  <si>
    <t>SB-07-12-02_1976-04-13_SB-BOMBAY.MP3</t>
  </si>
  <si>
    <t>https://audio.iskcondesiretree.com/01_-_Srila_Prabhupada/01_-_Lectures/01_-_English/02_-_Month_wise/04_-_April/13/SB-07-12-02_1976-04-13_SB-BOMBAY.MP3</t>
  </si>
  <si>
    <t>SB_7-12-02_BOM_1976-04-13_Hippie_Population.mp3</t>
  </si>
  <si>
    <t>https://audio.iskcondesiretree.com/01_-_Srila_Prabhupada/01_-_Lectures/01_-_English/02_-_Month_wise/04_-_April/13/SB_7-12-02_BOM_1976-04-13_Hippie_Population.mp3</t>
  </si>
  <si>
    <t>Walk_1976-04-13_MW-BOMBAY.MP3</t>
  </si>
  <si>
    <t>https://audio.iskcondesiretree.com/01_-_Srila_Prabhupada/01_-_Lectures/01_-_English/02_-_Month_wise/04_-_April/13/Walk_1976-04-13_MW-BOMBAY.MP3</t>
  </si>
  <si>
    <t>SP_Morning_Walk_-_Bombay_1976-04-14_Don%27t_Give_Your_Vote_to_the_Rogues.mp3</t>
  </si>
  <si>
    <t>https://audio.iskcondesiretree.com/01_-_Srila_Prabhupada/01_-_Lectures/01_-_English/01_-_Topic_wise/Morning_Walk/SP_Morning_Walk_-_Bombay_1976-04-14_Don%27t_Give_Your_Vote_to_the_Rogues.mp3</t>
  </si>
  <si>
    <t>SP_SB_7-12-03_Bombay_1976-04-14_Sex_Life-Spiritual_Life.mp3</t>
  </si>
  <si>
    <t>https://audio.iskcondesiretree.com/01_-_Srila_Prabhupada/01_-_Lectures/01_-_English/01_-_Topic_wise/Srimad_Bhagavatam/Canto-07/SP_SB_7-12-03_Bombay_1976-04-14_Sex_Life-Spiritual_Life.mp3</t>
  </si>
  <si>
    <t>Conv_1976-04-14-R1-BOMBAY.MP3</t>
  </si>
  <si>
    <t>https://audio.iskcondesiretree.com/01_-_Srila_Prabhupada/01_-_Lectures/01_-_English/02_-_Month_wise/04_-_April/14/Conv_1976-04-14-R1-BOMBAY.MP3</t>
  </si>
  <si>
    <t>MW_BOM_1976-04-14_Don%27t_Give_Your_Vote_to_the_Rogues.mp3</t>
  </si>
  <si>
    <t>https://audio.iskcondesiretree.com/01_-_Srila_Prabhupada/01_-_Lectures/01_-_English/02_-_Month_wise/04_-_April/14/MW_BOM_1976-04-14_Don%27t_Give_Your_Vote_to_the_Rogues.mp3</t>
  </si>
  <si>
    <t>SB-07-12-03_1976-04-14_SB-BOMBAY.MP3</t>
  </si>
  <si>
    <t>https://audio.iskcondesiretree.com/01_-_Srila_Prabhupada/01_-_Lectures/01_-_English/02_-_Month_wise/04_-_April/14/SB-07-12-03_1976-04-14_SB-BOMBAY.MP3</t>
  </si>
  <si>
    <t>SB_7-12-03_BOM_1976-04-14_Sex_Life-Spiritual_Life.mp3</t>
  </si>
  <si>
    <t>https://audio.iskcondesiretree.com/01_-_Srila_Prabhupada/01_-_Lectures/01_-_English/02_-_Month_wise/04_-_April/14/SB_7-12-03_BOM_1976-04-14_Sex_Life-Spiritual_Life.mp3</t>
  </si>
  <si>
    <t>Walk_1976-04-14_MW-BOMBAY.MP3</t>
  </si>
  <si>
    <t>https://audio.iskcondesiretree.com/01_-_Srila_Prabhupada/01_-_Lectures/01_-_English/02_-_Month_wise/04_-_April/14/Walk_1976-04-14_MW-BOMBAY.MP3</t>
  </si>
  <si>
    <t>SP_Morning_Walk_-_Bombay_1976-04-15_A_Child_Can_Do_this_Preaching_Work.mp3</t>
  </si>
  <si>
    <t>https://audio.iskcondesiretree.com/01_-_Srila_Prabhupada/01_-_Lectures/01_-_English/01_-_Topic_wise/Morning_Walk/SP_Morning_Walk_-_Bombay_1976-04-15_A_Child_Can_Do_this_Preaching_Work.mp3</t>
  </si>
  <si>
    <t>SP_SB_7-12-04_Bombay_1976-04-15_Shortcut_Your_Necessities.mp3</t>
  </si>
  <si>
    <t>https://audio.iskcondesiretree.com/01_-_Srila_Prabhupada/01_-_Lectures/01_-_English/01_-_Topic_wise/Srimad_Bhagavatam/Canto-07/SP_SB_7-12-04_Bombay_1976-04-15_Shortcut_Your_Necessities.mp3</t>
  </si>
  <si>
    <t>MW_BOM_1976-04-15_A_Child_Can_Do_this_Preaching_Work.mp3</t>
  </si>
  <si>
    <t>https://audio.iskcondesiretree.com/01_-_Srila_Prabhupada/01_-_Lectures/01_-_English/02_-_Month_wise/04_-_April/15/MW_BOM_1976-04-15_A_Child_Can_Do_this_Preaching_Work.mp3</t>
  </si>
  <si>
    <t>SB-07-12-04_1976-04-15_SB-BOMBAY.MP3</t>
  </si>
  <si>
    <t>https://audio.iskcondesiretree.com/01_-_Srila_Prabhupada/01_-_Lectures/01_-_English/02_-_Month_wise/04_-_April/15/SB-07-12-04_1976-04-15_SB-BOMBAY.MP3</t>
  </si>
  <si>
    <t>SB_7-12-04_BOM_1976-04-15_Shortcut_Your_Necessities.mp3</t>
  </si>
  <si>
    <t>https://audio.iskcondesiretree.com/01_-_Srila_Prabhupada/01_-_Lectures/01_-_English/02_-_Month_wise/04_-_April/15/SB_7-12-04_BOM_1976-04-15_Shortcut_Your_Necessities.mp3</t>
  </si>
  <si>
    <t>Walk_1976-04-15_MW-BOMBAY.MP3</t>
  </si>
  <si>
    <t>https://audio.iskcondesiretree.com/01_-_Srila_Prabhupada/01_-_Lectures/01_-_English/02_-_Month_wise/04_-_April/15/Walk_1976-04-15_MW-BOMBAY.MP3</t>
  </si>
  <si>
    <t>SP_SB_7-12-05_Bombay_1976-04-16_Our_Main_Principle-Chant.mp3</t>
  </si>
  <si>
    <t>https://audio.iskcondesiretree.com/01_-_Srila_Prabhupada/01_-_Lectures/01_-_English/01_-_Topic_wise/Srimad_Bhagavatam/Canto-07/SP_SB_7-12-05_Bombay_1976-04-16_Our_Main_Principle-Chant.mp3</t>
  </si>
  <si>
    <t>SB-07-12-05_1976-04-16_SB-BOMBAY.MP3</t>
  </si>
  <si>
    <t>https://audio.iskcondesiretree.com/01_-_Srila_Prabhupada/01_-_Lectures/01_-_English/02_-_Month_wise/04_-_April/16/SB-07-12-05_1976-04-16_SB-BOMBAY.MP3</t>
  </si>
  <si>
    <t>SB_7-12-05_BOM_1976-04-16_Our_Main_Principle-Chant.mp3</t>
  </si>
  <si>
    <t>https://audio.iskcondesiretree.com/01_-_Srila_Prabhupada/01_-_Lectures/01_-_English/02_-_Month_wise/04_-_April/16/SB_7-12-05_BOM_1976-04-16_Our_Main_Principle-Chant.mp3</t>
  </si>
  <si>
    <t>Walk_1976-04-16_MW-BOMBAY.MP3</t>
  </si>
  <si>
    <t>https://audio.iskcondesiretree.com/01_-_Srila_Prabhupada/01_-_Lectures/01_-_English/02_-_Month_wise/04_-_April/16/Walk_1976-04-16_MW-BOMBAY.MP3</t>
  </si>
  <si>
    <t>SP_Morning_Walk_-_Bombay_1976-04-17_How_to_Use_This_Body.mp3</t>
  </si>
  <si>
    <t>https://audio.iskcondesiretree.com/01_-_Srila_Prabhupada/01_-_Lectures/01_-_English/01_-_Topic_wise/Morning_Walk/SP_Morning_Walk_-_Bombay_1976-04-17_How_to_Use_This_Body.mp3</t>
  </si>
  <si>
    <t>SP_SB_7-12-06_Bombay_1976-04-17_Know_Everything_of_Something.mp3</t>
  </si>
  <si>
    <t>https://audio.iskcondesiretree.com/01_-_Srila_Prabhupada/01_-_Lectures/01_-_English/01_-_Topic_wise/Srimad_Bhagavatam/Canto-07/SP_SB_7-12-06_Bombay_1976-04-17_Know_Everything_of_Something.mp3</t>
  </si>
  <si>
    <t>Conv_1976-04-17_R1-BOMBAY.MP3</t>
  </si>
  <si>
    <t>https://audio.iskcondesiretree.com/01_-_Srila_Prabhupada/01_-_Lectures/01_-_English/02_-_Month_wise/04_-_April/17/Conv_1976-04-17_R1-BOMBAY.MP3</t>
  </si>
  <si>
    <t>MW_BOM_1976-04-17_How_to_Use_This_Body.mp3</t>
  </si>
  <si>
    <t>https://audio.iskcondesiretree.com/01_-_Srila_Prabhupada/01_-_Lectures/01_-_English/02_-_Month_wise/04_-_April/17/MW_BOM_1976-04-17_How_to_Use_This_Body.mp3</t>
  </si>
  <si>
    <t>SB-07-12-06_1976-04-17_SB-BOMBAY.MP3</t>
  </si>
  <si>
    <t>https://audio.iskcondesiretree.com/01_-_Srila_Prabhupada/01_-_Lectures/01_-_English/02_-_Month_wise/04_-_April/17/SB-07-12-06_1976-04-17_SB-BOMBAY.MP3</t>
  </si>
  <si>
    <t>SB_7-12-06_BOM_1976-04-17_Know_Everything_of_Something.mp3</t>
  </si>
  <si>
    <t>https://audio.iskcondesiretree.com/01_-_Srila_Prabhupada/01_-_Lectures/01_-_English/02_-_Month_wise/04_-_April/17/SB_7-12-06_BOM_1976-04-17_Know_Everything_of_Something.mp3</t>
  </si>
  <si>
    <t>Walk_1976-04-17_MW-BOMBAY.MP3</t>
  </si>
  <si>
    <t>https://audio.iskcondesiretree.com/01_-_Srila_Prabhupada/01_-_Lectures/01_-_English/02_-_Month_wise/04_-_April/17/Walk_1976-04-17_MW-BOMBAY.MP3</t>
  </si>
  <si>
    <t>SP_Arrival_Melbourne_1976-04-19_Meaning_of_God.mp3</t>
  </si>
  <si>
    <t>https://audio.iskcondesiretree.com/01_-_Srila_Prabhupada/01_-_Lectures/01_-_English/01_-_Topic_wise/Arrival_Address/SP_Arrival_Melbourne_1976-04-19_Meaning_of_God.mp3</t>
  </si>
  <si>
    <t>SP_BG_09-01_Melbourne_1976-04-19_Craft_vs._Knowledge.mp3</t>
  </si>
  <si>
    <t>https://audio.iskcondesiretree.com/01_-_Srila_Prabhupada/01_-_Lectures/01_-_English/01_-_Topic_wise/Bhagavad_Gita/Chapter-09/SP_BG_09-01_Melbourne_1976-04-19_Craft_vs._Knowledge.mp3</t>
  </si>
  <si>
    <t>Arr_MEL_1976-04-19_Meaning_of_God.mp3</t>
  </si>
  <si>
    <t>https://audio.iskcondesiretree.com/01_-_Srila_Prabhupada/01_-_Lectures/01_-_English/02_-_Month_wise/04_-_April/19/Arr_MEL_1976-04-19_Meaning_of_God.mp3</t>
  </si>
  <si>
    <t>Arrival_1976-04-19_AR-MELBOURNE.MP3</t>
  </si>
  <si>
    <t>https://audio.iskcondesiretree.com/01_-_Srila_Prabhupada/01_-_Lectures/01_-_English/02_-_Month_wise/04_-_April/19/Arrival_1976-04-19_AR-MELBOURNE.MP3</t>
  </si>
  <si>
    <t>Bg-09-01_1976-04-19_BG-MELBOURNE.MP3</t>
  </si>
  <si>
    <t>https://audio.iskcondesiretree.com/01_-_Srila_Prabhupada/01_-_Lectures/01_-_English/02_-_Month_wise/04_-_April/19/Bg-09-01_1976-04-19_BG-MELBOURNE.MP3</t>
  </si>
  <si>
    <t>Bg_09-01_MEL_1976-04-19_Craft_vs._Knowledge.mp3</t>
  </si>
  <si>
    <t>https://audio.iskcondesiretree.com/01_-_Srila_Prabhupada/01_-_Lectures/01_-_English/02_-_Month_wise/04_-_April/19/Bg_09-01_MEL_1976-04-19_Craft_vs._Knowledge.mp3</t>
  </si>
  <si>
    <t>SP_BG_09-02_Melbourne_1976-04-20_The_King_of_Knowledge.mp3</t>
  </si>
  <si>
    <t>https://audio.iskcondesiretree.com/01_-_Srila_Prabhupada/01_-_Lectures/01_-_English/01_-_Topic_wise/Bhagavad_Gita/Chapter-09/SP_BG_09-02_Melbourne_1976-04-20_The_King_of_Knowledge.mp3</t>
  </si>
  <si>
    <t>SP_Room_Conversation_Melbourne_1976-04-20_Who_Is_Within_the_Body.mp3</t>
  </si>
  <si>
    <t>https://audio.iskcondesiretree.com/01_-_Srila_Prabhupada/01_-_Lectures/01_-_English/01_-_Topic_wise/Room_Conversation/SP_Room_Conversation_Melbourne_1976-04-20_Who_Is_Within_the_Body.mp3</t>
  </si>
  <si>
    <t>Bg-09-02_1976-04-20_BG-MELBOURNE.MP3</t>
  </si>
  <si>
    <t>https://audio.iskcondesiretree.com/01_-_Srila_Prabhupada/01_-_Lectures/01_-_English/02_-_Month_wise/04_-_April/20/Bg-09-02_1976-04-20_BG-MELBOURNE.MP3</t>
  </si>
  <si>
    <t>Bg_09-02_MEL_1976-04-20_The_King_of_Knowledge.mp3</t>
  </si>
  <si>
    <t>https://audio.iskcondesiretree.com/01_-_Srila_Prabhupada/01_-_Lectures/01_-_English/02_-_Month_wise/04_-_April/20/Bg_09-02_MEL_1976-04-20_The_King_of_Knowledge.mp3</t>
  </si>
  <si>
    <t>Interview_1976-04-20_R1-MELBOURNE.MP3</t>
  </si>
  <si>
    <t>https://audio.iskcondesiretree.com/01_-_Srila_Prabhupada/01_-_Lectures/01_-_English/02_-_Month_wise/04_-_April/20/Interview_1976-04-20_R1-MELBOURNE.MP3</t>
  </si>
  <si>
    <t>Interview_1976-04-20_R2-MELBOURNE.MP3</t>
  </si>
  <si>
    <t>https://audio.iskcondesiretree.com/01_-_Srila_Prabhupada/01_-_Lectures/01_-_English/02_-_Month_wise/04_-_April/20/Interview_1976-04-20_R2-MELBOURNE.MP3</t>
  </si>
  <si>
    <t>RC_MEL_1976-04-20_Who_Is_Within_the_Body.mp3</t>
  </si>
  <si>
    <t>https://audio.iskcondesiretree.com/01_-_Srila_Prabhupada/01_-_Lectures/01_-_English/02_-_Month_wise/04_-_April/20/RC_MEL_1976-04-20_Who_Is_Within_the_Body.mp3</t>
  </si>
  <si>
    <t>SP_BG_09-03_Melbourne_1976-04-21_Serve_God_or_Serve_Dog.mp3</t>
  </si>
  <si>
    <t>https://audio.iskcondesiretree.com/01_-_Srila_Prabhupada/01_-_Lectures/01_-_English/01_-_Topic_wise/Bhagavad_Gita/Chapter-09/SP_BG_09-03_Melbourne_1976-04-21_Serve_God_or_Serve_Dog.mp3</t>
  </si>
  <si>
    <t>SP_Morning_Walk_-_Melbourne_1976-04-21_The_Philosophy_of_Cow_Dung.mp3</t>
  </si>
  <si>
    <t>https://audio.iskcondesiretree.com/01_-_Srila_Prabhupada/01_-_Lectures/01_-_English/01_-_Topic_wise/Morning_Walk/SP_Morning_Walk_-_Melbourne_1976-04-21_The_Philosophy_of_Cow_Dung.mp3</t>
  </si>
  <si>
    <t>Bg-09-03_1976-04-21_BG-MELBOURNE.MP3</t>
  </si>
  <si>
    <t>https://audio.iskcondesiretree.com/01_-_Srila_Prabhupada/01_-_Lectures/01_-_English/02_-_Month_wise/04_-_April/21/Bg-09-03_1976-04-21_BG-MELBOURNE.MP3</t>
  </si>
  <si>
    <t>Bg_09-03_MEL_1976-04-21_Serve_God_or_Serve_Dog.mp3</t>
  </si>
  <si>
    <t>https://audio.iskcondesiretree.com/01_-_Srila_Prabhupada/01_-_Lectures/01_-_English/02_-_Month_wise/04_-_April/21/Bg_09-03_MEL_1976-04-21_Serve_God_or_Serve_Dog.mp3</t>
  </si>
  <si>
    <t>MW_MEL_1976-04-21_The_Philosophy_of_Cow_Dung.mp3</t>
  </si>
  <si>
    <t>https://audio.iskcondesiretree.com/01_-_Srila_Prabhupada/01_-_Lectures/01_-_English/02_-_Month_wise/04_-_April/21/MW_MEL_1976-04-21_The_Philosophy_of_Cow_Dung.mp3</t>
  </si>
  <si>
    <t>Walk_1976-04-21_MW-MELBOURNE.MP3</t>
  </si>
  <si>
    <t>https://audio.iskcondesiretree.com/01_-_Srila_Prabhupada/01_-_Lectures/01_-_English/02_-_Month_wise/04_-_April/21/Walk_1976-04-21_MW-MELBOURNE.MP3</t>
  </si>
  <si>
    <t>SP_BG_09-04_Melbourne_1976-04-22_Civilized_Evolution.mp3</t>
  </si>
  <si>
    <t>https://audio.iskcondesiretree.com/01_-_Srila_Prabhupada/01_-_Lectures/01_-_English/01_-_Topic_wise/Bhagavad_Gita/Chapter-09/SP_BG_09-04_Melbourne_1976-04-22_Civilized_Evolution.mp3</t>
  </si>
  <si>
    <t>SP_Interview_Melbourne_1976-04-22_Press--First%2C_Understand_Your_Self.mp3</t>
  </si>
  <si>
    <t>https://audio.iskcondesiretree.com/01_-_Srila_Prabhupada/01_-_Lectures/01_-_English/01_-_Topic_wise/Interview/SP_Interview_Melbourne_1976-04-22_Press--First%2C_Understand_Your_Self.mp3</t>
  </si>
  <si>
    <t>Bg-09-04_1976-04-22_BG-MELBOURNE.MP3</t>
  </si>
  <si>
    <t>https://audio.iskcondesiretree.com/01_-_Srila_Prabhupada/01_-_Lectures/01_-_English/02_-_Month_wise/04_-_April/22/Bg-09-04_1976-04-22_BG-MELBOURNE.MP3</t>
  </si>
  <si>
    <t>Bg_09-04_MEL_1976-04-22_Civilized_Evolution.mp3</t>
  </si>
  <si>
    <t>https://audio.iskcondesiretree.com/01_-_Srila_Prabhupada/01_-_Lectures/01_-_English/02_-_Month_wise/04_-_April/22/Bg_09-04_MEL_1976-04-22_Civilized_Evolution.mp3</t>
  </si>
  <si>
    <t>Conv_1976-04-22_R1-MELBOURNE.MP3</t>
  </si>
  <si>
    <t>https://audio.iskcondesiretree.com/01_-_Srila_Prabhupada/01_-_Lectures/01_-_English/02_-_Month_wise/04_-_April/22/Conv_1976-04-22_R1-MELBOURNE.MP3</t>
  </si>
  <si>
    <t>Conv_1976-04-22_R2-MELBOURNE.MP3</t>
  </si>
  <si>
    <t>https://audio.iskcondesiretree.com/01_-_Srila_Prabhupada/01_-_Lectures/01_-_English/02_-_Month_wise/04_-_April/22/Conv_1976-04-22_R2-MELBOURNE.MP3</t>
  </si>
  <si>
    <t>Conv_1976-04-22_R3-MELBOURNE.MP3</t>
  </si>
  <si>
    <t>https://audio.iskcondesiretree.com/01_-_Srila_Prabhupada/01_-_Lectures/01_-_English/02_-_Month_wise/04_-_April/22/Conv_1976-04-22_R3-MELBOURNE.MP3</t>
  </si>
  <si>
    <t>Interv_MEL_1976-04-22_Press-First_Understand_Your_Self.mp3</t>
  </si>
  <si>
    <t>https://audio.iskcondesiretree.com/01_-_Srila_Prabhupada/01_-_Lectures/01_-_English/02_-_Month_wise/04_-_April/22/Interv_MEL_1976-04-22_Press-First_Understand_Your_Self.mp3</t>
  </si>
  <si>
    <t>SP_BG_09-04_Melbourne_1976-04-23_God_Is_There_and_Everywhere.mp3</t>
  </si>
  <si>
    <t>https://audio.iskcondesiretree.com/01_-_Srila_Prabhupada/01_-_Lectures/01_-_English/01_-_Topic_wise/Bhagavad_Gita/Chapter-09/SP_BG_09-04_Melbourne_1976-04-23_God_Is_There_and_Everywhere.mp3</t>
  </si>
  <si>
    <t>SP_Room_Conversation_Melbourne_1976-04-23_Cleanse_the_Core_of_the_Heart.mp3</t>
  </si>
  <si>
    <t>https://audio.iskcondesiretree.com/01_-_Srila_Prabhupada/01_-_Lectures/01_-_English/01_-_Topic_wise/Room_Conversation/SP_Room_Conversation_Melbourne_1976-04-23_Cleanse_the_Core_of_the_Heart.mp3</t>
  </si>
  <si>
    <t>Bg-09-04_1976-04-23_BG-MELBOURNE.MP3</t>
  </si>
  <si>
    <t>https://audio.iskcondesiretree.com/01_-_Srila_Prabhupada/01_-_Lectures/01_-_English/02_-_Month_wise/04_-_April/23/Bg-09-04_1976-04-23_BG-MELBOURNE.MP3</t>
  </si>
  <si>
    <t>Bg_09-04_MEL_1976-04-23_God_Is_There_and_Everywhere.mp3</t>
  </si>
  <si>
    <t>https://audio.iskcondesiretree.com/01_-_Srila_Prabhupada/01_-_Lectures/01_-_English/02_-_Month_wise/04_-_April/23/Bg_09-04_MEL_1976-04-23_God_Is_There_and_Everywhere.mp3</t>
  </si>
  <si>
    <t>Conv_1976-04-23_R1-MELBOURNE.MP3</t>
  </si>
  <si>
    <t>https://audio.iskcondesiretree.com/01_-_Srila_Prabhupada/01_-_Lectures/01_-_English/02_-_Month_wise/04_-_April/23/Conv_1976-04-23_R1-MELBOURNE.MP3</t>
  </si>
  <si>
    <t>Conv_1976-04-23_R2-MELBOURNE.MP3</t>
  </si>
  <si>
    <t>https://audio.iskcondesiretree.com/01_-_Srila_Prabhupada/01_-_Lectures/01_-_English/02_-_Month_wise/04_-_April/23/Conv_1976-04-23_R2-MELBOURNE.MP3</t>
  </si>
  <si>
    <t>Initiations_1976-04-23_IN-MELBOURNE.MP3</t>
  </si>
  <si>
    <t>https://audio.iskcondesiretree.com/01_-_Srila_Prabhupada/01_-_Lectures/01_-_English/02_-_Month_wise/04_-_April/23/Initiations_1976-04-23_IN-MELBOURNE.MP3</t>
  </si>
  <si>
    <t>RC_MEL_1976-04-23_Cleanse_the_Core_of_the_Heart.mp3</t>
  </si>
  <si>
    <t>https://audio.iskcondesiretree.com/01_-_Srila_Prabhupada/01_-_Lectures/01_-_English/02_-_Month_wise/04_-_April/23/RC_MEL_1976-04-23_Cleanse_the_Core_of_the_Heart.mp3</t>
  </si>
  <si>
    <t>SP_BG_09-05_Melbourne_1976-04-24_Material_World-Spiritual_World.mp3</t>
  </si>
  <si>
    <t>https://audio.iskcondesiretree.com/01_-_Srila_Prabhupada/01_-_Lectures/01_-_English/01_-_Topic_wise/Bhagavad_Gita/Chapter-09/SP_BG_09-05_Melbourne_1976-04-24_Material_World-Spiritual_World.mp3</t>
  </si>
  <si>
    <t>SP_Morning_Walk_-_Melbourne_1976-04-24_Happy_Suffering.mp3</t>
  </si>
  <si>
    <t>https://audio.iskcondesiretree.com/01_-_Srila_Prabhupada/01_-_Lectures/01_-_English/01_-_Topic_wise/Morning_Walk/SP_Morning_Walk_-_Melbourne_1976-04-24_Happy_Suffering.mp3</t>
  </si>
  <si>
    <t>Bg-09-05_1976-04-24-BG-MELBOURNE.MP3</t>
  </si>
  <si>
    <t>https://audio.iskcondesiretree.com/01_-_Srila_Prabhupada/01_-_Lectures/01_-_English/02_-_Month_wise/04_-_April/24/Bg-09-05_1976-04-24-BG-MELBOURNE.MP3</t>
  </si>
  <si>
    <t>Bg_09-05_MEL_1976-04-24_Material_World-Spiritual_World.mp3</t>
  </si>
  <si>
    <t>https://audio.iskcondesiretree.com/01_-_Srila_Prabhupada/01_-_Lectures/01_-_English/02_-_Month_wise/04_-_April/24/Bg_09-05_MEL_1976-04-24_Material_World-Spiritual_World.mp3</t>
  </si>
  <si>
    <t>MW_MEL_1976-04-24_Happy_Suffering.mp3</t>
  </si>
  <si>
    <t>https://audio.iskcondesiretree.com/01_-_Srila_Prabhupada/01_-_Lectures/01_-_English/02_-_Month_wise/04_-_April/24/MW_MEL_1976-04-24_Happy_Suffering.mp3</t>
  </si>
  <si>
    <t>Walk_1976-04-24_MW-MELBOURNE.MP3</t>
  </si>
  <si>
    <t>https://audio.iskcondesiretree.com/01_-_Srila_Prabhupada/01_-_Lectures/01_-_English/02_-_Month_wise/04_-_April/24/Walk_1976-04-24_MW-MELBOURNE.MP3</t>
  </si>
  <si>
    <t>SP_BG_09-10_Melbourne_1976-04-26_Destination-Lord_of_Destiny.mp3</t>
  </si>
  <si>
    <t>https://audio.iskcondesiretree.com/01_-_Srila_Prabhupada/01_-_Lectures/01_-_English/01_-_Topic_wise/Bhagavad_Gita/Chapter-09/SP_BG_09-10_Melbourne_1976-04-26_Destination-Lord_of_Destiny.mp3</t>
  </si>
  <si>
    <t>SP_Morning_Walk_-_Melbourne_1976-04-26_Krishna_Anxiety.mp3</t>
  </si>
  <si>
    <t>https://audio.iskcondesiretree.com/01_-_Srila_Prabhupada/01_-_Lectures/01_-_English/01_-_Topic_wise/Morning_Walk/SP_Morning_Walk_-_Melbourne_1976-04-26_Krishna_Anxiety.mp3</t>
  </si>
  <si>
    <t>Bg-09-10_1976-04-26_BG-MELBOURNE.MP3</t>
  </si>
  <si>
    <t>https://audio.iskcondesiretree.com/01_-_Srila_Prabhupada/01_-_Lectures/01_-_English/02_-_Month_wise/04_-_April/26/Bg-09-10_1976-04-26_BG-MELBOURNE.MP3</t>
  </si>
  <si>
    <t>Bg_09-10_MEL_1976-04-26_Destination-Lord_of_Destiny.mp3</t>
  </si>
  <si>
    <t>https://audio.iskcondesiretree.com/01_-_Srila_Prabhupada/01_-_Lectures/01_-_English/02_-_Month_wise/04_-_April/26/Bg_09-10_MEL_1976-04-26_Destination-Lord_of_Destiny.mp3</t>
  </si>
  <si>
    <t>MW_MEL_1976-04-26_Krishna_Anxiety.mp3</t>
  </si>
  <si>
    <t>https://audio.iskcondesiretree.com/01_-_Srila_Prabhupada/01_-_Lectures/01_-_English/02_-_Month_wise/04_-_April/26/MW_MEL_1976-04-26_Krishna_Anxiety.mp3</t>
  </si>
  <si>
    <t>Walk_1976-04-26_MW-MELBOURNE.MP3</t>
  </si>
  <si>
    <t>https://audio.iskcondesiretree.com/01_-_Srila_Prabhupada/01_-_Lectures/01_-_English/02_-_Month_wise/04_-_April/26/Walk_1976-04-26_MW-MELBOURNE.MP3</t>
  </si>
  <si>
    <t>SP_Address_Auckland_1976-04-27_Boat_Breeze_and_Captain.mp3</t>
  </si>
  <si>
    <t>https://audio.iskcondesiretree.com/01_-_Srila_Prabhupada/01_-_Lectures/01_-_English/01_-_Topic_wise/Arrival_Address/SP_Address_Auckland_1976-04-27_Boat_Breeze_and_Captain.mp3</t>
  </si>
  <si>
    <t>SP_Interview_Auckland_1976-04-27_Press--This_Religion_Is_Yours_Also.mp3</t>
  </si>
  <si>
    <t>https://audio.iskcondesiretree.com/01_-_Srila_Prabhupada/01_-_Lectures/01_-_English/01_-_Topic_wise/Interview/SP_Interview_Auckland_1976-04-27_Press--This_Religion_Is_Yours_Also.mp3</t>
  </si>
  <si>
    <t>SP_Room_Conversation_Auckland_1976-04-27_Wildcats_and_Special_Rascals.mp3</t>
  </si>
  <si>
    <t>https://audio.iskcondesiretree.com/01_-_Srila_Prabhupada/01_-_Lectures/01_-_English/01_-_Topic_wise/Room_Conversation/SP_Room_Conversation_Auckland_1976-04-27_Wildcats_and_Special_Rascals.mp3</t>
  </si>
  <si>
    <t>Arr_AUC_1976-04-27_Boat%2C_Breeze_and_Captain.mp3</t>
  </si>
  <si>
    <t>https://audio.iskcondesiretree.com/01_-_Srila_Prabhupada/01_-_Lectures/01_-_English/02_-_Month_wise/04_-_April/27/Arr_AUC_1976-04-27_Boat%2C_Breeze_and_Captain.mp3</t>
  </si>
  <si>
    <t>Arrival_1976-04-27_AR-AUCKLAND.MP3</t>
  </si>
  <si>
    <t>https://audio.iskcondesiretree.com/01_-_Srila_Prabhupada/01_-_Lectures/01_-_English/02_-_Month_wise/04_-_April/27/Arrival_1976-04-27_AR-AUCKLAND.MP3</t>
  </si>
  <si>
    <t>CcMadhya-20-098%E2%80%93102_1976-04-27_CC-AUCKLAND.MP3</t>
  </si>
  <si>
    <t>https://audio.iskcondesiretree.com/01_-_Srila_Prabhupada/01_-_Lectures/01_-_English/02_-_Month_wise/04_-_April/27/CcMadhya-20-098%E2%80%93102_1976-04-27_CC-AUCKLAND.MP3</t>
  </si>
  <si>
    <t>Conv_1976-04-27_R1-AUCKLAND.MP3</t>
  </si>
  <si>
    <t>https://audio.iskcondesiretree.com/01_-_Srila_Prabhupada/01_-_Lectures/01_-_English/02_-_Month_wise/04_-_April/27/Conv_1976-04-27_R1-AUCKLAND.MP3</t>
  </si>
  <si>
    <t>Interv_AUC_1976-04-27_Press--This_Religion_Is_Yours_Also.mp3</t>
  </si>
  <si>
    <t>https://audio.iskcondesiretree.com/01_-_Srila_Prabhupada/01_-_Lectures/01_-_English/02_-_Month_wise/04_-_April/27/Interv_AUC_1976-04-27_Press--This_Religion_Is_Yours_Also.mp3</t>
  </si>
  <si>
    <t>PressConf_1976-04-27_PC-AUCKLAND.MP3</t>
  </si>
  <si>
    <t>https://audio.iskcondesiretree.com/01_-_Srila_Prabhupada/01_-_Lectures/01_-_English/02_-_Month_wise/04_-_April/27/PressConf_1976-04-27_PC-AUCKLAND.MP3</t>
  </si>
  <si>
    <t>RC_AUC_1976-04-27_Wildcats_and_Special_Rascals.mp3</t>
  </si>
  <si>
    <t>https://audio.iskcondesiretree.com/01_-_Srila_Prabhupada/01_-_Lectures/01_-_English/02_-_Month_wise/04_-_April/27/RC_AUC_1976-04-27_Wildcats_and_Special_Rascals.mp3</t>
  </si>
  <si>
    <t>Conv_1976-04-30_R1-FIJI.MP3</t>
  </si>
  <si>
    <t>https://audio.iskcondesiretree.com/01_-_Srila_Prabhupada/01_-_Lectures/01_-_English/02_-_Month_wise/04_-_April/30/Conv_1976-04-30_R1-FIJI.MP3</t>
  </si>
  <si>
    <t>SP_Room_Conversation_Fiji_1976-05-01_President_Big-Pig.mp3</t>
  </si>
  <si>
    <t>https://audio.iskcondesiretree.com/01_-_Srila_Prabhupada/01_-_Lectures/01_-_English/01_-_Topic_wise/Room_Conversation/SP_Room_Conversation_Fiji_1976-05-01_President_Big-Pig.mp3</t>
  </si>
  <si>
    <t>Conv_1976-05-01_R1-FIJI.MP3</t>
  </si>
  <si>
    <t>https://audio.iskcondesiretree.com/01_-_Srila_Prabhupada/01_-_Lectures/01_-_English/02_-_Month_wise/05_-_May/01/Conv_1976-05-01_R1-FIJI.MP3</t>
  </si>
  <si>
    <t>RC_FIJ_1976-05-01_President_Big_Pig.mp3</t>
  </si>
  <si>
    <t>https://audio.iskcondesiretree.com/01_-_Srila_Prabhupada/01_-_Lectures/01_-_English/02_-_Month_wise/05_-_May/01/RC_FIJ_1976-05-01_President_Big_Pig.mp3</t>
  </si>
  <si>
    <t>SP_Festivals_Fiji_1976-05-02_Deity_Installation_Enjoy--etc.mp3</t>
  </si>
  <si>
    <t>https://audio.iskcondesiretree.com/01_-_Srila_Prabhupada/01_-_Lectures/01_-_English/01_-_Topic_wise/Festivals/SP_Festivals_Fiji_1976-05-02_Deity_Installation_Enjoy--etc.mp3</t>
  </si>
  <si>
    <t>Conv_1976-05-02_R1-FIJI.MP3</t>
  </si>
  <si>
    <t>https://audio.iskcondesiretree.com/01_-_Srila_Prabhupada/01_-_Lectures/01_-_English/02_-_Month_wise/05_-_May/02/Conv_1976-05-02_R1-FIJI.MP3</t>
  </si>
  <si>
    <t>DeityInstall_1976-05-02_DI-FIJI.MP3</t>
  </si>
  <si>
    <t>https://audio.iskcondesiretree.com/01_-_Srila_Prabhupada/01_-_Lectures/01_-_English/02_-_Month_wise/05_-_May/02/DeityInstall_1976-05-02_DI-FIJI.MP3</t>
  </si>
  <si>
    <t>Fest_FIJ_1976-05-02_Deity_Installation_Enjoy_etc.mp3</t>
  </si>
  <si>
    <t>https://audio.iskcondesiretree.com/01_-_Srila_Prabhupada/01_-_Lectures/01_-_English/02_-_Month_wise/05_-_May/02/Fest_FIJ_1976-05-02_Deity_Installation_Enjoy_etc.mp3</t>
  </si>
  <si>
    <t>SP_Room_Conversation_Honolulu_1976-05-03_Making_Common_Cause_for_Krishna.mp3</t>
  </si>
  <si>
    <t>https://audio.iskcondesiretree.com/01_-_Srila_Prabhupada/01_-_Lectures/01_-_English/01_-_Topic_wise/Room_Conversation/SP_Room_Conversation_Honolulu_1976-05-03_Making_Common_Cause_for_Krishna.mp3</t>
  </si>
  <si>
    <t>Arrival_1976-05-03_AR-HONOLULU.MP3</t>
  </si>
  <si>
    <t>https://audio.iskcondesiretree.com/01_-_Srila_Prabhupada/01_-_Lectures/01_-_English/02_-_Month_wise/05_-_May/03/Arrival_1976-05-03_AR-HONOLULU.MP3</t>
  </si>
  <si>
    <t>Conv_1976-05-03_R1-FIJI.MP3</t>
  </si>
  <si>
    <t>https://audio.iskcondesiretree.com/01_-_Srila_Prabhupada/01_-_Lectures/01_-_English/02_-_Month_wise/05_-_May/03/Conv_1976-05-03_R1-FIJI.MP3</t>
  </si>
  <si>
    <t>Conv_1976-05-03_R1-HONOLULU.MP3</t>
  </si>
  <si>
    <t>https://audio.iskcondesiretree.com/01_-_Srila_Prabhupada/01_-_Lectures/01_-_English/02_-_Month_wise/05_-_May/03/Conv_1976-05-03_R1-HONOLULU.MP3</t>
  </si>
  <si>
    <t>RC_HON_1976-05-03_Making_Common_Cause_for_Krishna.mp3</t>
  </si>
  <si>
    <t>https://audio.iskcondesiretree.com/01_-_Srila_Prabhupada/01_-_Lectures/01_-_English/02_-_Month_wise/05_-_May/03/RC_HON_1976-05-03_Making_Common_Cause_for_Krishna.mp3</t>
  </si>
  <si>
    <t>Walk_1976-05-03_MW-FIJI.MP3</t>
  </si>
  <si>
    <t>https://audio.iskcondesiretree.com/01_-_Srila_Prabhupada/01_-_Lectures/01_-_English/02_-_Month_wise/05_-_May/03/Walk_1976-05-03_MW-FIJI.MP3</t>
  </si>
  <si>
    <t>SP_Room_Conversation_Honolulu_1976-05-04_That_Rascal-Mao_Tse-Tung.mp3</t>
  </si>
  <si>
    <t>https://audio.iskcondesiretree.com/01_-_Srila_Prabhupada/01_-_Lectures/01_-_English/01_-_Topic_wise/Room_Conversation/SP_Room_Conversation_Honolulu_1976-05-04_That_Rascal-Mao_Tse-Tung.mp3</t>
  </si>
  <si>
    <t>Conv_1976-05-04_R1-HONOLULU.MP3</t>
  </si>
  <si>
    <t>https://audio.iskcondesiretree.com/01_-_Srila_Prabhupada/01_-_Lectures/01_-_English/02_-_Month_wise/05_-_May/04/Conv_1976-05-04_R1-HONOLULU.MP3</t>
  </si>
  <si>
    <t>RC_HON_1976-05-04_That_Rascal_Mao_Tse_Tung.mp3</t>
  </si>
  <si>
    <t>https://audio.iskcondesiretree.com/01_-_Srila_Prabhupada/01_-_Lectures/01_-_English/02_-_Month_wise/05_-_May/04/RC_HON_1976-05-04_That_Rascal_Mao_Tse_Tung.mp3</t>
  </si>
  <si>
    <t>Conv_1976-05-05_R1-HONOLULU.MP3</t>
  </si>
  <si>
    <t>https://audio.iskcondesiretree.com/01_-_Srila_Prabhupada/01_-_Lectures/01_-_English/02_-_Month_wise/05_-_May/05/Conv_1976-05-05_R1-HONOLULU.MP3</t>
  </si>
  <si>
    <t>SB-06-01-01_1976-05-05_SB-HONOLULU.MP3</t>
  </si>
  <si>
    <t>https://audio.iskcondesiretree.com/01_-_Srila_Prabhupada/01_-_Lectures/01_-_English/02_-_Month_wise/05_-_May/05/SB-06-01-01_1976-05-05_SB-HONOLULU.MP3</t>
  </si>
  <si>
    <t>SP_SB_6-01-02_Honolulu_1976-05-06_Know_Krishna...or_New_Orleans_Way_Out.mp3</t>
  </si>
  <si>
    <t>https://audio.iskcondesiretree.com/01_-_Srila_Prabhupada/01_-_Lectures/01_-_English/01_-_Topic_wise/Srimad_Bhagavatam/Canto-06/SP_SB_6-01-02_Honolulu_1976-05-06_Know_Krishna...or_New_Orleans_Way_Out.mp3</t>
  </si>
  <si>
    <t>Lecture_1976-05-06_LE-HONOLULU.MP3</t>
  </si>
  <si>
    <t>https://audio.iskcondesiretree.com/01_-_Srila_Prabhupada/01_-_Lectures/01_-_English/02_-_Month_wise/05_-_May/06/Lecture_1976-05-06_LE-HONOLULU.MP3</t>
  </si>
  <si>
    <t>SB-06-01-02_1976-05-06_SB-HONOLULU.MP3</t>
  </si>
  <si>
    <t>https://audio.iskcondesiretree.com/01_-_Srila_Prabhupada/01_-_Lectures/01_-_English/02_-_Month_wise/05_-_May/06/SB-06-01-02_1976-05-06_SB-HONOLULU.MP3</t>
  </si>
  <si>
    <t>SB_6-01-02_HON_1976-05-06_Know_Krishna...or_No_Way_Out.mp3</t>
  </si>
  <si>
    <t>https://audio.iskcondesiretree.com/01_-_Srila_Prabhupada/01_-_Lectures/01_-_English/02_-_Month_wise/05_-_May/06/SB_6-01-02_HON_1976-05-06_Know_Krishna...or_No_Way_Out.mp3</t>
  </si>
  <si>
    <t>SP_SB_6-01-06_Honolulu_1976-05-07_Saved_from_Severe_Punishment.mp3</t>
  </si>
  <si>
    <t>https://audio.iskcondesiretree.com/01_-_Srila_Prabhupada/01_-_Lectures/01_-_English/01_-_Topic_wise/Srimad_Bhagavatam/Canto-06/SP_SB_6-01-06_Honolulu_1976-05-07_Saved_from_Severe_Punishment.mp3</t>
  </si>
  <si>
    <t>Conv_1976-05-07_R1-HONOLULU.MP3</t>
  </si>
  <si>
    <t>https://audio.iskcondesiretree.com/01_-_Srila_Prabhupada/01_-_Lectures/01_-_English/02_-_Month_wise/05_-_May/07/Conv_1976-05-07_R1-HONOLULU.MP3</t>
  </si>
  <si>
    <t>SB-06-01-06_1976-05-07_SB-HONOLULU.MP3</t>
  </si>
  <si>
    <t>https://audio.iskcondesiretree.com/01_-_Srila_Prabhupada/01_-_Lectures/01_-_English/02_-_Month_wise/05_-_May/07/SB-06-01-06_1976-05-07_SB-HONOLULU.MP3</t>
  </si>
  <si>
    <t>SB_6-01-06_HON_1976-05-07_Saved_from_Severe_Punishment.mp3</t>
  </si>
  <si>
    <t>https://audio.iskcondesiretree.com/01_-_Srila_Prabhupada/01_-_Lectures/01_-_English/02_-_Month_wise/05_-_May/07/SB_6-01-06_HON_1976-05-07_Saved_from_Severe_Punishment.mp3</t>
  </si>
  <si>
    <t>SP_SB_6-01-07_Honolulu_1976-05-08_Why_Are_There_Varieties_of_Life.mp3</t>
  </si>
  <si>
    <t>https://audio.iskcondesiretree.com/01_-_Srila_Prabhupada/01_-_Lectures/01_-_English/01_-_Topic_wise/Srimad_Bhagavatam/Canto-06/SP_SB_6-01-07_Honolulu_1976-05-08_Why_Are_There_Varieties_of_Life.mp3</t>
  </si>
  <si>
    <t>SB-06-01-07_1976-05-08_SB-HONOLULU.MP3</t>
  </si>
  <si>
    <t>https://audio.iskcondesiretree.com/01_-_Srila_Prabhupada/01_-_Lectures/01_-_English/02_-_Month_wise/05_-_May/08/SB-06-01-07_1976-05-08_SB-HONOLULU.MP3</t>
  </si>
  <si>
    <t>SB_6-01-07_HON_1976-05-08_Why_Are_There_Varieties_of_Life.mp3</t>
  </si>
  <si>
    <t>https://audio.iskcondesiretree.com/01_-_Srila_Prabhupada/01_-_Lectures/01_-_English/02_-_Month_wise/05_-_May/08/SB_6-01-07_HON_1976-05-08_Why_Are_There_Varieties_of_Life.mp3</t>
  </si>
  <si>
    <t>SP_SB_6-01-08_Honolulu_1976-05-09_The_Only_Hope.mp3</t>
  </si>
  <si>
    <t>https://audio.iskcondesiretree.com/01_-_Srila_Prabhupada/01_-_Lectures/01_-_English/01_-_Topic_wise/Srimad_Bhagavatam/Canto-06/SP_SB_6-01-08_Honolulu_1976-05-09_The_Only_Hope.mp3</t>
  </si>
  <si>
    <t>SB-06-01-08_1976-05-09_SB-HONOLULU.MP3</t>
  </si>
  <si>
    <t>https://audio.iskcondesiretree.com/01_-_Srila_Prabhupada/01_-_Lectures/01_-_English/02_-_Month_wise/05_-_May/09/SB-06-01-08_1976-05-09_SB-HONOLULU.MP3</t>
  </si>
  <si>
    <t>SB_6-01-08_HON_1976-05-09_The_Only_Hope.mp3</t>
  </si>
  <si>
    <t>https://audio.iskcondesiretree.com/01_-_Srila_Prabhupada/01_-_Lectures/01_-_English/02_-_Month_wise/05_-_May/09/SB_6-01-08_HON_1976-05-09_The_Only_Hope.mp3</t>
  </si>
  <si>
    <t>SP_SB_6-01-09_Honolulu_1976-05-10_I_Don%27t_Wish_to_Die--Can_You_Help_Me.mp3</t>
  </si>
  <si>
    <t>https://audio.iskcondesiretree.com/01_-_Srila_Prabhupada/01_-_Lectures/01_-_English/01_-_Topic_wise/Srimad_Bhagavatam/Canto-06/SP_SB_6-01-09_Honolulu_1976-05-10_I_Don%27t_Wish_to_Die--Can_You_Help_Me.mp3</t>
  </si>
  <si>
    <t>SB-06-01-09_1976-05-10_SB-HONOLULU.MP3</t>
  </si>
  <si>
    <t>https://audio.iskcondesiretree.com/01_-_Srila_Prabhupada/01_-_Lectures/01_-_English/02_-_Month_wise/05_-_May/10/SB-06-01-09_1976-05-10_SB-HONOLULU.MP3</t>
  </si>
  <si>
    <t>SB_6-01-09_HON_1976-05-10_I_Don%27t_Wish_to_Die_Can_You_Help_Me.mp3</t>
  </si>
  <si>
    <t>https://audio.iskcondesiretree.com/01_-_Srila_Prabhupada/01_-_Lectures/01_-_English/02_-_Month_wise/05_-_May/10/SB_6-01-09_HON_1976-05-10_I_Don%27t_Wish_to_Die_Can_You_Help_Me.mp3</t>
  </si>
  <si>
    <t>SP_SB_6-01-10_Honolulu_1976-05-11_There_Is_New_Orleans_Culture_%26_Education.mp3</t>
  </si>
  <si>
    <t>https://audio.iskcondesiretree.com/01_-_Srila_Prabhupada/01_-_Lectures/01_-_English/01_-_Topic_wise/Srimad_Bhagavatam/Canto-06/SP_SB_6-01-10_Honolulu_1976-05-11_There_Is_New_Orleans_Culture_%26_Education.mp3</t>
  </si>
  <si>
    <t>Lecture_1976-05-11_LE-HONOLULU.MP3</t>
  </si>
  <si>
    <t>https://audio.iskcondesiretree.com/01_-_Srila_Prabhupada/01_-_Lectures/01_-_English/02_-_Month_wise/05_-_May/11/Lecture_1976-05-11_LE-HONOLULU.MP3</t>
  </si>
  <si>
    <t>SB-06-01-10_1976-05-11_SB-HONOLULU.MP3</t>
  </si>
  <si>
    <t>https://audio.iskcondesiretree.com/01_-_Srila_Prabhupada/01_-_Lectures/01_-_English/02_-_Month_wise/05_-_May/11/SB-06-01-10_1976-05-11_SB-HONOLULU.MP3</t>
  </si>
  <si>
    <t>SB_6-01-10_HON_1976-05-11_There_Is_No_Culture_%26_Education.mp3</t>
  </si>
  <si>
    <t>https://audio.iskcondesiretree.com/01_-_Srila_Prabhupada/01_-_Lectures/01_-_English/02_-_Month_wise/05_-_May/11/SB_6-01-10_HON_1976-05-11_There_Is_No_Culture_%26_Education.mp3</t>
  </si>
  <si>
    <t>SP_Morning_Walk_-_Honolulu_1976-05-12_Dance_Eat_and_Live_Eternally.mp3</t>
  </si>
  <si>
    <t>https://audio.iskcondesiretree.com/01_-_Srila_Prabhupada/01_-_Lectures/01_-_English/01_-_Topic_wise/Morning_Walk/SP_Morning_Walk_-_Honolulu_1976-05-12_Dance_Eat_and_Live_Eternally.mp3</t>
  </si>
  <si>
    <t>SP_SB_6-01-11_Honolulu_1976-05-12_Real_Reform_School.mp3</t>
  </si>
  <si>
    <t>https://audio.iskcondesiretree.com/01_-_Srila_Prabhupada/01_-_Lectures/01_-_English/01_-_Topic_wise/Srimad_Bhagavatam/Canto-06/SP_SB_6-01-11_Honolulu_1976-05-12_Real_Reform_School.mp3</t>
  </si>
  <si>
    <t>Conv_1976-05-12_R1-HONOLULU.MP3</t>
  </si>
  <si>
    <t>https://audio.iskcondesiretree.com/01_-_Srila_Prabhupada/01_-_Lectures/01_-_English/02_-_Month_wise/05_-_May/12/Conv_1976-05-12_R1-HONOLULU.MP3</t>
  </si>
  <si>
    <t>MW_HON_1976-05-12_Dance_Eat_and_Live_Eternally.mp3</t>
  </si>
  <si>
    <t>https://audio.iskcondesiretree.com/01_-_Srila_Prabhupada/01_-_Lectures/01_-_English/02_-_Month_wise/05_-_May/12/MW_HON_1976-05-12_Dance_Eat_and_Live_Eternally.mp3</t>
  </si>
  <si>
    <t>SB-06-01-11_1976-05-12_SB-HONOLULU.MP3</t>
  </si>
  <si>
    <t>https://audio.iskcondesiretree.com/01_-_Srila_Prabhupada/01_-_Lectures/01_-_English/02_-_Month_wise/05_-_May/12/SB-06-01-11_1976-05-12_SB-HONOLULU.MP3</t>
  </si>
  <si>
    <t>SB_6-01-11_HON_1976-05-12_Real_Reform_School.mp3</t>
  </si>
  <si>
    <t>https://audio.iskcondesiretree.com/01_-_Srila_Prabhupada/01_-_Lectures/01_-_English/02_-_Month_wise/05_-_May/12/SB_6-01-11_HON_1976-05-12_Real_Reform_School.mp3</t>
  </si>
  <si>
    <t>Walk_1976-05-12_MW-HONOLULU.MP3</t>
  </si>
  <si>
    <t>https://audio.iskcondesiretree.com/01_-_Srila_Prabhupada/01_-_Lectures/01_-_English/02_-_Month_wise/05_-_May/12/Walk_1976-05-12_MW-HONOLULU.MP3</t>
  </si>
  <si>
    <t>SP_SB_6-01-12_Honolulu_1976-05-13_How_Can_One_Become_Civilized.mp3</t>
  </si>
  <si>
    <t>https://audio.iskcondesiretree.com/01_-_Srila_Prabhupada/01_-_Lectures/01_-_English/01_-_Topic_wise/Srimad_Bhagavatam/Canto-06/SP_SB_6-01-12_Honolulu_1976-05-13_How_Can_One_Become_Civilized.mp3</t>
  </si>
  <si>
    <t>Conv_1976-05-13_R1-HONOLULU.MP3</t>
  </si>
  <si>
    <t>https://audio.iskcondesiretree.com/01_-_Srila_Prabhupada/01_-_Lectures/01_-_English/02_-_Month_wise/05_-_May/13/Conv_1976-05-13_R1-HONOLULU.MP3</t>
  </si>
  <si>
    <t>SB-06-01-12_1976-05-13_SB-HONOLULU.MP3</t>
  </si>
  <si>
    <t>https://audio.iskcondesiretree.com/01_-_Srila_Prabhupada/01_-_Lectures/01_-_English/02_-_Month_wise/05_-_May/13/SB-06-01-12_1976-05-13_SB-HONOLULU.MP3</t>
  </si>
  <si>
    <t>SB_6-01-12_HON_1976-05-13_How_Can_One_Become_Civilized.mp3</t>
  </si>
  <si>
    <t>https://audio.iskcondesiretree.com/01_-_Srila_Prabhupada/01_-_Lectures/01_-_English/02_-_Month_wise/05_-_May/13/SB_6-01-12_HON_1976-05-13_How_Can_One_Become_Civilized.mp3</t>
  </si>
  <si>
    <t>SP_SB_6-01-13-14_Honolulu_1976-05-14_Sex_and_the_Sober.MP3</t>
  </si>
  <si>
    <t>https://audio.iskcondesiretree.com/01_-_Srila_Prabhupada/01_-_Lectures/01_-_English/01_-_Topic_wise/Srimad_Bhagavatam/Canto-06/SP_SB_6-01-13-14_Honolulu_1976-05-14_Sex_and_the_Sober.MP3</t>
  </si>
  <si>
    <t>SP_SB_6-01-13%3D14_Honolulu_1976-05-14_Sex_and_the_Sober.mp3</t>
  </si>
  <si>
    <t>https://audio.iskcondesiretree.com/01_-_Srila_Prabhupada/01_-_Lectures/01_-_English/01_-_Topic_wise/Srimad_Bhagavatam/Canto-06/SP_SB_6-01-13%3D14_Honolulu_1976-05-14_Sex_and_the_Sober.mp3</t>
  </si>
  <si>
    <t>SB-06-01-12%E2%80%9314_1976-05-14_SB-HONOLULU.MP3</t>
  </si>
  <si>
    <t>https://audio.iskcondesiretree.com/01_-_Srila_Prabhupada/01_-_Lectures/01_-_English/02_-_Month_wise/05_-_May/14/SB-06-01-12%E2%80%9314_1976-05-14_SB-HONOLULU.MP3</t>
  </si>
  <si>
    <t>SB_6-01-13%3D14_HON_1976-05-14_Sex_and_the_Sober.mp3</t>
  </si>
  <si>
    <t>https://audio.iskcondesiretree.com/01_-_Srila_Prabhupada/01_-_Lectures/01_-_English/02_-_Month_wise/05_-_May/14/SB_6-01-13%3D14_HON_1976-05-14_Sex_and_the_Sober.mp3</t>
  </si>
  <si>
    <t>SP_Morning_Walk_-_Honolulu_1976-05-15_Christians_Don%27t_Accept_Christ.mp3</t>
  </si>
  <si>
    <t>https://audio.iskcondesiretree.com/01_-_Srila_Prabhupada/01_-_Lectures/01_-_English/01_-_Topic_wise/Morning_Walk/SP_Morning_Walk_-_Honolulu_1976-05-15_Christians_Don%27t_Accept_Christ.mp3</t>
  </si>
  <si>
    <t>Conv_1976-05-15_R1-HONOLULU.MP3</t>
  </si>
  <si>
    <t>https://audio.iskcondesiretree.com/01_-_Srila_Prabhupada/01_-_Lectures/01_-_English/02_-_Month_wise/05_-_May/15/Conv_1976-05-15_R1-HONOLULU.MP3</t>
  </si>
  <si>
    <t>MW_HON_1976-05-15_Christians_Don%27t_Accept_Christ.mp3</t>
  </si>
  <si>
    <t>https://audio.iskcondesiretree.com/01_-_Srila_Prabhupada/01_-_Lectures/01_-_English/02_-_Month_wise/05_-_May/15/MW_HON_1976-05-15_Christians_Don%27t_Accept_Christ.mp3</t>
  </si>
  <si>
    <t>SB-06-01-15_1976-05-15_SB-HONOLULU.MP3</t>
  </si>
  <si>
    <t>https://audio.iskcondesiretree.com/01_-_Srila_Prabhupada/01_-_Lectures/01_-_English/02_-_Month_wise/05_-_May/15/SB-06-01-15_1976-05-15_SB-HONOLULU.MP3</t>
  </si>
  <si>
    <t>Walk_1976-05-15_MW-HONOLULU.MP3</t>
  </si>
  <si>
    <t>https://audio.iskcondesiretree.com/01_-_Srila_Prabhupada/01_-_Lectures/01_-_English/02_-_Month_wise/05_-_May/15/Walk_1976-05-15_MW-HONOLULU.MP3</t>
  </si>
  <si>
    <t>SP_SB_6-01-16_Honolulu_1976-05-16_Mercy_of_the_Spiritual_Master.mp3</t>
  </si>
  <si>
    <t>https://audio.iskcondesiretree.com/01_-_Srila_Prabhupada/01_-_Lectures/01_-_English/01_-_Topic_wise/Srimad_Bhagavatam/Canto-06/SP_SB_6-01-16_Honolulu_1976-05-16_Mercy_of_the_Spiritual_Master.mp3</t>
  </si>
  <si>
    <t>SB-06-01-16_1976-05-16_SB-HONOLULU.MP3</t>
  </si>
  <si>
    <t>https://audio.iskcondesiretree.com/01_-_Srila_Prabhupada/01_-_Lectures/01_-_English/02_-_Month_wise/05_-_May/16/SB-06-01-16_1976-05-16_SB-HONOLULU.MP3</t>
  </si>
  <si>
    <t>SB_6-01-16_HON_1976-05-16_Mercy_of_the_Spiritual_Master.mp3</t>
  </si>
  <si>
    <t>https://audio.iskcondesiretree.com/01_-_Srila_Prabhupada/01_-_Lectures/01_-_English/02_-_Month_wise/05_-_May/16/SB_6-01-16_HON_1976-05-16_Mercy_of_the_Spiritual_Master.mp3</t>
  </si>
  <si>
    <t>Lecture_1976-05-17_LE-HONOLULU.MP3</t>
  </si>
  <si>
    <t>https://audio.iskcondesiretree.com/01_-_Srila_Prabhupada/01_-_Lectures/01_-_English/02_-_Month_wise/05_-_May/17/Lecture_1976-05-17_LE-HONOLULU.MP3</t>
  </si>
  <si>
    <t>SB-06-01-17_1976-05-17_SB-HONOLULU.MP3</t>
  </si>
  <si>
    <t>https://audio.iskcondesiretree.com/01_-_Srila_Prabhupada/01_-_Lectures/01_-_English/02_-_Month_wise/05_-_May/17/SB-06-01-17_1976-05-17_SB-HONOLULU.MP3</t>
  </si>
  <si>
    <t>SP_SB_6-01-18_Honolulu_1976-05-18_Everything_Here_Is_Punishment.mp3</t>
  </si>
  <si>
    <t>https://audio.iskcondesiretree.com/01_-_Srila_Prabhupada/01_-_Lectures/01_-_English/01_-_Topic_wise/Srimad_Bhagavatam/Canto-06/SP_SB_6-01-18_Honolulu_1976-05-18_Everything_Here_Is_Punishment.mp3</t>
  </si>
  <si>
    <t>Conv_1976-05-18_R1-HONOLULU.MP3</t>
  </si>
  <si>
    <t>https://audio.iskcondesiretree.com/01_-_Srila_Prabhupada/01_-_Lectures/01_-_English/02_-_Month_wise/05_-_May/18/Conv_1976-05-18_R1-HONOLULU.MP3</t>
  </si>
  <si>
    <t>Conv_1976-05-18_R2-HONOLULU.MP3</t>
  </si>
  <si>
    <t>https://audio.iskcondesiretree.com/01_-_Srila_Prabhupada/01_-_Lectures/01_-_English/02_-_Month_wise/05_-_May/18/Conv_1976-05-18_R2-HONOLULU.MP3</t>
  </si>
  <si>
    <t>SB-06-01-18_1976-05-18_SB-HONOLULU.MP3</t>
  </si>
  <si>
    <t>https://audio.iskcondesiretree.com/01_-_Srila_Prabhupada/01_-_Lectures/01_-_English/02_-_Month_wise/05_-_May/18/SB-06-01-18_1976-05-18_SB-HONOLULU.MP3</t>
  </si>
  <si>
    <t>SB_6-01-18_HON_1976-05-18_Everything_Here_Is_Punishment.mp3</t>
  </si>
  <si>
    <t>https://audio.iskcondesiretree.com/01_-_Srila_Prabhupada/01_-_Lectures/01_-_English/02_-_Month_wise/05_-_May/18/SB_6-01-18_HON_1976-05-18_Everything_Here_Is_Punishment.mp3</t>
  </si>
  <si>
    <t>SP_SB_6-01-19_Honolulu_1976-05-19_Barking_Like_a_Dog.mp3</t>
  </si>
  <si>
    <t>https://audio.iskcondesiretree.com/01_-_Srila_Prabhupada/01_-_Lectures/01_-_English/01_-_Topic_wise/Srimad_Bhagavatam/Canto-06/SP_SB_6-01-19_Honolulu_1976-05-19_Barking_Like_a_Dog.mp3</t>
  </si>
  <si>
    <t>Conv_1976-05-19_R1-HONOLULU.MP3</t>
  </si>
  <si>
    <t>https://audio.iskcondesiretree.com/01_-_Srila_Prabhupada/01_-_Lectures/01_-_English/02_-_Month_wise/05_-_May/19/Conv_1976-05-19_R1-HONOLULU.MP3</t>
  </si>
  <si>
    <t>SB-06-01-19_1976-05-19_SB-HONOLULU.MP3</t>
  </si>
  <si>
    <t>https://audio.iskcondesiretree.com/01_-_Srila_Prabhupada/01_-_Lectures/01_-_English/02_-_Month_wise/05_-_May/19/SB-06-01-19_1976-05-19_SB-HONOLULU.MP3</t>
  </si>
  <si>
    <t>SB_6-01-19_HON_1976-05-19_Barking_Like_a_Dog.mp3</t>
  </si>
  <si>
    <t>https://audio.iskcondesiretree.com/01_-_Srila_Prabhupada/01_-_Lectures/01_-_English/02_-_Month_wise/05_-_May/19/SB_6-01-19_HON_1976-05-19_Barking_Like_a_Dog.mp3</t>
  </si>
  <si>
    <t>SP_SB_6-01-20_Honolulu_1976-05-20_Wasting_Human_Form_of_Life.mp3</t>
  </si>
  <si>
    <t>https://audio.iskcondesiretree.com/01_-_Srila_Prabhupada/01_-_Lectures/01_-_English/01_-_Topic_wise/Srimad_Bhagavatam/Canto-06/SP_SB_6-01-20_Honolulu_1976-05-20_Wasting_Human_Form_of_Life.mp3</t>
  </si>
  <si>
    <t>Conv_1976-05-20_R1-HONOLULU.MP3</t>
  </si>
  <si>
    <t>https://audio.iskcondesiretree.com/01_-_Srila_Prabhupada/01_-_Lectures/01_-_English/02_-_Month_wise/05_-_May/20/Conv_1976-05-20_R1-HONOLULU.MP3</t>
  </si>
  <si>
    <t>Conv_1976-05-20_R2-HONOLULU.MP3</t>
  </si>
  <si>
    <t>https://audio.iskcondesiretree.com/01_-_Srila_Prabhupada/01_-_Lectures/01_-_English/02_-_Month_wise/05_-_May/20/Conv_1976-05-20_R2-HONOLULU.MP3</t>
  </si>
  <si>
    <t>SB-06-01-20_1976-05-20_SB-HONOLULU.MP3</t>
  </si>
  <si>
    <t>https://audio.iskcondesiretree.com/01_-_Srila_Prabhupada/01_-_Lectures/01_-_English/02_-_Month_wise/05_-_May/20/SB-06-01-20_1976-05-20_SB-HONOLULU.MP3</t>
  </si>
  <si>
    <t>SB_6-01-20_HON_1976-05-20_Wasting_Human_Form_of_Life.mp3</t>
  </si>
  <si>
    <t>https://audio.iskcondesiretree.com/01_-_Srila_Prabhupada/01_-_Lectures/01_-_English/02_-_Month_wise/05_-_May/20/SB_6-01-20_HON_1976-05-20_Wasting_Human_Form_of_Life.mp3</t>
  </si>
  <si>
    <t>SP_SB_6-01-21_Honolulu_1976-05-21_True_Guru.mp3</t>
  </si>
  <si>
    <t>https://audio.iskcondesiretree.com/01_-_Srila_Prabhupada/01_-_Lectures/01_-_English/01_-_Topic_wise/Srimad_Bhagavatam/Canto-06/SP_SB_6-01-21_Honolulu_1976-05-21_True_Guru.mp3</t>
  </si>
  <si>
    <t>Conv_1976-05-21_R1-HONOLULU.MP3</t>
  </si>
  <si>
    <t>https://audio.iskcondesiretree.com/01_-_Srila_Prabhupada/01_-_Lectures/01_-_English/02_-_Month_wise/05_-_May/21/Conv_1976-05-21_R1-HONOLULU.MP3</t>
  </si>
  <si>
    <t>SB-06-01-21_1976-05-21_SB-HONOLULU.MP3</t>
  </si>
  <si>
    <t>https://audio.iskcondesiretree.com/01_-_Srila_Prabhupada/01_-_Lectures/01_-_English/02_-_Month_wise/05_-_May/21/SB-06-01-21_1976-05-21_SB-HONOLULU.MP3</t>
  </si>
  <si>
    <t>SB_6-01-21_HON_1976-05-21_True_Guru.mp3</t>
  </si>
  <si>
    <t>https://audio.iskcondesiretree.com/01_-_Srila_Prabhupada/01_-_Lectures/01_-_English/02_-_Month_wise/05_-_May/21/SB_6-01-21_HON_1976-05-21_True_Guru.mp3</t>
  </si>
  <si>
    <t>SP_SB_6-01-22_Honolulu_1976-05-22_Dancing-dog_Guru_Will_Not_Help.mp3</t>
  </si>
  <si>
    <t>https://audio.iskcondesiretree.com/01_-_Srila_Prabhupada/01_-_Lectures/01_-_English/01_-_Topic_wise/Srimad_Bhagavatam/Canto-06/SP_SB_6-01-22_Honolulu_1976-05-22_Dancing-dog_Guru_Will_Not_Help.mp3</t>
  </si>
  <si>
    <t>SB-06-01-22_1976-05-22_SB-HONOLULU.MP3</t>
  </si>
  <si>
    <t>https://audio.iskcondesiretree.com/01_-_Srila_Prabhupada/01_-_Lectures/01_-_English/02_-_Month_wise/05_-_May/22/SB-06-01-22_1976-05-22_SB-HONOLULU.MP3</t>
  </si>
  <si>
    <t>SB_6-01-22_HON_1976-05-22_Dancing-dog_Guru_Will_Not_Help.mp3</t>
  </si>
  <si>
    <t>https://audio.iskcondesiretree.com/01_-_Srila_Prabhupada/01_-_Lectures/01_-_English/02_-_Month_wise/05_-_May/22/SB_6-01-22_HON_1976-05-22_Dancing-dog_Guru_Will_Not_Help.mp3</t>
  </si>
  <si>
    <t>SP_SB_6-01-23_Honolulu_1976-05-23_Don%27t_Be_a_Hypocrite.mp3</t>
  </si>
  <si>
    <t>https://audio.iskcondesiretree.com/01_-_Srila_Prabhupada/01_-_Lectures/01_-_English/01_-_Topic_wise/Srimad_Bhagavatam/Canto-06/SP_SB_6-01-23_Honolulu_1976-05-23_Don%27t_Be_a_Hypocrite.mp3</t>
  </si>
  <si>
    <t>SB-06-01-23_1976-05-23_SB-HONOLULU.MP3</t>
  </si>
  <si>
    <t>https://audio.iskcondesiretree.com/01_-_Srila_Prabhupada/01_-_Lectures/01_-_English/02_-_Month_wise/05_-_May/23/SB-06-01-23_1976-05-23_SB-HONOLULU.MP3</t>
  </si>
  <si>
    <t>SB_6-01-23_HON_1976-05-23_Don%27t_Be_a_Hypocrite.mp3</t>
  </si>
  <si>
    <t>https://audio.iskcondesiretree.com/01_-_Srila_Prabhupada/01_-_Lectures/01_-_English/02_-_Month_wise/05_-_May/23/SB_6-01-23_HON_1976-05-23_Don%27t_Be_a_Hypocrite.mp3</t>
  </si>
  <si>
    <t>SP_SB_6-01-24_Honolulu_1976-05-24_Trade_the_Dark_Well_for_Vrindavan_Forest.mp3</t>
  </si>
  <si>
    <t>https://audio.iskcondesiretree.com/01_-_Srila_Prabhupada/01_-_Lectures/01_-_English/01_-_Topic_wise/Srimad_Bhagavatam/Canto-06/SP_SB_6-01-24_Honolulu_1976-05-24_Trade_the_Dark_Well_for_Vrindavan_Forest.mp3</t>
  </si>
  <si>
    <t>Conv_1976-05-24_R1-HONOLULU.MP3</t>
  </si>
  <si>
    <t>https://audio.iskcondesiretree.com/01_-_Srila_Prabhupada/01_-_Lectures/01_-_English/02_-_Month_wise/05_-_May/24/Conv_1976-05-24_R1-HONOLULU.MP3</t>
  </si>
  <si>
    <t>SB-06-01-24_1976-05-24_SB-HONOLULU.MP3</t>
  </si>
  <si>
    <t>https://audio.iskcondesiretree.com/01_-_Srila_Prabhupada/01_-_Lectures/01_-_English/02_-_Month_wise/05_-_May/24/SB-06-01-24_1976-05-24_SB-HONOLULU.MP3</t>
  </si>
  <si>
    <t>SB_6-01-24_HON_1976-05-24_Trade_the_Dark_Well_for_VRN_Forest.mp3</t>
  </si>
  <si>
    <t>https://audio.iskcondesiretree.com/01_-_Srila_Prabhupada/01_-_Lectures/01_-_English/02_-_Month_wise/05_-_May/24/SB_6-01-24_HON_1976-05-24_Trade_the_Dark_Well_for_VRN_Forest.mp3</t>
  </si>
  <si>
    <t>SP_SB_6-01-25_Honolulu_1976-05-25_Hiranyakasipu_vs._Prahlada.mp3</t>
  </si>
  <si>
    <t>https://audio.iskcondesiretree.com/01_-_Srila_Prabhupada/01_-_Lectures/01_-_English/01_-_Topic_wise/Srimad_Bhagavatam/Canto-06/SP_SB_6-01-25_Honolulu_1976-05-25_Hiranyakasipu_vs._Prahlada.mp3</t>
  </si>
  <si>
    <t>SB-06-01-25_1976-05-25_SB-HONOLULU.MP3</t>
  </si>
  <si>
    <t>https://audio.iskcondesiretree.com/01_-_Srila_Prabhupada/01_-_Lectures/01_-_English/02_-_Month_wise/05_-_May/25/SB-06-01-25_1976-05-25_SB-HONOLULU.MP3</t>
  </si>
  <si>
    <t>SB_6-01-25_HON_1976-05-25_Hiranyakasipu_vs_Prahlada.mp3</t>
  </si>
  <si>
    <t>https://audio.iskcondesiretree.com/01_-_Srila_Prabhupada/01_-_Lectures/01_-_English/02_-_Month_wise/05_-_May/25/SB_6-01-25_HON_1976-05-25_Hiranyakasipu_vs_Prahlada.mp3</t>
  </si>
  <si>
    <t>Walk_1976-05-25_MW-HONOLULU.MP3</t>
  </si>
  <si>
    <t>https://audio.iskcondesiretree.com/01_-_Srila_Prabhupada/01_-_Lectures/01_-_English/02_-_Month_wise/05_-_May/25/Walk_1976-05-25_MW-HONOLULU.MP3</t>
  </si>
  <si>
    <t>SP_SB_6-01-26_Honolulu_1976-05-26_Krishna%27s_Sense_Gratification.mp3</t>
  </si>
  <si>
    <t>https://audio.iskcondesiretree.com/01_-_Srila_Prabhupada/01_-_Lectures/01_-_English/01_-_Topic_wise/Srimad_Bhagavatam/Canto-06/SP_SB_6-01-26_Honolulu_1976-05-26_Krishna%27s_Sense_Gratification.mp3</t>
  </si>
  <si>
    <t>SB-06-01-26_1976-05-26_SB-HONOLULU.MP3</t>
  </si>
  <si>
    <t>https://audio.iskcondesiretree.com/01_-_Srila_Prabhupada/01_-_Lectures/01_-_English/02_-_Month_wise/05_-_May/26/SB-06-01-26_1976-05-26_SB-HONOLULU.MP3</t>
  </si>
  <si>
    <t>SB_6-01-26_HON_1976-05-26_Krishna%27s_Sense_Gratification.mp3</t>
  </si>
  <si>
    <t>https://audio.iskcondesiretree.com/01_-_Srila_Prabhupada/01_-_Lectures/01_-_English/02_-_Month_wise/05_-_May/26/SB_6-01-26_HON_1976-05-26_Krishna%27s_Sense_Gratification.mp3</t>
  </si>
  <si>
    <t>Walk_1976-05-26_MW-HONOLULU.MP3</t>
  </si>
  <si>
    <t>https://audio.iskcondesiretree.com/01_-_Srila_Prabhupada/01_-_Lectures/01_-_English/02_-_Month_wise/05_-_May/26/Walk_1976-05-26_MW-HONOLULU.MP3</t>
  </si>
  <si>
    <t>SP_SB_6-01-27_Honolulu_1976-05-27_God_Is_Not_Dead-You_Are_Dead.mp3</t>
  </si>
  <si>
    <t>https://audio.iskcondesiretree.com/01_-_Srila_Prabhupada/01_-_Lectures/01_-_English/01_-_Topic_wise/Srimad_Bhagavatam/Canto-06/SP_SB_6-01-27_Honolulu_1976-05-27_God_Is_Not_Dead-You_Are_Dead.mp3</t>
  </si>
  <si>
    <t>SB-06-01-27_1976-05-27_SB-HONOLULU.MP3</t>
  </si>
  <si>
    <t>https://audio.iskcondesiretree.com/01_-_Srila_Prabhupada/01_-_Lectures/01_-_English/02_-_Month_wise/05_-_May/27/SB-06-01-27_1976-05-27_SB-HONOLULU.MP3</t>
  </si>
  <si>
    <t>SB_6-01-27_HON_1976-05-27_God_Is_Not_Dead-You_Are_Dead.mp3</t>
  </si>
  <si>
    <t>https://audio.iskcondesiretree.com/01_-_Srila_Prabhupada/01_-_Lectures/01_-_English/02_-_Month_wise/05_-_May/27/SB_6-01-27_HON_1976-05-27_God_Is_Not_Dead-You_Are_Dead.mp3</t>
  </si>
  <si>
    <t>Walk_1976-05-27_MW-HONOLULU.MP3</t>
  </si>
  <si>
    <t>https://audio.iskcondesiretree.com/01_-_Srila_Prabhupada/01_-_Lectures/01_-_English/02_-_Month_wise/05_-_May/27/Walk_1976-05-27_MW-HONOLULU.MP3</t>
  </si>
  <si>
    <t>SP_SB_6-01-28_Honolulu_1976-05-28_Killing_the_Soul.mp3</t>
  </si>
  <si>
    <t>https://audio.iskcondesiretree.com/01_-_Srila_Prabhupada/01_-_Lectures/01_-_English/01_-_Topic_wise/Srimad_Bhagavatam/Canto-06/SP_SB_6-01-28_Honolulu_1976-05-28_Killing_the_Soul.mp3</t>
  </si>
  <si>
    <t>SB-06-01-28%E2%80%9329_1976-05-28_SB-HONOLULU.MP3</t>
  </si>
  <si>
    <t>https://audio.iskcondesiretree.com/01_-_Srila_Prabhupada/01_-_Lectures/01_-_English/02_-_Month_wise/05_-_May/28/SB-06-01-28%E2%80%9329_1976-05-28_SB-HONOLULU.MP3</t>
  </si>
  <si>
    <t>SB_6-01-28_HON_1976-05-28_Killing_the_Soul.mp3</t>
  </si>
  <si>
    <t>https://audio.iskcondesiretree.com/01_-_Srila_Prabhupada/01_-_Lectures/01_-_English/02_-_Month_wise/05_-_May/28/SB_6-01-28_HON_1976-05-28_Killing_the_Soul.mp3</t>
  </si>
  <si>
    <t>Walk_1976-05-28_MW-HONOLULU.MP3</t>
  </si>
  <si>
    <t>https://audio.iskcondesiretree.com/01_-_Srila_Prabhupada/01_-_Lectures/01_-_English/02_-_Month_wise/05_-_May/28/Walk_1976-05-28_MW-HONOLULU.MP3</t>
  </si>
  <si>
    <t>SP_SB_6-01-30_Honolulu_1976-05-29_He%27s_Chanting_Narayana_Take_Him.mp3</t>
  </si>
  <si>
    <t>https://audio.iskcondesiretree.com/01_-_Srila_Prabhupada/01_-_Lectures/01_-_English/01_-_Topic_wise/Srimad_Bhagavatam/Canto-06/SP_SB_6-01-30_Honolulu_1976-05-29_He%27s_Chanting_Narayana_Take_Him.mp3</t>
  </si>
  <si>
    <t>SB-06-01-30_1976-05-29_SB-HONOLULU.MP3</t>
  </si>
  <si>
    <t>https://audio.iskcondesiretree.com/01_-_Srila_Prabhupada/01_-_Lectures/01_-_English/02_-_Month_wise/05_-_May/29/SB-06-01-30_1976-05-29_SB-HONOLULU.MP3</t>
  </si>
  <si>
    <t>SB_6-01-30_HON_1976-05-29_He%27s_Chanting_Narayana_Take_Him.mp3</t>
  </si>
  <si>
    <t>https://audio.iskcondesiretree.com/01_-_Srila_Prabhupada/01_-_Lectures/01_-_English/02_-_Month_wise/05_-_May/29/SB_6-01-30_HON_1976-05-29_He%27s_Chanting_Narayana_Take_Him.mp3</t>
  </si>
  <si>
    <t>Walk_1976-05-29_MW-HONOLULU.MP3</t>
  </si>
  <si>
    <t>https://audio.iskcondesiretree.com/01_-_Srila_Prabhupada/01_-_Lectures/01_-_English/02_-_Month_wise/05_-_May/29/Walk_1976-05-29_MW-HONOLULU.MP3</t>
  </si>
  <si>
    <t>SP_SB_6-01-31_Honolulu_1976-05-30_Krishna_Kindly_Marry_Us.mp3</t>
  </si>
  <si>
    <t>https://audio.iskcondesiretree.com/01_-_Srila_Prabhupada/01_-_Lectures/01_-_English/01_-_Topic_wise/Srimad_Bhagavatam/Canto-06/SP_SB_6-01-31_Honolulu_1976-05-30_Krishna_Kindly_Marry_Us.mp3</t>
  </si>
  <si>
    <t>Conv_1976-05-30_R1-HONOLULU.MP3</t>
  </si>
  <si>
    <t>https://audio.iskcondesiretree.com/01_-_Srila_Prabhupada/01_-_Lectures/01_-_English/02_-_Month_wise/05_-_May/30/Conv_1976-05-30_R1-HONOLULU.MP3</t>
  </si>
  <si>
    <t>SB-06-01-31_1976-05-30_SB-HONOLULU.MP3</t>
  </si>
  <si>
    <t>https://audio.iskcondesiretree.com/01_-_Srila_Prabhupada/01_-_Lectures/01_-_English/02_-_Month_wise/05_-_May/30/SB-06-01-31_1976-05-30_SB-HONOLULU.MP3</t>
  </si>
  <si>
    <t>SB_6-01-31_HON_1976-05-30_Krishna%2C_Kindly_Marry_Us.mp3</t>
  </si>
  <si>
    <t>https://audio.iskcondesiretree.com/01_-_Srila_Prabhupada/01_-_Lectures/01_-_English/02_-_Month_wise/05_-_May/30/SB_6-01-31_HON_1976-05-30_Krishna%2C_Kindly_Marry_Us.mp3</t>
  </si>
  <si>
    <t>Walk_1976-05-30_MW-HONOLULU.MP3</t>
  </si>
  <si>
    <t>https://audio.iskcondesiretree.com/01_-_Srila_Prabhupada/01_-_Lectures/01_-_English/02_-_Month_wise/05_-_May/30/Walk_1976-05-30_MW-HONOLULU.MP3</t>
  </si>
  <si>
    <t>SP_SB_6-01-32_Honolulu_1976-05-31_Everything_working--etc.mp3</t>
  </si>
  <si>
    <t>https://audio.iskcondesiretree.com/01_-_Srila_Prabhupada/01_-_Lectures/01_-_English/01_-_Topic_wise/Srimad_Bhagavatam/Canto-06/SP_SB_6-01-32_Honolulu_1976-05-31_Everything_working--etc.mp3</t>
  </si>
  <si>
    <t>Conv_1976-05-31_R1-HONOLULU.MP3</t>
  </si>
  <si>
    <t>https://audio.iskcondesiretree.com/01_-_Srila_Prabhupada/01_-_Lectures/01_-_English/02_-_Month_wise/05_-_May/31/Conv_1976-05-31_R1-HONOLULU.MP3</t>
  </si>
  <si>
    <t>SB-06-01-32_1976-05-31_SB-HONOLULU.MP3</t>
  </si>
  <si>
    <t>https://audio.iskcondesiretree.com/01_-_Srila_Prabhupada/01_-_Lectures/01_-_English/02_-_Month_wise/05_-_May/31/SB-06-01-32_1976-05-31_SB-HONOLULU.MP3</t>
  </si>
  <si>
    <t>SB_6-01-32_HON_1976-05-31_Everything_working_etc.mp3</t>
  </si>
  <si>
    <t>https://audio.iskcondesiretree.com/01_-_Srila_Prabhupada/01_-_Lectures/01_-_English/02_-_Month_wise/05_-_May/31/SB_6-01-32_HON_1976-05-31_Everything_working_etc.mp3</t>
  </si>
  <si>
    <t>Walk_1976-05-31_MW-HONOLULU.MP3</t>
  </si>
  <si>
    <t>https://audio.iskcondesiretree.com/01_-_Srila_Prabhupada/01_-_Lectures/01_-_English/02_-_Month_wise/05_-_May/31/Walk_1976-05-31_MW-HONOLULU.MP3</t>
  </si>
  <si>
    <t>SP_SB_6-01-33_Honolulu_1976-06-01_New_Orleans_Sex_in_the_Spiritual_World.mp3</t>
  </si>
  <si>
    <t>https://audio.iskcondesiretree.com/01_-_Srila_Prabhupada/01_-_Lectures/01_-_English/01_-_Topic_wise/Srimad_Bhagavatam/Canto-06/SP_SB_6-01-33_Honolulu_1976-06-01_New_Orleans_Sex_in_the_Spiritual_World.mp3</t>
  </si>
  <si>
    <t>SB-06-01-33_1976-06-01_SB-HONOLULU.MP3</t>
  </si>
  <si>
    <t>https://audio.iskcondesiretree.com/01_-_Srila_Prabhupada/01_-_Lectures/01_-_English/02_-_Month_wise/06_-_June/01/SB-06-01-33_1976-06-01_SB-HONOLULU.MP3</t>
  </si>
  <si>
    <t>SB_6-01-33_HON_1976-06-01_No_Sex_in_the_Spiritual_World.mp3</t>
  </si>
  <si>
    <t>https://audio.iskcondesiretree.com/01_-_Srila_Prabhupada/01_-_Lectures/01_-_English/02_-_Month_wise/06_-_June/01/SB_6-01-33_HON_1976-06-01_No_Sex_in_the_Spiritual_World.mp3</t>
  </si>
  <si>
    <t>SB-06-01-34%E2%80%9336_1976-06-02_SB-LOS%20ANGELES.MP3</t>
  </si>
  <si>
    <t>https://audio.iskcondesiretree.com/01_-_Srila_Prabhupada/01_-_Lectures/01_-_English/02_-_Month_wise/06_-_June/02/SB-06-01-34%E2%80%9336_1976-06-02_SB-LOS%20ANGELES.MP3</t>
  </si>
  <si>
    <t>SP_Morning_Walk_-_Los_Angeles_1976-06-03_Death_and_Dreams.mp3</t>
  </si>
  <si>
    <t>https://audio.iskcondesiretree.com/01_-_Srila_Prabhupada/01_-_Lectures/01_-_English/01_-_Topic_wise/Morning_Walk/SP_Morning_Walk_-_Los_Angeles_1976-06-03_Death_and_Dreams.mp3</t>
  </si>
  <si>
    <t>SP_SB_6-01-37_Los_Angeles_1976-06-03_Follow_What_Krishna_Says.mp3</t>
  </si>
  <si>
    <t>https://audio.iskcondesiretree.com/01_-_Srila_Prabhupada/01_-_Lectures/01_-_English/01_-_Topic_wise/Srimad_Bhagavatam/Canto-06/SP_SB_6-01-37_Los_Angeles_1976-06-03_Follow_What_Krishna_Says.mp3</t>
  </si>
  <si>
    <t>Conv_1976-06-03_IV-LOS%20ANGELES.MP3</t>
  </si>
  <si>
    <t>https://audio.iskcondesiretree.com/01_-_Srila_Prabhupada/01_-_Lectures/01_-_English/02_-_Month_wise/06_-_June/03/Conv_1976-06-03_IV-LOS%20ANGELES.MP3</t>
  </si>
  <si>
    <t>MW_LA_1976-06-03_Death_and_Dreams.mp3</t>
  </si>
  <si>
    <t>https://audio.iskcondesiretree.com/01_-_Srila_Prabhupada/01_-_Lectures/01_-_English/02_-_Month_wise/06_-_June/03/MW_LA_1976-06-03_Death_and_Dreams.mp3</t>
  </si>
  <si>
    <t>SB-06-01-37_1976-06-03_SB-LOS%20ANGELES.MP3</t>
  </si>
  <si>
    <t>https://audio.iskcondesiretree.com/01_-_Srila_Prabhupada/01_-_Lectures/01_-_English/02_-_Month_wise/06_-_June/03/SB-06-01-37_1976-06-03_SB-LOS%20ANGELES.MP3</t>
  </si>
  <si>
    <t>SB_6-01-37_LA_1976-06-03_Follow_What_Krishna_Says.mp3</t>
  </si>
  <si>
    <t>https://audio.iskcondesiretree.com/01_-_Srila_Prabhupada/01_-_Lectures/01_-_English/02_-_Month_wise/06_-_June/03/SB_6-01-37_LA_1976-06-03_Follow_What_Krishna_Says.mp3</t>
  </si>
  <si>
    <t>Walk_1976-06-03_MW-LOS%20ANGELES.MP3</t>
  </si>
  <si>
    <t>https://audio.iskcondesiretree.com/01_-_Srila_Prabhupada/01_-_Lectures/01_-_English/02_-_Month_wise/06_-_June/03/Walk_1976-06-03_MW-LOS%20ANGELES.MP3</t>
  </si>
  <si>
    <t>SP_SB_6-01-38_Los_Angeles_1976-06-04_Jeweled_Snakes.mp3</t>
  </si>
  <si>
    <t>https://audio.iskcondesiretree.com/01_-_Srila_Prabhupada/01_-_Lectures/01_-_English/01_-_Topic_wise/Srimad_Bhagavatam/Canto-06/SP_SB_6-01-38_Los_Angeles_1976-06-04_Jeweled_Snakes.mp3</t>
  </si>
  <si>
    <t>Conv_1976-06-04_IV-LOS%20ANGELES.MP3</t>
  </si>
  <si>
    <t>https://audio.iskcondesiretree.com/01_-_Srila_Prabhupada/01_-_Lectures/01_-_English/02_-_Month_wise/06_-_June/04/Conv_1976-06-04_IV-LOS%20ANGELES.MP3</t>
  </si>
  <si>
    <t>SB-06-01-38_1976-06-04_SB-LOS%20ANGELES.MP3</t>
  </si>
  <si>
    <t>https://audio.iskcondesiretree.com/01_-_Srila_Prabhupada/01_-_Lectures/01_-_English/02_-_Month_wise/06_-_June/04/SB-06-01-38_1976-06-04_SB-LOS%20ANGELES.MP3</t>
  </si>
  <si>
    <t>SB_6-01-38_LA_1976-06-04_Jeweled_Snakes.mp3</t>
  </si>
  <si>
    <t>https://audio.iskcondesiretree.com/01_-_Srila_Prabhupada/01_-_Lectures/01_-_English/02_-_Month_wise/06_-_June/04/SB_6-01-38_LA_1976-06-04_Jeweled_Snakes.mp3</t>
  </si>
  <si>
    <t>Walk_1976-06-04_MW-LOS%20ANGELES.MP3</t>
  </si>
  <si>
    <t>https://audio.iskcondesiretree.com/01_-_Srila_Prabhupada/01_-_Lectures/01_-_English/02_-_Month_wise/06_-_June/04/Walk_1976-06-04_MW-LOS%20ANGELES.MP3</t>
  </si>
  <si>
    <t>SP_SB_6-01-39_Los_Angeles_1976-06-05_Does_Your_Heart_Cry_Out_for_God.mp3</t>
  </si>
  <si>
    <t>https://audio.iskcondesiretree.com/01_-_Srila_Prabhupada/01_-_Lectures/01_-_English/01_-_Topic_wise/Srimad_Bhagavatam/Canto-06/SP_SB_6-01-39_Los_Angeles_1976-06-05_Does_Your_Heart_Cry_Out_for_God.mp3</t>
  </si>
  <si>
    <t>SB-06-01-39_1976-06-05_SB-LOS%20ANGELES.MP3</t>
  </si>
  <si>
    <t>https://audio.iskcondesiretree.com/01_-_Srila_Prabhupada/01_-_Lectures/01_-_English/02_-_Month_wise/06_-_June/05/SB-06-01-39_1976-06-05_SB-LOS%20ANGELES.MP3</t>
  </si>
  <si>
    <t>SB_6-01-39_LA_1976-06-05_Does_Your_Heart_Cry_Out_for_God.mp3</t>
  </si>
  <si>
    <t>https://audio.iskcondesiretree.com/01_-_Srila_Prabhupada/01_-_Lectures/01_-_English/02_-_Month_wise/06_-_June/05/SB_6-01-39_LA_1976-06-05_Does_Your_Heart_Cry_Out_for_God.mp3</t>
  </si>
  <si>
    <t>Walk_1976-06-05_MW-LOS%20ANGELES.MP3</t>
  </si>
  <si>
    <t>https://audio.iskcondesiretree.com/01_-_Srila_Prabhupada/01_-_Lectures/01_-_English/02_-_Month_wise/06_-_June/05/Walk_1976-06-05_MW-LOS%20ANGELES.MP3</t>
  </si>
  <si>
    <t>SP_SB_6-01-40_Los_Angeles_1976-06-06_Graduates_of_Transcendental_Tech.mp3</t>
  </si>
  <si>
    <t>https://audio.iskcondesiretree.com/01_-_Srila_Prabhupada/01_-_Lectures/01_-_English/01_-_Topic_wise/Srimad_Bhagavatam/Canto-06/SP_SB_6-01-40_Los_Angeles_1976-06-06_Graduates_of_Transcendental_Tech.mp3</t>
  </si>
  <si>
    <t>SB-06-01-40_1976-06-06_SB-LOS%20ANGELES.MP3</t>
  </si>
  <si>
    <t>https://audio.iskcondesiretree.com/01_-_Srila_Prabhupada/01_-_Lectures/01_-_English/02_-_Month_wise/06_-_June/06/SB-06-01-40_1976-06-06_SB-LOS%20ANGELES.MP3</t>
  </si>
  <si>
    <t>SB_6-01-40_LA_1976-06-06_Graduates_of_Transcendental_Tech.mp3</t>
  </si>
  <si>
    <t>https://audio.iskcondesiretree.com/01_-_Srila_Prabhupada/01_-_Lectures/01_-_English/02_-_Month_wise/06_-_June/06/SB_6-01-40_LA_1976-06-06_Graduates_of_Transcendental_Tech.mp3</t>
  </si>
  <si>
    <t>Walk_1976-06-06_MW-LOS%20ANGELES.MP3</t>
  </si>
  <si>
    <t>https://audio.iskcondesiretree.com/01_-_Srila_Prabhupada/01_-_Lectures/01_-_English/02_-_Month_wise/06_-_June/06/Walk_1976-06-06_MW-LOS%20ANGELES.MP3</t>
  </si>
  <si>
    <t>SP_Morning_Walk_-_Los_Angeles_1976-06-07_Spiritual_Pursuit-_Purifying_or_Putrefying.mp3</t>
  </si>
  <si>
    <t>https://audio.iskcondesiretree.com/01_-_Srila_Prabhupada/01_-_Lectures/01_-_English/01_-_Topic_wise/Morning_Walk/SP_Morning_Walk_-_Los_Angeles_1976-06-07_Spiritual_Pursuit-_Purifying_or_Putrefying.mp3</t>
  </si>
  <si>
    <t>SP_SB_6-01-41_Los_Angeles_1976-06-07_Total_Dependence-Independence.mp3</t>
  </si>
  <si>
    <t>https://audio.iskcondesiretree.com/01_-_Srila_Prabhupada/01_-_Lectures/01_-_English/01_-_Topic_wise/Srimad_Bhagavatam/Canto-06/SP_SB_6-01-41_Los_Angeles_1976-06-07_Total_Dependence-Independence.mp3</t>
  </si>
  <si>
    <t>MW_LA_1976-06-07_Spiritual_Pursuit-_Purifying_or_Putrefying.mp3</t>
  </si>
  <si>
    <t>https://audio.iskcondesiretree.com/01_-_Srila_Prabhupada/01_-_Lectures/01_-_English/02_-_Month_wise/06_-_June/07/MW_LA_1976-06-07_Spiritual_Pursuit-_Purifying_or_Putrefying.mp3</t>
  </si>
  <si>
    <t>SB-06-01-41_1976-06-07_SB-LOS%20ANGELES.MP3</t>
  </si>
  <si>
    <t>https://audio.iskcondesiretree.com/01_-_Srila_Prabhupada/01_-_Lectures/01_-_English/02_-_Month_wise/06_-_June/07/SB-06-01-41_1976-06-07_SB-LOS%20ANGELES.MP3</t>
  </si>
  <si>
    <t>SB_6-01-41_LA_1976-06-07_Total_Dependence-Independence.mp3</t>
  </si>
  <si>
    <t>https://audio.iskcondesiretree.com/01_-_Srila_Prabhupada/01_-_Lectures/01_-_English/02_-_Month_wise/06_-_June/07/SB_6-01-41_LA_1976-06-07_Total_Dependence-Independence.mp3</t>
  </si>
  <si>
    <t>Walk_1976-06-07_MW-LOS%20ANGELES.MP3</t>
  </si>
  <si>
    <t>https://audio.iskcondesiretree.com/01_-_Srila_Prabhupada/01_-_Lectures/01_-_English/02_-_Month_wise/06_-_June/07/Walk_1976-06-07_MW-LOS%20ANGELES.MP3</t>
  </si>
  <si>
    <t>SP_Morning_Walk_-_Los_Angeles_1976-06-08_Evolutionary_Suffering.mp3</t>
  </si>
  <si>
    <t>https://audio.iskcondesiretree.com/01_-_Srila_Prabhupada/01_-_Lectures/01_-_English/01_-_Topic_wise/Morning_Walk/SP_Morning_Walk_-_Los_Angeles_1976-06-08_Evolutionary_Suffering.mp3</t>
  </si>
  <si>
    <t>SP_Room_Conversation_Los_Angeles_1976-06-08_Prabhupada%27s_Journey_to_America.mp3</t>
  </si>
  <si>
    <t>https://audio.iskcondesiretree.com/01_-_Srila_Prabhupada/01_-_Lectures/01_-_English/01_-_Topic_wise/Room_Conversation/SP_Room_Conversation_Los_Angeles_1976-06-08_Prabhupada%27s_Journey_to_America.mp3</t>
  </si>
  <si>
    <t>SP_SB_6-01-42_Los_Angeles_1976-06-08_New_Orleans_Fakir-Go_to_Guru.mp3</t>
  </si>
  <si>
    <t>https://audio.iskcondesiretree.com/01_-_Srila_Prabhupada/01_-_Lectures/01_-_English/01_-_Topic_wise/Srimad_Bhagavatam/Canto-06/SP_SB_6-01-42_Los_Angeles_1976-06-08_New_Orleans_Fakir-Go_to_Guru.mp3</t>
  </si>
  <si>
    <t>Conv_1976-06-08_GC-LOS%20ANGELES.MP3</t>
  </si>
  <si>
    <t>https://audio.iskcondesiretree.com/01_-_Srila_Prabhupada/01_-_Lectures/01_-_English/02_-_Month_wise/06_-_June/08/Conv_1976-06-08_GC-LOS%20ANGELES.MP3</t>
  </si>
  <si>
    <t>Conv_1976-06-08_R1-LOS%20ANGELES.MP3</t>
  </si>
  <si>
    <t>https://audio.iskcondesiretree.com/01_-_Srila_Prabhupada/01_-_Lectures/01_-_English/02_-_Month_wise/06_-_June/08/Conv_1976-06-08_R1-LOS%20ANGELES.MP3</t>
  </si>
  <si>
    <t>MW_LA_1976-06-08_Evolutionary_Suffering.mp3</t>
  </si>
  <si>
    <t>https://audio.iskcondesiretree.com/01_-_Srila_Prabhupada/01_-_Lectures/01_-_English/02_-_Month_wise/06_-_June/08/MW_LA_1976-06-08_Evolutionary_Suffering.mp3</t>
  </si>
  <si>
    <t>RC_LA_1976-06-08_Prabhupada%27s_Journey_to_America.mp3</t>
  </si>
  <si>
    <t>https://audio.iskcondesiretree.com/01_-_Srila_Prabhupada/01_-_Lectures/01_-_English/02_-_Month_wise/06_-_June/08/RC_LA_1976-06-08_Prabhupada%27s_Journey_to_America.mp3</t>
  </si>
  <si>
    <t>SB-06-01-42_1976-06-08_SB-LOS%20ANGELES.MP3</t>
  </si>
  <si>
    <t>https://audio.iskcondesiretree.com/01_-_Srila_Prabhupada/01_-_Lectures/01_-_English/02_-_Month_wise/06_-_June/08/SB-06-01-42_1976-06-08_SB-LOS%20ANGELES.MP3</t>
  </si>
  <si>
    <t>SB_6-01-42_LA_1976-06-08_No_Fakir-Go_to_Guru.mp3</t>
  </si>
  <si>
    <t>https://audio.iskcondesiretree.com/01_-_Srila_Prabhupada/01_-_Lectures/01_-_English/02_-_Month_wise/06_-_June/08/SB_6-01-42_LA_1976-06-08_No_Fakir-Go_to_Guru.mp3</t>
  </si>
  <si>
    <t>Walk_1976-06-08_MW-LOS%20ANGELES.MP3</t>
  </si>
  <si>
    <t>https://audio.iskcondesiretree.com/01_-_Srila_Prabhupada/01_-_Lectures/01_-_English/02_-_Month_wise/06_-_June/08/Walk_1976-06-08_MW-LOS%20ANGELES.MP3</t>
  </si>
  <si>
    <t>SP_Room_Conversation_Los_Angeles_1976-06-09_The_Huge_Little_Chance.mp3</t>
  </si>
  <si>
    <t>https://audio.iskcondesiretree.com/01_-_Srila_Prabhupada/01_-_Lectures/01_-_English/01_-_Topic_wise/Room_Conversation/SP_Room_Conversation_Los_Angeles_1976-06-09_The_Huge_Little_Chance.mp3</t>
  </si>
  <si>
    <t>SP_SB_6-01-43_Los_Angeles_1976-06-09_Better_Without_Disturbance.mp3</t>
  </si>
  <si>
    <t>https://audio.iskcondesiretree.com/01_-_Srila_Prabhupada/01_-_Lectures/01_-_English/01_-_Topic_wise/Srimad_Bhagavatam/Canto-06/SP_SB_6-01-43_Los_Angeles_1976-06-09_Better_Without_Disturbance.mp3</t>
  </si>
  <si>
    <t>Conv_1976-06-09_GC-LOS%20ANGELES.MP3</t>
  </si>
  <si>
    <t>https://audio.iskcondesiretree.com/01_-_Srila_Prabhupada/01_-_Lectures/01_-_English/02_-_Month_wise/06_-_June/09/Conv_1976-06-09_GC-LOS%20ANGELES.MP3</t>
  </si>
  <si>
    <t>Conv_1976-06-09_R1-LOS%20ANGELES.MP3</t>
  </si>
  <si>
    <t>https://audio.iskcondesiretree.com/01_-_Srila_Prabhupada/01_-_Lectures/01_-_English/02_-_Month_wise/06_-_June/09/Conv_1976-06-09_R1-LOS%20ANGELES.MP3</t>
  </si>
  <si>
    <t>Conv_1976-06-09_R2-LOS%20ANGELES.MP3</t>
  </si>
  <si>
    <t>https://audio.iskcondesiretree.com/01_-_Srila_Prabhupada/01_-_Lectures/01_-_English/02_-_Month_wise/06_-_June/09/Conv_1976-06-09_R2-LOS%20ANGELES.MP3</t>
  </si>
  <si>
    <t>RC_LA_1976-06-09_The_Huge_Little_Chance.mp3</t>
  </si>
  <si>
    <t>https://audio.iskcondesiretree.com/01_-_Srila_Prabhupada/01_-_Lectures/01_-_English/02_-_Month_wise/06_-_June/09/RC_LA_1976-06-09_The_Huge_Little_Chance.mp3</t>
  </si>
  <si>
    <t>SB-06-01-43_1976-06-09_SB-LOS%20ANGELES.MP3</t>
  </si>
  <si>
    <t>https://audio.iskcondesiretree.com/01_-_Srila_Prabhupada/01_-_Lectures/01_-_English/02_-_Month_wise/06_-_June/09/SB-06-01-43_1976-06-09_SB-LOS%20ANGELES.MP3</t>
  </si>
  <si>
    <t>SB_6-01-43_LA_1976-06-09_Better_Without_Disturbance.mp3</t>
  </si>
  <si>
    <t>https://audio.iskcondesiretree.com/01_-_Srila_Prabhupada/01_-_Lectures/01_-_English/02_-_Month_wise/06_-_June/09/SB_6-01-43_LA_1976-06-09_Better_Without_Disturbance.mp3</t>
  </si>
  <si>
    <t>Walk_1976-06-09_MW-LOS%20ANGELES.MP3</t>
  </si>
  <si>
    <t>https://audio.iskcondesiretree.com/01_-_Srila_Prabhupada/01_-_Lectures/01_-_English/02_-_Month_wise/06_-_June/09/Walk_1976-06-09_MW-LOS%20ANGELES.MP3</t>
  </si>
  <si>
    <t>SP_SB_6-01-44_Los_Angeles_1976-06-10_Lion-killer_Rabbit.mp3</t>
  </si>
  <si>
    <t>https://audio.iskcondesiretree.com/01_-_Srila_Prabhupada/01_-_Lectures/01_-_English/01_-_Topic_wise/Srimad_Bhagavatam/Canto-06/SP_SB_6-01-44_Los_Angeles_1976-06-10_Lion-killer_Rabbit.mp3</t>
  </si>
  <si>
    <t>Conv_1976-06-10_GC-LOS%20ANGELES.MP3</t>
  </si>
  <si>
    <t>https://audio.iskcondesiretree.com/01_-_Srila_Prabhupada/01_-_Lectures/01_-_English/02_-_Month_wise/06_-_June/10/Conv_1976-06-10_GC-LOS%20ANGELES.MP3</t>
  </si>
  <si>
    <t>Conv_1976-06-10_R1-LOS%20ANGELES.MP3</t>
  </si>
  <si>
    <t>https://audio.iskcondesiretree.com/01_-_Srila_Prabhupada/01_-_Lectures/01_-_English/02_-_Month_wise/06_-_June/10/Conv_1976-06-10_R1-LOS%20ANGELES.MP3</t>
  </si>
  <si>
    <t>Conv_1976-06-10_R2-LOS%20ANGELES.MP3</t>
  </si>
  <si>
    <t>https://audio.iskcondesiretree.com/01_-_Srila_Prabhupada/01_-_Lectures/01_-_English/02_-_Month_wise/06_-_June/10/Conv_1976-06-10_R2-LOS%20ANGELES.MP3</t>
  </si>
  <si>
    <t>Initiations_1976-06-10_LOS%20ANGELES.MP3</t>
  </si>
  <si>
    <t>https://audio.iskcondesiretree.com/01_-_Srila_Prabhupada/01_-_Lectures/01_-_English/02_-_Month_wise/06_-_June/10/Initiations_1976-06-10_LOS%20ANGELES.MP3</t>
  </si>
  <si>
    <t>SB-06-01-44_1976-06-10_SB-LOS%20ANGELES.MP3</t>
  </si>
  <si>
    <t>https://audio.iskcondesiretree.com/01_-_Srila_Prabhupada/01_-_Lectures/01_-_English/02_-_Month_wise/06_-_June/10/SB-06-01-44_1976-06-10_SB-LOS%20ANGELES.MP3</t>
  </si>
  <si>
    <t>SB_6-01-44_LA_1976-06-10_Lion-killer_Rabbit.mp3</t>
  </si>
  <si>
    <t>https://audio.iskcondesiretree.com/01_-_Srila_Prabhupada/01_-_Lectures/01_-_English/02_-_Month_wise/06_-_June/10/SB_6-01-44_LA_1976-06-10_Lion-killer_Rabbit.mp3</t>
  </si>
  <si>
    <t>Walk_1976-06-10_MW-LOS%20ANGELES.MP3</t>
  </si>
  <si>
    <t>https://audio.iskcondesiretree.com/01_-_Srila_Prabhupada/01_-_Lectures/01_-_English/02_-_Month_wise/06_-_June/10/Walk_1976-06-10_MW-LOS%20ANGELES.MP3</t>
  </si>
  <si>
    <t>SP_SB_6-01-45_Los_Angeles_1976-06-11_Krishna%27s_Central_Intelligence_Agency.mp3</t>
  </si>
  <si>
    <t>https://audio.iskcondesiretree.com/01_-_Srila_Prabhupada/01_-_Lectures/01_-_English/01_-_Topic_wise/Srimad_Bhagavatam/Canto-06/SP_SB_6-01-45_Los_Angeles_1976-06-11_Krishna%27s_Central_Intelligence_Agency.mp3</t>
  </si>
  <si>
    <t>Arrival_1976-06-11_AR-DETROIT.MP3</t>
  </si>
  <si>
    <t>https://audio.iskcondesiretree.com/01_-_Srila_Prabhupada/01_-_Lectures/01_-_English/02_-_Month_wise/06_-_June/11/Arrival_1976-06-11_AR-DETROIT.MP3</t>
  </si>
  <si>
    <t>SB-06-01-45_1976-06-11_SB-LOS%20ANGELES.MP3</t>
  </si>
  <si>
    <t>https://audio.iskcondesiretree.com/01_-_Srila_Prabhupada/01_-_Lectures/01_-_English/02_-_Month_wise/06_-_June/11/SB-06-01-45_1976-06-11_SB-LOS%20ANGELES.MP3</t>
  </si>
  <si>
    <t>SB_6-01-45_LA_1976-06-11_Krishna%27s_Central_Intelligence_Agency.mp3</t>
  </si>
  <si>
    <t>https://audio.iskcondesiretree.com/01_-_Srila_Prabhupada/01_-_Lectures/01_-_English/02_-_Month_wise/06_-_June/11/SB_6-01-45_LA_1976-06-11_Krishna%27s_Central_Intelligence_Agency.mp3</t>
  </si>
  <si>
    <t>Walk_1976-06-11_MW-LOS%20ANGELES.MP3</t>
  </si>
  <si>
    <t>https://audio.iskcondesiretree.com/01_-_Srila_Prabhupada/01_-_Lectures/01_-_English/02_-_Month_wise/06_-_June/11/Walk_1976-06-11_MW-LOS%20ANGELES.MP3</t>
  </si>
  <si>
    <t>Initiations_1976-06-12_LOS%20ANGELES.MP3</t>
  </si>
  <si>
    <t>https://audio.iskcondesiretree.com/01_-_Srila_Prabhupada/01_-_Lectures/01_-_English/02_-_Month_wise/06_-_June/10/Initiations_1976-06-12_LOS%20ANGELES.MP3</t>
  </si>
  <si>
    <t>Interview_1976-06-12_IV-DETROIT.MP3</t>
  </si>
  <si>
    <t>https://audio.iskcondesiretree.com/01_-_Srila_Prabhupada/01_-_Lectures/01_-_English/02_-_Month_wise/06_-_June/12/Interview_1976-06-12_IV-DETROIT.MP3</t>
  </si>
  <si>
    <t>SB-06-01-46_1976-06-12_SB-DETROIT.MP3</t>
  </si>
  <si>
    <t>https://audio.iskcondesiretree.com/01_-_Srila_Prabhupada/01_-_Lectures/01_-_English/02_-_Month_wise/06_-_June/12/SB-06-01-46_1976-06-12_SB-DETROIT.MP3</t>
  </si>
  <si>
    <t>SP_SB_6-01-47_Detroit_1976-06-13_Animal_Killers_Cannot_Understand_God.mp3</t>
  </si>
  <si>
    <t>https://audio.iskcondesiretree.com/01_-_Srila_Prabhupada/01_-_Lectures/01_-_English/01_-_Topic_wise/Srimad_Bhagavatam/Canto-06/SP_SB_6-01-47_Detroit_1976-06-13_Animal_Killers_Cannot_Understand_God.mp3</t>
  </si>
  <si>
    <t>Conv_1976-06-13_R1-DETROIT.MP3</t>
  </si>
  <si>
    <t>https://audio.iskcondesiretree.com/01_-_Srila_Prabhupada/01_-_Lectures/01_-_English/02_-_Month_wise/06_-_June/13/Conv_1976-06-13_R1-DETROIT.MP3</t>
  </si>
  <si>
    <t>SB-06-01-47_1976-06-13_SB-DETROIT.MP3</t>
  </si>
  <si>
    <t>https://audio.iskcondesiretree.com/01_-_Srila_Prabhupada/01_-_Lectures/01_-_English/02_-_Month_wise/06_-_June/13/SB-06-01-47_1976-06-13_SB-DETROIT.MP3</t>
  </si>
  <si>
    <t>SB_6-01-47_DET_1976-06-13_Animal_Killers_Cannot_Understand_God.mp3</t>
  </si>
  <si>
    <t>https://audio.iskcondesiretree.com/01_-_Srila_Prabhupada/01_-_Lectures/01_-_English/02_-_Month_wise/06_-_June/13/SB_6-01-47_DET_1976-06-13_Animal_Killers_Cannot_Understand_God.mp3</t>
  </si>
  <si>
    <t>Walk_1976-06-13_MW-DETROIT.MP3</t>
  </si>
  <si>
    <t>https://audio.iskcondesiretree.com/01_-_Srila_Prabhupada/01_-_Lectures/01_-_English/02_-_Month_wise/06_-_June/13/Walk_1976-06-13_MW-DETROIT.MP3</t>
  </si>
  <si>
    <t>SP_Room_Conversation_Detroit_1976-06-14_Animal_Civilization.mp3</t>
  </si>
  <si>
    <t>https://audio.iskcondesiretree.com/01_-_Srila_Prabhupada/01_-_Lectures/01_-_English/01_-_Topic_wise/Room_Conversation/SP_Room_Conversation_Detroit_1976-06-14_Animal_Civilization.mp3</t>
  </si>
  <si>
    <t>Conv_1976-06-14_GC-DETROIT.MP3</t>
  </si>
  <si>
    <t>https://audio.iskcondesiretree.com/01_-_Srila_Prabhupada/01_-_Lectures/01_-_English/02_-_Month_wise/06_-_June/14/Conv_1976-06-14_GC-DETROIT.MP3</t>
  </si>
  <si>
    <t>Conv_1976-06-14_R1-DETROIT.MP3</t>
  </si>
  <si>
    <t>https://audio.iskcondesiretree.com/01_-_Srila_Prabhupada/01_-_Lectures/01_-_English/02_-_Month_wise/06_-_June/14/Conv_1976-06-14_R1-DETROIT.MP3</t>
  </si>
  <si>
    <t>RC_DET_1976-06-14_Animal_Civilization.mp3</t>
  </si>
  <si>
    <t>https://audio.iskcondesiretree.com/01_-_Srila_Prabhupada/01_-_Lectures/01_-_English/02_-_Month_wise/06_-_June/14/RC_DET_1976-06-14_Animal_Civilization.mp3</t>
  </si>
  <si>
    <t>SB-06-01-48_1976-06-14_SB-DETROIT.MP3</t>
  </si>
  <si>
    <t>https://audio.iskcondesiretree.com/01_-_Srila_Prabhupada/01_-_Lectures/01_-_English/02_-_Month_wise/06_-_June/14/SB-06-01-48_1976-06-14_SB-DETROIT.MP3</t>
  </si>
  <si>
    <t>Walk_1976-06-14_MW-DETROIT.MP3</t>
  </si>
  <si>
    <t>https://audio.iskcondesiretree.com/01_-_Srila_Prabhupada/01_-_Lectures/01_-_English/02_-_Month_wise/06_-_June/14/Walk_1976-06-14_MW-DETROIT.MP3</t>
  </si>
  <si>
    <t>SP_Room_Conversation_Detroit_1976-06-15_Priests--Handicapped_By_Mundane_Piety.mp3</t>
  </si>
  <si>
    <t>https://audio.iskcondesiretree.com/01_-_Srila_Prabhupada/01_-_Lectures/01_-_English/01_-_Topic_wise/Room_Conversation/SP_Room_Conversation_Detroit_1976-06-15_Priests--Handicapped_By_Mundane_Piety.mp3</t>
  </si>
  <si>
    <t>SP_SB_6-01-49_Detroit_1976-06-15_Deity_Installation--Sense--etc.mp3</t>
  </si>
  <si>
    <t>https://audio.iskcondesiretree.com/01_-_Srila_Prabhupada/01_-_Lectures/01_-_English/01_-_Topic_wise/Srimad_Bhagavatam/Canto-06/SP_SB_6-01-49_Detroit_1976-06-15_Deity_Installation--Sense--etc.mp3</t>
  </si>
  <si>
    <t>Bg-02-01%E2%80%9312_1976-06-15_BG-DETROIT.MP3</t>
  </si>
  <si>
    <t>https://audio.iskcondesiretree.com/01_-_Srila_Prabhupada/01_-_Lectures/01_-_English/02_-_Month_wise/06_-_June/15/Bg-02-01%E2%80%9312_1976-06-15_BG-DETROIT.MP3</t>
  </si>
  <si>
    <t>Conv_1976-06-15_R1-DETROIT.MP3</t>
  </si>
  <si>
    <t>https://audio.iskcondesiretree.com/01_-_Srila_Prabhupada/01_-_Lectures/01_-_English/02_-_Month_wise/06_-_June/15/Conv_1976-06-15_R1-DETROIT.MP3</t>
  </si>
  <si>
    <t>Conv_1976-06-15_R2-DETROIT.MP3</t>
  </si>
  <si>
    <t>https://audio.iskcondesiretree.com/01_-_Srila_Prabhupada/01_-_Lectures/01_-_English/02_-_Month_wise/06_-_June/15/Conv_1976-06-15_R2-DETROIT.MP3</t>
  </si>
  <si>
    <t>Conv_1976-06-15_R3-DETROIT.MP3</t>
  </si>
  <si>
    <t>https://audio.iskcondesiretree.com/01_-_Srila_Prabhupada/01_-_Lectures/01_-_English/02_-_Month_wise/06_-_June/15/Conv_1976-06-15_R3-DETROIT.MP3</t>
  </si>
  <si>
    <t>Initiations_1976-06-15_IN-DETROIT.MP3</t>
  </si>
  <si>
    <t>https://audio.iskcondesiretree.com/01_-_Srila_Prabhupada/01_-_Lectures/01_-_English/02_-_Month_wise/06_-_June/15/Initiations_1976-06-15_IN-DETROIT.MP3</t>
  </si>
  <si>
    <t>RC_DET_1976-06-15_Priests--Handicapped_By_Mundane_Piety.mp3</t>
  </si>
  <si>
    <t>https://audio.iskcondesiretree.com/01_-_Srila_Prabhupada/01_-_Lectures/01_-_English/02_-_Month_wise/06_-_June/15/RC_DET_1976-06-15_Priests--Handicapped_By_Mundane_Piety.mp3</t>
  </si>
  <si>
    <t>SB-06-01-49_1976-06-15_SB-DETROIT.MP3</t>
  </si>
  <si>
    <t>https://audio.iskcondesiretree.com/01_-_Srila_Prabhupada/01_-_Lectures/01_-_English/02_-_Month_wise/06_-_June/15/SB-06-01-49_1976-06-15_SB-DETROIT.MP3</t>
  </si>
  <si>
    <t>SB_6-01-49_DET_1976-06-15_Deity_Installation_Sense_etc.mp3</t>
  </si>
  <si>
    <t>https://audio.iskcondesiretree.com/01_-_Srila_Prabhupada/01_-_Lectures/01_-_English/02_-_Month_wise/06_-_June/15/SB_6-01-49_DET_1976-06-15_Deity_Installation_Sense_etc.mp3</t>
  </si>
  <si>
    <t>Walk_1976-06-15_MW-DETROIT.MP3</t>
  </si>
  <si>
    <t>https://audio.iskcondesiretree.com/01_-_Srila_Prabhupada/01_-_Lectures/01_-_English/02_-_Month_wise/06_-_June/15/Walk_1976-06-15_MW-DETROIT.MP3</t>
  </si>
  <si>
    <t>SP_SB_6-01-50_Detroit_1976-06-16_Medicine_for_Conditioned_Mind.mp3</t>
  </si>
  <si>
    <t>https://audio.iskcondesiretree.com/01_-_Srila_Prabhupada/01_-_Lectures/01_-_English/01_-_Topic_wise/Srimad_Bhagavatam/Canto-06/SP_SB_6-01-50_Detroit_1976-06-16_Medicine_for_Conditioned_Mind.mp3</t>
  </si>
  <si>
    <t>Conv_1976-06-16_R1-DETROIT.MP3</t>
  </si>
  <si>
    <t>https://audio.iskcondesiretree.com/01_-_Srila_Prabhupada/01_-_Lectures/01_-_English/02_-_Month_wise/06_-_June/16/Conv_1976-06-16_R1-DETROIT.MP3</t>
  </si>
  <si>
    <t>SB-06-01-50_1976-06-16_SB-DETROIT.MP3</t>
  </si>
  <si>
    <t>https://audio.iskcondesiretree.com/01_-_Srila_Prabhupada/01_-_Lectures/01_-_English/02_-_Month_wise/06_-_June/16/SB-06-01-50_1976-06-16_SB-DETROIT.MP3</t>
  </si>
  <si>
    <t>SB_6-01-50_DET_1976-06-16_Medicine_for_Conditioned_Mind.mp3</t>
  </si>
  <si>
    <t>https://audio.iskcondesiretree.com/01_-_Srila_Prabhupada/01_-_Lectures/01_-_English/02_-_Month_wise/06_-_June/16/SB_6-01-50_DET_1976-06-16_Medicine_for_Conditioned_Mind.mp3</t>
  </si>
  <si>
    <t>SP_Lecture_Toronto_1976-06-17_Initiation--Today_Nobody--etc.mp3</t>
  </si>
  <si>
    <t>https://audio.iskcondesiretree.com/01_-_Srila_Prabhupada/01_-_Lectures/01_-_English/01_-_Topic_wise/Various/SP_Lecture_Toronto_1976-06-17_Initiation--Today_Nobody--etc.mp3</t>
  </si>
  <si>
    <t>Conv_1976-06-17_R1-TORONTO.MP3</t>
  </si>
  <si>
    <t>https://audio.iskcondesiretree.com/01_-_Srila_Prabhupada/01_-_Lectures/01_-_English/02_-_Month_wise/06_-_June/17/Conv_1976-06-17_R1-TORONTO.MP3</t>
  </si>
  <si>
    <t>Conv_1976-06-17_R2-TORONTO.MP3</t>
  </si>
  <si>
    <t>https://audio.iskcondesiretree.com/01_-_Srila_Prabhupada/01_-_Lectures/01_-_English/02_-_Month_wise/06_-_June/17/Conv_1976-06-17_R2-TORONTO.MP3</t>
  </si>
  <si>
    <t>Lect_TOR_1976-06-17_Initiation-Today_Nobody_etc.mp3</t>
  </si>
  <si>
    <t>https://audio.iskcondesiretree.com/01_-_Srila_Prabhupada/01_-_Lectures/01_-_English/02_-_Month_wise/06_-_June/17/Lect_TOR_1976-06-17_Initiation-Today_Nobody_etc.mp3</t>
  </si>
  <si>
    <t>SB-07-06-01_1976-06-17_SB-TORONTO.MP3</t>
  </si>
  <si>
    <t>https://audio.iskcondesiretree.com/01_-_Srila_Prabhupada/01_-_Lectures/01_-_English/02_-_Month_wise/06_-_June/17/SB-07-06-01_1976-06-17_SB-TORONTO.MP3</t>
  </si>
  <si>
    <t>SP_Morning_Walk_-_Toronto_1976-06-18_Dealing_With_the_Envious.mp3</t>
  </si>
  <si>
    <t>https://audio.iskcondesiretree.com/01_-_Srila_Prabhupada/01_-_Lectures/01_-_English/01_-_Topic_wise/Morning_Walk/SP_Morning_Walk_-_Toronto_1976-06-18_Dealing_With_the_Envious.mp3</t>
  </si>
  <si>
    <t>SP_Room_Conversation_Toronto_1976-06-18_Don%27t_Screw_Out_Your_Concocted_Meaning.mp3</t>
  </si>
  <si>
    <t>https://audio.iskcondesiretree.com/01_-_Srila_Prabhupada/01_-_Lectures/01_-_English/01_-_Topic_wise/Room_Conversation/SP_Room_Conversation_Toronto_1976-06-18_Don%27t_Screw_Out_Your_Concocted_Meaning.mp3</t>
  </si>
  <si>
    <t>SP_Room_Conversation_Toronto_1976-06-18_Prof_O%27Connell--Real_Education_is--etc.mp3</t>
  </si>
  <si>
    <t>https://audio.iskcondesiretree.com/01_-_Srila_Prabhupada/01_-_Lectures/01_-_English/01_-_Topic_wise/Room_Conversation/SP_Room_Conversation_Toronto_1976-06-18_Prof_O%27Connell--Real_Education_is--etc.mp3</t>
  </si>
  <si>
    <t>SP_SB_7-06-02_Toronto_1976-06-18_Innermost_Benefit_from_the--etc.mp3</t>
  </si>
  <si>
    <t>https://audio.iskcondesiretree.com/01_-_Srila_Prabhupada/01_-_Lectures/01_-_English/01_-_Topic_wise/Srimad_Bhagavatam/Canto-07/SP_SB_7-06-02_Toronto_1976-06-18_Innermost_Benefit_from_the--etc.mp3</t>
  </si>
  <si>
    <t>Conv_1976-06-18_R1-TORONTO.MP3</t>
  </si>
  <si>
    <t>https://audio.iskcondesiretree.com/01_-_Srila_Prabhupada/01_-_Lectures/01_-_English/02_-_Month_wise/06_-_June/18/Conv_1976-06-18_R1-TORONTO.MP3</t>
  </si>
  <si>
    <t>Initiations_1976-06-18_IN-TORONTO.MP3</t>
  </si>
  <si>
    <t>https://audio.iskcondesiretree.com/01_-_Srila_Prabhupada/01_-_Lectures/01_-_English/02_-_Month_wise/06_-_June/18/Initiations_1976-06-18_IN-TORONTO.MP3</t>
  </si>
  <si>
    <t>Interview_1976-06-18_I2-TORONTO.MP3</t>
  </si>
  <si>
    <t>https://audio.iskcondesiretree.com/01_-_Srila_Prabhupada/01_-_Lectures/01_-_English/02_-_Month_wise/06_-_June/18/Interview_1976-06-18_I2-TORONTO.MP3</t>
  </si>
  <si>
    <t>Interview_1976-06-18_IV-TORONTO.MP3</t>
  </si>
  <si>
    <t>https://audio.iskcondesiretree.com/01_-_Srila_Prabhupada/01_-_Lectures/01_-_English/02_-_Month_wise/06_-_June/18/Interview_1976-06-18_IV-TORONTO.MP3</t>
  </si>
  <si>
    <t>MW_TOR_1976-06-18_Dealing_With_the_Envious.mp3</t>
  </si>
  <si>
    <t>https://audio.iskcondesiretree.com/01_-_Srila_Prabhupada/01_-_Lectures/01_-_English/02_-_Month_wise/06_-_June/18/MW_TOR_1976-06-18_Dealing_With_the_Envious.mp3</t>
  </si>
  <si>
    <t>RC_TOR_1976-06-18_Don%27t_Screw_Out_Your_Concocted_Meaning.mp3</t>
  </si>
  <si>
    <t>https://audio.iskcondesiretree.com/01_-_Srila_Prabhupada/01_-_Lectures/01_-_English/02_-_Month_wise/06_-_June/18/RC_TOR_1976-06-18_Don%27t_Screw_Out_Your_Concocted_Meaning.mp3</t>
  </si>
  <si>
    <t>RC_TOR_1976-06-18_Prof_O%27Connell-Real_Education_is_etc.mp3</t>
  </si>
  <si>
    <t>https://audio.iskcondesiretree.com/01_-_Srila_Prabhupada/01_-_Lectures/01_-_English/02_-_Month_wise/06_-_June/18/RC_TOR_1976-06-18_Prof_O%27Connell-Real_Education_is_etc.mp3</t>
  </si>
  <si>
    <t>SB-07-06-02_1976-06-18_SB-TORONTO.MP3</t>
  </si>
  <si>
    <t>https://audio.iskcondesiretree.com/01_-_Srila_Prabhupada/01_-_Lectures/01_-_English/02_-_Month_wise/06_-_June/18/SB-07-06-02_1976-06-18_SB-TORONTO.MP3</t>
  </si>
  <si>
    <t>SB_7-06-02_TOR_1976-06-18_Innermost_Benefit_from_the_etc.mp3</t>
  </si>
  <si>
    <t>https://audio.iskcondesiretree.com/01_-_Srila_Prabhupada/01_-_Lectures/01_-_English/02_-_Month_wise/06_-_June/18/SB_7-06-02_TOR_1976-06-18_Innermost_Benefit_from_the_etc.mp3</t>
  </si>
  <si>
    <t>Walk_1976-06-18_MW-TORONTO.MP3</t>
  </si>
  <si>
    <t>https://audio.iskcondesiretree.com/01_-_Srila_Prabhupada/01_-_Lectures/01_-_English/02_-_Month_wise/06_-_June/18/Walk_1976-06-18_MW-TORONTO.MP3</t>
  </si>
  <si>
    <t>SP_SB_7-06-03_Toronto_1976-06-19_Pots_Change_-_Contents_Stay.mp3</t>
  </si>
  <si>
    <t>https://audio.iskcondesiretree.com/01_-_Srila_Prabhupada/01_-_Lectures/01_-_English/01_-_Topic_wise/Srimad_Bhagavatam/Canto-07/SP_SB_7-06-03_Toronto_1976-06-19_Pots_Change_-_Contents_Stay.mp3</t>
  </si>
  <si>
    <t>Lecture_1976-06-19_LE-TORONTO.MP3</t>
  </si>
  <si>
    <t>https://audio.iskcondesiretree.com/01_-_Srila_Prabhupada/01_-_Lectures/01_-_English/02_-_Month_wise/06_-_June/19/Lecture_1976-06-19_LE-TORONTO.MP3</t>
  </si>
  <si>
    <t>SB-07-06-03_1976-06-19_SB-TORONTO.MP3</t>
  </si>
  <si>
    <t>https://audio.iskcondesiretree.com/01_-_Srila_Prabhupada/01_-_Lectures/01_-_English/02_-_Month_wise/06_-_June/19/SB-07-06-03_1976-06-19_SB-TORONTO.MP3</t>
  </si>
  <si>
    <t>SB_7-06-03_TOR_1976-06-19_Pots_Change_Contents_Stay.mp3</t>
  </si>
  <si>
    <t>https://audio.iskcondesiretree.com/01_-_Srila_Prabhupada/01_-_Lectures/01_-_English/02_-_Month_wise/06_-_June/19/SB_7-06-03_TOR_1976-06-19_Pots_Change_Contents_Stay.mp3</t>
  </si>
  <si>
    <t>Walk_1976-06-19_MW-TORONTO.MP3</t>
  </si>
  <si>
    <t>https://audio.iskcondesiretree.com/01_-_Srila_Prabhupada/01_-_Lectures/01_-_English/02_-_Month_wise/06_-_June/19/Walk_1976-06-19_MW-TORONTO.MP3</t>
  </si>
  <si>
    <t>SP_SB_7-06-04_Toronto_1976-06-20_Innermost_Benefit_from_the--etc.mp3</t>
  </si>
  <si>
    <t>https://audio.iskcondesiretree.com/01_-_Srila_Prabhupada/01_-_Lectures/01_-_English/01_-_Topic_wise/Srimad_Bhagavatam/Canto-07/SP_SB_7-06-04_Toronto_1976-06-20_Innermost_Benefit_from_the--etc.mp3</t>
  </si>
  <si>
    <t>SP_Lecture_Toronto_1976-06-20_Sunday_Feast--Don%27t_Forget_Your_Heritage.mp3</t>
  </si>
  <si>
    <t>https://audio.iskcondesiretree.com/01_-_Srila_Prabhupada/01_-_Lectures/01_-_English/01_-_Topic_wise/Various/SP_Lecture_Toronto_1976-06-20_Sunday_Feast--Don%27t_Forget_Your_Heritage.mp3</t>
  </si>
  <si>
    <t>Bg-09-03_1976-06-20_BG-TORONTO.MP3</t>
  </si>
  <si>
    <t>https://audio.iskcondesiretree.com/01_-_Srila_Prabhupada/01_-_Lectures/01_-_English/02_-_Month_wise/06_-_June/20/Bg-09-03_1976-06-20_BG-TORONTO.MP3</t>
  </si>
  <si>
    <t>Lect_TOR_1976-06-20_Sunday_Feast-Don%27t_Forget_Your_Heritage.mp3</t>
  </si>
  <si>
    <t>https://audio.iskcondesiretree.com/01_-_Srila_Prabhupada/01_-_Lectures/01_-_English/02_-_Month_wise/06_-_June/20/Lect_TOR_1976-06-20_Sunday_Feast-Don%27t_Forget_Your_Heritage.mp3</t>
  </si>
  <si>
    <t>SB-07-06-04_1976-06-20_SB-TORONTO.MP3</t>
  </si>
  <si>
    <t>https://audio.iskcondesiretree.com/01_-_Srila_Prabhupada/01_-_Lectures/01_-_English/02_-_Month_wise/06_-_June/20/SB-07-06-04_1976-06-20_SB-TORONTO.MP3</t>
  </si>
  <si>
    <t>SB_7-06-04_TOR_1976-06-20_Innermost_Benefit_from_the_etc.mp3</t>
  </si>
  <si>
    <t>https://audio.iskcondesiretree.com/01_-_Srila_Prabhupada/01_-_Lectures/01_-_English/02_-_Month_wise/06_-_June/20/SB_7-06-04_TOR_1976-06-20_Innermost_Benefit_from_the_etc.mp3</t>
  </si>
  <si>
    <t>Walk_1976-06-20_MW-TORONTO.MP3</t>
  </si>
  <si>
    <t>https://audio.iskcondesiretree.com/01_-_Srila_Prabhupada/01_-_Lectures/01_-_English/02_-_Month_wise/06_-_June/20/Walk_1976-06-20_MW-TORONTO.MP3</t>
  </si>
  <si>
    <t>SP_Morning_Walk_-_Toronto_1976-06-21_Everyone_Wants_to_Become_Krishna.mp3</t>
  </si>
  <si>
    <t>https://audio.iskcondesiretree.com/01_-_Srila_Prabhupada/01_-_Lectures/01_-_English/01_-_Topic_wise/Morning_Walk/SP_Morning_Walk_-_Toronto_1976-06-21_Everyone_Wants_to_Become_Krishna.mp3</t>
  </si>
  <si>
    <t>Arrival_1976-06-21_AR-NEW%20VRINDAVAN.MP3</t>
  </si>
  <si>
    <t>https://audio.iskcondesiretree.com/01_-_Srila_Prabhupada/01_-_Lectures/01_-_English/02_-_Month_wise/06_-_June/21/Arrival_1976-06-21_AR-NEW%20VRINDAVAN.MP3</t>
  </si>
  <si>
    <t>Conv_1976-06-21_CR-TORONTO.MP3</t>
  </si>
  <si>
    <t>https://audio.iskcondesiretree.com/01_-_Srila_Prabhupada/01_-_Lectures/01_-_English/02_-_Month_wise/06_-_June/21/Conv_1976-06-21_CR-TORONTO.MP3</t>
  </si>
  <si>
    <t>MW_TOR_1976-06-21_Everyone_Wants_to_Become_Krishna.mp3</t>
  </si>
  <si>
    <t>https://audio.iskcondesiretree.com/01_-_Srila_Prabhupada/01_-_Lectures/01_-_English/02_-_Month_wise/06_-_June/21/MW_TOR_1976-06-21_Everyone_Wants_to_Become_Krishna.mp3</t>
  </si>
  <si>
    <t>SB-07-06-05_1976-06-21_SB-TORONTO.MP3</t>
  </si>
  <si>
    <t>https://audio.iskcondesiretree.com/01_-_Srila_Prabhupada/01_-_Lectures/01_-_English/02_-_Month_wise/06_-_June/21/SB-07-06-05_1976-06-21_SB-TORONTO.MP3</t>
  </si>
  <si>
    <t>Walk_1976-06-21_MW-TORONTO.MP3</t>
  </si>
  <si>
    <t>https://audio.iskcondesiretree.com/01_-_Srila_Prabhupada/01_-_Lectures/01_-_English/02_-_Month_wise/06_-_June/21/Walk_1976-06-21_MW-TORONTO.MP3</t>
  </si>
  <si>
    <t>SP_Room_Conversation_New_Vrindavan_1976-06-22_Cloudburst_vs_Tap_Water.mp3</t>
  </si>
  <si>
    <t>https://audio.iskcondesiretree.com/01_-_Srila_Prabhupada/01_-_Lectures/01_-_English/01_-_Topic_wise/Room_Conversation/SP_Room_Conversation_New_Vrindavan_1976-06-22_Cloudburst_vs_Tap_Water.mp3</t>
  </si>
  <si>
    <t>SP_SB_7-06-06_New_Vrindavan_1976-06-22_Modern_Civilization--No--etc.mp3</t>
  </si>
  <si>
    <t>https://audio.iskcondesiretree.com/01_-_Srila_Prabhupada/01_-_Lectures/01_-_English/01_-_Topic_wise/Srimad_Bhagavatam/Canto-07/SP_SB_7-06-06_New_Vrindavan_1976-06-22_Modern_Civilization--No--etc.mp3</t>
  </si>
  <si>
    <t>Conv_1976-06-22_GC-NEW%20VRINDAVAN.MP3</t>
  </si>
  <si>
    <t>https://audio.iskcondesiretree.com/01_-_Srila_Prabhupada/01_-_Lectures/01_-_English/02_-_Month_wise/06_-_June/22/Conv_1976-06-22_GC-NEW%20VRINDAVAN.MP3</t>
  </si>
  <si>
    <t>RC_NV_1976-06-22_Cloudburst_vs_Tap_Water.mp3</t>
  </si>
  <si>
    <t>https://audio.iskcondesiretree.com/01_-_Srila_Prabhupada/01_-_Lectures/01_-_English/02_-_Month_wise/06_-_June/22/RC_NV_1976-06-22_Cloudburst_vs_Tap_Water.mp3</t>
  </si>
  <si>
    <t>SB-07-06-06_1976-06-22_SB-NEW%20VRINDAVAN.MP3</t>
  </si>
  <si>
    <t>https://audio.iskcondesiretree.com/01_-_Srila_Prabhupada/01_-_Lectures/01_-_English/02_-_Month_wise/06_-_June/22/SB-07-06-06_1976-06-22_SB-NEW%20VRINDAVAN.MP3</t>
  </si>
  <si>
    <t>SB_7-06-06_NV_1976-06-22_Modern_Civilization_No_etc.mp3</t>
  </si>
  <si>
    <t>https://audio.iskcondesiretree.com/01_-_Srila_Prabhupada/01_-_Lectures/01_-_English/02_-_Month_wise/06_-_June/22/SB_7-06-06_NV_1976-06-22_Modern_Civilization_No_etc.mp3</t>
  </si>
  <si>
    <t>VisitPalace_1976-06-22_VI-NEW%20VRINDAVAN.MP3</t>
  </si>
  <si>
    <t>https://audio.iskcondesiretree.com/01_-_Srila_Prabhupada/01_-_Lectures/01_-_English/02_-_Month_wise/06_-_June/22/VisitPalace_1976-06-22_VI-NEW%20VRINDAVAN.MP3</t>
  </si>
  <si>
    <t>Walk_1976-06-22_MW-NEW%20VRINDAVAN.MP3</t>
  </si>
  <si>
    <t>https://audio.iskcondesiretree.com/01_-_Srila_Prabhupada/01_-_Lectures/01_-_English/02_-_Month_wise/06_-_June/22/Walk_1976-06-22_MW-NEW%20VRINDAVAN.MP3</t>
  </si>
  <si>
    <t>SP_BG_06-20-25_New_Vrindavan_1976-06-23_Yoga_System--Precaution_Is--etc.mp3</t>
  </si>
  <si>
    <t>https://audio.iskcondesiretree.com/01_-_Srila_Prabhupada/01_-_Lectures/01_-_English/01_-_Topic_wise/Bhagavad_Gita/Chapter-06/SP_BG_06-20-25_New_Vrindavan_1976-06-23_Yoga_System--Precaution_Is--etc.mp3</t>
  </si>
  <si>
    <t>Bg_06-20_NV_1976-06-23_Yoga_System-Precaution_Is_etc.mp3</t>
  </si>
  <si>
    <t>https://audio.iskcondesiretree.com/01_-_Srila_Prabhupada/01_-_Lectures/01_-_English/02_-_Month_wise/06_-_June/23/Bg_06-20_NV_1976-06-23_Yoga_System-Precaution_Is_etc.mp3</t>
  </si>
  <si>
    <t>Conv_1976-06-23_GC-NEW%20VRINDAVAN.MP3</t>
  </si>
  <si>
    <t>https://audio.iskcondesiretree.com/01_-_Srila_Prabhupada/01_-_Lectures/01_-_English/02_-_Month_wise/06_-_June/23/Conv_1976-06-23_GC-NEW%20VRINDAVAN.MP3</t>
  </si>
  <si>
    <t>SP_Room_Conversation_New_Vrindavan_1976-06-24_Plain_Living_High_Thinking.mp3</t>
  </si>
  <si>
    <t>https://audio.iskcondesiretree.com/01_-_Srila_Prabhupada/01_-_Lectures/01_-_English/01_-_Topic_wise/Room_Conversation/SP_Room_Conversation_New_Vrindavan_1976-06-24_Plain_Living_High_Thinking.mp3</t>
  </si>
  <si>
    <t>SP_Room_Conversation_New_Vrindavan_1976-06-24_You_Enjoy_and_Forget_Goal.mp3</t>
  </si>
  <si>
    <t>https://audio.iskcondesiretree.com/01_-_Srila_Prabhupada/01_-_Lectures/01_-_English/01_-_Topic_wise/Room_Conversation/SP_Room_Conversation_New_Vrindavan_1976-06-24_You_Enjoy_and_Forget_Goal.mp3</t>
  </si>
  <si>
    <t>SP_SB_7-06-08_New_Vrindavan_1976-06-24_The_Greatest_Success_.._But--etc.mp3</t>
  </si>
  <si>
    <t>https://audio.iskcondesiretree.com/01_-_Srila_Prabhupada/01_-_Lectures/01_-_English/01_-_Topic_wise/Srimad_Bhagavatam/Canto-07/SP_SB_7-06-08_New_Vrindavan_1976-06-24_The_Greatest_Success_.._But--etc.mp3</t>
  </si>
  <si>
    <t>Conv_1976-06-24_R1-NEW%20VRINDAVAN.MP3</t>
  </si>
  <si>
    <t>https://audio.iskcondesiretree.com/01_-_Srila_Prabhupada/01_-_Lectures/01_-_English/02_-_Month_wise/06_-_June/24/Conv_1976-06-24_R1-NEW%20VRINDAVAN.MP3</t>
  </si>
  <si>
    <t>NewBTG_1976-06-24_BI-NEW%20VRINDAVAN.MP3</t>
  </si>
  <si>
    <t>https://audio.iskcondesiretree.com/01_-_Srila_Prabhupada/01_-_Lectures/01_-_English/02_-_Month_wise/06_-_June/24/NewBTG_1976-06-24_BI-NEW%20VRINDAVAN.MP3</t>
  </si>
  <si>
    <t>RC_NV_1976-06-24_Plain_Living_High_Thinking.mp3</t>
  </si>
  <si>
    <t>https://audio.iskcondesiretree.com/01_-_Srila_Prabhupada/01_-_Lectures/01_-_English/02_-_Month_wise/06_-_June/24/RC_NV_1976-06-24_Plain_Living_High_Thinking.mp3</t>
  </si>
  <si>
    <t>RC_NV_1976-06-24_You_Enjoy_and_Forget_Goal.mp3</t>
  </si>
  <si>
    <t>https://audio.iskcondesiretree.com/01_-_Srila_Prabhupada/01_-_Lectures/01_-_English/02_-_Month_wise/06_-_June/24/RC_NV_1976-06-24_You_Enjoy_and_Forget_Goal.mp3</t>
  </si>
  <si>
    <t>SB-07-06-08_1976-06-24_SB-NEW%20VRINDAVAN.MP3</t>
  </si>
  <si>
    <t>https://audio.iskcondesiretree.com/01_-_Srila_Prabhupada/01_-_Lectures/01_-_English/02_-_Month_wise/06_-_June/24/SB-07-06-08_1976-06-24_SB-NEW%20VRINDAVAN.MP3</t>
  </si>
  <si>
    <t>SB_7-06-08_NV_1976-06-24_The_Greatest_Success_But_etc.mp3</t>
  </si>
  <si>
    <t>https://audio.iskcondesiretree.com/01_-_Srila_Prabhupada/01_-_Lectures/01_-_English/02_-_Month_wise/06_-_June/24/SB_7-06-08_NV_1976-06-24_The_Greatest_Success_But_etc.mp3</t>
  </si>
  <si>
    <t>SP_SB_7-06-09_New_Vrindavan_1976-06-25_I_Love_My_Sense_Gratification.mp3</t>
  </si>
  <si>
    <t>https://audio.iskcondesiretree.com/01_-_Srila_Prabhupada/01_-_Lectures/01_-_English/01_-_Topic_wise/Srimad_Bhagavatam/Canto-07/SP_SB_7-06-09_New_Vrindavan_1976-06-25_I_Love_My_Sense_Gratification.mp3</t>
  </si>
  <si>
    <t>Conv_1976-06-25_MW-NEW%20VRINDAVAN.MP3</t>
  </si>
  <si>
    <t>https://audio.iskcondesiretree.com/01_-_Srila_Prabhupada/01_-_Lectures/01_-_English/02_-_Month_wise/06_-_June/25/Conv_1976-06-25_MW-NEW%20VRINDAVAN.MP3</t>
  </si>
  <si>
    <t>SB-01-05-01-16_1976-06-25_R1-NEW%20VRINDAVAN.MP3</t>
  </si>
  <si>
    <t>https://audio.iskcondesiretree.com/01_-_Srila_Prabhupada/01_-_Lectures/01_-_English/02_-_Month_wise/06_-_June/25/SB-01-05-01-16_1976-06-25_R1-NEW%20VRINDAVAN.MP3</t>
  </si>
  <si>
    <t>SB-07-06-09_1976-06-25_SB-NEW%20VRINDAVAN.MP3</t>
  </si>
  <si>
    <t>https://audio.iskcondesiretree.com/01_-_Srila_Prabhupada/01_-_Lectures/01_-_English/02_-_Month_wise/06_-_June/25/SB-07-06-09_1976-06-25_SB-NEW%20VRINDAVAN.MP3</t>
  </si>
  <si>
    <t>SB_7-06-09_NV_1976-06-25_I_Love_My_Sense_Gratification.mp3</t>
  </si>
  <si>
    <t>https://audio.iskcondesiretree.com/01_-_Srila_Prabhupada/01_-_Lectures/01_-_English/02_-_Month_wise/06_-_June/25/SB_7-06-09_NV_1976-06-25_I_Love_My_Sense_Gratification.mp3</t>
  </si>
  <si>
    <t>SP_BG_16-01-07_New_Vrindavan_1976-06-26_Dealing_with_Cats_and_Dogs.mp3</t>
  </si>
  <si>
    <t>https://audio.iskcondesiretree.com/01_-_Srila_Prabhupada/01_-_Lectures/01_-_English/01_-_Topic_wise/Bhagavad_Gita/Chapter-16/SP_BG_16-01-07_New_Vrindavan_1976-06-26_Dealing_with_Cats_and_Dogs.mp3</t>
  </si>
  <si>
    <t>Bg-16-01-16_1976-06-26_GD-NEW%20VRINDAVAN.MP3</t>
  </si>
  <si>
    <t>https://audio.iskcondesiretree.com/01_-_Srila_Prabhupada/01_-_Lectures/01_-_English/02_-_Month_wise/06_-_June/26/Bg-16-01-16_1976-06-26_GD-NEW%20VRINDAVAN.MP3</t>
  </si>
  <si>
    <t>Bg_16-01_NV_1976-06-26_Dealing_with_Cats_and_Dogs.mp3</t>
  </si>
  <si>
    <t>https://audio.iskcondesiretree.com/01_-_Srila_Prabhupada/01_-_Lectures/01_-_English/02_-_Month_wise/06_-_June/26/Bg_16-01_NV_1976-06-26_Dealing_with_Cats_and_Dogs.mp3</t>
  </si>
  <si>
    <t>Conv_1976-06-26_R1-NEW%20VRINDAVAN.MP3</t>
  </si>
  <si>
    <t>https://audio.iskcondesiretree.com/01_-_Srila_Prabhupada/01_-_Lectures/01_-_English/02_-_Month_wise/06_-_June/26/Conv_1976-06-26_R1-NEW%20VRINDAVAN.MP3</t>
  </si>
  <si>
    <t>Conv_1976-06-26_R2-NEW%20VRINDAVAN.MP3</t>
  </si>
  <si>
    <t>https://audio.iskcondesiretree.com/01_-_Srila_Prabhupada/01_-_Lectures/01_-_English/02_-_Month_wise/06_-_June/26/Conv_1976-06-26_R2-NEW%20VRINDAVAN.MP3</t>
  </si>
  <si>
    <t>SB-07-06-10_1976-06-26_SB-NEW%20VRINDAVAN.MP3</t>
  </si>
  <si>
    <t>https://audio.iskcondesiretree.com/01_-_Srila_Prabhupada/01_-_Lectures/01_-_English/02_-_Month_wise/06_-_June/26/SB-07-06-10_1976-06-26_SB-NEW%20VRINDAVAN.MP3</t>
  </si>
  <si>
    <t>VisitMarbleShop_1976-06-26_VI-NEW%20VRINDAVAN.MP3</t>
  </si>
  <si>
    <t>https://audio.iskcondesiretree.com/01_-_Srila_Prabhupada/01_-_Lectures/01_-_English/02_-_Month_wise/06_-_June/26/VisitMarbleShop_1976-06-26_VI-NEW%20VRINDAVAN.MP3</t>
  </si>
  <si>
    <t>SP_SB_7-06-11_New_Vrindavan_1976-06-27_Natural_Detachment.mp3</t>
  </si>
  <si>
    <t>https://audio.iskcondesiretree.com/01_-_Srila_Prabhupada/01_-_Lectures/01_-_English/01_-_Topic_wise/Srimad_Bhagavatam/Canto-07/SP_SB_7-06-11_New_Vrindavan_1976-06-27_Natural_Detachment.mp3</t>
  </si>
  <si>
    <t>Conv_1976-06-27_GC-NEW%20VRINDAVAN.MP3</t>
  </si>
  <si>
    <t>https://audio.iskcondesiretree.com/01_-_Srila_Prabhupada/01_-_Lectures/01_-_English/02_-_Month_wise/06_-_June/27/Conv_1976-06-27_GC-NEW%20VRINDAVAN.MP3</t>
  </si>
  <si>
    <t>SB-07-06-11%E2%80%9313_1976-06-27_SB-NEW%20VRINDAVAN.MP3</t>
  </si>
  <si>
    <t>https://audio.iskcondesiretree.com/01_-_Srila_Prabhupada/01_-_Lectures/01_-_English/02_-_Month_wise/06_-_June/27/SB-07-06-11%E2%80%9313_1976-06-27_SB-NEW%20VRINDAVAN.MP3</t>
  </si>
  <si>
    <t>SB_7-06-11_NV_1976-06-27_Natural_Detachment.mp3</t>
  </si>
  <si>
    <t>https://audio.iskcondesiretree.com/01_-_Srila_Prabhupada/01_-_Lectures/01_-_English/02_-_Month_wise/06_-_June/27/SB_7-06-11_NV_1976-06-27_Natural_Detachment.mp3</t>
  </si>
  <si>
    <t>Walk_1976-06-27_MW-NEW%20VRINDAVAN.MP3</t>
  </si>
  <si>
    <t>https://audio.iskcondesiretree.com/01_-_Srila_Prabhupada/01_-_Lectures/01_-_English/02_-_Month_wise/06_-_June/27/Walk_1976-06-27_MW-NEW%20VRINDAVAN.MP3</t>
  </si>
  <si>
    <t>SP_BG_16-13-17_New_Vrindavan_1976-06-28_Dishonesty_Starts_from_Government.mp3</t>
  </si>
  <si>
    <t>https://audio.iskcondesiretree.com/01_-_Srila_Prabhupada/01_-_Lectures/01_-_English/01_-_Topic_wise/Bhagavad_Gita/Chapter-16/SP_BG_16-13-17_New_Vrindavan_1976-06-28_Dishonesty_Starts_from_Government.mp3</t>
  </si>
  <si>
    <t>SP_Room_Conversation_New_Vrindavan_1976-06-28_Bhavans_Journal-1_Society_Going_to_the_Dogs.mp3</t>
  </si>
  <si>
    <t>https://audio.iskcondesiretree.com/01_-_Srila_Prabhupada/01_-_Lectures/01_-_English/01_-_Topic_wise/Room_Conversation/SP_Room_Conversation_New_Vrindavan_1976-06-28_Bhavans_Journal-1_Society_Going_to_the_Dogs.mp3</t>
  </si>
  <si>
    <t>SP_Room_Conversation_New_Vrindavan_1976-06-28_Bhavans_Journal-2_Innocent--etc.mp3</t>
  </si>
  <si>
    <t>https://audio.iskcondesiretree.com/01_-_Srila_Prabhupada/01_-_Lectures/01_-_English/01_-_Topic_wise/Room_Conversation/SP_Room_Conversation_New_Vrindavan_1976-06-28_Bhavans_Journal-2_Innocent--etc.mp3</t>
  </si>
  <si>
    <t>SP_Room_Conversation_New_Vrindavan_1976-06-28_Bhavans_Journal-3_Go_to_the_Real_Guru.mp3</t>
  </si>
  <si>
    <t>https://audio.iskcondesiretree.com/01_-_Srila_Prabhupada/01_-_Lectures/01_-_English/01_-_Topic_wise/Room_Conversation/SP_Room_Conversation_New_Vrindavan_1976-06-28_Bhavans_Journal-3_Go_to_the_Real_Guru.mp3</t>
  </si>
  <si>
    <t>SP_Room_Conversation_New_Vrindavan_1976-06-28_Bhavans_Journal-4_Sanctity_for_the_Sinful.mp3</t>
  </si>
  <si>
    <t>https://audio.iskcondesiretree.com/01_-_Srila_Prabhupada/01_-_Lectures/01_-_English/01_-_Topic_wise/Room_Conversation/SP_Room_Conversation_New_Vrindavan_1976-06-28_Bhavans_Journal-4_Sanctity_for_the_Sinful.mp3</t>
  </si>
  <si>
    <t>SP_Room_Conversation_New_Vrindavan_1976-06-28_Bhavans_Journal-5_What_Is_the_Sign--etc.mp3</t>
  </si>
  <si>
    <t>https://audio.iskcondesiretree.com/01_-_Srila_Prabhupada/01_-_Lectures/01_-_English/01_-_Topic_wise/Room_Conversation/SP_Room_Conversation_New_Vrindavan_1976-06-28_Bhavans_Journal-5_What_Is_the_Sign--etc.mp3</t>
  </si>
  <si>
    <t>SP_SB_7-06-14_New_Vrindavan_1976-06-28_The_Problem_of_Family_and_Belly.mp3</t>
  </si>
  <si>
    <t>https://audio.iskcondesiretree.com/01_-_Srila_Prabhupada/01_-_Lectures/01_-_English/01_-_Topic_wise/Srimad_Bhagavatam/Canto-07/SP_SB_7-06-14_New_Vrindavan_1976-06-28_The_Problem_of_Family_and_Belly.mp3</t>
  </si>
  <si>
    <t>Bg-16-17%E2%80%9319_1976-06-28_BG-NEW%20VRINDAVAN.MP3</t>
  </si>
  <si>
    <t>https://audio.iskcondesiretree.com/01_-_Srila_Prabhupada/01_-_Lectures/01_-_English/02_-_Month_wise/06_-_June/28/Bg-16-17%E2%80%9319_1976-06-28_BG-NEW%20VRINDAVAN.MP3</t>
  </si>
  <si>
    <t>Bg_16-17_NV_1976-06-28_Dishonesty_Starts_from_Government.mp3</t>
  </si>
  <si>
    <t>https://audio.iskcondesiretree.com/01_-_Srila_Prabhupada/01_-_Lectures/01_-_English/02_-_Month_wise/06_-_June/28/Bg_16-17_NV_1976-06-28_Dishonesty_Starts_from_Government.mp3</t>
  </si>
  <si>
    <t>Conv_1976-06-28_R1-NEW%20VRINDAVAN.MP3</t>
  </si>
  <si>
    <t>https://audio.iskcondesiretree.com/01_-_Srila_Prabhupada/01_-_Lectures/01_-_English/02_-_Month_wise/06_-_June/28/Conv_1976-06-28_R1-NEW%20VRINDAVAN.MP3</t>
  </si>
  <si>
    <t>Conv_1976-06-28_R2-NEW%20VRINDAVAN.MP3</t>
  </si>
  <si>
    <t>https://audio.iskcondesiretree.com/01_-_Srila_Prabhupada/01_-_Lectures/01_-_English/02_-_Month_wise/06_-_June/28/Conv_1976-06-28_R2-NEW%20VRINDAVAN.MP3</t>
  </si>
  <si>
    <t>RC_NV_1976-06-28_Bhavans_Journal-1_Society_Going_to_the_Dogs.mp3</t>
  </si>
  <si>
    <t>https://audio.iskcondesiretree.com/01_-_Srila_Prabhupada/01_-_Lectures/01_-_English/02_-_Month_wise/06_-_June/28/RC_NV_1976-06-28_Bhavans_Journal-1_Society_Going_to_the_Dogs.mp3</t>
  </si>
  <si>
    <t>RC_NV_1976-06-28_Bhavans_Journal-2_Innocent_etc.mp3</t>
  </si>
  <si>
    <t>https://audio.iskcondesiretree.com/01_-_Srila_Prabhupada/01_-_Lectures/01_-_English/02_-_Month_wise/06_-_June/28/RC_NV_1976-06-28_Bhavans_Journal-2_Innocent_etc.mp3</t>
  </si>
  <si>
    <t>RC_NV_1976-06-28_Bhavans_Journal-3_Go_to_the_Real_Guru.mp3</t>
  </si>
  <si>
    <t>https://audio.iskcondesiretree.com/01_-_Srila_Prabhupada/01_-_Lectures/01_-_English/02_-_Month_wise/06_-_June/28/RC_NV_1976-06-28_Bhavans_Journal-3_Go_to_the_Real_Guru.mp3</t>
  </si>
  <si>
    <t>RC_NV_1976-06-28_Bhavans_Journal-4_Sanctity_for_the_Sinful.mp3</t>
  </si>
  <si>
    <t>https://audio.iskcondesiretree.com/01_-_Srila_Prabhupada/01_-_Lectures/01_-_English/02_-_Month_wise/06_-_June/28/RC_NV_1976-06-28_Bhavans_Journal-4_Sanctity_for_the_Sinful.mp3</t>
  </si>
  <si>
    <t>RC_NV_1976-06-28_Bhavans_Journal-5_What_Is_the_Sign_etc.mp3</t>
  </si>
  <si>
    <t>https://audio.iskcondesiretree.com/01_-_Srila_Prabhupada/01_-_Lectures/01_-_English/02_-_Month_wise/06_-_June/28/RC_NV_1976-06-28_Bhavans_Journal-5_What_Is_the_Sign_etc.mp3</t>
  </si>
  <si>
    <t>SB-07-06-14_1976-06-28_SB-NEW%20VRINDAVAN.MP3</t>
  </si>
  <si>
    <t>https://audio.iskcondesiretree.com/01_-_Srila_Prabhupada/01_-_Lectures/01_-_English/02_-_Month_wise/06_-_June/28/SB-07-06-14_1976-06-28_SB-NEW%20VRINDAVAN.MP3</t>
  </si>
  <si>
    <t>SB_7-06-14_NV_1976-06-28_The_Problem_of_Family_and_Belly.mp3</t>
  </si>
  <si>
    <t>https://audio.iskcondesiretree.com/01_-_Srila_Prabhupada/01_-_Lectures/01_-_English/02_-_Month_wise/06_-_June/28/SB_7-06-14_NV_1976-06-28_The_Problem_of_Family_and_Belly.mp3</t>
  </si>
  <si>
    <t>SP_SB_7-06-15_New_Vrindavan_1976-06-29_The_Problem_of_Family_and_Belly.mp3</t>
  </si>
  <si>
    <t>https://audio.iskcondesiretree.com/01_-_Srila_Prabhupada/01_-_Lectures/01_-_English/01_-_Topic_wise/Srimad_Bhagavatam/Canto-07/SP_SB_7-06-15_New_Vrindavan_1976-06-29_The_Problem_of_Family_and_Belly.mp3</t>
  </si>
  <si>
    <t>BhavanJournalQuestionnaire-01_1976-06-29_BJ-NEW%20VRINDAVAN.MP3</t>
  </si>
  <si>
    <t>https://audio.iskcondesiretree.com/01_-_Srila_Prabhupada/01_-_Lectures/01_-_English/02_-_Month_wise/06_-_June/29/BhavanJournalQuestionnaire-01_1976-06-29_BJ-NEW%20VRINDAVAN.MP3</t>
  </si>
  <si>
    <t>Conv_1976-06-29_R1-NEW%20VRINDAVAN.MP3</t>
  </si>
  <si>
    <t>https://audio.iskcondesiretree.com/01_-_Srila_Prabhupada/01_-_Lectures/01_-_English/02_-_Month_wise/06_-_June/29/Conv_1976-06-29_R1-NEW%20VRINDAVAN.MP3</t>
  </si>
  <si>
    <t>SB-07-06-15_1976-06-29_SB-NEW%20VRINDAVAN.MP3</t>
  </si>
  <si>
    <t>https://audio.iskcondesiretree.com/01_-_Srila_Prabhupada/01_-_Lectures/01_-_English/02_-_Month_wise/06_-_June/29/SB-07-06-15_1976-06-29_SB-NEW%20VRINDAVAN.MP3</t>
  </si>
  <si>
    <t>SB_7-06-15_NV_1976-06-29_The_Problem_of_Family_and_Belly.mp3</t>
  </si>
  <si>
    <t>https://audio.iskcondesiretree.com/01_-_Srila_Prabhupada/01_-_Lectures/01_-_English/02_-_Month_wise/06_-_June/29/SB_7-06-15_NV_1976-06-29_The_Problem_of_Family_and_Belly.mp3</t>
  </si>
  <si>
    <t>SP_SB_7-06-16_New_Vrindavan_1976-06-30_Material_Entrapment.mp3</t>
  </si>
  <si>
    <t>https://audio.iskcondesiretree.com/01_-_Srila_Prabhupada/01_-_Lectures/01_-_English/01_-_Topic_wise/Srimad_Bhagavatam/Canto-07/SP_SB_7-06-16_New_Vrindavan_1976-06-30_Material_Entrapment.mp3</t>
  </si>
  <si>
    <t>BhavanJournalQuestionnaire-02_1976-06-30_BJ-NEW%20VRINDAVAN.MP3</t>
  </si>
  <si>
    <t>https://audio.iskcondesiretree.com/01_-_Srila_Prabhupada/01_-_Lectures/01_-_English/02_-_Month_wise/06_-_June/30/BhavanJournalQuestionnaire-02_1976-06-30_BJ-NEW%20VRINDAVAN.MP3</t>
  </si>
  <si>
    <t>Interview_1976-06-30_IV-WHEELING.MP3</t>
  </si>
  <si>
    <t>https://audio.iskcondesiretree.com/01_-_Srila_Prabhupada/01_-_Lectures/01_-_English/02_-_Month_wise/06_-_June/30/Interview_1976-06-30_IV-WHEELING.MP3</t>
  </si>
  <si>
    <t>SB-07-06-16_1976-06-30_SB-NEW%20VRINDAVAN.MP3</t>
  </si>
  <si>
    <t>https://audio.iskcondesiretree.com/01_-_Srila_Prabhupada/01_-_Lectures/01_-_English/02_-_Month_wise/06_-_June/30/SB-07-06-16_1976-06-30_SB-NEW%20VRINDAVAN.MP3</t>
  </si>
  <si>
    <t>SB_7-06-16_NV_1976-06-30_Material_Entrapment.mp3</t>
  </si>
  <si>
    <t>https://audio.iskcondesiretree.com/01_-_Srila_Prabhupada/01_-_Lectures/01_-_English/02_-_Month_wise/06_-_June/30/SB_7-06-16_NV_1976-06-30_Material_Entrapment.mp3</t>
  </si>
  <si>
    <t>SP_Room_Conversation_New_Vrindavan_1976-07-01_Religious_or_Wretched.mp3</t>
  </si>
  <si>
    <t>https://audio.iskcondesiretree.com/01_-_Srila_Prabhupada/01_-_Lectures/01_-_English/01_-_Topic_wise/Room_Conversation/SP_Room_Conversation_New_Vrindavan_1976-07-01_Religious_or_Wretched.mp3</t>
  </si>
  <si>
    <t>SP_SB_7-06-17_New_Vrindavan_1976-07-01_Material_Entrapment.mp3</t>
  </si>
  <si>
    <t>https://audio.iskcondesiretree.com/01_-_Srila_Prabhupada/01_-_Lectures/01_-_English/01_-_Topic_wise/Srimad_Bhagavatam/Canto-07/SP_SB_7-06-17_New_Vrindavan_1976-07-01_Material_Entrapment.mp3</t>
  </si>
  <si>
    <t>BhavanJournalQuestionnaire-03_1976-07-01_BJ-NEW%20VRINDAVAN.MP3</t>
  </si>
  <si>
    <t>https://audio.iskcondesiretree.com/01_-_Srila_Prabhupada/01_-_Lectures/01_-_English/02_-_Month_wise/07_-_July/01/BhavanJournalQuestionnaire-03_1976-07-01_BJ-NEW%20VRINDAVAN.MP3</t>
  </si>
  <si>
    <t>Conv_1976-07-01_R1-NEW%20VRINDAVAN.MP3</t>
  </si>
  <si>
    <t>https://audio.iskcondesiretree.com/01_-_Srila_Prabhupada/01_-_Lectures/01_-_English/02_-_Month_wise/07_-_July/01/Conv_1976-07-01_R1-NEW%20VRINDAVAN.MP3</t>
  </si>
  <si>
    <t>RC_NV_1976-07-01_Religious_or_Wretched.mp3</t>
  </si>
  <si>
    <t>https://audio.iskcondesiretree.com/01_-_Srila_Prabhupada/01_-_Lectures/01_-_English/02_-_Month_wise/07_-_July/01/RC_NV_1976-07-01_Religious_or_Wretched.mp3</t>
  </si>
  <si>
    <t>SB-07-06-17%E2%80%9318_1976-07-01_SB-NEW%20VRINDAVAN.MP3</t>
  </si>
  <si>
    <t>https://audio.iskcondesiretree.com/01_-_Srila_Prabhupada/01_-_Lectures/01_-_English/02_-_Month_wise/07_-_July/01/SB-07-06-17%E2%80%9318_1976-07-01_SB-NEW%20VRINDAVAN.MP3</t>
  </si>
  <si>
    <t>SB_7-06-17_NV_1976-07-01_Material_Entrapment.mp3</t>
  </si>
  <si>
    <t>https://audio.iskcondesiretree.com/01_-_Srila_Prabhupada/01_-_Lectures/01_-_English/02_-_Month_wise/07_-_July/01/SB_7-06-17_NV_1976-07-01_Material_Entrapment.mp3</t>
  </si>
  <si>
    <t>SP_Room_Conversation_Washington_DC_1976-07-02_Prabhupada_Respecting_Prasadam--We--etc.mp3</t>
  </si>
  <si>
    <t>https://audio.iskcondesiretree.com/01_-_Srila_Prabhupada/01_-_Lectures/01_-_English/01_-_Topic_wise/Room_Conversation/SP_Room_Conversation_Washington_DC_1976-07-02_Prabhupada_Respecting_Prasadam--We--etc.mp3</t>
  </si>
  <si>
    <t>SP_SB_7-06-19_New_Vrindavan_1976-07-02_Material_Service_-_Nobody--etc.mp3</t>
  </si>
  <si>
    <t>https://audio.iskcondesiretree.com/01_-_Srila_Prabhupada/01_-_Lectures/01_-_English/01_-_Topic_wise/Srimad_Bhagavatam/Canto-07/SP_SB_7-06-19_New_Vrindavan_1976-07-02_Material_Service_-_Nobody--etc.mp3</t>
  </si>
  <si>
    <t>Arrival_1976-07-02_AR-WASHINGTON%20DC.MP3</t>
  </si>
  <si>
    <t>https://audio.iskcondesiretree.com/01_-_Srila_Prabhupada/01_-_Lectures/01_-_English/02_-_Month_wise/07_-_July/02/Arrival_1976-07-02_AR-WASHINGTON%20DC.MP3</t>
  </si>
  <si>
    <t>Conv_1976-07-02_R1-NEW%20VRINDAVAN.MP3</t>
  </si>
  <si>
    <t>https://audio.iskcondesiretree.com/01_-_Srila_Prabhupada/01_-_Lectures/01_-_English/02_-_Month_wise/07_-_July/02/Conv_1976-07-02_R1-NEW%20VRINDAVAN.MP3</t>
  </si>
  <si>
    <t>RC_WDC_1976-07-02_Prabhupada_Respecting_Prasadam_We_etc.mp3</t>
  </si>
  <si>
    <t>https://audio.iskcondesiretree.com/01_-_Srila_Prabhupada/01_-_Lectures/01_-_English/02_-_Month_wise/07_-_July/02/RC_WDC_1976-07-02_Prabhupada_Respecting_Prasadam_We_etc.mp3</t>
  </si>
  <si>
    <t>SB-07-06-19_1976-07-02_SB-NEW%20VRINDAVAN.MP3</t>
  </si>
  <si>
    <t>https://audio.iskcondesiretree.com/01_-_Srila_Prabhupada/01_-_Lectures/01_-_English/02_-_Month_wise/07_-_July/02/SB-07-06-19_1976-07-02_SB-NEW%20VRINDAVAN.MP3</t>
  </si>
  <si>
    <t>SB_7-06-19_NV_1976-07-02_Material_Service_Nobody_etc.mp3</t>
  </si>
  <si>
    <t>https://audio.iskcondesiretree.com/01_-_Srila_Prabhupada/01_-_Lectures/01_-_English/02_-_Month_wise/07_-_July/02/SB_7-06-19_NV_1976-07-02_Material_Service_Nobody_etc.mp3</t>
  </si>
  <si>
    <t>Conv_1976-07-03_R1-WASHINGTON%20DC.MP3</t>
  </si>
  <si>
    <t>https://audio.iskcondesiretree.com/01_-_Srila_Prabhupada/01_-_Lectures/01_-_English/02_-_Month_wise/07_-_July/03/Conv_1976-07-03_R1-WASHINGTON%20DC.MP3</t>
  </si>
  <si>
    <t>LifeComesFromLife_1976-07-03_SS-WASHINGTON%20DC.MP3</t>
  </si>
  <si>
    <t>https://audio.iskcondesiretree.com/01_-_Srila_Prabhupada/01_-_Lectures/01_-_English/02_-_Month_wise/07_-_July/03/LifeComesFromLife_1976-07-03_SS-WASHINGTON%20DC.MP3</t>
  </si>
  <si>
    <t>SB-07-06-20%E2%80%9323_1976-07-03_SB-WASHINGTON%20DC.MP3</t>
  </si>
  <si>
    <t>https://audio.iskcondesiretree.com/01_-_Srila_Prabhupada/01_-_Lectures/01_-_English/02_-_Month_wise/07_-_July/03/SB-07-06-20%E2%80%9323_1976-07-03_SB-WASHINGTON%20DC.MP3</t>
  </si>
  <si>
    <t>Walk_1976-07-03_MW-WASHINGTON%20DC.MP3</t>
  </si>
  <si>
    <t>https://audio.iskcondesiretree.com/01_-_Srila_Prabhupada/01_-_Lectures/01_-_English/02_-_Month_wise/07_-_July/03/Walk_1976-07-03_MW-WASHINGTON%20DC.MP3</t>
  </si>
  <si>
    <t>SP_CC_M_20-098_Washington-DC_1976-07-04_Big_Boon_for_a_Bad_Bunch.mp3</t>
  </si>
  <si>
    <t>https://audio.iskcondesiretree.com/01_-_Srila_Prabhupada/01_-_Lectures/01_-_English/01_-_Topic_wise/Chaitanya_Charitamrita/Madhya_Lila/SP_CC_M_20-098_Washington-DC_1976-07-04_Big_Boon_for_a_Bad_Bunch.mp3</t>
  </si>
  <si>
    <t>Cc_M_20-098_WDC_1976-07-04_Big_Boon_for_a_Bad_Bunch.mp3</t>
  </si>
  <si>
    <t>https://audio.iskcondesiretree.com/01_-_Srila_Prabhupada/01_-_Lectures/01_-_English/02_-_Month_wise/07_-_July/04/Cc_M_20-098_WDC_1976-07-04_Big_Boon_for_a_Bad_Bunch.mp3</t>
  </si>
  <si>
    <t>CcMadhya-20-098%E2%80%93099_1976-07-04_CC-WASHINGTON%20DC.MP3</t>
  </si>
  <si>
    <t>https://audio.iskcondesiretree.com/01_-_Srila_Prabhupada/01_-_Lectures/01_-_English/02_-_Month_wise/07_-_July/04/CcMadhya-20-098%E2%80%93099_1976-07-04_CC-WASHINGTON%20DC.MP3</t>
  </si>
  <si>
    <t>Conv_1976-07-04_R1-WASHINGTON%20DC.MP3</t>
  </si>
  <si>
    <t>https://audio.iskcondesiretree.com/01_-_Srila_Prabhupada/01_-_Lectures/01_-_English/02_-_Month_wise/07_-_July/04/Conv_1976-07-04_R1-WASHINGTON%20DC.MP3</t>
  </si>
  <si>
    <t>LifeComesFromLife_1976-07-04_SS-WASHINGTON%20DC.MP3</t>
  </si>
  <si>
    <t>https://audio.iskcondesiretree.com/01_-_Srila_Prabhupada/01_-_Lectures/01_-_English/02_-_Month_wise/07_-_July/04/LifeComesFromLife_1976-07-04_SS-WASHINGTON%20DC.MP3</t>
  </si>
  <si>
    <t>Walk_1976-07-04_MW-WASHINGTON%20DC.MP3</t>
  </si>
  <si>
    <t>https://audio.iskcondesiretree.com/01_-_Srila_Prabhupada/01_-_Lectures/01_-_English/02_-_Month_wise/07_-_July/04/Walk_1976-07-04_MW-WASHINGTON%20DC.MP3</t>
  </si>
  <si>
    <t>SP_CC_M_20-100_Washington-DC_1976-07-05_Material_Masters--You_Can%27t_Satisfy.mp3</t>
  </si>
  <si>
    <t>https://audio.iskcondesiretree.com/01_-_Srila_Prabhupada/01_-_Lectures/01_-_English/01_-_Topic_wise/Chaitanya_Charitamrita/Madhya_Lila/SP_CC_M_20-100_Washington-DC_1976-07-05_Material_Masters--You_Can%27t_Satisfy.mp3</t>
  </si>
  <si>
    <t>SP_Morning_Walk_-_Washington_DC_1976-07-05_Bengalis--Spoiled_by_Vivekananda.mp3</t>
  </si>
  <si>
    <t>https://audio.iskcondesiretree.com/01_-_Srila_Prabhupada/01_-_Lectures/01_-_English/01_-_Topic_wise/Morning_Walk/SP_Morning_Walk_-_Washington_DC_1976-07-05_Bengalis--Spoiled_by_Vivekananda.mp3</t>
  </si>
  <si>
    <t>SP_Room_Conversation_Washington_DC_1976-07-05_Prof--Righteous-Roguish.mp3</t>
  </si>
  <si>
    <t>https://audio.iskcondesiretree.com/01_-_Srila_Prabhupada/01_-_Lectures/01_-_English/01_-_Topic_wise/Room_Conversation/SP_Room_Conversation_Washington_DC_1976-07-05_Prof--Righteous-Roguish.mp3</t>
  </si>
  <si>
    <t>Cc_M_20-100_WDC_1976-07-05_Material_Masters-You_Can%27t_Satisfy.mp3</t>
  </si>
  <si>
    <t>https://audio.iskcondesiretree.com/01_-_Srila_Prabhupada/01_-_Lectures/01_-_English/02_-_Month_wise/07_-_July/05/Cc_M_20-100_WDC_1976-07-05_Material_Masters-You_Can%27t_Satisfy.mp3</t>
  </si>
  <si>
    <t>CcMadhya-20-100_1976-07-05_CC-WASHINGTON%20DC.MP3</t>
  </si>
  <si>
    <t>https://audio.iskcondesiretree.com/01_-_Srila_Prabhupada/01_-_Lectures/01_-_English/02_-_Month_wise/07_-_July/05/CcMadhya-20-100_1976-07-05_CC-WASHINGTON%20DC.MP3</t>
  </si>
  <si>
    <t>Conv_1976-07-05_R1-WASHINGTON%20DC.MP3</t>
  </si>
  <si>
    <t>https://audio.iskcondesiretree.com/01_-_Srila_Prabhupada/01_-_Lectures/01_-_English/02_-_Month_wise/07_-_July/05/Conv_1976-07-05_R1-WASHINGTON%20DC.MP3</t>
  </si>
  <si>
    <t>Conv_1976-07-05_R2-WASHINGTON%20DC.MP3</t>
  </si>
  <si>
    <t>https://audio.iskcondesiretree.com/01_-_Srila_Prabhupada/01_-_Lectures/01_-_English/02_-_Month_wise/07_-_July/05/Conv_1976-07-05_R2-WASHINGTON%20DC.MP3</t>
  </si>
  <si>
    <t>Conv_1976-07-05_R3-WASHINGTON%20DC.MP3</t>
  </si>
  <si>
    <t>https://audio.iskcondesiretree.com/01_-_Srila_Prabhupada/01_-_Lectures/01_-_English/02_-_Month_wise/07_-_July/05/Conv_1976-07-05_R3-WASHINGTON%20DC.MP3</t>
  </si>
  <si>
    <t>Conv_1976-07-05_R4-WASHINGTON%20DC.MP3</t>
  </si>
  <si>
    <t>https://audio.iskcondesiretree.com/01_-_Srila_Prabhupada/01_-_Lectures/01_-_English/02_-_Month_wise/07_-_July/05/Conv_1976-07-05_R4-WASHINGTON%20DC.MP3</t>
  </si>
  <si>
    <t>MW_WDC_1976-07-05_Bengalis--Spoiled_by_Vivekananda.mp3</t>
  </si>
  <si>
    <t>https://audio.iskcondesiretree.com/01_-_Srila_Prabhupada/01_-_Lectures/01_-_English/02_-_Month_wise/07_-_July/05/MW_WDC_1976-07-05_Bengalis--Spoiled_by_Vivekananda.mp3</t>
  </si>
  <si>
    <t>RC_WDC_1976-07-05_Prof-Righteous-Roguish.mp3</t>
  </si>
  <si>
    <t>https://audio.iskcondesiretree.com/01_-_Srila_Prabhupada/01_-_Lectures/01_-_English/02_-_Month_wise/07_-_July/05/RC_WDC_1976-07-05_Prof-Righteous-Roguish.mp3</t>
  </si>
  <si>
    <t>Walk_1976-07-05_MW-WASHINGTON%20DC.MP3</t>
  </si>
  <si>
    <t>https://audio.iskcondesiretree.com/01_-_Srila_Prabhupada/01_-_Lectures/01_-_English/02_-_Month_wise/07_-_July/05/Walk_1976-07-05_MW-WASHINGTON%20DC.MP3</t>
  </si>
  <si>
    <t>SP_Room_Conversation_Washington_DC_1976-07-06_Svarupa_Damodar--Matter_and_the_Glance_of_God.mp3</t>
  </si>
  <si>
    <t>https://audio.iskcondesiretree.com/01_-_Srila_Prabhupada/01_-_Lectures/01_-_English/01_-_Topic_wise/Room_Conversation/SP_Room_Conversation_Washington_DC_1976-07-06_Svarupa_Damodar--Matter_and_the_Glance_of_God.mp3</t>
  </si>
  <si>
    <t>SP_Lecture_Washington_DC_1976-07-06_At_10th_Anniversary_of_ISKCON--etc.mp3</t>
  </si>
  <si>
    <t>https://audio.iskcondesiretree.com/01_-_Srila_Prabhupada/01_-_Lectures/01_-_English/01_-_Topic_wise/Various/SP_Lecture_Washington_DC_1976-07-06_At_10th_Anniversary_of_ISKCON--etc.mp3</t>
  </si>
  <si>
    <t>Address_1976-07-06_AD-WASHINGTON%20DC.MP3</t>
  </si>
  <si>
    <t>https://audio.iskcondesiretree.com/01_-_Srila_Prabhupada/01_-_Lectures/01_-_English/02_-_Month_wise/07_-_July/06/Address_1976-07-06_AD-WASHINGTON%20DC.MP3</t>
  </si>
  <si>
    <t>CcMadhya-20-101_1976-07-06_CC-WASHINGTON%20DC.MP3</t>
  </si>
  <si>
    <t>https://audio.iskcondesiretree.com/01_-_Srila_Prabhupada/01_-_Lectures/01_-_English/02_-_Month_wise/07_-_July/06/CcMadhya-20-101_1976-07-06_CC-WASHINGTON%20DC.MP3</t>
  </si>
  <si>
    <t>Conv_1976-07-06_R1-WASHINGTON%20DC.MP3</t>
  </si>
  <si>
    <t>https://audio.iskcondesiretree.com/01_-_Srila_Prabhupada/01_-_Lectures/01_-_English/02_-_Month_wise/07_-_July/06/Conv_1976-07-06_R1-WASHINGTON%20DC.MP3</t>
  </si>
  <si>
    <t>Conv_1976-07-06_R2-WASHINGTON%20DC.MP3</t>
  </si>
  <si>
    <t>https://audio.iskcondesiretree.com/01_-_Srila_Prabhupada/01_-_Lectures/01_-_English/02_-_Month_wise/07_-_July/06/Conv_1976-07-06_R2-WASHINGTON%20DC.MP3</t>
  </si>
  <si>
    <t>Conv_1976-07-06_R3-WASHINGTON%20DC.MP3</t>
  </si>
  <si>
    <t>https://audio.iskcondesiretree.com/01_-_Srila_Prabhupada/01_-_Lectures/01_-_English/02_-_Month_wise/07_-_July/06/Conv_1976-07-06_R3-WASHINGTON%20DC.MP3</t>
  </si>
  <si>
    <t>Conv_1976-07-06_R4-WASHINGTON%20DC.MP3</t>
  </si>
  <si>
    <t>https://audio.iskcondesiretree.com/01_-_Srila_Prabhupada/01_-_Lectures/01_-_English/02_-_Month_wise/07_-_July/06/Conv_1976-07-06_R4-WASHINGTON%20DC.MP3</t>
  </si>
  <si>
    <t>Darshan_1976-07-06_ED-WASHINGTON%20DC.MP3</t>
  </si>
  <si>
    <t>https://audio.iskcondesiretree.com/01_-_Srila_Prabhupada/01_-_Lectures/01_-_English/02_-_Month_wise/07_-_July/06/Darshan_1976-07-06_ED-WASHINGTON%20DC.MP3</t>
  </si>
  <si>
    <t>Lect_WDC_1976-07-06_At_10th_Anniversary_of_ISKCON_etc.mp3</t>
  </si>
  <si>
    <t>https://audio.iskcondesiretree.com/01_-_Srila_Prabhupada/01_-_Lectures/01_-_English/02_-_Month_wise/07_-_July/06/Lect_WDC_1976-07-06_At_10th_Anniversary_of_ISKCON_etc.mp3</t>
  </si>
  <si>
    <t>RC_WDC_1976-07-06_Svarupa_Damodar-Matter_and_the_Glance_of_God.mp3</t>
  </si>
  <si>
    <t>https://audio.iskcondesiretree.com/01_-_Srila_Prabhupada/01_-_Lectures/01_-_English/02_-_Month_wise/07_-_July/06/RC_WDC_1976-07-06_Svarupa_Damodar-Matter_and_the_Glance_of_God.mp3</t>
  </si>
  <si>
    <t>SP_CC_M_20-102_Washington-DC_1976-07-07_Nobody_Is_Fit--Nobody_Survives.mp3</t>
  </si>
  <si>
    <t>https://audio.iskcondesiretree.com/01_-_Srila_Prabhupada/01_-_Lectures/01_-_English/01_-_Topic_wise/Chaitanya_Charitamrita/Madhya_Lila/SP_CC_M_20-102_Washington-DC_1976-07-07_Nobody_Is_Fit--Nobody_Survives.mp3</t>
  </si>
  <si>
    <t>SP_Room_Conversation_Washington_DC_1976-07-07_From_Mental_Speculator_to_Mahatma.mp3</t>
  </si>
  <si>
    <t>https://audio.iskcondesiretree.com/01_-_Srila_Prabhupada/01_-_Lectures/01_-_English/01_-_Topic_wise/Room_Conversation/SP_Room_Conversation_Washington_DC_1976-07-07_From_Mental_Speculator_to_Mahatma.mp3</t>
  </si>
  <si>
    <t>SP_Room_Conversation_Washington_DC_1976-07-07_Prof--Rascals_Know_Everything_Except_God.mp3</t>
  </si>
  <si>
    <t>https://audio.iskcondesiretree.com/01_-_Srila_Prabhupada/01_-_Lectures/01_-_English/01_-_Topic_wise/Room_Conversation/SP_Room_Conversation_Washington_DC_1976-07-07_Prof--Rascals_Know_Everything_Except_God.mp3</t>
  </si>
  <si>
    <t>SP_Room_Conversation_Washington_DC_1976-07-07_Scientists--Two_Grains_of_Sand_on--etc.mp3</t>
  </si>
  <si>
    <t>https://audio.iskcondesiretree.com/01_-_Srila_Prabhupada/01_-_Lectures/01_-_English/01_-_Topic_wise/Room_Conversation/SP_Room_Conversation_Washington_DC_1976-07-07_Scientists--Two_Grains_of_Sand_on--etc.mp3</t>
  </si>
  <si>
    <t>Cc_M_20-102_WDC_1976-07-07_Nobody_Is_Fit-Nobody_Survives.mp3</t>
  </si>
  <si>
    <t>https://audio.iskcondesiretree.com/01_-_Srila_Prabhupada/01_-_Lectures/01_-_English/02_-_Month_wise/07_-_July/07/Cc_M_20-102_WDC_1976-07-07_Nobody_Is_Fit-Nobody_Survives.mp3</t>
  </si>
  <si>
    <t>CcMadhya-20-102_1976-07-07_CC-BALTIMORE.MP3</t>
  </si>
  <si>
    <t>https://audio.iskcondesiretree.com/01_-_Srila_Prabhupada/01_-_Lectures/01_-_English/02_-_Month_wise/07_-_July/07/CcMadhya-20-102_1976-07-07_CC-BALTIMORE.MP3</t>
  </si>
  <si>
    <t>Conv_1976-07-07_R1-BALTIMORE.MP3</t>
  </si>
  <si>
    <t>https://audio.iskcondesiretree.com/01_-_Srila_Prabhupada/01_-_Lectures/01_-_English/02_-_Month_wise/07_-_July/07/Conv_1976-07-07_R1-BALTIMORE.MP3</t>
  </si>
  <si>
    <t>Conv_1976-07-07_R2-BALTIMORE.MP3</t>
  </si>
  <si>
    <t>https://audio.iskcondesiretree.com/01_-_Srila_Prabhupada/01_-_Lectures/01_-_English/02_-_Month_wise/07_-_July/07/Conv_1976-07-07_R2-BALTIMORE.MP3</t>
  </si>
  <si>
    <t>Darshan_1976-07-07_ED-WASHINGTON%20DC.MP3</t>
  </si>
  <si>
    <t>https://audio.iskcondesiretree.com/01_-_Srila_Prabhupada/01_-_Lectures/01_-_English/02_-_Month_wise/07_-_July/07/Darshan_1976-07-07_ED-WASHINGTON%20DC.MP3</t>
  </si>
  <si>
    <t>RC_WDC_1976-07-07_From_Mental_Speculator_to_Mahatma.mp3</t>
  </si>
  <si>
    <t>https://audio.iskcondesiretree.com/01_-_Srila_Prabhupada/01_-_Lectures/01_-_English/02_-_Month_wise/07_-_July/07/RC_WDC_1976-07-07_From_Mental_Speculator_to_Mahatma.mp3</t>
  </si>
  <si>
    <t>RC_WDC_1976-07-07_Prof--Rascals_Know_Everything_Except_God.mp3</t>
  </si>
  <si>
    <t>https://audio.iskcondesiretree.com/01_-_Srila_Prabhupada/01_-_Lectures/01_-_English/02_-_Month_wise/07_-_July/07/RC_WDC_1976-07-07_Prof--Rascals_Know_Everything_Except_God.mp3</t>
  </si>
  <si>
    <t>RC_WDC_1976-07-07_Scientists--Two_Grains_of_Sand_on_etc.mp3</t>
  </si>
  <si>
    <t>https://audio.iskcondesiretree.com/01_-_Srila_Prabhupada/01_-_Lectures/01_-_English/02_-_Month_wise/07_-_July/07/RC_WDC_1976-07-07_Scientists--Two_Grains_of_Sand_on_etc.mp3</t>
  </si>
  <si>
    <t>SP_CC_M_20-103_Washington-DC_1976-07-08_Survival_of_the_Fittest.mp3</t>
  </si>
  <si>
    <t>https://audio.iskcondesiretree.com/01_-_Srila_Prabhupada/01_-_Lectures/01_-_English/01_-_Topic_wise/Chaitanya_Charitamrita/Madhya_Lila/SP_CC_M_20-103_Washington-DC_1976-07-08_Survival_of_the_Fittest.mp3</t>
  </si>
  <si>
    <t>SP_Room_Conversation_Washington_DC_1976-07-08_Government_of_the_Rascals_by_the_Rascals.mp3</t>
  </si>
  <si>
    <t>https://audio.iskcondesiretree.com/01_-_Srila_Prabhupada/01_-_Lectures/01_-_English/01_-_Topic_wise/Room_Conversation/SP_Room_Conversation_Washington_DC_1976-07-08_Government_of_the_Rascals_by_the_Rascals.mp3</t>
  </si>
  <si>
    <t>SP_Room_Conversation_Washington_DC_1976-07-08_S_Damodar--Life_Comes_By_the--etc.mp3</t>
  </si>
  <si>
    <t>https://audio.iskcondesiretree.com/01_-_Srila_Prabhupada/01_-_Lectures/01_-_English/01_-_Topic_wise/Room_Conversation/SP_Room_Conversation_Washington_DC_1976-07-08_S_Damodar--Life_Comes_By_the--etc.mp3</t>
  </si>
  <si>
    <t>Cc_M_20-103_WDC_1976-07-08_Survival_of_the_Fittest.mp3</t>
  </si>
  <si>
    <t>https://audio.iskcondesiretree.com/01_-_Srila_Prabhupada/01_-_Lectures/01_-_English/02_-_Month_wise/07_-_July/08/Cc_M_20-103_WDC_1976-07-08_Survival_of_the_Fittest.mp3</t>
  </si>
  <si>
    <t>CcMadhya-20-103_1976-07-08_CC-WASHINGTON%20DC.MP3</t>
  </si>
  <si>
    <t>https://audio.iskcondesiretree.com/01_-_Srila_Prabhupada/01_-_Lectures/01_-_English/02_-_Month_wise/07_-_July/08/CcMadhya-20-103_1976-07-08_CC-WASHINGTON%20DC.MP3</t>
  </si>
  <si>
    <t>Conv_1976-07-08_R1-WASHINGTON%20DC.MP3</t>
  </si>
  <si>
    <t>https://audio.iskcondesiretree.com/01_-_Srila_Prabhupada/01_-_Lectures/01_-_English/02_-_Month_wise/07_-_July/08/Conv_1976-07-08_R1-WASHINGTON%20DC.MP3</t>
  </si>
  <si>
    <t>Conv_1976-07-08_R2-WASHINGTON%20DC.MP3</t>
  </si>
  <si>
    <t>https://audio.iskcondesiretree.com/01_-_Srila_Prabhupada/01_-_Lectures/01_-_English/02_-_Month_wise/07_-_July/08/Conv_1976-07-08_R2-WASHINGTON%20DC.MP3</t>
  </si>
  <si>
    <t>Darshan_1976-07-08_ED-WASHINGTON%20DC.MP3</t>
  </si>
  <si>
    <t>https://audio.iskcondesiretree.com/01_-_Srila_Prabhupada/01_-_Lectures/01_-_English/02_-_Month_wise/07_-_July/08/Darshan_1976-07-08_ED-WASHINGTON%20DC.MP3</t>
  </si>
  <si>
    <t>Interview_1976-07-08_IV-WASHINGTON%20DC.MP3</t>
  </si>
  <si>
    <t>https://audio.iskcondesiretree.com/01_-_Srila_Prabhupada/01_-_Lectures/01_-_English/02_-_Month_wise/07_-_July/08/Interview_1976-07-08_IV-WASHINGTON%20DC.MP3</t>
  </si>
  <si>
    <t>RC_WDC_1976-07-08_Government_of_the_Rascals_by_the_Rascals.mp3</t>
  </si>
  <si>
    <t>https://audio.iskcondesiretree.com/01_-_Srila_Prabhupada/01_-_Lectures/01_-_English/02_-_Month_wise/07_-_July/08/RC_WDC_1976-07-08_Government_of_the_Rascals_by_the_Rascals.mp3</t>
  </si>
  <si>
    <t>RC_WDC_1976-07-08_S._Damodar_Life_Comes_By_the_etc.mp3</t>
  </si>
  <si>
    <t>https://audio.iskcondesiretree.com/01_-_Srila_Prabhupada/01_-_Lectures/01_-_English/02_-_Month_wise/07_-_July/08/RC_WDC_1976-07-08_S._Damodar_Life_Comes_By_the_etc.mp3</t>
  </si>
  <si>
    <t>Arrival_1976-07-09_AD-NEW%20YORK.MP3</t>
  </si>
  <si>
    <t>https://audio.iskcondesiretree.com/01_-_Srila_Prabhupada/01_-_Lectures/01_-_English/02_-_Month_wise/07_-_July/09/Arrival_1976-07-09_AD-NEW%20YORK.MP3</t>
  </si>
  <si>
    <t>Arrival_1976-07-09_AR-NEW%20YORK.MP3</t>
  </si>
  <si>
    <t>https://audio.iskcondesiretree.com/01_-_Srila_Prabhupada/01_-_Lectures/01_-_English/02_-_Month_wise/07_-_July/09/Arrival_1976-07-09_AR-NEW%20YORK.MP3</t>
  </si>
  <si>
    <t>Conv_1976-07-09_R1-NEW%20YORK.MP3</t>
  </si>
  <si>
    <t>https://audio.iskcondesiretree.com/01_-_Srila_Prabhupada/01_-_Lectures/01_-_English/02_-_Month_wise/07_-_July/09/Conv_1976-07-09_R1-NEW%20YORK.MP3</t>
  </si>
  <si>
    <t>Walk_1976-07-09_MW-WASHINGTON%20DC.MP3</t>
  </si>
  <si>
    <t>https://audio.iskcondesiretree.com/01_-_Srila_Prabhupada/01_-_Lectures/01_-_English/02_-_Month_wise/07_-_July/09/Walk_1976-07-09_MW-WASHINGTON%20DC.MP3</t>
  </si>
  <si>
    <t>CcMadhya-20-104_1976-07-10_CC-NEW%20YORK.MP3</t>
  </si>
  <si>
    <t>https://audio.iskcondesiretree.com/01_-_Srila_Prabhupada/01_-_Lectures/01_-_English/02_-_Month_wise/07_-_July/10/CcMadhya-20-104_1976-07-10_CC-NEW%20YORK.MP3</t>
  </si>
  <si>
    <t>Conv_1976-07-10_R1-NEW%20YORK.MP3</t>
  </si>
  <si>
    <t>https://audio.iskcondesiretree.com/01_-_Srila_Prabhupada/01_-_Lectures/01_-_English/02_-_Month_wise/07_-_July/10/Conv_1976-07-10_R1-NEW%20YORK.MP3</t>
  </si>
  <si>
    <t>Walk_1976-07-10_MW-NEW%20YORK.MP3</t>
  </si>
  <si>
    <t>https://audio.iskcondesiretree.com/01_-_Srila_Prabhupada/01_-_Lectures/01_-_English/02_-_Month_wise/07_-_July/10/Walk_1976-07-10_MW-NEW%20YORK.MP3</t>
  </si>
  <si>
    <t>SP_CC_M_20-105_New_York_1976-07-11_Approach_the_Spiritual--etc.mp3</t>
  </si>
  <si>
    <t>https://audio.iskcondesiretree.com/01_-_Srila_Prabhupada/01_-_Lectures/01_-_English/01_-_Topic_wise/Chaitanya_Charitamrita/Madhya_Lila/SP_CC_M_20-105_New_York_1976-07-11_Approach_the_Spiritual--etc.mp3</t>
  </si>
  <si>
    <t>SP_Room_Conversation_New_York_1976-07-11_Animal_Killers_Will_Never_Understand_God.mp3</t>
  </si>
  <si>
    <t>https://audio.iskcondesiretree.com/01_-_Srila_Prabhupada/01_-_Lectures/01_-_English/01_-_Topic_wise/Room_Conversation/SP_Room_Conversation_New_York_1976-07-11_Animal_Killers_Will_Never_Understand_God.mp3</t>
  </si>
  <si>
    <t>SP_Room_Conversation_New_York_1976-07-11_Can_God_Directly_Talk_to_Man.mp3</t>
  </si>
  <si>
    <t>https://audio.iskcondesiretree.com/01_-_Srila_Prabhupada/01_-_Lectures/01_-_English/01_-_Topic_wise/Room_Conversation/SP_Room_Conversation_New_York_1976-07-11_Can_God_Directly_Talk_to_Man.mp3</t>
  </si>
  <si>
    <t>SP_Room_Conversation_New_York_1976-07-11_Christ-Our_Guru.mp3</t>
  </si>
  <si>
    <t>https://audio.iskcondesiretree.com/01_-_Srila_Prabhupada/01_-_Lectures/01_-_English/01_-_Topic_wise/Room_Conversation/SP_Room_Conversation_New_York_1976-07-11_Christ-Our_Guru.mp3</t>
  </si>
  <si>
    <t>Cc_M_20-105_NY_1976-07-11_Approach_the_Spiritual_etc.mp3</t>
  </si>
  <si>
    <t>https://audio.iskcondesiretree.com/01_-_Srila_Prabhupada/01_-_Lectures/01_-_English/02_-_Month_wise/07_-_July/11/Cc_M_20-105_NY_1976-07-11_Approach_the_Spiritual_etc.mp3</t>
  </si>
  <si>
    <t>CcMadhya-20-105_1976-07-11_CC-NEW%20YORK.MP3</t>
  </si>
  <si>
    <t>https://audio.iskcondesiretree.com/01_-_Srila_Prabhupada/01_-_Lectures/01_-_English/02_-_Month_wise/07_-_July/11/CcMadhya-20-105_1976-07-11_CC-NEW%20YORK.MP3</t>
  </si>
  <si>
    <t>Darshan_1976-07-11_ED-NEW%20YORK.MP3</t>
  </si>
  <si>
    <t>https://audio.iskcondesiretree.com/01_-_Srila_Prabhupada/01_-_Lectures/01_-_English/02_-_Month_wise/07_-_July/11/Darshan_1976-07-11_ED-NEW%20YORK.MP3</t>
  </si>
  <si>
    <t>RC_NY_1976-07-11_Animal_Killers_Will_Never_Understand_God.mp3</t>
  </si>
  <si>
    <t>https://audio.iskcondesiretree.com/01_-_Srila_Prabhupada/01_-_Lectures/01_-_English/02_-_Month_wise/07_-_July/11/RC_NY_1976-07-11_Animal_Killers_Will_Never_Understand_God.mp3</t>
  </si>
  <si>
    <t>RC_NY_1976-07-11_Can_God_Directly_Talk_to_Man.mp3</t>
  </si>
  <si>
    <t>https://audio.iskcondesiretree.com/01_-_Srila_Prabhupada/01_-_Lectures/01_-_English/02_-_Month_wise/07_-_July/11/RC_NY_1976-07-11_Can_God_Directly_Talk_to_Man.mp3</t>
  </si>
  <si>
    <t>RC_NY_1976-07-11_Christ-Our_Guru.mp3</t>
  </si>
  <si>
    <t>https://audio.iskcondesiretree.com/01_-_Srila_Prabhupada/01_-_Lectures/01_-_English/02_-_Month_wise/07_-_July/11/RC_NY_1976-07-11_Christ-Our_Guru.mp3</t>
  </si>
  <si>
    <t>Walk_1976-07-11_MW-NEW%20YORK.MP3</t>
  </si>
  <si>
    <t>https://audio.iskcondesiretree.com/01_-_Srila_Prabhupada/01_-_Lectures/01_-_English/02_-_Month_wise/07_-_July/11/Walk_1976-07-11_MW-NEW%20YORK.MP3</t>
  </si>
  <si>
    <t>SP_CC_M_20-106_New_York_1976-07-12_Occupational_Duty_of_the_Soul.mp3</t>
  </si>
  <si>
    <t>https://audio.iskcondesiretree.com/01_-_Srila_Prabhupada/01_-_Lectures/01_-_English/01_-_Topic_wise/Chaitanya_Charitamrita/Madhya_Lila/SP_CC_M_20-106_New_York_1976-07-12_Occupational_Duty_of_the_Soul.mp3</t>
  </si>
  <si>
    <t>Bg-play_1976-07-12_BG-NEW%20YORK.MP3</t>
  </si>
  <si>
    <t>https://audio.iskcondesiretree.com/01_-_Srila_Prabhupada/01_-_Lectures/01_-_English/02_-_Month_wise/07_-_July/12/Bg-play_1976-07-12_BG-NEW%20YORK.MP3</t>
  </si>
  <si>
    <t>Cc_M_20-106_NY_1976-07-12_Occupational_Duty_of_the_Soul.mp3</t>
  </si>
  <si>
    <t>https://audio.iskcondesiretree.com/01_-_Srila_Prabhupada/01_-_Lectures/01_-_English/02_-_Month_wise/07_-_July/12/Cc_M_20-106_NY_1976-07-12_Occupational_Duty_of_the_Soul.mp3</t>
  </si>
  <si>
    <t>CcMadhya-20-106_1976-07-12_CC-NEW%20YORK.MP3</t>
  </si>
  <si>
    <t>https://audio.iskcondesiretree.com/01_-_Srila_Prabhupada/01_-_Lectures/01_-_English/02_-_Month_wise/07_-_July/12/CcMadhya-20-106_1976-07-12_CC-NEW%20YORK.MP3</t>
  </si>
  <si>
    <t>Walk_1976-07-12_MW-NEW%20YORK.MP3</t>
  </si>
  <si>
    <t>https://audio.iskcondesiretree.com/01_-_Srila_Prabhupada/01_-_Lectures/01_-_English/02_-_Month_wise/07_-_July/12/Walk_1976-07-12_MW-NEW%20YORK.MP3</t>
  </si>
  <si>
    <t>SP_CC_M_20-107_New_York_1976-07-13_Well-Placed_Greed.mp3</t>
  </si>
  <si>
    <t>https://audio.iskcondesiretree.com/01_-_Srila_Prabhupada/01_-_Lectures/01_-_English/01_-_Topic_wise/Chaitanya_Charitamrita/Madhya_Lila/SP_CC_M_20-107_New_York_1976-07-13_Well-Placed_Greed.mp3</t>
  </si>
  <si>
    <t>SP_Room_Conversation_New_York_1976-07-13_Love--Perverted_or_Pure.mp3</t>
  </si>
  <si>
    <t>https://audio.iskcondesiretree.com/01_-_Srila_Prabhupada/01_-_Lectures/01_-_English/01_-_Topic_wise/Room_Conversation/SP_Room_Conversation_New_York_1976-07-13_Love--Perverted_or_Pure.mp3</t>
  </si>
  <si>
    <t>Cc_M_20-107_NY_1976-07-13_Well-Placed_Greed.mp3</t>
  </si>
  <si>
    <t>https://audio.iskcondesiretree.com/01_-_Srila_Prabhupada/01_-_Lectures/01_-_English/02_-_Month_wise/07_-_July/13/Cc_M_20-107_NY_1976-07-13_Well-Placed_Greed.mp3</t>
  </si>
  <si>
    <t>CcMadhya-20-107_1976-07-13_CC-NEW%20YORK.MP3</t>
  </si>
  <si>
    <t>https://audio.iskcondesiretree.com/01_-_Srila_Prabhupada/01_-_Lectures/01_-_English/02_-_Month_wise/07_-_July/13/CcMadhya-20-107_1976-07-13_CC-NEW%20YORK.MP3</t>
  </si>
  <si>
    <t>Darshan_1976-07-13_ED-NEW%20YORK.MP3</t>
  </si>
  <si>
    <t>https://audio.iskcondesiretree.com/01_-_Srila_Prabhupada/01_-_Lectures/01_-_English/02_-_Month_wise/07_-_July/13/Darshan_1976-07-13_ED-NEW%20YORK.MP3</t>
  </si>
  <si>
    <t>RC_NY_1976-07-13_Love-Perverted_or_Pure.mp3</t>
  </si>
  <si>
    <t>https://audio.iskcondesiretree.com/01_-_Srila_Prabhupada/01_-_Lectures/01_-_English/02_-_Month_wise/07_-_July/13/RC_NY_1976-07-13_Love-Perverted_or_Pure.mp3</t>
  </si>
  <si>
    <t>Walk_1976-07-13_MW-NEW%20YORK.MP3</t>
  </si>
  <si>
    <t>https://audio.iskcondesiretree.com/01_-_Srila_Prabhupada/01_-_Lectures/01_-_English/02_-_Month_wise/07_-_July/13/Walk_1976-07-13_MW-NEW%20YORK.MP3</t>
  </si>
  <si>
    <t>SP_Interview_New_York_1976-07-14_Press--Newsday_Magazine--In_Any_Language.mp3</t>
  </si>
  <si>
    <t>https://audio.iskcondesiretree.com/01_-_Srila_Prabhupada/01_-_Lectures/01_-_English/01_-_Topic_wise/Interview/SP_Interview_New_York_1976-07-14_Press--Newsday_Magazine--In_Any_Language.mp3</t>
  </si>
  <si>
    <t>SP_Interview_New_York_1976-07-14_Press--Newsweek_Magazine--Are--etc.mp3</t>
  </si>
  <si>
    <t>https://audio.iskcondesiretree.com/01_-_Srila_Prabhupada/01_-_Lectures/01_-_English/01_-_Topic_wise/Interview/SP_Interview_New_York_1976-07-14_Press--Newsweek_Magazine--Are--etc.mp3</t>
  </si>
  <si>
    <t>Conv_1976-07-14_R1-NEW%20YORK.MP3</t>
  </si>
  <si>
    <t>https://audio.iskcondesiretree.com/01_-_Srila_Prabhupada/01_-_Lectures/01_-_English/02_-_Month_wise/07_-_July/14/Conv_1976-07-14_R1-NEW%20YORK.MP3</t>
  </si>
  <si>
    <t>Interv_NY_1976-07-14_Press-Newsday_Magazine-In_Any_Language.mp3</t>
  </si>
  <si>
    <t>https://audio.iskcondesiretree.com/01_-_Srila_Prabhupada/01_-_Lectures/01_-_English/02_-_Month_wise/07_-_July/14/Interv_NY_1976-07-14_Press-Newsday_Magazine-In_Any_Language.mp3</t>
  </si>
  <si>
    <t>Interv_NY_1976-07-14_Press-Newsweek_Magazine_Are_etc.mp3</t>
  </si>
  <si>
    <t>https://audio.iskcondesiretree.com/01_-_Srila_Prabhupada/01_-_Lectures/01_-_English/02_-_Month_wise/07_-_July/14/Interv_NY_1976-07-14_Press-Newsweek_Magazine_Are_etc.mp3</t>
  </si>
  <si>
    <t>Interview_1976-07-14_IV-NEW%20YORK.MP3</t>
  </si>
  <si>
    <t>https://audio.iskcondesiretree.com/01_-_Srila_Prabhupada/01_-_Lectures/01_-_English/02_-_Month_wise/07_-_July/14/Interview_1976-07-14_IV-NEW%20YORK.MP3</t>
  </si>
  <si>
    <t>Interview_1976-07-14_NEW%20YORK.MP3</t>
  </si>
  <si>
    <t>https://audio.iskcondesiretree.com/01_-_Srila_Prabhupada/01_-_Lectures/01_-_English/02_-_Month_wise/07_-_July/14/Interview_1976-07-14_NEW%20YORK.MP3</t>
  </si>
  <si>
    <t>Walk_1976-07-14_MW-NEW%20YORK.MP3</t>
  </si>
  <si>
    <t>https://audio.iskcondesiretree.com/01_-_Srila_Prabhupada/01_-_Lectures/01_-_English/02_-_Month_wise/07_-_July/14/Walk_1976-07-14_MW-NEW%20YORK.MP3</t>
  </si>
  <si>
    <t>SP_CC_M_20-108_New_York_1976-07-15_Servant--What_Loss_Master--What_Gain.mp3</t>
  </si>
  <si>
    <t>https://audio.iskcondesiretree.com/01_-_Srila_Prabhupada/01_-_Lectures/01_-_English/01_-_Topic_wise/Chaitanya_Charitamrita/Madhya_Lila/SP_CC_M_20-108_New_York_1976-07-15_Servant--What_Loss_Master--What_Gain.mp3</t>
  </si>
  <si>
    <t>Cc_M_20-108_NY_1976-07-15_Servant-What_Loss_Master_What_Gain.mp3</t>
  </si>
  <si>
    <t>https://audio.iskcondesiretree.com/01_-_Srila_Prabhupada/01_-_Lectures/01_-_English/02_-_Month_wise/07_-_July/15/Cc_M_20-108_NY_1976-07-15_Servant-What_Loss_Master_What_Gain.mp3</t>
  </si>
  <si>
    <t>CcMadhya-20-108-109_1976-07-15_CC-NEW%20YORK.MP3</t>
  </si>
  <si>
    <t>https://audio.iskcondesiretree.com/01_-_Srila_Prabhupada/01_-_Lectures/01_-_English/02_-_Month_wise/07_-_July/15/CcMadhya-20-108-109_1976-07-15_CC-NEW%20YORK.MP3</t>
  </si>
  <si>
    <t>Conv_1976-07-15_CV-NEW%20YORK.MP3</t>
  </si>
  <si>
    <t>https://audio.iskcondesiretree.com/01_-_Srila_Prabhupada/01_-_Lectures/01_-_English/02_-_Month_wise/07_-_July/15/Conv_1976-07-15_CV-NEW%20YORK.MP3</t>
  </si>
  <si>
    <t>SP_Interview_New_York_1976-07-16_Press--Associated_Press--The--etc.mp3</t>
  </si>
  <si>
    <t>https://audio.iskcondesiretree.com/01_-_Srila_Prabhupada/01_-_Lectures/01_-_English/01_-_Topic_wise/Interview/SP_Interview_New_York_1976-07-16_Press--Associated_Press--The--etc.mp3</t>
  </si>
  <si>
    <t>Conv_1976-07-16_R1-NEW%20YORK.MP3</t>
  </si>
  <si>
    <t>https://audio.iskcondesiretree.com/01_-_Srila_Prabhupada/01_-_Lectures/01_-_English/02_-_Month_wise/07_-_July/16/Conv_1976-07-16_R1-NEW%20YORK.MP3</t>
  </si>
  <si>
    <t>Interv_NY_1976-07-16_Press-Associated_Press_The_etc.mp3</t>
  </si>
  <si>
    <t>https://audio.iskcondesiretree.com/01_-_Srila_Prabhupada/01_-_Lectures/01_-_English/02_-_Month_wise/07_-_July/16/Interv_NY_1976-07-16_Press-Associated_Press_The_etc.mp3</t>
  </si>
  <si>
    <t>Interview_1976-07-16_IV-NEW%20YORK.MP3</t>
  </si>
  <si>
    <t>https://audio.iskcondesiretree.com/01_-_Srila_Prabhupada/01_-_Lectures/01_-_English/02_-_Month_wise/07_-_July/16/Interview_1976-07-16_IV-NEW%20YORK.MP3</t>
  </si>
  <si>
    <t>Lecture_1976-07-16_LE-PORT%20ROYAL.MP3</t>
  </si>
  <si>
    <t>https://audio.iskcondesiretree.com/01_-_Srila_Prabhupada/01_-_Lectures/01_-_English/02_-_Month_wise/07_-_July/16/Lecture_1976-07-16_LE-PORT%20ROYAL.MP3</t>
  </si>
  <si>
    <t>SP_CC_M_20-110_New_York_1976-07-17_See_Illumination_of_God.mp3</t>
  </si>
  <si>
    <t>https://audio.iskcondesiretree.com/01_-_Srila_Prabhupada/01_-_Lectures/01_-_English/01_-_Topic_wise/Chaitanya_Charitamrita/Madhya_Lila/SP_CC_M_20-110_New_York_1976-07-17_See_Illumination_of_God.mp3</t>
  </si>
  <si>
    <t>SP_Interview_New_York_1976-07-17_Trans_India_Magazine--Life%2C--etc.mp3</t>
  </si>
  <si>
    <t>https://audio.iskcondesiretree.com/01_-_Srila_Prabhupada/01_-_Lectures/01_-_English/01_-_Topic_wise/Interview/SP_Interview_New_York_1976-07-17_Trans_India_Magazine--Life%2C--etc.mp3</t>
  </si>
  <si>
    <t>SP_Room_Conversation_New_York_1976-07-17_Krishna_Supreme_or_Second-Best.mp3</t>
  </si>
  <si>
    <t>https://audio.iskcondesiretree.com/01_-_Srila_Prabhupada/01_-_Lectures/01_-_English/01_-_Topic_wise/Room_Conversation/SP_Room_Conversation_New_York_1976-07-17_Krishna_Supreme_or_Second-Best.mp3</t>
  </si>
  <si>
    <t>Cc_M_20-110_NY_1976-07-17_See_Illumination_of_God.mp3</t>
  </si>
  <si>
    <t>https://audio.iskcondesiretree.com/01_-_Srila_Prabhupada/01_-_Lectures/01_-_English/02_-_Month_wise/07_-_July/17/Cc_M_20-110_NY_1976-07-17_See_Illumination_of_God.mp3</t>
  </si>
  <si>
    <t>CcMadhya-20-110_1976-07-17_CC-NEW%20YORK.MP3</t>
  </si>
  <si>
    <t>https://audio.iskcondesiretree.com/01_-_Srila_Prabhupada/01_-_Lectures/01_-_English/02_-_Month_wise/07_-_July/17/CcMadhya-20-110_1976-07-17_CC-NEW%20YORK.MP3</t>
  </si>
  <si>
    <t>Conv_1976-07-17_R1-NEW%20YORK.MP3</t>
  </si>
  <si>
    <t>https://audio.iskcondesiretree.com/01_-_Srila_Prabhupada/01_-_Lectures/01_-_English/02_-_Month_wise/07_-_July/17/Conv_1976-07-17_R1-NEW%20YORK.MP3</t>
  </si>
  <si>
    <t>Interv_NY_1976-07-17_Trans_India_Magazine_Life_etc.mp3</t>
  </si>
  <si>
    <t>https://audio.iskcondesiretree.com/01_-_Srila_Prabhupada/01_-_Lectures/01_-_English/02_-_Month_wise/07_-_July/17/Interv_NY_1976-07-17_Trans_India_Magazine_Life_etc.mp3</t>
  </si>
  <si>
    <t>Interview_1976-07-17_IV-NEW%20YORK.MP3</t>
  </si>
  <si>
    <t>https://audio.iskcondesiretree.com/01_-_Srila_Prabhupada/01_-_Lectures/01_-_English/02_-_Month_wise/07_-_July/17/Interview_1976-07-17_IV-NEW%20YORK.MP3</t>
  </si>
  <si>
    <t>RC_NY_1976-07-17_Krishna-Supreme_or_Second-Best.mp3</t>
  </si>
  <si>
    <t>https://audio.iskcondesiretree.com/01_-_Srila_Prabhupada/01_-_Lectures/01_-_English/02_-_Month_wise/07_-_July/17/RC_NY_1976-07-17_Krishna-Supreme_or_Second-Best.mp3</t>
  </si>
  <si>
    <t>Walk_1976-07-17_MW-NEW%20YORK.MP3</t>
  </si>
  <si>
    <t>https://audio.iskcondesiretree.com/01_-_Srila_Prabhupada/01_-_Lectures/01_-_English/02_-_Month_wise/07_-_July/17/Walk_1976-07-17_MW-NEW%20YORK.MP3</t>
  </si>
  <si>
    <t>SP_Festivals_New_York_1976-07-18_Ratha-yatra--The_Culture_of_Liberty.mp3</t>
  </si>
  <si>
    <t>https://audio.iskcondesiretree.com/01_-_Srila_Prabhupada/01_-_Lectures/01_-_English/01_-_Topic_wise/Festivals/SP_Festivals_New_York_1976-07-18_Ratha-yatra--The_Culture_of_Liberty.mp3</t>
  </si>
  <si>
    <t>Conv_1976-07-18_R1-NEW%20YORK.MP3</t>
  </si>
  <si>
    <t>https://audio.iskcondesiretree.com/01_-_Srila_Prabhupada/01_-_Lectures/01_-_English/02_-_Month_wise/07_-_July/18/Conv_1976-07-18_R1-NEW%20YORK.MP3</t>
  </si>
  <si>
    <t>Fest_NY_1976-07-18_Ratha-yatra-The_Culture_of_Liberty.mp3</t>
  </si>
  <si>
    <t>https://audio.iskcondesiretree.com/01_-_Srila_Prabhupada/01_-_Lectures/01_-_English/02_-_Month_wise/07_-_July/18/Fest_NY_1976-07-18_Ratha-yatra-The_Culture_of_Liberty.mp3</t>
  </si>
  <si>
    <t>RathaYatra_1976-07-18_RY-NEW%20YORK.MP3</t>
  </si>
  <si>
    <t>https://audio.iskcondesiretree.com/01_-_Srila_Prabhupada/01_-_Lectures/01_-_English/02_-_Month_wise/07_-_July/18/RathaYatra_1976-07-18_RY-NEW%20YORK.MP3</t>
  </si>
  <si>
    <t>Walk_1976-07-18_MW-NEW%20YORK.MP3</t>
  </si>
  <si>
    <t>https://audio.iskcondesiretree.com/01_-_Srila_Prabhupada/01_-_Lectures/01_-_English/02_-_Month_wise/07_-_July/18/Walk_1976-07-18_MW-NEW%20YORK.MP3</t>
  </si>
  <si>
    <t>CcMadhya-20-111_1976-07-19_CC-NEW%20YORK.MP3</t>
  </si>
  <si>
    <t>https://audio.iskcondesiretree.com/01_-_Srila_Prabhupada/01_-_Lectures/01_-_English/02_-_Month_wise/07_-_July/19/CcMadhya-20-111_1976-07-19_CC-NEW%20YORK.MP3</t>
  </si>
  <si>
    <t>Conv_1976-07-19_R1-NEW%20YORK.MP3</t>
  </si>
  <si>
    <t>https://audio.iskcondesiretree.com/01_-_Srila_Prabhupada/01_-_Lectures/01_-_English/02_-_Month_wise/07_-_July/19/Conv_1976-07-19_R1-NEW%20YORK.MP3</t>
  </si>
  <si>
    <t>Conv_1976-07-19_R2-NEW%20YORK.MP3</t>
  </si>
  <si>
    <t>https://audio.iskcondesiretree.com/01_-_Srila_Prabhupada/01_-_Lectures/01_-_English/02_-_Month_wise/07_-_July/19/Conv_1976-07-19_R2-NEW%20YORK.MP3</t>
  </si>
  <si>
    <t>SP_CC_M_20-112_New_York_1976-07-20_Everywhere_His_Mystic_Potency.mp3</t>
  </si>
  <si>
    <t>https://audio.iskcondesiretree.com/01_-_Srila_Prabhupada/01_-_Lectures/01_-_English/01_-_Topic_wise/Chaitanya_Charitamrita/Madhya_Lila/SP_CC_M_20-112_New_York_1976-07-20_Everywhere_His_Mystic_Potency.mp3</t>
  </si>
  <si>
    <t>Cc_M_20-112_NY_1976-07-20_Everywhere_His_Mystic_Potency.mp3</t>
  </si>
  <si>
    <t>https://audio.iskcondesiretree.com/01_-_Srila_Prabhupada/01_-_Lectures/01_-_English/02_-_Month_wise/07_-_July/20/Cc_M_20-112_NY_1976-07-20_Everywhere_His_Mystic_Potency.mp3</t>
  </si>
  <si>
    <t>CcMadhya-20-112_1976-07-20_CC-NEW%20YORK.MP3</t>
  </si>
  <si>
    <t>https://audio.iskcondesiretree.com/01_-_Srila_Prabhupada/01_-_Lectures/01_-_English/02_-_Month_wise/07_-_July/20/CcMadhya-20-112_1976-07-20_CC-NEW%20YORK.MP3</t>
  </si>
  <si>
    <t>Conv_1976-07-20_CR-NEW%20YORK.MP3</t>
  </si>
  <si>
    <t>https://audio.iskcondesiretree.com/01_-_Srila_Prabhupada/01_-_Lectures/01_-_English/02_-_Month_wise/07_-_July/20/Conv_1976-07-20_CR-NEW%20YORK.MP3</t>
  </si>
  <si>
    <t>Walk_1976-07-20_MW-NEW%20YORK.MP3</t>
  </si>
  <si>
    <t>https://audio.iskcondesiretree.com/01_-_Srila_Prabhupada/01_-_Lectures/01_-_English/02_-_Month_wise/07_-_July/20/Walk_1976-07-20_MW-NEW%20YORK.MP3</t>
  </si>
  <si>
    <t>Conv_1976-07-21_CR-NEW%20YORK.MP3</t>
  </si>
  <si>
    <t>https://audio.iskcondesiretree.com/01_-_Srila_Prabhupada/01_-_Lectures/01_-_English/02_-_Month_wise/07_-_July/21/Conv_1976-07-21_CR-NEW%20YORK.MP3</t>
  </si>
  <si>
    <t>SP_CC_M_20-113_London_1976-07-23_Inconceivable_but_Believable.mp3</t>
  </si>
  <si>
    <t>https://audio.iskcondesiretree.com/01_-_Srila_Prabhupada/01_-_Lectures/01_-_English/01_-_Topic_wise/Chaitanya_Charitamrita/Madhya_Lila/SP_CC_M_20-113_London_1976-07-23_Inconceivable_but_Believable.mp3</t>
  </si>
  <si>
    <t>SP_Interview_London_1976-07-23_Press--Lon._Observer_Sentiment--etc.mp3</t>
  </si>
  <si>
    <t>https://audio.iskcondesiretree.com/01_-_Srila_Prabhupada/01_-_Lectures/01_-_English/01_-_Topic_wise/Interview/SP_Interview_London_1976-07-23_Press--Lon._Observer_Sentiment--etc.mp3</t>
  </si>
  <si>
    <t>Cc_M_20-113_LON_1976-07-23_Inconceivable_but_Believable.mp3</t>
  </si>
  <si>
    <t>https://audio.iskcondesiretree.com/01_-_Srila_Prabhupada/01_-_Lectures/01_-_English/02_-_Month_wise/07_-_July/23/Cc_M_20-113_LON_1976-07-23_Inconceivable_but_Believable.mp3</t>
  </si>
  <si>
    <t>CcMadhya-20-113_1976-07-23_CC-LONDON.MP3</t>
  </si>
  <si>
    <t>https://audio.iskcondesiretree.com/01_-_Srila_Prabhupada/01_-_Lectures/01_-_English/02_-_Month_wise/07_-_July/23/CcMadhya-20-113_1976-07-23_CC-LONDON.MP3</t>
  </si>
  <si>
    <t>Interv_LON_1976-07-23_Press-Lon._Observer_Sentiment_etc.mp3</t>
  </si>
  <si>
    <t>https://audio.iskcondesiretree.com/01_-_Srila_Prabhupada/01_-_Lectures/01_-_English/02_-_Month_wise/07_-_July/23/Interv_LON_1976-07-23_Press-Lon._Observer_Sentiment_etc.mp3</t>
  </si>
  <si>
    <t>Interview_1976-07-23_IV-LONDON.MP3</t>
  </si>
  <si>
    <t>https://audio.iskcondesiretree.com/01_-_Srila_Prabhupada/01_-_Lectures/01_-_English/02_-_Month_wise/07_-_July/23/Interview_1976-07-23_IV-LONDON.MP3</t>
  </si>
  <si>
    <t>Conv_1976-07-24_R1-LONDON.MP3</t>
  </si>
  <si>
    <t>https://audio.iskcondesiretree.com/01_-_Srila_Prabhupada/01_-_Lectures/01_-_English/02_-_Month_wise/07_-_July/24/Conv_1976-07-24_R1-LONDON.MP3</t>
  </si>
  <si>
    <t>SP_BG_13-03_London_1976-07-25_Controllers--Junior_and_Senior.mp3</t>
  </si>
  <si>
    <t>https://audio.iskcondesiretree.com/01_-_Srila_Prabhupada/01_-_Lectures/01_-_English/01_-_Topic_wise/Bhagavad_Gita/Chapter-13/SP_BG_13-03_London_1976-07-25_Controllers--Junior_and_Senior.mp3</t>
  </si>
  <si>
    <t>Bg_13-03_LON_1976-07-25_Controllers-Junior_and_Senior.mp3</t>
  </si>
  <si>
    <t>https://audio.iskcondesiretree.com/01_-_Srila_Prabhupada/01_-_Lectures/01_-_English/02_-_Month_wise/07_-_July/25/Bg_13-03_LON_1976-07-25_Controllers-Junior_and_Senior.mp3</t>
  </si>
  <si>
    <t>Lecture_1976-07-25_L1-LONDON.MP3</t>
  </si>
  <si>
    <t>https://audio.iskcondesiretree.com/01_-_Srila_Prabhupada/01_-_Lectures/01_-_English/02_-_Month_wise/07_-_July/25/Lecture_1976-07-25_L1-LONDON.MP3</t>
  </si>
  <si>
    <t>Lecture_1976-07-25_L2-LONDON.MP3</t>
  </si>
  <si>
    <t>https://audio.iskcondesiretree.com/01_-_Srila_Prabhupada/01_-_Lectures/01_-_English/02_-_Month_wise/07_-_July/25/Lecture_1976-07-25_L2-LONDON.MP3</t>
  </si>
  <si>
    <t>Lecture_1976-07-25_L3-LONDON.MP3</t>
  </si>
  <si>
    <t>https://audio.iskcondesiretree.com/01_-_Srila_Prabhupada/01_-_Lectures/01_-_English/02_-_Month_wise/07_-_July/25/Lecture_1976-07-25_L3-LONDON.MP3</t>
  </si>
  <si>
    <t>SP_Room_Conversation_London_1976-07-26_The_Next_Life.mp3</t>
  </si>
  <si>
    <t>https://audio.iskcondesiretree.com/01_-_Srila_Prabhupada/01_-_Lectures/01_-_English/01_-_Topic_wise/Room_Conversation/SP_Room_Conversation_London_1976-07-26_The_Next_Life.mp3</t>
  </si>
  <si>
    <t>Conv_1976-07-26_R1-LONDON.MP3</t>
  </si>
  <si>
    <t>https://audio.iskcondesiretree.com/01_-_Srila_Prabhupada/01_-_Lectures/01_-_English/02_-_Month_wise/07_-_July/26/Conv_1976-07-26_R1-LONDON.MP3</t>
  </si>
  <si>
    <t>Conv_1976-07-26_R2-LONDON.MP3</t>
  </si>
  <si>
    <t>https://audio.iskcondesiretree.com/01_-_Srila_Prabhupada/01_-_Lectures/01_-_English/02_-_Month_wise/07_-_July/26/Conv_1976-07-26_R2-LONDON.MP3</t>
  </si>
  <si>
    <t>RC_LON_1976-07-26_The_Next_Life.mp3</t>
  </si>
  <si>
    <t>https://audio.iskcondesiretree.com/01_-_Srila_Prabhupada/01_-_Lectures/01_-_English/02_-_Month_wise/07_-_July/26/RC_LON_1976-07-26_The_Next_Life.mp3</t>
  </si>
  <si>
    <t>SP_Room_Conversation_London_1976-07-27_A_Wrong_Civilization.mp3</t>
  </si>
  <si>
    <t>https://audio.iskcondesiretree.com/01_-_Srila_Prabhupada/01_-_Lectures/01_-_English/01_-_Topic_wise/Room_Conversation/SP_Room_Conversation_London_1976-07-27_A_Wrong_Civilization.mp3</t>
  </si>
  <si>
    <t>SP_Lecture_London_1976-07-27_To_Indian_Community.mp3</t>
  </si>
  <si>
    <t>https://audio.iskcondesiretree.com/01_-_Srila_Prabhupada/01_-_Lectures/01_-_English/01_-_Topic_wise/Various/SP_Lecture_London_1976-07-27_To_Indian_Community.mp3</t>
  </si>
  <si>
    <t>Conv_1976-07-27_R1-LONDON.MP3</t>
  </si>
  <si>
    <t>https://audio.iskcondesiretree.com/01_-_Srila_Prabhupada/01_-_Lectures/01_-_English/02_-_Month_wise/07_-_July/27/Conv_1976-07-27_R1-LONDON.MP3</t>
  </si>
  <si>
    <t>Conv%E2%80%93Hindi_1976-07-27_R2-LONDON.MP3</t>
  </si>
  <si>
    <t>https://audio.iskcondesiretree.com/01_-_Srila_Prabhupada/01_-_Lectures/01_-_English/02_-_Month_wise/07_-_July/27/Conv%E2%80%93Hindi_1976-07-27_R2-LONDON.MP3</t>
  </si>
  <si>
    <t>Interview_1976-07-27_IV-LONDON.MP3</t>
  </si>
  <si>
    <t>https://audio.iskcondesiretree.com/01_-_Srila_Prabhupada/01_-_Lectures/01_-_English/02_-_Month_wise/07_-_July/27/Interview_1976-07-27_IV-LONDON.MP3</t>
  </si>
  <si>
    <t>Lect_LON_1976-07-27_To_Indian_Community.mp3</t>
  </si>
  <si>
    <t>https://audio.iskcondesiretree.com/01_-_Srila_Prabhupada/01_-_Lectures/01_-_English/02_-_Month_wise/07_-_July/27/Lect_LON_1976-07-27_To_Indian_Community.mp3</t>
  </si>
  <si>
    <t>RC_LON_1976-07-27_A_Wrong_Civilization.mp3</t>
  </si>
  <si>
    <t>https://audio.iskcondesiretree.com/01_-_Srila_Prabhupada/01_-_Lectures/01_-_English/02_-_Month_wise/07_-_July/27/RC_LON_1976-07-27_A_Wrong_Civilization.mp3</t>
  </si>
  <si>
    <t>Arrival_1976-07-28_AR-PARIS.MP3</t>
  </si>
  <si>
    <t>https://audio.iskcondesiretree.com/01_-_Srila_Prabhupada/01_-_Lectures/01_-_English/02_-_Month_wise/07_-_July/28/Arrival_1976-07-28_AR-PARIS.MP3</t>
  </si>
  <si>
    <t>Arrival_1976-07-29_AR-NEW%20MAYAPUR.MP3</t>
  </si>
  <si>
    <t>https://audio.iskcondesiretree.com/01_-_Srila_Prabhupada/01_-_Lectures/01_-_English/02_-_Month_wise/07_-_July/29/Arrival_1976-07-29_AR-NEW%20MAYAPUR.MP3</t>
  </si>
  <si>
    <t>SP_Room_Conversation_Paris_1976-07-31_Vedic_Civilization_vs_None.mp3</t>
  </si>
  <si>
    <t>https://audio.iskcondesiretree.com/01_-_Srila_Prabhupada/01_-_Lectures/01_-_English/01_-_Topic_wise/Room_Conversation/SP_Room_Conversation_Paris_1976-07-31_Vedic_Civilization_vs_None.mp3</t>
  </si>
  <si>
    <t>Bg-10-08_1976-07-31_BG-NEW%20MAYAPUR.MP3</t>
  </si>
  <si>
    <t>https://audio.iskcondesiretree.com/01_-_Srila_Prabhupada/01_-_Lectures/01_-_English/02_-_Month_wise/07_-_July/31/Bg-10-08_1976-07-31_BG-NEW%20MAYAPUR.MP3</t>
  </si>
  <si>
    <t>Conv_1976-07-31_R1-NEW%20MAYAPUR.MP3</t>
  </si>
  <si>
    <t>https://audio.iskcondesiretree.com/01_-_Srila_Prabhupada/01_-_Lectures/01_-_English/02_-_Month_wise/07_-_July/31/Conv_1976-07-31_R1-NEW%20MAYAPUR.MP3</t>
  </si>
  <si>
    <t>Conv_1976-07-31_R2-NEW%20MAYAPUR.MP3</t>
  </si>
  <si>
    <t>https://audio.iskcondesiretree.com/01_-_Srila_Prabhupada/01_-_Lectures/01_-_English/02_-_Month_wise/07_-_July/31/Conv_1976-07-31_R2-NEW%20MAYAPUR.MP3</t>
  </si>
  <si>
    <t>RC_PAR_1976-07-31_Vedic_Civilization_vs_None.mp3</t>
  </si>
  <si>
    <t>https://audio.iskcondesiretree.com/01_-_Srila_Prabhupada/01_-_Lectures/01_-_English/02_-_Month_wise/07_-_July/31/RC_PAR_1976-07-31_Vedic_Civilization_vs_None.mp3</t>
  </si>
  <si>
    <t>Walk_1976-07-31_MW-NEW%20MAYAPUR.MP3</t>
  </si>
  <si>
    <t>https://audio.iskcondesiretree.com/01_-_Srila_Prabhupada/01_-_Lectures/01_-_English/02_-_Month_wise/07_-_July/31/Walk_1976-07-31_MW-NEW%20MAYAPUR.MP3</t>
  </si>
  <si>
    <t>SP_Morning_Walk_-_Paris_1976-08-02_Master%3DSlave.mp3</t>
  </si>
  <si>
    <t>https://audio.iskcondesiretree.com/01_-_Srila_Prabhupada/01_-_Lectures/01_-_English/01_-_Topic_wise/Morning_Walk/SP_Morning_Walk_-_Paris_1976-08-02_Master%3DSlave.mp3</t>
  </si>
  <si>
    <t>SP_Room_Conversation_Paris_1976-08-02_Becoming_Guru.mp3</t>
  </si>
  <si>
    <t>https://audio.iskcondesiretree.com/01_-_Srila_Prabhupada/01_-_Lectures/01_-_English/01_-_Topic_wise/Room_Conversation/SP_Room_Conversation_Paris_1976-08-02_Becoming_Guru.mp3</t>
  </si>
  <si>
    <t>SP_Room_Conversation_Paris_1976-08-02_Gurukula_Teachers.mp3</t>
  </si>
  <si>
    <t>https://audio.iskcondesiretree.com/01_-_Srila_Prabhupada/01_-_Lectures/01_-_English/01_-_Topic_wise/Room_Conversation/SP_Room_Conversation_Paris_1976-08-02_Gurukula_Teachers.mp3</t>
  </si>
  <si>
    <t>Conv_1976-08-02_R1-NEW%20MAYAPUR.MP3</t>
  </si>
  <si>
    <t>https://audio.iskcondesiretree.com/01_-_Srila_Prabhupada/01_-_Lectures/01_-_English/02_-_Month_wise/08_-_August/02/Conv_1976-08-02_R1-NEW%20MAYAPUR.MP3</t>
  </si>
  <si>
    <t>Conv_1976-08-02_R2-NEW%20MAYAPUR.MP3</t>
  </si>
  <si>
    <t>https://audio.iskcondesiretree.com/01_-_Srila_Prabhupada/01_-_Lectures/01_-_English/02_-_Month_wise/08_-_August/02/Conv_1976-08-02_R2-NEW%20MAYAPUR.MP3</t>
  </si>
  <si>
    <t>Conv_1976-08-02_R3-NEW%20MAYAPUR.MP3</t>
  </si>
  <si>
    <t>https://audio.iskcondesiretree.com/01_-_Srila_Prabhupada/01_-_Lectures/01_-_English/02_-_Month_wise/08_-_August/02/Conv_1976-08-02_R3-NEW%20MAYAPUR.MP3</t>
  </si>
  <si>
    <t>Lecture_1976-08-02_LE-NEW%20MAYAPUR.MP3</t>
  </si>
  <si>
    <t>https://audio.iskcondesiretree.com/01_-_Srila_Prabhupada/01_-_Lectures/01_-_English/02_-_Month_wise/08_-_August/02/Lecture_1976-08-02_LE-NEW%20MAYAPUR.MP3</t>
  </si>
  <si>
    <t>MW_PAR_1976-08-02_Master%3DSlave.mp3</t>
  </si>
  <si>
    <t>https://audio.iskcondesiretree.com/01_-_Srila_Prabhupada/01_-_Lectures/01_-_English/02_-_Month_wise/08_-_August/02/MW_PAR_1976-08-02_Master%3DSlave.mp3</t>
  </si>
  <si>
    <t>RC_PAR_1976-08-02_Becoming_Guru.mp3</t>
  </si>
  <si>
    <t>https://audio.iskcondesiretree.com/01_-_Srila_Prabhupada/01_-_Lectures/01_-_English/02_-_Month_wise/08_-_August/02/RC_PAR_1976-08-02_Becoming_Guru.mp3</t>
  </si>
  <si>
    <t>RC_PAR_1976-08-02_Gurukula_Teachers.mp3</t>
  </si>
  <si>
    <t>https://audio.iskcondesiretree.com/01_-_Srila_Prabhupada/01_-_Lectures/01_-_English/02_-_Month_wise/08_-_August/02/RC_PAR_1976-08-02_Gurukula_Teachers.mp3</t>
  </si>
  <si>
    <t>Walk_1976-08-02_MW-NEW%20MAYAPUR.MP3</t>
  </si>
  <si>
    <t>https://audio.iskcondesiretree.com/01_-_Srila_Prabhupada/01_-_Lectures/01_-_English/02_-_Month_wise/08_-_August/02/Walk_1976-08-02_MW-NEW%20MAYAPUR.MP3</t>
  </si>
  <si>
    <t>SP_BG_09-34_Paris_1976-08-03_Real_Love_of_Self.mp3</t>
  </si>
  <si>
    <t>https://audio.iskcondesiretree.com/01_-_Srila_Prabhupada/01_-_Lectures/01_-_English/01_-_Topic_wise/Bhagavad_Gita/Chapter-09/SP_BG_09-34_Paris_1976-08-03_Real_Love_of_Self.mp3</t>
  </si>
  <si>
    <t>SP_Room_Conversation_New_Mayapur_1976-08-03_Prodigal_Sons_and_Silly_Jackals.mp3</t>
  </si>
  <si>
    <t>https://audio.iskcondesiretree.com/01_-_Srila_Prabhupada/01_-_Lectures/01_-_English/01_-_Topic_wise/Room_Conversation/SP_Room_Conversation_New_Mayapur_1976-08-03_Prodigal_Sons_and_Silly_Jackals.mp3</t>
  </si>
  <si>
    <t>SP_Room_Conversation_Paris_1976-08-03_Satisfaction_Without_Science_Sex--etc.mp3</t>
  </si>
  <si>
    <t>https://audio.iskcondesiretree.com/01_-_Srila_Prabhupada/01_-_Lectures/01_-_English/01_-_Topic_wise/Room_Conversation/SP_Room_Conversation_Paris_1976-08-03_Satisfaction_Without_Science_Sex--etc.mp3</t>
  </si>
  <si>
    <t>Bg-09-34_1976-08-03_BG-NEW%20MAYAPUR.MP3</t>
  </si>
  <si>
    <t>https://audio.iskcondesiretree.com/01_-_Srila_Prabhupada/01_-_Lectures/01_-_English/02_-_Month_wise/08_-_August/03/Bg-09-34_1976-08-03_BG-NEW%20MAYAPUR.MP3</t>
  </si>
  <si>
    <t>Bg_09-34_PAR_1976-08-03_Real_Love_of_Self.mp3</t>
  </si>
  <si>
    <t>https://audio.iskcondesiretree.com/01_-_Srila_Prabhupada/01_-_Lectures/01_-_English/02_-_Month_wise/08_-_August/03/Bg_09-34_PAR_1976-08-03_Real_Love_of_Self.mp3</t>
  </si>
  <si>
    <t>Conv_1976-08-03_R1-NEW%20MAYAPUR.MP3</t>
  </si>
  <si>
    <t>https://audio.iskcondesiretree.com/01_-_Srila_Prabhupada/01_-_Lectures/01_-_English/02_-_Month_wise/08_-_August/03/Conv_1976-08-03_R1-NEW%20MAYAPUR.MP3</t>
  </si>
  <si>
    <t>Conv_1976-08-03_R2-NEW%20MAYAPUR.MP3</t>
  </si>
  <si>
    <t>https://audio.iskcondesiretree.com/01_-_Srila_Prabhupada/01_-_Lectures/01_-_English/02_-_Month_wise/08_-_August/03/Conv_1976-08-03_R2-NEW%20MAYAPUR.MP3</t>
  </si>
  <si>
    <t>Conv_1976-08-03_R3-NEW%20MAYAPUR.MP3</t>
  </si>
  <si>
    <t>https://audio.iskcondesiretree.com/01_-_Srila_Prabhupada/01_-_Lectures/01_-_English/02_-_Month_wise/08_-_August/03/Conv_1976-08-03_R3-NEW%20MAYAPUR.MP3</t>
  </si>
  <si>
    <t>RC_NM_1976-08-03_Prodigal_Sons_and_Silly_Jackals.mp3</t>
  </si>
  <si>
    <t>https://audio.iskcondesiretree.com/01_-_Srila_Prabhupada/01_-_Lectures/01_-_English/02_-_Month_wise/08_-_August/03/RC_NM_1976-08-03_Prodigal_Sons_and_Silly_Jackals.mp3</t>
  </si>
  <si>
    <t>RC_PAR_1976-08-03_Satisfaction_Without_Science_Sex_etc.mp3</t>
  </si>
  <si>
    <t>https://audio.iskcondesiretree.com/01_-_Srila_Prabhupada/01_-_Lectures/01_-_English/02_-_Month_wise/08_-_August/03/RC_PAR_1976-08-03_Satisfaction_Without_Science_Sex_etc.mp3</t>
  </si>
  <si>
    <t>SP_BG_04-24_New_Mayapur_1976-08-04_Krishna_is_there--_But_You--etc.mp3</t>
  </si>
  <si>
    <t>https://audio.iskcondesiretree.com/01_-_Srila_Prabhupada/01_-_Lectures/01_-_English/01_-_Topic_wise/Bhagavad_Gita/Chapter-04/SP_BG_04-24_New_Mayapur_1976-08-04_Krishna_is_there--_But_You--etc.mp3</t>
  </si>
  <si>
    <t>Bg-04-24_1976-08-04_BG-NEW%20MAYAPUR.MP3</t>
  </si>
  <si>
    <t>https://audio.iskcondesiretree.com/01_-_Srila_Prabhupada/01_-_Lectures/01_-_English/02_-_Month_wise/04_-_April/Bg-04-24_1976-08-04_BG-NEW%20MAYAPUR.MP3</t>
  </si>
  <si>
    <t>Conv_1976-08-04_EW-NEW%20MAYAPUR.MP3</t>
  </si>
  <si>
    <t>https://audio.iskcondesiretree.com/01_-_Srila_Prabhupada/01_-_Lectures/01_-_English/02_-_Month_wise/04_-_April/Conv_1976-08-04_EW-NEW%20MAYAPUR.MP3</t>
  </si>
  <si>
    <t>Conv_1976-08-04_R1-NEW%20MAYAPUR.MP3</t>
  </si>
  <si>
    <t>https://audio.iskcondesiretree.com/01_-_Srila_Prabhupada/01_-_Lectures/01_-_English/02_-_Month_wise/04_-_April/Conv_1976-08-04_R1-NEW%20MAYAPUR.MP3</t>
  </si>
  <si>
    <t>Bg_04-24_NM_1976-08-04_Krishna_is_there_But_You_etc.mp3</t>
  </si>
  <si>
    <t>https://audio.iskcondesiretree.com/01_-_Srila_Prabhupada/01_-_Lectures/01_-_English/02_-_Month_wise/08_-_August/04/Bg_04-24_NM_1976-08-04_Krishna_is_there_But_You_etc.mp3</t>
  </si>
  <si>
    <t>Bg-15-15_1976-08-05_BG-NEW%20MAYAPUR.MP3</t>
  </si>
  <si>
    <t>https://audio.iskcondesiretree.com/01_-_Srila_Prabhupada/01_-_Lectures/01_-_English/02_-_Month_wise/08_-_August/05/Bg-15-15_1976-08-05_BG-NEW%20MAYAPUR.MP3</t>
  </si>
  <si>
    <t>Conv_1976-08-05_R1-NEW%20MAYAPUR.MP3</t>
  </si>
  <si>
    <t>https://audio.iskcondesiretree.com/01_-_Srila_Prabhupada/01_-_Lectures/01_-_English/02_-_Month_wise/08_-_August/05/Conv_1976-08-05_R1-NEW%20MAYAPUR.MP3</t>
  </si>
  <si>
    <t>Meeting_1976-08-05_R2-NEW%20MAYAPUR.MP3</t>
  </si>
  <si>
    <t>https://audio.iskcondesiretree.com/01_-_Srila_Prabhupada/01_-_Lectures/01_-_English/02_-_Month_wise/08_-_August/05/Meeting_1976-08-05_R2-NEW%20MAYAPUR.MP3</t>
  </si>
  <si>
    <t>Conv_1976-08-07_R1-TEHRAN.MP3</t>
  </si>
  <si>
    <t>https://audio.iskcondesiretree.com/01_-_Srila_Prabhupada/01_-_Lectures/01_-_English/02_-_Month_wise/08_-_August/07/Conv_1976-08-07_R1-TEHRAN.MP3</t>
  </si>
  <si>
    <t>Conv_1976-08-08_R1-TEHRAN.MP3</t>
  </si>
  <si>
    <t>https://audio.iskcondesiretree.com/01_-_Srila_Prabhupada/01_-_Lectures/01_-_English/02_-_Month_wise/08_-_August/08/Conv_1976-08-08_R1-TEHRAN.MP3</t>
  </si>
  <si>
    <t>SB-03-22-19_1976-08-08_SB-TEHRAN.MP3</t>
  </si>
  <si>
    <t>https://audio.iskcondesiretree.com/01_-_Srila_Prabhupada/01_-_Lectures/01_-_English/02_-_Month_wise/08_-_August/08/SB-03-22-19_1976-08-08_SB-TEHRAN.MP3</t>
  </si>
  <si>
    <t>Walk_1976-08-08_MW-TEHRAN.MP3</t>
  </si>
  <si>
    <t>https://audio.iskcondesiretree.com/01_-_Srila_Prabhupada/01_-_Lectures/01_-_English/02_-_Month_wise/08_-_August/08/Walk_1976-08-08_MW-TEHRAN.MP3</t>
  </si>
  <si>
    <t>SP_Morning_Walk_-_Tehran_1976-08-09_A_World_Run_by_Mad_Rascals.mp3</t>
  </si>
  <si>
    <t>https://audio.iskcondesiretree.com/01_-_Srila_Prabhupada/01_-_Lectures/01_-_English/01_-_Topic_wise/Morning_Walk/SP_Morning_Walk_-_Tehran_1976-08-09_A_World_Run_by_Mad_Rascals.mp3</t>
  </si>
  <si>
    <t>SP_Room_Conversation_Tehran_1976-08-09_Highly_Elevated_Vultures.mp3</t>
  </si>
  <si>
    <t>https://audio.iskcondesiretree.com/01_-_Srila_Prabhupada/01_-_Lectures/01_-_English/01_-_Topic_wise/Room_Conversation/SP_Room_Conversation_Tehran_1976-08-09_Highly_Elevated_Vultures.mp3</t>
  </si>
  <si>
    <t>SP_Room_Conversation_Tehran_1976-08-09_The_%27Good_of_Humanity%27.mp3</t>
  </si>
  <si>
    <t>https://audio.iskcondesiretree.com/01_-_Srila_Prabhupada/01_-_Lectures/01_-_English/01_-_Topic_wise/Room_Conversation/SP_Room_Conversation_Tehran_1976-08-09_The_%27Good_of_Humanity%27.mp3</t>
  </si>
  <si>
    <t>Conv_1976-08-09_GC-TEHRAN.MP3</t>
  </si>
  <si>
    <t>https://audio.iskcondesiretree.com/01_-_Srila_Prabhupada/01_-_Lectures/01_-_English/02_-_Month_wise/08_-_August/09/Conv_1976-08-09_GC-TEHRAN.MP3</t>
  </si>
  <si>
    <t>Conv_1976-08-09_R1-TEHRAN.MP3</t>
  </si>
  <si>
    <t>https://audio.iskcondesiretree.com/01_-_Srila_Prabhupada/01_-_Lectures/01_-_English/02_-_Month_wise/08_-_August/09/Conv_1976-08-09_R1-TEHRAN.MP3</t>
  </si>
  <si>
    <t>Conv_1976-08-09_R2-TEHRAN.MP3</t>
  </si>
  <si>
    <t>https://audio.iskcondesiretree.com/01_-_Srila_Prabhupada/01_-_Lectures/01_-_English/02_-_Month_wise/08_-_August/09/Conv_1976-08-09_R2-TEHRAN.MP3</t>
  </si>
  <si>
    <t>MW_TEH_1976-08-09_A_World_Run_by_Mad_Rascals.mp3</t>
  </si>
  <si>
    <t>https://audio.iskcondesiretree.com/01_-_Srila_Prabhupada/01_-_Lectures/01_-_English/02_-_Month_wise/08_-_August/09/MW_TEH_1976-08-09_A_World_Run_by_Mad_Rascals.mp3</t>
  </si>
  <si>
    <t>RC_TEH_1976-08-09_Highly_Elevated_Vultures.mp3</t>
  </si>
  <si>
    <t>https://audio.iskcondesiretree.com/01_-_Srila_Prabhupada/01_-_Lectures/01_-_English/02_-_Month_wise/08_-_August/09/RC_TEH_1976-08-09_Highly_Elevated_Vultures.mp3</t>
  </si>
  <si>
    <t>RC_TEH_1976-08-09_The_Good_of_Humanity.mp3</t>
  </si>
  <si>
    <t>https://audio.iskcondesiretree.com/01_-_Srila_Prabhupada/01_-_Lectures/01_-_English/02_-_Month_wise/08_-_August/09/RC_TEH_1976-08-09_The_Good_of_Humanity.mp3</t>
  </si>
  <si>
    <t>SB-03-22-20_1976-08-09_SB-TEHRAN.MP3</t>
  </si>
  <si>
    <t>https://audio.iskcondesiretree.com/01_-_Srila_Prabhupada/01_-_Lectures/01_-_English/02_-_Month_wise/08_-_August/09/SB-03-22-20_1976-08-09_SB-TEHRAN.MP3</t>
  </si>
  <si>
    <t>SP_Room_Conversation_Tehran_1976-08-10_Freedom_to_Satisfy_Krishna.mp3</t>
  </si>
  <si>
    <t>https://audio.iskcondesiretree.com/01_-_Srila_Prabhupada/01_-_Lectures/01_-_English/01_-_Topic_wise/Room_Conversation/SP_Room_Conversation_Tehran_1976-08-10_Freedom_to_Satisfy_Krishna.mp3</t>
  </si>
  <si>
    <t>SP_Room_Conversation_Tehran_1976-08-10_Small_Can_Fall-Wise_Can_Rise.mp3</t>
  </si>
  <si>
    <t>https://audio.iskcondesiretree.com/01_-_Srila_Prabhupada/01_-_Lectures/01_-_English/01_-_Topic_wise/Room_Conversation/SP_Room_Conversation_Tehran_1976-08-10_Small_Can_Fall-Wise_Can_Rise.mp3</t>
  </si>
  <si>
    <t>Conv_1976-08-10_R1-TEHRAN.MP3</t>
  </si>
  <si>
    <t>https://audio.iskcondesiretree.com/01_-_Srila_Prabhupada/01_-_Lectures/01_-_English/02_-_Month_wise/08_-_August/10/Conv_1976-08-10_R1-TEHRAN.MP3</t>
  </si>
  <si>
    <t>Darshan_1976-08-10_ED-TEHRAN.MP3</t>
  </si>
  <si>
    <t>https://audio.iskcondesiretree.com/01_-_Srila_Prabhupada/01_-_Lectures/01_-_English/02_-_Month_wise/08_-_August/10/Darshan_1976-08-10_ED-TEHRAN.MP3</t>
  </si>
  <si>
    <t>RC_TEH_1976-08-10_Freedom_to_Satisfy_Krishna.mp3</t>
  </si>
  <si>
    <t>https://audio.iskcondesiretree.com/01_-_Srila_Prabhupada/01_-_Lectures/01_-_English/02_-_Month_wise/08_-_August/10/RC_TEH_1976-08-10_Freedom_to_Satisfy_Krishna.mp3</t>
  </si>
  <si>
    <t>RC_TEH_1976-08-10_Small_Can_Fall-Wise_Can_Rise.mp3</t>
  </si>
  <si>
    <t>https://audio.iskcondesiretree.com/01_-_Srila_Prabhupada/01_-_Lectures/01_-_English/02_-_Month_wise/08_-_August/10/RC_TEH_1976-08-10_Small_Can_Fall-Wise_Can_Rise.mp3</t>
  </si>
  <si>
    <t>SB-03-22-21_1976-08-10_SB-TEHRAN.MP3</t>
  </si>
  <si>
    <t>https://audio.iskcondesiretree.com/01_-_Srila_Prabhupada/01_-_Lectures/01_-_English/02_-_Month_wise/08_-_August/10/SB-03-22-21_1976-08-10_SB-TEHRAN.MP3</t>
  </si>
  <si>
    <t>SP_Room_Conversation_Tehran_1976-08-11_Progress_Means_Problems.mp3</t>
  </si>
  <si>
    <t>https://audio.iskcondesiretree.com/01_-_Srila_Prabhupada/01_-_Lectures/01_-_English/01_-_Topic_wise/Room_Conversation/SP_Room_Conversation_Tehran_1976-08-11_Progress_Means_Problems.mp3</t>
  </si>
  <si>
    <t>Conv_1976-08-11_R1-TEHRAN.MP3</t>
  </si>
  <si>
    <t>https://audio.iskcondesiretree.com/01_-_Srila_Prabhupada/01_-_Lectures/01_-_English/02_-_Month_wise/08_-_August/11/Conv_1976-08-11_R1-TEHRAN.MP3</t>
  </si>
  <si>
    <t>Darshan_1976-08-11_ED-TEHRAN.MP3</t>
  </si>
  <si>
    <t>https://audio.iskcondesiretree.com/01_-_Srila_Prabhupada/01_-_Lectures/01_-_English/02_-_Month_wise/08_-_August/11/Darshan_1976-08-11_ED-TEHRAN.MP3</t>
  </si>
  <si>
    <t>RC_TEH_1976-08-11_Progress_Means_Problems.mp3</t>
  </si>
  <si>
    <t>https://audio.iskcondesiretree.com/01_-_Srila_Prabhupada/01_-_Lectures/01_-_English/02_-_Month_wise/08_-_August/11/RC_TEH_1976-08-11_Progress_Means_Problems.mp3</t>
  </si>
  <si>
    <t>Walk_1976-08-11_MW-TEHRAN.MP3</t>
  </si>
  <si>
    <t>https://audio.iskcondesiretree.com/01_-_Srila_Prabhupada/01_-_Lectures/01_-_English/02_-_Month_wise/08_-_August/11/Walk_1976-08-11_MW-TEHRAN.MP3</t>
  </si>
  <si>
    <t>SP_Room_Conversation_Tehran_1976-08-12_God_Is_Great-How_Great.mp3</t>
  </si>
  <si>
    <t>https://audio.iskcondesiretree.com/01_-_Srila_Prabhupada/01_-_Lectures/01_-_English/01_-_Topic_wise/Room_Conversation/SP_Room_Conversation_Tehran_1976-08-12_God_Is_Great-How_Great.mp3</t>
  </si>
  <si>
    <t>Conv_1976-08-12_R1-TEHRAN.MP3</t>
  </si>
  <si>
    <t>https://audio.iskcondesiretree.com/01_-_Srila_Prabhupada/01_-_Lectures/01_-_English/02_-_Month_wise/08_-_August/12/Conv_1976-08-12_R1-TEHRAN.MP3</t>
  </si>
  <si>
    <t>Conv_1976-08-12_R2-TEHRAN.MP3</t>
  </si>
  <si>
    <t>https://audio.iskcondesiretree.com/01_-_Srila_Prabhupada/01_-_Lectures/01_-_English/02_-_Month_wise/08_-_August/12/Conv_1976-08-12_R2-TEHRAN.MP3</t>
  </si>
  <si>
    <t>Conv_1976-08-12_R3-TEHRAN.MP3</t>
  </si>
  <si>
    <t>https://audio.iskcondesiretree.com/01_-_Srila_Prabhupada/01_-_Lectures/01_-_English/02_-_Month_wise/08_-_August/12/Conv_1976-08-12_R3-TEHRAN.MP3</t>
  </si>
  <si>
    <t>Conv_1976-08-12_R4-TEHRAN.MP3</t>
  </si>
  <si>
    <t>https://audio.iskcondesiretree.com/01_-_Srila_Prabhupada/01_-_Lectures/01_-_English/02_-_Month_wise/08_-_August/12/Conv_1976-08-12_R4-TEHRAN.MP3</t>
  </si>
  <si>
    <t>Darshan_1976-08-12_ED-TEHRAN.MP3</t>
  </si>
  <si>
    <t>https://audio.iskcondesiretree.com/01_-_Srila_Prabhupada/01_-_Lectures/01_-_English/02_-_Month_wise/08_-_August/12/Darshan_1976-08-12_ED-TEHRAN.MP3</t>
  </si>
  <si>
    <t>RC_TEH_1976-08-12_God_Is_Great-How_Great.mp3</t>
  </si>
  <si>
    <t>https://audio.iskcondesiretree.com/01_-_Srila_Prabhupada/01_-_Lectures/01_-_English/02_-_Month_wise/08_-_August/12/RC_TEH_1976-08-12_God_Is_Great-How_Great.mp3</t>
  </si>
  <si>
    <t>SB-03-22-22_1976-08-12_SB-TEHRAN.MP3</t>
  </si>
  <si>
    <t>https://audio.iskcondesiretree.com/01_-_Srila_Prabhupada/01_-_Lectures/01_-_English/02_-_Month_wise/08_-_August/12/SB-03-22-22_1976-08-12_SB-TEHRAN.MP3</t>
  </si>
  <si>
    <t>Walk_1976-08-12_MW-TEHRAN.MP3</t>
  </si>
  <si>
    <t>https://audio.iskcondesiretree.com/01_-_Srila_Prabhupada/01_-_Lectures/01_-_English/02_-_Month_wise/08_-_August/12/Walk_1976-08-12_MW-TEHRAN.MP3</t>
  </si>
  <si>
    <t>Arrival_1976-08-13_AR-BOMBAY.MP3</t>
  </si>
  <si>
    <t>https://audio.iskcondesiretree.com/01_-_Srila_Prabhupada/01_-_Lectures/01_-_English/02_-_Month_wise/08_-_August/13/Arrival_1976-08-13_AR-BOMBAY.MP3</t>
  </si>
  <si>
    <t>SP_Morning_Walk_-_Bombay_1976-08-14_Cow_Care.mp3</t>
  </si>
  <si>
    <t>https://audio.iskcondesiretree.com/01_-_Srila_Prabhupada/01_-_Lectures/01_-_English/01_-_Topic_wise/Morning_Walk/SP_Morning_Walk_-_Bombay_1976-08-14_Cow_Care.mp3</t>
  </si>
  <si>
    <t>SP_Room_Conversation_Bombay_1976-08-14_Fertile_Brain-Rather_Be_a_Fool.mp3</t>
  </si>
  <si>
    <t>https://audio.iskcondesiretree.com/01_-_Srila_Prabhupada/01_-_Lectures/01_-_English/01_-_Topic_wise/Room_Conversation/SP_Room_Conversation_Bombay_1976-08-14_Fertile_Brain-Rather_Be_a_Fool.mp3</t>
  </si>
  <si>
    <t>SP_Room_Conversation_Bombay_1976-08-14_Spreading_Krishna%27s_Instructions.mp3</t>
  </si>
  <si>
    <t>https://audio.iskcondesiretree.com/01_-_Srila_Prabhupada/01_-_Lectures/01_-_English/01_-_Topic_wise/Room_Conversation/SP_Room_Conversation_Bombay_1976-08-14_Spreading_Krishna%27s_Instructions.mp3</t>
  </si>
  <si>
    <t>Conv_1976-08-14_R1-BOMBAY.MP3</t>
  </si>
  <si>
    <t>https://audio.iskcondesiretree.com/01_-_Srila_Prabhupada/01_-_Lectures/01_-_English/02_-_Month_wise/08_-_August/14/Conv_1976-08-14_R1-BOMBAY.MP3</t>
  </si>
  <si>
    <t>Conv%E2%80%93Hindi_1976-08-14_R2-BOMBAY.MP3</t>
  </si>
  <si>
    <t>https://audio.iskcondesiretree.com/01_-_Srila_Prabhupada/01_-_Lectures/01_-_English/02_-_Month_wise/08_-_August/14/Conv%E2%80%93Hindi_1976-08-14_R2-BOMBAY.MP3</t>
  </si>
  <si>
    <t>Darshan_1976-08-14_ED-BOMBAY.MP3</t>
  </si>
  <si>
    <t>https://audio.iskcondesiretree.com/01_-_Srila_Prabhupada/01_-_Lectures/01_-_English/02_-_Month_wise/08_-_August/14/Darshan_1976-08-14_ED-BOMBAY.MP3</t>
  </si>
  <si>
    <t>MW_BOM_1976-08-14_Cow_Care.mp3</t>
  </si>
  <si>
    <t>https://audio.iskcondesiretree.com/01_-_Srila_Prabhupada/01_-_Lectures/01_-_English/02_-_Month_wise/08_-_August/14/MW_BOM_1976-08-14_Cow_Care.mp3</t>
  </si>
  <si>
    <t>RC_BOM_1976-08-14_Fertile_Brain-Rather_Be_a_Fool.mp3</t>
  </si>
  <si>
    <t>https://audio.iskcondesiretree.com/01_-_Srila_Prabhupada/01_-_Lectures/01_-_English/02_-_Month_wise/08_-_August/14/RC_BOM_1976-08-14_Fertile_Brain-Rather_Be_a_Fool.mp3</t>
  </si>
  <si>
    <t>RC_BOM_1976-08-14_Spreading_Krishna%27s_Instructions.mp3</t>
  </si>
  <si>
    <t>https://audio.iskcondesiretree.com/01_-_Srila_Prabhupada/01_-_Lectures/01_-_English/02_-_Month_wise/08_-_August/14/RC_BOM_1976-08-14_Spreading_Krishna%27s_Instructions.mp3</t>
  </si>
  <si>
    <t>Darshan_1976-08-15_ED-BOMBAY.MP3</t>
  </si>
  <si>
    <t>https://audio.iskcondesiretree.com/01_-_Srila_Prabhupada/01_-_Lectures/01_-_English/02_-_Month_wise/08_-_August/15/Darshan_1976-08-15_ED-BOMBAY.MP3</t>
  </si>
  <si>
    <t>Walk_1976-08-15_MW-BOMBAY.MP3</t>
  </si>
  <si>
    <t>https://audio.iskcondesiretree.com/01_-_Srila_Prabhupada/01_-_Lectures/01_-_English/02_-_Month_wise/08_-_August/15/Walk_1976-08-15_MW-BOMBAY.MP3</t>
  </si>
  <si>
    <t>SP_Room_Conversation_Bombay_1976-08-16_Prestige-No_Match_for_Karma.mp3</t>
  </si>
  <si>
    <t>https://audio.iskcondesiretree.com/01_-_Srila_Prabhupada/01_-_Lectures/01_-_English/01_-_Topic_wise/Room_Conversation/SP_Room_Conversation_Bombay_1976-08-16_Prestige-No_Match_for_Karma.mp3</t>
  </si>
  <si>
    <t>Conv_1976-08-16_R1-BOMBAY.MP3</t>
  </si>
  <si>
    <t>https://audio.iskcondesiretree.com/01_-_Srila_Prabhupada/01_-_Lectures/01_-_English/02_-_Month_wise/08_-_August/16/Conv_1976-08-16_R1-BOMBAY.MP3</t>
  </si>
  <si>
    <t>Conv_1976-08-16_R1-HYDERABAD.MP3</t>
  </si>
  <si>
    <t>https://audio.iskcondesiretree.com/01_-_Srila_Prabhupada/01_-_Lectures/01_-_English/02_-_Month_wise/08_-_August/16/Conv_1976-08-16_R1-HYDERABAD.MP3</t>
  </si>
  <si>
    <t>Darshan_1976-08-16_AR-HYDERABAD.MP3</t>
  </si>
  <si>
    <t>https://audio.iskcondesiretree.com/01_-_Srila_Prabhupada/01_-_Lectures/01_-_English/02_-_Month_wise/08_-_August/16/Darshan_1976-08-16_AR-HYDERABAD.MP3</t>
  </si>
  <si>
    <t>RC_BOM_1976-08-16_Prestige-No_Match_for_Karma.mp3</t>
  </si>
  <si>
    <t>https://audio.iskcondesiretree.com/01_-_Srila_Prabhupada/01_-_Lectures/01_-_English/02_-_Month_wise/08_-_August/16/RC_BOM_1976-08-16_Prestige-No_Match_for_Karma.mp3</t>
  </si>
  <si>
    <t>Speech_1976-08-16_SP-HYDERABAD.MP3</t>
  </si>
  <si>
    <t>https://audio.iskcondesiretree.com/01_-_Srila_Prabhupada/01_-_Lectures/01_-_English/02_-_Month_wise/08_-_August/16/Speech_1976-08-16_SP-HYDERABAD.MP3</t>
  </si>
  <si>
    <t>SP_BG_13-22_Hyderabad_1976-08-17_At_Any_Moment--Kicked_Out.mp3</t>
  </si>
  <si>
    <t>https://audio.iskcondesiretree.com/01_-_Srila_Prabhupada/01_-_Lectures/01_-_English/01_-_Topic_wise/Bhagavad_Gita/Chapter-13/SP_BG_13-22_Hyderabad_1976-08-17_At_Any_Moment--Kicked_Out.mp3</t>
  </si>
  <si>
    <t>SP_CC_M_20-395_Hyderabad_1976-08-17_Vaisnava_Philosophy.mp3</t>
  </si>
  <si>
    <t>https://audio.iskcondesiretree.com/01_-_Srila_Prabhupada/01_-_Lectures/01_-_English/01_-_Topic_wise/Chaitanya_Charitamrita/Madhya_Lila/SP_CC_M_20-395_Hyderabad_1976-08-17_Vaisnava_Philosophy.mp3</t>
  </si>
  <si>
    <t>SP_Interview_Hyderabad_1976-08-17_Press--Spiritual_Re-education--etc.mp3</t>
  </si>
  <si>
    <t>https://audio.iskcondesiretree.com/01_-_Srila_Prabhupada/01_-_Lectures/01_-_English/01_-_Topic_wise/Interview/SP_Interview_Hyderabad_1976-08-17_Press--Spiritual_Re-education--etc.mp3</t>
  </si>
  <si>
    <t>Bg-13-22_1976-08-17_BG-HYDERABAD.MP3</t>
  </si>
  <si>
    <t>https://audio.iskcondesiretree.com/01_-_Srila_Prabhupada/01_-_Lectures/01_-_English/02_-_Month_wise/08_-_August/17/Bg-13-22_1976-08-17_BG-HYDERABAD.MP3</t>
  </si>
  <si>
    <t>Bg_13-22_HYD_1976-08-17_At_Any_Moment_Kicked_Out.mp3</t>
  </si>
  <si>
    <t>https://audio.iskcondesiretree.com/01_-_Srila_Prabhupada/01_-_Lectures/01_-_English/02_-_Month_wise/08_-_August/17/Bg_13-22_HYD_1976-08-17_At_Any_Moment_Kicked_Out.mp3</t>
  </si>
  <si>
    <t>Cc_M_20-395_HYD_1976-08-17_Vaisnava_Philosophy.mp3</t>
  </si>
  <si>
    <t>https://audio.iskcondesiretree.com/01_-_Srila_Prabhupada/01_-_Lectures/01_-_English/02_-_Month_wise/08_-_August/17/Cc_M_20-395_HYD_1976-08-17_Vaisnava_Philosophy.mp3</t>
  </si>
  <si>
    <t>CcMadhya-20-395_1976-08-17_CC-HYDERABAD.MP3</t>
  </si>
  <si>
    <t>https://audio.iskcondesiretree.com/01_-_Srila_Prabhupada/01_-_Lectures/01_-_English/02_-_Month_wise/08_-_August/17/CcMadhya-20-395_1976-08-17_CC-HYDERABAD.MP3</t>
  </si>
  <si>
    <t>Conv_1976-08-17_R1-HYDERABAD.MP3</t>
  </si>
  <si>
    <t>https://audio.iskcondesiretree.com/01_-_Srila_Prabhupada/01_-_Lectures/01_-_English/02_-_Month_wise/08_-_August/17/Conv_1976-08-17_R1-HYDERABAD.MP3</t>
  </si>
  <si>
    <t>Interv_HYD_1976-08-17_Press-Spiritual_Re-education_etc.mp3</t>
  </si>
  <si>
    <t>https://audio.iskcondesiretree.com/01_-_Srila_Prabhupada/01_-_Lectures/01_-_English/02_-_Month_wise/08_-_August/17/Interv_HYD_1976-08-17_Press-Spiritual_Re-education_etc.mp3</t>
  </si>
  <si>
    <t>Interview_1976-08-17_IV-HYDERABAD.MP3</t>
  </si>
  <si>
    <t>https://audio.iskcondesiretree.com/01_-_Srila_Prabhupada/01_-_Lectures/01_-_English/02_-_Month_wise/08_-_August/17/Interview_1976-08-17_IV-HYDERABAD.MP3</t>
  </si>
  <si>
    <t>SP_Festivals_Hyderabad_1976-08-18_Temple_Opening--Krishna--etc.mp3</t>
  </si>
  <si>
    <t>https://audio.iskcondesiretree.com/01_-_Srila_Prabhupada/01_-_Lectures/01_-_English/01_-_Topic_wise/Festivals/SP_Festivals_Hyderabad_1976-08-18_Temple_Opening--Krishna--etc.mp3</t>
  </si>
  <si>
    <t>Fest_HYD_1976-08-18_Temple_Opening_Krishna_etc.mp3</t>
  </si>
  <si>
    <t>https://audio.iskcondesiretree.com/01_-_Srila_Prabhupada/01_-_Lectures/01_-_English/02_-_Month_wise/08_-_August/18/Fest_HYD_1976-08-18_Temple_Opening_Krishna_etc.mp3</t>
  </si>
  <si>
    <t>SB-01-07-06_1976-08-18_SB-HYDERABAD.MP3</t>
  </si>
  <si>
    <t>https://audio.iskcondesiretree.com/01_-_Srila_Prabhupada/01_-_Lectures/01_-_English/02_-_Month_wise/08_-_August/18/SB-01-07-06_1976-08-18_SB-HYDERABAD.MP3</t>
  </si>
  <si>
    <t>SP_Festivals_Hyderabad_1976-08-19_Vyasa-puja--How_to_Avoid_Reincarnation.mp3</t>
  </si>
  <si>
    <t>https://audio.iskcondesiretree.com/01_-_Srila_Prabhupada/01_-_Lectures/01_-_English/01_-_Topic_wise/Festivals/SP_Festivals_Hyderabad_1976-08-19_Vyasa-puja--How_to_Avoid_Reincarnation.mp3</t>
  </si>
  <si>
    <t>Conv_1976-08-19_R1-HYDERABAD.MP3</t>
  </si>
  <si>
    <t>https://audio.iskcondesiretree.com/01_-_Srila_Prabhupada/01_-_Lectures/01_-_English/02_-_Month_wise/08_-_August/19/Conv_1976-08-19_R1-HYDERABAD.MP3</t>
  </si>
  <si>
    <t>Conv_1976-08-19_R2-HYDERABAD.MP3</t>
  </si>
  <si>
    <t>https://audio.iskcondesiretree.com/01_-_Srila_Prabhupada/01_-_Lectures/01_-_English/02_-_Month_wise/08_-_August/19/Conv_1976-08-19_R2-HYDERABAD.MP3</t>
  </si>
  <si>
    <t>Fest_HYD_1976-08-19_Vyasa-puja-How_to_Avoid_Reincarnation.mp3</t>
  </si>
  <si>
    <t>https://audio.iskcondesiretree.com/01_-_Srila_Prabhupada/01_-_Lectures/01_-_English/02_-_Month_wise/08_-_August/19/Fest_HYD_1976-08-19_Vyasa-puja-How_to_Avoid_Reincarnation.mp3</t>
  </si>
  <si>
    <t>VyasaPuja_1976-08-19_VP-HYDERABAD.MP3</t>
  </si>
  <si>
    <t>https://audio.iskcondesiretree.com/01_-_Srila_Prabhupada/01_-_Lectures/01_-_English/02_-_Month_wise/08_-_August/19/VyasaPuja_1976-08-19_VP-HYDERABAD.MP3</t>
  </si>
  <si>
    <t>Conv_1976-08-20_R1-HYDERABAD.MP3</t>
  </si>
  <si>
    <t>https://audio.iskcondesiretree.com/01_-_Srila_Prabhupada/01_-_Lectures/01_-_English/02_-_Month_wise/08_-_August/20/Conv_1976-08-20_R1-HYDERABAD.MP3</t>
  </si>
  <si>
    <t>Conv_1976-08-21_R1-HYDERABAD.MP3</t>
  </si>
  <si>
    <t>https://audio.iskcondesiretree.com/01_-_Srila_Prabhupada/01_-_Lectures/01_-_English/02_-_Month_wise/08_-_August/21/Conv_1976-08-21_R1-HYDERABAD.MP3</t>
  </si>
  <si>
    <t>Conv_1976-08-21_R2-HYDERABAD.MP3</t>
  </si>
  <si>
    <t>https://audio.iskcondesiretree.com/01_-_Srila_Prabhupada/01_-_Lectures/01_-_English/02_-_Month_wise/08_-_August/21/Conv_1976-08-21_R2-HYDERABAD.MP3</t>
  </si>
  <si>
    <t>SP_BG_07-01_Hyderabad_1976-08-22_Increase_Your_Attachment_to_the_Lord.mp3</t>
  </si>
  <si>
    <t>https://audio.iskcondesiretree.com/01_-_Srila_Prabhupada/01_-_Lectures/01_-_English/01_-_Topic_wise/Bhagavad_Gita/Chapter-07/SP_BG_07-01_Hyderabad_1976-08-22_Increase_Your_Attachment_to_the_Lord.mp3</t>
  </si>
  <si>
    <t>SP_Room_Conversation_Hyderabad_1976-08-22_A_Favorable_Newspaper_Article.mp3</t>
  </si>
  <si>
    <t>https://audio.iskcondesiretree.com/01_-_Srila_Prabhupada/01_-_Lectures/01_-_English/01_-_Topic_wise/Room_Conversation/SP_Room_Conversation_Hyderabad_1976-08-22_A_Favorable_Newspaper_Article.mp3</t>
  </si>
  <si>
    <t>SP_Room_Conversation_Hyderabad_1976-08-22_Government_Minister--Relief_from--etc.mp3</t>
  </si>
  <si>
    <t>https://audio.iskcondesiretree.com/01_-_Srila_Prabhupada/01_-_Lectures/01_-_English/01_-_Topic_wise/Room_Conversation/SP_Room_Conversation_Hyderabad_1976-08-22_Government_Minister--Relief_from--etc.mp3</t>
  </si>
  <si>
    <t>SP_Room_Conversation_Hyderabad_1976-08-22_Government_Ministers--Government--etc.mp3</t>
  </si>
  <si>
    <t>https://audio.iskcondesiretree.com/01_-_Srila_Prabhupada/01_-_Lectures/01_-_English/01_-_Topic_wise/Room_Conversation/SP_Room_Conversation_Hyderabad_1976-08-22_Government_Ministers--Government--etc.mp3</t>
  </si>
  <si>
    <t>Bg-07-01_1976-08-22_BG-HYDERABAD.MP3</t>
  </si>
  <si>
    <t>https://audio.iskcondesiretree.com/01_-_Srila_Prabhupada/01_-_Lectures/01_-_English/02_-_Month_wise/08_-_August/22/Bg-07-01_1976-08-22_BG-HYDERABAD.MP3</t>
  </si>
  <si>
    <t>Bg_07-01_HYD_1976-08-22_Increase_Your_Attachment_to_the_Lord.mp3</t>
  </si>
  <si>
    <t>https://audio.iskcondesiretree.com/01_-_Srila_Prabhupada/01_-_Lectures/01_-_English/02_-_Month_wise/08_-_August/22/Bg_07-01_HYD_1976-08-22_Increase_Your_Attachment_to_the_Lord.mp3</t>
  </si>
  <si>
    <t>Conv_1976-08-22_R1-HYDERABAD.MP3</t>
  </si>
  <si>
    <t>https://audio.iskcondesiretree.com/01_-_Srila_Prabhupada/01_-_Lectures/01_-_English/02_-_Month_wise/08_-_August/22/Conv_1976-08-22_R1-HYDERABAD.MP3</t>
  </si>
  <si>
    <t>Conv_1976-08-22_R2-HYDERABAD.MP3</t>
  </si>
  <si>
    <t>https://audio.iskcondesiretree.com/01_-_Srila_Prabhupada/01_-_Lectures/01_-_English/02_-_Month_wise/08_-_August/22/Conv_1976-08-22_R2-HYDERABAD.MP3</t>
  </si>
  <si>
    <t>Conv_1976-08-22_R3-HYDERABAD.MP3</t>
  </si>
  <si>
    <t>https://audio.iskcondesiretree.com/01_-_Srila_Prabhupada/01_-_Lectures/01_-_English/02_-_Month_wise/08_-_August/22/Conv_1976-08-22_R3-HYDERABAD.MP3</t>
  </si>
  <si>
    <t>Initiations_1976-08-22-IN-HYDERABAD.MP3</t>
  </si>
  <si>
    <t>https://audio.iskcondesiretree.com/01_-_Srila_Prabhupada/01_-_Lectures/01_-_English/02_-_Month_wise/08_-_August/22/Initiations_1976-08-22-IN-HYDERABAD.MP3</t>
  </si>
  <si>
    <t>RC_HYD_1976-08-22_A_Favorable_Newspaper_Article.mp3</t>
  </si>
  <si>
    <t>https://audio.iskcondesiretree.com/01_-_Srila_Prabhupada/01_-_Lectures/01_-_English/02_-_Month_wise/08_-_August/22/RC_HYD_1976-08-22_A_Favorable_Newspaper_Article.mp3</t>
  </si>
  <si>
    <t>RC_HYD_1976-08-22_Government_Minister_Relief_from_etc.mp3</t>
  </si>
  <si>
    <t>https://audio.iskcondesiretree.com/01_-_Srila_Prabhupada/01_-_Lectures/01_-_English/02_-_Month_wise/08_-_August/22/RC_HYD_1976-08-22_Government_Minister_Relief_from_etc.mp3</t>
  </si>
  <si>
    <t>RC_HYD_1976-08-22_Government_Ministers_Government_etc.mp3</t>
  </si>
  <si>
    <t>https://audio.iskcondesiretree.com/01_-_Srila_Prabhupada/01_-_Lectures/01_-_English/02_-_Month_wise/08_-_August/22/RC_HYD_1976-08-22_Government_Ministers_Government_etc.mp3</t>
  </si>
  <si>
    <t>Walk_1976-08-23_MW-HYDERABAD.MP3</t>
  </si>
  <si>
    <t>https://audio.iskcondesiretree.com/01_-_Srila_Prabhupada/01_-_Lectures/01_-_English/02_-_Month_wise/08_-_August/23/Walk_1976-08-23_MW-HYDERABAD.MP3</t>
  </si>
  <si>
    <t>SP_Room_Conversation_Hyderabad_1976-08-24_Sweepers_Lepers_and_Government_Ministers.mp3</t>
  </si>
  <si>
    <t>https://audio.iskcondesiretree.com/01_-_Srila_Prabhupada/01_-_Lectures/01_-_English/01_-_Topic_wise/Room_Conversation/SP_Room_Conversation_Hyderabad_1976-08-24_Sweepers_Lepers_and_Government_Ministers.mp3</t>
  </si>
  <si>
    <t>Conv_1976-08-24_R1-HYDERABAD.MP3</t>
  </si>
  <si>
    <t>https://audio.iskcondesiretree.com/01_-_Srila_Prabhupada/01_-_Lectures/01_-_English/02_-_Month_wise/08_-_August/24/Conv_1976-08-24_R1-HYDERABAD.MP3</t>
  </si>
  <si>
    <t>Conv_1976-08-24_R2-HYDERABAD.MP3</t>
  </si>
  <si>
    <t>https://audio.iskcondesiretree.com/01_-_Srila_Prabhupada/01_-_Lectures/01_-_English/02_-_Month_wise/08_-_August/24/Conv_1976-08-24_R2-HYDERABAD.MP3</t>
  </si>
  <si>
    <t>Conv_1976-08-24_R3-HYDERABAD.MP3</t>
  </si>
  <si>
    <t>https://audio.iskcondesiretree.com/01_-_Srila_Prabhupada/01_-_Lectures/01_-_English/02_-_Month_wise/08_-_August/24/Conv_1976-08-24_R3-HYDERABAD.MP3</t>
  </si>
  <si>
    <t>RC_HYD_1976-08-24_Sweepers_Lepers_and_Government_Ministers.mp3</t>
  </si>
  <si>
    <t>https://audio.iskcondesiretree.com/01_-_Srila_Prabhupada/01_-_Lectures/01_-_English/02_-_Month_wise/08_-_August/24/RC_HYD_1976-08-24_Sweepers_Lepers_and_Government_Ministers.mp3</t>
  </si>
  <si>
    <t>Walk_1976-08-24_MW-HYDERABAD.MP3</t>
  </si>
  <si>
    <t>https://audio.iskcondesiretree.com/01_-_Srila_Prabhupada/01_-_Lectures/01_-_English/02_-_Month_wise/08_-_August/24/Walk_1976-08-24_MW-HYDERABAD.MP3</t>
  </si>
  <si>
    <t>SP_Room_Conversation_Hyderabad_1976-08-25_There_Is_An_Eternal_World.mp3</t>
  </si>
  <si>
    <t>https://audio.iskcondesiretree.com/01_-_Srila_Prabhupada/01_-_Lectures/01_-_English/01_-_Topic_wise/Room_Conversation/SP_Room_Conversation_Hyderabad_1976-08-25_There_Is_An_Eternal_World.mp3</t>
  </si>
  <si>
    <t>Bg-01-01%E2%80%93Hindi_1976-08-25_BG-HYDERABAD.MP3</t>
  </si>
  <si>
    <t>https://audio.iskcondesiretree.com/01_-_Srila_Prabhupada/01_-_Lectures/01_-_English/02_-_Month_wise/08_-_August/25/Bg-01-01%E2%80%93Hindi_1976-08-25_BG-HYDERABAD.MP3</t>
  </si>
  <si>
    <t>Conv_1976-08-25_R1-HYDERABAD.MP3</t>
  </si>
  <si>
    <t>https://audio.iskcondesiretree.com/01_-_Srila_Prabhupada/01_-_Lectures/01_-_English/02_-_Month_wise/08_-_August/25/Conv_1976-08-25_R1-HYDERABAD.MP3</t>
  </si>
  <si>
    <t>RC_HYD_1976-08-25_There_Is_An_Eternal_World.mp3</t>
  </si>
  <si>
    <t>https://audio.iskcondesiretree.com/01_-_Srila_Prabhupada/01_-_Lectures/01_-_English/02_-_Month_wise/08_-_August/25/RC_HYD_1976-08-25_There_Is_An_Eternal_World.mp3</t>
  </si>
  <si>
    <t>Walk_1976-08-27_MW-DELHI.MP3</t>
  </si>
  <si>
    <t>https://audio.iskcondesiretree.com/01_-_Srila_Prabhupada/01_-_Lectures/01_-_English/02_-_Month_wise/08_-_August/27/Walk_1976-08-27_MW-DELHI.MP3</t>
  </si>
  <si>
    <t>SB-05-05-01_1976-08-29_SB-DELHI.MP3</t>
  </si>
  <si>
    <t>https://audio.iskcondesiretree.com/01_-_Srila_Prabhupada/01_-_Lectures/01_-_English/02_-_Month_wise/08_-_August/29/SB-05-05-01_1976-08-29_SB-DELHI.MP3</t>
  </si>
  <si>
    <t>Walk_1976-08-29_MW-DELHI.MP3</t>
  </si>
  <si>
    <t>https://audio.iskcondesiretree.com/01_-_Srila_Prabhupada/01_-_Lectures/01_-_English/02_-_Month_wise/08_-_August/29/Walk_1976-08-29_MW-DELHI.MP3</t>
  </si>
  <si>
    <t>Walk_1976-08-30_MW-DELHI.MP3</t>
  </si>
  <si>
    <t>https://audio.iskcondesiretree.com/01_-_Srila_Prabhupada/01_-_Lectures/01_-_English/02_-_Month_wise/08_-_August/30/Walk_1976-08-30_MW-DELHI.MP3</t>
  </si>
  <si>
    <t>Initiations_1976-08-31_IN-DELHI.MP3</t>
  </si>
  <si>
    <t>https://audio.iskcondesiretree.com/01_-_Srila_Prabhupada/01_-_Lectures/01_-_English/02_-_Month_wise/08_-_August/31/Initiations_1976-08-31_IN-DELHI.MP3</t>
  </si>
  <si>
    <t>Meeting_1976-08-31_R1-DELHI.MP3</t>
  </si>
  <si>
    <t>https://audio.iskcondesiretree.com/01_-_Srila_Prabhupada/01_-_Lectures/01_-_English/02_-_Month_wise/08_-_August/31/Meeting_1976-08-31_R1-DELHI.MP3</t>
  </si>
  <si>
    <t>Walk_1976-08-31_MW-DELHI.MP3</t>
  </si>
  <si>
    <t>https://audio.iskcondesiretree.com/01_-_Srila_Prabhupada/01_-_Lectures/01_-_English/02_-_Month_wise/08_-_August/31/Walk_1976-08-31_MW-DELHI.MP3</t>
  </si>
  <si>
    <t>Darshan_1976-09-01_ED-DELHI.MP3</t>
  </si>
  <si>
    <t>https://audio.iskcondesiretree.com/01_-_Srila_Prabhupada/01_-_Lectures/01_-_English/02_-_Month_wise/09_-_September/01/Darshan_1976-09-01_ED-DELHI.MP3</t>
  </si>
  <si>
    <t>Walk_1976-09-02_MW-DELHI.MP3</t>
  </si>
  <si>
    <t>https://audio.iskcondesiretree.com/01_-_Srila_Prabhupada/01_-_Lectures/01_-_English/02_-_Month_wise/09_-_September/02/Walk_1976-09-02_MW-DELHI.MP3</t>
  </si>
  <si>
    <t>SP_Arrival_Vrindavan_1976-09-03_Understand_God.mp3</t>
  </si>
  <si>
    <t>https://audio.iskcondesiretree.com/01_-_Srila_Prabhupada/01_-_Lectures/01_-_English/01_-_Topic_wise/Arrival_Address/SP_Arrival_Vrindavan_1976-09-03_Understand_God.mp3</t>
  </si>
  <si>
    <t>Arr_VRN_1976-09-03_Understand_God.mp3</t>
  </si>
  <si>
    <t>https://audio.iskcondesiretree.com/01_-_Srila_Prabhupada/01_-_Lectures/01_-_English/02_-_Month_wise/09_-_September/03/Arr_VRN_1976-09-03_Understand_God.mp3</t>
  </si>
  <si>
    <t>Bg-07-15_1976-09-03_BG-VRNDAVAN.MP3</t>
  </si>
  <si>
    <t>https://audio.iskcondesiretree.com/01_-_Srila_Prabhupada/01_-_Lectures/01_-_English/02_-_Month_wise/09_-_September/03/Bg-07-15_1976-09-03_BG-VRNDAVAN.MP3</t>
  </si>
  <si>
    <t>Conv_1976-09-03_G1-VRNDAVAN.MP3</t>
  </si>
  <si>
    <t>https://audio.iskcondesiretree.com/01_-_Srila_Prabhupada/01_-_Lectures/01_-_English/02_-_Month_wise/09_-_September/03/Conv_1976-09-03_G1-VRNDAVAN.MP3</t>
  </si>
  <si>
    <t>Conv_1976-09-03_R1-VRNDAVAN.MP3</t>
  </si>
  <si>
    <t>https://audio.iskcondesiretree.com/01_-_Srila_Prabhupada/01_-_Lectures/01_-_English/02_-_Month_wise/09_-_September/03/Conv_1976-09-03_R1-VRNDAVAN.MP3</t>
  </si>
  <si>
    <t>SP_Room_Conversation_Vrindavan_1976-09-04_Happy_Within_Yourself.mp3</t>
  </si>
  <si>
    <t>https://audio.iskcondesiretree.com/01_-_Srila_Prabhupada/01_-_Lectures/01_-_English/01_-_Topic_wise/Room_Conversation/SP_Room_Conversation_Vrindavan_1976-09-04_Happy_Within_Yourself.mp3</t>
  </si>
  <si>
    <t>SP_SB_1-07-05_Vrindavan_1976-09-04_Human_Life-Understand_God.mp3</t>
  </si>
  <si>
    <t>https://audio.iskcondesiretree.com/01_-_Srila_Prabhupada/01_-_Lectures/01_-_English/01_-_Topic_wise/Srimad_Bhagavatam/Canto-01/SP_SB_1-07-05_Vrindavan_1976-09-04_Human_Life-Understand_God.mp3</t>
  </si>
  <si>
    <t>Conv_1976-09-04_R1-VRNDAVAN.MP3</t>
  </si>
  <si>
    <t>https://audio.iskcondesiretree.com/01_-_Srila_Prabhupada/01_-_Lectures/01_-_English/02_-_Month_wise/09_-_September/04/Conv_1976-09-04_R1-VRNDAVAN.MP3</t>
  </si>
  <si>
    <t>RC_VRN_1976-09-04_Happy_Within_Yourself.mp3</t>
  </si>
  <si>
    <t>https://audio.iskcondesiretree.com/01_-_Srila_Prabhupada/01_-_Lectures/01_-_English/02_-_Month_wise/09_-_September/04/RC_VRN_1976-09-04_Happy_Within_Yourself.mp3</t>
  </si>
  <si>
    <t>SB-01-07-05_1976-09-04_SB-VRNDAVAN.MP3</t>
  </si>
  <si>
    <t>https://audio.iskcondesiretree.com/01_-_Srila_Prabhupada/01_-_Lectures/01_-_English/02_-_Month_wise/09_-_September/04/SB-01-07-05_1976-09-04_SB-VRNDAVAN.MP3</t>
  </si>
  <si>
    <t>SB_1-07-05_VRN_1976-09-04_Human_Life-Understand_God.mp3</t>
  </si>
  <si>
    <t>https://audio.iskcondesiretree.com/01_-_Srila_Prabhupada/01_-_Lectures/01_-_English/02_-_Month_wise/09_-_September/04/SB_1-07-05_VRN_1976-09-04_Human_Life-Understand_God.mp3</t>
  </si>
  <si>
    <t>SP_SB_1-07-06_Vrindavan_1976-09-05_Produce_Grain-Not_Goodyear_Tires.mp3</t>
  </si>
  <si>
    <t>https://audio.iskcondesiretree.com/01_-_Srila_Prabhupada/01_-_Lectures/01_-_English/01_-_Topic_wise/Srimad_Bhagavatam/Canto-01/SP_SB_1-07-06_Vrindavan_1976-09-05_Produce_Grain-Not_Goodyear_Tires.mp3</t>
  </si>
  <si>
    <t>Conv_1976-09-05_R2-VRNDAVAN.MP3</t>
  </si>
  <si>
    <t>https://audio.iskcondesiretree.com/01_-_Srila_Prabhupada/01_-_Lectures/01_-_English/02_-_Month_wise/09_-_September/05/Conv_1976-09-05_R2-VRNDAVAN.MP3</t>
  </si>
  <si>
    <t>SB-01-07-06_1976-09-05_SB-VRNDAVAN.MP3</t>
  </si>
  <si>
    <t>https://audio.iskcondesiretree.com/01_-_Srila_Prabhupada/01_-_Lectures/01_-_English/02_-_Month_wise/09_-_September/05/SB-01-07-06_1976-09-05_SB-VRNDAVAN.MP3</t>
  </si>
  <si>
    <t>SB_1-07-06_VRN_1976-09-05_Produce_Grain-Not_Goodyear_Tires.mp3</t>
  </si>
  <si>
    <t>https://audio.iskcondesiretree.com/01_-_Srila_Prabhupada/01_-_Lectures/01_-_English/02_-_Month_wise/09_-_September/05/SB_1-07-06_VRN_1976-09-05_Produce_Grain-Not_Goodyear_Tires.mp3</t>
  </si>
  <si>
    <t>SP_SB_1-07-07_Vrindavan_1976-09-06_To_Live_Means_to_Love_Krishna.mp3</t>
  </si>
  <si>
    <t>https://audio.iskcondesiretree.com/01_-_Srila_Prabhupada/01_-_Lectures/01_-_English/01_-_Topic_wise/Srimad_Bhagavatam/Canto-01/SP_SB_1-07-07_Vrindavan_1976-09-06_To_Live_Means_to_Love_Krishna.mp3</t>
  </si>
  <si>
    <t>Conv_1976-09-06_G1-VRNDAVAN.MP3</t>
  </si>
  <si>
    <t>https://audio.iskcondesiretree.com/01_-_Srila_Prabhupada/01_-_Lectures/01_-_English/02_-_Month_wise/09_-_September/06/Conv_1976-09-06_G1-VRNDAVAN.MP3</t>
  </si>
  <si>
    <t>Conv_1976-09-06_R1-VRNDAVAN.MP3</t>
  </si>
  <si>
    <t>https://audio.iskcondesiretree.com/01_-_Srila_Prabhupada/01_-_Lectures/01_-_English/02_-_Month_wise/09_-_September/06/Conv_1976-09-06_R1-VRNDAVAN.MP3</t>
  </si>
  <si>
    <t>SB-01-07-07_1976-09-06_SB-VRNDAVAN.MP3</t>
  </si>
  <si>
    <t>https://audio.iskcondesiretree.com/01_-_Srila_Prabhupada/01_-_Lectures/01_-_English/02_-_Month_wise/09_-_September/06/SB-01-07-07_1976-09-06_SB-VRNDAVAN.MP3</t>
  </si>
  <si>
    <t>SB_1-07-07_VRN_1976-09-06_To_Live_Means_to_Love_Krishna.mp3</t>
  </si>
  <si>
    <t>https://audio.iskcondesiretree.com/01_-_Srila_Prabhupada/01_-_Lectures/01_-_English/02_-_Month_wise/09_-_September/06/SB_1-07-07_VRN_1976-09-06_To_Live_Means_to_Love_Krishna.mp3</t>
  </si>
  <si>
    <t>SP_Room_Conversation_Vrindavan_1976-09-07_Spiritual_Happiness_and_Suicidal_Monkey.mp3</t>
  </si>
  <si>
    <t>https://audio.iskcondesiretree.com/01_-_Srila_Prabhupada/01_-_Lectures/01_-_English/01_-_Topic_wise/Room_Conversation/SP_Room_Conversation_Vrindavan_1976-09-07_Spiritual_Happiness_and_Suicidal_Monkey.mp3</t>
  </si>
  <si>
    <t>SP_SB_1-07-08_Vrindavan_1976-09-07_Our_Condition-Precarious.mp3</t>
  </si>
  <si>
    <t>https://audio.iskcondesiretree.com/01_-_Srila_Prabhupada/01_-_Lectures/01_-_English/01_-_Topic_wise/Srimad_Bhagavatam/Canto-01/SP_SB_1-07-08_Vrindavan_1976-09-07_Our_Condition-Precarious.mp3</t>
  </si>
  <si>
    <t>Conv_1976-09-07_G1-VRNDAVAN.MP3</t>
  </si>
  <si>
    <t>https://audio.iskcondesiretree.com/01_-_Srila_Prabhupada/01_-_Lectures/01_-_English/02_-_Month_wise/09_-_September/07/Conv_1976-09-07_G1-VRNDAVAN.MP3</t>
  </si>
  <si>
    <t>Conv_1976-09-07_G2-VRNDAVAN.MP3</t>
  </si>
  <si>
    <t>https://audio.iskcondesiretree.com/01_-_Srila_Prabhupada/01_-_Lectures/01_-_English/02_-_Month_wise/09_-_September/07/Conv_1976-09-07_G2-VRNDAVAN.MP3</t>
  </si>
  <si>
    <t>Conv_1976-09-07_R1-VRNDAVAN.MP3</t>
  </si>
  <si>
    <t>https://audio.iskcondesiretree.com/01_-_Srila_Prabhupada/01_-_Lectures/01_-_English/02_-_Month_wise/09_-_September/07/Conv_1976-09-07_R1-VRNDAVAN.MP3</t>
  </si>
  <si>
    <t>RC_VRN_1976-09-07_Spiritual_Happiness_and_Suicidal_Monkey.mp3</t>
  </si>
  <si>
    <t>https://audio.iskcondesiretree.com/01_-_Srila_Prabhupada/01_-_Lectures/01_-_English/02_-_Month_wise/09_-_September/07/RC_VRN_1976-09-07_Spiritual_Happiness_and_Suicidal_Monkey.mp3</t>
  </si>
  <si>
    <t>SB-01-07-08_1976-09-07_SB-VRNDAVAN.MP3</t>
  </si>
  <si>
    <t>https://audio.iskcondesiretree.com/01_-_Srila_Prabhupada/01_-_Lectures/01_-_English/02_-_Month_wise/09_-_September/07/SB-01-07-08_1976-09-07_SB-VRNDAVAN.MP3</t>
  </si>
  <si>
    <t>SB_1-07-08_VRN_1976-09-07_Our_Condition-Precarious.mp3</t>
  </si>
  <si>
    <t>https://audio.iskcondesiretree.com/01_-_Srila_Prabhupada/01_-_Lectures/01_-_English/02_-_Month_wise/09_-_September/07/SB_1-07-08_VRN_1976-09-07_Our_Condition-Precarious.mp3</t>
  </si>
  <si>
    <t>SB-01-07-09_1976-09-08_SB-VRNDAVAN.MP3</t>
  </si>
  <si>
    <t>https://audio.iskcondesiretree.com/01_-_Srila_Prabhupada/01_-_Lectures/01_-_English/02_-_Month_wise/09_-_September/08/SB-01-07-09_1976-09-08_SB-VRNDAVAN.MP3</t>
  </si>
  <si>
    <t>SP_Room_Conversation_Vrindavan_1976-09-09_Chastity_vs_Change-O-Mania.mp3</t>
  </si>
  <si>
    <t>https://audio.iskcondesiretree.com/01_-_Srila_Prabhupada/01_-_Lectures/01_-_English/01_-_Topic_wise/Room_Conversation/SP_Room_Conversation_Vrindavan_1976-09-09_Chastity_vs_Change-O-Mania.mp3</t>
  </si>
  <si>
    <t>SP_Room_Conversation_Vrindavan_1976-09-09_What_Have_They_Godbrothers_Done.mp3</t>
  </si>
  <si>
    <t>https://audio.iskcondesiretree.com/01_-_Srila_Prabhupada/01_-_Lectures/01_-_English/01_-_Topic_wise/Room_Conversation/SP_Room_Conversation_Vrindavan_1976-09-09_What_Have_They_Godbrothers_Done.mp3</t>
  </si>
  <si>
    <t>SP_SB_1-07-10_Vrindavan_1976-09-09_Read_These_Books.mp3</t>
  </si>
  <si>
    <t>https://audio.iskcondesiretree.com/01_-_Srila_Prabhupada/01_-_Lectures/01_-_English/01_-_Topic_wise/Srimad_Bhagavatam/Canto-01/SP_SB_1-07-10_Vrindavan_1976-09-09_Read_These_Books.mp3</t>
  </si>
  <si>
    <t>Conv_1976-09-09_R1-VRNDAVAN.MP3</t>
  </si>
  <si>
    <t>https://audio.iskcondesiretree.com/01_-_Srila_Prabhupada/01_-_Lectures/01_-_English/02_-_Month_wise/09_-_September/09/Conv_1976-09-09_R1-VRNDAVAN.MP3</t>
  </si>
  <si>
    <t>Conv_1976-09-09_R2-VRNDAVAN.MP3</t>
  </si>
  <si>
    <t>https://audio.iskcondesiretree.com/01_-_Srila_Prabhupada/01_-_Lectures/01_-_English/02_-_Month_wise/09_-_September/09/Conv_1976-09-09_R2-VRNDAVAN.MP3</t>
  </si>
  <si>
    <t>RC_VRN_1976-09-09_Chastity_Vs_Change-O-Mania.mp3</t>
  </si>
  <si>
    <t>https://audio.iskcondesiretree.com/01_-_Srila_Prabhupada/01_-_Lectures/01_-_English/02_-_Month_wise/09_-_September/09/RC_VRN_1976-09-09_Chastity_Vs_Change-O-Mania.mp3</t>
  </si>
  <si>
    <t>RC_VRN_1976-09-09_What_Have_They_%28Godbrothers%29_Done.mp3</t>
  </si>
  <si>
    <t>https://audio.iskcondesiretree.com/01_-_Srila_Prabhupada/01_-_Lectures/01_-_English/02_-_Month_wise/09_-_September/09/RC_VRN_1976-09-09_What_Have_They_%28Godbrothers%29_Done.mp3</t>
  </si>
  <si>
    <t>SB-01-07-10_1976-09-09_SB-VRNDAVAN.MP3</t>
  </si>
  <si>
    <t>https://audio.iskcondesiretree.com/01_-_Srila_Prabhupada/01_-_Lectures/01_-_English/02_-_Month_wise/09_-_September/09/SB-01-07-10_1976-09-09_SB-VRNDAVAN.MP3</t>
  </si>
  <si>
    <t>SB_1-07-10_VRN_1976-09-09_Read_These_Books.mp3</t>
  </si>
  <si>
    <t>https://audio.iskcondesiretree.com/01_-_Srila_Prabhupada/01_-_Lectures/01_-_English/02_-_Month_wise/09_-_September/09/SB_1-07-10_VRN_1976-09-09_Read_These_Books.mp3</t>
  </si>
  <si>
    <t>SP_SB_1-07-11_Vrindavan_1976-09-10_When_Madras_Is_Not_Bad.mp3</t>
  </si>
  <si>
    <t>https://audio.iskcondesiretree.com/01_-_Srila_Prabhupada/01_-_Lectures/01_-_English/01_-_Topic_wise/Srimad_Bhagavatam/Canto-01/SP_SB_1-07-11_Vrindavan_1976-09-10_When_Madras_Is_Not_Bad.mp3</t>
  </si>
  <si>
    <t>SB-01-07-11_1976-09-10_SB-VRNDAVAN.MP3</t>
  </si>
  <si>
    <t>https://audio.iskcondesiretree.com/01_-_Srila_Prabhupada/01_-_Lectures/01_-_English/02_-_Month_wise/09_-_September/10/SB-01-07-11_1976-09-10_SB-VRNDAVAN.MP3</t>
  </si>
  <si>
    <t>SB_1-07-11_VRN_1976-09-10_When_Mad_Is_Not_Bad.mp3</t>
  </si>
  <si>
    <t>https://audio.iskcondesiretree.com/01_-_Srila_Prabhupada/01_-_Lectures/01_-_English/02_-_Month_wise/09_-_September/10/SB_1-07-11_VRN_1976-09-10_When_Mad_Is_Not_Bad.mp3</t>
  </si>
  <si>
    <t>SP_SB_1-07-12_Vrindavan_1976-09-11_Bhakti_On_the_Battlefield.mp3</t>
  </si>
  <si>
    <t>https://audio.iskcondesiretree.com/01_-_Srila_Prabhupada/01_-_Lectures/01_-_English/01_-_Topic_wise/Srimad_Bhagavatam/Canto-01/SP_SB_1-07-12_Vrindavan_1976-09-11_Bhakti_On_the_Battlefield.mp3</t>
  </si>
  <si>
    <t>Conv_1976-09-11_R1-VRNDAVAN.MP3</t>
  </si>
  <si>
    <t>https://audio.iskcondesiretree.com/01_-_Srila_Prabhupada/01_-_Lectures/01_-_English/02_-_Month_wise/09_-_September/11/Conv_1976-09-11_R1-VRNDAVAN.MP3</t>
  </si>
  <si>
    <t>Conv_1976-09-11_R2-VRNDAVAN.MP3</t>
  </si>
  <si>
    <t>https://audio.iskcondesiretree.com/01_-_Srila_Prabhupada/01_-_Lectures/01_-_English/02_-_Month_wise/09_-_September/11/Conv_1976-09-11_R2-VRNDAVAN.MP3</t>
  </si>
  <si>
    <t>SB-01-07-12_1976-09-11_SB-VRNDAVAN.MP3</t>
  </si>
  <si>
    <t>https://audio.iskcondesiretree.com/01_-_Srila_Prabhupada/01_-_Lectures/01_-_English/02_-_Month_wise/09_-_September/11/SB-01-07-12_1976-09-11_SB-VRNDAVAN.MP3</t>
  </si>
  <si>
    <t>SB_1-07-12_VRN_1976-09-11_Bhakti_On_the_Battlefield.mp3</t>
  </si>
  <si>
    <t>https://audio.iskcondesiretree.com/01_-_Srila_Prabhupada/01_-_Lectures/01_-_English/02_-_Month_wise/09_-_September/11/SB_1-07-12_VRN_1976-09-11_Bhakti_On_the_Battlefield.mp3</t>
  </si>
  <si>
    <t>SP_SB_1-07-13_Vrindavan_1976-09-12_There_Is_New_Orleans_Training.mp3</t>
  </si>
  <si>
    <t>https://audio.iskcondesiretree.com/01_-_Srila_Prabhupada/01_-_Lectures/01_-_English/01_-_Topic_wise/Srimad_Bhagavatam/Canto-01/SP_SB_1-07-13_Vrindavan_1976-09-12_There_Is_New_Orleans_Training.mp3</t>
  </si>
  <si>
    <t>Conv_1976-09-12_R1-VRNDAVAN.MP3</t>
  </si>
  <si>
    <t>https://audio.iskcondesiretree.com/01_-_Srila_Prabhupada/01_-_Lectures/01_-_English/02_-_Month_wise/09_-_September/12/Conv_1976-09-12_R1-VRNDAVAN.MP3</t>
  </si>
  <si>
    <t>SB-01-07-13%E2%80%9314_1976-09-12_SB-VRNDAVAN.MP3</t>
  </si>
  <si>
    <t>https://audio.iskcondesiretree.com/01_-_Srila_Prabhupada/01_-_Lectures/01_-_English/02_-_Month_wise/09_-_September/12/SB-01-07-13%E2%80%9314_1976-09-12_SB-VRNDAVAN.MP3</t>
  </si>
  <si>
    <t>SB_1-07-13_VRN_1976-09-12_There_Is_No_Training.mp3</t>
  </si>
  <si>
    <t>https://audio.iskcondesiretree.com/01_-_Srila_Prabhupada/01_-_Lectures/01_-_English/02_-_Month_wise/09_-_September/12/SB_1-07-13_VRN_1976-09-12_There_Is_No_Training.mp3</t>
  </si>
  <si>
    <t>SP_SB_1-07-15_Vrindavan_1976-09-13_The_Mammoth_Mantra.mp3</t>
  </si>
  <si>
    <t>https://audio.iskcondesiretree.com/01_-_Srila_Prabhupada/01_-_Lectures/01_-_English/01_-_Topic_wise/Srimad_Bhagavatam/Canto-01/SP_SB_1-07-15_Vrindavan_1976-09-13_The_Mammoth_Mantra.mp3</t>
  </si>
  <si>
    <t>LetterToSaiBaba_1976-09-13_LR-VRNDAVAN.MP3</t>
  </si>
  <si>
    <t>https://audio.iskcondesiretree.com/01_-_Srila_Prabhupada/01_-_Lectures/01_-_English/02_-_Month_wise/09_-_September/13/LetterToSaiBaba_1976-09-13_LR-VRNDAVAN.MP3</t>
  </si>
  <si>
    <t>SB-01-07-15_1976-09-13_SB-VRNDAVAN.MP3</t>
  </si>
  <si>
    <t>https://audio.iskcondesiretree.com/01_-_Srila_Prabhupada/01_-_Lectures/01_-_English/02_-_Month_wise/09_-_September/13/SB-01-07-15_1976-09-13_SB-VRNDAVAN.MP3</t>
  </si>
  <si>
    <t>SB_1-07-15_VRN_1976-09-13_The_Mammoth_Mantra.mp3</t>
  </si>
  <si>
    <t>https://audio.iskcondesiretree.com/01_-_Srila_Prabhupada/01_-_Lectures/01_-_English/02_-_Month_wise/09_-_September/13/SB_1-07-15_VRN_1976-09-13_The_Mammoth_Mantra.mp3</t>
  </si>
  <si>
    <t>SB-01-07-16_1976-09-14_SB-VRNDAVAN.MP3</t>
  </si>
  <si>
    <t>https://audio.iskcondesiretree.com/01_-_Srila_Prabhupada/01_-_Lectures/01_-_English/02_-_Month_wise/09_-_September/14/SB-01-07-16_1976-09-14_SB-VRNDAVAN.MP3</t>
  </si>
  <si>
    <t>SP_SB_1-07-18_Vrindavan_1976-09-15_Darkness_and_Disturbance.mp3</t>
  </si>
  <si>
    <t>https://audio.iskcondesiretree.com/01_-_Srila_Prabhupada/01_-_Lectures/01_-_English/01_-_Topic_wise/Srimad_Bhagavatam/Canto-01/SP_SB_1-07-18_Vrindavan_1976-09-15_Darkness_and_Disturbance.mp3</t>
  </si>
  <si>
    <t>SB-01-07-18_1976-09-15_SB-VRNDAVAN.MP3</t>
  </si>
  <si>
    <t>https://audio.iskcondesiretree.com/01_-_Srila_Prabhupada/01_-_Lectures/01_-_English/02_-_Month_wise/09_-_September/15/SB-01-07-18_1976-09-15_SB-VRNDAVAN.MP3</t>
  </si>
  <si>
    <t>SB_1-07-18_VRN_1976-09-15_Darkness_and_Disturbance.mp3</t>
  </si>
  <si>
    <t>https://audio.iskcondesiretree.com/01_-_Srila_Prabhupada/01_-_Lectures/01_-_English/02_-_Month_wise/09_-_September/15/SB_1-07-18_VRN_1976-09-15_Darkness_and_Disturbance.mp3</t>
  </si>
  <si>
    <t>SP_SB_1-07-19_Vrindavan_1976-09-16_Hare_Krishna-Lord_and_Potency.mp3</t>
  </si>
  <si>
    <t>https://audio.iskcondesiretree.com/01_-_Srila_Prabhupada/01_-_Lectures/01_-_English/01_-_Topic_wise/Srimad_Bhagavatam/Canto-01/SP_SB_1-07-19_Vrindavan_1976-09-16_Hare_Krishna-Lord_and_Potency.mp3</t>
  </si>
  <si>
    <t>Conv_1976-09-16_R1-VRNDAVAN.MP3</t>
  </si>
  <si>
    <t>https://audio.iskcondesiretree.com/01_-_Srila_Prabhupada/01_-_Lectures/01_-_English/02_-_Month_wise/09_-_September/16/Conv_1976-09-16_R1-VRNDAVAN.MP3</t>
  </si>
  <si>
    <t>SB-01-07-19_1976-09-16_SB-VRNDAVAN.MP3</t>
  </si>
  <si>
    <t>https://audio.iskcondesiretree.com/01_-_Srila_Prabhupada/01_-_Lectures/01_-_English/02_-_Month_wise/09_-_September/16/SB-01-07-19_1976-09-16_SB-VRNDAVAN.MP3</t>
  </si>
  <si>
    <t>SB_1-07-19_VRN_1976-09-16_Hare_Krishna-Lord_and_Potency.mp3</t>
  </si>
  <si>
    <t>https://audio.iskcondesiretree.com/01_-_Srila_Prabhupada/01_-_Lectures/01_-_English/02_-_Month_wise/09_-_September/16/SB_1-07-19_VRN_1976-09-16_Hare_Krishna-Lord_and_Potency.mp3</t>
  </si>
  <si>
    <t>SP_SB_1-07-20-21_Vrindavan_1976-09-17_Don%27t_Wait_for_Another_Life.mp3</t>
  </si>
  <si>
    <t>https://audio.iskcondesiretree.com/01_-_Srila_Prabhupada/01_-_Lectures/01_-_English/01_-_Topic_wise/Srimad_Bhagavatam/Canto-01/SP_SB_1-07-20-21_Vrindavan_1976-09-17_Don%27t_Wait_for_Another_Life.mp3</t>
  </si>
  <si>
    <t>SP_SB_1-07-20_Vrindavan_1976-09-17_Don%27t_Wait_for_Another_Life.mp3</t>
  </si>
  <si>
    <t>https://audio.iskcondesiretree.com/01_-_Srila_Prabhupada/01_-_Lectures/01_-_English/01_-_Topic_wise/Srimad_Bhagavatam/Canto-01/SP_SB_1-07-20_Vrindavan_1976-09-17_Don%27t_Wait_for_Another_Life.mp3</t>
  </si>
  <si>
    <t>Conv_1976-09-17_R1-VRNDAVAN.MP3</t>
  </si>
  <si>
    <t>https://audio.iskcondesiretree.com/01_-_Srila_Prabhupada/01_-_Lectures/01_-_English/02_-_Month_wise/09_-_September/17/Conv_1976-09-17_R1-VRNDAVAN.MP3</t>
  </si>
  <si>
    <t>SB-01-07-20%E2%80%9321_1976-09-17_SB-VRNDAVAN.MP3</t>
  </si>
  <si>
    <t>https://audio.iskcondesiretree.com/01_-_Srila_Prabhupada/01_-_Lectures/01_-_English/02_-_Month_wise/09_-_September/17/SB-01-07-20%E2%80%9321_1976-09-17_SB-VRNDAVAN.MP3</t>
  </si>
  <si>
    <t>SB_1-07-20_VRN_1976-09-17_Don%27t_Wait_for_Another_Life.mp3</t>
  </si>
  <si>
    <t>https://audio.iskcondesiretree.com/01_-_Srila_Prabhupada/01_-_Lectures/01_-_English/02_-_Month_wise/09_-_September/17/SB_1-07-20_VRN_1976-09-17_Don%27t_Wait_for_Another_Life.mp3</t>
  </si>
  <si>
    <t>SP_SB_1-07-22_Vrindavan_1976-09-18_Material_Advancement-Suffering.mp3</t>
  </si>
  <si>
    <t>https://audio.iskcondesiretree.com/01_-_Srila_Prabhupada/01_-_Lectures/01_-_English/01_-_Topic_wise/Srimad_Bhagavatam/Canto-01/SP_SB_1-07-22_Vrindavan_1976-09-18_Material_Advancement-Suffering.mp3</t>
  </si>
  <si>
    <t>SB-01-07-22_1976-09-18_SB-VRNDAVAN.MP3</t>
  </si>
  <si>
    <t>https://audio.iskcondesiretree.com/01_-_Srila_Prabhupada/01_-_Lectures/01_-_English/02_-_Month_wise/09_-_September/18/SB-01-07-22_1976-09-18_SB-VRNDAVAN.MP3</t>
  </si>
  <si>
    <t>SB_1-07-22_VRN_1976-09-18_Material_Advancement-Suffering.mp3</t>
  </si>
  <si>
    <t>https://audio.iskcondesiretree.com/01_-_Srila_Prabhupada/01_-_Lectures/01_-_English/02_-_Month_wise/09_-_September/18/SB_1-07-22_VRN_1976-09-18_Material_Advancement-Suffering.mp3</t>
  </si>
  <si>
    <t>SP_SB_1-07-23_Vrindavan_1976-09-20_Krishna%27s_Real_Representative.mp3</t>
  </si>
  <si>
    <t>https://audio.iskcondesiretree.com/01_-_Srila_Prabhupada/01_-_Lectures/01_-_English/01_-_Topic_wise/Srimad_Bhagavatam/Canto-01/SP_SB_1-07-23_Vrindavan_1976-09-20_Krishna%27s_Real_Representative.mp3</t>
  </si>
  <si>
    <t>SB-01-07-23_1976-09-20_SB-VRNDAVAN.MP3</t>
  </si>
  <si>
    <t>https://audio.iskcondesiretree.com/01_-_Srila_Prabhupada/01_-_Lectures/01_-_English/02_-_Month_wise/09_-_September/20/SB-01-07-23_1976-09-20_SB-VRNDAVAN.MP3</t>
  </si>
  <si>
    <t>SB_1-07-23_VRN_1976-09-20_Krishna%27s_Real_Representative.mp3</t>
  </si>
  <si>
    <t>https://audio.iskcondesiretree.com/01_-_Srila_Prabhupada/01_-_Lectures/01_-_English/02_-_Month_wise/09_-_September/20/SB_1-07-23_VRN_1976-09-20_Krishna%27s_Real_Representative.mp3</t>
  </si>
  <si>
    <t>SP_SB_1-07-24_Vrindavan_1976-09-21_This_Material_Life_Has_New_Orleans_Value.mp3</t>
  </si>
  <si>
    <t>https://audio.iskcondesiretree.com/01_-_Srila_Prabhupada/01_-_Lectures/01_-_English/01_-_Topic_wise/Srimad_Bhagavatam/Canto-01/SP_SB_1-07-24_Vrindavan_1976-09-21_This_Material_Life_Has_New_Orleans_Value.mp3</t>
  </si>
  <si>
    <t>SB-01-07-24_1976-09-21_SB-VRNDAVAN.MP3</t>
  </si>
  <si>
    <t>https://audio.iskcondesiretree.com/01_-_Srila_Prabhupada/01_-_Lectures/01_-_English/02_-_Month_wise/09_-_September/21/SB-01-07-24_1976-09-21_SB-VRNDAVAN.MP3</t>
  </si>
  <si>
    <t>SB_1-07-24_VRN_1976-09-21_This_Material_Life_Has_No_Value.mp3</t>
  </si>
  <si>
    <t>https://audio.iskcondesiretree.com/01_-_Srila_Prabhupada/01_-_Lectures/01_-_English/02_-_Month_wise/09_-_September/21/SB_1-07-24_VRN_1976-09-21_This_Material_Life_Has_No_Value.mp3</t>
  </si>
  <si>
    <t>SP_SB_1-07-25_Vrindavan_1976-09-22_The_Age_of_Embarrassment.mp3</t>
  </si>
  <si>
    <t>https://audio.iskcondesiretree.com/01_-_Srila_Prabhupada/01_-_Lectures/01_-_English/01_-_Topic_wise/Srimad_Bhagavatam/Canto-01/SP_SB_1-07-25_Vrindavan_1976-09-22_The_Age_of_Embarrassment.mp3</t>
  </si>
  <si>
    <t>SB-01-07-25_1976-09-22_SB-VRNDAVAN.MP3</t>
  </si>
  <si>
    <t>https://audio.iskcondesiretree.com/01_-_Srila_Prabhupada/01_-_Lectures/01_-_English/02_-_Month_wise/09_-_September/22/SB-01-07-25_1976-09-22_SB-VRNDAVAN.MP3</t>
  </si>
  <si>
    <t>SB_1-07-25_VRN_1976-09-22_The_Age_of_Embarrassment.mp3</t>
  </si>
  <si>
    <t>https://audio.iskcondesiretree.com/01_-_Srila_Prabhupada/01_-_Lectures/01_-_English/02_-_Month_wise/09_-_September/22/SB_1-07-25_VRN_1976-09-22_The_Age_of_Embarrassment.mp3</t>
  </si>
  <si>
    <t>SP_SB_1-07-26_Vrindavan_1976-09-23_Freedom_Without_Fall-Down.mp3</t>
  </si>
  <si>
    <t>https://audio.iskcondesiretree.com/01_-_Srila_Prabhupada/01_-_Lectures/01_-_English/01_-_Topic_wise/Srimad_Bhagavatam/Canto-01/SP_SB_1-07-26_Vrindavan_1976-09-23_Freedom_Without_Fall-Down.mp3</t>
  </si>
  <si>
    <t>SB-01-07-26_1976-09-23_SB-VRNDAVAN.MP3</t>
  </si>
  <si>
    <t>https://audio.iskcondesiretree.com/01_-_Srila_Prabhupada/01_-_Lectures/01_-_English/02_-_Month_wise/09_-_September/23/SB-01-07-26_1976-09-23_SB-VRNDAVAN.MP3</t>
  </si>
  <si>
    <t>SB_1-07-26_VRN_1976-09-23_Freedom_Without_Fall-Down.mp3</t>
  </si>
  <si>
    <t>https://audio.iskcondesiretree.com/01_-_Srila_Prabhupada/01_-_Lectures/01_-_English/02_-_Month_wise/09_-_September/23/SB_1-07-26_VRN_1976-09-23_Freedom_Without_Fall-Down.mp3</t>
  </si>
  <si>
    <t>SP_SB_1-07-27_Vrindavan_1976-09-24_Krishna-Blessing_or_Burden.mp3</t>
  </si>
  <si>
    <t>https://audio.iskcondesiretree.com/01_-_Srila_Prabhupada/01_-_Lectures/01_-_English/01_-_Topic_wise/Srimad_Bhagavatam/Canto-01/SP_SB_1-07-27_Vrindavan_1976-09-24_Krishna-Blessing_or_Burden.mp3</t>
  </si>
  <si>
    <t>SB-01-07-27_1976-09-24_SB-VRNDAVAN.MP3</t>
  </si>
  <si>
    <t>https://audio.iskcondesiretree.com/01_-_Srila_Prabhupada/01_-_Lectures/01_-_English/02_-_Month_wise/09_-_September/24/SB-01-07-27_1976-09-24_SB-VRNDAVAN.MP3</t>
  </si>
  <si>
    <t>SB_1-07-27_VRN_1976-09-24_Krishna-Blessing_or_Burden.mp3</t>
  </si>
  <si>
    <t>https://audio.iskcondesiretree.com/01_-_Srila_Prabhupada/01_-_Lectures/01_-_English/02_-_Month_wise/09_-_September/24/SB_1-07-27_VRN_1976-09-24_Krishna-Blessing_or_Burden.mp3</t>
  </si>
  <si>
    <t>SP_SB_1-07-28-29_Vrindavan_1976-09-25_Who_Needs_Krishna.mp3</t>
  </si>
  <si>
    <t>https://audio.iskcondesiretree.com/01_-_Srila_Prabhupada/01_-_Lectures/01_-_English/01_-_Topic_wise/Srimad_Bhagavatam/Canto-01/SP_SB_1-07-28-29_Vrindavan_1976-09-25_Who_Needs_Krishna.mp3</t>
  </si>
  <si>
    <t>SP_SB_1-07-28_Vrindavan_1976-09-25_Who_Needs_Krishna.mp3</t>
  </si>
  <si>
    <t>https://audio.iskcondesiretree.com/01_-_Srila_Prabhupada/01_-_Lectures/01_-_English/01_-_Topic_wise/Srimad_Bhagavatam/Canto-01/SP_SB_1-07-28_Vrindavan_1976-09-25_Who_Needs_Krishna.mp3</t>
  </si>
  <si>
    <t>SB-01-07-28%E2%80%9329_1976-09-25_SB-VRNDAVAN.MP3</t>
  </si>
  <si>
    <t>https://audio.iskcondesiretree.com/01_-_Srila_Prabhupada/01_-_Lectures/01_-_English/02_-_Month_wise/09_-_September/25/SB-01-07-28%E2%80%9329_1976-09-25_SB-VRNDAVAN.MP3</t>
  </si>
  <si>
    <t>SB_1-07-28_VRN_1976-09-25_Who_Needs_Krishna.mp3</t>
  </si>
  <si>
    <t>https://audio.iskcondesiretree.com/01_-_Srila_Prabhupada/01_-_Lectures/01_-_English/02_-_Month_wise/09_-_September/25/SB_1-07-28_VRN_1976-09-25_Who_Needs_Krishna.mp3</t>
  </si>
  <si>
    <t>SP_SB_1-07-30-31_Vrindavan_1976-09-26_Why_Make_Krishna_Impersonal.mp3</t>
  </si>
  <si>
    <t>https://audio.iskcondesiretree.com/01_-_Srila_Prabhupada/01_-_Lectures/01_-_English/01_-_Topic_wise/Srimad_Bhagavatam/Canto-01/SP_SB_1-07-30-31_Vrindavan_1976-09-26_Why_Make_Krishna_Impersonal.mp3</t>
  </si>
  <si>
    <t>SP_SB_1-07-30_Vrindavan_1976-09-26_Why_Make_Krishna_Impersonal.mp3</t>
  </si>
  <si>
    <t>https://audio.iskcondesiretree.com/01_-_Srila_Prabhupada/01_-_Lectures/01_-_English/01_-_Topic_wise/Srimad_Bhagavatam/Canto-01/SP_SB_1-07-30_Vrindavan_1976-09-26_Why_Make_Krishna_Impersonal.mp3</t>
  </si>
  <si>
    <t>Conv_1976-09-26_R1-VRNDAVAN.MP3</t>
  </si>
  <si>
    <t>https://audio.iskcondesiretree.com/01_-_Srila_Prabhupada/01_-_Lectures/01_-_English/02_-_Month_wise/09_-_September/26/Conv_1976-09-26_R1-VRNDAVAN.MP3</t>
  </si>
  <si>
    <t>SB-01-07-30%E2%80%9331_1976-09-26_SB-VRNDAVAN.MP3</t>
  </si>
  <si>
    <t>https://audio.iskcondesiretree.com/01_-_Srila_Prabhupada/01_-_Lectures/01_-_English/02_-_Month_wise/09_-_September/26/SB-01-07-30%E2%80%9331_1976-09-26_SB-VRNDAVAN.MP3</t>
  </si>
  <si>
    <t>SB_1-07-30_VRN_1976-09-26_Why_Make_Krishna_Impersonal.mp3</t>
  </si>
  <si>
    <t>https://audio.iskcondesiretree.com/01_-_Srila_Prabhupada/01_-_Lectures/01_-_English/02_-_Month_wise/09_-_September/26/SB_1-07-30_VRN_1976-09-26_Why_Make_Krishna_Impersonal.mp3</t>
  </si>
  <si>
    <t>SP_SB_1-07-32_Vrindavan_1976-09-27_Counteracting_Kali-Yuga.mp3</t>
  </si>
  <si>
    <t>https://audio.iskcondesiretree.com/01_-_Srila_Prabhupada/01_-_Lectures/01_-_English/01_-_Topic_wise/Srimad_Bhagavatam/Canto-01/SP_SB_1-07-32_Vrindavan_1976-09-27_Counteracting_Kali-Yuga.mp3</t>
  </si>
  <si>
    <t>SB-01-07-32%E2%80%9333_1976-09-27_SB-VRNDAVAN.MP3</t>
  </si>
  <si>
    <t>https://audio.iskcondesiretree.com/01_-_Srila_Prabhupada/01_-_Lectures/01_-_English/02_-_Month_wise/09_-_September/27/SB-01-07-32%E2%80%9333_1976-09-27_SB-VRNDAVAN.MP3</t>
  </si>
  <si>
    <t>SB_1-07-32_VRN_1976-09-27_Counteracting_Kali-Yuga.mp3</t>
  </si>
  <si>
    <t>https://audio.iskcondesiretree.com/01_-_Srila_Prabhupada/01_-_Lectures/01_-_English/02_-_Month_wise/09_-_September/27/SB_1-07-32_VRN_1976-09-27_Counteracting_Kali-Yuga.mp3</t>
  </si>
  <si>
    <t>SP_SB_1-07-34_Vrindavan_1976-09-28_The_Psychology_of_the_True_Brahmana.mp3</t>
  </si>
  <si>
    <t>https://audio.iskcondesiretree.com/01_-_Srila_Prabhupada/01_-_Lectures/01_-_English/01_-_Topic_wise/Srimad_Bhagavatam/Canto-01/SP_SB_1-07-34_Vrindavan_1976-09-28_The_Psychology_of_the_True_Brahmana.mp3</t>
  </si>
  <si>
    <t>SB-01-07-34%E2%80%9335_1976-09-28_SB-VRNDAVAN.MP3</t>
  </si>
  <si>
    <t>https://audio.iskcondesiretree.com/01_-_Srila_Prabhupada/01_-_Lectures/01_-_English/02_-_Month_wise/09_-_September/28/SB-01-07-34%E2%80%9335_1976-09-28_SB-VRNDAVAN.MP3</t>
  </si>
  <si>
    <t>SB_1-07-34_VRN_1976-09-28_The_Psychology_of_the_True_Brahmana.mp3</t>
  </si>
  <si>
    <t>https://audio.iskcondesiretree.com/01_-_Srila_Prabhupada/01_-_Lectures/01_-_English/02_-_Month_wise/09_-_September/28/SB_1-07-34_VRN_1976-09-28_The_Psychology_of_the_True_Brahmana.mp3</t>
  </si>
  <si>
    <t>SP_Room_Conversation_Vrindavan_1976-09-29_Doctor_-_Fact_Faith_Foolishness.mp3</t>
  </si>
  <si>
    <t>https://audio.iskcondesiretree.com/01_-_Srila_Prabhupada/01_-_Lectures/01_-_English/01_-_Topic_wise/Room_Conversation/SP_Room_Conversation_Vrindavan_1976-09-29_Doctor_-_Fact_Faith_Foolishness.mp3</t>
  </si>
  <si>
    <t>SP_SB_1-07-36-37_Vrindavan_1976-09-29_The_Point--Is_Krishna_Pleased.mp3</t>
  </si>
  <si>
    <t>https://audio.iskcondesiretree.com/01_-_Srila_Prabhupada/01_-_Lectures/01_-_English/01_-_Topic_wise/Srimad_Bhagavatam/Canto-01/SP_SB_1-07-36-37_Vrindavan_1976-09-29_The_Point--Is_Krishna_Pleased.mp3</t>
  </si>
  <si>
    <t>SP_SB_1-07-36_Vrindavan_1976-09-29_The_Point--Is_Krishna_Pleased.mp3</t>
  </si>
  <si>
    <t>https://audio.iskcondesiretree.com/01_-_Srila_Prabhupada/01_-_Lectures/01_-_English/01_-_Topic_wise/Srimad_Bhagavatam/Canto-01/SP_SB_1-07-36_Vrindavan_1976-09-29_The_Point--Is_Krishna_Pleased.mp3</t>
  </si>
  <si>
    <t>Conv_1976-09-29_R1-VRNDAVAN.MP3</t>
  </si>
  <si>
    <t>https://audio.iskcondesiretree.com/01_-_Srila_Prabhupada/01_-_Lectures/01_-_English/02_-_Month_wise/09_-_September/29/Conv_1976-09-29_R1-VRNDAVAN.MP3</t>
  </si>
  <si>
    <t>RC_VRN_1976-09-29_Doctor-Fact_Faith_Foolishness.mp3</t>
  </si>
  <si>
    <t>https://audio.iskcondesiretree.com/01_-_Srila_Prabhupada/01_-_Lectures/01_-_English/02_-_Month_wise/09_-_September/29/RC_VRN_1976-09-29_Doctor-Fact_Faith_Foolishness.mp3</t>
  </si>
  <si>
    <t>SB-01-07-36%E2%80%9337_1976-09-29_SB-VRNDAVAN.MP3</t>
  </si>
  <si>
    <t>https://audio.iskcondesiretree.com/01_-_Srila_Prabhupada/01_-_Lectures/01_-_English/02_-_Month_wise/09_-_September/29/SB-01-07-36%E2%80%9337_1976-09-29_SB-VRNDAVAN.MP3</t>
  </si>
  <si>
    <t>SB_1-07-36_VRN_1976-09-29_The_Point-Is_Krishna_Pleased.mp3</t>
  </si>
  <si>
    <t>https://audio.iskcondesiretree.com/01_-_Srila_Prabhupada/01_-_Lectures/01_-_English/02_-_Month_wise/09_-_September/29/SB_1-07-36_VRN_1976-09-29_The_Point-Is_Krishna_Pleased.mp3</t>
  </si>
  <si>
    <t>SP_SB_1-07-38-39_Vrindavan_1976-09-30_Don%27t_Keep_a_Guru_As_Fashion.mp3</t>
  </si>
  <si>
    <t>https://audio.iskcondesiretree.com/01_-_Srila_Prabhupada/01_-_Lectures/01_-_English/01_-_Topic_wise/Srimad_Bhagavatam/Canto-01/SP_SB_1-07-38-39_Vrindavan_1976-09-30_Don%27t_Keep_a_Guru_As_Fashion.mp3</t>
  </si>
  <si>
    <t>SP_SB_1-07-38_Vrindavan_1976-09-30_Don%27t_Keep_a_Guru_As_Fashion.mp3</t>
  </si>
  <si>
    <t>https://audio.iskcondesiretree.com/01_-_Srila_Prabhupada/01_-_Lectures/01_-_English/01_-_Topic_wise/Srimad_Bhagavatam/Canto-01/SP_SB_1-07-38_Vrindavan_1976-09-30_Don%27t_Keep_a_Guru_As_Fashion.mp3</t>
  </si>
  <si>
    <t>Conv_1976-09-30_R1-VRNDAVAN.MP3</t>
  </si>
  <si>
    <t>https://audio.iskcondesiretree.com/01_-_Srila_Prabhupada/01_-_Lectures/01_-_English/02_-_Month_wise/09_-_September/30/Conv_1976-09-30_R1-VRNDAVAN.MP3</t>
  </si>
  <si>
    <t>SB-01-07-38%E2%80%9339_1976-09-30_SB-VRNDAVAN.MP3</t>
  </si>
  <si>
    <t>https://audio.iskcondesiretree.com/01_-_Srila_Prabhupada/01_-_Lectures/01_-_English/02_-_Month_wise/09_-_September/30/SB-01-07-38%E2%80%9339_1976-09-30_SB-VRNDAVAN.MP3</t>
  </si>
  <si>
    <t>SB_1-07-38_VRN_1976-09-30_Don%27t_Keep_a_Guru_As_Fashion.mp3</t>
  </si>
  <si>
    <t>https://audio.iskcondesiretree.com/01_-_Srila_Prabhupada/01_-_Lectures/01_-_English/02_-_Month_wise/09_-_September/30/SB_1-07-38_VRN_1976-09-30_Don%27t_Keep_a_Guru_As_Fashion.mp3</t>
  </si>
  <si>
    <t>SP_SB_1-07-40_Vrindavan_1976-10-01_The_Callous_Can%27t_Pass_Krishna%27s_Test.mp3</t>
  </si>
  <si>
    <t>https://audio.iskcondesiretree.com/01_-_Srila_Prabhupada/01_-_Lectures/01_-_English/01_-_Topic_wise/Srimad_Bhagavatam/Canto-01/SP_SB_1-07-40_Vrindavan_1976-10-01_The_Callous_Can%27t_Pass_Krishna%27s_Test.mp3</t>
  </si>
  <si>
    <t>SB-01-07-40_1976-10-01_SB-VRNDAVAN.MP3</t>
  </si>
  <si>
    <t>https://audio.iskcondesiretree.com/01_-_Srila_Prabhupada/01_-_Lectures/01_-_English/02_-_Month_wise/10_-_October/01/SB-01-07-40_1976-10-01_SB-VRNDAVAN.MP3</t>
  </si>
  <si>
    <t>SB_1-07-40_VRN_1976-10-01_The_Callous_Can%27t_Pass_Krishna%27s_Test.mp3</t>
  </si>
  <si>
    <t>https://audio.iskcondesiretree.com/01_-_Srila_Prabhupada/01_-_Lectures/01_-_English/02_-_Month_wise/10_-_October/01/SB_1-07-40_VRN_1976-10-01_The_Callous_Can%27t_Pass_Krishna%27s_Test.mp3</t>
  </si>
  <si>
    <t>SP_SB_1-07-41_Vrindavan_1976-10-02_Servant_of_Servant_of_Servant.mp3</t>
  </si>
  <si>
    <t>https://audio.iskcondesiretree.com/01_-_Srila_Prabhupada/01_-_Lectures/01_-_English/01_-_Topic_wise/Srimad_Bhagavatam/Canto-01/SP_SB_1-07-41_Vrindavan_1976-10-02_Servant_of_Servant_of_Servant.mp3</t>
  </si>
  <si>
    <t>SB-01-07-41%E2%80%9342_1976-10-02_SB-VRNDAVAN.MP3</t>
  </si>
  <si>
    <t>https://audio.iskcondesiretree.com/01_-_Srila_Prabhupada/01_-_Lectures/01_-_English/02_-_Month_wise/10_-_October/02/SB-01-07-41%E2%80%9342_1976-10-02_SB-VRNDAVAN.MP3</t>
  </si>
  <si>
    <t>SB_1-07-41_VRN_1976-10-02_Servant_of_Servant_of_Servant.mp3</t>
  </si>
  <si>
    <t>https://audio.iskcondesiretree.com/01_-_Srila_Prabhupada/01_-_Lectures/01_-_English/02_-_Month_wise/10_-_October/02/SB_1-07-41_VRN_1976-10-02_Servant_of_Servant_of_Servant.mp3</t>
  </si>
  <si>
    <t>Walk_1976-10-02_MW-VRNDAVAN.MP3</t>
  </si>
  <si>
    <t>https://audio.iskcondesiretree.com/01_-_Srila_Prabhupada/01_-_Lectures/01_-_English/02_-_Month_wise/10_-_October/02/Walk_1976-10-02_MW-VRNDAVAN.MP3</t>
  </si>
  <si>
    <t>SP_SB_1-07-43_Vrindavan_1976-10-03_Husband_Wife_and_Happy_Home.mp3</t>
  </si>
  <si>
    <t>https://audio.iskcondesiretree.com/01_-_Srila_Prabhupada/01_-_Lectures/01_-_English/01_-_Topic_wise/Srimad_Bhagavatam/Canto-01/SP_SB_1-07-43_Vrindavan_1976-10-03_Husband_Wife_and_Happy_Home.mp3</t>
  </si>
  <si>
    <t>Conv_1976-10-03_R1-VRNDAVAN.MP3</t>
  </si>
  <si>
    <t>https://audio.iskcondesiretree.com/01_-_Srila_Prabhupada/01_-_Lectures/01_-_English/02_-_Month_wise/10_-_October/03/Conv_1976-10-03_R1-VRNDAVAN.MP3</t>
  </si>
  <si>
    <t>SB-01-07-43_1976-10-03_SB-VRNDAVAN.MP3</t>
  </si>
  <si>
    <t>https://audio.iskcondesiretree.com/01_-_Srila_Prabhupada/01_-_Lectures/01_-_English/02_-_Month_wise/10_-_October/03/SB-01-07-43_1976-10-03_SB-VRNDAVAN.MP3</t>
  </si>
  <si>
    <t>SB_1-07-43_VRN_1976-10-03_Husband_Wife_and_Happy_Home.mp3</t>
  </si>
  <si>
    <t>https://audio.iskcondesiretree.com/01_-_Srila_Prabhupada/01_-_Lectures/01_-_English/02_-_Month_wise/10_-_October/03/SB_1-07-43_VRN_1976-10-03_Husband_Wife_and_Happy_Home.mp3</t>
  </si>
  <si>
    <t>SP_SB_1-07-44_Vrindavan_1976-10-04_To_Serve_Vaisnava_Is_More...mp3</t>
  </si>
  <si>
    <t>https://audio.iskcondesiretree.com/01_-_Srila_Prabhupada/01_-_Lectures/01_-_English/01_-_Topic_wise/Srimad_Bhagavatam/Canto-01/SP_SB_1-07-44_Vrindavan_1976-10-04_To_Serve_Vaisnava_Is_More...mp3</t>
  </si>
  <si>
    <t>Conv_1976-10-04_R1-VRNDAVAN.MP3</t>
  </si>
  <si>
    <t>https://audio.iskcondesiretree.com/01_-_Srila_Prabhupada/01_-_Lectures/01_-_English/02_-_Month_wise/10_-_October/04/Conv_1976-10-04_R1-VRNDAVAN.MP3</t>
  </si>
  <si>
    <t>SB-01-07-44_1976-10-04_SB-VRNDAVAN.MP3</t>
  </si>
  <si>
    <t>https://audio.iskcondesiretree.com/01_-_Srila_Prabhupada/01_-_Lectures/01_-_English/02_-_Month_wise/10_-_October/04/SB-01-07-44_1976-10-04_SB-VRNDAVAN.MP3</t>
  </si>
  <si>
    <t>SB_1-07-44_VRN_1976-10-04_To_Serve_Vaisnava_Is_More.mp3</t>
  </si>
  <si>
    <t>https://audio.iskcondesiretree.com/01_-_Srila_Prabhupada/01_-_Lectures/01_-_English/02_-_Month_wise/10_-_October/04/SB_1-07-44_VRN_1976-10-04_To_Serve_Vaisnava_Is_More.mp3</t>
  </si>
  <si>
    <t>SP_SB_1-07-45-46_Vrindavan_1976-10-05_Deity_Worship-Not_Idol_Worship.mp3</t>
  </si>
  <si>
    <t>https://audio.iskcondesiretree.com/01_-_Srila_Prabhupada/01_-_Lectures/01_-_English/01_-_Topic_wise/Srimad_Bhagavatam/Canto-01/SP_SB_1-07-45-46_Vrindavan_1976-10-05_Deity_Worship-Not_Idol_Worship.mp3</t>
  </si>
  <si>
    <t>SP_SB_1-07-45_Vrindavan_1976-10-05_Deity_Worship-Not_Idol_Worship.mp3</t>
  </si>
  <si>
    <t>https://audio.iskcondesiretree.com/01_-_Srila_Prabhupada/01_-_Lectures/01_-_English/01_-_Topic_wise/Srimad_Bhagavatam/Canto-01/SP_SB_1-07-45_Vrindavan_1976-10-05_Deity_Worship-Not_Idol_Worship.mp3</t>
  </si>
  <si>
    <t>SB-01-07-45%E2%80%9346_1976-10-05_SB-VRNDAVAN.MP3</t>
  </si>
  <si>
    <t>https://audio.iskcondesiretree.com/01_-_Srila_Prabhupada/01_-_Lectures/01_-_English/02_-_Month_wise/10_-_October/05/SB-01-07-45%E2%80%9346_1976-10-05_SB-VRNDAVAN.MP3</t>
  </si>
  <si>
    <t>SB_1-07-45_VRN_1976-10-05_Deity_Worship-Not_Idol_Worship.mp3</t>
  </si>
  <si>
    <t>https://audio.iskcondesiretree.com/01_-_Srila_Prabhupada/01_-_Lectures/01_-_English/02_-_Month_wise/10_-_October/05/SB_1-07-45_VRN_1976-10-05_Deity_Worship-Not_Idol_Worship.mp3</t>
  </si>
  <si>
    <t>SP_SB_1-07-47-48_Vrindavan_1976-10-06_A_Devotee%27s_Heart.mp3</t>
  </si>
  <si>
    <t>https://audio.iskcondesiretree.com/01_-_Srila_Prabhupada/01_-_Lectures/01_-_English/01_-_Topic_wise/Srimad_Bhagavatam/Canto-01/SP_SB_1-07-47-48_Vrindavan_1976-10-06_A_Devotee%27s_Heart.mp3</t>
  </si>
  <si>
    <t>SP_SB_1-07-47_Vrindavan_1976-10-06_A_Devotee%27s_Heart.mp3</t>
  </si>
  <si>
    <t>https://audio.iskcondesiretree.com/01_-_Srila_Prabhupada/01_-_Lectures/01_-_English/01_-_Topic_wise/Srimad_Bhagavatam/Canto-01/SP_SB_1-07-47_Vrindavan_1976-10-06_A_Devotee%27s_Heart.mp3</t>
  </si>
  <si>
    <t>SB-01-07-47%E2%80%9348_1976-10-06_SB-VRNDAVAN.MP3</t>
  </si>
  <si>
    <t>https://audio.iskcondesiretree.com/01_-_Srila_Prabhupada/01_-_Lectures/01_-_English/02_-_Month_wise/10_-_October/06/SB-01-07-47%E2%80%9348_1976-10-06_SB-VRNDAVAN.MP3</t>
  </si>
  <si>
    <t>SB_1-07-47_VRN_1976-10-06_A_Devotee%27s_Heart.mp3</t>
  </si>
  <si>
    <t>https://audio.iskcondesiretree.com/01_-_Srila_Prabhupada/01_-_Lectures/01_-_English/02_-_Month_wise/10_-_October/06/SB_1-07-47_VRN_1976-10-06_A_Devotee%27s_Heart.mp3</t>
  </si>
  <si>
    <t>SP_SB_1-07-49-50_Vrindavan_1976-10-07_Love_God_Love_His_Dog.mp3</t>
  </si>
  <si>
    <t>https://audio.iskcondesiretree.com/01_-_Srila_Prabhupada/01_-_Lectures/01_-_English/01_-_Topic_wise/Srimad_Bhagavatam/Canto-01/SP_SB_1-07-49-50_Vrindavan_1976-10-07_Love_God_Love_His_Dog.mp3</t>
  </si>
  <si>
    <t>SP_SB_1-07-49_Vrindavan_1976-10-07_Love_God_Love_His_Dog.mp3</t>
  </si>
  <si>
    <t>https://audio.iskcondesiretree.com/01_-_Srila_Prabhupada/01_-_Lectures/01_-_English/01_-_Topic_wise/Srimad_Bhagavatam/Canto-01/SP_SB_1-07-49_Vrindavan_1976-10-07_Love_God_Love_His_Dog.mp3</t>
  </si>
  <si>
    <t>SB_1-07-49_VRN_1976-10-07_Love_God_Love_His_Dog.mp3</t>
  </si>
  <si>
    <t>https://audio.iskcondesiretree.com/01_-_Srila_Prabhupada/01_-_Lectures/01_-_English/02_-_Month_wise/10_-_October/07/SB_1-07-49_VRN_1976-10-07_Love_God_Love_His_Dog.mp3</t>
  </si>
  <si>
    <t>SP_SB_1-07-51-52_Vrindavan_1976-10-08_Anyone_Can_Become_Devotee.mp3</t>
  </si>
  <si>
    <t>https://audio.iskcondesiretree.com/01_-_Srila_Prabhupada/01_-_Lectures/01_-_English/01_-_Topic_wise/Srimad_Bhagavatam/Canto-01/SP_SB_1-07-51-52_Vrindavan_1976-10-08_Anyone_Can_Become_Devotee.mp3</t>
  </si>
  <si>
    <t>SP_SB_1-07-51_Vrindavan_1976-10-08_Anyone_Can_Become_Devotee.mp3</t>
  </si>
  <si>
    <t>https://audio.iskcondesiretree.com/01_-_Srila_Prabhupada/01_-_Lectures/01_-_English/01_-_Topic_wise/Srimad_Bhagavatam/Canto-01/SP_SB_1-07-51_Vrindavan_1976-10-08_Anyone_Can_Become_Devotee.mp3</t>
  </si>
  <si>
    <t>SB-01-07-51%E2%80%9352_1976-10-08_SB-VRNDAVAN.MP3</t>
  </si>
  <si>
    <t>https://audio.iskcondesiretree.com/01_-_Srila_Prabhupada/01_-_Lectures/01_-_English/02_-_Month_wise/10_-_October/08/SB-01-07-51%E2%80%9352_1976-10-08_SB-VRNDAVAN.MP3</t>
  </si>
  <si>
    <t>SB_1-07-51_VRN_1976-10-08_Anyone_Can_Become_Devotee.mp3</t>
  </si>
  <si>
    <t>https://audio.iskcondesiretree.com/01_-_Srila_Prabhupada/01_-_Lectures/01_-_English/02_-_Month_wise/10_-_October/08/SB_1-07-51_VRN_1976-10-08_Anyone_Can_Become_Devotee.mp3</t>
  </si>
  <si>
    <t>SP_Address_Aligarh_1976-10-09_The_Anti-secular_Science.mp3</t>
  </si>
  <si>
    <t>https://audio.iskcondesiretree.com/01_-_Srila_Prabhupada/01_-_Lectures/01_-_English/01_-_Topic_wise/Arrival_Address/SP_Address_Aligarh_1976-10-09_The_Anti-secular_Science.mp3</t>
  </si>
  <si>
    <t>SP_SB_1-02-05_Aligarh_1976-10-09_The_Religion_Above_All_Cheating.mp3</t>
  </si>
  <si>
    <t>https://audio.iskcondesiretree.com/01_-_Srila_Prabhupada/01_-_Lectures/01_-_English/01_-_Topic_wise/Srimad_Bhagavatam/Canto-01/SP_SB_1-02-05_Aligarh_1976-10-09_The_Religion_Above_All_Cheating.mp3</t>
  </si>
  <si>
    <t>Arr_ALI_1976-10-09_The_Anti-secular_Science.mp3</t>
  </si>
  <si>
    <t>https://audio.iskcondesiretree.com/01_-_Srila_Prabhupada/01_-_Lectures/01_-_English/02_-_Month_wise/10_-_October/09/Arr_ALI_1976-10-09_The_Anti-secular_Science.mp3</t>
  </si>
  <si>
    <t>Arrival_1976-10-09_AR-ALIGARH.MP3</t>
  </si>
  <si>
    <t>https://audio.iskcondesiretree.com/01_-_Srila_Prabhupada/01_-_Lectures/01_-_English/02_-_Month_wise/10_-_October/09/Arrival_1976-10-09_AR-ALIGARH.MP3</t>
  </si>
  <si>
    <t>Conv_1976-10-09_G1-ALIGARH.MP3</t>
  </si>
  <si>
    <t>https://audio.iskcondesiretree.com/01_-_Srila_Prabhupada/01_-_Lectures/01_-_English/02_-_Month_wise/10_-_October/09/Conv_1976-10-09_G1-ALIGARH.MP3</t>
  </si>
  <si>
    <t>Conv_1976-10-09_R1-ALIGARH.MP3</t>
  </si>
  <si>
    <t>https://audio.iskcondesiretree.com/01_-_Srila_Prabhupada/01_-_Lectures/01_-_English/02_-_Month_wise/10_-_October/09/Conv_1976-10-09_R1-ALIGARH.MP3</t>
  </si>
  <si>
    <t>SB-01-02-05_1976-10-09_SB-ALIGARH.MP3</t>
  </si>
  <si>
    <t>https://audio.iskcondesiretree.com/01_-_Srila_Prabhupada/01_-_Lectures/01_-_English/02_-_Month_wise/10_-_October/09/SB-01-02-05_1976-10-09_SB-ALIGARH.MP3</t>
  </si>
  <si>
    <t>SB_1-02-05_ALI_1976-10-09_The_Religion_Above_All_Cheating.mp3</t>
  </si>
  <si>
    <t>https://audio.iskcondesiretree.com/01_-_Srila_Prabhupada/01_-_Lectures/01_-_English/02_-_Month_wise/10_-_October/09/SB_1-02-05_ALI_1976-10-09_The_Religion_Above_All_Cheating.mp3</t>
  </si>
  <si>
    <t>Lecture%E2%80%93Hindi_1976-10-10_LE-ALIGARH.MP3</t>
  </si>
  <si>
    <t>https://audio.iskcondesiretree.com/01_-_Srila_Prabhupada/01_-_Lectures/01_-_English/02_-_Month_wise/10_-_October/10/Lecture%E2%80%93Hindi_1976-10-10_LE-ALIGARH.MP3</t>
  </si>
  <si>
    <t>SB-01-02-06%E2%80%93Hindi_1976-10-10_SB-ALIGARH.MP3</t>
  </si>
  <si>
    <t>https://audio.iskcondesiretree.com/01_-_Srila_Prabhupada/01_-_Lectures/01_-_English/02_-_Month_wise/10_-_October/10/SB-01-02-06%E2%80%93Hindi_1976-10-10_SB-ALIGARH.MP3</t>
  </si>
  <si>
    <t>Address_Hindi_1976-10-13_LE-CHANDIGARH.MP3</t>
  </si>
  <si>
    <t>https://audio.iskcondesiretree.com/01_-_Srila_Prabhupada/01_-_Lectures/01_-_English/02_-_Month_wise/10_-_October/13/Address_Hindi_1976-10-13_LE-CHANDIGARH.MP3</t>
  </si>
  <si>
    <t>SP_Room_Conversation_Chandigarh_1976-10-14_Next_Body-Are_You_Not_Afraid.mp3</t>
  </si>
  <si>
    <t>https://audio.iskcondesiretree.com/01_-_Srila_Prabhupada/01_-_Lectures/01_-_English/01_-_Topic_wise/Room_Conversation/SP_Room_Conversation_Chandigarh_1976-10-14_Next_Body-Are_You_Not_Afraid.mp3</t>
  </si>
  <si>
    <t>Address_Hindi_1976-10-14_AD-CHANDIGARH.MP3</t>
  </si>
  <si>
    <t>https://audio.iskcondesiretree.com/01_-_Srila_Prabhupada/01_-_Lectures/01_-_English/02_-_Month_wise/10_-_October/14/Address_Hindi_1976-10-14_AD-CHANDIGARH.MP3</t>
  </si>
  <si>
    <t>RC_CHA_1976-10-14_Next_Body-Are_You_Not_Afraid.mp3</t>
  </si>
  <si>
    <t>https://audio.iskcondesiretree.com/01_-_Srila_Prabhupada/01_-_Lectures/01_-_English/02_-_Month_wise/10_-_October/14/RC_CHA_1976-10-14_Next_Body-Are_You_Not_Afraid.mp3</t>
  </si>
  <si>
    <t>Walk_1976-10-14_MW-CHANDIGARH.MP3</t>
  </si>
  <si>
    <t>https://audio.iskcondesiretree.com/01_-_Srila_Prabhupada/01_-_Lectures/01_-_English/02_-_Month_wise/10_-_October/14/Walk_1976-10-14_MW-CHANDIGARH.MP3</t>
  </si>
  <si>
    <t>Bg-07-01%E2%80%93Hindi_1976-10-15_BG-CHANDIGARH.MP3</t>
  </si>
  <si>
    <t>https://audio.iskcondesiretree.com/01_-_Srila_Prabhupada/01_-_Lectures/01_-_English/02_-_Month_wise/10_-_October/15/Bg-07-01%E2%80%93Hindi_1976-10-15_BG-CHANDIGARH.MP3</t>
  </si>
  <si>
    <t>SP_Interview_Chandigarh_1976-10-16_Press--Everyone_of_You-Become_Guru.mp3</t>
  </si>
  <si>
    <t>https://audio.iskcondesiretree.com/01_-_Srila_Prabhupada/01_-_Lectures/01_-_English/01_-_Topic_wise/Interview/SP_Interview_Chandigarh_1976-10-16_Press--Everyone_of_You-Become_Guru.mp3</t>
  </si>
  <si>
    <t>Bg-09-03%E2%80%93Hindi_1976-10-16_BG-CHANDIGARH.MP3</t>
  </si>
  <si>
    <t>https://audio.iskcondesiretree.com/01_-_Srila_Prabhupada/01_-_Lectures/01_-_English/02_-_Month_wise/10_-_October/16/Bg-09-03%E2%80%93Hindi_1976-10-16_BG-CHANDIGARH.MP3</t>
  </si>
  <si>
    <t>Interv_CHA_1976-10-16_Press-Everyone_of_You_Become_Guru.mp3</t>
  </si>
  <si>
    <t>https://audio.iskcondesiretree.com/01_-_Srila_Prabhupada/01_-_Lectures/01_-_English/02_-_Month_wise/10_-_October/16/Interv_CHA_1976-10-16_Press-Everyone_of_You_Become_Guru.mp3</t>
  </si>
  <si>
    <t>Interview_1976-10-16_IV-CHANDIGARH.MP3</t>
  </si>
  <si>
    <t>https://audio.iskcondesiretree.com/01_-_Srila_Prabhupada/01_-_Lectures/01_-_English/02_-_Month_wise/10_-_October/16/Interview_1976-10-16_IV-CHANDIGARH.MP3</t>
  </si>
  <si>
    <t>SP_Address_Chandigarh_1976-10-17_To_Rotary_Club--Let_Krishna_Speak--etc.mp3</t>
  </si>
  <si>
    <t>https://audio.iskcondesiretree.com/01_-_Srila_Prabhupada/01_-_Lectures/01_-_English/01_-_Topic_wise/Arrival_Address/SP_Address_Chandigarh_1976-10-17_To_Rotary_Club--Let_Krishna_Speak--etc.mp3</t>
  </si>
  <si>
    <t>Addr_CHA_1976-10-17_To_Rotary_Club_Let_Krishna_Speak_etc.mp3</t>
  </si>
  <si>
    <t>https://audio.iskcondesiretree.com/01_-_Srila_Prabhupada/01_-_Lectures/01_-_English/02_-_Month_wise/10_-_October/17/Addr_CHA_1976-10-17_To_Rotary_Club_Let_Krishna_Speak_etc.mp3</t>
  </si>
  <si>
    <t>Address_1976-10-17_LE-CHANDIGARH.MP3</t>
  </si>
  <si>
    <t>https://audio.iskcondesiretree.com/01_-_Srila_Prabhupada/01_-_Lectures/01_-_English/02_-_Month_wise/10_-_October/17/Address_1976-10-17_LE-CHANDIGARH.MP3</t>
  </si>
  <si>
    <t>Bg-13-08%E2%80%9312%E2%80%93Hindi_1976-10-18_BG-CHANDIGARH.MP3</t>
  </si>
  <si>
    <t>https://audio.iskcondesiretree.com/01_-_Srila_Prabhupada/01_-_Lectures/01_-_English/02_-_Month_wise/10_-_October/18/Bg-13-08%E2%80%9312%E2%80%93Hindi_1976-10-18_BG-CHANDIGARH.MP3</t>
  </si>
  <si>
    <t>SB-05-05-01_1976-10-22_SB-VRNDAVAN.MP3</t>
  </si>
  <si>
    <t>https://audio.iskcondesiretree.com/01_-_Srila_Prabhupada/01_-_Lectures/01_-_English/02_-_Month_wise/10_-_October/22/SB-05-05-01_1976-10-22_SB-VRNDAVAN.MP3</t>
  </si>
  <si>
    <t>SP_SB_5-05-01_Vrindavan_1976-10-23_Real_Austerity.mp3</t>
  </si>
  <si>
    <t>https://audio.iskcondesiretree.com/01_-_Srila_Prabhupada/01_-_Lectures/01_-_English/01_-_Topic_wise/Srimad_Bhagavatam/Canto-05/SP_SB_5-05-01_Vrindavan_1976-10-23_Real_Austerity.mp3</t>
  </si>
  <si>
    <t>SB-05-05-01_1976-10-23_SB-VRNDAVAN.MP3</t>
  </si>
  <si>
    <t>https://audio.iskcondesiretree.com/01_-_Srila_Prabhupada/01_-_Lectures/01_-_English/02_-_Month_wise/10_-_October/23/SB-05-05-01_1976-10-23_SB-VRNDAVAN.MP3</t>
  </si>
  <si>
    <t>SB_5-05-01_VRN_1976-10-23_Real_Austerity.mp3</t>
  </si>
  <si>
    <t>https://audio.iskcondesiretree.com/01_-_Srila_Prabhupada/01_-_Lectures/01_-_English/02_-_Month_wise/10_-_October/23/SB_5-05-01_VRN_1976-10-23_Real_Austerity.mp3</t>
  </si>
  <si>
    <t>SB-05-05-02_1976-10-24_SB-VRNDAVAN.MP3</t>
  </si>
  <si>
    <t>https://audio.iskcondesiretree.com/01_-_Srila_Prabhupada/01_-_Lectures/01_-_English/02_-_Month_wise/10_-_October/24/SB-05-05-02_1976-10-24_SB-VRNDAVAN.MP3</t>
  </si>
  <si>
    <t>SB-05-05-03_1976-10-25_SB-VRNDAVAN.MP3</t>
  </si>
  <si>
    <t>https://audio.iskcondesiretree.com/01_-_Srila_Prabhupada/01_-_Lectures/01_-_English/02_-_Month_wise/10_-_October/25/SB-05-05-03_1976-10-25_SB-VRNDAVAN.MP3</t>
  </si>
  <si>
    <t>Conv_1976-10-26_R1-VRNDAVAN.MP3</t>
  </si>
  <si>
    <t>https://audio.iskcondesiretree.com/01_-_Srila_Prabhupada/01_-_Lectures/01_-_English/02_-_Month_wise/10_-_October/26/Conv_1976-10-26_R1-VRNDAVAN.MP3</t>
  </si>
  <si>
    <t>SB-05-05-04_1976-10-26_SB-VRNDAVAN.MP3</t>
  </si>
  <si>
    <t>https://audio.iskcondesiretree.com/01_-_Srila_Prabhupada/01_-_Lectures/01_-_English/02_-_Month_wise/10_-_October/26/SB-05-05-04_1976-10-26_SB-VRNDAVAN.MP3</t>
  </si>
  <si>
    <t>SB-05-05-05_1976-10-27_SB-VRNDAVAN.MP3</t>
  </si>
  <si>
    <t>https://audio.iskcondesiretree.com/01_-_Srila_Prabhupada/01_-_Lectures/01_-_English/02_-_Month_wise/10_-_October/27/SB-05-05-05_1976-10-27_SB-VRNDAVAN.MP3</t>
  </si>
  <si>
    <t>SP_SB_5-05-06_Vrindavan_1976-10-28_Civilization_%3D_Degradation.mp3</t>
  </si>
  <si>
    <t>https://audio.iskcondesiretree.com/01_-_Srila_Prabhupada/01_-_Lectures/01_-_English/01_-_Topic_wise/Srimad_Bhagavatam/Canto-05/SP_SB_5-05-06_Vrindavan_1976-10-28_Civilization_%3D_Degradation.mp3</t>
  </si>
  <si>
    <t>SB-05-05-06_1976-10-28_SB-VRNDAVAN.MP3</t>
  </si>
  <si>
    <t>https://audio.iskcondesiretree.com/01_-_Srila_Prabhupada/01_-_Lectures/01_-_English/02_-_Month_wise/10_-_October/28/SB-05-05-06_1976-10-28_SB-VRNDAVAN.MP3</t>
  </si>
  <si>
    <t>SB_5-05-06_VRN_1976-10-28_Civilization_-_Degradation.mp3</t>
  </si>
  <si>
    <t>https://audio.iskcondesiretree.com/01_-_Srila_Prabhupada/01_-_Lectures/01_-_English/02_-_Month_wise/10_-_October/28/SB_5-05-06_VRN_1976-10-28_Civilization_-_Degradation.mp3</t>
  </si>
  <si>
    <t>SP_SB_5-05-07_Vrindavan_1976-10-29_Fully_Extended_Self-Interest.mp3</t>
  </si>
  <si>
    <t>https://audio.iskcondesiretree.com/01_-_Srila_Prabhupada/01_-_Lectures/01_-_English/01_-_Topic_wise/Srimad_Bhagavatam/Canto-05/SP_SB_5-05-07_Vrindavan_1976-10-29_Fully_Extended_Self-Interest.mp3</t>
  </si>
  <si>
    <t>SB-05-05-07_1976-10-29_SB-VRNDAVAN.MP3</t>
  </si>
  <si>
    <t>https://audio.iskcondesiretree.com/01_-_Srila_Prabhupada/01_-_Lectures/01_-_English/02_-_Month_wise/10_-_October/29/SB-05-05-07_1976-10-29_SB-VRNDAVAN.MP3</t>
  </si>
  <si>
    <t>SB_5-05-07_VRN_1976-10-29_Fully_Extended_Self-Interest.mp3</t>
  </si>
  <si>
    <t>https://audio.iskcondesiretree.com/01_-_Srila_Prabhupada/01_-_Lectures/01_-_English/02_-_Month_wise/10_-_October/29/SB_5-05-07_VRN_1976-10-29_Fully_Extended_Self-Interest.mp3</t>
  </si>
  <si>
    <t>SP_SB_5-05-08_Vrindavan_1976-10-30_Remain_with_Celibacy_and_be_Happy.mp3</t>
  </si>
  <si>
    <t>https://audio.iskcondesiretree.com/01_-_Srila_Prabhupada/01_-_Lectures/01_-_English/01_-_Topic_wise/Srimad_Bhagavatam/Canto-05/SP_SB_5-05-08_Vrindavan_1976-10-30_Remain_with_Celibacy_and_be_Happy.mp3</t>
  </si>
  <si>
    <t>SB-05-05-08_1976-10-30_SB-VRNDAVAN.MP3</t>
  </si>
  <si>
    <t>https://audio.iskcondesiretree.com/01_-_Srila_Prabhupada/01_-_Lectures/01_-_English/02_-_Month_wise/10_-_October/30/SB-05-05-08_1976-10-30_SB-VRNDAVAN.MP3</t>
  </si>
  <si>
    <t>SB_5-05-08_VRN_1976-10-30_Remain_with_Celibacy_and_be_Happy.mp3</t>
  </si>
  <si>
    <t>https://audio.iskcondesiretree.com/01_-_Srila_Prabhupada/01_-_Lectures/01_-_English/02_-_Month_wise/10_-_October/30/SB_5-05-08_VRN_1976-10-30_Remain_with_Celibacy_and_be_Happy.mp3</t>
  </si>
  <si>
    <t>SP_SB_5-05-09_Vrindavan_1976-10-31_Being_with_Krishna_Is_Fact.mp3</t>
  </si>
  <si>
    <t>https://audio.iskcondesiretree.com/01_-_Srila_Prabhupada/01_-_Lectures/01_-_English/01_-_Topic_wise/Srimad_Bhagavatam/Canto-05/SP_SB_5-05-09_Vrindavan_1976-10-31_Being_with_Krishna_Is_Fact.mp3</t>
  </si>
  <si>
    <t>Conv_1976-10-31_R1-VRNDAVAN.MP3</t>
  </si>
  <si>
    <t>https://audio.iskcondesiretree.com/01_-_Srila_Prabhupada/01_-_Lectures/01_-_English/02_-_Month_wise/10_-_October/31/Conv_1976-10-31_R1-VRNDAVAN.MP3</t>
  </si>
  <si>
    <t>SB-05-05-09_1976-10-31_SB-VRNDAVAN.MP3</t>
  </si>
  <si>
    <t>https://audio.iskcondesiretree.com/01_-_Srila_Prabhupada/01_-_Lectures/01_-_English/02_-_Month_wise/10_-_October/31/SB-05-05-09_1976-10-31_SB-VRNDAVAN.MP3</t>
  </si>
  <si>
    <t>SB_5-05-09_VRN_1976-10-31_Being_with_Krishna_Is_Fact.mp3</t>
  </si>
  <si>
    <t>https://audio.iskcondesiretree.com/01_-_Srila_Prabhupada/01_-_Lectures/01_-_English/02_-_Month_wise/10_-_October/31/SB_5-05-09_VRN_1976-10-31_Being_with_Krishna_Is_Fact.mp3</t>
  </si>
  <si>
    <t>SP_SB_5-05-10_Vrindavan_1976-11-01_Simple_Living.mp3</t>
  </si>
  <si>
    <t>https://audio.iskcondesiretree.com/01_-_Srila_Prabhupada/01_-_Lectures/01_-_English/01_-_Topic_wise/Srimad_Bhagavatam/Canto-05/SP_SB_5-05-10_Vrindavan_1976-11-01_Simple_Living.mp3</t>
  </si>
  <si>
    <t>SB-05-05-10%E2%80%9313_1976-11-01_SB-VRNDAVAN.MP3</t>
  </si>
  <si>
    <t>https://audio.iskcondesiretree.com/01_-_Srila_Prabhupada/01_-_Lectures/01_-_English/02_-_Month_wise/11_-_November/01/SB-05-05-10%E2%80%9313_1976-11-01_SB-VRNDAVAN.MP3</t>
  </si>
  <si>
    <t>SB_5-05-10_VRN_1976-11-01_Simple_Living.mp3</t>
  </si>
  <si>
    <t>https://audio.iskcondesiretree.com/01_-_Srila_Prabhupada/01_-_Lectures/01_-_English/02_-_Month_wise/11_-_November/01/SB_5-05-10_VRN_1976-11-01_Simple_Living.mp3</t>
  </si>
  <si>
    <t>Conv_1976-11-02_R1-VRNDAVAN.MP3</t>
  </si>
  <si>
    <t>https://audio.iskcondesiretree.com/01_-_Srila_Prabhupada/01_-_Lectures/01_-_English/02_-_Month_wise/11_-_November/02/Conv_1976-11-02_R1-VRNDAVAN.MP3</t>
  </si>
  <si>
    <t>Conv_1976-11-02_R2-VRNDAVAN.MP3</t>
  </si>
  <si>
    <t>https://audio.iskcondesiretree.com/01_-_Srila_Prabhupada/01_-_Lectures/01_-_English/02_-_Month_wise/11_-_November/02/Conv_1976-11-02_R2-VRNDAVAN.MP3</t>
  </si>
  <si>
    <t>SB-05-05-14_1976-11-02_SB-VRNDAVAN.MP3</t>
  </si>
  <si>
    <t>https://audio.iskcondesiretree.com/01_-_Srila_Prabhupada/01_-_Lectures/01_-_English/02_-_Month_wise/11_-_November/02/SB-05-05-14_1976-11-02_SB-VRNDAVAN.MP3</t>
  </si>
  <si>
    <t>SP_Room_Conversation_Vrindavan_1976-11-03_Sex_Education-Wasting_Time.mp3</t>
  </si>
  <si>
    <t>https://audio.iskcondesiretree.com/01_-_Srila_Prabhupada/01_-_Lectures/01_-_English/01_-_Topic_wise/Room_Conversation/SP_Room_Conversation_Vrindavan_1976-11-03_Sex_Education-Wasting_Time.mp3</t>
  </si>
  <si>
    <t>SP_SB_5-05-15_Vrindavan_1976-11-03_Not_Brainwashing--Brain_Cleaning.mp3</t>
  </si>
  <si>
    <t>https://audio.iskcondesiretree.com/01_-_Srila_Prabhupada/01_-_Lectures/01_-_English/01_-_Topic_wise/Srimad_Bhagavatam/Canto-05/SP_SB_5-05-15_Vrindavan_1976-11-03_Not_Brainwashing--Brain_Cleaning.mp3</t>
  </si>
  <si>
    <t>Conv_1976-11-03_R1-VRNDAVAN.MP3</t>
  </si>
  <si>
    <t>https://audio.iskcondesiretree.com/01_-_Srila_Prabhupada/01_-_Lectures/01_-_English/02_-_Month_wise/11_-_November/03/Conv_1976-11-03_R1-VRNDAVAN.MP3</t>
  </si>
  <si>
    <t>Conv_1976-11-03_R2-VRNDAVAN.MP3</t>
  </si>
  <si>
    <t>https://audio.iskcondesiretree.com/01_-_Srila_Prabhupada/01_-_Lectures/01_-_English/02_-_Month_wise/11_-_November/03/Conv_1976-11-03_R2-VRNDAVAN.MP3</t>
  </si>
  <si>
    <t>RC_VRN_1976-11-03_Sex_Education-Wasting_Time.mp3</t>
  </si>
  <si>
    <t>https://audio.iskcondesiretree.com/01_-_Srila_Prabhupada/01_-_Lectures/01_-_English/02_-_Month_wise/11_-_November/03/RC_VRN_1976-11-03_Sex_Education-Wasting_Time.mp3</t>
  </si>
  <si>
    <t>SB-05-05-15_1976-11-03_SB-VRNDAVAN.MP3</t>
  </si>
  <si>
    <t>https://audio.iskcondesiretree.com/01_-_Srila_Prabhupada/01_-_Lectures/01_-_English/02_-_Month_wise/11_-_November/03/SB-05-05-15_1976-11-03_SB-VRNDAVAN.MP3</t>
  </si>
  <si>
    <t>SB_5-05-15_VRN_1976-11-03_Not_Brainwashing-Brain_Cleaning.mp3</t>
  </si>
  <si>
    <t>https://audio.iskcondesiretree.com/01_-_Srila_Prabhupada/01_-_Lectures/01_-_English/02_-_Month_wise/11_-_November/03/SB_5-05-15_VRN_1976-11-03_Not_Brainwashing-Brain_Cleaning.mp3</t>
  </si>
  <si>
    <t>SP_Room_Conversation_Vrindavan_1976-11-04_Nobody_Is_Satisfied_Income.mp3</t>
  </si>
  <si>
    <t>https://audio.iskcondesiretree.com/01_-_Srila_Prabhupada/01_-_Lectures/01_-_English/01_-_Topic_wise/Room_Conversation/SP_Room_Conversation_Vrindavan_1976-11-04_Nobody_Is_Satisfied_Income.mp3</t>
  </si>
  <si>
    <t>SP_SB_5-05-16_Vrindavan_1976-11-04_Envious_Monkey_Business.mp3</t>
  </si>
  <si>
    <t>https://audio.iskcondesiretree.com/01_-_Srila_Prabhupada/01_-_Lectures/01_-_English/01_-_Topic_wise/Srimad_Bhagavatam/Canto-05/SP_SB_5-05-16_Vrindavan_1976-11-04_Envious_Monkey_Business.mp3</t>
  </si>
  <si>
    <t>Conv_1976-11-04_R1-VRNDAVAN.MP3</t>
  </si>
  <si>
    <t>https://audio.iskcondesiretree.com/01_-_Srila_Prabhupada/01_-_Lectures/01_-_English/02_-_Month_wise/11_-_November/04/Conv_1976-11-04_R1-VRNDAVAN.MP3</t>
  </si>
  <si>
    <t>RC_VRN_1976-11-04_Nobody_Is_Satisfied_Income.mp3</t>
  </si>
  <si>
    <t>https://audio.iskcondesiretree.com/01_-_Srila_Prabhupada/01_-_Lectures/01_-_English/02_-_Month_wise/11_-_November/04/RC_VRN_1976-11-04_Nobody_Is_Satisfied_Income.mp3</t>
  </si>
  <si>
    <t>SB-05-05-16_1976-11-04_SB-VRNDAVAN.MP3</t>
  </si>
  <si>
    <t>https://audio.iskcondesiretree.com/01_-_Srila_Prabhupada/01_-_Lectures/01_-_English/02_-_Month_wise/11_-_November/04/SB-05-05-16_1976-11-04_SB-VRNDAVAN.MP3</t>
  </si>
  <si>
    <t>SB_5-05-16_VRN_1976-11-04_Envious_Monkey_Business.mp3</t>
  </si>
  <si>
    <t>https://audio.iskcondesiretree.com/01_-_Srila_Prabhupada/01_-_Lectures/01_-_English/02_-_Month_wise/11_-_November/04/SB_5-05-16_VRN_1976-11-04_Envious_Monkey_Business.mp3</t>
  </si>
  <si>
    <t>SP_Room_Conversation_Vrindavan_1976-11-05_Gurukula_Guidelines.mp3</t>
  </si>
  <si>
    <t>https://audio.iskcondesiretree.com/01_-_Srila_Prabhupada/01_-_Lectures/01_-_English/01_-_Topic_wise/Room_Conversation/SP_Room_Conversation_Vrindavan_1976-11-05_Gurukula_Guidelines.mp3</t>
  </si>
  <si>
    <t>SP_SB_5-05-17_Vrindavan_1976-11-05_%27Classless%27_Means--etc.mp3</t>
  </si>
  <si>
    <t>https://audio.iskcondesiretree.com/01_-_Srila_Prabhupada/01_-_Lectures/01_-_English/01_-_Topic_wise/Srimad_Bhagavatam/Canto-05/SP_SB_5-05-17_Vrindavan_1976-11-05_%27Classless%27_Means--etc.mp3</t>
  </si>
  <si>
    <t>Conv_1976-11-05_R1-VRNDAVAN.MP3</t>
  </si>
  <si>
    <t>https://audio.iskcondesiretree.com/01_-_Srila_Prabhupada/01_-_Lectures/01_-_English/02_-_Month_wise/11_-_November/05/Conv_1976-11-05_R1-VRNDAVAN.MP3</t>
  </si>
  <si>
    <t>RC_VRN_1976-11-05_Gurukula_Guidelines.mp3</t>
  </si>
  <si>
    <t>https://audio.iskcondesiretree.com/01_-_Srila_Prabhupada/01_-_Lectures/01_-_English/02_-_Month_wise/11_-_November/05/RC_VRN_1976-11-05_Gurukula_Guidelines.mp3</t>
  </si>
  <si>
    <t>SB-05-05-17_1976-11-05_SB-VRNDAVAN.MP3</t>
  </si>
  <si>
    <t>https://audio.iskcondesiretree.com/01_-_Srila_Prabhupada/01_-_Lectures/01_-_English/02_-_Month_wise/11_-_November/05/SB-05-05-17_1976-11-05_SB-VRNDAVAN.MP3</t>
  </si>
  <si>
    <t>SB_5-05-17_VRN_1976-11-05_Classless_Means_etc.mp3</t>
  </si>
  <si>
    <t>https://audio.iskcondesiretree.com/01_-_Srila_Prabhupada/01_-_Lectures/01_-_English/02_-_Month_wise/11_-_November/05/SB_5-05-17_VRN_1976-11-05_Classless_Means_etc.mp3</t>
  </si>
  <si>
    <t>SP_SB_5-05-18_Vrindavan_1976-11-06_Guru_Shouldn%27t_Cheat_Disciple.mp3</t>
  </si>
  <si>
    <t>https://audio.iskcondesiretree.com/01_-_Srila_Prabhupada/01_-_Lectures/01_-_English/01_-_Topic_wise/Srimad_Bhagavatam/Canto-05/SP_SB_5-05-18_Vrindavan_1976-11-06_Guru_Shouldn%27t_Cheat_Disciple.mp3</t>
  </si>
  <si>
    <t>Conv_1976-11-06_R1-VRNDAVAN.MP3</t>
  </si>
  <si>
    <t>https://audio.iskcondesiretree.com/01_-_Srila_Prabhupada/01_-_Lectures/01_-_English/02_-_Month_wise/11_-_November/06/Conv_1976-11-06_R1-VRNDAVAN.MP3</t>
  </si>
  <si>
    <t>SB-05-05-18_1976-11-06_SB-VRNDAVAN.MP3</t>
  </si>
  <si>
    <t>https://audio.iskcondesiretree.com/01_-_Srila_Prabhupada/01_-_Lectures/01_-_English/02_-_Month_wise/11_-_November/06/SB-05-05-18_1976-11-06_SB-VRNDAVAN.MP3</t>
  </si>
  <si>
    <t>SB_5-05-18_VRN_1976-11-06_Guru_Shouldn%27t_Cheat_Disciple.mp3</t>
  </si>
  <si>
    <t>https://audio.iskcondesiretree.com/01_-_Srila_Prabhupada/01_-_Lectures/01_-_English/02_-_Month_wise/11_-_November/06/SB_5-05-18_VRN_1976-11-06_Guru_Shouldn%27t_Cheat_Disciple.mp3</t>
  </si>
  <si>
    <t>SP_SB_5-05-19_Vrindavan_1976-11-07_Spiritual_Eye_Surgery.mp3</t>
  </si>
  <si>
    <t>https://audio.iskcondesiretree.com/01_-_Srila_Prabhupada/01_-_Lectures/01_-_English/01_-_Topic_wise/Srimad_Bhagavatam/Canto-05/SP_SB_5-05-19_Vrindavan_1976-11-07_Spiritual_Eye_Surgery.mp3</t>
  </si>
  <si>
    <t>SB-05-05-19_1976-11-07_SB-VRNDAVAN.MP3</t>
  </si>
  <si>
    <t>https://audio.iskcondesiretree.com/01_-_Srila_Prabhupada/01_-_Lectures/01_-_English/02_-_Month_wise/11_-_November/07/SB-05-05-19_1976-11-07_SB-VRNDAVAN.MP3</t>
  </si>
  <si>
    <t>SB_5-05-19_VRN_1976-11-07_Spiritual_Eye_Surgery.mp3</t>
  </si>
  <si>
    <t>https://audio.iskcondesiretree.com/01_-_Srila_Prabhupada/01_-_Lectures/01_-_English/02_-_Month_wise/11_-_November/07/SB_5-05-19_VRN_1976-11-07_Spiritual_Eye_Surgery.mp3</t>
  </si>
  <si>
    <t>SP_SB_5-05-20_Vrindavan_1976-11-08_Whole_Planet_Belongs_to_Krishna.mp3</t>
  </si>
  <si>
    <t>https://audio.iskcondesiretree.com/01_-_Srila_Prabhupada/01_-_Lectures/01_-_English/01_-_Topic_wise/Srimad_Bhagavatam/Canto-05/SP_SB_5-05-20_Vrindavan_1976-11-08_Whole_Planet_Belongs_to_Krishna.mp3</t>
  </si>
  <si>
    <t>SB-05-05-20_1976-11-08_SB-VRNDAVAN.MP3</t>
  </si>
  <si>
    <t>https://audio.iskcondesiretree.com/01_-_Srila_Prabhupada/01_-_Lectures/01_-_English/02_-_Month_wise/11_-_November/08/SB-05-05-20_1976-11-08_SB-VRNDAVAN.MP3</t>
  </si>
  <si>
    <t>SB_5-05-20_VRN_1976-11-08_Whole_Planet_Belongs_to_Krishna.mp3</t>
  </si>
  <si>
    <t>https://audio.iskcondesiretree.com/01_-_Srila_Prabhupada/01_-_Lectures/01_-_English/02_-_Month_wise/11_-_November/08/SB_5-05-20_VRN_1976-11-08_Whole_Planet_Belongs_to_Krishna.mp3</t>
  </si>
  <si>
    <t>SP_SB_5-05-21_Vrindavan_1976-11-09_Evolved_Consciousness.mp3</t>
  </si>
  <si>
    <t>https://audio.iskcondesiretree.com/01_-_Srila_Prabhupada/01_-_Lectures/01_-_English/01_-_Topic_wise/Srimad_Bhagavatam/Canto-05/SP_SB_5-05-21_Vrindavan_1976-11-09_Evolved_Consciousness.mp3</t>
  </si>
  <si>
    <t>SB-05-05-21%E2%80%9322_1976-11-09_SB-VRNDAVAN.MP3</t>
  </si>
  <si>
    <t>https://audio.iskcondesiretree.com/01_-_Srila_Prabhupada/01_-_Lectures/01_-_English/02_-_Month_wise/11_-_November/09/SB-05-05-21%E2%80%9322_1976-11-09_SB-VRNDAVAN.MP3</t>
  </si>
  <si>
    <t>SB_5-05-21_VRN_1976-11-09_Evolved_Consciousness.mp3</t>
  </si>
  <si>
    <t>https://audio.iskcondesiretree.com/01_-_Srila_Prabhupada/01_-_Lectures/01_-_English/02_-_Month_wise/11_-_November/09/SB_5-05-21_VRN_1976-11-09_Evolved_Consciousness.mp3</t>
  </si>
  <si>
    <t>SP_SB_5-05-23_Vrindavan_1976-11-10_Culture-Brahminical_or_Animal.mp3</t>
  </si>
  <si>
    <t>https://audio.iskcondesiretree.com/01_-_Srila_Prabhupada/01_-_Lectures/01_-_English/01_-_Topic_wise/Srimad_Bhagavatam/Canto-05/SP_SB_5-05-23_Vrindavan_1976-11-10_Culture-Brahminical_or_Animal.mp3</t>
  </si>
  <si>
    <t>Conv_1976-11-10_R1-VRNDAVAN.MP3</t>
  </si>
  <si>
    <t>https://audio.iskcondesiretree.com/01_-_Srila_Prabhupada/01_-_Lectures/01_-_English/02_-_Month_wise/11_-_November/10/Conv_1976-11-10_R1-VRNDAVAN.MP3</t>
  </si>
  <si>
    <t>SB-05-05-23_1976-11-10_SB-VRNDAVAN.MP3</t>
  </si>
  <si>
    <t>https://audio.iskcondesiretree.com/01_-_Srila_Prabhupada/01_-_Lectures/01_-_English/02_-_Month_wise/11_-_November/10/SB-05-05-23_1976-11-10_SB-VRNDAVAN.MP3</t>
  </si>
  <si>
    <t>SB_5-05-23_VRN_1976-11-10_Culture-Brahminical_or_Animal.mp3</t>
  </si>
  <si>
    <t>https://audio.iskcondesiretree.com/01_-_Srila_Prabhupada/01_-_Lectures/01_-_English/02_-_Month_wise/11_-_November/10/SB_5-05-23_VRN_1976-11-10_Culture-Brahminical_or_Animal.mp3</t>
  </si>
  <si>
    <t>SP_SB_5-05-24_Vrindavan_1976-11-11_Transcendental_Goodness.mp3</t>
  </si>
  <si>
    <t>https://audio.iskcondesiretree.com/01_-_Srila_Prabhupada/01_-_Lectures/01_-_English/01_-_Topic_wise/Srimad_Bhagavatam/Canto-05/SP_SB_5-05-24_Vrindavan_1976-11-11_Transcendental_Goodness.mp3</t>
  </si>
  <si>
    <t>Conv_1976-11-11_R1-VRNDAVAN.MP3</t>
  </si>
  <si>
    <t>https://audio.iskcondesiretree.com/01_-_Srila_Prabhupada/01_-_Lectures/01_-_English/02_-_Month_wise/11_-_November/11/Conv_1976-11-11_R1-VRNDAVAN.MP3</t>
  </si>
  <si>
    <t>SB-05-05-24_1976-11-11_SB-VRNDAVAN.MP3</t>
  </si>
  <si>
    <t>https://audio.iskcondesiretree.com/01_-_Srila_Prabhupada/01_-_Lectures/01_-_English/02_-_Month_wise/11_-_November/11/SB-05-05-24_1976-11-11_SB-VRNDAVAN.MP3</t>
  </si>
  <si>
    <t>SB_5-05-24_VRN_1976-11-11_Transcendental_Goodness.mp3</t>
  </si>
  <si>
    <t>https://audio.iskcondesiretree.com/01_-_Srila_Prabhupada/01_-_Lectures/01_-_English/02_-_Month_wise/11_-_November/11/SB_5-05-24_VRN_1976-11-11_Transcendental_Goodness.mp3</t>
  </si>
  <si>
    <t>SP_SB_5-05-25_Vrindavan_1976-11-12_Hog_Intestines_or_Halava.mp3</t>
  </si>
  <si>
    <t>https://audio.iskcondesiretree.com/01_-_Srila_Prabhupada/01_-_Lectures/01_-_English/01_-_Topic_wise/Srimad_Bhagavatam/Canto-05/SP_SB_5-05-25_Vrindavan_1976-11-12_Hog_Intestines_or_Halava.mp3</t>
  </si>
  <si>
    <t>SB-05-05-25_1976-11-12_SB-VRNDAVAN.MP3</t>
  </si>
  <si>
    <t>https://audio.iskcondesiretree.com/01_-_Srila_Prabhupada/01_-_Lectures/01_-_English/02_-_Month_wise/11_-_November/12/SB-05-05-25_1976-11-12_SB-VRNDAVAN.MP3</t>
  </si>
  <si>
    <t>SB_5-05-25_VRN_1976-11-12_Hog_Intestines_or_Halava.mp3</t>
  </si>
  <si>
    <t>https://audio.iskcondesiretree.com/01_-_Srila_Prabhupada/01_-_Lectures/01_-_English/02_-_Month_wise/11_-_November/12/SB_5-05-25_VRN_1976-11-12_Hog_Intestines_or_Halava.mp3</t>
  </si>
  <si>
    <t>SP_Room_Conversation_Vrindavan_1976-11-13_Vote_for_the_Hare_Krishna%27s.mp3</t>
  </si>
  <si>
    <t>https://audio.iskcondesiretree.com/01_-_Srila_Prabhupada/01_-_Lectures/01_-_English/01_-_Topic_wise/Room_Conversation/SP_Room_Conversation_Vrindavan_1976-11-13_Vote_for_the_Hare_Krishna%27s.mp3</t>
  </si>
  <si>
    <t>SP_SB_5-05-26_Vrindavan_1976-11-13_Krishna_Is_Within_the_Atom.mp3</t>
  </si>
  <si>
    <t>https://audio.iskcondesiretree.com/01_-_Srila_Prabhupada/01_-_Lectures/01_-_English/01_-_Topic_wise/Srimad_Bhagavatam/Canto-05/SP_SB_5-05-26_Vrindavan_1976-11-13_Krishna_Is_Within_the_Atom.mp3</t>
  </si>
  <si>
    <t>Conv_1976-11-13_R1-VRNDAVAN.MP3</t>
  </si>
  <si>
    <t>https://audio.iskcondesiretree.com/01_-_Srila_Prabhupada/01_-_Lectures/01_-_English/02_-_Month_wise/11_-_November/13/Conv_1976-11-13_R1-VRNDAVAN.MP3</t>
  </si>
  <si>
    <t>RC_VRN_1976-11-13_Vote_for_the_Hare_Krishna%27s.mp3</t>
  </si>
  <si>
    <t>https://audio.iskcondesiretree.com/01_-_Srila_Prabhupada/01_-_Lectures/01_-_English/02_-_Month_wise/11_-_November/13/RC_VRN_1976-11-13_Vote_for_the_Hare_Krishna%27s.mp3</t>
  </si>
  <si>
    <t>SB-05-05-26_1976-11-13_SB-VRNDAVAN.MP3</t>
  </si>
  <si>
    <t>https://audio.iskcondesiretree.com/01_-_Srila_Prabhupada/01_-_Lectures/01_-_English/02_-_Month_wise/11_-_November/13/SB-05-05-26_1976-11-13_SB-VRNDAVAN.MP3</t>
  </si>
  <si>
    <t>SB_5-05-26_VRN_1976-11-13_Krishna_Is_Within_the_Atom.mp3</t>
  </si>
  <si>
    <t>https://audio.iskcondesiretree.com/01_-_Srila_Prabhupada/01_-_Lectures/01_-_English/02_-_Month_wise/11_-_November/13/SB_5-05-26_VRN_1976-11-13_Krishna_Is_Within_the_Atom.mp3</t>
  </si>
  <si>
    <t>SP_SB_5-05-27_Vrindavan_1976-11-14_The_Greatest_Bewilderment.mp3</t>
  </si>
  <si>
    <t>https://audio.iskcondesiretree.com/01_-_Srila_Prabhupada/01_-_Lectures/01_-_English/01_-_Topic_wise/Srimad_Bhagavatam/Canto-05/SP_SB_5-05-27_Vrindavan_1976-11-14_The_Greatest_Bewilderment.mp3</t>
  </si>
  <si>
    <t>Conv_1976-11-14_R1-VRNDAVAN.MP3</t>
  </si>
  <si>
    <t>https://audio.iskcondesiretree.com/01_-_Srila_Prabhupada/01_-_Lectures/01_-_English/02_-_Month_wise/11_-_November/14/Conv_1976-11-14_R1-VRNDAVAN.MP3</t>
  </si>
  <si>
    <t>Conv_1976-11-14_R2-VRNDAVAN.MP3</t>
  </si>
  <si>
    <t>https://audio.iskcondesiretree.com/01_-_Srila_Prabhupada/01_-_Lectures/01_-_English/02_-_Month_wise/11_-_November/14/Conv_1976-11-14_R2-VRNDAVAN.MP3</t>
  </si>
  <si>
    <t>Lecture%E2%80%93Hindi_1976-11-14_LE-VRNDAVAN.MP3</t>
  </si>
  <si>
    <t>https://audio.iskcondesiretree.com/01_-_Srila_Prabhupada/01_-_Lectures/01_-_English/02_-_Month_wise/11_-_November/14/Lecture%E2%80%93Hindi_1976-11-14_LE-VRNDAVAN.MP3</t>
  </si>
  <si>
    <t>SB-05-05-27_1976-11-14_SB-VRNDAVAN.MP3</t>
  </si>
  <si>
    <t>https://audio.iskcondesiretree.com/01_-_Srila_Prabhupada/01_-_Lectures/01_-_English/02_-_Month_wise/11_-_November/14/SB-05-05-27_1976-11-14_SB-VRNDAVAN.MP3</t>
  </si>
  <si>
    <t>SB_5-05-27_VRN_1976-11-14_The_Greatest_Bewilderment.mp3</t>
  </si>
  <si>
    <t>https://audio.iskcondesiretree.com/01_-_Srila_Prabhupada/01_-_Lectures/01_-_English/02_-_Month_wise/11_-_November/14/SB_5-05-27_VRN_1976-11-14_The_Greatest_Bewilderment.mp3</t>
  </si>
  <si>
    <t>SP_SB_5-05-28_Vrindavan_1976-11-15_Maharajas_and_Maha-rascals.mp3</t>
  </si>
  <si>
    <t>https://audio.iskcondesiretree.com/01_-_Srila_Prabhupada/01_-_Lectures/01_-_English/01_-_Topic_wise/Srimad_Bhagavatam/Canto-05/SP_SB_5-05-28_Vrindavan_1976-11-15_Maharajas_and_Maha-rascals.mp3</t>
  </si>
  <si>
    <t>Conv_1976-11-15_R1-VRNDAVAN.MP3</t>
  </si>
  <si>
    <t>https://audio.iskcondesiretree.com/01_-_Srila_Prabhupada/01_-_Lectures/01_-_English/02_-_Month_wise/11_-_November/15/Conv_1976-11-15_R1-VRNDAVAN.MP3</t>
  </si>
  <si>
    <t>SB-05-05-28_1976-11-15_SB-VRNDAVAN.MP3</t>
  </si>
  <si>
    <t>https://audio.iskcondesiretree.com/01_-_Srila_Prabhupada/01_-_Lectures/01_-_English/02_-_Month_wise/11_-_November/15/SB-05-05-28_1976-11-15_SB-VRNDAVAN.MP3</t>
  </si>
  <si>
    <t>SB_5-05-28_VRN_1976-11-15_Maharajas_and_Maha-rascals.mp3</t>
  </si>
  <si>
    <t>https://audio.iskcondesiretree.com/01_-_Srila_Prabhupada/01_-_Lectures/01_-_English/02_-_Month_wise/11_-_November/15/SB_5-05-28_VRN_1976-11-15_Maharajas_and_Maha-rascals.mp3</t>
  </si>
  <si>
    <t>SP_SB_5-05-29_Vrindavan_1976-11-16_Peace_Impossible.mp3</t>
  </si>
  <si>
    <t>https://audio.iskcondesiretree.com/01_-_Srila_Prabhupada/01_-_Lectures/01_-_English/01_-_Topic_wise/Srimad_Bhagavatam/Canto-05/SP_SB_5-05-29_Vrindavan_1976-11-16_Peace_Impossible.mp3</t>
  </si>
  <si>
    <t>SB-05-05-29_1976-11-16_SB-VRNDAVAN.MP3</t>
  </si>
  <si>
    <t>https://audio.iskcondesiretree.com/01_-_Srila_Prabhupada/01_-_Lectures/01_-_English/02_-_Month_wise/11_-_November/16/SB-05-05-29_1976-11-16_SB-VRNDAVAN.MP3</t>
  </si>
  <si>
    <t>SB_5-05-29_VRN_1976-11-16_Peace_Impossible.mp3</t>
  </si>
  <si>
    <t>https://audio.iskcondesiretree.com/01_-_Srila_Prabhupada/01_-_Lectures/01_-_English/02_-_Month_wise/11_-_November/16/SB_5-05-29_VRN_1976-11-16_Peace_Impossible.mp3</t>
  </si>
  <si>
    <t>SB-05-05-30_1976-11-17_SB-VRNDAVAN.MP3</t>
  </si>
  <si>
    <t>https://audio.iskcondesiretree.com/01_-_Srila_Prabhupada/01_-_Lectures/01_-_English/02_-_Month_wise/11_-_November/17/SB-05-05-30_1976-11-17_SB-VRNDAVAN.MP3</t>
  </si>
  <si>
    <t>Walk_1976-11-17_MW-VRNDAVANA.MP3</t>
  </si>
  <si>
    <t>https://audio.iskcondesiretree.com/01_-_Srila_Prabhupada/01_-_Lectures/01_-_English/02_-_Month_wise/11_-_November/17/Walk_1976-11-17_MW-VRNDAVANA.MP3</t>
  </si>
  <si>
    <t>Conv_1976-11-18_R1-VRNDAVAN.MP3</t>
  </si>
  <si>
    <t>https://audio.iskcondesiretree.com/01_-_Srila_Prabhupada/01_-_Lectures/01_-_English/02_-_Month_wise/11_-_November/18/Conv_1976-11-18_R1-VRNDAVAN.MP3</t>
  </si>
  <si>
    <t>SB-05-05-31_1976-11-18_SB-VRNDAVAN.MP3</t>
  </si>
  <si>
    <t>https://audio.iskcondesiretree.com/01_-_Srila_Prabhupada/01_-_Lectures/01_-_English/02_-_Month_wise/11_-_November/18/SB-05-05-31_1976-11-18_SB-VRNDAVAN.MP3</t>
  </si>
  <si>
    <t>SP_SB_5-05-32_Vrindavan_1976-11-19_Krishna_Movement_Can%27t_Be_Killed.mp3</t>
  </si>
  <si>
    <t>https://audio.iskcondesiretree.com/01_-_Srila_Prabhupada/01_-_Lectures/01_-_English/01_-_Topic_wise/Srimad_Bhagavatam/Canto-05/SP_SB_5-05-32_Vrindavan_1976-11-19_Krishna_Movement_Can%27t_Be_Killed.mp3</t>
  </si>
  <si>
    <t>SB-05-05-32_1976-11-19_SB-VRNDAVAN.MP3</t>
  </si>
  <si>
    <t>https://audio.iskcondesiretree.com/01_-_Srila_Prabhupada/01_-_Lectures/01_-_English/02_-_Month_wise/11_-_November/19/SB-05-05-32_1976-11-19_SB-VRNDAVAN.MP3</t>
  </si>
  <si>
    <t>SB_5-05-32_VRN_1976-11-19_Krishna_Movement_Can%27t_Be_Killed.mp3</t>
  </si>
  <si>
    <t>https://audio.iskcondesiretree.com/01_-_Srila_Prabhupada/01_-_Lectures/01_-_English/02_-_Month_wise/11_-_November/19/SB_5-05-32_VRN_1976-11-19_Krishna_Movement_Can%27t_Be_Killed.mp3</t>
  </si>
  <si>
    <t>SP_Room_Conversation_Vrindavan_1976-11-20_Skyscraper_Thoughts_Dangerous.mp3</t>
  </si>
  <si>
    <t>https://audio.iskcondesiretree.com/01_-_Srila_Prabhupada/01_-_Lectures/01_-_English/01_-_Topic_wise/Room_Conversation/SP_Room_Conversation_Vrindavan_1976-11-20_Skyscraper_Thoughts_Dangerous.mp3</t>
  </si>
  <si>
    <t>SP_SB_5-05-33_Vrindavan_1976-11-20_Ask_Rascal_Incarnations--etc.mp3</t>
  </si>
  <si>
    <t>https://audio.iskcondesiretree.com/01_-_Srila_Prabhupada/01_-_Lectures/01_-_English/01_-_Topic_wise/Srimad_Bhagavatam/Canto-05/SP_SB_5-05-33_Vrindavan_1976-11-20_Ask_Rascal_Incarnations--etc.mp3</t>
  </si>
  <si>
    <t>Conv_1976-11-20_R1-VRNDAVAN.MP3</t>
  </si>
  <si>
    <t>https://audio.iskcondesiretree.com/01_-_Srila_Prabhupada/01_-_Lectures/01_-_English/02_-_Month_wise/11_-_November/20/Conv_1976-11-20_R1-VRNDAVAN.MP3</t>
  </si>
  <si>
    <t>RC_VRN_1976-11-20_Skyscraper_Thoughts_Dangerous.mp3</t>
  </si>
  <si>
    <t>https://audio.iskcondesiretree.com/01_-_Srila_Prabhupada/01_-_Lectures/01_-_English/02_-_Month_wise/11_-_November/20/RC_VRN_1976-11-20_Skyscraper_Thoughts_Dangerous.mp3</t>
  </si>
  <si>
    <t>SB-05-05-33_1976-11-20_SB-VRNDAVAN.MP3</t>
  </si>
  <si>
    <t>https://audio.iskcondesiretree.com/01_-_Srila_Prabhupada/01_-_Lectures/01_-_English/02_-_Month_wise/11_-_November/20/SB-05-05-33_1976-11-20_SB-VRNDAVAN.MP3</t>
  </si>
  <si>
    <t>SB_5-05-33_VRN_1976-11-20_Ask_Rascal_Incarnations_etc.mp3</t>
  </si>
  <si>
    <t>https://audio.iskcondesiretree.com/01_-_Srila_Prabhupada/01_-_Lectures/01_-_English/02_-_Month_wise/11_-_November/20/SB_5-05-33_VRN_1976-11-20_Ask_Rascal_Incarnations_etc.mp3</t>
  </si>
  <si>
    <t>SP_SB_5-05-34_Vrindavan_1976-11-21_Brahmacari_Escapes_Tribulation.mp3</t>
  </si>
  <si>
    <t>https://audio.iskcondesiretree.com/01_-_Srila_Prabhupada/01_-_Lectures/01_-_English/01_-_Topic_wise/Srimad_Bhagavatam/Canto-05/SP_SB_5-05-34_Vrindavan_1976-11-21_Brahmacari_Escapes_Tribulation.mp3</t>
  </si>
  <si>
    <t>SB-05-05-34_1976-11-21_SB-VRNDAVAN.MP3</t>
  </si>
  <si>
    <t>https://audio.iskcondesiretree.com/01_-_Srila_Prabhupada/01_-_Lectures/01_-_English/02_-_Month_wise/11_-_November/21/SB-05-05-34_1976-11-21_SB-VRNDAVAN.MP3</t>
  </si>
  <si>
    <t>SB_5-05-34_VRN_1976-11-21_Brahmacari_Escapes_Tribulation.mp3</t>
  </si>
  <si>
    <t>https://audio.iskcondesiretree.com/01_-_Srila_Prabhupada/01_-_Lectures/01_-_English/02_-_Month_wise/11_-_November/21/SB_5-05-34_VRN_1976-11-21_Brahmacari_Escapes_Tribulation.mp3</t>
  </si>
  <si>
    <t>SB-05-05-35_1976-11-22_SB-VRNDAVAN.MP3</t>
  </si>
  <si>
    <t>https://audio.iskcondesiretree.com/01_-_Srila_Prabhupada/01_-_Lectures/01_-_English/02_-_Month_wise/11_-_November/22/SB-05-05-35_1976-11-22_SB-VRNDAVAN.MP3</t>
  </si>
  <si>
    <t>SB-05-06-01_1976-11-23_SB-VRNDAVAN.MP3</t>
  </si>
  <si>
    <t>https://audio.iskcondesiretree.com/01_-_Srila_Prabhupada/01_-_Lectures/01_-_English/02_-_Month_wise/11_-_November/23/SB-05-06-01_1976-11-23_SB-VRNDAVAN.MP3</t>
  </si>
  <si>
    <t>Conv_1976-11-24_R1-VRNDAVAN.MP3</t>
  </si>
  <si>
    <t>https://audio.iskcondesiretree.com/01_-_Srila_Prabhupada/01_-_Lectures/01_-_English/02_-_Month_wise/11_-_November/24/Conv_1976-11-24_R1-VRNDAVAN.MP3</t>
  </si>
  <si>
    <t>SB-05-06-02_1976-11-24_SB-VRNDAVAN.MP3</t>
  </si>
  <si>
    <t>https://audio.iskcondesiretree.com/01_-_Srila_Prabhupada/01_-_Lectures/01_-_English/02_-_Month_wise/11_-_November/24/SB-05-06-02_1976-11-24_SB-VRNDAVAN.MP3</t>
  </si>
  <si>
    <t>SP_SB_5-06-03_Vrindavan_1976-11-25_Never_Trust_Your_Mind.mp3</t>
  </si>
  <si>
    <t>https://audio.iskcondesiretree.com/01_-_Srila_Prabhupada/01_-_Lectures/01_-_English/01_-_Topic_wise/Srimad_Bhagavatam/Canto-05/SP_SB_5-06-03_Vrindavan_1976-11-25_Never_Trust_Your_Mind.mp3</t>
  </si>
  <si>
    <t>Conv_1976-11-25_R1-VRNDAVAN.MP3</t>
  </si>
  <si>
    <t>https://audio.iskcondesiretree.com/01_-_Srila_Prabhupada/01_-_Lectures/01_-_English/02_-_Month_wise/11_-_November/25/Conv_1976-11-25_R1-VRNDAVAN.MP3</t>
  </si>
  <si>
    <t>SB-05-06-03_1976-11-25_SB-VRNDAVAN.MP3</t>
  </si>
  <si>
    <t>https://audio.iskcondesiretree.com/01_-_Srila_Prabhupada/01_-_Lectures/01_-_English/02_-_Month_wise/11_-_November/25/SB-05-06-03_1976-11-25_SB-VRNDAVAN.MP3</t>
  </si>
  <si>
    <t>SB_5-06-03_VRN_1976-11-25_Never_Trust_Your_Mind.mp3</t>
  </si>
  <si>
    <t>https://audio.iskcondesiretree.com/01_-_Srila_Prabhupada/01_-_Lectures/01_-_English/02_-_Month_wise/11_-_November/25/SB_5-06-03_VRN_1976-11-25_Never_Trust_Your_Mind.mp3</t>
  </si>
  <si>
    <t>SP_SB_5-06-04_Vrindavan_1976-11-26_The_Unchaste_Mind.mp3</t>
  </si>
  <si>
    <t>https://audio.iskcondesiretree.com/01_-_Srila_Prabhupada/01_-_Lectures/01_-_English/01_-_Topic_wise/Srimad_Bhagavatam/Canto-05/SP_SB_5-06-04_Vrindavan_1976-11-26_The_Unchaste_Mind.mp3</t>
  </si>
  <si>
    <t>SB-05-06-04_1976-11-26_SB-VRNDAVAN.MP3</t>
  </si>
  <si>
    <t>https://audio.iskcondesiretree.com/01_-_Srila_Prabhupada/01_-_Lectures/01_-_English/02_-_Month_wise/11_-_November/26/SB-05-06-04_1976-11-26_SB-VRNDAVAN.MP3</t>
  </si>
  <si>
    <t>SB_5-06-04_VRN_1976-11-26_The_Unchaste_Mind.mp3</t>
  </si>
  <si>
    <t>https://audio.iskcondesiretree.com/01_-_Srila_Prabhupada/01_-_Lectures/01_-_English/02_-_Month_wise/11_-_November/26/SB_5-06-04_VRN_1976-11-26_The_Unchaste_Mind.mp3</t>
  </si>
  <si>
    <t>SP_SB_5-06-05_Vrindavan_1976-11-27_Divine_Couple.mp3</t>
  </si>
  <si>
    <t>https://audio.iskcondesiretree.com/01_-_Srila_Prabhupada/01_-_Lectures/01_-_English/01_-_Topic_wise/Srimad_Bhagavatam/Canto-05/SP_SB_5-06-05_Vrindavan_1976-11-27_Divine_Couple.mp3</t>
  </si>
  <si>
    <t>SB-05-06-05_1976-11-27_SB-VRNDAVAN.MP3</t>
  </si>
  <si>
    <t>https://audio.iskcondesiretree.com/01_-_Srila_Prabhupada/01_-_Lectures/01_-_English/02_-_Month_wise/11_-_November/27/SB-05-06-05_1976-11-27_SB-VRNDAVAN.MP3</t>
  </si>
  <si>
    <t>SB_5-06-05_VRN_1976-11-27_Divine_Couple.mp3</t>
  </si>
  <si>
    <t>https://audio.iskcondesiretree.com/01_-_Srila_Prabhupada/01_-_Lectures/01_-_English/02_-_Month_wise/11_-_November/27/SB_5-06-05_VRN_1976-11-27_Divine_Couple.mp3</t>
  </si>
  <si>
    <t>SP_SB_5-05-06_Vrindavan_1976-11-28_Krishna%27s_Criminal_and_Civil_depts.mp3</t>
  </si>
  <si>
    <t>https://audio.iskcondesiretree.com/01_-_Srila_Prabhupada/01_-_Lectures/01_-_English/01_-_Topic_wise/Srimad_Bhagavatam/Canto-05/SP_SB_5-05-06_Vrindavan_1976-11-28_Krishna%27s_Criminal_and_Civil_depts.mp3</t>
  </si>
  <si>
    <t>SB-05-06-06_1976-11-28_SB-VRNDAVAN.MP3</t>
  </si>
  <si>
    <t>https://audio.iskcondesiretree.com/01_-_Srila_Prabhupada/01_-_Lectures/01_-_English/02_-_Month_wise/11_-_November/28/SB-05-06-06_1976-11-28_SB-VRNDAVAN.MP3</t>
  </si>
  <si>
    <t>SB_5-05-06_VRN_1976-11-28_Krishna%27s_Criminal_and_Civil_depts.mp3</t>
  </si>
  <si>
    <t>https://audio.iskcondesiretree.com/01_-_Srila_Prabhupada/01_-_Lectures/01_-_English/02_-_Month_wise/11_-_November/28/SB_5-05-06_VRN_1976-11-28_Krishna%27s_Criminal_and_Civil_depts.mp3</t>
  </si>
  <si>
    <t>SP_SB_5-06-07_Vrindavan_1976-11-29_Mayavadis_Think_Krishna_Is_Maya.mp3</t>
  </si>
  <si>
    <t>https://audio.iskcondesiretree.com/01_-_Srila_Prabhupada/01_-_Lectures/01_-_English/01_-_Topic_wise/Srimad_Bhagavatam/Canto-05/SP_SB_5-06-07_Vrindavan_1976-11-29_Mayavadis_Think_Krishna_Is_Maya.mp3</t>
  </si>
  <si>
    <t>SB-05-06-07_1976-11-29_SB-VRNDAVAN.MP3</t>
  </si>
  <si>
    <t>https://audio.iskcondesiretree.com/01_-_Srila_Prabhupada/01_-_Lectures/01_-_English/02_-_Month_wise/11_-_November/29/SB-05-06-07_1976-11-29_SB-VRNDAVAN.MP3</t>
  </si>
  <si>
    <t>SB_5-06-07_VRN_1976-11-29_Mayavadis_Think_Krishna_Is_Maya.mp3</t>
  </si>
  <si>
    <t>https://audio.iskcondesiretree.com/01_-_Srila_Prabhupada/01_-_Lectures/01_-_English/02_-_Month_wise/11_-_November/29/SB_5-06-07_VRN_1976-11-29_Mayavadis_Think_Krishna_Is_Maya.mp3</t>
  </si>
  <si>
    <t>SP_SB_5-06-08_Vrindavan_1976-11-30_Fire_Brigade_Cannot--etc.mp3</t>
  </si>
  <si>
    <t>https://audio.iskcondesiretree.com/01_-_Srila_Prabhupada/01_-_Lectures/01_-_English/01_-_Topic_wise/Srimad_Bhagavatam/Canto-05/SP_SB_5-06-08_Vrindavan_1976-11-30_Fire_Brigade_Cannot--etc.mp3</t>
  </si>
  <si>
    <t>SB-05-06-08_1976-11-30_SB-VRNDAVAN.MP3</t>
  </si>
  <si>
    <t>https://audio.iskcondesiretree.com/01_-_Srila_Prabhupada/01_-_Lectures/01_-_English/02_-_Month_wise/11_-_November/30/SB-05-06-08_1976-11-30_SB-VRNDAVAN.MP3</t>
  </si>
  <si>
    <t>SB_5-06-08_VRN_1976-11-30_Fire_Brigade_Cannot_etc.mp3</t>
  </si>
  <si>
    <t>https://audio.iskcondesiretree.com/01_-_Srila_Prabhupada/01_-_Lectures/01_-_English/02_-_Month_wise/11_-_November/30/SB_5-06-08_VRN_1976-11-30_Fire_Brigade_Cannot_etc.mp3</t>
  </si>
  <si>
    <t>SP_Room_Conversation_Hyderabad_1976-12-03_Evening_Darshan.mp3</t>
  </si>
  <si>
    <t>https://audio.iskcondesiretree.com/01_-_Srila_Prabhupada/01_-_Lectures/01_-_English/01_-_Topic_wise/Room_Conversation/SP_Room_Conversation_Hyderabad_1976-12-03_Evening_Darshan.mp3</t>
  </si>
  <si>
    <t>Darshan_1976-12-03_ED-HYDERABAD.MP3</t>
  </si>
  <si>
    <t>https://audio.iskcondesiretree.com/01_-_Srila_Prabhupada/01_-_Lectures/01_-_English/02_-_Month_wise/12_-_December/03/Darshan_1976-12-03_ED-HYDERABAD.MP3</t>
  </si>
  <si>
    <t>RC_HYD_1976-12-03_Evening_Darshan.mp3</t>
  </si>
  <si>
    <t>https://audio.iskcondesiretree.com/01_-_Srila_Prabhupada/01_-_Lectures/01_-_English/02_-_Month_wise/12_-_December/03/RC_HYD_1976-12-03_Evening_Darshan.mp3</t>
  </si>
  <si>
    <t>Darshan%E2%80%93Hindi_1976-12-04_ED-HYDERABAD.MP3</t>
  </si>
  <si>
    <t>https://audio.iskcondesiretree.com/01_-_Srila_Prabhupada/01_-_Lectures/01_-_English/02_-_Month_wise/12_-_December/04/Darshan%E2%80%93Hindi_1976-12-04_ED-HYDERABAD.MP3</t>
  </si>
  <si>
    <t>Walk_1976-12-04_MW-HYDERABAD.MP3</t>
  </si>
  <si>
    <t>https://audio.iskcondesiretree.com/01_-_Srila_Prabhupada/01_-_Lectures/01_-_English/02_-_Month_wise/12_-_December/04/Walk_1976-12-04_MW-HYDERABAD.MP3</t>
  </si>
  <si>
    <t>Conv_1976-12-05_R1-HYDERABAD.MP3</t>
  </si>
  <si>
    <t>https://audio.iskcondesiretree.com/01_-_Srila_Prabhupada/01_-_Lectures/01_-_English/02_-_Month_wise/12_-_December/05/Conv_1976-12-05_R1-HYDERABAD.MP3</t>
  </si>
  <si>
    <t>Walk_1976-12-05_MW-HYDERABAD.MP3</t>
  </si>
  <si>
    <t>https://audio.iskcondesiretree.com/01_-_Srila_Prabhupada/01_-_Lectures/01_-_English/02_-_Month_wise/12_-_December/05/Walk_1976-12-05_MW-HYDERABAD.MP3</t>
  </si>
  <si>
    <t>Conv_1976-12-07_R1-HYDERABAD.MP3</t>
  </si>
  <si>
    <t>https://audio.iskcondesiretree.com/01_-_Srila_Prabhupada/01_-_Lectures/01_-_English/02_-_Month_wise/12_-_December/07/Conv_1976-12-07_R1-HYDERABAD.MP3</t>
  </si>
  <si>
    <t>Walk_1976-12-07_MW-HYDERABAD.MP3</t>
  </si>
  <si>
    <t>https://audio.iskcondesiretree.com/01_-_Srila_Prabhupada/01_-_Lectures/01_-_English/02_-_Month_wise/12_-_December/07/Walk_1976-12-07_MW-HYDERABAD.MP3</t>
  </si>
  <si>
    <t>Conv_1976-12-09_R1-HYDERABAD.MP3</t>
  </si>
  <si>
    <t>https://audio.iskcondesiretree.com/01_-_Srila_Prabhupada/01_-_Lectures/01_-_English/02_-_Month_wise/12_-_December/09/Conv_1976-12-09_R1-HYDERABAD.MP3</t>
  </si>
  <si>
    <t>SP_Festivals_Hyderabad_1976-12-10_Bhaktisiddhanta_Disappearance.mp3</t>
  </si>
  <si>
    <t>https://audio.iskcondesiretree.com/01_-_Srila_Prabhupada/01_-_Lectures/01_-_English/01_-_Topic_wise/Festivals/SP_Festivals_Hyderabad_1976-12-10_Bhaktisiddhanta_Disappearance.mp3</t>
  </si>
  <si>
    <t>SP_Room_Conversation_Hyderabad_1976-12-10_Love_Feast_Was_Beginning.mp3</t>
  </si>
  <si>
    <t>https://audio.iskcondesiretree.com/01_-_Srila_Prabhupada/01_-_Lectures/01_-_English/01_-_Topic_wise/Room_Conversation/SP_Room_Conversation_Hyderabad_1976-12-10_Love_Feast_Was_Beginning.mp3</t>
  </si>
  <si>
    <t>SP_Room_Conversation_Hyderabad_1976-12-10_Scientists_Etiquette_Don%27t_Talk_of_God.mp3</t>
  </si>
  <si>
    <t>https://audio.iskcondesiretree.com/01_-_Srila_Prabhupada/01_-_Lectures/01_-_English/01_-_Topic_wise/Room_Conversation/SP_Room_Conversation_Hyderabad_1976-12-10_Scientists_Etiquette_Don%27t_Talk_of_God.mp3</t>
  </si>
  <si>
    <t>SP_Lecture_Hyderabad_1976-12-10_Hearing_Srila_Bhaktisiddhanta_Was_My_Hobby.mp3</t>
  </si>
  <si>
    <t>https://audio.iskcondesiretree.com/01_-_Srila_Prabhupada/01_-_Lectures/01_-_English/01_-_Topic_wise/Various/SP_Lecture_Hyderabad_1976-12-10_Hearing_Srila_Bhaktisiddhanta_Was_My_Hobby.mp3</t>
  </si>
  <si>
    <t>Bhaktisiddhanta_Disappearance_1976-12-10_DB-HYDERABAD.MP3</t>
  </si>
  <si>
    <t>https://audio.iskcondesiretree.com/01_-_Srila_Prabhupada/01_-_Lectures/01_-_English/02_-_Month_wise/12_-_December/10/Bhaktisiddhanta_Disappearance_1976-12-10_DB-HYDERABAD.MP3</t>
  </si>
  <si>
    <t>Conv_1976-12-10_R1-HYDERABAD.MP3</t>
  </si>
  <si>
    <t>https://audio.iskcondesiretree.com/01_-_Srila_Prabhupada/01_-_Lectures/01_-_English/02_-_Month_wise/12_-_December/10/Conv_1976-12-10_R1-HYDERABAD.MP3</t>
  </si>
  <si>
    <t>Fest_HYD_1976-12-10_Bhaktisiddhanta_Disappearance.mp3</t>
  </si>
  <si>
    <t>https://audio.iskcondesiretree.com/01_-_Srila_Prabhupada/01_-_Lectures/01_-_English/02_-_Month_wise/12_-_December/10/Fest_HYD_1976-12-10_Bhaktisiddhanta_Disappearance.mp3</t>
  </si>
  <si>
    <t>Lect_HYD_1976-12-10_Hearing_Srila_Bhaktisiddhanta_Was_My_Hobby.mp3</t>
  </si>
  <si>
    <t>https://audio.iskcondesiretree.com/01_-_Srila_Prabhupada/01_-_Lectures/01_-_English/02_-_Month_wise/12_-_December/10/Lect_HYD_1976-12-10_Hearing_Srila_Bhaktisiddhanta_Was_My_Hobby.mp3</t>
  </si>
  <si>
    <t>RC_HYD_1976-12-10_Love_Feast_Was_Beginning.mp3</t>
  </si>
  <si>
    <t>https://audio.iskcondesiretree.com/01_-_Srila_Prabhupada/01_-_Lectures/01_-_English/02_-_Month_wise/12_-_December/10/RC_HYD_1976-12-10_Love_Feast_Was_Beginning.mp3</t>
  </si>
  <si>
    <t>RC_HYD_1976-12-10_Scientists_Etiquette_Don%27t_Talk_of_God.mp3</t>
  </si>
  <si>
    <t>https://audio.iskcondesiretree.com/01_-_Srila_Prabhupada/01_-_Lectures/01_-_English/02_-_Month_wise/12_-_December/10/RC_HYD_1976-12-10_Scientists_Etiquette_Don%27t_Talk_of_God.mp3</t>
  </si>
  <si>
    <t>SP_BG_07-06_Hyderabad_1976-12-11_How_Have_We_Become_Bad.mp3</t>
  </si>
  <si>
    <t>https://audio.iskcondesiretree.com/01_-_Srila_Prabhupada/01_-_Lectures/01_-_English/01_-_Topic_wise/Bhagavad_Gita/Chapter-07/SP_BG_07-06_Hyderabad_1976-12-11_How_Have_We_Become_Bad.mp3</t>
  </si>
  <si>
    <t>Bg-07-06_1976-12-11_BG-HYDERABAD.MP3</t>
  </si>
  <si>
    <t>https://audio.iskcondesiretree.com/01_-_Srila_Prabhupada/01_-_Lectures/01_-_English/02_-_Month_wise/12_-_December/11/Bg-07-06_1976-12-11_BG-HYDERABAD.MP3</t>
  </si>
  <si>
    <t>Bg_07-06_HYD_1976-12-11_How_Have_We_Become_Bad.mp3</t>
  </si>
  <si>
    <t>https://audio.iskcondesiretree.com/01_-_Srila_Prabhupada/01_-_Lectures/01_-_English/02_-_Month_wise/12_-_December/11/Bg_07-06_HYD_1976-12-11_How_Have_We_Become_Bad.mp3</t>
  </si>
  <si>
    <t>SP_BG_02-12_Hyderabad_1976-12-12_The_Minister_of_Defense_Has--etc.mp3</t>
  </si>
  <si>
    <t>https://audio.iskcondesiretree.com/01_-_Srila_Prabhupada/01_-_Lectures/01_-_English/01_-_Topic_wise/Bhagavad_Gita/Chapter-02/SP_BG_02-12_Hyderabad_1976-12-12_The_Minister_of_Defense_Has--etc.mp3</t>
  </si>
  <si>
    <t>Bg-02-12_1976-12-12_BG-HYDERABAD.MP3</t>
  </si>
  <si>
    <t>https://audio.iskcondesiretree.com/01_-_Srila_Prabhupada/01_-_Lectures/01_-_English/02_-_Month_wise/12_-_December/12/Bg-02-12_1976-12-12_BG-HYDERABAD.MP3</t>
  </si>
  <si>
    <t>Bg_02-12_HYD_1976-12-12_The_Minister_of_Defense_Has_etc.mp3</t>
  </si>
  <si>
    <t>https://audio.iskcondesiretree.com/01_-_Srila_Prabhupada/01_-_Lectures/01_-_English/02_-_Month_wise/12_-_December/12/Bg_02-12_HYD_1976-12-12_The_Minister_of_Defense_Has_etc.mp3</t>
  </si>
  <si>
    <t>Conv_1976-12-12_R1-HYDERABAD.MP3</t>
  </si>
  <si>
    <t>https://audio.iskcondesiretree.com/01_-_Srila_Prabhupada/01_-_Lectures/01_-_English/02_-_Month_wise/12_-_December/12/Conv_1976-12-12_R1-HYDERABAD.MP3</t>
  </si>
  <si>
    <t>SP_BG_16-06_Hyderabad_1976-12-13_Vedic_Secular_State.mp3</t>
  </si>
  <si>
    <t>https://audio.iskcondesiretree.com/01_-_Srila_Prabhupada/01_-_Lectures/01_-_English/01_-_Topic_wise/Bhagavad_Gita/Chapter-16/SP_BG_16-06_Hyderabad_1976-12-13_Vedic_Secular_State.mp3</t>
  </si>
  <si>
    <t>Bg-16-06_1976-12-13_BG-HYDERABAD.MP3</t>
  </si>
  <si>
    <t>https://audio.iskcondesiretree.com/01_-_Srila_Prabhupada/01_-_Lectures/01_-_English/02_-_Month_wise/12_-_December/13/Bg-16-06_1976-12-13_BG-HYDERABAD.MP3</t>
  </si>
  <si>
    <t>Bg_16-06_HYD_1976-12-13_Vedic_Secular_State.mp3</t>
  </si>
  <si>
    <t>https://audio.iskcondesiretree.com/01_-_Srila_Prabhupada/01_-_Lectures/01_-_English/02_-_Month_wise/12_-_December/13/Bg_16-06_HYD_1976-12-13_Vedic_Secular_State.mp3</t>
  </si>
  <si>
    <t>SP_BG_16-07_Hyderabad_1976-12-14_The_Path_of_No.mp3</t>
  </si>
  <si>
    <t>https://audio.iskcondesiretree.com/01_-_Srila_Prabhupada/01_-_Lectures/01_-_English/01_-_Topic_wise/Bhagavad_Gita/Chapter-16/SP_BG_16-07_Hyderabad_1976-12-14_The_Path_of_No.mp3</t>
  </si>
  <si>
    <t>Bg-16-07_1976-12-14_BG-HYDERABAD.MP3</t>
  </si>
  <si>
    <t>https://audio.iskcondesiretree.com/01_-_Srila_Prabhupada/01_-_Lectures/01_-_English/02_-_Month_wise/12_-_December/14/Bg-16-07_1976-12-14_BG-HYDERABAD.MP3</t>
  </si>
  <si>
    <t>Bg_16-07_HYD_1976-12-14_The_Path_of_No.mp3</t>
  </si>
  <si>
    <t>https://audio.iskcondesiretree.com/01_-_Srila_Prabhupada/01_-_Lectures/01_-_English/02_-_Month_wise/12_-_December/14/Bg_16-07_HYD_1976-12-14_The_Path_of_No.mp3</t>
  </si>
  <si>
    <t>SP_BG_16-07_Hyderabad_1976-12-15_The_Asuric_Public.mp3</t>
  </si>
  <si>
    <t>https://audio.iskcondesiretree.com/01_-_Srila_Prabhupada/01_-_Lectures/01_-_English/01_-_Topic_wise/Bhagavad_Gita/Chapter-16/SP_BG_16-07_Hyderabad_1976-12-15_The_Asuric_Public.mp3</t>
  </si>
  <si>
    <t>Bg-16-07_1976-12-15_BG-HYDERABAD.MP3</t>
  </si>
  <si>
    <t>https://audio.iskcondesiretree.com/01_-_Srila_Prabhupada/01_-_Lectures/01_-_English/02_-_Month_wise/12_-_December/15/Bg-16-07_1976-12-15_BG-HYDERABAD.MP3</t>
  </si>
  <si>
    <t>Bg_16-07_HYD_1976-12-15_The_Asuric_Public.mp3</t>
  </si>
  <si>
    <t>https://audio.iskcondesiretree.com/01_-_Srila_Prabhupada/01_-_Lectures/01_-_English/02_-_Month_wise/12_-_December/15/Bg_16-07_HYD_1976-12-15_The_Asuric_Public.mp3</t>
  </si>
  <si>
    <t>SP_BG_16-08_Hyderabad_1976-12-16_Deliver_Your_Neighborhood.mp3</t>
  </si>
  <si>
    <t>https://audio.iskcondesiretree.com/01_-_Srila_Prabhupada/01_-_Lectures/01_-_English/01_-_Topic_wise/Bhagavad_Gita/Chapter-16/SP_BG_16-08_Hyderabad_1976-12-16_Deliver_Your_Neighborhood.mp3</t>
  </si>
  <si>
    <t>Bg-16-08_1976-12-16_BG-HYDERABAD.MP3</t>
  </si>
  <si>
    <t>https://audio.iskcondesiretree.com/01_-_Srila_Prabhupada/01_-_Lectures/01_-_English/02_-_Month_wise/12_-_December/16/Bg-16-08_1976-12-16_BG-HYDERABAD.MP3</t>
  </si>
  <si>
    <t>Bg_16-08_HYD_1976-12-16_Deliver_Your_Neighborhood.mp3</t>
  </si>
  <si>
    <t>https://audio.iskcondesiretree.com/01_-_Srila_Prabhupada/01_-_Lectures/01_-_English/02_-_Month_wise/12_-_December/16/Bg_16-08_HYD_1976-12-16_Deliver_Your_Neighborhood.mp3</t>
  </si>
  <si>
    <t>Conv_1976-12-16_R1-HYDERABAD.MP3</t>
  </si>
  <si>
    <t>https://audio.iskcondesiretree.com/01_-_Srila_Prabhupada/01_-_Lectures/01_-_English/02_-_Month_wise/12_-_December/16/Conv_1976-12-16_R1-HYDERABAD.MP3</t>
  </si>
  <si>
    <t>PressConf_1976-12-16_PC-HYDERABAD.MP3</t>
  </si>
  <si>
    <t>https://audio.iskcondesiretree.com/01_-_Srila_Prabhupada/01_-_Lectures/01_-_English/02_-_Month_wise/12_-_December/16/PressConf_1976-12-16_PC-HYDERABAD.MP3</t>
  </si>
  <si>
    <t>SP_BG_03-25_Hyderabad_1976-12-17_Plan_Making_for_More_Suffering.mp3</t>
  </si>
  <si>
    <t>https://audio.iskcondesiretree.com/01_-_Srila_Prabhupada/01_-_Lectures/01_-_English/01_-_Topic_wise/Bhagavad_Gita/Chapter-03/SP_BG_03-25_Hyderabad_1976-12-17_Plan_Making_for_More_Suffering.mp3</t>
  </si>
  <si>
    <t>Bg-03-25_1976-12-17_BG-HYDERABAD.MP3</t>
  </si>
  <si>
    <t>https://audio.iskcondesiretree.com/01_-_Srila_Prabhupada/01_-_Lectures/01_-_English/02_-_Month_wise/12_-_December/17/Bg-03-25_1976-12-17_BG-HYDERABAD.MP3</t>
  </si>
  <si>
    <t>Bg_03-25_HYD_1976-12-17_Plan_Making_for_More_Suffering.mp3</t>
  </si>
  <si>
    <t>https://audio.iskcondesiretree.com/01_-_Srila_Prabhupada/01_-_Lectures/01_-_English/02_-_Month_wise/12_-_December/17/Bg_03-25_HYD_1976-12-17_Plan_Making_for_More_Suffering.mp3</t>
  </si>
  <si>
    <t>Arrival_1976-12-20_AR-BOMBAY.MP3</t>
  </si>
  <si>
    <t>https://audio.iskcondesiretree.com/01_-_Srila_Prabhupada/01_-_Lectures/01_-_English/02_-_Month_wise/12_-_December/20/Arrival_1976-12-20_AR-BOMBAY.MP3</t>
  </si>
  <si>
    <t>Conv_1976-12-20_R1-BOMBAY.MP3</t>
  </si>
  <si>
    <t>https://audio.iskcondesiretree.com/01_-_Srila_Prabhupada/01_-_Lectures/01_-_English/02_-_Month_wise/12_-_December/20/Conv_1976-12-20_R1-BOMBAY.MP3</t>
  </si>
  <si>
    <t>Conv_1976-12-20_R1-WARDHA.MP3</t>
  </si>
  <si>
    <t>https://audio.iskcondesiretree.com/01_-_Srila_Prabhupada/01_-_Lectures/01_-_English/02_-_Month_wise/12_-_December/20/Conv_1976-12-20_R1-WARDHA.MP3</t>
  </si>
  <si>
    <t>Lecture%E2%80%93Hindi_1976-12-20_LE-WARDHA.MP3</t>
  </si>
  <si>
    <t>https://audio.iskcondesiretree.com/01_-_Srila_Prabhupada/01_-_Lectures/01_-_English/02_-_Month_wise/12_-_December/20/Lecture%E2%80%93Hindi_1976-12-20_LE-WARDHA.MP3</t>
  </si>
  <si>
    <t>Conv_1976-12-22_R1-POONA.MP3</t>
  </si>
  <si>
    <t>https://audio.iskcondesiretree.com/01_-_Srila_Prabhupada/01_-_Lectures/01_-_English/02_-_Month_wise/12_-_December/22/Conv_1976-12-22_R1-POONA.MP3</t>
  </si>
  <si>
    <t>Conv_1976-12-22_R2-POONA.MP3</t>
  </si>
  <si>
    <t>https://audio.iskcondesiretree.com/01_-_Srila_Prabhupada/01_-_Lectures/01_-_English/02_-_Month_wise/12_-_December/22/Conv_1976-12-22_R2-POONA.MP3</t>
  </si>
  <si>
    <t>SB-05-05-01%E2%80%93Hindi_1976-12-24_SB-BOMBAY.MP3</t>
  </si>
  <si>
    <t>https://audio.iskcondesiretree.com/01_-_Srila_Prabhupada/01_-_Lectures/01_-_English/02_-_Month_wise/12_-_December/24/SB-05-05-01%E2%80%93Hindi_1976-12-24_SB-BOMBAY.MP3</t>
  </si>
  <si>
    <t>SP_Morning_Walk_-_Bombay_1976-12-25_Coverings--Concoctions--Gandhi--etc.mp3</t>
  </si>
  <si>
    <t>https://audio.iskcondesiretree.com/01_-_Srila_Prabhupada/01_-_Lectures/01_-_English/01_-_Topic_wise/Morning_Walk/SP_Morning_Walk_-_Bombay_1976-12-25_Coverings--Concoctions--Gandhi--etc.mp3</t>
  </si>
  <si>
    <t>SP_SB_5-05-01_Bombay_1976-12-25_Human--Not_Working_Like_Animal.mp3</t>
  </si>
  <si>
    <t>https://audio.iskcondesiretree.com/01_-_Srila_Prabhupada/01_-_Lectures/01_-_English/01_-_Topic_wise/Srimad_Bhagavatam/Canto-05/SP_SB_5-05-01_Bombay_1976-12-25_Human--Not_Working_Like_Animal.mp3</t>
  </si>
  <si>
    <t>Conv_1976-12-25_R1-BOMBAY.MP3</t>
  </si>
  <si>
    <t>https://audio.iskcondesiretree.com/01_-_Srila_Prabhupada/01_-_Lectures/01_-_English/02_-_Month_wise/12_-_December/25/Conv_1976-12-25_R1-BOMBAY.MP3</t>
  </si>
  <si>
    <t>MW_BOM_1976-12-25_Coverings_Concoctions_Gandhi_etc.mp3</t>
  </si>
  <si>
    <t>https://audio.iskcondesiretree.com/01_-_Srila_Prabhupada/01_-_Lectures/01_-_English/02_-_Month_wise/12_-_December/25/MW_BOM_1976-12-25_Coverings_Concoctions_Gandhi_etc.mp3</t>
  </si>
  <si>
    <t>SB-05-05-01_1976-12-25_SB-BOMBAY.MP3</t>
  </si>
  <si>
    <t>https://audio.iskcondesiretree.com/01_-_Srila_Prabhupada/01_-_Lectures/01_-_English/02_-_Month_wise/12_-_December/25/SB-05-05-01_1976-12-25_SB-BOMBAY.MP3</t>
  </si>
  <si>
    <t>SB_5-05-01_BOM_1976-12-25_Human-Not_Working_Like_Animal.mp3</t>
  </si>
  <si>
    <t>https://audio.iskcondesiretree.com/01_-_Srila_Prabhupada/01_-_Lectures/01_-_English/02_-_Month_wise/12_-_December/25/SB_5-05-01_BOM_1976-12-25_Human-Not_Working_Like_Animal.mp3</t>
  </si>
  <si>
    <t>Conv_1976-12-26_R1-BOMBAY.MP3</t>
  </si>
  <si>
    <t>https://audio.iskcondesiretree.com/01_-_Srila_Prabhupada/01_-_Lectures/01_-_English/02_-_Month_wise/12_-_December/26/Conv_1976-12-26_R1-BOMBAY.MP3</t>
  </si>
  <si>
    <t>Conv_1976-12-26_R2-BOMBAY.MP3</t>
  </si>
  <si>
    <t>https://audio.iskcondesiretree.com/01_-_Srila_Prabhupada/01_-_Lectures/01_-_English/02_-_Month_wise/12_-_December/26/Conv_1976-12-26_R2-BOMBAY.MP3</t>
  </si>
  <si>
    <t>Conv_1976-12-26_R3-BOMBAY.MP3</t>
  </si>
  <si>
    <t>https://audio.iskcondesiretree.com/01_-_Srila_Prabhupada/01_-_Lectures/01_-_English/02_-_Month_wise/12_-_December/26/Conv_1976-12-26_R3-BOMBAY.MP3</t>
  </si>
  <si>
    <t>SB-05-05-02%E2%80%93Hindi_1976-12-26_SB-BOMBAY.MP3</t>
  </si>
  <si>
    <t>https://audio.iskcondesiretree.com/01_-_Srila_Prabhupada/01_-_Lectures/01_-_English/02_-_Month_wise/12_-_December/26/SB-05-05-02%E2%80%93Hindi_1976-12-26_SB-BOMBAY.MP3</t>
  </si>
  <si>
    <t>Conv_1976-12-27_R1-BOMBAY.MP3</t>
  </si>
  <si>
    <t>https://audio.iskcondesiretree.com/01_-_Srila_Prabhupada/01_-_Lectures/01_-_English/02_-_Month_wise/12_-_December/27/Conv_1976-12-27_R1-BOMBAY.MP3</t>
  </si>
  <si>
    <t>Conv_1976-12-27_R2-BOMBAY.MP3</t>
  </si>
  <si>
    <t>https://audio.iskcondesiretree.com/01_-_Srila_Prabhupada/01_-_Lectures/01_-_English/02_-_Month_wise/12_-_December/27/Conv_1976-12-27_R2-BOMBAY.MP3</t>
  </si>
  <si>
    <t>Conv_1976-12-27_R3-BOMBAY.MP3</t>
  </si>
  <si>
    <t>https://audio.iskcondesiretree.com/01_-_Srila_Prabhupada/01_-_Lectures/01_-_English/02_-_Month_wise/12_-_December/27/Conv_1976-12-27_R3-BOMBAY.MP3</t>
  </si>
  <si>
    <t>SP_SB_5-06-10_Bombay_1976-12-28_Real_Varnasrama.mp3</t>
  </si>
  <si>
    <t>https://audio.iskcondesiretree.com/01_-_Srila_Prabhupada/01_-_Lectures/01_-_English/01_-_Topic_wise/Srimad_Bhagavatam/Canto-05/SP_SB_5-06-10_Bombay_1976-12-28_Real_Varnasrama.mp3</t>
  </si>
  <si>
    <t>Conv_1976-12-28_R1-BOMBAY.MP3</t>
  </si>
  <si>
    <t>https://audio.iskcondesiretree.com/01_-_Srila_Prabhupada/01_-_Lectures/01_-_English/02_-_Month_wise/12_-_December/28/Conv_1976-12-28_R1-BOMBAY.MP3</t>
  </si>
  <si>
    <t>Conv_1976-12-28_R2-BOMBAY.MP3</t>
  </si>
  <si>
    <t>https://audio.iskcondesiretree.com/01_-_Srila_Prabhupada/01_-_Lectures/01_-_English/02_-_Month_wise/12_-_December/28/Conv_1976-12-28_R2-BOMBAY.MP3</t>
  </si>
  <si>
    <t>SB-05-06-10_1976-12-28_SB-BOMBAY.MP3</t>
  </si>
  <si>
    <t>https://audio.iskcondesiretree.com/01_-_Srila_Prabhupada/01_-_Lectures/01_-_English/02_-_Month_wise/12_-_December/28/SB-05-06-10_1976-12-28_SB-BOMBAY.MP3</t>
  </si>
  <si>
    <t>SB_5-06-10_BOM_1976-12-28_Real_Varnasrama.mp3</t>
  </si>
  <si>
    <t>https://audio.iskcondesiretree.com/01_-_Srila_Prabhupada/01_-_Lectures/01_-_English/02_-_Month_wise/12_-_December/28/SB_5-06-10_BOM_1976-12-28_Real_Varnasrama.mp3</t>
  </si>
  <si>
    <t>SP_SB_5-06-11_Bombay_1976-12-29_Soul-Killing_Civilization.mp3</t>
  </si>
  <si>
    <t>https://audio.iskcondesiretree.com/01_-_Srila_Prabhupada/01_-_Lectures/01_-_English/01_-_Topic_wise/Srimad_Bhagavatam/Canto-05/SP_SB_5-06-11_Bombay_1976-12-29_Soul-Killing_Civilization.mp3</t>
  </si>
  <si>
    <t>Conv_1976-12-29_R1-BOMBAY.MP3</t>
  </si>
  <si>
    <t>https://audio.iskcondesiretree.com/01_-_Srila_Prabhupada/01_-_Lectures/01_-_English/02_-_Month_wise/12_-_December/29/Conv_1976-12-29_R1-BOMBAY.MP3</t>
  </si>
  <si>
    <t>SB-05-06-11_1976-12-29_SB-BOMBAY.MP3</t>
  </si>
  <si>
    <t>https://audio.iskcondesiretree.com/01_-_Srila_Prabhupada/01_-_Lectures/01_-_English/02_-_Month_wise/12_-_December/29/SB-05-06-11_1976-12-29_SB-BOMBAY.MP3</t>
  </si>
  <si>
    <t>SB_5-06-11_BOM_1976-12-29_Soul-Killing_Civilization.mp3</t>
  </si>
  <si>
    <t>https://audio.iskcondesiretree.com/01_-_Srila_Prabhupada/01_-_Lectures/01_-_English/02_-_Month_wise/12_-_December/29/SB_5-06-11_BOM_1976-12-29_Soul-Killing_Civilization.mp3</t>
  </si>
  <si>
    <t>Walk_1976-12-29_MW-BOMBAY.MP3</t>
  </si>
  <si>
    <t>https://audio.iskcondesiretree.com/01_-_Srila_Prabhupada/01_-_Lectures/01_-_English/02_-_Month_wise/12_-_December/29/Walk_1976-12-29_MW-BOMBAY.MP3</t>
  </si>
  <si>
    <t>Conv_1976-12-30_R1-BOMBAY.MP3</t>
  </si>
  <si>
    <t>https://audio.iskcondesiretree.com/01_-_Srila_Prabhupada/01_-_Lectures/01_-_English/02_-_Month_wise/12_-_December/30/Conv_1976-12-30_R1-BOMBAY.MP3</t>
  </si>
  <si>
    <t>Conv_1976-12-31_R1-BOMBAY.MP3</t>
  </si>
  <si>
    <t>https://audio.iskcondesiretree.com/01_-_Srila_Prabhupada/01_-_Lectures/01_-_English/02_-_Month_wise/12_-_December/31/Conv_1976-12-31_R1-BOMBAY.MP3</t>
  </si>
  <si>
    <t>Conv_1976-12-31_R2-BOMBAY.MP3</t>
  </si>
  <si>
    <t>https://audio.iskcondesiretree.com/01_-_Srila_Prabhupada/01_-_Lectures/01_-_English/02_-_Month_wise/12_-_December/31/Conv_1976-12-31_R2-BOMBAY.MP3</t>
  </si>
  <si>
    <t>Interview_1976-12-31_IV-BOMBAY.MP3</t>
  </si>
  <si>
    <t>https://audio.iskcondesiretree.com/01_-_Srila_Prabhupada/01_-_Lectures/01_-_English/02_-_Month_wise/12_-_December/31/Interview_1976-12-31_IV-BOMBAY.MP3</t>
  </si>
  <si>
    <t>SP_Room_Conversation_Bombay_1977-01-02_You_Have_Performed_the_Greatest_Miracle.mp3</t>
  </si>
  <si>
    <t>https://audio.iskcondesiretree.com/01_-_Srila_Prabhupada/01_-_Lectures/01_-_English/01_-_Topic_wise/Room_Conversation/SP_Room_Conversation_Bombay_1977-01-02_You_Have_Performed_the_Greatest_Miracle.mp3</t>
  </si>
  <si>
    <t>Conv_1977-01-02_R1-BOMBAY.MP3</t>
  </si>
  <si>
    <t>https://audio.iskcondesiretree.com/01_-_Srila_Prabhupada/01_-_Lectures/01_-_English/02_-_Month_wise/01_-_January/02/Conv_1977-01-02_R1-BOMBAY.MP3</t>
  </si>
  <si>
    <t>Conv_1977-01-02_R2-BOMBAY.MP3</t>
  </si>
  <si>
    <t>https://audio.iskcondesiretree.com/01_-_Srila_Prabhupada/01_-_Lectures/01_-_English/02_-_Month_wise/01_-_January/02/Conv_1977-01-02_R2-BOMBAY.MP3</t>
  </si>
  <si>
    <t>Conv_1977-01-02_R3-BOMBAY.MP3</t>
  </si>
  <si>
    <t>https://audio.iskcondesiretree.com/01_-_Srila_Prabhupada/01_-_Lectures/01_-_English/02_-_Month_wise/01_-_January/02/Conv_1977-01-02_R3-BOMBAY.MP3</t>
  </si>
  <si>
    <t>RC_BOM_1977-01-02_You_Have_Performed_the_Greatest_Miracle.mp3</t>
  </si>
  <si>
    <t>https://audio.iskcondesiretree.com/01_-_Srila_Prabhupada/01_-_Lectures/01_-_English/02_-_Month_wise/01_-_January/02/RC_BOM_1977-01-02_You_Have_Performed_the_Greatest_Miracle.mp3</t>
  </si>
  <si>
    <t>Walk_1977-01-02_MW-BOMBAY.MP3</t>
  </si>
  <si>
    <t>https://audio.iskcondesiretree.com/01_-_Srila_Prabhupada/01_-_Lectures/01_-_English/02_-_Month_wise/01_-_January/02/Walk_1977-01-02_MW-BOMBAY.MP3</t>
  </si>
  <si>
    <t>Conv_1977-01-03_R1-BOMBAY.MP3</t>
  </si>
  <si>
    <t>https://audio.iskcondesiretree.com/01_-_Srila_Prabhupada/01_-_Lectures/01_-_English/02_-_Month_wise/01_-_January/03/Conv_1977-01-03_R1-BOMBAY.MP3</t>
  </si>
  <si>
    <t>Conv_1977-01-03_R2-BOMBAY.MP3</t>
  </si>
  <si>
    <t>https://audio.iskcondesiretree.com/01_-_Srila_Prabhupada/01_-_Lectures/01_-_English/02_-_Month_wise/01_-_January/03/Conv_1977-01-03_R2-BOMBAY.MP3</t>
  </si>
  <si>
    <t>SP_Morning_Walk_-_Bombay_1977-01-04_Can_You_Know_You_Are_Liberated.mp3</t>
  </si>
  <si>
    <t>https://audio.iskcondesiretree.com/01_-_Srila_Prabhupada/01_-_Lectures/01_-_English/01_-_Topic_wise/Morning_Walk/SP_Morning_Walk_-_Bombay_1977-01-04_Can_You_Know_You_Are_Liberated.mp3</t>
  </si>
  <si>
    <t>Conv_1977-01-04_R1-BOMBAY.MP3</t>
  </si>
  <si>
    <t>https://audio.iskcondesiretree.com/01_-_Srila_Prabhupada/01_-_Lectures/01_-_English/02_-_Month_wise/01_-_January/04/Conv_1977-01-04_R1-BOMBAY.MP3</t>
  </si>
  <si>
    <t>MW_BOM_1977-01-04_Can_You_Know_You_Are_Liberated.mp3</t>
  </si>
  <si>
    <t>https://audio.iskcondesiretree.com/01_-_Srila_Prabhupada/01_-_Lectures/01_-_English/02_-_Month_wise/01_-_January/04/MW_BOM_1977-01-04_Can_You_Know_You_Are_Liberated.mp3</t>
  </si>
  <si>
    <t>Walk_1977-01-04_MW-BOMBAY.MP3</t>
  </si>
  <si>
    <t>https://audio.iskcondesiretree.com/01_-_Srila_Prabhupada/01_-_Lectures/01_-_English/02_-_Month_wise/01_-_January/04/Walk_1977-01-04_MW-BOMBAY.MP3</t>
  </si>
  <si>
    <t>SP_Room_Conversation_Bombay_1977-01-05_Krishna_Gives_Sincere_Right_Guru.mp3</t>
  </si>
  <si>
    <t>https://audio.iskcondesiretree.com/01_-_Srila_Prabhupada/01_-_Lectures/01_-_English/01_-_Topic_wise/Room_Conversation/SP_Room_Conversation_Bombay_1977-01-05_Krishna_Gives_Sincere_Right_Guru.mp3</t>
  </si>
  <si>
    <t>Conv_1977-01-05_R1-BOMBAY.MP3</t>
  </si>
  <si>
    <t>https://audio.iskcondesiretree.com/01_-_Srila_Prabhupada/01_-_Lectures/01_-_English/02_-_Month_wise/01_-_January/05/Conv_1977-01-05_R1-BOMBAY.MP3</t>
  </si>
  <si>
    <t>Conv_1977-01-05_R2-BOMBAY.MP3</t>
  </si>
  <si>
    <t>https://audio.iskcondesiretree.com/01_-_Srila_Prabhupada/01_-_Lectures/01_-_English/02_-_Month_wise/01_-_January/05/Conv_1977-01-05_R2-BOMBAY.MP3</t>
  </si>
  <si>
    <t>Letter_To_Russian_1977-01-05_R3-BOMBAY.MP3</t>
  </si>
  <si>
    <t>https://audio.iskcondesiretree.com/01_-_Srila_Prabhupada/01_-_Lectures/01_-_English/02_-_Month_wise/01_-_January/05/Letter_To_Russian_1977-01-05_R3-BOMBAY.MP3</t>
  </si>
  <si>
    <t>RC_BOM_1977-01-05_Krishna_Gives_Sincere_Right_Guru.mp3</t>
  </si>
  <si>
    <t>https://audio.iskcondesiretree.com/01_-_Srila_Prabhupada/01_-_Lectures/01_-_English/02_-_Month_wise/01_-_January/05/RC_BOM_1977-01-05_Krishna_Gives_Sincere_Right_Guru.mp3</t>
  </si>
  <si>
    <t>Conv_1977-01-06_R1-BOMBAY.MP3</t>
  </si>
  <si>
    <t>https://audio.iskcondesiretree.com/01_-_Srila_Prabhupada/01_-_Lectures/01_-_English/02_-_Month_wise/01_-_January/06/Conv_1977-01-06_R1-BOMBAY.MP3</t>
  </si>
  <si>
    <t>Conv_1977-01-06_R2-BOMBAY.MP3</t>
  </si>
  <si>
    <t>https://audio.iskcondesiretree.com/01_-_Srila_Prabhupada/01_-_Lectures/01_-_English/02_-_Month_wise/01_-_January/06/Conv_1977-01-06_R2-BOMBAY.MP3</t>
  </si>
  <si>
    <t>Conv_1977-01-07_R1-BOMBAY.MP3</t>
  </si>
  <si>
    <t>https://audio.iskcondesiretree.com/01_-_Srila_Prabhupada/01_-_Lectures/01_-_English/02_-_Month_wise/01_-_January/07/Conv_1977-01-07_R1-BOMBAY.MP3</t>
  </si>
  <si>
    <t>Darshan_1977-01-07_ED-BOMBAY.MP3</t>
  </si>
  <si>
    <t>https://audio.iskcondesiretree.com/01_-_Srila_Prabhupada/01_-_Lectures/01_-_English/02_-_Month_wise/01_-_January/07/Darshan_1977-01-07_ED-BOMBAY.MP3</t>
  </si>
  <si>
    <t>SP_Morning_Walk_-_Bombay_1977-01-08_About_Kumbha_Mela--Know_and_Do_What--etc.mp3</t>
  </si>
  <si>
    <t>https://audio.iskcondesiretree.com/01_-_Srila_Prabhupada/01_-_Lectures/01_-_English/01_-_Topic_wise/Morning_Walk/SP_Morning_Walk_-_Bombay_1977-01-08_About_Kumbha_Mela--Know_and_Do_What--etc.mp3</t>
  </si>
  <si>
    <t>SP_Room_Conversation_Bombay_1977-01-08_Relief_from_the_Body.mp3</t>
  </si>
  <si>
    <t>https://audio.iskcondesiretree.com/01_-_Srila_Prabhupada/01_-_Lectures/01_-_English/01_-_Topic_wise/Room_Conversation/SP_Room_Conversation_Bombay_1977-01-08_Relief_from_the_Body.mp3</t>
  </si>
  <si>
    <t>Conv_1977-01-08_R1-BOMBAY.MP3</t>
  </si>
  <si>
    <t>https://audio.iskcondesiretree.com/01_-_Srila_Prabhupada/01_-_Lectures/01_-_English/02_-_Month_wise/01_-_January/08/Conv_1977-01-08_R1-BOMBAY.MP3</t>
  </si>
  <si>
    <t>Conv_1977-01-08_R2-BOMBAY.MP3</t>
  </si>
  <si>
    <t>https://audio.iskcondesiretree.com/01_-_Srila_Prabhupada/01_-_Lectures/01_-_English/02_-_Month_wise/01_-_January/08/Conv_1977-01-08_R2-BOMBAY.MP3</t>
  </si>
  <si>
    <t>Conv_1977-01-08_R3-BOMBAY.MP3</t>
  </si>
  <si>
    <t>https://audio.iskcondesiretree.com/01_-_Srila_Prabhupada/01_-_Lectures/01_-_English/02_-_Month_wise/01_-_January/08/Conv_1977-01-08_R3-BOMBAY.MP3</t>
  </si>
  <si>
    <t>Conv_1977-01-08_R4-BOMBAY.MP3</t>
  </si>
  <si>
    <t>https://audio.iskcondesiretree.com/01_-_Srila_Prabhupada/01_-_Lectures/01_-_English/02_-_Month_wise/01_-_January/08/Conv_1977-01-08_R4-BOMBAY.MP3</t>
  </si>
  <si>
    <t>Conv_1977-01-08_R5-BOMBAY.MP3</t>
  </si>
  <si>
    <t>https://audio.iskcondesiretree.com/01_-_Srila_Prabhupada/01_-_Lectures/01_-_English/02_-_Month_wise/01_-_January/08/Conv_1977-01-08_R5-BOMBAY.MP3</t>
  </si>
  <si>
    <t>Conv_1977-01-08_R6-BOMBAY.MP3</t>
  </si>
  <si>
    <t>https://audio.iskcondesiretree.com/01_-_Srila_Prabhupada/01_-_Lectures/01_-_English/02_-_Month_wise/01_-_January/08/Conv_1977-01-08_R6-BOMBAY.MP3</t>
  </si>
  <si>
    <t>Conv_1977-01-08_R7-BOMBAY.MP3</t>
  </si>
  <si>
    <t>https://audio.iskcondesiretree.com/01_-_Srila_Prabhupada/01_-_Lectures/01_-_English/02_-_Month_wise/01_-_January/08/Conv_1977-01-08_R7-BOMBAY.MP3</t>
  </si>
  <si>
    <t>MW_BOM_1977-01-08_About_Kumbha_Mela--Know_and_Do_What_etc.mp3</t>
  </si>
  <si>
    <t>https://audio.iskcondesiretree.com/01_-_Srila_Prabhupada/01_-_Lectures/01_-_English/02_-_Month_wise/01_-_January/08/MW_BOM_1977-01-08_About_Kumbha_Mela--Know_and_Do_What_etc.mp3</t>
  </si>
  <si>
    <t>RC_BOM_1977-01-08_Relief_from_the_Body.mp3</t>
  </si>
  <si>
    <t>https://audio.iskcondesiretree.com/01_-_Srila_Prabhupada/01_-_Lectures/01_-_English/02_-_Month_wise/01_-_January/08/RC_BOM_1977-01-08_Relief_from_the_Body.mp3</t>
  </si>
  <si>
    <t>Walk_1977-01-08_MW-BOMBAY.MP3</t>
  </si>
  <si>
    <t>https://audio.iskcondesiretree.com/01_-_Srila_Prabhupada/01_-_Lectures/01_-_English/02_-_Month_wise/01_-_January/08/Walk_1977-01-08_MW-BOMBAY.MP3</t>
  </si>
  <si>
    <t>SP_Room_Conversation_Bombay_1977-01-09_Everyone_is_Trying_to_Become_Krishna.mp3</t>
  </si>
  <si>
    <t>https://audio.iskcondesiretree.com/01_-_Srila_Prabhupada/01_-_Lectures/01_-_English/01_-_Topic_wise/Room_Conversation/SP_Room_Conversation_Bombay_1977-01-09_Everyone_is_Trying_to_Become_Krishna.mp3</t>
  </si>
  <si>
    <t>SP_Room_Conversation_Bombay_1977-01-09_Yogi--Accept_No_Fakirs_No_Substitutes.mp3</t>
  </si>
  <si>
    <t>https://audio.iskcondesiretree.com/01_-_Srila_Prabhupada/01_-_Lectures/01_-_English/01_-_Topic_wise/Room_Conversation/SP_Room_Conversation_Bombay_1977-01-09_Yogi--Accept_No_Fakirs_No_Substitutes.mp3</t>
  </si>
  <si>
    <t>Conv_1977-01-09_R1-BOMBAY.MP3</t>
  </si>
  <si>
    <t>https://audio.iskcondesiretree.com/01_-_Srila_Prabhupada/01_-_Lectures/01_-_English/02_-_Month_wise/01_-_January/09/Conv_1977-01-09_R1-BOMBAY.MP3</t>
  </si>
  <si>
    <t>Conv_1977-01-09_R2-BOMBAY.MP3</t>
  </si>
  <si>
    <t>https://audio.iskcondesiretree.com/01_-_Srila_Prabhupada/01_-_Lectures/01_-_English/02_-_Month_wise/01_-_January/09/Conv_1977-01-09_R2-BOMBAY.MP3</t>
  </si>
  <si>
    <t>Conv_1977-01-09_R3-BOMBAY.MP3</t>
  </si>
  <si>
    <t>https://audio.iskcondesiretree.com/01_-_Srila_Prabhupada/01_-_Lectures/01_-_English/02_-_Month_wise/01_-_January/09/Conv_1977-01-09_R3-BOMBAY.MP3</t>
  </si>
  <si>
    <t>RC_BOM_1977-01-09_Everyone_is_Trying_to_Become_Krishna.mp3</t>
  </si>
  <si>
    <t>https://audio.iskcondesiretree.com/01_-_Srila_Prabhupada/01_-_Lectures/01_-_English/02_-_Month_wise/01_-_January/09/RC_BOM_1977-01-09_Everyone_is_Trying_to_Become_Krishna.mp3</t>
  </si>
  <si>
    <t>RC_BOM_1977-01-09_Yogi-Accept_No_Fakirs%2C_No_Substitutes.mp3</t>
  </si>
  <si>
    <t>https://audio.iskcondesiretree.com/01_-_Srila_Prabhupada/01_-_Lectures/01_-_English/02_-_Month_wise/01_-_January/09/RC_BOM_1977-01-09_Yogi-Accept_No_Fakirs%2C_No_Substitutes.mp3</t>
  </si>
  <si>
    <t>Walk_1977-01-09_MW-BOMBAY.MP3</t>
  </si>
  <si>
    <t>https://audio.iskcondesiretree.com/01_-_Srila_Prabhupada/01_-_Lectures/01_-_English/02_-_Month_wise/01_-_January/09/Walk_1977-01-09_MW-BOMBAY.MP3</t>
  </si>
  <si>
    <t>Conv_1977-01-10_R1-BOMBAY.MP3</t>
  </si>
  <si>
    <t>https://audio.iskcondesiretree.com/01_-_Srila_Prabhupada/01_-_Lectures/01_-_English/02_-_Month_wise/01_-_January/10/Conv_1977-01-10_R1-BOMBAY.MP3</t>
  </si>
  <si>
    <t>Conv_1977-01-11_TT-INDIA.MP3</t>
  </si>
  <si>
    <t>https://audio.iskcondesiretree.com/01_-_Srila_Prabhupada/01_-_Lectures/01_-_English/02_-_Month_wise/01_-_January/11/Conv_1977-01-11_TT-INDIA.MP3</t>
  </si>
  <si>
    <t>Conv_1977-01-13_R1-ALLAHABAD.MP3</t>
  </si>
  <si>
    <t>https://audio.iskcondesiretree.com/01_-_Srila_Prabhupada/01_-_Lectures/01_-_English/02_-_Month_wise/01_-_January/13/Conv_1977-01-13_R1-ALLAHABAD.MP3</t>
  </si>
  <si>
    <t>Lecture_1977-01-13_LE-ALLAHABAD.MP3</t>
  </si>
  <si>
    <t>https://audio.iskcondesiretree.com/01_-_Srila_Prabhupada/01_-_Lectures/01_-_English/02_-_Month_wise/01_-_January/13/Lecture_1977-01-13_LE-ALLAHABAD.MP3</t>
  </si>
  <si>
    <t>SP_Lecture_Allahabad_1977-01-15_At_Kumba_Mela--Avoid_Atheistic_Mahatmas.mp3</t>
  </si>
  <si>
    <t>https://audio.iskcondesiretree.com/01_-_Srila_Prabhupada/01_-_Lectures/01_-_English/01_-_Topic_wise/Various/SP_Lecture_Allahabad_1977-01-15_At_Kumba_Mela--Avoid_Atheistic_Mahatmas.mp3</t>
  </si>
  <si>
    <t>Conv_1977-01-15_R1-ALLAHABAD.MP3</t>
  </si>
  <si>
    <t>https://audio.iskcondesiretree.com/01_-_Srila_Prabhupada/01_-_Lectures/01_-_English/02_-_Month_wise/01_-_January/15/Conv_1977-01-15_R1-ALLAHABAD.MP3</t>
  </si>
  <si>
    <t>Lect_ALL_1977-01-15_At_Kumba_Mela--Avoid_Atheistic_Mahatmas.mp3</t>
  </si>
  <si>
    <t>https://audio.iskcondesiretree.com/01_-_Srila_Prabhupada/01_-_Lectures/01_-_English/02_-_Month_wise/01_-_January/15/Lect_ALL_1977-01-15_At_Kumba_Mela--Avoid_Atheistic_Mahatmas.mp3</t>
  </si>
  <si>
    <t>Lecture_1977-01-15_LE-ALLAHABAD.MP3</t>
  </si>
  <si>
    <t>https://audio.iskcondesiretree.com/01_-_Srila_Prabhupada/01_-_Lectures/01_-_English/02_-_Month_wise/01_-_January/15/Lecture_1977-01-15_LE-ALLAHABAD.MP3</t>
  </si>
  <si>
    <t>Conv_1977-01-16_R1-CALCUTTA.MP3</t>
  </si>
  <si>
    <t>https://audio.iskcondesiretree.com/01_-_Srila_Prabhupada/01_-_Lectures/01_-_English/02_-_Month_wise/01_-_January/16/Conv_1977-01-16_R1-CALCUTTA.MP3</t>
  </si>
  <si>
    <t>Conv_1977-01-16_R2-CALCUTTA.MP3</t>
  </si>
  <si>
    <t>https://audio.iskcondesiretree.com/01_-_Srila_Prabhupada/01_-_Lectures/01_-_English/02_-_Month_wise/01_-_January/16/Conv_1977-01-16_R2-CALCUTTA.MP3</t>
  </si>
  <si>
    <t>Conv_1977-01-16_R3-CALCUTTA.MP3</t>
  </si>
  <si>
    <t>https://audio.iskcondesiretree.com/01_-_Srila_Prabhupada/01_-_Lectures/01_-_English/02_-_Month_wise/01_-_January/16/Conv_1977-01-16_R3-CALCUTTA.MP3</t>
  </si>
  <si>
    <t>Arrival_1977-01-19_AR-BHUBANESWAR.MP3</t>
  </si>
  <si>
    <t>https://audio.iskcondesiretree.com/01_-_Srila_Prabhupada/01_-_Lectures/01_-_English/02_-_Month_wise/01_-_January/19/Arrival_1977-01-19_AR-BHUBANESWAR.MP3</t>
  </si>
  <si>
    <t>Conv_1977-01-19_R1-BHUBANESWAR.MP3</t>
  </si>
  <si>
    <t>https://audio.iskcondesiretree.com/01_-_Srila_Prabhupada/01_-_Lectures/01_-_English/02_-_Month_wise/01_-_January/19/Conv_1977-01-19_R1-BHUBANESWAR.MP3</t>
  </si>
  <si>
    <t>Conv_1977-01-19_R2-BHUBANESWAR.MP3</t>
  </si>
  <si>
    <t>https://audio.iskcondesiretree.com/01_-_Srila_Prabhupada/01_-_Lectures/01_-_English/02_-_Month_wise/01_-_January/19/Conv_1977-01-19_R2-BHUBANESWAR.MP3</t>
  </si>
  <si>
    <t>Lecture_1977-01-19_LE-BHUBANESWAR.MP3</t>
  </si>
  <si>
    <t>https://audio.iskcondesiretree.com/01_-_Srila_Prabhupada/01_-_Lectures/01_-_English/02_-_Month_wise/01_-_January/19/Lecture_1977-01-19_LE-BHUBANESWAR.MP3</t>
  </si>
  <si>
    <t>Conv_1977-01-20_R1-BHUBANESWAR.MP3</t>
  </si>
  <si>
    <t>https://audio.iskcondesiretree.com/01_-_Srila_Prabhupada/01_-_Lectures/01_-_English/02_-_Month_wise/01_-_January/20/Conv_1977-01-20_R1-BHUBANESWAR.MP3</t>
  </si>
  <si>
    <t>Conv_1977-01-20_R2-BHUBANESWAR.MP3</t>
  </si>
  <si>
    <t>https://audio.iskcondesiretree.com/01_-_Srila_Prabhupada/01_-_Lectures/01_-_English/02_-_Month_wise/01_-_January/20/Conv_1977-01-20_R2-BHUBANESWAR.MP3</t>
  </si>
  <si>
    <t>Walk_1977-01-20_MW-BHUBANESWAR.MP3</t>
  </si>
  <si>
    <t>https://audio.iskcondesiretree.com/01_-_Srila_Prabhupada/01_-_Lectures/01_-_English/02_-_Month_wise/01_-_January/20/Walk_1977-01-20_MW-BHUBANESWAR.MP3</t>
  </si>
  <si>
    <t>Conv_1977-01-21_R1-BHUBANESWAR.MP3</t>
  </si>
  <si>
    <t>https://audio.iskcondesiretree.com/01_-_Srila_Prabhupada/01_-_Lectures/01_-_English/02_-_Month_wise/01_-_January/21/Conv_1977-01-21_R1-BHUBANESWAR.MP3</t>
  </si>
  <si>
    <t>Conv_1977-01-21_R2-BHUBANESWAR.MP3</t>
  </si>
  <si>
    <t>https://audio.iskcondesiretree.com/01_-_Srila_Prabhupada/01_-_Lectures/01_-_English/02_-_Month_wise/01_-_January/21/Conv_1977-01-21_R2-BHUBANESWAR.MP3</t>
  </si>
  <si>
    <t>Conv_1977-01-21_R3-BHUBANESWAR.MP3</t>
  </si>
  <si>
    <t>https://audio.iskcondesiretree.com/01_-_Srila_Prabhupada/01_-_Lectures/01_-_English/02_-_Month_wise/01_-_January/21/Conv_1977-01-21_R3-BHUBANESWAR.MP3</t>
  </si>
  <si>
    <t>Conv_1977-01-21_R4-BHUBANESWAR.MP3</t>
  </si>
  <si>
    <t>https://audio.iskcondesiretree.com/01_-_Srila_Prabhupada/01_-_Lectures/01_-_English/02_-_Month_wise/01_-_January/21/Conv_1977-01-21_R4-BHUBANESWAR.MP3</t>
  </si>
  <si>
    <t>Conv_1977-01-21_R5-BHUBANESWAR.MP3</t>
  </si>
  <si>
    <t>https://audio.iskcondesiretree.com/01_-_Srila_Prabhupada/01_-_Lectures/01_-_English/02_-_Month_wise/01_-_January/21/Conv_1977-01-21_R5-BHUBANESWAR.MP3</t>
  </si>
  <si>
    <t>Conv_1977-01-21_R6-BHUBANESWAR.MP3</t>
  </si>
  <si>
    <t>https://audio.iskcondesiretree.com/01_-_Srila_Prabhupada/01_-_Lectures/01_-_English/02_-_Month_wise/01_-_January/21/Conv_1977-01-21_R6-BHUBANESWAR.MP3</t>
  </si>
  <si>
    <t>Lecture_1977-01-21_LE-BHUBANESWAR.MP3</t>
  </si>
  <si>
    <t>https://audio.iskcondesiretree.com/01_-_Srila_Prabhupada/01_-_Lectures/01_-_English/02_-_Month_wise/01_-_January/21/Lecture_1977-01-21_LE-BHUBANESWAR.MP3</t>
  </si>
  <si>
    <t>Walk_1977-01-21MW-BHUBANESWAR.MP3</t>
  </si>
  <si>
    <t>https://audio.iskcondesiretree.com/01_-_Srila_Prabhupada/01_-_Lectures/01_-_English/02_-_Month_wise/01_-_January/21/Walk_1977-01-21MW-BHUBANESWAR.MP3</t>
  </si>
  <si>
    <t>Bg-07-01_1977-01-22_BG-BHUBANESWAR.MP3</t>
  </si>
  <si>
    <t>https://audio.iskcondesiretree.com/01_-_Srila_Prabhupada/01_-_Lectures/01_-_English/02_-_Month_wise/01_-_January/22/Bg-07-01_1977-01-22_BG-BHUBANESWAR.MP3</t>
  </si>
  <si>
    <t>Conv_1977-01-22_R1-BHUBANESWAR.MP3</t>
  </si>
  <si>
    <t>https://audio.iskcondesiretree.com/01_-_Srila_Prabhupada/01_-_Lectures/01_-_English/02_-_Month_wise/01_-_January/22/Conv_1977-01-22_R1-BHUBANESWAR.MP3</t>
  </si>
  <si>
    <t>Conv_1977-01-22_R2-BHUBANESWAR.MP3</t>
  </si>
  <si>
    <t>https://audio.iskcondesiretree.com/01_-_Srila_Prabhupada/01_-_Lectures/01_-_English/02_-_Month_wise/01_-_January/22/Conv_1977-01-22_R2-BHUBANESWAR.MP3</t>
  </si>
  <si>
    <t>Conv_1977-01-22_R3-BHUBANESWAR.MP3</t>
  </si>
  <si>
    <t>https://audio.iskcondesiretree.com/01_-_Srila_Prabhupada/01_-_Lectures/01_-_English/02_-_Month_wise/01_-_January/22/Conv_1977-01-22_R3-BHUBANESWAR.MP3</t>
  </si>
  <si>
    <t>SP_Lecture_Bhuvanesvara_1977-01-23_You_Can_Become_Greatest_Devotee.mp3</t>
  </si>
  <si>
    <t>https://audio.iskcondesiretree.com/01_-_Srila_Prabhupada/01_-_Lectures/01_-_English/01_-_Topic_wise/Various/SP_Lecture_Bhuvanesvara_1977-01-23_You_Can_Become_Greatest_Devotee.mp3</t>
  </si>
  <si>
    <t>Conv_1977-01-23_R1-BHUBANESWAR.MP3</t>
  </si>
  <si>
    <t>https://audio.iskcondesiretree.com/01_-_Srila_Prabhupada/01_-_Lectures/01_-_English/02_-_Month_wise/01_-_January/23/Conv_1977-01-23_R1-BHUBANESWAR.MP3</t>
  </si>
  <si>
    <t>Conv_1977-01-23_R2-BHUBANESWAR.MP3</t>
  </si>
  <si>
    <t>https://audio.iskcondesiretree.com/01_-_Srila_Prabhupada/01_-_Lectures/01_-_English/02_-_Month_wise/01_-_January/23/Conv_1977-01-23_R2-BHUBANESWAR.MP3</t>
  </si>
  <si>
    <t>Darshan_1977-01-23_ED-BHUBANESWAR.MP3</t>
  </si>
  <si>
    <t>https://audio.iskcondesiretree.com/01_-_Srila_Prabhupada/01_-_Lectures/01_-_English/02_-_Month_wise/01_-_January/23/Darshan_1977-01-23_ED-BHUBANESWAR.MP3</t>
  </si>
  <si>
    <t>Lect_BHU_1977-01-23_You_Can_Become_Greatest_Devotee.mp3</t>
  </si>
  <si>
    <t>https://audio.iskcondesiretree.com/01_-_Srila_Prabhupada/01_-_Lectures/01_-_English/02_-_Month_wise/01_-_January/23/Lect_BHU_1977-01-23_You_Can_Become_Greatest_Devotee.mp3</t>
  </si>
  <si>
    <t>Lecture_1977-01-23_LE-BHUBANESWAR.MP3</t>
  </si>
  <si>
    <t>https://audio.iskcondesiretree.com/01_-_Srila_Prabhupada/01_-_Lectures/01_-_English/02_-_Month_wise/01_-_January/23/Lecture_1977-01-23_LE-BHUBANESWAR.MP3</t>
  </si>
  <si>
    <t>SP_Lecture_Bhuvanesvara_1977-01-24_Unfortunates_Not_Attracted_to_the--etc.mp3</t>
  </si>
  <si>
    <t>https://audio.iskcondesiretree.com/01_-_Srila_Prabhupada/01_-_Lectures/01_-_English/01_-_Topic_wise/Various/SP_Lecture_Bhuvanesvara_1977-01-24_Unfortunates_Not_Attracted_to_the--etc.mp3</t>
  </si>
  <si>
    <t>CcMadhya-08-128_1977-01-24_CC-BHUBANESWAR.MP3</t>
  </si>
  <si>
    <t>https://audio.iskcondesiretree.com/01_-_Srila_Prabhupada/01_-_Lectures/01_-_English/02_-_Month_wise/01_-_January/24/CcMadhya-08-128_1977-01-24_CC-BHUBANESWAR.MP3</t>
  </si>
  <si>
    <t>Conv_1977-01-24_R1-BHUBANESWAR.MP3</t>
  </si>
  <si>
    <t>https://audio.iskcondesiretree.com/01_-_Srila_Prabhupada/01_-_Lectures/01_-_English/02_-_Month_wise/01_-_January/24/Conv_1977-01-24_R1-BHUBANESWAR.MP3</t>
  </si>
  <si>
    <t>Conv_1977-01-24_R2-BHUBANESWAR.MP3</t>
  </si>
  <si>
    <t>https://audio.iskcondesiretree.com/01_-_Srila_Prabhupada/01_-_Lectures/01_-_English/02_-_Month_wise/01_-_January/24/Conv_1977-01-24_R2-BHUBANESWAR.MP3</t>
  </si>
  <si>
    <t>Lect_BHU_1977-01-24_Unfortunates_Not_Attracted_to_the_etc.mp3</t>
  </si>
  <si>
    <t>https://audio.iskcondesiretree.com/01_-_Srila_Prabhupada/01_-_Lectures/01_-_English/02_-_Month_wise/01_-_January/24/Lect_BHU_1977-01-24_Unfortunates_Not_Attracted_to_the_etc.mp3</t>
  </si>
  <si>
    <t>Walk_1977-01-24_MW-BHUBANESWAR.MP3</t>
  </si>
  <si>
    <t>https://audio.iskcondesiretree.com/01_-_Srila_Prabhupada/01_-_Lectures/01_-_English/02_-_Month_wise/01_-_January/24/Walk_1977-01-24_MW-BHUBANESWAR.MP3</t>
  </si>
  <si>
    <t>SP_Room_Conversation_Bhuvanesvara_1977-01-25_Sex_and_Salt_Mayapur_Be_Bad_for_You_Not_Krishna.mp3</t>
  </si>
  <si>
    <t>https://audio.iskcondesiretree.com/01_-_Srila_Prabhupada/01_-_Lectures/01_-_English/01_-_Topic_wise/Room_Conversation/SP_Room_Conversation_Bhuvanesvara_1977-01-25_Sex_and_Salt_Mayapur_Be_Bad_for_You_Not_Krishna.mp3</t>
  </si>
  <si>
    <t>Conv_1977-01-25_R1-PURI.MP3</t>
  </si>
  <si>
    <t>https://audio.iskcondesiretree.com/01_-_Srila_Prabhupada/01_-_Lectures/01_-_English/02_-_Month_wise/01_-_January/25/Conv_1977-01-25_R1-PURI.MP3</t>
  </si>
  <si>
    <t>Conv_1977-01-25_R2-PURI.MP3</t>
  </si>
  <si>
    <t>https://audio.iskcondesiretree.com/01_-_Srila_Prabhupada/01_-_Lectures/01_-_English/02_-_Month_wise/01_-_January/25/Conv_1977-01-25_R2-PURI.MP3</t>
  </si>
  <si>
    <t>RC_BHU_1977-01-25_Sex_and_Salt_May_Be_Bad_for_You-_Not_Krishna.mp3</t>
  </si>
  <si>
    <t>https://audio.iskcondesiretree.com/01_-_Srila_Prabhupada/01_-_Lectures/01_-_English/02_-_Month_wise/01_-_January/25/RC_BHU_1977-01-25_Sex_and_Salt_May_Be_Bad_for_You-_Not_Krishna.mp3</t>
  </si>
  <si>
    <t>Walk_1977-01-25_MW-PURI.MP3</t>
  </si>
  <si>
    <t>https://audio.iskcondesiretree.com/01_-_Srila_Prabhupada/01_-_Lectures/01_-_English/02_-_Month_wise/01_-_January/25/Walk_1977-01-25_MW-PURI.MP3</t>
  </si>
  <si>
    <t>Address_1977-01-26_AD-PURI.MP3</t>
  </si>
  <si>
    <t>https://audio.iskcondesiretree.com/01_-_Srila_Prabhupada/01_-_Lectures/01_-_English/02_-_Month_wise/01_-_January/26/Address_1977-01-26_AD-PURI.MP3</t>
  </si>
  <si>
    <t>ChantsByBrahmanas_1977-01-26_R2-PURI.MP3</t>
  </si>
  <si>
    <t>https://audio.iskcondesiretree.com/01_-_Srila_Prabhupada/01_-_Lectures/01_-_English/02_-_Month_wise/01_-_January/26/ChantsByBrahmanas_1977-01-26_R2-PURI.MP3</t>
  </si>
  <si>
    <t>Conv_1977-01-26_R1-PURI.MP3</t>
  </si>
  <si>
    <t>https://audio.iskcondesiretree.com/01_-_Srila_Prabhupada/01_-_Lectures/01_-_English/02_-_Month_wise/01_-_January/26/Conv_1977-01-26_R1-PURI.MP3</t>
  </si>
  <si>
    <t>Conv_1977-01-27_R1-BHUBANESWAR.MP3</t>
  </si>
  <si>
    <t>https://audio.iskcondesiretree.com/01_-_Srila_Prabhupada/01_-_Lectures/01_-_English/02_-_Month_wise/01_-_January/27/Conv_1977-01-27_R1-BHUBANESWAR.MP3</t>
  </si>
  <si>
    <t>Conv_1977-01-27_R1-PURI.MP3</t>
  </si>
  <si>
    <t>https://audio.iskcondesiretree.com/01_-_Srila_Prabhupada/01_-_Lectures/01_-_English/02_-_Month_wise/01_-_January/27/Conv_1977-01-27_R1-PURI.MP3</t>
  </si>
  <si>
    <t>Conv_1977-01-27_R2-BHUBANESWAR.MP3</t>
  </si>
  <si>
    <t>https://audio.iskcondesiretree.com/01_-_Srila_Prabhupada/01_-_Lectures/01_-_English/02_-_Month_wise/01_-_January/27/Conv_1977-01-27_R2-BHUBANESWAR.MP3</t>
  </si>
  <si>
    <t>Conv_1977-01-27_R2-PURI.MP3</t>
  </si>
  <si>
    <t>https://audio.iskcondesiretree.com/01_-_Srila_Prabhupada/01_-_Lectures/01_-_English/02_-_Month_wise/01_-_January/27/Conv_1977-01-27_R2-PURI.MP3</t>
  </si>
  <si>
    <t>Conv_1977-01-28_R1-BHUBANESWAR.MP3</t>
  </si>
  <si>
    <t>https://audio.iskcondesiretree.com/01_-_Srila_Prabhupada/01_-_Lectures/01_-_English/02_-_Month_wise/01_-_January/28/Conv_1977-01-28_R1-BHUBANESWAR.MP3</t>
  </si>
  <si>
    <t>Conv_1977-01-28_R2-BHUBANESWAR.MP3</t>
  </si>
  <si>
    <t>https://audio.iskcondesiretree.com/01_-_Srila_Prabhupada/01_-_Lectures/01_-_English/02_-_Month_wise/01_-_January/28/Conv_1977-01-28_R2-BHUBANESWAR.MP3</t>
  </si>
  <si>
    <t>Walk_1977-01-28_MW-BHUBANESWAR.MP3</t>
  </si>
  <si>
    <t>https://audio.iskcondesiretree.com/01_-_Srila_Prabhupada/01_-_Lectures/01_-_English/02_-_Month_wise/01_-_January/28/Walk_1977-01-28_MW-BHUBANESWAR.MP3</t>
  </si>
  <si>
    <t>Bg-07-01_1977-01-29_BG-BHUBANESWAR.MP3</t>
  </si>
  <si>
    <t>https://audio.iskcondesiretree.com/01_-_Srila_Prabhupada/01_-_Lectures/01_-_English/02_-_Month_wise/01_-_January/29/Bg-07-01_1977-01-29_BG-BHUBANESWAR.MP3</t>
  </si>
  <si>
    <t>Conv_1977-01-29_R1-BHUBANESWAR.MP3</t>
  </si>
  <si>
    <t>https://audio.iskcondesiretree.com/01_-_Srila_Prabhupada/01_-_Lectures/01_-_English/02_-_Month_wise/01_-_January/29/Conv_1977-01-29_R1-BHUBANESWAR.MP3</t>
  </si>
  <si>
    <t>Conv_1977-01-29_R2-BHUBANESWAR.MP3</t>
  </si>
  <si>
    <t>https://audio.iskcondesiretree.com/01_-_Srila_Prabhupada/01_-_Lectures/01_-_English/02_-_Month_wise/01_-_January/29/Conv_1977-01-29_R2-BHUBANESWAR.MP3</t>
  </si>
  <si>
    <t>Walk_1977-01-29_MW-BHUBANESWAR.MP3</t>
  </si>
  <si>
    <t>https://audio.iskcondesiretree.com/01_-_Srila_Prabhupada/01_-_Lectures/01_-_English/02_-_Month_wise/01_-_January/29/Walk_1977-01-29_MW-BHUBANESWAR.MP3</t>
  </si>
  <si>
    <t>SP_Morning_Walk_-_Bhuvanesvara_1977-01-30_Meaninglessness_Has_Hidden_Meaning.mp3</t>
  </si>
  <si>
    <t>https://audio.iskcondesiretree.com/01_-_Srila_Prabhupada/01_-_Lectures/01_-_English/01_-_Topic_wise/Morning_Walk/SP_Morning_Walk_-_Bhuvanesvara_1977-01-30_Meaninglessness_Has_Hidden_Meaning.mp3</t>
  </si>
  <si>
    <t>Conv_1977-01-30_R1-BHUBANESWAR.MP3</t>
  </si>
  <si>
    <t>https://audio.iskcondesiretree.com/01_-_Srila_Prabhupada/01_-_Lectures/01_-_English/02_-_Month_wise/01_-_January/30/Conv_1977-01-30_R1-BHUBANESWAR.MP3</t>
  </si>
  <si>
    <t>Conv_1977-01-30_R2-BHUBANESWAR.MP3</t>
  </si>
  <si>
    <t>https://audio.iskcondesiretree.com/01_-_Srila_Prabhupada/01_-_Lectures/01_-_English/02_-_Month_wise/01_-_January/30/Conv_1977-01-30_R2-BHUBANESWAR.MP3</t>
  </si>
  <si>
    <t>MW_BHU_1977-01-30_Meaninglessness_Has_Hidden_Meaning.mp3</t>
  </si>
  <si>
    <t>https://audio.iskcondesiretree.com/01_-_Srila_Prabhupada/01_-_Lectures/01_-_English/02_-_Month_wise/01_-_January/30/MW_BHU_1977-01-30_Meaninglessness_Has_Hidden_Meaning.mp3</t>
  </si>
  <si>
    <t>Walk_1977-01-30_MW-BHUBANESWAR.MP3</t>
  </si>
  <si>
    <t>https://audio.iskcondesiretree.com/01_-_Srila_Prabhupada/01_-_Lectures/01_-_English/02_-_Month_wise/01_-_January/30/Walk_1977-01-30_MW-BHUBANESWAR.MP3</t>
  </si>
  <si>
    <t>SP_Festivals_Bhuvanesvara_1977-01-31_On_the_Advent_of_Lord_Varaha.mp3</t>
  </si>
  <si>
    <t>https://audio.iskcondesiretree.com/01_-_Srila_Prabhupada/01_-_Lectures/01_-_English/01_-_Topic_wise/Festivals/SP_Festivals_Bhuvanesvara_1977-01-31_On_the_Advent_of_Lord_Varaha.mp3</t>
  </si>
  <si>
    <t>SP_Room_Conversation_Bhuvanesvara_1977-01-31_The_Great_Soul.mp3</t>
  </si>
  <si>
    <t>https://audio.iskcondesiretree.com/01_-_Srila_Prabhupada/01_-_Lectures/01_-_English/01_-_Topic_wise/Room_Conversation/SP_Room_Conversation_Bhuvanesvara_1977-01-31_The_Great_Soul.mp3</t>
  </si>
  <si>
    <t>Conv_1977-01-31_R1-BHUBANESWAR.MP3</t>
  </si>
  <si>
    <t>https://audio.iskcondesiretree.com/01_-_Srila_Prabhupada/01_-_Lectures/01_-_English/02_-_Month_wise/01_-_January/31/Conv_1977-01-31_R1-BHUBANESWAR.MP3</t>
  </si>
  <si>
    <t>Conv_1977-01-31_R2-BHUBANESWAR.MP3</t>
  </si>
  <si>
    <t>https://audio.iskcondesiretree.com/01_-_Srila_Prabhupada/01_-_Lectures/01_-_English/02_-_Month_wise/01_-_January/31/Conv_1977-01-31_R2-BHUBANESWAR.MP3</t>
  </si>
  <si>
    <t>Conv_1977-01-31_R3-BHUBANESWAR.MP3</t>
  </si>
  <si>
    <t>https://audio.iskcondesiretree.com/01_-_Srila_Prabhupada/01_-_Lectures/01_-_English/02_-_Month_wise/01_-_January/31/Conv_1977-01-31_R3-BHUBANESWAR.MP3</t>
  </si>
  <si>
    <t>Fest_BHU_1977-01-31_On_the_Advent_of_Lord_Varaha.mp3</t>
  </si>
  <si>
    <t>https://audio.iskcondesiretree.com/01_-_Srila_Prabhupada/01_-_Lectures/01_-_English/02_-_Month_wise/01_-_January/31/Fest_BHU_1977-01-31_On_the_Advent_of_Lord_Varaha.mp3</t>
  </si>
  <si>
    <t>RC_BHU_1977-01-31_The_Great_Soul.mp3</t>
  </si>
  <si>
    <t>https://audio.iskcondesiretree.com/01_-_Srila_Prabhupada/01_-_Lectures/01_-_English/02_-_Month_wise/01_-_January/31/RC_BHU_1977-01-31_The_Great_Soul.mp3</t>
  </si>
  <si>
    <t>VarahaApp_1977-01-31_VA-BHUBANESWAR.MP3</t>
  </si>
  <si>
    <t>https://audio.iskcondesiretree.com/01_-_Srila_Prabhupada/01_-_Lectures/01_-_English/02_-_Month_wise/01_-_January/31/VarahaApp_1977-01-31_VA-BHUBANESWAR.MP3</t>
  </si>
  <si>
    <t>Walk_1977-01-31_MW-BHUBANESWAR.MP3</t>
  </si>
  <si>
    <t>https://audio.iskcondesiretree.com/01_-_Srila_Prabhupada/01_-_Lectures/01_-_English/02_-_Month_wise/01_-_January/31/Walk_1977-01-31_MW-BHUBANESWAR.MP3</t>
  </si>
  <si>
    <t>SP_Morning_Walk_-_Bhuvanesvara_1977-02-01_Science_Atheists-Blind_Bluffers.mp3</t>
  </si>
  <si>
    <t>https://audio.iskcondesiretree.com/01_-_Srila_Prabhupada/01_-_Lectures/01_-_English/01_-_Topic_wise/Morning_Walk/SP_Morning_Walk_-_Bhuvanesvara_1977-02-01_Science_Atheists-Blind_Bluffers.mp3</t>
  </si>
  <si>
    <t>MW_BHU_1977-02-01_Science_Atheists-Blind_Bluffers.mp3</t>
  </si>
  <si>
    <t>https://audio.iskcondesiretree.com/01_-_Srila_Prabhupada/01_-_Lectures/01_-_English/02_-_Month_wise/02_-_Feburary/01/MW_BHU_1977-02-01_Science_Atheists-Blind_Bluffers.mp3</t>
  </si>
  <si>
    <t>Walk_1977-02-01_MW-BHUBANESWAR.MP3</t>
  </si>
  <si>
    <t>https://audio.iskcondesiretree.com/01_-_Srila_Prabhupada/01_-_Lectures/01_-_English/02_-_Month_wise/02_-_Feburary/01/Walk_1977-02-01_MW-BHUBANESWAR.MP3</t>
  </si>
  <si>
    <t>SP_Festivals_Bhuvanesvara_1977-02-02_Nityananda_Appearance.mp3</t>
  </si>
  <si>
    <t>https://audio.iskcondesiretree.com/01_-_Srila_Prabhupada/01_-_Lectures/01_-_English/01_-_Topic_wise/Festivals/SP_Festivals_Bhuvanesvara_1977-02-02_Nityananda_Appearance.mp3</t>
  </si>
  <si>
    <t>SP_Room_Conversation_Bhuvanesvara_1977-02-02_Svarupa_Damodar--Very_Artificial_Intelligence.mp3</t>
  </si>
  <si>
    <t>https://audio.iskcondesiretree.com/01_-_Srila_Prabhupada/01_-_Lectures/01_-_English/01_-_Topic_wise/Room_Conversation/SP_Room_Conversation_Bhuvanesvara_1977-02-02_Svarupa_Damodar--Very_Artificial_Intelligence.mp3</t>
  </si>
  <si>
    <t>Conv_1977-02-02_R1-BHUBANESWAR.MP3</t>
  </si>
  <si>
    <t>https://audio.iskcondesiretree.com/01_-_Srila_Prabhupada/01_-_Lectures/01_-_English/02_-_Month_wise/02_-_Feburary/02/Conv_1977-02-02_R1-BHUBANESWAR.MP3</t>
  </si>
  <si>
    <t>Conv_1977-02-02_R2-BHUBANESWAR.MP3</t>
  </si>
  <si>
    <t>https://audio.iskcondesiretree.com/01_-_Srila_Prabhupada/01_-_Lectures/01_-_English/02_-_Month_wise/02_-_Feburary/02/Conv_1977-02-02_R2-BHUBANESWAR.MP3</t>
  </si>
  <si>
    <t>Fest_BHU_1977-02-02_Nityananda_Appearance.mp3</t>
  </si>
  <si>
    <t>https://audio.iskcondesiretree.com/01_-_Srila_Prabhupada/01_-_Lectures/01_-_English/02_-_Month_wise/02_-_Feburary/02/Fest_BHU_1977-02-02_Nityananda_Appearance.mp3</t>
  </si>
  <si>
    <t>Nityananda_Appearance_1977-02-02_NA-BHUBANESWAR.MP3</t>
  </si>
  <si>
    <t>https://audio.iskcondesiretree.com/01_-_Srila_Prabhupada/01_-_Lectures/01_-_English/02_-_Month_wise/02_-_Feburary/02/Nityananda_Appearance_1977-02-02_NA-BHUBANESWAR.MP3</t>
  </si>
  <si>
    <t>RC_BHU_1977-02-02_Svarupa_Damodar--Very_Artificial_Intelligence.mp3</t>
  </si>
  <si>
    <t>https://audio.iskcondesiretree.com/01_-_Srila_Prabhupada/01_-_Lectures/01_-_English/02_-_Month_wise/02_-_Feburary/02/RC_BHU_1977-02-02_Svarupa_Damodar--Very_Artificial_Intelligence.mp3</t>
  </si>
  <si>
    <t>Speech_1977-02-02_CM-BHUBANESWAR.MP3</t>
  </si>
  <si>
    <t>https://audio.iskcondesiretree.com/01_-_Srila_Prabhupada/01_-_Lectures/01_-_English/02_-_Month_wise/02_-_Feburary/02/Speech_1977-02-02_CM-BHUBANESWAR.MP3</t>
  </si>
  <si>
    <t>Walk_1977-02-02_MW-BHUBANESWAR.MP3</t>
  </si>
  <si>
    <t>https://audio.iskcondesiretree.com/01_-_Srila_Prabhupada/01_-_Lectures/01_-_English/02_-_Month_wise/02_-_Feburary/02/Walk_1977-02-02_MW-BHUBANESWAR.MP3</t>
  </si>
  <si>
    <t>SP_Room_Conversation_Bhuvanesvara_1977-02-03_Jesus_Christ--We_Give_Christ_All_Honor.mp3</t>
  </si>
  <si>
    <t>https://audio.iskcondesiretree.com/01_-_Srila_Prabhupada/01_-_Lectures/01_-_English/01_-_Topic_wise/Room_Conversation/SP_Room_Conversation_Bhuvanesvara_1977-02-03_Jesus_Christ--We_Give_Christ_All_Honor.mp3</t>
  </si>
  <si>
    <t>Conv_1977-02-03_R1-BHUBANESWAR.MP3</t>
  </si>
  <si>
    <t>https://audio.iskcondesiretree.com/01_-_Srila_Prabhupada/01_-_Lectures/01_-_English/02_-_Month_wise/02_-_Feburary/03/Conv_1977-02-03_R1-BHUBANESWAR.MP3</t>
  </si>
  <si>
    <t>Conv_1977-02-03_R2-BHUBANESWAR.MP3</t>
  </si>
  <si>
    <t>https://audio.iskcondesiretree.com/01_-_Srila_Prabhupada/01_-_Lectures/01_-_English/02_-_Month_wise/02_-_Feburary/03/Conv_1977-02-03_R2-BHUBANESWAR.MP3</t>
  </si>
  <si>
    <t>RC_BHU_1977-02-03_Jesus_Christ--We_Give_Christ_All_Honor.mp3</t>
  </si>
  <si>
    <t>https://audio.iskcondesiretree.com/01_-_Srila_Prabhupada/01_-_Lectures/01_-_English/02_-_Month_wise/02_-_Feburary/03/RC_BHU_1977-02-03_Jesus_Christ--We_Give_Christ_All_Honor.mp3</t>
  </si>
  <si>
    <t>SP_Arrival_Calcutta_1977-02-04_The_Fight_Against_Atheism.mp3</t>
  </si>
  <si>
    <t>https://audio.iskcondesiretree.com/01_-_Srila_Prabhupada/01_-_Lectures/01_-_English/01_-_Topic_wise/Arrival_Address/SP_Arrival_Calcutta_1977-02-04_The_Fight_Against_Atheism.mp3</t>
  </si>
  <si>
    <t>Arr_CAL_1977-02-04_The_Fight_Against_Atheism.mp3</t>
  </si>
  <si>
    <t>https://audio.iskcondesiretree.com/01_-_Srila_Prabhupada/01_-_Lectures/01_-_English/02_-_Month_wise/02_-_Feburary/04/Arr_CAL_1977-02-04_The_Fight_Against_Atheism.mp3</t>
  </si>
  <si>
    <t>Arrival_1977-02-04_AR-CALCUTTA.MP3</t>
  </si>
  <si>
    <t>https://audio.iskcondesiretree.com/01_-_Srila_Prabhupada/01_-_Lectures/01_-_English/02_-_Month_wise/02_-_Feburary/04/Arrival_1977-02-04_AR-CALCUTTA.MP3</t>
  </si>
  <si>
    <t>Conv_1977-02-04_R1-CALCUTTA.MP3</t>
  </si>
  <si>
    <t>https://audio.iskcondesiretree.com/01_-_Srila_Prabhupada/01_-_Lectures/01_-_English/02_-_Month_wise/02_-_Feburary/04/Conv_1977-02-04_R1-CALCUTTA.MP3</t>
  </si>
  <si>
    <t>Conv_1977-02-05_CR-CALCUTTA.MP3</t>
  </si>
  <si>
    <t>https://audio.iskcondesiretree.com/01_-_Srila_Prabhupada/01_-_Lectures/01_-_English/02_-_Month_wise/02_-_Feburary/05/Conv_1977-02-05_CR-CALCUTTA.MP3</t>
  </si>
  <si>
    <t>SB-01-08-18%E2%80%93Hindi_1977-02-06_SB-CALCUTTA.MP3</t>
  </si>
  <si>
    <t>https://audio.iskcondesiretree.com/01_-_Srila_Prabhupada/01_-_Lectures/01_-_English/02_-_Month_wise/02_-_Feburary/06/SB-01-08-18%E2%80%93Hindi_1977-02-06_SB-CALCUTTA.MP3</t>
  </si>
  <si>
    <t>Arrival_1977-02-07_AR-MAYAPUR.MP3</t>
  </si>
  <si>
    <t>https://audio.iskcondesiretree.com/01_-_Srila_Prabhupada/01_-_Lectures/01_-_English/02_-_Month_wise/02_-_Feburary/07/Arrival_1977-02-07_AR-MAYAPUR.MP3</t>
  </si>
  <si>
    <t>SP_Festivals_Mayapur_1977-02-08_Bhaktisiddhantas_Appearance.mp3</t>
  </si>
  <si>
    <t>https://audio.iskcondesiretree.com/01_-_Srila_Prabhupada/01_-_Lectures/01_-_English/01_-_Topic_wise/Festivals/SP_Festivals_Mayapur_1977-02-08_Bhaktisiddhantas_Appearance.mp3</t>
  </si>
  <si>
    <t>Bhaktisiddhanta_Appearance_1977-02-08_BA-MAYAPUR.MP3</t>
  </si>
  <si>
    <t>https://audio.iskcondesiretree.com/01_-_Srila_Prabhupada/01_-_Lectures/01_-_English/02_-_Month_wise/02_-_Feburary/08/Bhaktisiddhanta_Appearance_1977-02-08_BA-MAYAPUR.MP3</t>
  </si>
  <si>
    <t>Fest_MAY_1977-02-08_Bhaktisiddhantas_Appearance.mp3</t>
  </si>
  <si>
    <t>https://audio.iskcondesiretree.com/01_-_Srila_Prabhupada/01_-_Lectures/01_-_English/02_-_Month_wise/02_-_Feburary/08/Fest_MAY_1977-02-08_Bhaktisiddhantas_Appearance.mp3</t>
  </si>
  <si>
    <t>SB-07-09-01_1977-02-10_SB-MAYAPUR.MP3</t>
  </si>
  <si>
    <t>https://audio.iskcondesiretree.com/01_-_Srila_Prabhupada/01_-_Lectures/01_-_English/02_-_Month_wise/02_-_Feburary/10/SB-07-09-01_1977-02-10_SB-MAYAPUR.MP3</t>
  </si>
  <si>
    <t>Walk_1977-02-10_MW-MAYAPUR.MP3</t>
  </si>
  <si>
    <t>https://audio.iskcondesiretree.com/01_-_Srila_Prabhupada/01_-_Lectures/01_-_English/02_-_Month_wise/02_-_Feburary/10/Walk_1977-02-10_MW-MAYAPUR.MP3</t>
  </si>
  <si>
    <t>SP_SB_7-09-04_Mayapur_1977-02-11_Prahlada--Krishna%27s--etc.mp3</t>
  </si>
  <si>
    <t>https://audio.iskcondesiretree.com/01_-_Srila_Prabhupada/01_-_Lectures/01_-_English/01_-_Topic_wise/Srimad_Bhagavatam/Canto-07/SP_SB_7-09-04_Mayapur_1977-02-11_Prahlada--Krishna%27s--etc.mp3</t>
  </si>
  <si>
    <t>Conv_1977-02-11_R1-MAYAPUR.MP3</t>
  </si>
  <si>
    <t>https://audio.iskcondesiretree.com/01_-_Srila_Prabhupada/01_-_Lectures/01_-_English/02_-_Month_wise/02_-_Feburary/11/Conv_1977-02-11_R1-MAYAPUR.MP3</t>
  </si>
  <si>
    <t>SB_7-09-04_MAY_1977-02-11_Prahlada--Krishna%27s_etc.mp3</t>
  </si>
  <si>
    <t>https://audio.iskcondesiretree.com/01_-_Srila_Prabhupada/01_-_Lectures/01_-_English/02_-_Month_wise/02_-_Feburary/11/SB_7-09-04_MAY_1977-02-11_Prahlada--Krishna%27s_etc.mp3</t>
  </si>
  <si>
    <t>SP_SB_7-09-02_Bhuvanesvara_1977-02-12_Lakshmi_and_Narayan.mp3</t>
  </si>
  <si>
    <t>https://audio.iskcondesiretree.com/01_-_Srila_Prabhupada/01_-_Lectures/01_-_English/01_-_Topic_wise/Srimad_Bhagavatam/Canto-07/SP_SB_7-09-02_Bhuvanesvara_1977-02-12_Lakshmi_and_Narayan.mp3</t>
  </si>
  <si>
    <t>Conv_1977-02-12_R1-MAYAPUR.MP3</t>
  </si>
  <si>
    <t>https://audio.iskcondesiretree.com/01_-_Srila_Prabhupada/01_-_Lectures/01_-_English/02_-_Month_wise/02_-_Feburary/12/Conv_1977-02-12_R1-MAYAPUR.MP3</t>
  </si>
  <si>
    <t>SB-07-09-02_1977-02-12_SB-MAYAPUR.MP3</t>
  </si>
  <si>
    <t>https://audio.iskcondesiretree.com/01_-_Srila_Prabhupada/01_-_Lectures/01_-_English/02_-_Month_wise/02_-_Feburary/12/SB-07-09-02_1977-02-12_SB-MAYAPUR.MP3</t>
  </si>
  <si>
    <t>SB_7-09-02_BHU_1977-02-12_Lakshmi_and_Narayan.mp3</t>
  </si>
  <si>
    <t>https://audio.iskcondesiretree.com/01_-_Srila_Prabhupada/01_-_Lectures/01_-_English/02_-_Month_wise/02_-_Feburary/12/SB_7-09-02_BHU_1977-02-12_Lakshmi_and_Narayan.mp3</t>
  </si>
  <si>
    <t>Conv_1977-02-14_R1-MAYAPUR.MP3</t>
  </si>
  <si>
    <t>https://audio.iskcondesiretree.com/01_-_Srila_Prabhupada/01_-_Lectures/01_-_English/02_-_Month_wise/02_-_Feburary/14/Conv_1977-02-14_R1-MAYAPUR.MP3</t>
  </si>
  <si>
    <t>Conv_1977-02-14_R2-MAYAPUR.MP3</t>
  </si>
  <si>
    <t>https://audio.iskcondesiretree.com/01_-_Srila_Prabhupada/01_-_Lectures/01_-_English/02_-_Month_wise/02_-_Feburary/14/Conv_1977-02-14_R2-MAYAPUR.MP3</t>
  </si>
  <si>
    <t>Conv_1977-02-14_RO-MAYAPUR.MP3</t>
  </si>
  <si>
    <t>https://audio.iskcondesiretree.com/01_-_Srila_Prabhupada/01_-_Lectures/01_-_English/02_-_Month_wise/02_-_Feburary/14/Conv_1977-02-14_RO-MAYAPUR.MP3</t>
  </si>
  <si>
    <t>Darshan_1977-02-15_ED-MAYAPUR.MP3</t>
  </si>
  <si>
    <t>https://audio.iskcondesiretree.com/01_-_Srila_Prabhupada/01_-_Lectures/01_-_English/02_-_Month_wise/02_-_Feburary/15/Darshan_1977-02-15_ED-MAYAPUR.MP3</t>
  </si>
  <si>
    <t>SP_Room_Conversation_Mayapur_1977-02-16_The_Secret_of_Safety.mp3</t>
  </si>
  <si>
    <t>https://audio.iskcondesiretree.com/01_-_Srila_Prabhupada/01_-_Lectures/01_-_English/01_-_Topic_wise/Room_Conversation/SP_Room_Conversation_Mayapur_1977-02-16_The_Secret_of_Safety.mp3</t>
  </si>
  <si>
    <t>Conv_1977-02-16_R1-MAYAPUR.MP3</t>
  </si>
  <si>
    <t>https://audio.iskcondesiretree.com/01_-_Srila_Prabhupada/01_-_Lectures/01_-_English/02_-_Month_wise/02_-_Feburary/16/Conv_1977-02-16_R1-MAYAPUR.MP3</t>
  </si>
  <si>
    <t>Conv_1977-02-16_R2-MAYAPUR.MP3</t>
  </si>
  <si>
    <t>https://audio.iskcondesiretree.com/01_-_Srila_Prabhupada/01_-_Lectures/01_-_English/02_-_Month_wise/02_-_Feburary/16/Conv_1977-02-16_R2-MAYAPUR.MP3</t>
  </si>
  <si>
    <t>RC_MAY_1977-02-16_The_Secret_of_Safety.mp3</t>
  </si>
  <si>
    <t>https://audio.iskcondesiretree.com/01_-_Srila_Prabhupada/01_-_Lectures/01_-_English/02_-_Month_wise/02_-_Feburary/16/RC_MAY_1977-02-16_The_Secret_of_Safety.mp3</t>
  </si>
  <si>
    <t>SP_SB_7-09-03_Mayapur_1977-02-17_Easily_Available_for_Devotees.mp3</t>
  </si>
  <si>
    <t>https://audio.iskcondesiretree.com/01_-_Srila_Prabhupada/01_-_Lectures/01_-_English/01_-_Topic_wise/Srimad_Bhagavatam/Canto-07/SP_SB_7-09-03_Mayapur_1977-02-17_Easily_Available_for_Devotees.mp3</t>
  </si>
  <si>
    <t>Conv_1977-02-17_R1-MAYAPUR.MP3</t>
  </si>
  <si>
    <t>https://audio.iskcondesiretree.com/01_-_Srila_Prabhupada/01_-_Lectures/01_-_English/02_-_Month_wise/02_-_Feburary/17/Conv_1977-02-17_R1-MAYAPUR.MP3</t>
  </si>
  <si>
    <t>SB-07-09-03_1977-02-17_SB-MAYAPUR.MP3</t>
  </si>
  <si>
    <t>https://audio.iskcondesiretree.com/01_-_Srila_Prabhupada/01_-_Lectures/01_-_English/02_-_Month_wise/02_-_Feburary/17/SB-07-09-03_1977-02-17_SB-MAYAPUR.MP3</t>
  </si>
  <si>
    <t>SB_7-09-03_MAY_1977-02-17_Easily_Available_for_Devotees.mp3</t>
  </si>
  <si>
    <t>https://audio.iskcondesiretree.com/01_-_Srila_Prabhupada/01_-_Lectures/01_-_English/02_-_Month_wise/02_-_Feburary/17/SB_7-09-03_MAY_1977-02-17_Easily_Available_for_Devotees.mp3</t>
  </si>
  <si>
    <t>SP_SB_7-09-04_Mayapur_1977-02-18_Can_God_Become_Angry.mp3</t>
  </si>
  <si>
    <t>https://audio.iskcondesiretree.com/01_-_Srila_Prabhupada/01_-_Lectures/01_-_English/01_-_Topic_wise/Srimad_Bhagavatam/Canto-07/SP_SB_7-09-04_Mayapur_1977-02-18_Can_God_Become_Angry.mp3</t>
  </si>
  <si>
    <t>Conv_1977-02-18_R1-MAYAPUR.MP3</t>
  </si>
  <si>
    <t>https://audio.iskcondesiretree.com/01_-_Srila_Prabhupada/01_-_Lectures/01_-_English/02_-_Month_wise/02_-_Feburary/18/Conv_1977-02-18_R1-MAYAPUR.MP3</t>
  </si>
  <si>
    <t>Conv_1977-02-18_R2-MAYAPUR.MP3</t>
  </si>
  <si>
    <t>https://audio.iskcondesiretree.com/01_-_Srila_Prabhupada/01_-_Lectures/01_-_English/02_-_Month_wise/02_-_Feburary/18/Conv_1977-02-18_R2-MAYAPUR.MP3</t>
  </si>
  <si>
    <t>Conv_1977-02-18_R3-MAYAPUR.MP3</t>
  </si>
  <si>
    <t>https://audio.iskcondesiretree.com/01_-_Srila_Prabhupada/01_-_Lectures/01_-_English/02_-_Month_wise/02_-_Feburary/18/Conv_1977-02-18_R3-MAYAPUR.MP3</t>
  </si>
  <si>
    <t>Conv_1977-02-18_R4-MAYAPUR.MP3</t>
  </si>
  <si>
    <t>https://audio.iskcondesiretree.com/01_-_Srila_Prabhupada/01_-_Lectures/01_-_English/02_-_Month_wise/02_-_Feburary/18/Conv_1977-02-18_R4-MAYAPUR.MP3</t>
  </si>
  <si>
    <t>SB-07-09-04_1977-02-18_SB-MAYAPUR.MP3</t>
  </si>
  <si>
    <t>https://audio.iskcondesiretree.com/01_-_Srila_Prabhupada/01_-_Lectures/01_-_English/02_-_Month_wise/02_-_Feburary/18/SB-07-09-04_1977-02-18_SB-MAYAPUR.MP3</t>
  </si>
  <si>
    <t>SB_7-09-04_MAY_1977-02-18_Can_God_Become_Angry.mp3</t>
  </si>
  <si>
    <t>https://audio.iskcondesiretree.com/01_-_Srila_Prabhupada/01_-_Lectures/01_-_English/02_-_Month_wise/02_-_Feburary/18/SB_7-09-04_MAY_1977-02-18_Can_God_Become_Angry.mp3</t>
  </si>
  <si>
    <t>Conv_1977-02-19_R1-MAYAPUR.MP3</t>
  </si>
  <si>
    <t>https://audio.iskcondesiretree.com/01_-_Srila_Prabhupada/01_-_Lectures/01_-_English/02_-_Month_wise/02_-_Feburary/19/Conv_1977-02-19_R1-MAYAPUR.MP3</t>
  </si>
  <si>
    <t>Conv_1977-02-19_R2-MAYAPUR.MP3</t>
  </si>
  <si>
    <t>https://audio.iskcondesiretree.com/01_-_Srila_Prabhupada/01_-_Lectures/01_-_English/02_-_Month_wise/02_-_Feburary/19/Conv_1977-02-19_R2-MAYAPUR.MP3</t>
  </si>
  <si>
    <t>Conv_1977-02-19_R3-MAYAPUR.MP3</t>
  </si>
  <si>
    <t>https://audio.iskcondesiretree.com/01_-_Srila_Prabhupada/01_-_Lectures/01_-_English/02_-_Month_wise/02_-_Feburary/19/Conv_1977-02-19_R3-MAYAPUR.MP3</t>
  </si>
  <si>
    <t>Conv_1977-02-19_R4-MAYAPUR.MP3</t>
  </si>
  <si>
    <t>https://audio.iskcondesiretree.com/01_-_Srila_Prabhupada/01_-_Lectures/01_-_English/02_-_Month_wise/02_-_Feburary/19/Conv_1977-02-19_R4-MAYAPUR.MP3</t>
  </si>
  <si>
    <t>Darshan_1977-02-19_ED-MAYAPUR.MP3</t>
  </si>
  <si>
    <t>https://audio.iskcondesiretree.com/01_-_Srila_Prabhupada/01_-_Lectures/01_-_English/02_-_Month_wise/02_-_Feburary/19/Darshan_1977-02-19_ED-MAYAPUR.MP3</t>
  </si>
  <si>
    <t>Conv_1977-02-20_R1-MAYAPUR.MP3</t>
  </si>
  <si>
    <t>https://audio.iskcondesiretree.com/01_-_Srila_Prabhupada/01_-_Lectures/01_-_English/02_-_Month_wise/02_-_Feburary/20/Conv_1977-02-20_R1-MAYAPUR.MP3</t>
  </si>
  <si>
    <t>Conv_1977-02-21_R1-MAYAPUR.MP3</t>
  </si>
  <si>
    <t>https://audio.iskcondesiretree.com/01_-_Srila_Prabhupada/01_-_Lectures/01_-_English/02_-_Month_wise/02_-_Feburary/21/Conv_1977-02-21_R1-MAYAPUR.MP3</t>
  </si>
  <si>
    <t>Conv_1977-02-24_R1-MAYAPUR.MP3</t>
  </si>
  <si>
    <t>https://audio.iskcondesiretree.com/01_-_Srila_Prabhupada/01_-_Lectures/01_-_English/02_-_Month_wise/02_-_Feburary/24/Conv_1977-02-24_R1-MAYAPUR.MP3</t>
  </si>
  <si>
    <t>Darshan_1977-02-24_ED-MAYAPUR.MP3</t>
  </si>
  <si>
    <t>https://audio.iskcondesiretree.com/01_-_Srila_Prabhupada/01_-_Lectures/01_-_English/02_-_Month_wise/02_-_Feburary/24/Darshan_1977-02-24_ED-MAYAPUR.MP3</t>
  </si>
  <si>
    <t>SP_SB_7-09-05_Mayapur_1977-02-25_Don%27t_Think_God_Has_New_Orleans_Feeling.mp3</t>
  </si>
  <si>
    <t>https://audio.iskcondesiretree.com/01_-_Srila_Prabhupada/01_-_Lectures/01_-_English/01_-_Topic_wise/Srimad_Bhagavatam/Canto-07/SP_SB_7-09-05_Mayapur_1977-02-25_Don%27t_Think_God_Has_New_Orleans_Feeling.mp3</t>
  </si>
  <si>
    <t>Conv_1977-02-25_R1-MAYAPUR.MP3</t>
  </si>
  <si>
    <t>https://audio.iskcondesiretree.com/01_-_Srila_Prabhupada/01_-_Lectures/01_-_English/02_-_Month_wise/02_-_Feburary/25/Conv_1977-02-25_R1-MAYAPUR.MP3</t>
  </si>
  <si>
    <t>Conv_1977-02-25_R2-MAYAPUR.MP3</t>
  </si>
  <si>
    <t>https://audio.iskcondesiretree.com/01_-_Srila_Prabhupada/01_-_Lectures/01_-_English/02_-_Month_wise/02_-_Feburary/25/Conv_1977-02-25_R2-MAYAPUR.MP3</t>
  </si>
  <si>
    <t>Darshan_1977-02-25_ED-MAYAPUR.MP3</t>
  </si>
  <si>
    <t>https://audio.iskcondesiretree.com/01_-_Srila_Prabhupada/01_-_Lectures/01_-_English/02_-_Month_wise/02_-_Feburary/25/Darshan_1977-02-25_ED-MAYAPUR.MP3</t>
  </si>
  <si>
    <t>SB-07-09-05_1977-02-25_SB-MAYAPUR.MP3</t>
  </si>
  <si>
    <t>https://audio.iskcondesiretree.com/01_-_Srila_Prabhupada/01_-_Lectures/01_-_English/02_-_Month_wise/02_-_Feburary/25/SB-07-09-05_1977-02-25_SB-MAYAPUR.MP3</t>
  </si>
  <si>
    <t>SB_7-09-05_MAY_1977-02-25_Don%27t_Think_God_Has_No_Feeling.mp3</t>
  </si>
  <si>
    <t>https://audio.iskcondesiretree.com/01_-_Srila_Prabhupada/01_-_Lectures/01_-_English/02_-_Month_wise/02_-_Feburary/25/SB_7-09-05_MAY_1977-02-25_Don%27t_Think_God_Has_No_Feeling.mp3</t>
  </si>
  <si>
    <t>SP_SB_7-09-06_Mayapur_1977-02-26_God--Supreme_Being.mp3</t>
  </si>
  <si>
    <t>https://audio.iskcondesiretree.com/01_-_Srila_Prabhupada/01_-_Lectures/01_-_English/01_-_Topic_wise/Srimad_Bhagavatam/Canto-07/SP_SB_7-09-06_Mayapur_1977-02-26_God--Supreme_Being.mp3</t>
  </si>
  <si>
    <t>Darshan_1977-02-26_ED-MAYAPUR.MP3</t>
  </si>
  <si>
    <t>https://audio.iskcondesiretree.com/01_-_Srila_Prabhupada/01_-_Lectures/01_-_English/02_-_Month_wise/02_-_Feburary/26/Darshan_1977-02-26_ED-MAYAPUR.MP3</t>
  </si>
  <si>
    <t>Interview_Hindi-English_1977-02-26_IV-MAYAPUR.MP3</t>
  </si>
  <si>
    <t>https://audio.iskcondesiretree.com/01_-_Srila_Prabhupada/01_-_Lectures/01_-_English/02_-_Month_wise/02_-_Feburary/26/Interview_Hindi-English_1977-02-26_IV-MAYAPUR.MP3</t>
  </si>
  <si>
    <t>SB-07-09-06_1977-02-26_SB-MAYAPUR.MP3</t>
  </si>
  <si>
    <t>https://audio.iskcondesiretree.com/01_-_Srila_Prabhupada/01_-_Lectures/01_-_English/02_-_Month_wise/02_-_Feburary/26/SB-07-09-06_1977-02-26_SB-MAYAPUR.MP3</t>
  </si>
  <si>
    <t>SB_7-09-06_MAY_1977-02-26_God--Supreme_Being.mp3</t>
  </si>
  <si>
    <t>https://audio.iskcondesiretree.com/01_-_Srila_Prabhupada/01_-_Lectures/01_-_English/02_-_Month_wise/02_-_Feburary/26/SB_7-09-06_MAY_1977-02-26_God--Supreme_Being.mp3</t>
  </si>
  <si>
    <t>SP_SB_7-09-07_Mayapur_1977-02-27_Touch_Krishna_By_Your_Tongue.mp3</t>
  </si>
  <si>
    <t>https://audio.iskcondesiretree.com/01_-_Srila_Prabhupada/01_-_Lectures/01_-_English/01_-_Topic_wise/Srimad_Bhagavatam/Canto-07/SP_SB_7-09-07_Mayapur_1977-02-27_Touch_Krishna_By_Your_Tongue.mp3</t>
  </si>
  <si>
    <t>Conv_1977-02-27_R1-MAYAPUR.MP3</t>
  </si>
  <si>
    <t>https://audio.iskcondesiretree.com/01_-_Srila_Prabhupada/01_-_Lectures/01_-_English/02_-_Month_wise/02_-_Feburary/27/Conv_1977-02-27_R1-MAYAPUR.MP3</t>
  </si>
  <si>
    <t>Conv_1977-02-27_R2-MAYAPUR.MP3</t>
  </si>
  <si>
    <t>https://audio.iskcondesiretree.com/01_-_Srila_Prabhupada/01_-_Lectures/01_-_English/02_-_Month_wise/02_-_Feburary/27/Conv_1977-02-27_R2-MAYAPUR.MP3</t>
  </si>
  <si>
    <t>SB-07-09-07_1977-02-27_SB-MAYAPUR.MP3</t>
  </si>
  <si>
    <t>https://audio.iskcondesiretree.com/01_-_Srila_Prabhupada/01_-_Lectures/01_-_English/02_-_Month_wise/02_-_Feburary/27/SB-07-09-07_1977-02-27_SB-MAYAPUR.MP3</t>
  </si>
  <si>
    <t>SB_7-09-07_MAY_1977-02-27_Touch_Krishna_By_Your_Tongue.mp3</t>
  </si>
  <si>
    <t>https://audio.iskcondesiretree.com/01_-_Srila_Prabhupada/01_-_Lectures/01_-_English/02_-_Month_wise/02_-_Feburary/27/SB_7-09-07_MAY_1977-02-27_Touch_Krishna_By_Your_Tongue.mp3</t>
  </si>
  <si>
    <t>SP_SB_7-09-08_Mayapur_1977-02-28_How_A_Devotee_Thinks.mp3</t>
  </si>
  <si>
    <t>https://audio.iskcondesiretree.com/01_-_Srila_Prabhupada/01_-_Lectures/01_-_English/01_-_Topic_wise/Srimad_Bhagavatam/Canto-07/SP_SB_7-09-08_Mayapur_1977-02-28_How_A_Devotee_Thinks.mp3</t>
  </si>
  <si>
    <t>Conv_1977-02-28_R1-MAYAPUR.MP3</t>
  </si>
  <si>
    <t>https://audio.iskcondesiretree.com/01_-_Srila_Prabhupada/01_-_Lectures/01_-_English/02_-_Month_wise/02_-_Feburary/28/Conv_1977-02-28_R1-MAYAPUR.MP3</t>
  </si>
  <si>
    <t>Conv_1977-02-28_R2-MAYAPUR.MP3</t>
  </si>
  <si>
    <t>https://audio.iskcondesiretree.com/01_-_Srila_Prabhupada/01_-_Lectures/01_-_English/02_-_Month_wise/02_-_Feburary/28/Conv_1977-02-28_R2-MAYAPUR.MP3</t>
  </si>
  <si>
    <t>Conv_1977-02-28_R3-MAYAPUR.MP3</t>
  </si>
  <si>
    <t>https://audio.iskcondesiretree.com/01_-_Srila_Prabhupada/01_-_Lectures/01_-_English/02_-_Month_wise/02_-_Feburary/28/Conv_1977-02-28_R3-MAYAPUR.MP3</t>
  </si>
  <si>
    <t>SB-07-09-08_1977-02-28_SB-MAYAPUR.MP3</t>
  </si>
  <si>
    <t>https://audio.iskcondesiretree.com/01_-_Srila_Prabhupada/01_-_Lectures/01_-_English/02_-_Month_wise/02_-_Feburary/28/SB-07-09-08_1977-02-28_SB-MAYAPUR.MP3</t>
  </si>
  <si>
    <t>SB_7-09-08_MAY_1977-02-28_How_A_Devotee_Thinks.mp3</t>
  </si>
  <si>
    <t>https://audio.iskcondesiretree.com/01_-_Srila_Prabhupada/01_-_Lectures/01_-_English/02_-_Month_wise/02_-_Feburary/28/SB_7-09-08_MAY_1977-02-28_How_A_Devotee_Thinks.mp3</t>
  </si>
  <si>
    <t>SP_SB_7-09-09_Mayapur_1977-03-01_Dedicate_Your_Life_To_Krishna.mp3</t>
  </si>
  <si>
    <t>https://audio.iskcondesiretree.com/01_-_Srila_Prabhupada/01_-_Lectures/01_-_English/01_-_Topic_wise/Srimad_Bhagavatam/Canto-07/SP_SB_7-09-09_Mayapur_1977-03-01_Dedicate_Your_Life_To_Krishna.mp3</t>
  </si>
  <si>
    <t>Conv_1977-03-01_R1-MAYAPUR.MP3</t>
  </si>
  <si>
    <t>https://audio.iskcondesiretree.com/01_-_Srila_Prabhupada/01_-_Lectures/01_-_English/02_-_Month_wise/03_-_March/01/Conv_1977-03-01_R1-MAYAPUR.MP3</t>
  </si>
  <si>
    <t>Conv_1977-03-01_R2-MAYAPUR.MP3</t>
  </si>
  <si>
    <t>https://audio.iskcondesiretree.com/01_-_Srila_Prabhupada/01_-_Lectures/01_-_English/02_-_Month_wise/03_-_March/01/Conv_1977-03-01_R2-MAYAPUR.MP3</t>
  </si>
  <si>
    <t>SB-07-09-09_1977-03-01_SB-MAYAPUR.MP3</t>
  </si>
  <si>
    <t>https://audio.iskcondesiretree.com/01_-_Srila_Prabhupada/01_-_Lectures/01_-_English/02_-_Month_wise/03_-_March/01/SB-07-09-09_1977-03-01_SB-MAYAPUR.MP3</t>
  </si>
  <si>
    <t>SB_7-09-09_MAY_1977-03-01_Dedicate_Your_Life_To_Krishna.mp3</t>
  </si>
  <si>
    <t>https://audio.iskcondesiretree.com/01_-_Srila_Prabhupada/01_-_Lectures/01_-_English/02_-_Month_wise/03_-_March/01/SB_7-09-09_MAY_1977-03-01_Dedicate_Your_Life_To_Krishna.mp3</t>
  </si>
  <si>
    <t>Conv_1977-03-02_R1-MAYAPUR.MP3</t>
  </si>
  <si>
    <t>https://audio.iskcondesiretree.com/01_-_Srila_Prabhupada/01_-_Lectures/01_-_English/02_-_Month_wise/03_-_March/02/Conv_1977-03-02_R1-MAYAPUR.MP3</t>
  </si>
  <si>
    <t>Conv_1977-03-04_R1-MAYAPUR.MP3</t>
  </si>
  <si>
    <t>https://audio.iskcondesiretree.com/01_-_Srila_Prabhupada/01_-_Lectures/01_-_English/02_-_Month_wise/03_-_March/04/Conv_1977-03-04_R1-MAYAPUR.MP3</t>
  </si>
  <si>
    <t>Conv_1977-03-22_R1-BOMBAY.MP3</t>
  </si>
  <si>
    <t>https://audio.iskcondesiretree.com/01_-_Srila_Prabhupada/01_-_Lectures/01_-_English/02_-_Month_wise/03_-_March/22/Conv_1977-03-22_R1-BOMBAY.MP3</t>
  </si>
  <si>
    <t>SP_Room_Conversation_Bombay_1977-03-23_Krishna_Culture.mp3</t>
  </si>
  <si>
    <t>https://audio.iskcondesiretree.com/01_-_Srila_Prabhupada/01_-_Lectures/01_-_English/01_-_Topic_wise/Room_Conversation/SP_Room_Conversation_Bombay_1977-03-23_Krishna_Culture.mp3</t>
  </si>
  <si>
    <t>RC_BOM_1977-03-23_Krishna_Culture.mp3</t>
  </si>
  <si>
    <t>https://audio.iskcondesiretree.com/01_-_Srila_Prabhupada/01_-_Lectures/01_-_English/02_-_Month_wise/03_-_March/23/RC_BOM_1977-03-23_Krishna_Culture.mp3</t>
  </si>
  <si>
    <t>SB-02-03-18%E2%80%9319_1977-03-23_SB-BOMBAY.MP3</t>
  </si>
  <si>
    <t>https://audio.iskcondesiretree.com/01_-_Srila_Prabhupada/01_-_Lectures/01_-_English/02_-_Month_wise/03_-_March/23/SB-02-03-18%E2%80%9319_1977-03-23_SB-BOMBAY.MP3</t>
  </si>
  <si>
    <t>SP_Lecture_Bombay_1977-03-24_Krishna%27s_Yoga_System_-_Not_New.mp3</t>
  </si>
  <si>
    <t>https://audio.iskcondesiretree.com/01_-_Srila_Prabhupada/01_-_Lectures/01_-_English/01_-_Topic_wise/Various/SP_Lecture_Bombay_1977-03-24_Krishna%27s_Yoga_System_-_Not_New.mp3</t>
  </si>
  <si>
    <t>Conv_1977-03-24_R1-BOMBAY.MP3</t>
  </si>
  <si>
    <t>https://audio.iskcondesiretree.com/01_-_Srila_Prabhupada/01_-_Lectures/01_-_English/02_-_Month_wise/03_-_March/24/Conv_1977-03-24_R1-BOMBAY.MP3</t>
  </si>
  <si>
    <t>Lect_BOM_1977-03-24_Krishna%27s_Yoga_System_Not_New.mp3</t>
  </si>
  <si>
    <t>https://audio.iskcondesiretree.com/01_-_Srila_Prabhupada/01_-_Lectures/01_-_English/02_-_Month_wise/03_-_March/24/Lect_BOM_1977-03-24_Krishna%27s_Yoga_System_Not_New.mp3</t>
  </si>
  <si>
    <t>SB-02-03-20_1977-03-24_SB-BOMBAY.MP3</t>
  </si>
  <si>
    <t>https://audio.iskcondesiretree.com/01_-_Srila_Prabhupada/01_-_Lectures/01_-_English/02_-_Month_wise/03_-_March/24/SB-02-03-20_1977-03-24_SB-BOMBAY.MP3</t>
  </si>
  <si>
    <t>SP_SB_5-05-01_Bombay_1977-03-25_Don%27t_Live_the_Life_of_a_Hog.mp3</t>
  </si>
  <si>
    <t>https://audio.iskcondesiretree.com/01_-_Srila_Prabhupada/01_-_Lectures/01_-_English/01_-_Topic_wise/Srimad_Bhagavatam/Canto-05/SP_SB_5-05-01_Bombay_1977-03-25_Don%27t_Live_the_Life_of_a_Hog.mp3</t>
  </si>
  <si>
    <t>SB_5-05-01_BOM_1977-03-25_Don%27t_Live_the_Life_of_a_Hog.mp3</t>
  </si>
  <si>
    <t>https://audio.iskcondesiretree.com/01_-_Srila_Prabhupada/01_-_Lectures/01_-_English/02_-_Month_wise/03_-_March/25/SB_5-05-01_BOM_1977-03-25_Don%27t_Live_the_Life_of_a_Hog.mp3</t>
  </si>
  <si>
    <t>SB%E2%80%9305-05-01%E2%80%9302_1977-03-25_SB-BOMBAY.MP3</t>
  </si>
  <si>
    <r>
      <rPr>
        <u/>
        <sz val="11"/>
        <color rgb="FF1155CC"/>
        <rFont val="&quot;Aptos Narrow&quot;, sans-serif"/>
      </rPr>
      <t>https://audio.iskcondesiretree.com/01_-_Srila_Prabhupada/01_-_Lectures/01_-_English/02_-_Month_wise/03_-_March/25/SB%E2%80%9305-05-01%E2%80%9302_1977-03-25_SB-BOMBAY.MP3</t>
    </r>
  </si>
  <si>
    <t>Conv_1977-03-26_R1-BOMBAY.MP3</t>
  </si>
  <si>
    <t>https://audio.iskcondesiretree.com/01_-_Srila_Prabhupada/01_-_Lectures/01_-_English/02_-_Month_wise/03_-_March/26/Conv_1977-03-26_R1-BOMBAY.MP3</t>
  </si>
  <si>
    <t>Conv_1977-03-26_R2-BOMBAY.MP3</t>
  </si>
  <si>
    <t>https://audio.iskcondesiretree.com/01_-_Srila_Prabhupada/01_-_Lectures/01_-_English/02_-_Month_wise/03_-_March/26/Conv_1977-03-26_R2-BOMBAY.MP3</t>
  </si>
  <si>
    <t>Conv_1977-03-26_R3-BOMBAY.MP3</t>
  </si>
  <si>
    <t>https://audio.iskcondesiretree.com/01_-_Srila_Prabhupada/01_-_Lectures/01_-_English/02_-_Month_wise/03_-_March/26/Conv_1977-03-26_R3-BOMBAY.MP3</t>
  </si>
  <si>
    <t>Lecture_1977-03-26_LE-BOMBAY.MP3</t>
  </si>
  <si>
    <t>https://audio.iskcondesiretree.com/01_-_Srila_Prabhupada/01_-_Lectures/01_-_English/02_-_Month_wise/03_-_March/26/Lecture_1977-03-26_LE-BOMBAY.MP3</t>
  </si>
  <si>
    <t>Conv_1977-03-27_R1-BOMBAY.MP3</t>
  </si>
  <si>
    <t>https://audio.iskcondesiretree.com/01_-_Srila_Prabhupada/01_-_Lectures/01_-_English/02_-_Month_wise/03_-_March/27/Conv_1977-03-27_R1-BOMBAY.MP3</t>
  </si>
  <si>
    <t>Conv_1977-03-27_R2-BOMBAY.MP3</t>
  </si>
  <si>
    <t>https://audio.iskcondesiretree.com/01_-_Srila_Prabhupada/01_-_Lectures/01_-_English/02_-_Month_wise/03_-_March/27/Conv_1977-03-27_R2-BOMBAY.MP3</t>
  </si>
  <si>
    <t>Conv_1977-03-27_R3-BOMBAY.MP3</t>
  </si>
  <si>
    <t>https://audio.iskcondesiretree.com/01_-_Srila_Prabhupada/01_-_Lectures/01_-_English/02_-_Month_wise/03_-_March/27/Conv_1977-03-27_R3-BOMBAY.MP3</t>
  </si>
  <si>
    <t>Conv_1977-03-27_R4-BOMBAY.MP3</t>
  </si>
  <si>
    <t>https://audio.iskcondesiretree.com/01_-_Srila_Prabhupada/01_-_Lectures/01_-_English/02_-_Month_wise/03_-_March/27/Conv_1977-03-27_R4-BOMBAY.MP3</t>
  </si>
  <si>
    <t>SP_Lecture_Bombay_1977-03-29_We_Have_to_Tolerate.mp3</t>
  </si>
  <si>
    <t>https://audio.iskcondesiretree.com/01_-_Srila_Prabhupada/01_-_Lectures/01_-_English/01_-_Topic_wise/Various/SP_Lecture_Bombay_1977-03-29_We_Have_to_Tolerate.mp3</t>
  </si>
  <si>
    <t>Conv_1977-03-29_R1-BOMBAY.MP3</t>
  </si>
  <si>
    <t>https://audio.iskcondesiretree.com/01_-_Srila_Prabhupada/01_-_Lectures/01_-_English/02_-_Month_wise/03_-_March/29/Conv_1977-03-29_R1-BOMBAY.MP3</t>
  </si>
  <si>
    <t>Lect_BOM_1977-03-29_We_Have_to_Tolerate.mp3</t>
  </si>
  <si>
    <t>https://audio.iskcondesiretree.com/01_-_Srila_Prabhupada/01_-_Lectures/01_-_English/02_-_Month_wise/03_-_March/29/Lect_BOM_1977-03-29_We_Have_to_Tolerate.mp3</t>
  </si>
  <si>
    <t>SB%E2%80%9305-05-03%E2%80%9304_1977-03-29_SB-BOMBAY.MP3</t>
  </si>
  <si>
    <t>https://audio.iskcondesiretree.com/01_-_Srila_Prabhupada/01_-_Lectures/01_-_English/02_-_Month_wise/03_-_March/29/SB%E2%80%9305-05-03%E2%80%9304_1977-03-29_SB-BOMBAY.MP3</t>
  </si>
  <si>
    <t>Conv_1977-03-30_R1-BOMBAY.MP3</t>
  </si>
  <si>
    <t>https://audio.iskcondesiretree.com/01_-_Srila_Prabhupada/01_-_Lectures/01_-_English/02_-_Month_wise/03_-_March/30/Conv_1977-03-30_R1-BOMBAY.MP3</t>
  </si>
  <si>
    <t>Conv_1977-03-31_R1-BOMBAY.MP3</t>
  </si>
  <si>
    <t>https://audio.iskcondesiretree.com/01_-_Srila_Prabhupada/01_-_Lectures/01_-_English/02_-_Month_wise/03_-_March/31/Conv_1977-03-31_R1-BOMBAY.MP3</t>
  </si>
  <si>
    <t>Conv_1977-03-31_R2-BOMBAY.MP3</t>
  </si>
  <si>
    <t>https://audio.iskcondesiretree.com/01_-_Srila_Prabhupada/01_-_Lectures/01_-_English/02_-_Month_wise/03_-_March/31/Conv_1977-03-31_R2-BOMBAY.MP3</t>
  </si>
  <si>
    <t>Conv_1977-03-31_R3-BOMBAY.MP3</t>
  </si>
  <si>
    <t>https://audio.iskcondesiretree.com/01_-_Srila_Prabhupada/01_-_Lectures/01_-_English/02_-_Month_wise/03_-_March/31/Conv_1977-03-31_R3-BOMBAY.MP3</t>
  </si>
  <si>
    <t>SP_Room_Conversation_Bombay_1977-04-01_From_Skyscraper_Constructor_to--etc.mp3</t>
  </si>
  <si>
    <t>https://audio.iskcondesiretree.com/01_-_Srila_Prabhupada/01_-_Lectures/01_-_English/01_-_Topic_wise/Room_Conversation/SP_Room_Conversation_Bombay_1977-04-01_From_Skyscraper_Constructor_to--etc.mp3</t>
  </si>
  <si>
    <t>SP_Lecture_Bombay_1977-04-01_Higher_Knowledge.mp3</t>
  </si>
  <si>
    <t>https://audio.iskcondesiretree.com/01_-_Srila_Prabhupada/01_-_Lectures/01_-_English/01_-_Topic_wise/Various/SP_Lecture_Bombay_1977-04-01_Higher_Knowledge.mp3</t>
  </si>
  <si>
    <t>Lect_BOM_1977-04-01_Higher_Knowledge.mp3</t>
  </si>
  <si>
    <t>https://audio.iskcondesiretree.com/01_-_Srila_Prabhupada/01_-_Lectures/01_-_English/02_-_Month_wise/04_-_April/01/Lect_BOM_1977-04-01_Higher_Knowledge.mp3</t>
  </si>
  <si>
    <t>Lecture_1977-04-01_LE-BOMBAY.MP3</t>
  </si>
  <si>
    <t>https://audio.iskcondesiretree.com/01_-_Srila_Prabhupada/01_-_Lectures/01_-_English/02_-_Month_wise/04_-_April/01/Lecture_1977-04-01_LE-BOMBAY.MP3</t>
  </si>
  <si>
    <t>RC_BOM_1977-04-01_From_Skyscraper_Constructor_to_etc.mp3</t>
  </si>
  <si>
    <t>https://audio.iskcondesiretree.com/01_-_Srila_Prabhupada/01_-_Lectures/01_-_English/02_-_Month_wise/04_-_April/01/RC_BOM_1977-04-01_From_Skyscraper_Constructor_to_etc.mp3</t>
  </si>
  <si>
    <t>Conv_1977-04-02_R1-BOMBAY.MP3</t>
  </si>
  <si>
    <t>https://audio.iskcondesiretree.com/01_-_Srila_Prabhupada/01_-_Lectures/01_-_English/02_-_Month_wise/04_-_April/02/Conv_1977-04-02_R1-BOMBAY.MP3</t>
  </si>
  <si>
    <t>SP_Room_Conversation_Bombay_1977-04-04_Unlock_the_Universal_Science.mp3</t>
  </si>
  <si>
    <t>https://audio.iskcondesiretree.com/01_-_Srila_Prabhupada/01_-_Lectures/01_-_English/01_-_Topic_wise/Room_Conversation/SP_Room_Conversation_Bombay_1977-04-04_Unlock_the_Universal_Science.mp3</t>
  </si>
  <si>
    <t>RC_BOM_1977-04-04_Unlock_the_Universal_Science.mp3</t>
  </si>
  <si>
    <t>https://audio.iskcondesiretree.com/01_-_Srila_Prabhupada/01_-_Lectures/01_-_English/02_-_Month_wise/04_-_April/04/RC_BOM_1977-04-04_Unlock_the_Universal_Science.mp3</t>
  </si>
  <si>
    <t>Conv_1977-04-05_R1-BOMBAY.MP3</t>
  </si>
  <si>
    <t>https://audio.iskcondesiretree.com/01_-_Srila_Prabhupada/01_-_Lectures/01_-_English/02_-_Month_wise/04_-_April/05/Conv_1977-04-05_R1-BOMBAY.MP3</t>
  </si>
  <si>
    <t>Conv_1977-04-05_R2-BOMBAY.MP3</t>
  </si>
  <si>
    <t>https://audio.iskcondesiretree.com/01_-_Srila_Prabhupada/01_-_Lectures/01_-_English/02_-_Month_wise/04_-_April/05/Conv_1977-04-05_R2-BOMBAY.MP3</t>
  </si>
  <si>
    <t>Conv_1977-04-05_R3-BOMBAY.MP3</t>
  </si>
  <si>
    <t>https://audio.iskcondesiretree.com/01_-_Srila_Prabhupada/01_-_Lectures/01_-_English/02_-_Month_wise/04_-_April/05/Conv_1977-04-05_R3-BOMBAY.MP3</t>
  </si>
  <si>
    <t>Interview_1977-04-05_IV-BOMBAY.MP3</t>
  </si>
  <si>
    <t>https://audio.iskcondesiretree.com/01_-_Srila_Prabhupada/01_-_Lectures/01_-_English/02_-_Month_wise/04_-_April/05/Interview_1977-04-05_IV-BOMBAY.MP3</t>
  </si>
  <si>
    <t>Conv_1977-04-10_R1-BOMBAY.MP3</t>
  </si>
  <si>
    <t>https://audio.iskcondesiretree.com/01_-_Srila_Prabhupada/01_-_Lectures/01_-_English/02_-_Month_wise/04_-_April/10/Conv_1977-04-10_R1-BOMBAY.MP3</t>
  </si>
  <si>
    <t>Conv_1977-04-10_R2-BOMBAY.MP3</t>
  </si>
  <si>
    <t>https://audio.iskcondesiretree.com/01_-_Srila_Prabhupada/01_-_Lectures/01_-_English/02_-_Month_wise/04_-_April/10/Conv_1977-04-10_R2-BOMBAY.MP3</t>
  </si>
  <si>
    <t>Conv_1977-04-11_R1-BOMBAY.MP3</t>
  </si>
  <si>
    <t>https://audio.iskcondesiretree.com/01_-_Srila_Prabhupada/01_-_Lectures/01_-_English/02_-_Month_wise/04_-_April/11/Conv_1977-04-11_R1-BOMBAY.MP3</t>
  </si>
  <si>
    <t>Conv_1977-04-13_R1-BOMBAY.MP3</t>
  </si>
  <si>
    <t>https://audio.iskcondesiretree.com/01_-_Srila_Prabhupada/01_-_Lectures/01_-_English/02_-_Month_wise/04_-_April/13/Conv_1977-04-13_R1-BOMBAY.MP3</t>
  </si>
  <si>
    <t>Conv_1977-04-15_R1-BOMBAY.MP3</t>
  </si>
  <si>
    <t>https://audio.iskcondesiretree.com/01_-_Srila_Prabhupada/01_-_Lectures/01_-_English/02_-_Month_wise/04_-_April/15/Conv_1977-04-15_R1-BOMBAY.MP3</t>
  </si>
  <si>
    <t>Conv_1977-04-16_R1-BOMBAY.MP3</t>
  </si>
  <si>
    <t>https://audio.iskcondesiretree.com/01_-_Srila_Prabhupada/01_-_Lectures/01_-_English/02_-_Month_wise/04_-_April/16/Conv_1977-04-16_R1-BOMBAY.MP3</t>
  </si>
  <si>
    <t>SP_Room_Conversation_Bombay_1977-04-17_Beyond_Sense_Perception.mp3</t>
  </si>
  <si>
    <t>https://audio.iskcondesiretree.com/01_-_Srila_Prabhupada/01_-_Lectures/01_-_English/01_-_Topic_wise/Room_Conversation/SP_Room_Conversation_Bombay_1977-04-17_Beyond_Sense_Perception.mp3</t>
  </si>
  <si>
    <t>SP_Room_Conversation_Bombay_1977-04-17_Do_Some_Preaching.mp3</t>
  </si>
  <si>
    <t>https://audio.iskcondesiretree.com/01_-_Srila_Prabhupada/01_-_Lectures/01_-_English/01_-_Topic_wise/Room_Conversation/SP_Room_Conversation_Bombay_1977-04-17_Do_Some_Preaching.mp3</t>
  </si>
  <si>
    <t>Conv_1977-04-17_R1-BOMBAY.MP3</t>
  </si>
  <si>
    <t>https://audio.iskcondesiretree.com/01_-_Srila_Prabhupada/01_-_Lectures/01_-_English/02_-_Month_wise/04_-_April/17/Conv_1977-04-17_R1-BOMBAY.MP3</t>
  </si>
  <si>
    <t>Conv_1977-04-17_R2-BOMBAY.MP3</t>
  </si>
  <si>
    <t>https://audio.iskcondesiretree.com/01_-_Srila_Prabhupada/01_-_Lectures/01_-_English/02_-_Month_wise/04_-_April/17/Conv_1977-04-17_R2-BOMBAY.MP3</t>
  </si>
  <si>
    <t>RC_BOM_1977-04-17_Beyond_Sense_Perception.mp3</t>
  </si>
  <si>
    <t>https://audio.iskcondesiretree.com/01_-_Srila_Prabhupada/01_-_Lectures/01_-_English/02_-_Month_wise/04_-_April/17/RC_BOM_1977-04-17_Beyond_Sense_Perception.mp3</t>
  </si>
  <si>
    <t>RC_BOM_1977-04-17_Do_Some_Preaching.mp3</t>
  </si>
  <si>
    <t>https://audio.iskcondesiretree.com/01_-_Srila_Prabhupada/01_-_Lectures/01_-_English/02_-_Month_wise/04_-_April/17/RC_BOM_1977-04-17_Do_Some_Preaching.mp3</t>
  </si>
  <si>
    <t>Conv_1977-04-18_R1-BOMBAY.MP3</t>
  </si>
  <si>
    <t>https://audio.iskcondesiretree.com/01_-_Srila_Prabhupada/01_-_Lectures/01_-_English/02_-_Month_wise/04_-_April/18/Conv_1977-04-18_R1-BOMBAY.MP3</t>
  </si>
  <si>
    <t>Conv_1977-04-18_R2-BOMBAY.MP3</t>
  </si>
  <si>
    <t>https://audio.iskcondesiretree.com/01_-_Srila_Prabhupada/01_-_Lectures/01_-_English/02_-_Month_wise/04_-_April/18/Conv_1977-04-18_R2-BOMBAY.MP3</t>
  </si>
  <si>
    <t>Conv_1977-04-19_R1-BOMBAY.MP3</t>
  </si>
  <si>
    <t>https://audio.iskcondesiretree.com/01_-_Srila_Prabhupada/01_-_Lectures/01_-_English/02_-_Month_wise/04_-_April/19/Conv_1977-04-19_R1-BOMBAY.MP3</t>
  </si>
  <si>
    <t>Conv_1977-04-19_R2-BOMBAY.MP3</t>
  </si>
  <si>
    <t>https://audio.iskcondesiretree.com/01_-_Srila_Prabhupada/01_-_Lectures/01_-_English/02_-_Month_wise/04_-_April/19/Conv_1977-04-19_R2-BOMBAY.MP3</t>
  </si>
  <si>
    <t>Conv_1977-04-19_R3-BOMBAY.MP3</t>
  </si>
  <si>
    <t>https://audio.iskcondesiretree.com/01_-_Srila_Prabhupada/01_-_Lectures/01_-_English/02_-_Month_wise/04_-_April/19/Conv_1977-04-19_R3-BOMBAY.MP3</t>
  </si>
  <si>
    <t>Conv_1977-04-20_R1-BOMBAY.MP3</t>
  </si>
  <si>
    <t>https://audio.iskcondesiretree.com/01_-_Srila_Prabhupada/01_-_Lectures/01_-_English/02_-_Month_wise/04_-_April/20/Conv_1977-04-20_R1-BOMBAY.MP3</t>
  </si>
  <si>
    <t>Conv_1977-04-22_R1-BOMBAY.MP3</t>
  </si>
  <si>
    <t>https://audio.iskcondesiretree.com/01_-_Srila_Prabhupada/01_-_Lectures/01_-_English/02_-_Month_wise/04_-_April/22/Conv_1977-04-22_R1-BOMBAY.MP3</t>
  </si>
  <si>
    <t>Conv_1977-04-22_R2-BOMBAY.MP3</t>
  </si>
  <si>
    <t>https://audio.iskcondesiretree.com/01_-_Srila_Prabhupada/01_-_Lectures/01_-_English/02_-_Month_wise/04_-_April/22/Conv_1977-04-22_R2-BOMBAY.MP3</t>
  </si>
  <si>
    <t>Conv_1977-04-22_R3-BOMBAY.MP3</t>
  </si>
  <si>
    <t>https://audio.iskcondesiretree.com/01_-_Srila_Prabhupada/01_-_Lectures/01_-_English/02_-_Month_wise/04_-_April/22/Conv_1977-04-22_R3-BOMBAY.MP3</t>
  </si>
  <si>
    <t>Conv_1977-04-23_R1-BOMBAY.MP3</t>
  </si>
  <si>
    <t>https://audio.iskcondesiretree.com/01_-_Srila_Prabhupada/01_-_Lectures/01_-_English/02_-_Month_wise/04_-_April/23/Conv_1977-04-23_R1-BOMBAY.MP3</t>
  </si>
  <si>
    <t>Meeting_1977-04-23_ME-BOMBAY.MP3</t>
  </si>
  <si>
    <t>https://audio.iskcondesiretree.com/01_-_Srila_Prabhupada/01_-_Lectures/01_-_English/02_-_Month_wise/04_-_April/23/Meeting_1977-04-23_ME-BOMBAY.MP3</t>
  </si>
  <si>
    <t>SP_Room_Conversation_Bombay_1977-04-24_Service_to_Man-Service_to_God.mp3</t>
  </si>
  <si>
    <t>https://audio.iskcondesiretree.com/01_-_Srila_Prabhupada/01_-_Lectures/01_-_English/01_-_Topic_wise/Room_Conversation/SP_Room_Conversation_Bombay_1977-04-24_Service_to_Man-Service_to_God.mp3</t>
  </si>
  <si>
    <t>Meeting_1977-04-24_ME-BOMBAY.MP3</t>
  </si>
  <si>
    <t>https://audio.iskcondesiretree.com/01_-_Srila_Prabhupada/01_-_Lectures/01_-_English/02_-_Month_wise/04_-_April/24/Meeting_1977-04-24_ME-BOMBAY.MP3</t>
  </si>
  <si>
    <t>RC_BOM_1977-04-24_Service_to_Man-Service_to_God.mp3</t>
  </si>
  <si>
    <t>https://audio.iskcondesiretree.com/01_-_Srila_Prabhupada/01_-_Lectures/01_-_English/02_-_Month_wise/04_-_April/24/RC_BOM_1977-04-24_Service_to_Man-Service_to_God.mp3</t>
  </si>
  <si>
    <t>SP_Room_Conversation_Bombay_1977-04-25_Go_to_the_Dogs_or_the_Gita.mp3</t>
  </si>
  <si>
    <t>https://audio.iskcondesiretree.com/01_-_Srila_Prabhupada/01_-_Lectures/01_-_English/01_-_Topic_wise/Room_Conversation/SP_Room_Conversation_Bombay_1977-04-25_Go_to_the_Dogs_or_the_Gita.mp3</t>
  </si>
  <si>
    <t>Conv_1977-04-25_R1-BOMBAY.MP3</t>
  </si>
  <si>
    <t>https://audio.iskcondesiretree.com/01_-_Srila_Prabhupada/01_-_Lectures/01_-_English/02_-_Month_wise/04_-_April/25/Conv_1977-04-25_R1-BOMBAY.MP3</t>
  </si>
  <si>
    <t>Conv_1977-04-25_R2-BOMBAY.MP3</t>
  </si>
  <si>
    <t>https://audio.iskcondesiretree.com/01_-_Srila_Prabhupada/01_-_Lectures/01_-_English/02_-_Month_wise/04_-_April/25/Conv_1977-04-25_R2-BOMBAY.MP3</t>
  </si>
  <si>
    <t>RC_BOM_1977-04-25_Go_to_the_Dogs_or_the_Gita.mp3</t>
  </si>
  <si>
    <t>https://audio.iskcondesiretree.com/01_-_Srila_Prabhupada/01_-_Lectures/01_-_English/02_-_Month_wise/04_-_April/25/RC_BOM_1977-04-25_Go_to_the_Dogs_or_the_Gita.mp3</t>
  </si>
  <si>
    <t>SP_Room_Conversation_Bombay_1977-04-28_Animal_Expertise.mp3</t>
  </si>
  <si>
    <t>https://audio.iskcondesiretree.com/01_-_Srila_Prabhupada/01_-_Lectures/01_-_English/01_-_Topic_wise/Room_Conversation/SP_Room_Conversation_Bombay_1977-04-28_Animal_Expertise.mp3</t>
  </si>
  <si>
    <t>Conv_1977-04-28_R1-BOMBAY.MP3</t>
  </si>
  <si>
    <t>https://audio.iskcondesiretree.com/01_-_Srila_Prabhupada/01_-_Lectures/01_-_English/02_-_Month_wise/04_-_April/28/Conv_1977-04-28_R1-BOMBAY.MP3</t>
  </si>
  <si>
    <t>Conv_1977-04-28_R2-BOMBAY.MP3</t>
  </si>
  <si>
    <t>https://audio.iskcondesiretree.com/01_-_Srila_Prabhupada/01_-_Lectures/01_-_English/02_-_Month_wise/04_-_April/28/Conv_1977-04-28_R2-BOMBAY.MP3</t>
  </si>
  <si>
    <t>RC_BOM_1977-04-28_Animal_Expertise.mp3</t>
  </si>
  <si>
    <t>https://audio.iskcondesiretree.com/01_-_Srila_Prabhupada/01_-_Lectures/01_-_English/02_-_Month_wise/04_-_April/28/RC_BOM_1977-04-28_Animal_Expertise.mp3</t>
  </si>
  <si>
    <t>Conv_1977-04-29_R1-BOMBAY.MP3</t>
  </si>
  <si>
    <t>https://audio.iskcondesiretree.com/01_-_Srila_Prabhupada/01_-_Lectures/01_-_English/02_-_Month_wise/04_-_April/29/Conv_1977-04-29_R1-BOMBAY.MP3</t>
  </si>
  <si>
    <t>Conv_1977-04-30_R1-BOMBAY.MP3</t>
  </si>
  <si>
    <t>https://audio.iskcondesiretree.com/01_-_Srila_Prabhupada/01_-_Lectures/01_-_English/02_-_Month_wise/04_-_April/30/Conv_1977-04-30_R1-BOMBAY.MP3</t>
  </si>
  <si>
    <t>Conv_1977-04-30_R2-BOMBAY.MP3</t>
  </si>
  <si>
    <t>https://audio.iskcondesiretree.com/01_-_Srila_Prabhupada/01_-_Lectures/01_-_English/02_-_Month_wise/04_-_April/30/Conv_1977-04-30_R2-BOMBAY.MP3</t>
  </si>
  <si>
    <t>Conv_1977-05-02_R1-BOMBAY.MP3</t>
  </si>
  <si>
    <t>https://audio.iskcondesiretree.com/01_-_Srila_Prabhupada/01_-_Lectures/01_-_English/02_-_Month_wise/05_-_May/02/Conv_1977-05-02_R1-BOMBAY.MP3</t>
  </si>
  <si>
    <t>Conv_1977-05-02_R2-BOMBAY.MP3</t>
  </si>
  <si>
    <t>https://audio.iskcondesiretree.com/01_-_Srila_Prabhupada/01_-_Lectures/01_-_English/02_-_Month_wise/05_-_May/02/Conv_1977-05-02_R2-BOMBAY.MP3</t>
  </si>
  <si>
    <t>Conv_1977-05-08_R1-RISHIKESH.MP3</t>
  </si>
  <si>
    <t>https://audio.iskcondesiretree.com/01_-_Srila_Prabhupada/01_-_Lectures/01_-_English/02_-_Month_wise/05_-_May/08/Conv_1977-05-08_R1-RISHIKESH.MP3</t>
  </si>
  <si>
    <t>Conv_1977-05-08_R2-RISHIKESH.MP3</t>
  </si>
  <si>
    <t>https://audio.iskcondesiretree.com/01_-_Srila_Prabhupada/01_-_Lectures/01_-_English/02_-_Month_wise/05_-_May/08/Conv_1977-05-08_R2-RISHIKESH.MP3</t>
  </si>
  <si>
    <t>Conv_1977-05-08_R3-RISHIKESH.MP3</t>
  </si>
  <si>
    <t>https://audio.iskcondesiretree.com/01_-_Srila_Prabhupada/01_-_Lectures/01_-_English/02_-_Month_wise/05_-_May/08/Conv_1977-05-08_R3-RISHIKESH.MP3</t>
  </si>
  <si>
    <t>SP_Room_Conversation_Hrisikesh_1977-05-09_Don%27t_Be_a_Dog-Be_a_Guru.mp3</t>
  </si>
  <si>
    <t>https://audio.iskcondesiretree.com/01_-_Srila_Prabhupada/01_-_Lectures/01_-_English/01_-_Topic_wise/Room_Conversation/SP_Room_Conversation_Hrisikesh_1977-05-09_Don%27t_Be_a_Dog-Be_a_Guru.mp3</t>
  </si>
  <si>
    <t>Darshan_1977-05-09_ED-RISHIKESH.MP3</t>
  </si>
  <si>
    <t>https://audio.iskcondesiretree.com/01_-_Srila_Prabhupada/01_-_Lectures/01_-_English/02_-_Month_wise/05_-_May/09/Darshan_1977-05-09_ED-RISHIKESH.MP3</t>
  </si>
  <si>
    <t>RC_HRI_1977-05-09_Don%27t_Be_a_Dog-Be_a_Guru.mp3</t>
  </si>
  <si>
    <t>https://audio.iskcondesiretree.com/01_-_Srila_Prabhupada/01_-_Lectures/01_-_English/02_-_Month_wise/05_-_May/09/RC_HRI_1977-05-09_Don%27t_Be_a_Dog-Be_a_Guru.mp3</t>
  </si>
  <si>
    <t>SP_Room_Conversation_Hrisikesh_1977-05-11_Krishna_Is_That_One.mp3</t>
  </si>
  <si>
    <t>https://audio.iskcondesiretree.com/01_-_Srila_Prabhupada/01_-_Lectures/01_-_English/01_-_Topic_wise/Room_Conversation/SP_Room_Conversation_Hrisikesh_1977-05-11_Krishna_Is_That_One.mp3</t>
  </si>
  <si>
    <t>Darshan_1977-05-11_ED-RISHIKESH.MP3</t>
  </si>
  <si>
    <t>https://audio.iskcondesiretree.com/01_-_Srila_Prabhupada/01_-_Lectures/01_-_English/02_-_Month_wise/05_-_May/11/Darshan_1977-05-11_ED-RISHIKESH.MP3</t>
  </si>
  <si>
    <t>RC_HRI_1977-05-11_Krishna_Is_That_One.mp3</t>
  </si>
  <si>
    <t>https://audio.iskcondesiretree.com/01_-_Srila_Prabhupada/01_-_Lectures/01_-_English/02_-_Month_wise/05_-_May/11/RC_HRI_1977-05-11_Krishna_Is_That_One.mp3</t>
  </si>
  <si>
    <t>SP_Room_Conversation_Hrisikesh_1977-05-12_Every_Village_Neighborhood_Home--etc.mp3</t>
  </si>
  <si>
    <t>https://audio.iskcondesiretree.com/01_-_Srila_Prabhupada/01_-_Lectures/01_-_English/01_-_Topic_wise/Room_Conversation/SP_Room_Conversation_Hrisikesh_1977-05-12_Every_Village_Neighborhood_Home--etc.mp3</t>
  </si>
  <si>
    <t>Darshan_1977-05-12_ED-RISHIKESH.MP3</t>
  </si>
  <si>
    <t>https://audio.iskcondesiretree.com/01_-_Srila_Prabhupada/01_-_Lectures/01_-_English/02_-_Month_wise/05_-_May/12/Darshan_1977-05-12_ED-RISHIKESH.MP3</t>
  </si>
  <si>
    <t>RC_HRI_1977-05-12_Every_Village_Neighborhood_Home_etc.mp3</t>
  </si>
  <si>
    <t>https://audio.iskcondesiretree.com/01_-_Srila_Prabhupada/01_-_Lectures/01_-_English/02_-_Month_wise/05_-_May/12/RC_HRI_1977-05-12_Every_Village_Neighborhood_Home_etc.mp3</t>
  </si>
  <si>
    <t>SP_Room_Conversation_Hrisikesh_1977-05-13_Real_Mystic_Power.mp3</t>
  </si>
  <si>
    <t>https://audio.iskcondesiretree.com/01_-_Srila_Prabhupada/01_-_Lectures/01_-_English/01_-_Topic_wise/Room_Conversation/SP_Room_Conversation_Hrisikesh_1977-05-13_Real_Mystic_Power.mp3</t>
  </si>
  <si>
    <t>Darshan_1977-05-13_ED-RISHIKESH.MP3</t>
  </si>
  <si>
    <t>https://audio.iskcondesiretree.com/01_-_Srila_Prabhupada/01_-_Lectures/01_-_English/02_-_Month_wise/05_-_May/13/Darshan_1977-05-13_ED-RISHIKESH.MP3</t>
  </si>
  <si>
    <t>RC_HRI_1977-05-13_Real_Mystic_Power.mp3</t>
  </si>
  <si>
    <t>https://audio.iskcondesiretree.com/01_-_Srila_Prabhupada/01_-_Lectures/01_-_English/02_-_Month_wise/05_-_May/13/RC_HRI_1977-05-13_Real_Mystic_Power.mp3</t>
  </si>
  <si>
    <t>SP_Room_Conversation_Hrisikesh_1977-05-14_Dry_Land_in_Ocean_of_Faults.mp3</t>
  </si>
  <si>
    <t>https://audio.iskcondesiretree.com/01_-_Srila_Prabhupada/01_-_Lectures/01_-_English/01_-_Topic_wise/Room_Conversation/SP_Room_Conversation_Hrisikesh_1977-05-14_Dry_Land_in_Ocean_of_Faults.mp3</t>
  </si>
  <si>
    <t>Darshan_1977-05-14_ED-RISHIKESH.MP3</t>
  </si>
  <si>
    <t>https://audio.iskcondesiretree.com/01_-_Srila_Prabhupada/01_-_Lectures/01_-_English/02_-_Month_wise/05_-_May/14/Darshan_1977-05-14_ED-RISHIKESH.MP3</t>
  </si>
  <si>
    <t>RC_HRI_1977-05-14_Dry_Land_in_Ocean_of_Faults.mp3</t>
  </si>
  <si>
    <t>https://audio.iskcondesiretree.com/01_-_Srila_Prabhupada/01_-_Lectures/01_-_English/02_-_Month_wise/05_-_May/14/RC_HRI_1977-05-14_Dry_Land_in_Ocean_of_Faults.mp3</t>
  </si>
  <si>
    <t>Darshan_1977-05-15_ED-RISHIKESH.MP3</t>
  </si>
  <si>
    <t>https://audio.iskcondesiretree.com/01_-_Srila_Prabhupada/01_-_Lectures/01_-_English/02_-_Month_wise/05_-_May/15/Darshan_1977-05-15_ED-RISHIKESH.MP3</t>
  </si>
  <si>
    <t>Arrival_1977-05-17_AR-VRNDAVAN.MP3</t>
  </si>
  <si>
    <t>https://audio.iskcondesiretree.com/01_-_Srila_Prabhupada/01_-_Lectures/01_-_English/02_-_Month_wise/05_-_May/17/Arrival_1977-05-17_AR-VRNDAVAN.MP3</t>
  </si>
  <si>
    <t>Conv_1977-05-17_R1-VRNDAVAN.MP3</t>
  </si>
  <si>
    <t>https://audio.iskcondesiretree.com/01_-_Srila_Prabhupada/01_-_Lectures/01_-_English/02_-_Month_wise/05_-_May/17/Conv_1977-05-17_R1-VRNDAVAN.MP3</t>
  </si>
  <si>
    <t>Conv_1977-05-19_R1-VRNDAVAN.MP3</t>
  </si>
  <si>
    <t>https://audio.iskcondesiretree.com/01_-_Srila_Prabhupada/01_-_Lectures/01_-_English/02_-_Month_wise/05_-_May/19/Conv_1977-05-19_R1-VRNDAVAN.MP3</t>
  </si>
  <si>
    <t>Conv_1977-05-20_R1-VRNDAVAN.MP3</t>
  </si>
  <si>
    <t>https://audio.iskcondesiretree.com/01_-_Srila_Prabhupada/01_-_Lectures/01_-_English/02_-_Month_wise/05_-_May/20/Conv_1977-05-20_R1-VRNDAVAN.MP3</t>
  </si>
  <si>
    <t>Conv_1977-05-21_R1-VRNDAVAN.MP3</t>
  </si>
  <si>
    <t>https://audio.iskcondesiretree.com/01_-_Srila_Prabhupada/01_-_Lectures/01_-_English/02_-_Month_wise/05_-_May/21/Conv_1977-05-21_R1-VRNDAVAN.MP3</t>
  </si>
  <si>
    <t>Conv_1977-05-22_R1-VRNDAVAN.MP3</t>
  </si>
  <si>
    <t>https://audio.iskcondesiretree.com/01_-_Srila_Prabhupada/01_-_Lectures/01_-_English/02_-_Month_wise/05_-_May/22/Conv_1977-05-22_R1-VRNDAVAN.MP3</t>
  </si>
  <si>
    <t>Conv_1977-05-24_R1-VRNDAVAN.MP3</t>
  </si>
  <si>
    <t>https://audio.iskcondesiretree.com/01_-_Srila_Prabhupada/01_-_Lectures/01_-_English/02_-_Month_wise/05_-_May/24/Conv_1977-05-24_R1-VRNDAVAN.MP3</t>
  </si>
  <si>
    <t>Conv_1977-05-24_R2-VRNDAVAN.MP3</t>
  </si>
  <si>
    <t>https://audio.iskcondesiretree.com/01_-_Srila_Prabhupada/01_-_Lectures/01_-_English/02_-_Month_wise/05_-_May/24/Conv_1977-05-24_R2-VRNDAVAN.MP3</t>
  </si>
  <si>
    <t>Conv_1977-05-24_R3-VRNDAVAN.MP3</t>
  </si>
  <si>
    <t>https://audio.iskcondesiretree.com/01_-_Srila_Prabhupada/01_-_Lectures/01_-_English/02_-_Month_wise/05_-_May/24/Conv_1977-05-24_R3-VRNDAVAN.MP3</t>
  </si>
  <si>
    <t>Conv_1977-05-24_R4-VRNDAVAN.MP3</t>
  </si>
  <si>
    <t>https://audio.iskcondesiretree.com/01_-_Srila_Prabhupada/01_-_Lectures/01_-_English/02_-_Month_wise/05_-_May/24/Conv_1977-05-24_R4-VRNDAVAN.MP3</t>
  </si>
  <si>
    <t>Conv_1977-05-25_R1-VRNDAVAN.MP3</t>
  </si>
  <si>
    <t>https://audio.iskcondesiretree.com/01_-_Srila_Prabhupada/01_-_Lectures/01_-_English/02_-_Month_wise/05_-_May/25/Conv_1977-05-25_R1-VRNDAVAN.MP3</t>
  </si>
  <si>
    <t>Conv_1977-05-25_R2-VRNDAVAN.MP3</t>
  </si>
  <si>
    <t>https://audio.iskcondesiretree.com/01_-_Srila_Prabhupada/01_-_Lectures/01_-_English/02_-_Month_wise/05_-_May/25/Conv_1977-05-25_R2-VRNDAVAN.MP3</t>
  </si>
  <si>
    <t>Conv_1977-05-27_R1-VRNDAVAN.MP3</t>
  </si>
  <si>
    <t>https://audio.iskcondesiretree.com/01_-_Srila_Prabhupada/01_-_Lectures/01_-_English/02_-_Month_wise/05_-_May/27/Conv_1977-05-27_R1-VRNDAVAN.MP3</t>
  </si>
  <si>
    <t>Conv_1977-05-27_R2-VRNDAVAN.MP3</t>
  </si>
  <si>
    <t>https://audio.iskcondesiretree.com/01_-_Srila_Prabhupada/01_-_Lectures/01_-_English/02_-_Month_wise/05_-_May/27/Conv_1977-05-27_R2-VRNDAVAN.MP3</t>
  </si>
  <si>
    <t>PrabhupadaVigil_1977-05-27_VG-VRNDAVAN.MP3</t>
  </si>
  <si>
    <t>https://audio.iskcondesiretree.com/01_-_Srila_Prabhupada/01_-_Lectures/01_-_English/02_-_Month_wise/05_-_May/27/PrabhupadaVigil_1977-05-27_VG-VRNDAVAN.MP3</t>
  </si>
  <si>
    <t>Conv_1977-05-28_R1-VRNDAVAN.MP3</t>
  </si>
  <si>
    <t>https://audio.iskcondesiretree.com/01_-_Srila_Prabhupada/01_-_Lectures/01_-_English/02_-_Month_wise/05_-_May/28/Conv_1977-05-28_R1-VRNDAVAN.MP3</t>
  </si>
  <si>
    <t>Meeting_1977-05-28_ME-VRNDAVAN.MP3</t>
  </si>
  <si>
    <t>https://audio.iskcondesiretree.com/01_-_Srila_Prabhupada/01_-_Lectures/01_-_English/02_-_Month_wise/05_-_May/28/Meeting_1977-05-28_ME-VRNDAVAN.MP3</t>
  </si>
  <si>
    <t>PrabhupadaVigil_1977-05-28_VG-VRNDAVAN.MP3</t>
  </si>
  <si>
    <t>https://audio.iskcondesiretree.com/01_-_Srila_Prabhupada/01_-_Lectures/01_-_English/02_-_Month_wise/05_-_May/28/PrabhupadaVigil_1977-05-28_VG-VRNDAVAN.MP3</t>
  </si>
  <si>
    <t>Conv_1977-05-29_R1-VRNDAVAN.MP3</t>
  </si>
  <si>
    <t>https://audio.iskcondesiretree.com/01_-_Srila_Prabhupada/01_-_Lectures/01_-_English/02_-_Month_wise/05_-_May/29/Conv_1977-05-29_R1-VRNDAVAN.MP3</t>
  </si>
  <si>
    <t>Conv_1977-05-29_R2-VRNDAVAN.MP3</t>
  </si>
  <si>
    <t>https://audio.iskcondesiretree.com/01_-_Srila_Prabhupada/01_-_Lectures/01_-_English/02_-_Month_wise/05_-_May/29/Conv_1977-05-29_R2-VRNDAVAN.MP3</t>
  </si>
  <si>
    <t>Conv_1977-05-31_R1-VRNDAVAN.MP3</t>
  </si>
  <si>
    <t>https://audio.iskcondesiretree.com/01_-_Srila_Prabhupada/01_-_Lectures/01_-_English/02_-_Month_wise/05_-_May/31/Conv_1977-05-31_R1-VRNDAVAN.MP3</t>
  </si>
  <si>
    <t>Conv_1977-06-01_DC-VRNDAVAN.MP3</t>
  </si>
  <si>
    <t>https://audio.iskcondesiretree.com/01_-_Srila_Prabhupada/01_-_Lectures/01_-_English/02_-_Month_wise/06_-_June/01/Conv_1977-06-01_DC-VRNDAVAN.MP3</t>
  </si>
  <si>
    <t>Conv_1977-06-02_DC-VRNDAVAN.MP3</t>
  </si>
  <si>
    <t>https://audio.iskcondesiretree.com/01_-_Srila_Prabhupada/01_-_Lectures/01_-_English/02_-_Month_wise/06_-_June/02/Conv_1977-06-02_DC-VRNDAVAN.MP3</t>
  </si>
  <si>
    <t>Conv_1977-06-17_R1-VRNDAVAN.MP3</t>
  </si>
  <si>
    <t>https://audio.iskcondesiretree.com/01_-_Srila_Prabhupada/01_-_Lectures/01_-_English/02_-_Month_wise/06_-_June/17/Conv_1977-06-17_R1-VRNDAVAN.MP3</t>
  </si>
  <si>
    <t>Conv_1977-06-18_R1-VRNDAVAN.MP3</t>
  </si>
  <si>
    <t>https://audio.iskcondesiretree.com/01_-_Srila_Prabhupada/01_-_Lectures/01_-_English/02_-_Month_wise/06_-_June/18/Conv_1977-06-18_R1-VRNDAVAN.MP3</t>
  </si>
  <si>
    <t>Conv_1977-06-19_R1-VRNDAVAN.MP3</t>
  </si>
  <si>
    <t>https://audio.iskcondesiretree.com/01_-_Srila_Prabhupada/01_-_Lectures/01_-_English/02_-_Month_wise/06_-_June/19/Conv_1977-06-19_R1-VRNDAVAN.MP3</t>
  </si>
  <si>
    <t>Conv_1977-06-19_R2-VRNDAVAN.MP3</t>
  </si>
  <si>
    <t>https://audio.iskcondesiretree.com/01_-_Srila_Prabhupada/01_-_Lectures/01_-_English/02_-_Month_wise/06_-_June/19/Conv_1977-06-19_R2-VRNDAVAN.MP3</t>
  </si>
  <si>
    <t>Conv_1977-06-20_R1-VRNDAVAN.MP3</t>
  </si>
  <si>
    <t>https://audio.iskcondesiretree.com/01_-_Srila_Prabhupada/01_-_Lectures/01_-_English/02_-_Month_wise/06_-_June/20/Conv_1977-06-20_R1-VRNDAVAN.MP3</t>
  </si>
  <si>
    <t>Conv_1977-06-20_R2-VRNDAVAN.MP3</t>
  </si>
  <si>
    <t>https://audio.iskcondesiretree.com/01_-_Srila_Prabhupada/01_-_Lectures/01_-_English/02_-_Month_wise/06_-_June/20/Conv_1977-06-20_R2-VRNDAVAN.MP3</t>
  </si>
  <si>
    <t>Conv_1977-06-21_R1-VRNDAVAN.MP3</t>
  </si>
  <si>
    <t>https://audio.iskcondesiretree.com/01_-_Srila_Prabhupada/01_-_Lectures/01_-_English/02_-_Month_wise/06_-_June/21/Conv_1977-06-21_R1-VRNDAVAN.MP3</t>
  </si>
  <si>
    <t>Conv_1977-06-22_R1-VRNDAVAN.MP3</t>
  </si>
  <si>
    <t>https://audio.iskcondesiretree.com/01_-_Srila_Prabhupada/01_-_Lectures/01_-_English/02_-_Month_wise/06_-_June/22/Conv_1977-06-22_R1-VRNDAVAN.MP3</t>
  </si>
  <si>
    <t>Conv_1977-06-23_R1-VRNDAVAN.MP3</t>
  </si>
  <si>
    <t>https://audio.iskcondesiretree.com/01_-_Srila_Prabhupada/01_-_Lectures/01_-_English/02_-_Month_wise/06_-_June/23/Conv_1977-06-23_R1-VRNDAVAN.MP3</t>
  </si>
  <si>
    <t>Conv_1977-06-24_R1-VRNDAVAN.MP3</t>
  </si>
  <si>
    <t>https://audio.iskcondesiretree.com/01_-_Srila_Prabhupada/01_-_Lectures/01_-_English/02_-_Month_wise/06_-_June/24/Conv_1977-06-24_R1-VRNDAVAN.MP3</t>
  </si>
  <si>
    <t>Conv_1977-06-26_R1-VRNDAVAN.MP3</t>
  </si>
  <si>
    <t>https://audio.iskcondesiretree.com/01_-_Srila_Prabhupada/01_-_Lectures/01_-_English/02_-_Month_wise/06_-_June/26/Conv_1977-06-26_R1-VRNDAVAN.MP3</t>
  </si>
  <si>
    <t>Inspection_1977-06-26_GI-VRNDAVAN.MP3</t>
  </si>
  <si>
    <t>https://audio.iskcondesiretree.com/01_-_Srila_Prabhupada/01_-_Lectures/01_-_English/02_-_Month_wise/06_-_June/26/Inspection_1977-06-26_GI-VRNDAVAN.MP3</t>
  </si>
  <si>
    <t>Conv_1977-06-27_R1-VRNDAVAN.MP3</t>
  </si>
  <si>
    <t>https://audio.iskcondesiretree.com/01_-_Srila_Prabhupada/01_-_Lectures/01_-_English/02_-_Month_wise/06_-_June/27/Conv_1977-06-27_R1-VRNDAVAN.MP3</t>
  </si>
  <si>
    <t>Conv_1977-06-28_R1-VRNDAVAN.MP3</t>
  </si>
  <si>
    <t>https://audio.iskcondesiretree.com/01_-_Srila_Prabhupada/01_-_Lectures/01_-_English/02_-_Month_wise/06_-_June/28/Conv_1977-06-28_R1-VRNDAVAN.MP3</t>
  </si>
  <si>
    <t>Conv_1977-06-28_R2-VRNDAVAN.MP3</t>
  </si>
  <si>
    <t>https://audio.iskcondesiretree.com/01_-_Srila_Prabhupada/01_-_Lectures/01_-_English/02_-_Month_wise/06_-_June/28/Conv_1977-06-28_R2-VRNDAVAN.MP3</t>
  </si>
  <si>
    <t>Conv_1977-06-28_R3-VRNDAVAN.MP3</t>
  </si>
  <si>
    <t>https://audio.iskcondesiretree.com/01_-_Srila_Prabhupada/01_-_Lectures/01_-_English/02_-_Month_wise/06_-_June/28/Conv_1977-06-28_R3-VRNDAVAN.MP3</t>
  </si>
  <si>
    <t>Conv_1977-06-28_R4-VRNDAVAN.MP3</t>
  </si>
  <si>
    <t>https://audio.iskcondesiretree.com/01_-_Srila_Prabhupada/01_-_Lectures/01_-_English/02_-_Month_wise/06_-_June/28/Conv_1977-06-28_R4-VRNDAVAN.MP3</t>
  </si>
  <si>
    <t>Conv_1977-06-30_R1-VRNDAVAN.MP3</t>
  </si>
  <si>
    <t>https://audio.iskcondesiretree.com/01_-_Srila_Prabhupada/01_-_Lectures/01_-_English/02_-_Month_wise/06_-_June/30/Conv_1977-06-30_R1-VRNDAVAN.MP3</t>
  </si>
  <si>
    <t>Conv_1977-06-30_R2-VRNDAVAN.MP3</t>
  </si>
  <si>
    <t>https://audio.iskcondesiretree.com/01_-_Srila_Prabhupada/01_-_Lectures/01_-_English/02_-_Month_wise/06_-_June/30/Conv_1977-06-30_R2-VRNDAVAN.MP3</t>
  </si>
  <si>
    <t>Conv_1977-06-30_R3-VRNDAVAN.MP3</t>
  </si>
  <si>
    <t>https://audio.iskcondesiretree.com/01_-_Srila_Prabhupada/01_-_Lectures/01_-_English/02_-_Month_wise/06_-_June/30/Conv_1977-06-30_R3-VRNDAVAN.MP3</t>
  </si>
  <si>
    <t>Conv_1977-07-01_R1-VRNDAVAN.MP3</t>
  </si>
  <si>
    <t>https://audio.iskcondesiretree.com/01_-_Srila_Prabhupada/01_-_Lectures/01_-_English/02_-_Month_wise/07_-_July/01/Conv_1977-07-01_R1-VRNDAVAN.MP3</t>
  </si>
  <si>
    <t>Conv_1977-07-01_R2-VRNDAVAN.MP3</t>
  </si>
  <si>
    <t>https://audio.iskcondesiretree.com/01_-_Srila_Prabhupada/01_-_Lectures/01_-_English/02_-_Month_wise/07_-_July/01/Conv_1977-07-01_R2-VRNDAVAN.MP3</t>
  </si>
  <si>
    <t>Conv_1977-07-01_R3-VRNDAVAN.MP3</t>
  </si>
  <si>
    <t>https://audio.iskcondesiretree.com/01_-_Srila_Prabhupada/01_-_Lectures/01_-_English/02_-_Month_wise/07_-_July/01/Conv_1977-07-01_R3-VRNDAVAN.MP3</t>
  </si>
  <si>
    <t>Conv_1977-07-01_R4-VRNDAVAN.MP3</t>
  </si>
  <si>
    <t>https://audio.iskcondesiretree.com/01_-_Srila_Prabhupada/01_-_Lectures/01_-_English/02_-_Month_wise/07_-_July/01/Conv_1977-07-01_R4-VRNDAVAN.MP3</t>
  </si>
  <si>
    <t>Conv_1977-07-01_R5-VRNDAVAN.MP3</t>
  </si>
  <si>
    <t>https://audio.iskcondesiretree.com/01_-_Srila_Prabhupada/01_-_Lectures/01_-_English/02_-_Month_wise/07_-_July/01/Conv_1977-07-01_R5-VRNDAVAN.MP3</t>
  </si>
  <si>
    <t>Conv_1977-07-01_R6-VRNDAVAN.MP3</t>
  </si>
  <si>
    <t>https://audio.iskcondesiretree.com/01_-_Srila_Prabhupada/01_-_Lectures/01_-_English/02_-_Month_wise/07_-_July/01/Conv_1977-07-01_R6-VRNDAVAN.MP3</t>
  </si>
  <si>
    <t>Conv_1977-07-02_R1-VRNDAVAN.MP3</t>
  </si>
  <si>
    <t>https://audio.iskcondesiretree.com/01_-_Srila_Prabhupada/01_-_Lectures/01_-_English/02_-_Month_wise/07_-_July/02/Conv_1977-07-02_R1-VRNDAVAN.MP3</t>
  </si>
  <si>
    <t>DiscussionBhu-mandala_1977-07-02_DC-VRNDAVAN.MP3</t>
  </si>
  <si>
    <t>https://audio.iskcondesiretree.com/01_-_Srila_Prabhupada/01_-_Lectures/01_-_English/02_-_Month_wise/07_-_July/02/DiscussionBhu-mandala_1977-07-02_DC-VRNDAVAN.MP3</t>
  </si>
  <si>
    <t>DiscussionBhu-mandala_1977-07-03_DC-VRNDAVAN.MP3</t>
  </si>
  <si>
    <t>https://audio.iskcondesiretree.com/01_-_Srila_Prabhupada/01_-_Lectures/01_-_English/02_-_Month_wise/07_-_July/03/DiscussionBhu-mandala_1977-07-03_DC-VRNDAVAN.MP3</t>
  </si>
  <si>
    <t>Conv_1977-07-05_R1-VRNDAVAN.MP3</t>
  </si>
  <si>
    <t>https://audio.iskcondesiretree.com/01_-_Srila_Prabhupada/01_-_Lectures/01_-_English/02_-_Month_wise/07_-_July/05/Conv_1977-07-05_R1-VRNDAVAN.MP3</t>
  </si>
  <si>
    <t>DiscussionBhu-mandala_1977-07-05_DC-VRNDAVAN.MP3</t>
  </si>
  <si>
    <t>https://audio.iskcondesiretree.com/01_-_Srila_Prabhupada/01_-_Lectures/01_-_English/02_-_Month_wise/07_-_July/05/DiscussionBhu-mandala_1977-07-05_DC-VRNDAVAN.MP3</t>
  </si>
  <si>
    <t>Conv_1977-07-06_R1-VRNDAVAN.MP3</t>
  </si>
  <si>
    <t>https://audio.iskcondesiretree.com/01_-_Srila_Prabhupada/01_-_Lectures/01_-_English/02_-_Month_wise/07_-_July/06/Conv_1977-07-06_R1-VRNDAVAN.MP3</t>
  </si>
  <si>
    <t>Conv_1977-07-07_R1-VRNDAVAN.MP3</t>
  </si>
  <si>
    <t>https://audio.iskcondesiretree.com/01_-_Srila_Prabhupada/01_-_Lectures/01_-_English/02_-_Month_wise/07_-_July/07/Conv_1977-07-07_R1-VRNDAVAN.MP3</t>
  </si>
  <si>
    <t>Conv_1977-07-07_R2-VRNDAVAN.MP3</t>
  </si>
  <si>
    <t>https://audio.iskcondesiretree.com/01_-_Srila_Prabhupada/01_-_Lectures/01_-_English/02_-_Month_wise/07_-_July/07/Conv_1977-07-07_R2-VRNDAVAN.MP3</t>
  </si>
  <si>
    <t>Conv_1977-07-07_R3-VRNDAVAN.MP3</t>
  </si>
  <si>
    <t>https://audio.iskcondesiretree.com/01_-_Srila_Prabhupada/01_-_Lectures/01_-_English/02_-_Month_wise/07_-_July/07/Conv_1977-07-07_R3-VRNDAVAN.MP3</t>
  </si>
  <si>
    <t>Conv_1977-07-08_R1-VRNDAVAN.MP3</t>
  </si>
  <si>
    <t>https://audio.iskcondesiretree.com/01_-_Srila_Prabhupada/01_-_Lectures/01_-_English/02_-_Month_wise/07_-_July/08/Conv_1977-07-08_R1-VRNDAVAN.MP3</t>
  </si>
  <si>
    <t>Conv_1977-07-08_R2-VRNDAVAN.MP3</t>
  </si>
  <si>
    <t>https://audio.iskcondesiretree.com/01_-_Srila_Prabhupada/01_-_Lectures/01_-_English/02_-_Month_wise/07_-_July/08/Conv_1977-07-08_R2-VRNDAVAN.MP3</t>
  </si>
  <si>
    <t>Conv_1977-07-10_R1-VRNDAVAN.MP3</t>
  </si>
  <si>
    <t>https://audio.iskcondesiretree.com/01_-_Srila_Prabhupada/01_-_Lectures/01_-_English/02_-_Month_wise/07_-_July/10/Conv_1977-07-10_R1-VRNDAVAN.MP3</t>
  </si>
  <si>
    <t>Conv_1977-07-14_R1-VRNDAVAN.MP3</t>
  </si>
  <si>
    <t>https://audio.iskcondesiretree.com/01_-_Srila_Prabhupada/01_-_Lectures/01_-_English/02_-_Month_wise/07_-_July/14/Conv_1977-07-14_R1-VRNDAVAN.MP3</t>
  </si>
  <si>
    <t>Conv_1977-07-14_R2-VRNDAVAN.MP3</t>
  </si>
  <si>
    <t>https://audio.iskcondesiretree.com/01_-_Srila_Prabhupada/01_-_Lectures/01_-_English/02_-_Month_wise/07_-_July/14/Conv_1977-07-14_R2-VRNDAVAN.MP3</t>
  </si>
  <si>
    <t>Conv_1977-07-15_R1-VRNDAVAN.MP3</t>
  </si>
  <si>
    <t>https://audio.iskcondesiretree.com/01_-_Srila_Prabhupada/01_-_Lectures/01_-_English/02_-_Month_wise/07_-_July/15/Conv_1977-07-15_R1-VRNDAVAN.MP3</t>
  </si>
  <si>
    <t>Conv_1977-07-17_R1-VRNDAVAN.MP3</t>
  </si>
  <si>
    <t>https://audio.iskcondesiretree.com/01_-_Srila_Prabhupada/01_-_Lectures/01_-_English/02_-_Month_wise/07_-_July/17/Conv_1977-07-17_R1-VRNDAVAN.MP3</t>
  </si>
  <si>
    <t>Conv_1977-07-17_R2-VRNDAVAN.MP3</t>
  </si>
  <si>
    <t>https://audio.iskcondesiretree.com/01_-_Srila_Prabhupada/01_-_Lectures/01_-_English/02_-_Month_wise/07_-_July/17/Conv_1977-07-17_R2-VRNDAVAN.MP3</t>
  </si>
  <si>
    <t>Conv_1977-07-19_R1-VRNDAVAN.MP3</t>
  </si>
  <si>
    <t>https://audio.iskcondesiretree.com/01_-_Srila_Prabhupada/01_-_Lectures/01_-_English/02_-_Month_wise/07_-_July/19/Conv_1977-07-19_R1-VRNDAVAN.MP3</t>
  </si>
  <si>
    <t>Conv_1977-07-19_R2-VRNDAVAN.MP3</t>
  </si>
  <si>
    <t>https://audio.iskcondesiretree.com/01_-_Srila_Prabhupada/01_-_Lectures/01_-_English/02_-_Month_wise/07_-_July/19/Conv_1977-07-19_R2-VRNDAVAN.MP3</t>
  </si>
  <si>
    <t>Conv_1977-07-26_R1-VRNDAVAN.MP3</t>
  </si>
  <si>
    <t>https://audio.iskcondesiretree.com/01_-_Srila_Prabhupada/01_-_Lectures/01_-_English/02_-_Month_wise/07_-_July/26/Conv_1977-07-26_R1-VRNDAVAN.MP3</t>
  </si>
  <si>
    <t>Conv_1977-07-27_R1-VRNDAVAN.MP3</t>
  </si>
  <si>
    <t>https://audio.iskcondesiretree.com/01_-_Srila_Prabhupada/01_-_Lectures/01_-_English/02_-_Month_wise/07_-_July/27/Conv_1977-07-27_R1-VRNDAVAN.MP3</t>
  </si>
  <si>
    <t>Conv_1977-07-31_R1-VRNDAVAN.MP3</t>
  </si>
  <si>
    <t>https://audio.iskcondesiretree.com/01_-_Srila_Prabhupada/01_-_Lectures/01_-_English/02_-_Month_wise/07_-_July/31/Conv_1977-07-31_R1-VRNDAVAN.MP3</t>
  </si>
  <si>
    <t>Conv_1977-08-08_R1-VRNDAVAN.MP3</t>
  </si>
  <si>
    <t>https://audio.iskcondesiretree.com/01_-_Srila_Prabhupada/01_-_Lectures/01_-_English/02_-_Month_wise/08_-_August/08/Conv_1977-08-08_R1-VRNDAVAN.MP3</t>
  </si>
  <si>
    <t>Conv_1977-08-10_R1-VRNDAVAN.MP3</t>
  </si>
  <si>
    <t>https://audio.iskcondesiretree.com/01_-_Srila_Prabhupada/01_-_Lectures/01_-_English/02_-_Month_wise/08_-_August/10/Conv_1977-08-10_R1-VRNDAVAN.MP3</t>
  </si>
  <si>
    <t>Conv_1977-08-11_R1-VRNDAVAN.MP3</t>
  </si>
  <si>
    <t>https://audio.iskcondesiretree.com/01_-_Srila_Prabhupada/01_-_Lectures/01_-_English/02_-_Month_wise/08_-_August/11/Conv_1977-08-11_R1-VRNDAVAN.MP3</t>
  </si>
  <si>
    <t>Conv_1977-08-17_R1-VRNDAVAN.MP3</t>
  </si>
  <si>
    <t>https://audio.iskcondesiretree.com/01_-_Srila_Prabhupada/01_-_Lectures/01_-_English/02_-_Month_wise/08_-_August/17/Conv_1977-08-17_R1-VRNDAVAN.MP3</t>
  </si>
  <si>
    <t>Conv_1977-08-29_R1-LONDON.MP3</t>
  </si>
  <si>
    <t>https://audio.iskcondesiretree.com/01_-_Srila_Prabhupada/01_-_Lectures/01_-_English/02_-_Month_wise/08_-_August/29/Conv_1977-08-29_R1-LONDON.MP3</t>
  </si>
  <si>
    <t>Conv_1977-10-02_R1-VRNDAVAN.MP3</t>
  </si>
  <si>
    <t>https://audio.iskcondesiretree.com/01_-_Srila_Prabhupada/01_-_Lectures/01_-_English/02_-_Month_wise/10_-_October/02/Conv_1977-10-02_R1-VRNDAVAN.MP3</t>
  </si>
  <si>
    <t>Conv_1977-10-03_R1-VRNDAVAN.MP3</t>
  </si>
  <si>
    <t>https://audio.iskcondesiretree.com/01_-_Srila_Prabhupada/01_-_Lectures/01_-_English/02_-_Month_wise/10_-_October/03/Conv_1977-10-03_R1-VRNDAVAN.MP3</t>
  </si>
  <si>
    <t>Conv_1977-10-04_R1-VRNDAVAN.MP3</t>
  </si>
  <si>
    <t>https://audio.iskcondesiretree.com/01_-_Srila_Prabhupada/01_-_Lectures/01_-_English/02_-_Month_wise/10_-_October/04/Conv_1977-10-04_R1-VRNDAVAN.MP3</t>
  </si>
  <si>
    <t>Conv_1977-10-06_R1-VRNDAVAN.MP3</t>
  </si>
  <si>
    <t>https://audio.iskcondesiretree.com/01_-_Srila_Prabhupada/01_-_Lectures/01_-_English/02_-_Month_wise/10_-_October/06/Conv_1977-10-06_R1-VRNDAVAN.MP3</t>
  </si>
  <si>
    <t>Conv_1977-10-06_R2-VRNDAVAN.MP3</t>
  </si>
  <si>
    <t>https://audio.iskcondesiretree.com/01_-_Srila_Prabhupada/01_-_Lectures/01_-_English/02_-_Month_wise/10_-_October/06/Conv_1977-10-06_R2-VRNDAVAN.MP3</t>
  </si>
  <si>
    <t>Conv_1977-10-08_R1-VRNDAVAN.MP3</t>
  </si>
  <si>
    <t>https://audio.iskcondesiretree.com/01_-_Srila_Prabhupada/01_-_Lectures/01_-_English/02_-_Month_wise/10_-_October/08/Conv_1977-10-08_R1-VRNDAVAN.MP3</t>
  </si>
  <si>
    <t>Conv_1977-10-08_R2-VRNDAVAN.MP3</t>
  </si>
  <si>
    <t>https://audio.iskcondesiretree.com/01_-_Srila_Prabhupada/01_-_Lectures/01_-_English/02_-_Month_wise/10_-_October/08/Conv_1977-10-08_R2-VRNDAVAN.MP3</t>
  </si>
  <si>
    <t>Conv_1977-10-09_R1-VRNDAVAN.MP3</t>
  </si>
  <si>
    <t>https://audio.iskcondesiretree.com/01_-_Srila_Prabhupada/01_-_Lectures/01_-_English/02_-_Month_wise/10_-_October/09/Conv_1977-10-09_R1-VRNDAVAN.MP3</t>
  </si>
  <si>
    <t>Conv_1977-10-10_R1-VRNDAVAN.MP3</t>
  </si>
  <si>
    <t>https://audio.iskcondesiretree.com/01_-_Srila_Prabhupada/01_-_Lectures/01_-_English/02_-_Month_wise/10_-_October/10/Conv_1977-10-10_R1-VRNDAVAN.MP3</t>
  </si>
  <si>
    <t>Doctor_1977-10-10_VI-VRNDAVAN.MP3</t>
  </si>
  <si>
    <t>https://audio.iskcondesiretree.com/01_-_Srila_Prabhupada/01_-_Lectures/01_-_English/02_-_Month_wise/10_-_October/10/Doctor_1977-10-10_VI-VRNDAVAN.MP3</t>
  </si>
  <si>
    <t>Conv_1977-10-11_R1-VRNDAVAN.MP3</t>
  </si>
  <si>
    <t>https://audio.iskcondesiretree.com/01_-_Srila_Prabhupada/01_-_Lectures/01_-_English/02_-_Month_wise/10_-_October/11/Conv_1977-10-11_R1-VRNDAVAN.MP3</t>
  </si>
  <si>
    <t>Conv_1977-10-11_R2-VRNDAVAN.MP3</t>
  </si>
  <si>
    <t>https://audio.iskcondesiretree.com/01_-_Srila_Prabhupada/01_-_Lectures/01_-_English/02_-_Month_wise/10_-_October/11/Conv_1977-10-11_R2-VRNDAVAN.MP3</t>
  </si>
  <si>
    <t>Conv_1977-10-12_R1-VRNDAVAN.MP3</t>
  </si>
  <si>
    <t>https://audio.iskcondesiretree.com/01_-_Srila_Prabhupada/01_-_Lectures/01_-_English/02_-_Month_wise/10_-_October/12/Conv_1977-10-12_R1-VRNDAVAN.MP3</t>
  </si>
  <si>
    <t>Conv_1977-10-13_R1-VRNDAVAN.MP3</t>
  </si>
  <si>
    <t>https://audio.iskcondesiretree.com/01_-_Srila_Prabhupada/01_-_Lectures/01_-_English/02_-_Month_wise/10_-_October/13/Conv_1977-10-13_R1-VRNDAVAN.MP3</t>
  </si>
  <si>
    <t>Conv_1977-10-13_R2-VRNDAVAN.MP3</t>
  </si>
  <si>
    <t>https://audio.iskcondesiretree.com/01_-_Srila_Prabhupada/01_-_Lectures/01_-_English/02_-_Month_wise/10_-_October/13/Conv_1977-10-13_R2-VRNDAVAN.MP3</t>
  </si>
  <si>
    <t>Conv_1977-10-13_R3-VRNDAVAN.MP3</t>
  </si>
  <si>
    <t>https://audio.iskcondesiretree.com/01_-_Srila_Prabhupada/01_-_Lectures/01_-_English/02_-_Month_wise/10_-_October/13/Conv_1977-10-13_R3-VRNDAVAN.MP3</t>
  </si>
  <si>
    <t>Conv_1977-10-14_R1-VRNDAVAN.MP3</t>
  </si>
  <si>
    <t>https://audio.iskcondesiretree.com/01_-_Srila_Prabhupada/01_-_Lectures/01_-_English/02_-_Month_wise/10_-_October/14/Conv_1977-10-14_R1-VRNDAVAN.MP3</t>
  </si>
  <si>
    <t>Conv_1977-10-14_R2-VRNDAVAN.MP3</t>
  </si>
  <si>
    <t>https://audio.iskcondesiretree.com/01_-_Srila_Prabhupada/01_-_Lectures/01_-_English/02_-_Month_wise/10_-_October/14/Conv_1977-10-14_R2-VRNDAVAN.MP3</t>
  </si>
  <si>
    <t>Conv_1977-10-14_R3-VRNDAVAN.MP3</t>
  </si>
  <si>
    <t>https://audio.iskcondesiretree.com/01_-_Srila_Prabhupada/01_-_Lectures/01_-_English/02_-_Month_wise/10_-_October/14/Conv_1977-10-14_R3-VRNDAVAN.MP3</t>
  </si>
  <si>
    <t>Conv_1977-10-15_R1-VRNDAVAN.MP3</t>
  </si>
  <si>
    <t>https://audio.iskcondesiretree.com/01_-_Srila_Prabhupada/01_-_Lectures/01_-_English/02_-_Month_wise/10_-_October/15/Conv_1977-10-15_R1-VRNDAVAN.MP3</t>
  </si>
  <si>
    <t>Conv_1977-10-15_R2-VRNDAVAN.MP3</t>
  </si>
  <si>
    <t>https://audio.iskcondesiretree.com/01_-_Srila_Prabhupada/01_-_Lectures/01_-_English/02_-_Month_wise/10_-_October/15/Conv_1977-10-15_R2-VRNDAVAN.MP3</t>
  </si>
  <si>
    <t>Conv_1977-10-15_R3-VRNDAVAN.MP3</t>
  </si>
  <si>
    <t>https://audio.iskcondesiretree.com/01_-_Srila_Prabhupada/01_-_Lectures/01_-_English/02_-_Month_wise/10_-_October/15/Conv_1977-10-15_R3-VRNDAVAN.MP3</t>
  </si>
  <si>
    <t>Conv_1977-10-16_R1-VRNDAVAN.MP3</t>
  </si>
  <si>
    <t>https://audio.iskcondesiretree.com/01_-_Srila_Prabhupada/01_-_Lectures/01_-_English/02_-_Month_wise/10_-_October/16/Conv_1977-10-16_R1-VRNDAVAN.MP3</t>
  </si>
  <si>
    <t>Conv_1977-10-16_R2-VRNDAVAN.MP3</t>
  </si>
  <si>
    <t>https://audio.iskcondesiretree.com/01_-_Srila_Prabhupada/01_-_Lectures/01_-_English/02_-_Month_wise/10_-_October/16/Conv_1977-10-16_R2-VRNDAVAN.MP3</t>
  </si>
  <si>
    <t>Conv_1977-10-16_R3-VRNDAVAN.MP3</t>
  </si>
  <si>
    <t>https://audio.iskcondesiretree.com/01_-_Srila_Prabhupada/01_-_Lectures/01_-_English/02_-_Month_wise/10_-_October/16/Conv_1977-10-16_R3-VRNDAVAN.MP3</t>
  </si>
  <si>
    <t>Conv_1977-10-17_R1-VRNDAVAN.MP3</t>
  </si>
  <si>
    <t>https://audio.iskcondesiretree.com/01_-_Srila_Prabhupada/01_-_Lectures/01_-_English/02_-_Month_wise/10_-_October/17/Conv_1977-10-17_R1-VRNDAVAN.MP3</t>
  </si>
  <si>
    <t>Conv_1977-10-17_R2-VRNDAVAN.MP3</t>
  </si>
  <si>
    <t>https://audio.iskcondesiretree.com/01_-_Srila_Prabhupada/01_-_Lectures/01_-_English/02_-_Month_wise/10_-_October/17/Conv_1977-10-17_R2-VRNDAVAN.MP3</t>
  </si>
  <si>
    <t>Conv_1977-10-18_R1-VRNDAVAN.MP3</t>
  </si>
  <si>
    <t>https://audio.iskcondesiretree.com/01_-_Srila_Prabhupada/01_-_Lectures/01_-_English/02_-_Month_wise/10_-_October/18/Conv_1977-10-18_R1-VRNDAVAN.MP3</t>
  </si>
  <si>
    <t>Conv_1977-10-18_R2-VRNDAVAN.MP3</t>
  </si>
  <si>
    <t>https://audio.iskcondesiretree.com/01_-_Srila_Prabhupada/01_-_Lectures/01_-_English/02_-_Month_wise/10_-_October/18/Conv_1977-10-18_R2-VRNDAVAN.MP3</t>
  </si>
  <si>
    <t>Conv_1977-10-18_R3-VRNDAVAN.MP3</t>
  </si>
  <si>
    <t>https://audio.iskcondesiretree.com/01_-_Srila_Prabhupada/01_-_Lectures/01_-_English/02_-_Month_wise/10_-_October/18/Conv_1977-10-18_R3-VRNDAVAN.MP3</t>
  </si>
  <si>
    <t>Conv_1977-10-19_R1-VRNDAVAN.MP3</t>
  </si>
  <si>
    <t>https://audio.iskcondesiretree.com/01_-_Srila_Prabhupada/01_-_Lectures/01_-_English/02_-_Month_wise/10_-_October/19/Conv_1977-10-19_R1-VRNDAVAN.MP3</t>
  </si>
  <si>
    <t>Conv_1977-10-20_R1-VRNDAVAN.MP3</t>
  </si>
  <si>
    <t>https://audio.iskcondesiretree.com/01_-_Srila_Prabhupada/01_-_Lectures/01_-_English/02_-_Month_wise/10_-_October/20/Conv_1977-10-20_R1-VRNDAVAN.MP3</t>
  </si>
  <si>
    <t>Conv_1977-10-21_R1-VRNDAVAN.MP3</t>
  </si>
  <si>
    <t>https://audio.iskcondesiretree.com/01_-_Srila_Prabhupada/01_-_Lectures/01_-_English/02_-_Month_wise/10_-_October/21/Conv_1977-10-21_R1-VRNDAVAN.MP3</t>
  </si>
  <si>
    <t>Conv_1977-10-21_R2-VRNDAVAN.MP3</t>
  </si>
  <si>
    <t>https://audio.iskcondesiretree.com/01_-_Srila_Prabhupada/01_-_Lectures/01_-_English/02_-_Month_wise/10_-_October/21/Conv_1977-10-21_R2-VRNDAVAN.MP3</t>
  </si>
  <si>
    <t>Conv_1977-10-22_R1-VRNDAVAN.MP3</t>
  </si>
  <si>
    <t>https://audio.iskcondesiretree.com/01_-_Srila_Prabhupada/01_-_Lectures/01_-_English/02_-_Month_wise/10_-_October/22/Conv_1977-10-22_R1-VRNDAVAN.MP3</t>
  </si>
  <si>
    <t>Dictation-SB_1977-10-22_SB-VRNDAVAN.MP3</t>
  </si>
  <si>
    <t>https://audio.iskcondesiretree.com/01_-_Srila_Prabhupada/01_-_Lectures/01_-_English/02_-_Month_wise/10_-_October/22/Dictation-SB_1977-10-22_SB-VRNDAVAN.MP3</t>
  </si>
  <si>
    <t>Conv_1977-10-24_R1-VRNDAVAN.MP3</t>
  </si>
  <si>
    <t>https://audio.iskcondesiretree.com/01_-_Srila_Prabhupada/01_-_Lectures/01_-_English/02_-_Month_wise/10_-_October/24/Conv_1977-10-24_R1-VRNDAVAN.MP3</t>
  </si>
  <si>
    <t>Conv_1977-10-25_R1-VRNDAVAN.MP3</t>
  </si>
  <si>
    <t>https://audio.iskcondesiretree.com/01_-_Srila_Prabhupada/01_-_Lectures/01_-_English/02_-_Month_wise/10_-_October/25/Conv_1977-10-25_R1-VRNDAVAN.MP3</t>
  </si>
  <si>
    <t>Dictation-SB_1977-10-25_SB-VRNDAVAN.MP3</t>
  </si>
  <si>
    <t>https://audio.iskcondesiretree.com/01_-_Srila_Prabhupada/01_-_Lectures/01_-_English/02_-_Month_wise/10_-_October/25/Dictation-SB_1977-10-25_SB-VRNDAVAN.MP3</t>
  </si>
  <si>
    <t>Conv_1977-10-26_R1-VRNDAVAN.MP3</t>
  </si>
  <si>
    <t>https://audio.iskcondesiretree.com/01_-_Srila_Prabhupada/01_-_Lectures/01_-_English/02_-_Month_wise/10_-_October/26/Conv_1977-10-26_R1-VRNDAVAN.MP3</t>
  </si>
  <si>
    <t>Conv_1977-10-27_R1-VRNDAVAN.MP3</t>
  </si>
  <si>
    <t>https://audio.iskcondesiretree.com/01_-_Srila_Prabhupada/01_-_Lectures/01_-_English/02_-_Month_wise/10_-_October/27/Conv_1977-10-27_R1-VRNDAVAN.MP3</t>
  </si>
  <si>
    <t>Dictation-SB-10-13-62_1977-10-27_SB-VRNDAVAN.MP3</t>
  </si>
  <si>
    <t>https://audio.iskcondesiretree.com/01_-_Srila_Prabhupada/01_-_Lectures/01_-_English/02_-_Month_wise/10_-_October/27/Dictation-SB-10-13-62_1977-10-27_SB-VRNDAVAN.MP3</t>
  </si>
  <si>
    <t>Conv_1977-10-28_R1-VRNDAVAN.MP3</t>
  </si>
  <si>
    <t>https://audio.iskcondesiretree.com/01_-_Srila_Prabhupada/01_-_Lectures/01_-_English/02_-_Month_wise/10_-_October/28/Conv_1977-10-28_R1-VRNDAVAN.MP3</t>
  </si>
  <si>
    <t>Conv_1977-10-28_R2-VRNDAVAN.MP3</t>
  </si>
  <si>
    <t>https://audio.iskcondesiretree.com/01_-_Srila_Prabhupada/01_-_Lectures/01_-_English/02_-_Month_wise/10_-_October/28/Conv_1977-10-28_R2-VRNDAVAN.MP3</t>
  </si>
  <si>
    <t>Conv_1977-10-29_R1-VRNDAVAN.MP3</t>
  </si>
  <si>
    <t>https://audio.iskcondesiretree.com/01_-_Srila_Prabhupada/01_-_Lectures/01_-_English/02_-_Month_wise/10_-_October/29/Conv_1977-10-29_R1-VRNDAVAN.MP3</t>
  </si>
  <si>
    <t>Conv_1977-10-30_R1-VRNDAVAN.MP3</t>
  </si>
  <si>
    <t>https://audio.iskcondesiretree.com/01_-_Srila_Prabhupada/01_-_Lectures/01_-_English/02_-_Month_wise/10_-_October/30/Conv_1977-10-30_R1-VRNDAVAN.MP3</t>
  </si>
  <si>
    <t>Conv_1977-10-30_R2-VRNDAVAN.MP3</t>
  </si>
  <si>
    <t>https://audio.iskcondesiretree.com/01_-_Srila_Prabhupada/01_-_Lectures/01_-_English/02_-_Month_wise/10_-_October/30/Conv_1977-10-30_R2-VRNDAVAN.MP3</t>
  </si>
  <si>
    <t>Conv_1977-10-31_R1-VRNDAVAN.MP3</t>
  </si>
  <si>
    <t>https://audio.iskcondesiretree.com/01_-_Srila_Prabhupada/01_-_Lectures/01_-_English/02_-_Month_wise/10_-_October/31/Conv_1977-10-31_R1-VRNDAVAN.MP3</t>
  </si>
  <si>
    <t>Conv_1977-10-31_R2-VRNDAVAN.MP3</t>
  </si>
  <si>
    <t>https://audio.iskcondesiretree.com/01_-_Srila_Prabhupada/01_-_Lectures/01_-_English/02_-_Month_wise/10_-_October/31/Conv_1977-10-31_R2-VRNDAVAN.MP3</t>
  </si>
  <si>
    <t>Dictation-SB-10-14-01_1977-10-31_SB-VRNDAVAN.MP3</t>
  </si>
  <si>
    <t>https://audio.iskcondesiretree.com/01_-_Srila_Prabhupada/01_-_Lectures/01_-_English/02_-_Month_wise/10_-_October/31/Dictation-SB-10-14-01_1977-10-31_SB-VRNDAVAN.MP3</t>
  </si>
  <si>
    <t>Conv-NewBooks_1977-11-02_R1-VRNDAVAN.MP3</t>
  </si>
  <si>
    <t>https://audio.iskcondesiretree.com/01_-_Srila_Prabhupada/01_-_Lectures/01_-_English/02_-_Month_wise/11_-_November/02/Conv-NewBooks_1977-11-02_R1-VRNDAVAN.MP3</t>
  </si>
  <si>
    <t>Conv_1977-11-02_R2-VRNDAVAN.MP3</t>
  </si>
  <si>
    <t>https://audio.iskcondesiretree.com/01_-_Srila_Prabhupada/01_-_Lectures/01_-_English/02_-_Month_wise/11_-_November/02/Conv_1977-11-02_R2-VRNDAVAN.MP3</t>
  </si>
  <si>
    <t>Conv_1977-11-02_R3-VRNDAVAN.MP3</t>
  </si>
  <si>
    <t>https://audio.iskcondesiretree.com/01_-_Srila_Prabhupada/01_-_Lectures/01_-_English/02_-_Month_wise/11_-_November/02/Conv_1977-11-02_R3-VRNDAVAN.MP3</t>
  </si>
  <si>
    <t>Conv_1977-11-02_R4-VRNDAVAN.MP3</t>
  </si>
  <si>
    <t>https://audio.iskcondesiretree.com/01_-_Srila_Prabhupada/01_-_Lectures/01_-_English/02_-_Month_wise/11_-_November/02/Conv_1977-11-02_R4-VRNDAVAN.MP3</t>
  </si>
  <si>
    <t>Conv_1977-11-02_R5-VRNDAVAN.MP3</t>
  </si>
  <si>
    <t>https://audio.iskcondesiretree.com/01_-_Srila_Prabhupada/01_-_Lectures/01_-_English/02_-_Month_wise/11_-_November/02/Conv_1977-11-02_R5-VRNDAVAN.MP3</t>
  </si>
  <si>
    <t>Conv_1977-11-02_R6-VRNDAVAN.MP3</t>
  </si>
  <si>
    <t>https://audio.iskcondesiretree.com/01_-_Srila_Prabhupada/01_-_Lectures/01_-_English/02_-_Month_wise/11_-_November/02/Conv_1977-11-02_R6-VRNDAVAN.MP3</t>
  </si>
  <si>
    <t>Conv_1977-11-02_R7-VRNDAVAN.MP3</t>
  </si>
  <si>
    <t>https://audio.iskcondesiretree.com/01_-_Srila_Prabhupada/01_-_Lectures/01_-_English/02_-_Month_wise/11_-_November/02/Conv_1977-11-02_R7-VRNDAVAN.MP3</t>
  </si>
  <si>
    <t>Conv_1977-11-02_R8-VRNDAVAN.MP3</t>
  </si>
  <si>
    <t>https://audio.iskcondesiretree.com/01_-_Srila_Prabhupada/01_-_Lectures/01_-_English/02_-_Month_wise/11_-_November/02/Conv_1977-11-02_R8-VRNDAVAN.MP3</t>
  </si>
  <si>
    <t>Conv_1977-11-03_R1-VRNDAVAN.MP3</t>
  </si>
  <si>
    <t>https://audio.iskcondesiretree.com/01_-_Srila_Prabhupada/01_-_Lectures/01_-_English/02_-_Month_wise/11_-_November/03/Conv_1977-11-03_R1-VRNDAVAN.MP3</t>
  </si>
  <si>
    <t>Conv_1977-11-03_R2-VRNDAVAN.MP3</t>
  </si>
  <si>
    <t>https://audio.iskcondesiretree.com/01_-_Srila_Prabhupada/01_-_Lectures/01_-_English/02_-_Month_wise/11_-_November/03/Conv_1977-11-03_R2-VRNDAVAN.MP3</t>
  </si>
  <si>
    <t>Conv_1977-11-03_R3-VRNDAVAN.MP3</t>
  </si>
  <si>
    <t>https://audio.iskcondesiretree.com/01_-_Srila_Prabhupada/01_-_Lectures/01_-_English/02_-_Month_wise/11_-_November/03/Conv_1977-11-03_R3-VRNDAVAN.MP3</t>
  </si>
  <si>
    <t>Conv_1977-11-03_R4-VRNDAVAN.MP3</t>
  </si>
  <si>
    <t>https://audio.iskcondesiretree.com/01_-_Srila_Prabhupada/01_-_Lectures/01_-_English/02_-_Month_wise/11_-_November/03/Conv_1977-11-03_R4-VRNDAVAN.MP3</t>
  </si>
  <si>
    <t>Conv_1977-11-03_R5-VRNDAVAN.MP3</t>
  </si>
  <si>
    <t>https://audio.iskcondesiretree.com/01_-_Srila_Prabhupada/01_-_Lectures/01_-_English/02_-_Month_wise/11_-_November/03/Conv_1977-11-03_R5-VRNDAVAN.MP3</t>
  </si>
  <si>
    <t>Conv_1977-11-03_R6-VRNDAVAN.MP3</t>
  </si>
  <si>
    <t>https://audio.iskcondesiretree.com/01_-_Srila_Prabhupada/01_-_Lectures/01_-_English/02_-_Month_wise/11_-_November/03/Conv_1977-11-03_R6-VRNDAVAN.MP3</t>
  </si>
  <si>
    <t>Conv_1977-11-03_R7-VRNDAVAN.MP3</t>
  </si>
  <si>
    <t>https://audio.iskcondesiretree.com/01_-_Srila_Prabhupada/01_-_Lectures/01_-_English/02_-_Month_wise/11_-_November/03/Conv_1977-11-03_R7-VRNDAVAN.MP3</t>
  </si>
  <si>
    <t>Conv_1977-11-03_R8-VRNDAVAN.MP3</t>
  </si>
  <si>
    <t>https://audio.iskcondesiretree.com/01_-_Srila_Prabhupada/01_-_Lectures/01_-_English/02_-_Month_wise/11_-_November/03/Conv_1977-11-03_R8-VRNDAVAN.MP3</t>
  </si>
  <si>
    <t>Conv_1977-11-04_R1-VRNDAVAN.MP3</t>
  </si>
  <si>
    <t>https://audio.iskcondesiretree.com/01_-_Srila_Prabhupada/01_-_Lectures/01_-_English/02_-_Month_wise/11_-_November/04/Conv_1977-11-04_R1-VRNDAVAN.MP3</t>
  </si>
  <si>
    <t>Conv_1977-11-05_R1-VRNDAVAN.MP3</t>
  </si>
  <si>
    <t>https://audio.iskcondesiretree.com/01_-_Srila_Prabhupada/01_-_Lectures/01_-_English/02_-_Month_wise/11_-_November/05/Conv_1977-11-05_R1-VRNDAVAN.MP3</t>
  </si>
  <si>
    <t>Conv_1977-11-05_R2-VRNDAVAN.MP3</t>
  </si>
  <si>
    <t>https://audio.iskcondesiretree.com/01_-_Srila_Prabhupada/01_-_Lectures/01_-_English/02_-_Month_wise/11_-_November/05/Conv_1977-11-05_R2-VRNDAVAN.MP3</t>
  </si>
  <si>
    <t>Conv_1977-11-05_R3-VRNDAVAN.MP3</t>
  </si>
  <si>
    <t>https://audio.iskcondesiretree.com/01_-_Srila_Prabhupada/01_-_Lectures/01_-_English/02_-_Month_wise/11_-_November/05/Conv_1977-11-05_R3-VRNDAVAN.MP3</t>
  </si>
  <si>
    <t>Conv_1977-11-05_R4-VRNDAVAN.MP3</t>
  </si>
  <si>
    <t>https://audio.iskcondesiretree.com/01_-_Srila_Prabhupada/01_-_Lectures/01_-_English/02_-_Month_wise/11_-_November/05/Conv_1977-11-05_R4-VRNDAVAN.MP3</t>
  </si>
  <si>
    <t>Conv_1977-11-05_R5-VRNDAVAN.MP3</t>
  </si>
  <si>
    <t>https://audio.iskcondesiretree.com/01_-_Srila_Prabhupada/01_-_Lectures/01_-_English/02_-_Month_wise/11_-_November/05/Conv_1977-11-05_R5-VRNDAVAN.MP3</t>
  </si>
  <si>
    <t>Conv_1977-11-05_R6-VRNDAVAN.MP3</t>
  </si>
  <si>
    <t>https://audio.iskcondesiretree.com/01_-_Srila_Prabhupada/01_-_Lectures/01_-_English/02_-_Month_wise/11_-_November/05/Conv_1977-11-05_R6-VRNDAVAN.MP3</t>
  </si>
  <si>
    <t>Conv_1977-11-06_R1-VRNDAVAN.MP3</t>
  </si>
  <si>
    <t>https://audio.iskcondesiretree.com/01_-_Srila_Prabhupada/01_-_Lectures/01_-_English/02_-_Month_wise/11_-_November/06/Conv_1977-11-06_R1-VRNDAVAN.MP3</t>
  </si>
  <si>
    <t>Conv_1977-11-06_R2-VRNDAVAN.MP3</t>
  </si>
  <si>
    <t>https://audio.iskcondesiretree.com/01_-_Srila_Prabhupada/01_-_Lectures/01_-_English/02_-_Month_wise/11_-_November/06/Conv_1977-11-06_R2-VRNDAVAN.MP3</t>
  </si>
  <si>
    <t>Conv_1977-11-06_R3-VRNDAVAN.MP3</t>
  </si>
  <si>
    <t>https://audio.iskcondesiretree.com/01_-_Srila_Prabhupada/01_-_Lectures/01_-_English/02_-_Month_wise/11_-_November/06/Conv_1977-11-06_R3-VRNDAVAN.MP3</t>
  </si>
  <si>
    <t>Conv_1977-11-07_R1-VRNDAVAN.MP3</t>
  </si>
  <si>
    <t>https://audio.iskcondesiretree.com/01_-_Srila_Prabhupada/01_-_Lectures/01_-_English/02_-_Month_wise/11_-_November/07/Conv_1977-11-07_R1-VRNDAVAN.MP3</t>
  </si>
  <si>
    <t>Conv_1977-11-07_R2-VRNDAVAN.MP3</t>
  </si>
  <si>
    <t>https://audio.iskcondesiretree.com/01_-_Srila_Prabhupada/01_-_Lectures/01_-_English/02_-_Month_wise/11_-_November/07/Conv_1977-11-07_R2-VRNDAVAN.MP3</t>
  </si>
  <si>
    <t>Conv_1977-11-07_R3-VRNDAVAN.MP3</t>
  </si>
  <si>
    <t>https://audio.iskcondesiretree.com/01_-_Srila_Prabhupada/01_-_Lectures/01_-_English/02_-_Month_wise/11_-_November/07/Conv_1977-11-07_R3-VRNDAVAN.MP3</t>
  </si>
  <si>
    <t>Conv_1977-11-07_R4-VRNDAVAN.MP3</t>
  </si>
  <si>
    <t>https://audio.iskcondesiretree.com/01_-_Srila_Prabhupada/01_-_Lectures/01_-_English/02_-_Month_wise/11_-_November/07/Conv_1977-11-07_R4-VRNDAVAN.MP3</t>
  </si>
  <si>
    <t>Conv_1977-11-07_R5-VRNDAVAN.MP3</t>
  </si>
  <si>
    <t>https://audio.iskcondesiretree.com/01_-_Srila_Prabhupada/01_-_Lectures/01_-_English/02_-_Month_wise/11_-_November/07/Conv_1977-11-07_R5-VRNDAVAN.MP3</t>
  </si>
  <si>
    <t>Conv_1977-11-08_R1-VRNDAVAN.MP3</t>
  </si>
  <si>
    <t>https://audio.iskcondesiretree.com/01_-_Srila_Prabhupada/01_-_Lectures/01_-_English/02_-_Month_wise/11_-_November/08/Conv_1977-11-08_R1-VRNDAVAN.MP3</t>
  </si>
  <si>
    <t>Conv_1977-11-08_R2-VRNDAVAN.MP3</t>
  </si>
  <si>
    <t>https://audio.iskcondesiretree.com/01_-_Srila_Prabhupada/01_-_Lectures/01_-_English/02_-_Month_wise/11_-_November/08/Conv_1977-11-08_R2-VRNDAVAN.MP3</t>
  </si>
  <si>
    <t>Conv_1977-11-09_R1-VRNDAVAN.MP3</t>
  </si>
  <si>
    <t>https://audio.iskcondesiretree.com/01_-_Srila_Prabhupada/01_-_Lectures/01_-_English/02_-_Month_wise/11_-_November/09/Conv_1977-11-09_R1-VRNDAVAN.MP3</t>
  </si>
  <si>
    <t>Conv_1977-11-09_R2-VRNDAVAN.MP3</t>
  </si>
  <si>
    <t>https://audio.iskcondesiretree.com/01_-_Srila_Prabhupada/01_-_Lectures/01_-_English/02_-_Month_wise/11_-_November/09/Conv_1977-11-09_R2-VRNDAVAN.MP3</t>
  </si>
  <si>
    <t>Conv_1977-11-09_R3-VRNDAVAN.MP3</t>
  </si>
  <si>
    <t>https://audio.iskcondesiretree.com/01_-_Srila_Prabhupada/01_-_Lectures/01_-_English/02_-_Month_wise/11_-_November/09/Conv_1977-11-09_R3-VRNDAVAN.MP3</t>
  </si>
  <si>
    <t>Conv_1977-11-09_R4-VRNDAVAN.MP3</t>
  </si>
  <si>
    <t>https://audio.iskcondesiretree.com/01_-_Srila_Prabhupada/01_-_Lectures/01_-_English/02_-_Month_wise/11_-_November/09/Conv_1977-11-09_R4-VRNDAVAN.MP3</t>
  </si>
  <si>
    <t>Conv_1977-11-10_R1-VRNDAVAN.MP3</t>
  </si>
  <si>
    <t>https://audio.iskcondesiretree.com/01_-_Srila_Prabhupada/01_-_Lectures/01_-_English/02_-_Month_wise/11_-_November/10/Conv_1977-11-10_R1-VRNDAVAN.MP3</t>
  </si>
  <si>
    <t>Conv_1977-11-10_R2-VRNDAVAN.MP3</t>
  </si>
  <si>
    <t>https://audio.iskcondesiretree.com/01_-_Srila_Prabhupada/01_-_Lectures/01_-_English/02_-_Month_wise/11_-_November/10/Conv_1977-11-10_R2-VRNDAVAN.MP3</t>
  </si>
  <si>
    <t>Conv_1977-11-10_R3-VRNDAVAN.MP3</t>
  </si>
  <si>
    <t>https://audio.iskcondesiretree.com/01_-_Srila_Prabhupada/01_-_Lectures/01_-_English/02_-_Month_wise/11_-_November/10/Conv_1977-11-10_R3-VRNDAVAN.MP3</t>
  </si>
  <si>
    <t>Conv_1977-11-11_R1-VRNDAVAN.MP3</t>
  </si>
  <si>
    <t>https://audio.iskcondesiretree.com/01_-_Srila_Prabhupada/01_-_Lectures/01_-_English/02_-_Month_wise/11_-_November/11/Conv_1977-11-11_R1-VRNDAVAN.MP3</t>
  </si>
  <si>
    <t>Conv_1977-11-12_R1-VRNDAVAN.MP3</t>
  </si>
  <si>
    <t>https://audio.iskcondesiretree.com/01_-_Srila_Prabhupada/01_-_Lectures/01_-_English/02_-_Month_wise/11_-_November/12/Conv_1977-11-12_R1-VRNDAVAN.MP3</t>
  </si>
  <si>
    <t>Conv_1977-11-12_R2-VRNDAVAN.MP3</t>
  </si>
  <si>
    <t>https://audio.iskcondesiretree.com/01_-_Srila_Prabhupada/01_-_Lectures/01_-_English/02_-_Month_wise/11_-_November/12/Conv_1977-11-12_R2-VRNDAVAN.MP3</t>
  </si>
  <si>
    <t>Conv_1977-11-13_R1-VRNDAVAN.MP3</t>
  </si>
  <si>
    <t>https://audio.iskcondesiretree.com/01_-_Srila_Prabhupada/01_-_Lectures/01_-_English/02_-_Month_wise/11_-_November/13/Conv_1977-11-13_R1-VRNDAVAN.MP3</t>
  </si>
  <si>
    <t>Conv_1977-11-13_R2-VRNDAVAN.MP3</t>
  </si>
  <si>
    <t>https://audio.iskcondesiretree.com/01_-_Srila_Prabhupada/01_-_Lectures/01_-_English/02_-_Month_wise/11_-_November/13/Conv_1977-11-13_R2-VRNDAVAN.MP3</t>
  </si>
  <si>
    <t>ChantingDisappNight_1977-11-14_SP-VRNDAVAN.MP3</t>
  </si>
  <si>
    <t>https://audio.iskcondesiretree.com/01_-_Srila_Prabhupada/01_-_Lectures/01_-_English/02_-_Month_wise/11_-_November/14/ChantingDisappNight_1977-11-14_SP-VRNDAVAN.MP3</t>
  </si>
  <si>
    <t>PrabhupadaVigil_1977-11-14_VG-VRNDAVAN.MP3</t>
  </si>
  <si>
    <t>https://audio.iskcondesiretree.com/01_-_Srila_Prabhupada/01_-_Lectures/01_-_English/02_-_Month_wise/11_-_November/14/PrabhupadaVigil_1977-11-14_VG-VRNDAVAN.MP3</t>
  </si>
  <si>
    <t>VrindavanProcession_1977-11-15_SP-VRNDAVAN.MP3</t>
  </si>
  <si>
    <t>https://audio.iskcondesiretree.com/01_-_Srila_Prabhupada/01_-_Lectures/01_-_English/02_-_Month_wise/11_-_November/15/VrindavanProcession_1977-11-15_SP-VRNDAVAN.MP3</t>
  </si>
  <si>
    <t>SP_Lecture_New_York_1966-05-00_Getting_the_Higher_Taste--Control_the_Tongue.mp3</t>
  </si>
  <si>
    <t>1966-05-00</t>
  </si>
  <si>
    <t>https://audio.iskcondesiretree.com/01_-_Srila_Prabhupada/01_-_Lectures/01_-_English/01_-_Topic_wise/Various/SP_Lecture_New_York_1966-05-00_Getting_the_Higher_Taste--Control_the_Tongue.mp3</t>
  </si>
  <si>
    <t>SP_Festivals_San_Francisco_1968-03-00_Advent_of_Ramacandra--Code_for_the--etc.mp3</t>
  </si>
  <si>
    <t>1968-03-00</t>
  </si>
  <si>
    <t>https://audio.iskcondesiretree.com/01_-_Srila_Prabhupada/01_-_Lectures/01_-_English/01_-_Topic_wise/Festivals/SP_Festivals_San_Francisco_1968-03-00_Advent_of_Ramacandra--Code_for_the--etc.mp3</t>
  </si>
  <si>
    <t>SP_BG_00-04_Los_Angeles_1968-23-11_Intro_to_Bhagavad_Gita--etc.mp3</t>
  </si>
  <si>
    <t>1968-23-11</t>
  </si>
  <si>
    <t>https://audio.iskcondesiretree.com/01_-_Srila_Prabhupada/01_-_Lectures/01_-_English/01_-_Topic_wise/Bhagavad_Gita/More/SP_BG_00-04_Los_Angeles_1968-23-11_Intro_to_Bhagavad_Gita--etc.mp3</t>
  </si>
  <si>
    <t>SP_BG_07-01_Los_Angeles_1969-02_Bhagavad-gita_As_It_Is--Not--etc.mp3</t>
  </si>
  <si>
    <t>1969-02_01</t>
  </si>
  <si>
    <r>
      <rPr>
        <u/>
        <sz val="11"/>
        <color rgb="FF1155CC"/>
        <rFont val="&quot;Aptos Narrow&quot;, sans-serif"/>
      </rPr>
      <t>https://audio.iskcondesiretree.com/01_-_Srila_Prabhupada/01_-_Lectures/01_-_English/01_-_Topic_wise/Bhagavad_Gita/Chapter-07/SP_BG_07-01_Los_Angeles_1969-02_Bhagavad-gita_As_It_Is--Not--etc.mp3</t>
    </r>
  </si>
  <si>
    <t>SP_Lecture_Los_Angeles_1970-02-00_Vedanta_Sutra.mp3</t>
  </si>
  <si>
    <t>1970-02-00</t>
  </si>
  <si>
    <t>https://audio.iskcondesiretree.com/01_-_Srila_Prabhupada/01_-_Lectures/01_-_English/01_-_Topic_wise/Various/SP_Lecture_Los_Angeles_1970-02-00_Vedanta_Sutra.mp3</t>
  </si>
  <si>
    <t>SP_Address_Los_Angeles_1970-10-00_Americans--Leaders_of_all_the--etc.mp3</t>
  </si>
  <si>
    <t>1970-10-00</t>
  </si>
  <si>
    <t>https://audio.iskcondesiretree.com/01_-_Srila_Prabhupada/01_-_Lectures/01_-_English/01_-_Topic_wise/Arrival_Address/SP_Address_Los_Angeles_1970-10-00_Americans--Leaders_of_all_the--etc.mp3</t>
  </si>
  <si>
    <t>SP_Address_Los_Angeles_1970-10-00_Prabhupada_Leaves_US_for_India_via_Japan.mp3</t>
  </si>
  <si>
    <t>https://audio.iskcondesiretree.com/01_-_Srila_Prabhupada/01_-_Lectures/01_-_English/01_-_Topic_wise/Arrival_Address/SP_Address_Los_Angeles_1970-10-00_Prabhupada_Leaves_US_for_India_via_Japan.mp3</t>
  </si>
  <si>
    <t>Bhagavad_Gita_Recitation</t>
  </si>
  <si>
    <t>SP_BG_Recitation_Chapter-01_-_Sanskrit.mp3</t>
  </si>
  <si>
    <t>https://audio.iskcondesiretree.com/01_-_Srila_Prabhupada/01_-_Lectures/01_-_English/01_-_Topic_wise/Bhagavad_Gita_Recitation/SP_BG_Recitation_Chapter-01_-_Sanskrit.mp3</t>
  </si>
  <si>
    <t>SP_BG_Recitation_Chapter-02_-_Sanskrit.mp3</t>
  </si>
  <si>
    <t>https://audio.iskcondesiretree.com/01_-_Srila_Prabhupada/01_-_Lectures/01_-_English/01_-_Topic_wise/Bhagavad_Gita_Recitation/SP_BG_Recitation_Chapter-02_-_Sanskrit.mp3</t>
  </si>
  <si>
    <t>SP_BG_Recitation_Chapter-03_-_Sanskrit.mp3</t>
  </si>
  <si>
    <t>https://audio.iskcondesiretree.com/01_-_Srila_Prabhupada/01_-_Lectures/01_-_English/01_-_Topic_wise/Bhagavad_Gita_Recitation/SP_BG_Recitation_Chapter-03_-_Sanskrit.mp3</t>
  </si>
  <si>
    <t>SP_BG_Recitation_Chapter-04_-_Sanskrit.mp3</t>
  </si>
  <si>
    <t>https://audio.iskcondesiretree.com/01_-_Srila_Prabhupada/01_-_Lectures/01_-_English/01_-_Topic_wise/Bhagavad_Gita_Recitation/SP_BG_Recitation_Chapter-04_-_Sanskrit.mp3</t>
  </si>
  <si>
    <t>SP_BG_Recitation_Chapter-05_-_Sanskrit.mp3</t>
  </si>
  <si>
    <t>https://audio.iskcondesiretree.com/01_-_Srila_Prabhupada/01_-_Lectures/01_-_English/01_-_Topic_wise/Bhagavad_Gita_Recitation/SP_BG_Recitation_Chapter-05_-_Sanskrit.mp3</t>
  </si>
  <si>
    <t>SP_BG_Recitation_Chapter-06_-_Sanskrit.mp3</t>
  </si>
  <si>
    <t>https://audio.iskcondesiretree.com/01_-_Srila_Prabhupada/01_-_Lectures/01_-_English/01_-_Topic_wise/Bhagavad_Gita_Recitation/SP_BG_Recitation_Chapter-06_-_Sanskrit.mp3</t>
  </si>
  <si>
    <t>SP_BG_Recitation_Chapter-07_-_Sanskrit.mp3</t>
  </si>
  <si>
    <t>https://audio.iskcondesiretree.com/01_-_Srila_Prabhupada/01_-_Lectures/01_-_English/01_-_Topic_wise/Bhagavad_Gita_Recitation/SP_BG_Recitation_Chapter-07_-_Sanskrit.mp3</t>
  </si>
  <si>
    <t>SP_BG_Recitation_Chapter-08_-_Sanskrit.mp3</t>
  </si>
  <si>
    <t>https://audio.iskcondesiretree.com/01_-_Srila_Prabhupada/01_-_Lectures/01_-_English/01_-_Topic_wise/Bhagavad_Gita_Recitation/SP_BG_Recitation_Chapter-08_-_Sanskrit.mp3</t>
  </si>
  <si>
    <t>SP_BG_Recitation_Chapter-09_-_Sanskrit.mp3</t>
  </si>
  <si>
    <t>https://audio.iskcondesiretree.com/01_-_Srila_Prabhupada/01_-_Lectures/01_-_English/01_-_Topic_wise/Bhagavad_Gita_Recitation/SP_BG_Recitation_Chapter-09_-_Sanskrit.mp3</t>
  </si>
  <si>
    <t>SP_BG_Recitation_Chapter-10_-_Sanskrit.mp3</t>
  </si>
  <si>
    <t>https://audio.iskcondesiretree.com/01_-_Srila_Prabhupada/01_-_Lectures/01_-_English/01_-_Topic_wise/Bhagavad_Gita_Recitation/SP_BG_Recitation_Chapter-10_-_Sanskrit.mp3</t>
  </si>
  <si>
    <t>SP_BG_Recitation_Chapter-11_-_Sanskrit.mp3</t>
  </si>
  <si>
    <t>https://audio.iskcondesiretree.com/01_-_Srila_Prabhupada/01_-_Lectures/01_-_English/01_-_Topic_wise/Bhagavad_Gita_Recitation/SP_BG_Recitation_Chapter-11_-_Sanskrit.mp3</t>
  </si>
  <si>
    <t>Happening</t>
  </si>
  <si>
    <t>01-AC_Bhaktivedanta_Swami_-_Hare_Krishna_Mantra_Chant.mp3</t>
  </si>
  <si>
    <t>https://audio.iskcondesiretree.com/01_-_Srila_Prabhupada/01_-_Lectures/01_-_English/01_-_Topic_wise/Happening/01-AC_Bhaktivedanta_Swami_-_Hare_Krishna_Mantra_Chant.mp3</t>
  </si>
  <si>
    <t>02-AC_Bhaktivedanta_Swami_-_Address_of_Swami_AC_Bhaktivedanta.mp3</t>
  </si>
  <si>
    <t>https://audio.iskcondesiretree.com/01_-_Srila_Prabhupada/01_-_Lectures/01_-_English/01_-_Topic_wise/Happening/02-AC_Bhaktivedanta_Swami_-_Address_of_Swami_AC_Bhaktivedanta.mp3</t>
  </si>
  <si>
    <t>03-AC_Bhaktivedanta_Swami_-_Chant_to_the_Mercy_of_the_Spiritual_Master.mp3</t>
  </si>
  <si>
    <t>https://audio.iskcondesiretree.com/01_-_Srila_Prabhupada/01_-_Lectures/01_-_English/01_-_Topic_wise/Happening/03-AC_Bhaktivedanta_Swami_-_Chant_to_the_Mercy_of_the_Spiritual_Master.mp3</t>
  </si>
  <si>
    <t>Krishna_Book</t>
  </si>
  <si>
    <t>SP_Krsna_Book_Dict_00_-_Introduction.mp3</t>
  </si>
  <si>
    <t>https://audio.iskcondesiretree.com/01_-_Srila_Prabhupada/01_-_Lectures/01_-_English/01_-_Topic_wise/Krishna_Book/SP_Krsna_Book_Dict_00_-_Introduction.mp3</t>
  </si>
  <si>
    <t>SP_Krsna_Book_Dict_01_-_The_Advent_of_Lord_Krishna.mp3</t>
  </si>
  <si>
    <t>https://audio.iskcondesiretree.com/01_-_Srila_Prabhupada/01_-_Lectures/01_-_English/01_-_Topic_wise/Krishna_Book/SP_Krsna_Book_Dict_01_-_The_Advent_of_Lord_Krishna.mp3</t>
  </si>
  <si>
    <t>SP_Krsna_Book_Dict_02_-_Prayers_by_the_Demigods.mp3</t>
  </si>
  <si>
    <t>https://audio.iskcondesiretree.com/01_-_Srila_Prabhupada/01_-_Lectures/01_-_English/01_-_Topic_wise/Krishna_Book/SP_Krsna_Book_Dict_02_-_Prayers_by_the_Demigods.mp3</t>
  </si>
  <si>
    <t>SP_Krsna_Book_Dict_03_-_The_Birth_of_Lord_Krishna.mp3</t>
  </si>
  <si>
    <t>https://audio.iskcondesiretree.com/01_-_Srila_Prabhupada/01_-_Lectures/01_-_English/01_-_Topic_wise/Krishna_Book/SP_Krsna_Book_Dict_03_-_The_Birth_of_Lord_Krishna.mp3</t>
  </si>
  <si>
    <t>SP_Krsna_Book_Dict_04_-_Kamsa_Begins_His_Persecutions.mp3</t>
  </si>
  <si>
    <t>https://audio.iskcondesiretree.com/01_-_Srila_Prabhupada/01_-_Lectures/01_-_English/01_-_Topic_wise/Krishna_Book/SP_Krsna_Book_Dict_04_-_Kamsa_Begins_His_Persecutions.mp3</t>
  </si>
  <si>
    <t>SP_Krsna_Book_Dict_05_-_The_Meeting_of_Nanda_and_Vasudeva.mp3</t>
  </si>
  <si>
    <t>https://audio.iskcondesiretree.com/01_-_Srila_Prabhupada/01_-_Lectures/01_-_English/01_-_Topic_wise/Krishna_Book/SP_Krsna_Book_Dict_05_-_The_Meeting_of_Nanda_and_Vasudeva.mp3</t>
  </si>
  <si>
    <t>SP_Krsna_Book_Dict_06_-_Putana_Killed.mp3</t>
  </si>
  <si>
    <t>https://audio.iskcondesiretree.com/01_-_Srila_Prabhupada/01_-_Lectures/01_-_English/01_-_Topic_wise/Krishna_Book/SP_Krsna_Book_Dict_06_-_Putana_Killed.mp3</t>
  </si>
  <si>
    <t>SP_Krsna_Book_Dict_07_-_Salvation_of_Trnavarta.mp3</t>
  </si>
  <si>
    <t>https://audio.iskcondesiretree.com/01_-_Srila_Prabhupada/01_-_Lectures/01_-_English/01_-_Topic_wise/Krishna_Book/SP_Krsna_Book_Dict_07_-_Salvation_of_Trnavarta.mp3</t>
  </si>
  <si>
    <t>SP_Krsna_Book_Dict_08_-_Vision_of_the_Universal_Form.mp3</t>
  </si>
  <si>
    <t>https://audio.iskcondesiretree.com/01_-_Srila_Prabhupada/01_-_Lectures/01_-_English/01_-_Topic_wise/Krishna_Book/SP_Krsna_Book_Dict_08_-_Vision_of_the_Universal_Form.mp3</t>
  </si>
  <si>
    <t>SP_Krsna_Book_Dict_09_-_Mother_Yasoda_Binds_Krishna.mp3</t>
  </si>
  <si>
    <t>https://audio.iskcondesiretree.com/01_-_Srila_Prabhupada/01_-_Lectures/01_-_English/01_-_Topic_wise/Krishna_Book/SP_Krsna_Book_Dict_09_-_Mother_Yasoda_Binds_Krishna.mp3</t>
  </si>
  <si>
    <t>SP_Krsna_Book_Dict_10_-_The_Deliverance_of_Nalakuvera.mp3</t>
  </si>
  <si>
    <t>https://audio.iskcondesiretree.com/01_-_Srila_Prabhupada/01_-_Lectures/01_-_English/01_-_Topic_wise/Krishna_Book/SP_Krsna_Book_Dict_10_-_The_Deliverance_of_Nalakuvera.mp3</t>
  </si>
  <si>
    <t>SP_Krsna_Book_Dict_11_-_The_Killing_Vatsasura_and_Bakasura.mp3</t>
  </si>
  <si>
    <t>https://audio.iskcondesiretree.com/01_-_Srila_Prabhupada/01_-_Lectures/01_-_English/01_-_Topic_wise/Krishna_Book/SP_Krsna_Book_Dict_11_-_The_Killing_Vatsasura_and_Bakasura.mp3</t>
  </si>
  <si>
    <t>SP_Krsna_Book_Dict_12_-_The_Killing_of_the_Aghasura_Demon.mp3</t>
  </si>
  <si>
    <t>https://audio.iskcondesiretree.com/01_-_Srila_Prabhupada/01_-_Lectures/01_-_English/01_-_Topic_wise/Krishna_Book/SP_Krsna_Book_Dict_12_-_The_Killing_of_the_Aghasura_Demon.mp3</t>
  </si>
  <si>
    <t>SP_Krsna_Book_Dict_13_-_The_Stealing_of_the_Boys_and_Calves.mp3</t>
  </si>
  <si>
    <t>https://audio.iskcondesiretree.com/01_-_Srila_Prabhupada/01_-_Lectures/01_-_English/01_-_Topic_wise/Krishna_Book/SP_Krsna_Book_Dict_13_-_The_Stealing_of_the_Boys_and_Calves.mp3</t>
  </si>
  <si>
    <t>SP_Krsna_Book_Dict_14_-_Prayers_Offered_by_Lord_Brahma.mp3</t>
  </si>
  <si>
    <t>https://audio.iskcondesiretree.com/01_-_Srila_Prabhupada/01_-_Lectures/01_-_English/01_-_Topic_wise/Krishna_Book/SP_Krsna_Book_Dict_14_-_Prayers_Offered_by_Lord_Brahma.mp3</t>
  </si>
  <si>
    <t>SP_Krsna_Book_Dict_15_-_The_Killing_of_Dhenukasura.mp3</t>
  </si>
  <si>
    <t>https://audio.iskcondesiretree.com/01_-_Srila_Prabhupada/01_-_Lectures/01_-_English/01_-_Topic_wise/Krishna_Book/SP_Krsna_Book_Dict_15_-_The_Killing_of_Dhenukasura.mp3</t>
  </si>
  <si>
    <t>SP_Krsna_Book_Dict_16_-_The_Subduing_Kaliya.mp3</t>
  </si>
  <si>
    <t>https://audio.iskcondesiretree.com/01_-_Srila_Prabhupada/01_-_Lectures/01_-_English/01_-_Topic_wise/Krishna_Book/SP_Krsna_Book_Dict_16_-_The_Subduing_Kaliya.mp3</t>
  </si>
  <si>
    <t>SP_Krsna_Book_Dict_17_-_Extinguishing_the_Forest_Fire.mp3</t>
  </si>
  <si>
    <t>https://audio.iskcondesiretree.com/01_-_Srila_Prabhupada/01_-_Lectures/01_-_English/01_-_Topic_wise/Krishna_Book/SP_Krsna_Book_Dict_17_-_Extinguishing_the_Forest_Fire.mp3</t>
  </si>
  <si>
    <t>SP_Krsna_Book_Dict_18_-_The_Killing_the_Demon_Pralambasura.mp3</t>
  </si>
  <si>
    <t>https://audio.iskcondesiretree.com/01_-_Srila_Prabhupada/01_-_Lectures/01_-_English/01_-_Topic_wise/Krishna_Book/SP_Krsna_Book_Dict_18_-_The_Killing_the_Demon_Pralambasura.mp3</t>
  </si>
  <si>
    <t>SP_Krsna_Book_Dict_19_-_Devouring_the_Forest_Fire.mp3</t>
  </si>
  <si>
    <t>https://audio.iskcondesiretree.com/01_-_Srila_Prabhupada/01_-_Lectures/01_-_English/01_-_Topic_wise/Krishna_Book/SP_Krsna_Book_Dict_19_-_Devouring_the_Forest_Fire.mp3</t>
  </si>
  <si>
    <t>SP_Krsna_Book_Dict_20_-_Description_of_Autumn.mp3</t>
  </si>
  <si>
    <t>https://audio.iskcondesiretree.com/01_-_Srila_Prabhupada/01_-_Lectures/01_-_English/01_-_Topic_wise/Krishna_Book/SP_Krsna_Book_Dict_20_-_Description_of_Autumn.mp3</t>
  </si>
  <si>
    <t>SP_Krsna_Book_Dict_21_-_The_Gopis_Attracted_by_the_Flute.mp3</t>
  </si>
  <si>
    <t>https://audio.iskcondesiretree.com/01_-_Srila_Prabhupada/01_-_Lectures/01_-_English/01_-_Topic_wise/Krishna_Book/SP_Krsna_Book_Dict_21_-_The_Gopis_Attracted_by_the_Flute.mp3</t>
  </si>
  <si>
    <t>SP_Krsna_Book_Dict_22_-_Stealing_the_Garments_of_the_Gopis.mp3</t>
  </si>
  <si>
    <t>https://audio.iskcondesiretree.com/01_-_Srila_Prabhupada/01_-_Lectures/01_-_English/01_-_Topic_wise/Krishna_Book/SP_Krsna_Book_Dict_22_-_Stealing_the_Garments_of_the_Gopis.mp3</t>
  </si>
  <si>
    <t>SP_Krsna_Book_Dict_23_-_Delivering_the_Brahmins%27_Wives.mp3</t>
  </si>
  <si>
    <t>https://audio.iskcondesiretree.com/01_-_Srila_Prabhupada/01_-_Lectures/01_-_English/01_-_Topic_wise/Krishna_Book/SP_Krsna_Book_Dict_23_-_Delivering_the_Brahmins%27_Wives.mp3</t>
  </si>
  <si>
    <t>SP_Krsna_Book_Dict_24_-_Worshiping_Govardhana_Hill.mp3</t>
  </si>
  <si>
    <t>https://audio.iskcondesiretree.com/01_-_Srila_Prabhupada/01_-_Lectures/01_-_English/01_-_Topic_wise/Krishna_Book/SP_Krsna_Book_Dict_24_-_Worshiping_Govardhana_Hill.mp3</t>
  </si>
  <si>
    <t>SP_Krsna_Book_Dict_25_-_Devastating_Rainfall.mp3</t>
  </si>
  <si>
    <t>https://audio.iskcondesiretree.com/01_-_Srila_Prabhupada/01_-_Lectures/01_-_English/01_-_Topic_wise/Krishna_Book/SP_Krsna_Book_Dict_25_-_Devastating_Rainfall.mp3</t>
  </si>
  <si>
    <t>SP_Krsna_Book_Dict_26_-_Wonderful_Krishna.mp3</t>
  </si>
  <si>
    <t>https://audio.iskcondesiretree.com/01_-_Srila_Prabhupada/01_-_Lectures/01_-_English/01_-_Topic_wise/Krishna_Book/SP_Krsna_Book_Dict_26_-_Wonderful_Krishna.mp3</t>
  </si>
  <si>
    <t>SP_Krsna_Book_Dict_27_-_Prayers_by_Indra.mp3</t>
  </si>
  <si>
    <t>https://audio.iskcondesiretree.com/01_-_Srila_Prabhupada/01_-_Lectures/01_-_English/01_-_Topic_wise/Krishna_Book/SP_Krsna_Book_Dict_27_-_Prayers_by_Indra.mp3</t>
  </si>
  <si>
    <t>SP_Krsna_Book_Dict_28_-_Releasing_Nanda_Maharaja.mp3</t>
  </si>
  <si>
    <t>https://audio.iskcondesiretree.com/01_-_Srila_Prabhupada/01_-_Lectures/01_-_English/01_-_Topic_wise/Krishna_Book/SP_Krsna_Book_Dict_28_-_Releasing_Nanda_Maharaja.mp3</t>
  </si>
  <si>
    <t>SP_Krsna_Book_Dict_29_-_The_Rasa_Dance_-_Introduction.mp3</t>
  </si>
  <si>
    <t>https://audio.iskcondesiretree.com/01_-_Srila_Prabhupada/01_-_Lectures/01_-_English/01_-_Topic_wise/Krishna_Book/SP_Krsna_Book_Dict_29_-_The_Rasa_Dance_-_Introduction.mp3</t>
  </si>
  <si>
    <t>SP_Krsna_Book_Dict_34_-_Vidyadhara_Liberated.mp3</t>
  </si>
  <si>
    <t>https://audio.iskcondesiretree.com/01_-_Srila_Prabhupada/01_-_Lectures/01_-_English/01_-_Topic_wise/Krishna_Book/SP_Krsna_Book_Dict_34_-_Vidyadhara_Liberated.mp3</t>
  </si>
  <si>
    <t>SP_Krsna_Book_Dict_35_-_Gopis%27_Feelings_of_Separation.mp3</t>
  </si>
  <si>
    <t>https://audio.iskcondesiretree.com/01_-_Srila_Prabhupada/01_-_Lectures/01_-_English/01_-_Topic_wise/Krishna_Book/SP_Krsna_Book_Dict_35_-_Gopis%27_Feelings_of_Separation.mp3</t>
  </si>
  <si>
    <t>SP_Krsna_Book_Dict_36_-_Kamsa_Sends_Akrura_For_Krishna.mp3</t>
  </si>
  <si>
    <t>https://audio.iskcondesiretree.com/01_-_Srila_Prabhupada/01_-_Lectures/01_-_English/01_-_Topic_wise/Krishna_Book/SP_Krsna_Book_Dict_36_-_Kamsa_Sends_Akrura_For_Krishna.mp3</t>
  </si>
  <si>
    <t>SP_Krsna_Book_Dict_37_-_The_Killing_Kesi_and_Vyomasura.mp3</t>
  </si>
  <si>
    <t>https://audio.iskcondesiretree.com/01_-_Srila_Prabhupada/01_-_Lectures/01_-_English/01_-_Topic_wise/Krishna_Book/SP_Krsna_Book_Dict_37_-_The_Killing_Kesi_and_Vyomasura.mp3</t>
  </si>
  <si>
    <t>SP_Krsna_Book_Dict_38_-_Akrura%27s_Arrival_in_Vrindavan.mp3</t>
  </si>
  <si>
    <t>https://audio.iskcondesiretree.com/01_-_Srila_Prabhupada/01_-_Lectures/01_-_English/01_-_Topic_wise/Krishna_Book/SP_Krsna_Book_Dict_38_-_Akrura%27s_Arrival_in_Vrindavan.mp3</t>
  </si>
  <si>
    <t>SP_Krsna_Book_Dict_39_-_Akrura%27s_Return_Journey.mp3</t>
  </si>
  <si>
    <t>https://audio.iskcondesiretree.com/01_-_Srila_Prabhupada/01_-_Lectures/01_-_English/01_-_Topic_wise/Krishna_Book/SP_Krsna_Book_Dict_39_-_Akrura%27s_Return_Journey.mp3</t>
  </si>
  <si>
    <t>SP_Krsna_Book_Dict_40_-_Prayers_by_Akrura.mp3</t>
  </si>
  <si>
    <t>https://audio.iskcondesiretree.com/01_-_Srila_Prabhupada/01_-_Lectures/01_-_English/01_-_Topic_wise/Krishna_Book/SP_Krsna_Book_Dict_40_-_Prayers_by_Akrura.mp3</t>
  </si>
  <si>
    <t>SP_Krsna_Book_Dict_41_-_Krishna_Enters_Mathura.mp3</t>
  </si>
  <si>
    <t>https://audio.iskcondesiretree.com/01_-_Srila_Prabhupada/01_-_Lectures/01_-_English/01_-_Topic_wise/Krishna_Book/SP_Krsna_Book_Dict_41_-_Krishna_Enters_Mathura.mp3</t>
  </si>
  <si>
    <t>SP_Krsna_Book_Dict_42_-_The_Breaking_of_the_Bow_in_the_Arena.mp3</t>
  </si>
  <si>
    <t>https://audio.iskcondesiretree.com/01_-_Srila_Prabhupada/01_-_Lectures/01_-_English/01_-_Topic_wise/Krishna_Book/SP_Krsna_Book_Dict_42_-_The_Breaking_of_the_Bow_in_the_Arena.mp3</t>
  </si>
  <si>
    <t>SP_Krsna_Book_Dict_43_-_Killing_the_Elephant_Kuvalayapida.mp3</t>
  </si>
  <si>
    <t>https://audio.iskcondesiretree.com/01_-_Srila_Prabhupada/01_-_Lectures/01_-_English/01_-_Topic_wise/Krishna_Book/SP_Krsna_Book_Dict_43_-_Killing_the_Elephant_Kuvalayapida.mp3</t>
  </si>
  <si>
    <t>SP_Krsna_Book_Dict_44_-_The_Killing_of_Kamsa.mp3</t>
  </si>
  <si>
    <t>https://audio.iskcondesiretree.com/01_-_Srila_Prabhupada/01_-_Lectures/01_-_English/01_-_Topic_wise/Krishna_Book/SP_Krsna_Book_Dict_44_-_The_Killing_of_Kamsa.mp3</t>
  </si>
  <si>
    <t>SP_Krsna_Book_Dict_45_-_Krishna_Recovers_the_Teacher%27s_Son.mp3</t>
  </si>
  <si>
    <t>https://audio.iskcondesiretree.com/01_-_Srila_Prabhupada/01_-_Lectures/01_-_English/01_-_Topic_wise/Krishna_Book/SP_Krsna_Book_Dict_45_-_Krishna_Recovers_the_Teacher%27s_Son.mp3</t>
  </si>
  <si>
    <t>SP_Krsna_Book_Dict_46_-_Uddhava_Visits_Vrindavan.mp3</t>
  </si>
  <si>
    <t>https://audio.iskcondesiretree.com/01_-_Srila_Prabhupada/01_-_Lectures/01_-_English/01_-_Topic_wise/Krishna_Book/SP_Krsna_Book_Dict_46_-_Uddhava_Visits_Vrindavan.mp3</t>
  </si>
  <si>
    <t>SP_Krsna_Book_Dict_47_-_Delivery_of_a_Message_To_the_Gopis.mp3</t>
  </si>
  <si>
    <t>https://audio.iskcondesiretree.com/01_-_Srila_Prabhupada/01_-_Lectures/01_-_English/01_-_Topic_wise/Krishna_Book/SP_Krsna_Book_Dict_47_-_Delivery_of_a_Message_To_the_Gopis.mp3</t>
  </si>
  <si>
    <t>SP_Krsna_Book_Dict_48_-_Krishna_Pleases_His_Devotees.mp3</t>
  </si>
  <si>
    <t>https://audio.iskcondesiretree.com/01_-_Srila_Prabhupada/01_-_Lectures/01_-_English/01_-_Topic_wise/Krishna_Book/SP_Krsna_Book_Dict_48_-_Krishna_Pleases_His_Devotees.mp3</t>
  </si>
  <si>
    <t>SP_Krsna_Book_Dict_49_-_Ill-Motivated_Dhrtarastra.mp3</t>
  </si>
  <si>
    <t>https://audio.iskcondesiretree.com/01_-_Srila_Prabhupada/01_-_Lectures/01_-_English/01_-_Topic_wise/Krishna_Book/SP_Krsna_Book_Dict_49_-_Ill-Motivated_Dhrtarastra.mp3</t>
  </si>
  <si>
    <t>SP_Krsna_Book_Dict_50_-_Krishna_Erects_the_Dvaraka_Fort.mp3</t>
  </si>
  <si>
    <t>https://audio.iskcondesiretree.com/01_-_Srila_Prabhupada/01_-_Lectures/01_-_English/01_-_Topic_wise/Krishna_Book/SP_Krsna_Book_Dict_50_-_Krishna_Erects_the_Dvaraka_Fort.mp3</t>
  </si>
  <si>
    <t>SP_Krsna_Book_Dict_51_-_The_Deliverance_of_Mucukunda.mp3</t>
  </si>
  <si>
    <t>https://audio.iskcondesiretree.com/01_-_Srila_Prabhupada/01_-_Lectures/01_-_English/01_-_Topic_wise/Krishna_Book/SP_Krsna_Book_Dict_51_-_The_Deliverance_of_Mucukunda.mp3</t>
  </si>
  <si>
    <t>SP_Krsna_Book_Dict_52_-_Krishna%2C_the_Ranchor.mp3</t>
  </si>
  <si>
    <t>https://audio.iskcondesiretree.com/01_-_Srila_Prabhupada/01_-_Lectures/01_-_English/01_-_Topic_wise/Krishna_Book/SP_Krsna_Book_Dict_52_-_Krishna%2C_the_Ranchor.mp3</t>
  </si>
  <si>
    <t>SP_Krsna_Book_Dict_53_-_Krishna_Kidnaps_Rukmini.mp3</t>
  </si>
  <si>
    <t>https://audio.iskcondesiretree.com/01_-_Srila_Prabhupada/01_-_Lectures/01_-_English/01_-_Topic_wise/Krishna_Book/SP_Krsna_Book_Dict_53_-_Krishna_Kidnaps_Rukmini.mp3</t>
  </si>
  <si>
    <t>SP_Krsna_Book_Dict_54_-_Krishna_Defeats_All_Princes.mp3</t>
  </si>
  <si>
    <t>https://audio.iskcondesiretree.com/01_-_Srila_Prabhupada/01_-_Lectures/01_-_English/01_-_Topic_wise/Krishna_Book/SP_Krsna_Book_Dict_54_-_Krishna_Defeats_All_Princes.mp3</t>
  </si>
  <si>
    <t>SP_Krsna_Book_Dict_55_-_Pradyumna_Born_To_Krishna.mp3</t>
  </si>
  <si>
    <t>https://audio.iskcondesiretree.com/01_-_Srila_Prabhupada/01_-_Lectures/01_-_English/01_-_Topic_wise/Krishna_Book/SP_Krsna_Book_Dict_55_-_Pradyumna_Born_To_Krishna.mp3</t>
  </si>
  <si>
    <t>SP_Krsna_Book_Dict_56_-_The_Story_of_the_Syamantaka_Jewel.mp3</t>
  </si>
  <si>
    <t>https://audio.iskcondesiretree.com/01_-_Srila_Prabhupada/01_-_Lectures/01_-_English/01_-_Topic_wise/Krishna_Book/SP_Krsna_Book_Dict_56_-_The_Story_of_the_Syamantaka_Jewel.mp3</t>
  </si>
  <si>
    <t>SP_Krsna_Book_Dict_57_-_The_Killing_Satrajit_%26_Satadhanva.mp3</t>
  </si>
  <si>
    <t>https://audio.iskcondesiretree.com/01_-_Srila_Prabhupada/01_-_Lectures/01_-_English/01_-_Topic_wise/Krishna_Book/SP_Krsna_Book_Dict_57_-_The_Killing_Satrajit_%26_Satadhanva.mp3</t>
  </si>
  <si>
    <t>SP_Krsna_Book_Dict_62_-_The_Meeting_of_Usa_and_Anirudha.mp3</t>
  </si>
  <si>
    <t>https://audio.iskcondesiretree.com/01_-_Srila_Prabhupada/01_-_Lectures/01_-_English/01_-_Topic_wise/Krishna_Book/SP_Krsna_Book_Dict_62_-_The_Meeting_of_Usa_and_Anirudha.mp3</t>
  </si>
  <si>
    <t>SP_Krsna_Book_Dict_63_-_Krishna_Fights_with_Banasura.mp3</t>
  </si>
  <si>
    <t>https://audio.iskcondesiretree.com/01_-_Srila_Prabhupada/01_-_Lectures/01_-_English/01_-_Topic_wise/Krishna_Book/SP_Krsna_Book_Dict_63_-_Krishna_Fights_with_Banasura.mp3</t>
  </si>
  <si>
    <t>SP_Krsna_Book_Dict_64_-_The_Story_of_King_Nrga.mp3</t>
  </si>
  <si>
    <t>https://audio.iskcondesiretree.com/01_-_Srila_Prabhupada/01_-_Lectures/01_-_English/01_-_Topic_wise/Krishna_Book/SP_Krsna_Book_Dict_64_-_The_Story_of_King_Nrga.mp3</t>
  </si>
  <si>
    <t>SP_Krsna_Book_Dict_65_-_Lord_Balarama_Visits_Vrindavan.mp3</t>
  </si>
  <si>
    <t>https://audio.iskcondesiretree.com/01_-_Srila_Prabhupada/01_-_Lectures/01_-_English/01_-_Topic_wise/Krishna_Book/SP_Krsna_Book_Dict_65_-_Lord_Balarama_Visits_Vrindavan.mp3</t>
  </si>
  <si>
    <t>SP_Krsna_Book_Dict_72_-_The_Liberation_of_King_Jarasandha.mp3</t>
  </si>
  <si>
    <t>https://audio.iskcondesiretree.com/01_-_Srila_Prabhupada/01_-_Lectures/01_-_English/01_-_Topic_wise/Krishna_Book/SP_Krsna_Book_Dict_72_-_The_Liberation_of_King_Jarasandha.mp3</t>
  </si>
  <si>
    <t>SP_Krsna_Book_Dict_73_-_Krishna_Returns_To_Hastinapura.mp3</t>
  </si>
  <si>
    <t>https://audio.iskcondesiretree.com/01_-_Srila_Prabhupada/01_-_Lectures/01_-_English/01_-_Topic_wise/Krishna_Book/SP_Krsna_Book_Dict_73_-_Krishna_Returns_To_Hastinapura.mp3</t>
  </si>
  <si>
    <t>SP_Krsna_Book_Dict_74_-_The_Deliverance_of_Sisupala.mp3</t>
  </si>
  <si>
    <t>https://audio.iskcondesiretree.com/01_-_Srila_Prabhupada/01_-_Lectures/01_-_English/01_-_Topic_wise/Krishna_Book/SP_Krsna_Book_Dict_74_-_The_Deliverance_of_Sisupala.mp3</t>
  </si>
  <si>
    <t>SP_Krsna_Book_Dict_75_-_Why_Duryodhana_Felt_Insulted.mp3</t>
  </si>
  <si>
    <t>https://audio.iskcondesiretree.com/01_-_Srila_Prabhupada/01_-_Lectures/01_-_English/01_-_Topic_wise/Krishna_Book/SP_Krsna_Book_Dict_75_-_Why_Duryodhana_Felt_Insulted.mp3</t>
  </si>
  <si>
    <t>SP_Krsna_Book_Dict_76_-_Battle_Between_Salva_and_the_Yadus.mp3</t>
  </si>
  <si>
    <t>https://audio.iskcondesiretree.com/01_-_Srila_Prabhupada/01_-_Lectures/01_-_English/01_-_Topic_wise/Krishna_Book/SP_Krsna_Book_Dict_76_-_Battle_Between_Salva_and_the_Yadus.mp3</t>
  </si>
  <si>
    <t>SP_Krsna_Book_Dict_77_-_The_Deliverance_of_Salva.mp3</t>
  </si>
  <si>
    <t>https://audio.iskcondesiretree.com/01_-_Srila_Prabhupada/01_-_Lectures/01_-_English/01_-_Topic_wise/Krishna_Book/SP_Krsna_Book_Dict_77_-_The_Deliverance_of_Salva.mp3</t>
  </si>
  <si>
    <t>SP_Krsna_Book_Dict_78_-_Killing_Dantavakra_and_Viduratha.mp3</t>
  </si>
  <si>
    <t>https://audio.iskcondesiretree.com/01_-_Srila_Prabhupada/01_-_Lectures/01_-_English/01_-_Topic_wise/Krishna_Book/SP_Krsna_Book_Dict_78_-_Killing_Dantavakra_and_Viduratha.mp3</t>
  </si>
  <si>
    <t>SP_Krsna_Book_Dict_79_-_The_Liberation_of_Balvala.mp3</t>
  </si>
  <si>
    <t>https://audio.iskcondesiretree.com/01_-_Srila_Prabhupada/01_-_Lectures/01_-_English/01_-_Topic_wise/Krishna_Book/SP_Krsna_Book_Dict_79_-_The_Liberation_of_Balvala.mp3</t>
  </si>
  <si>
    <t>SP_Krsna_Book_Dict_80_-_The_Meeting_of_Krishna_with_Sudama.mp3</t>
  </si>
  <si>
    <t>https://audio.iskcondesiretree.com/01_-_Srila_Prabhupada/01_-_Lectures/01_-_English/01_-_Topic_wise/Krishna_Book/SP_Krsna_Book_Dict_80_-_The_Meeting_of_Krishna_with_Sudama.mp3</t>
  </si>
  <si>
    <t>SP_Krsna_Book_Dict_81_-_Brahmana_Sudama_Benedicted.mp3</t>
  </si>
  <si>
    <t>https://audio.iskcondesiretree.com/01_-_Srila_Prabhupada/01_-_Lectures/01_-_English/01_-_Topic_wise/Krishna_Book/SP_Krsna_Book_Dict_81_-_Brahmana_Sudama_Benedicted.mp3</t>
  </si>
  <si>
    <t>SP_Krsna_Book_Dict_82_-_Meeting_the_Inhabitants_of_Vrindavan.mp3</t>
  </si>
  <si>
    <t>https://audio.iskcondesiretree.com/01_-_Srila_Prabhupada/01_-_Lectures/01_-_English/01_-_Topic_wise/Krishna_Book/SP_Krsna_Book_Dict_82_-_Meeting_the_Inhabitants_of_Vrindavan.mp3</t>
  </si>
  <si>
    <t>SP_Krsna_Book_Dict_83_-_Draupadi_Meets_Krishna%27s_Queens.mp3</t>
  </si>
  <si>
    <t>https://audio.iskcondesiretree.com/01_-_Srila_Prabhupada/01_-_Lectures/01_-_English/01_-_Topic_wise/Krishna_Book/SP_Krsna_Book_Dict_83_-_Draupadi_Meets_Krishna%27s_Queens.mp3</t>
  </si>
  <si>
    <t>SP_Krsna_Book_Dict_84_-_The_Sacrifices_Performed_by_Vasudeva.mp3</t>
  </si>
  <si>
    <t>https://audio.iskcondesiretree.com/01_-_Srila_Prabhupada/01_-_Lectures/01_-_English/01_-_Topic_wise/Krishna_Book/SP_Krsna_Book_Dict_84_-_The_Sacrifices_Performed_by_Vasudeva.mp3</t>
  </si>
  <si>
    <t>SP_Krsna_Book_Dict_85_-_Instructions_For_Vasudeva.mp3</t>
  </si>
  <si>
    <t>https://audio.iskcondesiretree.com/01_-_Srila_Prabhupada/01_-_Lectures/01_-_English/01_-_Topic_wise/Krishna_Book/SP_Krsna_Book_Dict_85_-_Instructions_For_Vasudeva.mp3</t>
  </si>
  <si>
    <t>SP_Krsna_Book_Dict_86_-_The_Kidnapping_of_Subhadra.mp3</t>
  </si>
  <si>
    <t>https://audio.iskcondesiretree.com/01_-_Srila_Prabhupada/01_-_Lectures/01_-_English/01_-_Topic_wise/Krishna_Book/SP_Krsna_Book_Dict_86_-_The_Kidnapping_of_Subhadra.mp3</t>
  </si>
  <si>
    <t>SP_Krsna_Book_Dict_87_-_Prayers_by_the_Personified_Vedas.mp3</t>
  </si>
  <si>
    <t>https://audio.iskcondesiretree.com/01_-_Srila_Prabhupada/01_-_Lectures/01_-_English/01_-_Topic_wise/Krishna_Book/SP_Krsna_Book_Dict_87_-_Prayers_by_the_Personified_Vedas.mp3</t>
  </si>
  <si>
    <t>SP_Krsna_Book_Dict_88_-_The_Deliverance_of_Lord_Shiva.mp3</t>
  </si>
  <si>
    <t>https://audio.iskcondesiretree.com/01_-_Srila_Prabhupada/01_-_Lectures/01_-_English/01_-_Topic_wise/Krishna_Book/SP_Krsna_Book_Dict_88_-_The_Deliverance_of_Lord_Shiva.mp3</t>
  </si>
  <si>
    <t>SP_Krsna_Book_Dict_89_-_The_Superexcellent_Power_of_Krishna.mp3</t>
  </si>
  <si>
    <t>https://audio.iskcondesiretree.com/01_-_Srila_Prabhupada/01_-_Lectures/01_-_English/01_-_Topic_wise/Krishna_Book/SP_Krsna_Book_Dict_89_-_The_Superexcellent_Power_of_Krishna.mp3</t>
  </si>
  <si>
    <t>SP_Krsna_Book_Dict_90_-_Summary_Description.mp3</t>
  </si>
  <si>
    <t>https://audio.iskcondesiretree.com/01_-_Srila_Prabhupada/01_-_Lectures/01_-_English/01_-_Topic_wise/Krishna_Book/SP_Krsna_Book_Dict_90_-_Summary_Description.mp3</t>
  </si>
  <si>
    <t>Stories</t>
  </si>
  <si>
    <t>SP_Story_01_Introduction.mp3</t>
  </si>
  <si>
    <t>https://audio.iskcondesiretree.com/01_-_Srila_Prabhupada/01_-_Lectures/01_-_English/01_-_Topic_wise/Stories/SP_Story_01_Introduction.mp3</t>
  </si>
  <si>
    <t>SP_Story_02_Again_become_mouse.mp3</t>
  </si>
  <si>
    <t>https://audio.iskcondesiretree.com/01_-_Srila_Prabhupada/01_-_Lectures/01_-_English/01_-_Topic_wise/Stories/SP_Story_02_Again_become_mouse.mp3</t>
  </si>
  <si>
    <t>SP_Story_03_Alexander_the_Great.mp3</t>
  </si>
  <si>
    <t>https://audio.iskcondesiretree.com/01_-_Srila_Prabhupada/01_-_Lectures/01_-_English/01_-_Topic_wise/Stories/SP_Story_03_Alexander_the_Great.mp3</t>
  </si>
  <si>
    <t>SP_Story_04_Arjunacarya.mp3</t>
  </si>
  <si>
    <t>https://audio.iskcondesiretree.com/01_-_Srila_Prabhupada/01_-_Lectures/01_-_English/01_-_Topic_wise/Stories/SP_Story_04_Arjunacarya.mp3</t>
  </si>
  <si>
    <t>SP_Story_05_Bilvamangala_Thakura.mp3</t>
  </si>
  <si>
    <t>https://audio.iskcondesiretree.com/01_-_Srila_Prabhupada/01_-_Lectures/01_-_English/01_-_Topic_wise/Stories/SP_Story_05_Bilvamangala_Thakura.mp3</t>
  </si>
  <si>
    <t>SP_Story_06_Birds_in_net.mp3</t>
  </si>
  <si>
    <t>https://audio.iskcondesiretree.com/01_-_Srila_Prabhupada/01_-_Lectures/01_-_English/01_-_Topic_wise/Stories/SP_Story_06_Birds_in_net.mp3</t>
  </si>
  <si>
    <t>SP_Story_07_The_Brahmana_and_the_Cobbler.mp3</t>
  </si>
  <si>
    <t>https://audio.iskcondesiretree.com/01_-_Srila_Prabhupada/01_-_Lectures/01_-_English/01_-_Topic_wise/Stories/SP_Story_07_The_Brahmana_and_the_Cobbler.mp3</t>
  </si>
  <si>
    <t>SP_Story_08_Can%27t_can%27t_can%27t.mp3</t>
  </si>
  <si>
    <t>https://audio.iskcondesiretree.com/01_-_Srila_Prabhupada/01_-_Lectures/01_-_English/01_-_Topic_wise/Stories/SP_Story_08_Can%27t_can%27t_can%27t.mp3</t>
  </si>
  <si>
    <t>SP_Story_09_Cut_coat_tails.mp3</t>
  </si>
  <si>
    <t>https://audio.iskcondesiretree.com/01_-_Srila_Prabhupada/01_-_Lectures/01_-_English/01_-_Topic_wise/Stories/SP_Story_09_Cut_coat_tails.mp3</t>
  </si>
  <si>
    <t>SP_Story_10_Dina_bandhu_dada.mp3</t>
  </si>
  <si>
    <t>https://audio.iskcondesiretree.com/01_-_Srila_Prabhupada/01_-_Lectures/01_-_English/01_-_Topic_wise/Stories/SP_Story_10_Dina_bandhu_dada.mp3</t>
  </si>
  <si>
    <t>SP_Story_11_Don%27t_live_don%27t_die.mp3</t>
  </si>
  <si>
    <t>https://audio.iskcondesiretree.com/01_-_Srila_Prabhupada/01_-_Lectures/01_-_English/01_-_Topic_wise/Stories/SP_Story_11_Don%27t_live_don%27t_die.mp3</t>
  </si>
  <si>
    <t>SP_Story_12_Dr.mp3</t>
  </si>
  <si>
    <t>https://audio.iskcondesiretree.com/01_-_Srila_Prabhupada/01_-_Lectures/01_-_English/01_-_Topic_wise/Stories/SP_Story_12_Dr.mp3</t>
  </si>
  <si>
    <t>SP_Story_13_Feeding_market_people.mp3</t>
  </si>
  <si>
    <t>https://audio.iskcondesiretree.com/01_-_Srila_Prabhupada/01_-_Lectures/01_-_English/01_-_Topic_wise/Stories/SP_Story_13_Feeding_market_people.mp3</t>
  </si>
  <si>
    <t>SP_Story_14_Gandhari_Duryodhana_Krsna.mp3</t>
  </si>
  <si>
    <t>https://audio.iskcondesiretree.com/01_-_Srila_Prabhupada/01_-_Lectures/01_-_English/01_-_Topic_wise/Stories/SP_Story_14_Gandhari_Duryodhana_Krsna.mp3</t>
  </si>
  <si>
    <t>SP_Story_15_Ghost_ghost.mp3</t>
  </si>
  <si>
    <t>https://audio.iskcondesiretree.com/01_-_Srila_Prabhupada/01_-_Lectures/01_-_English/01_-_Topic_wise/Stories/SP_Story_15_Ghost_ghost.mp3</t>
  </si>
  <si>
    <t>SP_Story_16_Glad_stone.mp3</t>
  </si>
  <si>
    <t>https://audio.iskcondesiretree.com/01_-_Srila_Prabhupada/01_-_Lectures/01_-_English/01_-_Topic_wise/Stories/SP_Story_16_Glad_stone.mp3</t>
  </si>
  <si>
    <t>SP_Story_17_Mahabharata.mp3</t>
  </si>
  <si>
    <t>https://audio.iskcondesiretree.com/01_-_Srila_Prabhupada/01_-_Lectures/01_-_English/01_-_Topic_wise/Stories/SP_Story_17_Mahabharata.mp3</t>
  </si>
  <si>
    <t>SP_Story_18_Stool_and_urine.mp3</t>
  </si>
  <si>
    <t>https://audio.iskcondesiretree.com/01_-_Srila_Prabhupada/01_-_Lectures/01_-_English/01_-_Topic_wise/Stories/SP_Story_18_Stool_and_urine.mp3</t>
  </si>
  <si>
    <t>SP_Story_19_Illiterate_brahmana.mp3</t>
  </si>
  <si>
    <t>https://audio.iskcondesiretree.com/01_-_Srila_Prabhupada/01_-_Lectures/01_-_English/01_-_Topic_wise/Stories/SP_Story_19_Illiterate_brahmana.mp3</t>
  </si>
  <si>
    <t>SP_Story_20_Jackal_king.mp3</t>
  </si>
  <si>
    <t>https://audio.iskcondesiretree.com/01_-_Srila_Prabhupada/01_-_Lectures/01_-_English/01_-_Topic_wise/Stories/SP_Story_20_Jackal_king.mp3</t>
  </si>
  <si>
    <t>SP_Story_21_King_and_ass.mp3</t>
  </si>
  <si>
    <t>https://audio.iskcondesiretree.com/01_-_Srila_Prabhupada/01_-_Lectures/01_-_English/01_-_Topic_wise/Stories/SP_Story_21_King_and_ass.mp3</t>
  </si>
  <si>
    <t>SP_Story_22_Krsna_breaking_promise.mp3</t>
  </si>
  <si>
    <t>https://audio.iskcondesiretree.com/01_-_Srila_Prabhupada/01_-_Lectures/01_-_English/01_-_Topic_wise/Stories/SP_Story_22_Krsna_breaking_promise.mp3</t>
  </si>
  <si>
    <t>SP_Story_23_European_Krsna_is_God.mp3</t>
  </si>
  <si>
    <t>https://audio.iskcondesiretree.com/01_-_Srila_Prabhupada/01_-_Lectures/01_-_English/01_-_Topic_wise/Stories/SP_Story_23_European_Krsna_is_God.mp3</t>
  </si>
  <si>
    <t>SP_Story_24_Jayan_and_a_looks_like_Sri_Caitanya_Mahaprabhu.mp3</t>
  </si>
  <si>
    <t>https://audio.iskcondesiretree.com/01_-_Srila_Prabhupada/01_-_Lectures/01_-_English/01_-_Topic_wise/Stories/SP_Story_24_Jayan_and_a_looks_like_Sri_Caitanya_Mahaprabhu.mp3</t>
  </si>
  <si>
    <t>SP_Story_25_Krsna%27s_headache.mp3</t>
  </si>
  <si>
    <t>https://audio.iskcondesiretree.com/01_-_Srila_Prabhupada/01_-_Lectures/01_-_English/01_-_Topic_wise/Stories/SP_Story_25_Krsna%27s_headache.mp3</t>
  </si>
  <si>
    <t>SP_Story_26_Lady_carrying_sticks_on_head.mp3</t>
  </si>
  <si>
    <t>https://audio.iskcondesiretree.com/01_-_Srila_Prabhupada/01_-_Lectures/01_-_English/01_-_Topic_wise/Stories/SP_Story_26_Lady_carrying_sticks_on_head.mp3</t>
  </si>
  <si>
    <t>SP_Story_27_Liquid_Beauty.mp3</t>
  </si>
  <si>
    <t>https://audio.iskcondesiretree.com/01_-_Srila_Prabhupada/01_-_Lectures/01_-_English/01_-_Topic_wise/Stories/SP_Story_27_Liquid_Beauty.mp3</t>
  </si>
  <si>
    <t>SP_Story_28_Mira_bhai_%26_Rupa_Gosvami.mp3</t>
  </si>
  <si>
    <t>https://audio.iskcondesiretree.com/01_-_Srila_Prabhupada/01_-_Lectures/01_-_English/01_-_Topic_wise/Stories/SP_Story_28_Mira_bhai_%26_Rupa_Gosvami.mp3</t>
  </si>
  <si>
    <t>SP_Story_29_Monkey_and_log.mp3</t>
  </si>
  <si>
    <t>https://audio.iskcondesiretree.com/01_-_Srila_Prabhupada/01_-_Lectures/01_-_English/01_-_Topic_wise/Stories/SP_Story_29_Monkey_and_log.mp3</t>
  </si>
  <si>
    <t>SP_Story_30_Mrgari_the_hunter.mp3</t>
  </si>
  <si>
    <t>https://audio.iskcondesiretree.com/01_-_Srila_Prabhupada/01_-_Lectures/01_-_English/01_-_Topic_wise/Stories/SP_Story_30_Mrgari_the_hunter.mp3</t>
  </si>
  <si>
    <t>SP_Story_31_Potter.mp3</t>
  </si>
  <si>
    <t>https://audio.iskcondesiretree.com/01_-_Srila_Prabhupada/01_-_Lectures/01_-_English/01_-_Topic_wise/Stories/SP_Story_31_Potter.mp3</t>
  </si>
  <si>
    <t>SP_Story_32_Radha_and_Krsna_at_Kuruksetra.mp3</t>
  </si>
  <si>
    <t>https://audio.iskcondesiretree.com/01_-_Srila_Prabhupada/01_-_Lectures/01_-_English/01_-_Topic_wise/Stories/SP_Story_32_Radha_and_Krsna_at_Kuruksetra.mp3</t>
  </si>
  <si>
    <t>SP_Story_33_Saksi_Gopala.mp3</t>
  </si>
  <si>
    <t>https://audio.iskcondesiretree.com/01_-_Srila_Prabhupada/01_-_Lectures/01_-_English/01_-_Topic_wise/Stories/SP_Story_33_Saksi_Gopala.mp3</t>
  </si>
  <si>
    <t>SP_Story_34_Sanatana_%26_Radharani.mp3</t>
  </si>
  <si>
    <t>https://audio.iskcondesiretree.com/01_-_Srila_Prabhupada/01_-_Lectures/01_-_English/01_-_Topic_wise/Stories/SP_Story_34_Sanatana_%26_Radharani.mp3</t>
  </si>
  <si>
    <t>SP_Story_35_Scholar_and_the_boatman.mp3</t>
  </si>
  <si>
    <t>https://audio.iskcondesiretree.com/01_-_Srila_Prabhupada/01_-_Lectures/01_-_English/01_-_Topic_wise/Stories/SP_Story_35_Scholar_and_the_boatman.mp3</t>
  </si>
  <si>
    <t>SP_Story_36_Shah_Jahan.mp3</t>
  </si>
  <si>
    <t>https://audio.iskcondesiretree.com/01_-_Srila_Prabhupada/01_-_Lectures/01_-_English/01_-_Topic_wise/Stories/SP_Story_36_Shah_Jahan.mp3</t>
  </si>
  <si>
    <t>SP_Story_37_Siva_Parvati_watermelon.mp3</t>
  </si>
  <si>
    <t>https://audio.iskcondesiretree.com/01_-_Srila_Prabhupada/01_-_Lectures/01_-_English/01_-_Topic_wise/Stories/SP_Story_37_Siva_Parvati_watermelon.mp3</t>
  </si>
  <si>
    <t>SP_Story_38_16000_wives.mp3</t>
  </si>
  <si>
    <t>https://audio.iskcondesiretree.com/01_-_Srila_Prabhupada/01_-_Lectures/01_-_English/01_-_Topic_wise/Stories/SP_Story_38_16000_wives.mp3</t>
  </si>
  <si>
    <t>SP_Story_39_Smearing_stool.mp3</t>
  </si>
  <si>
    <t>https://audio.iskcondesiretree.com/01_-_Srila_Prabhupada/01_-_Lectures/01_-_English/01_-_Topic_wise/Stories/SP_Story_39_Smearing_stool.mp3</t>
  </si>
  <si>
    <t>SP_Story_40_Savitri.mp3</t>
  </si>
  <si>
    <t>https://audio.iskcondesiretree.com/01_-_Srila_Prabhupada/01_-_Lectures/01_-_English/01_-_Topic_wise/Stories/SP_Story_40_Savitri.mp3</t>
  </si>
  <si>
    <t>SP_Story_41_Thief_to_Vrindavana.mp3</t>
  </si>
  <si>
    <t>https://audio.iskcondesiretree.com/01_-_Srila_Prabhupada/01_-_Lectures/01_-_English/01_-_Topic_wise/Stories/SP_Story_41_Thief_to_Vrindavana.mp3</t>
  </si>
  <si>
    <t>SP_Story_42_Vastrana_lila.mp3</t>
  </si>
  <si>
    <t>https://audio.iskcondesiretree.com/01_-_Srila_Prabhupada/01_-_Lectures/01_-_English/01_-_Topic_wise/Stories/SP_Story_42_Vastrana_lila.mp3</t>
  </si>
  <si>
    <t>SP_Story_43_Visvamitra_Muni.mp3</t>
  </si>
  <si>
    <t>https://audio.iskcondesiretree.com/01_-_Srila_Prabhupada/01_-_Lectures/01_-_English/01_-_Topic_wise/Stories/SP_Story_43_Visvamitra_Muni.mp3</t>
  </si>
  <si>
    <t>SP_Story_44_Yogi_burning_finger.mp3</t>
  </si>
  <si>
    <t>https://audio.iskcondesiretree.com/01_-_Srila_Prabhupada/01_-_Lectures/01_-_English/01_-_Topic_wise/Stories/SP_Story_44_Yogi_burning_finger.mp3</t>
  </si>
  <si>
    <t>SP_Story_45_Yogi_who_could_walk_on_water.mp3</t>
  </si>
  <si>
    <t>https://audio.iskcondesiretree.com/01_-_Srila_Prabhupada/01_-_Lectures/01_-_English/01_-_Topic_wise/Stories/SP_Story_45_Yogi_who_could_walk_on_water.mp3</t>
  </si>
  <si>
    <t>SP_Story_46_Simply_wonderful.mp3</t>
  </si>
  <si>
    <t>https://audio.iskcondesiretree.com/01_-_Srila_Prabhupada/01_-_Lectures/01_-_English/01_-_Topic_wise/Stories/SP_Story_46_Simply_wonderful.mp3</t>
  </si>
  <si>
    <t>SB_07</t>
  </si>
  <si>
    <t>SB-01-07-49%E2%80%9350_761007SB-VRNDAVAN.MP3</t>
  </si>
  <si>
    <t>https://audio.iskcondesiretree.com/01_-_Srila_Prabhupada/01_-_Lectures/01_-_English/02_-_Month_wise/10_-_October/07/SB-01-07-49%E2%80%9350_761007SB-VRNDAVAN.MP3</t>
  </si>
  <si>
    <t>01_-_General_Lecture.mp3</t>
  </si>
  <si>
    <t>https://audio.iskcondesiretree.com/01_-_Srila_Prabhupada/01_-_Lectures/02_-_Bengali/01_-_General_Lecture.mp3</t>
  </si>
  <si>
    <t>03_-_Hindi</t>
  </si>
  <si>
    <t>SP_Hindi_01_Lectures_%26_Conversations.mp3</t>
  </si>
  <si>
    <t>https://audio.iskcondesiretree.com/01_-_Srila_Prabhupada/01_-_Lectures/03_-_Hindi/SP_Hindi_01_Lectures_%26_Conversations.mp3</t>
  </si>
  <si>
    <t>SP_Hindi_02_Lectures_%26_Conversations.mp3</t>
  </si>
  <si>
    <t>https://audio.iskcondesiretree.com/01_-_Srila_Prabhupada/01_-_Lectures/03_-_Hindi/SP_Hindi_02_Lectures_%26_Conversations.mp3</t>
  </si>
  <si>
    <t>SP_Hindi_03_Lectures_%26_Conversations.mp3</t>
  </si>
  <si>
    <t>https://audio.iskcondesiretree.com/01_-_Srila_Prabhupada/01_-_Lectures/03_-_Hindi/SP_Hindi_03_Lectures_%26_Conversations.mp3</t>
  </si>
  <si>
    <t>SP_Hindi_04_Lectures_%26_Conversations.mp3</t>
  </si>
  <si>
    <t>https://audio.iskcondesiretree.com/01_-_Srila_Prabhupada/01_-_Lectures/03_-_Hindi/SP_Hindi_04_Lectures_%26_Conversations.mp3</t>
  </si>
  <si>
    <t>SP_Hindi_05_Lectures_%26_Conversations.mp3</t>
  </si>
  <si>
    <t>https://audio.iskcondesiretree.com/01_-_Srila_Prabhupada/01_-_Lectures/03_-_Hindi/SP_Hindi_05_Lectures_%26_Conversations.mp3</t>
  </si>
  <si>
    <t>SP_Hindi_06_Lectures_%26_Conversations.mp3</t>
  </si>
  <si>
    <t>https://audio.iskcondesiretree.com/01_-_Srila_Prabhupada/01_-_Lectures/03_-_Hindi/SP_Hindi_06_Lectures_%26_Conversations.mp3</t>
  </si>
  <si>
    <t>SP_Hindi_07_Lectures_%26_Conversations.mp3</t>
  </si>
  <si>
    <t>https://audio.iskcondesiretree.com/01_-_Srila_Prabhupada/01_-_Lectures/03_-_Hindi/SP_Hindi_07_Lectures_%26_Conversations.mp3</t>
  </si>
  <si>
    <t>SP_Hindi_08_Lectures_%26_Conversations.mp3</t>
  </si>
  <si>
    <t>https://audio.iskcondesiretree.com/01_-_Srila_Prabhupada/01_-_Lectures/03_-_Hindi/SP_Hindi_08_Lectures_%26_Conversations.mp3</t>
  </si>
  <si>
    <t>SP_Hindi_09_Lectures_%26_Conversations.mp3</t>
  </si>
  <si>
    <t>https://audio.iskcondesiretree.com/01_-_Srila_Prabhupada/01_-_Lectures/03_-_Hindi/SP_Hindi_09_Lectures_%26_Conversations.mp3</t>
  </si>
  <si>
    <t>SP_Hindi_10_Lectures_%26_Conversations.mp3</t>
  </si>
  <si>
    <t>https://audio.iskcondesiretree.com/01_-_Srila_Prabhupada/01_-_Lectures/03_-_Hindi/SP_Hindi_10_Lectures_%26_Conversations.mp3</t>
  </si>
  <si>
    <t>SP_Hindi_11_Lectures_%26_Conversations.mp3</t>
  </si>
  <si>
    <t>https://audio.iskcondesiretree.com/01_-_Srila_Prabhupada/01_-_Lectures/03_-_Hindi/SP_Hindi_11_Lectures_%26_Conversations.mp3</t>
  </si>
  <si>
    <t>SP_Hindi_12_Lectures_%26_Conversations.mp3</t>
  </si>
  <si>
    <t>https://audio.iskcondesiretree.com/01_-_Srila_Prabhupada/01_-_Lectures/03_-_Hindi/SP_Hindi_12_Lectures_%26_Conversations.mp3</t>
  </si>
  <si>
    <t>SP_Hindi_13_Lectures_%26_Conversations.mp3</t>
  </si>
  <si>
    <t>https://audio.iskcondesiretree.com/01_-_Srila_Prabhupada/01_-_Lectures/03_-_Hindi/SP_Hindi_13_Lectures_%26_Conversations.mp3</t>
  </si>
  <si>
    <t>SP_Hindi_14_Lectures_%26_Conversations.mp3</t>
  </si>
  <si>
    <t>https://audio.iskcondesiretree.com/01_-_Srila_Prabhupada/01_-_Lectures/03_-_Hindi/SP_Hindi_14_Lectures_%26_Conversations.mp3</t>
  </si>
  <si>
    <t>SP_Hindi_15_Lectures_%26_Conversations.mp3</t>
  </si>
  <si>
    <t>https://audio.iskcondesiretree.com/01_-_Srila_Prabhupada/01_-_Lectures/03_-_Hindi/SP_Hindi_15_Lectures_%26_Conversations.mp3</t>
  </si>
  <si>
    <t>SP_Hindi_16_Lectures_%26_Conversations.mp3</t>
  </si>
  <si>
    <t>https://audio.iskcondesiretree.com/01_-_Srila_Prabhupada/01_-_Lectures/03_-_Hindi/SP_Hindi_16_Lectures_%26_Conversations.mp3</t>
  </si>
  <si>
    <t>SP_Hindi_17_Lectures_%26_Conversations.mp3</t>
  </si>
  <si>
    <t>https://audio.iskcondesiretree.com/01_-_Srila_Prabhupada/01_-_Lectures/03_-_Hindi/SP_Hindi_17_Lectures_%26_Conversations.mp3</t>
  </si>
  <si>
    <t>SP_Hindi_18_Lectures_%26_Conversations.mp3</t>
  </si>
  <si>
    <t>https://audio.iskcondesiretree.com/01_-_Srila_Prabhupada/01_-_Lectures/03_-_Hindi/SP_Hindi_18_Lectures_%26_Conversations.mp3</t>
  </si>
  <si>
    <t>SP_Hindi_19_Lectures_%26_Conversations.mp3</t>
  </si>
  <si>
    <t>https://audio.iskcondesiretree.com/01_-_Srila_Prabhupada/01_-_Lectures/03_-_Hindi/SP_Hindi_19_Lectures_%26_Conversations.mp3</t>
  </si>
  <si>
    <t>SP_Hindi_20_Lectures_%26_Conversations.mp3</t>
  </si>
  <si>
    <t>https://audio.iskcondesiretree.com/01_-_Srila_Prabhupada/01_-_Lectures/03_-_Hindi/SP_Hindi_20_Lectures_%26_Conversations.mp3</t>
  </si>
  <si>
    <t>SP_Hindi_21_Lectures_%26_Conversations.mp3</t>
  </si>
  <si>
    <t>https://audio.iskcondesiretree.com/01_-_Srila_Prabhupada/01_-_Lectures/03_-_Hindi/SP_Hindi_21_Lectures_%26_Conversations.mp3</t>
  </si>
  <si>
    <t>SP_Hindi_22_Lectures_%26_Conversations.mp3</t>
  </si>
  <si>
    <t>https://audio.iskcondesiretree.com/01_-_Srila_Prabhupada/01_-_Lectures/03_-_Hindi/SP_Hindi_22_Lectures_%26_Conversations.mp3</t>
  </si>
  <si>
    <t>SP_Hindi_23_Lectures_%26_Conversations.mp3</t>
  </si>
  <si>
    <t>https://audio.iskcondesiretree.com/01_-_Srila_Prabhupada/01_-_Lectures/03_-_Hindi/SP_Hindi_23_Lectures_%26_Conversations.mp3</t>
  </si>
  <si>
    <t>SP_Hindi_24_Lectures_%26_Conversations.mp3</t>
  </si>
  <si>
    <t>https://audio.iskcondesiretree.com/01_-_Srila_Prabhupada/01_-_Lectures/03_-_Hindi/SP_Hindi_24_Lectures_%26_Conversations.mp3</t>
  </si>
  <si>
    <t>SP_Hindi_25_Lectures_%26_Conversations.mp3</t>
  </si>
  <si>
    <t>https://audio.iskcondesiretree.com/01_-_Srila_Prabhupada/01_-_Lectures/03_-_Hindi/SP_Hindi_25_Lectures_%26_Conversations.mp3</t>
  </si>
  <si>
    <t>SP_Hindi_26_Lectures_%26_Conversations.mp3</t>
  </si>
  <si>
    <t>https://audio.iskcondesiretree.com/01_-_Srila_Prabhupada/01_-_Lectures/03_-_Hindi/SP_Hindi_26_Lectures_%26_Conversations.mp3</t>
  </si>
  <si>
    <t>SP_Hindi_27_Lectures_%26_Conversations.mp3</t>
  </si>
  <si>
    <t>https://audio.iskcondesiretree.com/01_-_Srila_Prabhupada/01_-_Lectures/03_-_Hindi/SP_Hindi_27_Lectures_%26_Conversations.mp3</t>
  </si>
  <si>
    <t>SP_Hindi_28_Lectures_%26_Conversations.mp3</t>
  </si>
  <si>
    <t>https://audio.iskcondesiretree.com/01_-_Srila_Prabhupada/01_-_Lectures/03_-_Hindi/SP_Hindi_28_Lectures_%26_Conversations.mp3</t>
  </si>
  <si>
    <t>SP_Hindi_29_Lectures_%26_Conversations.mp3</t>
  </si>
  <si>
    <t>https://audio.iskcondesiretree.com/01_-_Srila_Prabhupada/01_-_Lectures/03_-_Hindi/SP_Hindi_29_Lectures_%26_Conversations.mp3</t>
  </si>
  <si>
    <t>SP_Hindi_30_Lectures_%26_Conversations.mp3</t>
  </si>
  <si>
    <t>https://audio.iskcondesiretree.com/01_-_Srila_Prabhupada/01_-_Lectures/03_-_Hindi/SP_Hindi_30_Lectures_%26_Conversations.mp3</t>
  </si>
  <si>
    <t>SP_Hindi_31_Lectures_%26_Conversations.mp3</t>
  </si>
  <si>
    <t>https://audio.iskcondesiretree.com/01_-_Srila_Prabhupada/01_-_Lectures/03_-_Hindi/SP_Hindi_31_Lectures_%26_Conversations.mp3</t>
  </si>
  <si>
    <t>SP_Hindi_32_Lectures_%26_Conversations.mp3</t>
  </si>
  <si>
    <t>https://audio.iskcondesiretree.com/01_-_Srila_Prabhupada/01_-_Lectures/03_-_Hindi/SP_Hindi_32_Lectures_%26_Conversations.mp3</t>
  </si>
  <si>
    <t>00_-_Year_wise</t>
  </si>
  <si>
    <t>01_-_Theme_wise</t>
  </si>
  <si>
    <t>02_-_Yatra</t>
  </si>
  <si>
    <t>03_-_From_devotees</t>
  </si>
  <si>
    <t>05-02-EYE-CAMP_-_Radhanath_Swami.mp3</t>
  </si>
  <si>
    <t>2005-01-29_SB_-_Radhanath_Swami.mp3</t>
  </si>
  <si>
    <t>2005-01-30_SB_-_Radhanath_Swami.mp3</t>
  </si>
  <si>
    <t>2005-02-05_SB_-_Radhanath_Swami.mp3</t>
  </si>
  <si>
    <t>2005-11-25_Prerana_-_Radhanath_Swami.mp3</t>
  </si>
  <si>
    <t>2007-04-29_-_Radhanath_Swami.mp3</t>
  </si>
  <si>
    <t>2007-06-10_Columbus_-_Radhanath_Swami.mp3</t>
  </si>
  <si>
    <t>2008-05-11_-_Radhanath_Swami.mp3</t>
  </si>
  <si>
    <t>2008-06-22_-_Radhanath_Swami.mp3</t>
  </si>
  <si>
    <t>CC_Caitanya_Lila_-_2007-07-28_Los_Angeles_-_Radhanath_Swami.mp3</t>
  </si>
  <si>
    <t>Initiation_-_Radhanath_Swami_2006-08-09.mp3</t>
  </si>
  <si>
    <t>Lord_Balaram_appearance_day_-_Radhanath_Swami_2006-08-09.mp3</t>
  </si>
  <si>
    <t>PR_OvercomingfearI_-_Radhanath_Swami.mp3</t>
  </si>
  <si>
    <t>PR_OvercomingfearII_-_Radhanath_Swami.mp3</t>
  </si>
  <si>
    <t>PR_Power_of_Habits_Part-01_-_Radhanath_Swami.mp3</t>
  </si>
  <si>
    <t>PR_Power_of_Habits_Part-02_-_Radhanath_Swami.mp3</t>
  </si>
  <si>
    <t>PR_Principles_of_satisfaction_Part-01_-_Radhanath_Swami.mp3</t>
  </si>
  <si>
    <t>PR_Principles_of_satisfaction_Part-02_-_Radhanath_Swami.mp3</t>
  </si>
  <si>
    <t>Prerana_-_Power_of_renunciation_-_2007-04-28_-_Radhanath_Swami.mp3</t>
  </si>
  <si>
    <t>Rama_Lecture_2009-04-05_Radha_Govinda_Mandir_-_Radhanath_Swami.mp3</t>
  </si>
  <si>
    <t>RNS_08-08-22_How_To_Know_Krsna_-_Seattle.mp3</t>
  </si>
  <si>
    <t>RNS_08-08-22_Real_foundation_of_the_temple_-_Seattle.mp3</t>
  </si>
  <si>
    <t>RNS_08-08-23_Krsnas_birth_pastime_-_Seattle.mp3</t>
  </si>
  <si>
    <t>RNS_08-08-24_Offering_of_love_-_Seattle.mp3</t>
  </si>
  <si>
    <t>RNS_08-08-24_Srila_Prabhupada_Vyasa_Puja_Offering_-_Seattle.mp3</t>
  </si>
  <si>
    <t>RNS_Arrival_address_-_07-10-05.mp3</t>
  </si>
  <si>
    <t>RNS_Balarama_Appearance_-_Evening_Lecture_-_07-08-28_Alachua_Temple.mp3</t>
  </si>
  <si>
    <t>RNS_Balarama_Appearance_-_Morning_Lecture_-_07-08-28_Alachua_Temple.mp3</t>
  </si>
  <si>
    <t>RNS_CC_Caitanya_Lila_-_07-07-28_Los_Angeles.mp3</t>
  </si>
  <si>
    <t>RNS_CC_Reading_-_04-07-20_Los_Angeles.mp3</t>
  </si>
  <si>
    <t>RNS_CC_Reading_-_04-07-21_Los_Angeles.mp3</t>
  </si>
  <si>
    <t>RNS_CC_Reading_-_04-07-23_Los_Angeles.mp3</t>
  </si>
  <si>
    <t>RNS_CC_Reading_-_07-07-27_Los_Angeles.mp3</t>
  </si>
  <si>
    <t>RNS_CC_Reading_-_07-07-29_Los_Angeles.mp3</t>
  </si>
  <si>
    <t>RNS_Chicago_-_08-12-21.mp3</t>
  </si>
  <si>
    <t>RNS_Festivals_-_Sacred_sounds_festivals_-_09-06-07.mp3</t>
  </si>
  <si>
    <t>RNS_Initiations_-_03-11-30_Los_Angeles.mp3</t>
  </si>
  <si>
    <t>RNS_Initiations_-_04-07-19_Los_Angeles.mp3</t>
  </si>
  <si>
    <t>RNS_PR_From_Ritual_To_Spiritual_-_08-02-09.mp3</t>
  </si>
  <si>
    <t>RNS_Prerna_Being_A_True_Friend_08-04-22.mp3</t>
  </si>
  <si>
    <t>RNS_Ram_Navami_-_Exemplary_Character_Of_Lord_Ramchandra_-_08-04-14_Juhu.mp3</t>
  </si>
  <si>
    <t>RNS_Ram_Navami_-_Lord_Rama_Ehibits_Ideal_Behaviour_For_Humanity_-_08-04-14.mp3</t>
  </si>
  <si>
    <t>RNS_Saving_India%27s_Future_Generations_-_Gopal%27s_Fun_Sch_Annual_Day_-_07-12-16.mp3</t>
  </si>
  <si>
    <t>RNS_SB_03-15-39_-_02-12-22_Los_Angeles.mp3</t>
  </si>
  <si>
    <t>RNS_SB_03-24-40_-_03-11-26_Los_Angeles.mp3</t>
  </si>
  <si>
    <t>RNS_SB_03-24-41_-_03-11-27_Los_Angeles.mp3</t>
  </si>
  <si>
    <t>RNS_SB_03-24-42_-_03-11-28_Los_Angeles.mp3</t>
  </si>
  <si>
    <t>RNS_SB_03-24-43_-_03-11-29_Los_Angeles.mp3</t>
  </si>
  <si>
    <t>RNS_SB_03-24-44_-_03-12-01_Los_Angeles.mp3</t>
  </si>
  <si>
    <t>RNS_SB_03-29-15_-_04-07-17_Los_Angeles.mp3</t>
  </si>
  <si>
    <t>RNS_SB_04-06-37_-_05-07-14_Los_Angeles.mp3</t>
  </si>
  <si>
    <t>RNS_SB_04-06-41_-_05-07-17_Los_Angeles.mp3</t>
  </si>
  <si>
    <t>RNS_SB_04-06-42_-_05-07-20_Los_Angeles.mp3</t>
  </si>
  <si>
    <t>RNS_SB_04-06-44_-_05-07-22_Los_Angeles.mp3</t>
  </si>
  <si>
    <t>RNS_SB_04-18-03_-_06-11-14_Los_Angeles.mp3</t>
  </si>
  <si>
    <t>RNS_SB_04-18-04_-_06-11-15_Los_Angeles.mp3</t>
  </si>
  <si>
    <t>RNS_SB_06-19-18_Sincere_Husband_And_Chaste_Wife_Advance_Together_-_07-10-13.mp3</t>
  </si>
  <si>
    <t>RNS_SB_07-01-44-46_Hate_The_Sin_But_Love_The_Sinner_-_07-11-25.mp3</t>
  </si>
  <si>
    <t>RNS_SB_07-02-14_Taking_Care_Of_Details_-_07-12-09.mp3</t>
  </si>
  <si>
    <t>RNS_SB_07-02-23_Krishna_sees_the_purpose_-_07-12-14.mp3</t>
  </si>
  <si>
    <t>RNS_SB_07-04-33_Who_Is_A_Vaisnava_-_08-03-08.mp3</t>
  </si>
  <si>
    <t>RNS_SB_07-04-34_Antidote_Of_Envy_Is_Appreciation_-_08-03-09.mp3</t>
  </si>
  <si>
    <t>RNS_SB_07-05-03_Devotees_Do_not_Create_Enemies_-_08-03-26.mp3</t>
  </si>
  <si>
    <t>RNS_SB_07-06-11-13_-_07-08-27_Alachua_Temple.mp3</t>
  </si>
  <si>
    <t>RNS_SB_07-06-14_-_07-08-29_Alachua_Temple.mp3</t>
  </si>
  <si>
    <t>RNS_SB_08-08-12-14_-_09-06-09_Alachua_Temple.mp3</t>
  </si>
  <si>
    <t>RNS_SB_08-08-15-19_-_09-06-10_Alachua_Temple.mp3</t>
  </si>
  <si>
    <t>RNS_SB_09-04-47_-_07-05-18_London.mp3</t>
  </si>
  <si>
    <t>RNS_Shelter_of_Krsna%27s_Love_-_KK_Temple_-_08-12-21.mp3</t>
  </si>
  <si>
    <t>RNS_Sunday_Feast_-_03-11-30_Los_Angeles.mp3</t>
  </si>
  <si>
    <t>RNS_Sunday_Feast_-_04-07-18_Los_Angeles.mp3</t>
  </si>
  <si>
    <t>RNS_Sunday_Feast_-_Fortune_Of_A_Genuine_Beggar_-_08-03-23.mp3</t>
  </si>
  <si>
    <t>RNS_Sunday_Feast_Lecture_-_07-08-26_Alachua_Temple.mp3</t>
  </si>
  <si>
    <t>RNS_Various_-_Black_Lotus_Affair_SB_Class_-_05-24-2009.mp3</t>
  </si>
  <si>
    <t>RNS_Various_-_Christmas_Lecture_-_06-12-24_London.mp3</t>
  </si>
  <si>
    <t>RNS_Various_-_Evening_Class_-_09-06-08_Alachua_Temple.mp3</t>
  </si>
  <si>
    <t>RNS_Various_-_Love_Is_Fundemental_-_Sacred_Sounds_-_09-06-06.mp3</t>
  </si>
  <si>
    <t>RNS_Various_-_Malhotra_Home_-_09-06-05.mp3</t>
  </si>
  <si>
    <t>RNS_Various_-_Sanatan_Goswami_And_The_Touch_stone_-_09-06-04_Radha_Madan_Mohan_Mandir.mp3</t>
  </si>
  <si>
    <t>SB_-_Do_not_mistreat_anyone_-_2007-04-28_-_Radhanath_Swami.mp3</t>
  </si>
  <si>
    <t>04_-_Brihad_Bhagavatamrata</t>
  </si>
  <si>
    <t>RNS_-_An_Introduction_to_Bhagavatamrit_-_1999-12-29.mp3</t>
  </si>
  <si>
    <t>RNS_-_Narada_Muni%27s_Search_for_the_Greatest_Devotee_-_1999-12-29.mp3</t>
  </si>
  <si>
    <t>RNS_-_Narada_Muni_Meets_Hanuman_-_1999-12-30.mp3</t>
  </si>
  <si>
    <t>RNS_-_Narada_Muni_Meets_Prahlad_Maharaja_-_1999-12-30.mp3</t>
  </si>
  <si>
    <t>RNS_-_Narada_Muni_Meets_the_King_and_Indra_-_1999-12-29.mp3</t>
  </si>
  <si>
    <t>RNS_-_Narada_Muni_Meets_the_Yadus_Uddhava_and_the_Queens_of_Dwarka_-_1999-12-31.mp3</t>
  </si>
  <si>
    <t>RNS_-_Narada_Muni_Travels_to_Brahmaloka_-_1999-12-30.mp3</t>
  </si>
  <si>
    <t>RNS_-_Narada_Muni_Travels_to_Shivaloka_-_1999-12-30.mp3</t>
  </si>
  <si>
    <t>RNS_-_Narada_Muni_Visits_the_Pandavas_-_1999-12-30.mp3</t>
  </si>
  <si>
    <t>RNS_-_Sunday_Feast-Teachings_From_Sri_Brihat_Bhagvatamrta_-_2007-10-14.mp3</t>
  </si>
  <si>
    <t>04_-_Brihad_Bhagavatamrata_Hindi_translation</t>
  </si>
  <si>
    <t>Hindi_-_01-Introduction_new_-_Radhanath_Swami.mp3</t>
  </si>
  <si>
    <t>Hindi_-_02-Narada_Munis_search_for_the_greatest_devotee_-_Radhanath_Swami.mp3</t>
  </si>
  <si>
    <t>Hindi_-_03-Naradamuni_meets_the_King_and_Indrav_-_Radhanath_Swami.mp3</t>
  </si>
  <si>
    <t>Hindi_-_04-Naradamuni_travels_to_Brahmaloka_-_Radhanath_Swami.mp3</t>
  </si>
  <si>
    <t>Hindi_-_05-Naradamuni_comes_to_Shiva_loka_-_Radhanath_Swami.mp3</t>
  </si>
  <si>
    <t>Hindi_-_06-Naradamuni_meets_Prahalad_-_Radhanath_Swami.mp3</t>
  </si>
  <si>
    <t>Hindi_-_07-Naradamuni_meets_Hanuman_-_Radhanath_Swami.mp3</t>
  </si>
  <si>
    <t>Hindi_-_08-Naradamuni_visits_the_Pandavas_-_Radhanath_Swami.mp3</t>
  </si>
  <si>
    <t>Hindi_-_09-Naradamuni_meets_Yadus%2C_Uddhav_and_the_queens_of_Dwarka_-_Radhanath_Swami.mp3</t>
  </si>
  <si>
    <t>05_-_Amrit_Droplets</t>
  </si>
  <si>
    <t>Amrit_Droplets_-_0176_-_Q_n_A_-_How_to_test_whether_not_coming_to_temple_is_due_to_genuine_bodily_problem.mp3</t>
  </si>
  <si>
    <t>Amrit_Droplets_-_0183_-_Short_Stories_-_Abhiram_Thakur_decides_to_give_obeisances_to_Little_Gopal_Guru_-_IDesireTree.mp3</t>
  </si>
  <si>
    <t>HHRNSM_-_Amrit_Droplets_-_0001_-_Request_to_all_of_us_-_IDesireTree.mp3</t>
  </si>
  <si>
    <t>HHRNSM_-_Amrit_Droplets_-_0002_-_Always_be_busy_in_positive_%26_don%27t_leave_time_for_negative_-_IDesireTree.mp3</t>
  </si>
  <si>
    <t>HHRNSM_-_Amrit_Droplets_-_0003_-_Charity_comes_from_Compassion_-_IDesireTree.mp3</t>
  </si>
  <si>
    <t>HHRNSM_-_Amrit_Droplets_-_0004_-_Definition_of_Goswami_-_IDesireTree.mp3</t>
  </si>
  <si>
    <t>HHRNSM_-_Amrit_Droplets_-_0005_-_Don%27t_be_surprised_of_envious_people_-_IDesireTree.mp3</t>
  </si>
  <si>
    <t>HHRNSM_-_Amrit_Droplets_-_0006_-_How_principle_of_Discipline_works_-_IDesireTree.mp3</t>
  </si>
  <si>
    <t>HHRNSM_-_Amrit_Droplets_-_0007_-_How_to_develop_taste_for_Srimad_Bhagavatam_-_IDesireTree.mp3</t>
  </si>
  <si>
    <t>HHRNSM_-_Amrit_Droplets_-_0008_-_No_Gain_Without_Pain_-_IDesireTree.mp3</t>
  </si>
  <si>
    <t>HHRNSM_-_Amrit_Droplets_-_0009_-_Pleasing_Krsna_by_Discipline_-_IDesireTree.mp3</t>
  </si>
  <si>
    <t>HHRNSM_-_Amrit_Droplets_-_0010_-_Spritual_Life_is_holistic_-_IDesireTree.mp3</t>
  </si>
  <si>
    <t>HHRNSM_-_Amrit_Droplets_-_0011_-_Taste_for_Bhagavatam_is_important_-_IDesireTree.mp3</t>
  </si>
  <si>
    <t>HHRNSM_-_Amrit_Droplets_-_0012_-_Eligibility_for_understanding_Srimad_Bhagavatam_-_IDesireTree.mp3</t>
  </si>
  <si>
    <t>HHRNSM_-_Amrit_Droplets_-_0013_-_Free_Will_comes_with_Responsibility_-_IDesireTree.mp3</t>
  </si>
  <si>
    <t>HHRNSM_-_Amrit_Droplets_-_0014_-_How_to_get_taste_in_Srimad_Bhagavatam_-_IDesireTree.mp3</t>
  </si>
  <si>
    <t>HHRNSM_-_Amrit_Droplets_-_0015_-_Nature_of_Material_Desire_-_IDesireTree.mp3</t>
  </si>
  <si>
    <t>HHRNSM_-_Amrit_Droplets_-_0016_-_Philosophy_without_character_has_no_meaning_-_IDesireTree.mp3</t>
  </si>
  <si>
    <t>HHRNSM_-_Amrit_Droplets_-_0017_-_Realisation_is_a_gift_of_Krsna_-_IDesireTree.mp3</t>
  </si>
  <si>
    <t>HHRNSM_-_Amrit_Droplets_-_0018_-_Srimad_Bhagavatam_is_an_incarnation_of_Krsna_-_IDesireTree.mp3</t>
  </si>
  <si>
    <t>HHRNSM_-_Amrit_Droplets_-_0019_-_Why_don%27t_animals_produce_karma_-_IDesireTree.mp3</t>
  </si>
  <si>
    <t>HHRNSM_-_Amrit_Droplets_-_0020_-_Purpose_of_temple_-_IDesireTree.mp3</t>
  </si>
  <si>
    <t>HHRNSM_-_Amrit_Droplets_-_0021_-_Whom_to_associate_with_-_IDesireTree.mp3</t>
  </si>
  <si>
    <t>HHRNSM_-_Amrit_Droplets_-_0022_-_How_to_attract_Lakshmi_-_IDesireTree.mp3</t>
  </si>
  <si>
    <t>HHRNSM_-_Amrit_Droplets_-_0023_-_Helping_our_Godbrothers_-_IDesireTree.mp3</t>
  </si>
  <si>
    <t>HHRNSM_-_Amrit_Droplets_-_0024_-_Honouring_great_souls_-_IDesireTree.mp3</t>
  </si>
  <si>
    <t>HHRNSM_-_Amrit_Droplets_-_0025_-_How_to_become_fearless_-_IDesireTree.mp3</t>
  </si>
  <si>
    <t>HHRNSM_-_Amrit_Droplets_-_0026_-_Reveal_power_of_soul_-_IDesireTree.mp3</t>
  </si>
  <si>
    <t>HHRNSM_-_Amrit_Droplets_-_0027_-_What_does_humility_mean_-_IDesireTree.mp3</t>
  </si>
  <si>
    <t>HHRNSM_-_Amrit_Droplets_-_0028_-_Acting_under_superior_guidance_-_IDesireTree.mp3</t>
  </si>
  <si>
    <t>HHRNSM_-_Amrit_Droplets_-_0029_-_Being_fearful_of_commiting_Vaisnava_offense_-_IDesireTree.mp3</t>
  </si>
  <si>
    <t>HHRNSM_-_Amrit_Droplets_-_0030_-_Parents%27_Responsibility_-_IDesireTree.mp3</t>
  </si>
  <si>
    <t>HHRNSM_-_Amrit_Droplets_-_0031_-_We_must_fight_-_IDesireTree.mp3</t>
  </si>
  <si>
    <t>HHRNSM_-_Amrit_Droplets_-_0032_-_How_parents_can_show_real_love_for_their_children_-_IDesireTree.mp3</t>
  </si>
  <si>
    <t>HHRNSM_-_Amrit_Droplets_-_0033_-_How_to_Progress_without_falling_victim_to_material_energy_-_IDesireTree.mp3</t>
  </si>
  <si>
    <t>HHRNSM_-_Amrit_Droplets_-_0035_-_Conclusion_of_scriptures_cannot_be_found_by_reading_scriptures_-_IDesireTree.mp3</t>
  </si>
  <si>
    <t>HHRNSM_-_Amrit_Droplets_-_0036_-_Problem_with_Material_progress_-_IDesireTree.mp3</t>
  </si>
  <si>
    <t>HHRNSM_-_Amrit_Droplets_-_0037_-_Safest_place_in_this_material_world_is_where_devotees_loudly_chant_-_IDesireTree.mp3</t>
  </si>
  <si>
    <t>HHRNSM_-_Amrit_Droplets_-_0038_-_Why_some_see_Krishna_in_the_Diety_while_others_see_it_as_stone_-_IDesireTree.mp3</t>
  </si>
  <si>
    <t>HHRNSM_-_Amrit_Droplets_-_0039_-_All_differences_end_at_death_-_IDesireTree.mp3</t>
  </si>
  <si>
    <t>HHRNSM_-_Amrit_Droplets_-_0040_-_Greatest_charity_-_IDesireTree.mp3</t>
  </si>
  <si>
    <t>HHRNSM_-_Amrit_Droplets_-_0041_-_Arjuna_is_representing_human_society_-_IDesireTree.mp3</t>
  </si>
  <si>
    <t>HHRNSM_-_Amrit_Droplets_-_0042_-_How_to_participate_in_congregational_chanting_-_IDesireTree.mp3</t>
  </si>
  <si>
    <t>HHRNSM_-_Amrit_Droplets_-_0043_-_How_to_surrender_unto_Krishna_-_IDesireTree.mp3</t>
  </si>
  <si>
    <t>HHRNSM_-_Amrit_Droplets_-_0044_-_The_most_valuable_thing_we_are_having_-_IDesireTree.mp3</t>
  </si>
  <si>
    <t>HHRNSM_-_Amrit_Droplets_-_0045_-_No_material_arrangement_can_give_real_happiness_-_IDesireTree.mp3</t>
  </si>
  <si>
    <t>HHRNSM_-_Amrit_Droplets_-_0046_-_Love_is_the_greatest_power_on_Earth_-_IDesireTree.mp3</t>
  </si>
  <si>
    <t>HHRNSM_-_Amrit_Droplets_-_0047_-_Two_ways_of_chanting_Hare_Krishna_Mahamantra_-_IDesireTree.mp3</t>
  </si>
  <si>
    <t>HHRNSM_-_Amrit_Droplets_-_0048_-_Chastisement_by_Spiritual_master_is_relishable_-_IDesireTree.mp3</t>
  </si>
  <si>
    <t>HHRNSM_-_Amrit_Droplets_-_0049_-_Grateful_for_being_chastised_-_IDesireTree.mp3</t>
  </si>
  <si>
    <t>HHRNSM_-_Amrit_Droplets_-_0050_-_Human_body_is_a_chariot_to_cross_the_battlefield_of_material_world_-_IDesireTree.mp3</t>
  </si>
  <si>
    <t>HHRNSM_-_Amrit_Droplets_-_0051_-_Offering_back_to_Krishna_with_Love_-_IDesireTree.mp3</t>
  </si>
  <si>
    <t>HHRNSM_-_Amrit_Droplets_-_0052_-_Supersoul_speaks_to_us_through_Guru_-_IDesireTree.mp3</t>
  </si>
  <si>
    <t>HHRNSM_-_Amrit_Droplets_-_0053_-_The_Lord%27s_Anger_is_not_like_our_anger_-_IDesireTree.mp3</t>
  </si>
  <si>
    <t>HHRNSM_-_Amrit_Droplets_-_0054_-_Spiritual_master_is_the_transparent_via-medium_-_IDesireTree.mp3</t>
  </si>
  <si>
    <t>HHRNSM_-_Amrit_Droplets_-_0055_-_Politics_are_always_changing_%26_will_keep_on_changing_-_IDesireTree.mp3</t>
  </si>
  <si>
    <t>HHRNSM_-_Amrit_Droplets_-_0056_-_Greatest_gift_of_God_-_IDesireTree.mp3</t>
  </si>
  <si>
    <t>HHRNSM_-_Amrit_Droplets_-_0057_-_Guru_Sadhu_Shastra_-_IDesireTree.mp3</t>
  </si>
  <si>
    <t>HHRNSM_-_Amrit_Droplets_-_0058_-_Human_life_is_more_valuable_than_most_precious_diamond_-_IDesireTree.mp3</t>
  </si>
  <si>
    <t>HHRNSM_-_Amrit_Droplets_-_0059_-_Our_opinion_is_worth_nothing_-_IDesireTree.mp3</t>
  </si>
  <si>
    <t>HHRNSM_-_Amrit_Droplets_-_0060_-_Secret_of_how_to_free_ourselves_from_anxiety_-_IDesireTree.mp3</t>
  </si>
  <si>
    <t>HHRNSM_-_Amrit_Droplets_-_0061_-_Spiritual_discourses_are_not_meant_for_entertainment_-_IDesireTree.mp3</t>
  </si>
  <si>
    <t>HHRNSM_-_Amrit_Droplets_-_0063_-_Transcending_happiness_and_distress_-_IDesireTree.mp3</t>
  </si>
  <si>
    <t>HHRNSM_-_Amrit_Droplets_-_0064_-_A_real_preacher_should_have_genuine_compassion_-_IDesireTree.mp3</t>
  </si>
  <si>
    <t>HHRNSM_-_Amrit_Droplets_-_0065_-_Silent_chanting_or_loud_chanting_-_IDesireTree.mp3</t>
  </si>
  <si>
    <t>HHRNSM_-_Amrit_Droplets_-_0066_-_The_Greatest_sacrifice_-_IDesireTree.mp3</t>
  </si>
  <si>
    <t>HHRNSM_-_Amrit_Droplets_-_0067_-_The_Supreme_Austerity_-_IDesireTree.mp3</t>
  </si>
  <si>
    <t>HHRNSM_-_Amrit_Droplets_-_0068_-_This_material_world_is_a_prison_-_IDesireTree.mp3</t>
  </si>
  <si>
    <t>HHRNSM_-_Amrit_Droplets_-_0069_-_What_does_it_mean_to_rise_above_dualities_-_IDesireTree.mp3</t>
  </si>
  <si>
    <t>HHRNSM_-_Amrit_Droplets_-_0070_-_Effect_of_Blaspheming_the_Holy_Names_-_IDesireTree.mp3</t>
  </si>
  <si>
    <t>HHRNSM_-_Amrit_Droplets_-_0071_-_Power_of_Mahamantra_-_IDesireTree.mp3</t>
  </si>
  <si>
    <t>HHRNSM_-_Amrit_Droplets_-_0072_-_Purpose_of_knowledge_IDesireTree.mp3</t>
  </si>
  <si>
    <t>HHRNSM_-_Amrit_Droplets_-_0073_-_How_can_we_expect_to_see_the_soul_-_IDesireTree.mp3</t>
  </si>
  <si>
    <t>HHRNSM_-_Amrit_Droplets_-_0074_-_Importance_of_Prabhupad_books_and_appeal_to_devotees_-_IDesireTree.mp3</t>
  </si>
  <si>
    <t>HHRNSM_-_Amrit_Droplets_-_0075_-_Proof_of_God%27s_Existence_-_IDesireTree.mp3</t>
  </si>
  <si>
    <t>HHRNSM_-_Amrit_Droplets_-_0076_-_Significance_of_raising_arms_while_chanting_-_IDesireTree.mp3</t>
  </si>
  <si>
    <t>HHRNSM_-_Amrit_Droplets_-_0077_-_We_are_building_sand_castles_-_IDesireTree.mp3</t>
  </si>
  <si>
    <t>HHRNSM_-_Amrit_Droplets_-_0078_-_We_are_so_dull_headed_-_IDesireTree.mp3</t>
  </si>
  <si>
    <t>HHRNSM_-_Amrit_Droplets_-_0079_-_What_is_the_prime_duty_of_a_person_who_is_about_to_die_-_IDesireTree.mp3</t>
  </si>
  <si>
    <t>HHRNSM_-_Amrit_Droplets_-_0080_-_All_we_do_is_chanting_dancing_and_feasting_-_IDesireTree.mp3</t>
  </si>
  <si>
    <t>HHRNSM_-_Amrit_Droplets_-_0081_-_Being_grateful_in_every_condition_-_IDesireTree.mp3</t>
  </si>
  <si>
    <t>HHRNSM_-_Amrit_Droplets_-_0082_-_How_to_become_resolute_in_purpose_-_IDesireTree.mp3</t>
  </si>
  <si>
    <t>HHRNSM_-_Amrit_Droplets_-_0083_-_Mad_Elephant_offense_-_IDesireTree.mp3</t>
  </si>
  <si>
    <t>HHRNSM_-_Amrit_Droplets_-_0084_-_Meaning_of_Krishna_consciousness_-_IDesireTree.mp3</t>
  </si>
  <si>
    <t>HHRNSM_-_Amrit_Droplets_-_0085_-_Not_necessary_to_give_up_occupational_duties_-_IDesireTree.mp3</t>
  </si>
  <si>
    <t>HHRNSM_-_Amrit_Droplets_-_0086_-_Price_for_getting_love_of_Krishna_-_IDesireTree.mp3</t>
  </si>
  <si>
    <t>HHRNSM_-_Amrit_Droplets_-_0087_-_Rejecting_what_is_unfavourable_-_IDesireTree.mp3</t>
  </si>
  <si>
    <t>HHRNSM_-_Amrit_Droplets_-_0088_-_The_way_we_should_approach_scriptures_-_IDesireTree.mp3</t>
  </si>
  <si>
    <t>HHRNSM_-_Amrit_Droplets_-_0089_-_Why_do_we_not_see_Krishna_everywhere_-_IDesireTree.mp3</t>
  </si>
  <si>
    <t>HHRNSM_-_Amrit_Droplets_-_0090_-_Chanting_with_enthusiasm_is_great_service_-_IDesireTree.mp3</t>
  </si>
  <si>
    <t>HHRNSM_-_Amrit_Droplets_-_0091_-_Following_in_the_footsteps_of_Bharat_Maharaj_-_IDesireTree.mp3</t>
  </si>
  <si>
    <t>HHRNSM_-_Amrit_Droplets_-_0092_-_Essence_of_scriptures_can_only_be_understood_from_Acharya_-_IDesireTree.mp3</t>
  </si>
  <si>
    <t>HHRNSM_-_Amrit_Droplets_-_0093_-_Die_to_live_-_IDesireTree.mp3</t>
  </si>
  <si>
    <t>HHRNSM_-_Amrit_Droplets_-_0094_-_Devotees_are_not_hard_hearted_-_IDesireTree.mp3</t>
  </si>
  <si>
    <t>HHRNSM_-_Amrit_Droplets_-_0095_-_You_can_feed_stomach_only_through_the_mouth_-_IDesireTree.mp3</t>
  </si>
  <si>
    <t>HHRNSM_-_Amrit_Droplets_-_0096_-_Only_criteria_for_making_decisions_in_life_-_IDesireTree.mp3</t>
  </si>
  <si>
    <t>HHRNSM_-_Amrit_Droplets_-_0097_-_Friction_in_the_automobile_of_material_existence_-_IDesireTree.mp3</t>
  </si>
  <si>
    <t>HHRNSM_-_Amrit_Droplets_-_0098_-_How_do_we_purify_our_hearts_-_IDesireTree.mp3</t>
  </si>
  <si>
    <t>HHRNSM_-_Amrit_Droplets_-_0099_-_Love_is_realisation_of_knowledge_-_IDesireTree.mp3</t>
  </si>
  <si>
    <t>HHRNSM_-_Amrit_Droplets_-_0100_-_Real_love_is_love_for_the_soul_-_IDesireTree.mp3</t>
  </si>
  <si>
    <t>HHRNSM_-_Amrit_Droplets_-_0101_-_Without_loving_God_one_cannot_love_anyone_else_-_IDesireTree.mp3</t>
  </si>
  <si>
    <t>HHRNSM_-_Amrit_Droplets_-_0102_-_Our_near_and_dear_ones_achieve_benefits_of_our_spiritual_wealth_-_IDesireTree.mp3</t>
  </si>
  <si>
    <t>HHRNSM_-_Amrit_Droplets_-_0103_-_Greatest_gift_we_can_give_anyone_-_IDesireTree.mp3</t>
  </si>
  <si>
    <t>HHRNSM_-_Amrit_Droplets_-_0104_-_Lubricant_to_avoid_friction_in_material_society_-_IDesireTree.mp3</t>
  </si>
  <si>
    <t>HHRNSM_-_Amrit_Droplets_-_0105_-_Don%27t_take_material_life_very_seriously_-_IDesireTree.mp3</t>
  </si>
  <si>
    <t>HHRNSM_-_Amrit_Droplets_-_0106_-_Why_do_devotees_put_Tilak_-_IDesireTree.mp3</t>
  </si>
  <si>
    <t>HHRNSM_-_Amrit_Droplets_-_0107_-_There_is_no_such_thing_as_death_-_IDesireTree.mp3</t>
  </si>
  <si>
    <t>HHRNSM_-_Amrit_Droplets_-_0108_-_Bombs_you_built_in_last_life_are_attacking_you_now_-_IDesireTree.mp3</t>
  </si>
  <si>
    <t>HHRNSM_-_Amrit_Droplets_-_0109_-_99_percent_spiritual_advancement_comes_from_chanting_-_IDesireTree.mp3</t>
  </si>
  <si>
    <t>HHRNSM_-_Amrit_Droplets_-_0110_-_A_Preacher_is_one_who_preaches_by_his_example_-_IDesireTree.mp3</t>
  </si>
  <si>
    <t>HHRNSM_-_Amrit_Droplets_-_0114_-_Bhagavatam_says_that_Mind_is_the_only_enemy_-_IDesireTree.mp3</t>
  </si>
  <si>
    <t>HHRNSM_-_Amrit_Droplets_-_0115_-_Chanting_is_our_first_responsibility_-_IDesireTree.mp3</t>
  </si>
  <si>
    <t>HHRNSM_-_Amrit_Droplets_-_0116_-_Description_of_Krishna%27s_form_-_IDesireTree.mp3</t>
  </si>
  <si>
    <t>HHRNSM_-_Amrit_Droplets_-_0117_-_Design_your_life_in_a_way_to_develop_more_faith_on_holy_name_-_IDesireTree.mp3</t>
  </si>
  <si>
    <t>HHRNSM_-_Amrit_Droplets_-_0118_-_Development_of_character_is_the_intrical_part_of_our_Sadhana_-_IDesireTree.mp3</t>
  </si>
  <si>
    <t>HHRNSM_-_Amrit_Droplets_-_0119_-_Devotional_Service_is_like_a_double_edged_sword_-_IDesireTree.mp3</t>
  </si>
  <si>
    <t>HHRNSM_-_Amrit_Droplets_-_0120_-_Devotional_service_is_not_a_burdensome_activity_-_IDesireTree.mp3</t>
  </si>
  <si>
    <t>HHRNSM_-_Amrit_Droplets_-_0122_-_Don%27t_jump_directly_on_tenth_canto_of_Srimad_Bhagavatam_-_IDesireTree.mp3</t>
  </si>
  <si>
    <t>HHRNSM_-_Amrit_Droplets_-_0123_-_Don%27t_make_False_Ego_as_your_worshippable_deity_-_IDesireTree.mp3</t>
  </si>
  <si>
    <t>HHRNSM_-_Amrit_Droplets_-_0124_-_Hearing_the_holy_name_while_chanting_is_very_important_-_IDesireTree.mp3</t>
  </si>
  <si>
    <t>HHRNSM_-_Amrit_Droplets_-_0125_-_Greatness_of_Prahalad_maharaj_-_IDesireTree.mp3</t>
  </si>
  <si>
    <t>HHRNSM_-_Amrit_Droplets_-_0126_-_Give_your_credits_to_other_devotees_-_IDesireTree.mp3</t>
  </si>
  <si>
    <t>HHRNSM_-_Amrit_Droplets_-_0127_-_Greatness_of_Haridas_Thakur_-_IDesireTree.mp3</t>
  </si>
  <si>
    <t>HHRNSM_-_Amrit_Droplets_-_0128_-_Even_little_sense_gratification_takes_away_our_determination_-_IDesireTree.mp3</t>
  </si>
  <si>
    <t>HHRNSM_-_Amrit_Droplets_-_0131_-_How_to_come_out_from_False_Pride_-_IDesireTree.mp3</t>
  </si>
  <si>
    <t>HHRNSM_-_Amrit_Droplets_-_0132_-_How_to_enjoy_a_devotional_activity_-_IDesireTree.mp3</t>
  </si>
  <si>
    <t>HHRNSM_-_Amrit_Droplets_-_0133_-_How_to_maintain_harmonious_association_with_other_devotees_-_IDesireTree.mp3</t>
  </si>
  <si>
    <t>HHRNSM_-_Amrit_Droplets_-_0134_-_How_to_take_darshan_of_deities_in_the_temple_-_IDesireTree.mp3</t>
  </si>
  <si>
    <t>HHRNSM_-_Amrit_Droplets_-_0136_-_It_is_our_choice_whether_to_see_Krishna_as_Shyamsunder_or_as_Death_-_IDesireTree.mp3</t>
  </si>
  <si>
    <t>HHRNSM_-_Amrit_Droplets_-_0140_-_Living_in_such_a_way_that_people_trust_us_-_IDesireTree.mp3</t>
  </si>
  <si>
    <t>HHRNSM_-_Amrit_Droplets_-_0141_-_Love_among_devotees_is_actually_Krishna%27s_love_-_IDesireTree.mp3</t>
  </si>
  <si>
    <t>HHRNSM_-_Amrit_Droplets_-_0142_-_Making_spiritual_progress_is_like_fighting_a_battle_against_maya-_IDesireTree.mp3</t>
  </si>
  <si>
    <t>HHRNSM_-_Amrit_Droplets_-_0143_-_Maya%27s_strategy_against_us_-_IDesireTree.mp3</t>
  </si>
  <si>
    <t>HHRNSM_-_Amrit_Droplets_-_0144_-_Meaning_of_taking_Shelter_-_IDesireTree.mp3</t>
  </si>
  <si>
    <t>HHRNSM_-_Amrit_Droplets_-_0145_-_Money_must_be_used_in_harmony_with_the_will_of_God_-_IDesireTree.mp3</t>
  </si>
  <si>
    <t>HHRNSM_-_Amrit_Droplets_-_0146_-_Moral_activities_alone_will_not_make_us_humble_-_IDesireTree.mp3</t>
  </si>
  <si>
    <t>HHRNSM_-_Amrit_Droplets_-_0147_-_No_rules_in_chanting_Hare_Krishna_-_IDesireTree.mp3</t>
  </si>
  <si>
    <t>HHRNSM_-_Amrit_Droplets_-_0149_-_One_common_defect_in_Kamsa_%26_in_Hiranyakashipu_-_IDesireTree.mp3</t>
  </si>
  <si>
    <t>HHRNSM_-_Amrit_Droplets_-_0150_-_Our_intention_behind_asking_a_question_-_IDesireTree.mp3</t>
  </si>
  <si>
    <t>HHRNSM_-_Amrit_Droplets_-_0151_-_Our_loving_cheaters_are_cheating_us_-_IDesireTree.mp3</t>
  </si>
  <si>
    <t>HHRNSM_-_Amrit_Droplets_-_0152_-_Oversleeping_Overeating_causes_spiritual_lethargy_-_IDesireTree.mp3</t>
  </si>
  <si>
    <t>HHRNSM_-_Amrit_Droplets_-_0153_-_Path_of_Bhakti_is_to_seek_pleasure_in_pleasing_Krishna_-_IDesireTree.mp3</t>
  </si>
  <si>
    <t>HHRNSM_-_Amrit_Droplets_-_0154_-_Peace_Formula_-_IDesireTree.mp3</t>
  </si>
  <si>
    <t>HHRNSM_-_Amrit_Droplets_-_0155_-_Philosophy_contained_in_a_fascinating_factual_story_is_liked_by_all_-_IDesireTree.mp3</t>
  </si>
  <si>
    <t>HHRNSM_-_Amrit_Droplets_-_0156_-_Please_repeat_after_me_this_important_statement_-_IDesireTree.mp3</t>
  </si>
  <si>
    <t>HHRNSM_-_Amrit_Droplets_-_0157_-_Prabhupad_had_faith_in_his_spiritual_master_%26_the_holy_name_-_IDesireTree.mp3</t>
  </si>
  <si>
    <t>HHRNSM_-_Amrit_Droplets_-_0158_-_Practical_test_to_know_whether_we_are_neophytes_-_IDesireTree.mp3</t>
  </si>
  <si>
    <t>HHRNSM_-_Amrit_Droplets_-_0159_-_Principle_of_Gundicha_Marjanam_-_IDesireTree.mp3</t>
  </si>
  <si>
    <t>HHRNSM_-_Amrit_Droplets_-_0160_-_Provoking_situations_give_us_opportunity_to_become_great_-_IDesireTree.mp3</t>
  </si>
  <si>
    <t>HHRNSM_-_Amrit_Droplets_-_0162_-_Realization%2C_not_intellectualization_is_impressive_to_a_sadhu_-_IDesireTree.mp3</t>
  </si>
  <si>
    <t>HHRNSM_-_Amrit_Droplets_-_0163_-_Root_cause_of_all_disharmony_-_IDesireTree.mp3</t>
  </si>
  <si>
    <t>HHRNSM_-_Amrit_Droplets_-_0164_-_Sense_gratification_%26_Krsna_Consciousness_go_ill_together_-_IDesireTree.mp3</t>
  </si>
  <si>
    <t>HHRNSM_-_Amrit_Droplets_-_0165_-_Serpent_with_a_jewel_is_more_dangerous_than_a_normal_serpent_-_IDesireTree.mp3</t>
  </si>
  <si>
    <t>HHRNSM_-_Amrit_Droplets_-_0167_-_Simplicity_is_the_first_principle_of_spiritual_life_-_IDesireTree.mp3</t>
  </si>
  <si>
    <t>HHRNSM_-_Amrit_Droplets_-_0168_-_Srila_Prabhupad_defining_tolerance_-_IDesireTree.mp3</t>
  </si>
  <si>
    <t>HHRNSM_-_Amrit_Droplets_-_0170_-_Srimad_Bhagavatam_is_a_deity_of_Krishna_-_IDesireTree.mp3</t>
  </si>
  <si>
    <t>HHRNSM_-_Amrit_Droplets_-_0171_-_Systematic_understanding_of_Maya_-_IDesireTree.mp3</t>
  </si>
  <si>
    <t>HHRNSM_-_Amrit_Droplets_-_0173_-_Tolerate_the_provoking_situation_of_Lust_-_IDesireTree.mp3</t>
  </si>
  <si>
    <t>HHRNSM_-_Amrit_Droplets_-_0174_-_Tolerate_the_provoking_situations_of_marriage_-_IDesireTree.mp3</t>
  </si>
  <si>
    <t>HHRNSM_-_Amrit_Droplets_-_0175_-_Two_types_of_glorious_deaths_-_IDesireTree.mp3</t>
  </si>
  <si>
    <t>HHRNSM_-_Amrit_Droplets_-_0180_-_Q_n_A_-_What_is_a_most_popular_belief_in_West_-_IDesireTree.mp3</t>
  </si>
  <si>
    <t>HHRNSM_-_Amrit_Droplets_-_0182_-_Short_Stories_-_Durvasa_Muni_becoming_angry_on_Ambrish_maharaj_-_IDesireTree.mp3</t>
  </si>
  <si>
    <t>HHRNSM_-_Amrit_Droplets_-_0185_-_Short_Stories_-_Gopal_Guru_explaining_the_glory_of_Holy_Name_-_IDesireTree.mp3</t>
  </si>
  <si>
    <t>HHRNSM_-_Amrit_Droplets_-_0186_-_Short_Stories_-_Gopal_Chapal_trying_to_defame_Srivas_Thakur_-_IDesireTree.mp3</t>
  </si>
  <si>
    <t>HHRNSM_-_Amrit_Droplets_-_0187_-_Short_Stories_-_Gajendra_story_in_short_-_IDesireTree.mp3</t>
  </si>
  <si>
    <t>HHRNSM_-_Amrit_Droplets_-_0188_-_Short_Stories_-_Bhrigu_Muni_testing_Brahma_Vishnu_Mahesh_-_IDesireTree.mp3</t>
  </si>
  <si>
    <t>HHRNSM_-_Amrit_Droplets_-_0190_-_We_are_accessing_Krishna_because_great_saints_have_prayed_for_us_-_IDesireTree.mp3</t>
  </si>
  <si>
    <t>HHRNSM_-_Amrit_Droplets_-_0191_-_We_should_know_the_difference_between_Pure_%26_Mixed_Bhakti_-_IDesireTree.mp3</t>
  </si>
  <si>
    <t>HHRNSM_-_Amrit_Droplets_-_0192_-_We_will_fall_down_if_we_are_not_doing_chanting_with_priority_-_IDesireTree.mp3</t>
  </si>
  <si>
    <t>HHRNSM_-_Amrit_Droplets_-_0193_-_What_does_speaking_truth_mean_-_IDesireTree.mp3</t>
  </si>
  <si>
    <t>HHRNSM_-_Amrit_Droplets_-_0194_-_What_does_it_mean_to_control_the_mind_-_IDesireTree.mp3</t>
  </si>
  <si>
    <t>HHRNSM_-_Amrit_Droplets_-_0195_-_What_does_tolerance_mean_-_IDesireTree.mp3</t>
  </si>
  <si>
    <t>HHRNSM_-_Amrit_Droplets_-_0196_-_What_is_Victory_for_a_devotee_-_IDesireTree.mp3</t>
  </si>
  <si>
    <t>HHRNSM_-_Amrit_Droplets_-_0197_-_What_it_means_to_experience_Higher_taste_-_IDesireTree.mp3</t>
  </si>
  <si>
    <t>HHRNSM_-_Amrit_Droplets_-_0198_-_When_we_are_talking_about_mind%2C_we_are_actually_talking_about_heart_-_IDesireTree.mp3</t>
  </si>
  <si>
    <t>HHRNSM_-_Amrit_Droplets_-_0199_-_Why_conflicts_among_vaishnavas_arise_-_IDesireTree.mp3</t>
  </si>
  <si>
    <t>HHRNSM_-_Amrit_Droplets_-_0200_-_What_should_we_pray_while_doing_any_devotional_activity_-_IDesireTree.mp3</t>
  </si>
  <si>
    <t>Disciples_Meeting</t>
  </si>
  <si>
    <t>Disciples_Meeting_-_Radhanath_Swami_2009-05-23_UK.mp3</t>
  </si>
  <si>
    <t>Disciples_Meeting_-_Radhanath_Swami_2009-07-10_UK.mp3</t>
  </si>
  <si>
    <t>Disciples_Meeting_at_Sanjeev_Agarwal%27s_With_HH_GRS_-_Radhanath_Swami_2010-01-03_UK.mp3</t>
  </si>
  <si>
    <t>Gaura_Lila</t>
  </si>
  <si>
    <t>Hindi_Translation</t>
  </si>
  <si>
    <t>Ramayana</t>
  </si>
  <si>
    <t>Ramayana_-_01_The_Great_Demon_Ravana_-_Radhanath_Swami.mp3</t>
  </si>
  <si>
    <t>Ramayana_-_02_The_Glorious_Kingdom_of_Ayodhya_-_Radhanath_Swami.mp3</t>
  </si>
  <si>
    <t>Ramayana_-_03_The_Descent_of_Lord_Rama_-_Radhanath_Swami.mp3</t>
  </si>
  <si>
    <t>Ramayana_-_04_Lord_Ramachandra_Assists_Visvamitra_Muni_-_Radhanath_Swami.mp3</t>
  </si>
  <si>
    <t>Ramayana_-_05_The_Deliverance_of_Ahalya_-_Radhanath_Swami.mp3</t>
  </si>
  <si>
    <t>Ramayana_-_06_The_Marriage_of_Sita_and_Rama_-_Radhanath_Swami.mp3</t>
  </si>
  <si>
    <t>Ramayana_-_07_The_Conspiracy_-_Radhanath_Swami.mp3</t>
  </si>
  <si>
    <t>Ramayana_-_08_Sri_Rama%27s_Banishment_to_the_Forest_-_Radhanath_Swami.mp3</t>
  </si>
  <si>
    <t>Ramayana_-_09_A_Simple_Life_in_the_Forest_-_Radhanath_Swami.mp3</t>
  </si>
  <si>
    <t>Ramayana_-_10_Killing_Demons_in_the_Dandakaranya_Forest_-_Radhanath_Swami.mp3</t>
  </si>
  <si>
    <t>Ramayana_-_11_Encounter_with_the_Demoness_Surpanakha_-_Radhanath_Swami.mp3</t>
  </si>
  <si>
    <t>Ramayana_-_12_The_Kidnapping_of_Sita_-_Radhanath_Swami.mp3</t>
  </si>
  <si>
    <t>Ramayana_-_13_Jatayu%27s_Great_Sacrifice_-_Radhanath_Swami.mp3</t>
  </si>
  <si>
    <t>Ramayana_-_14_Pastimes_of_Sri_Hanuman_-_Radhanath_Swami.mp3</t>
  </si>
  <si>
    <t>Ramayana_-_15_Lord_Rama_Makes_Allies_with_Sugriva_-_Radhanath_Swami.mp3</t>
  </si>
  <si>
    <t>Ramayana_-_16_The_Search_for_Sitadevi_-_Radhanath_Swami.mp3</t>
  </si>
  <si>
    <t>Ramayana_-_17_The_Rescue_of_Sitadevi_-_Radhanath_Swami.mp3</t>
  </si>
  <si>
    <t>Ramayana_-_18_Hanuman_Finds_Sitadevi_-_Radhanath_Swami.mp3</t>
  </si>
  <si>
    <t>Ramayana_-_19_The_Battle_of_Sri_Lanka_-_Radhanath_Swami.mp3</t>
  </si>
  <si>
    <t>Ramayana_-_20_Lord_Rama_Returns_to_Ayodhya_-_Radhanath_Swami.mp3</t>
  </si>
  <si>
    <t>Ramayana_-_21_Sri_Rama%2C_the_Eternal_King_of_Ayodhya_-_Radhanath_Swami.mp3</t>
  </si>
  <si>
    <t>Russian_Translation</t>
  </si>
  <si>
    <t>Short_Clips</t>
  </si>
  <si>
    <t>A_Domestic_Quarrel_In_Gandhiji%27s_Household_-_Radhanath_Swami.mp3</t>
  </si>
  <si>
    <t>A_Standard_Of_Compassion_We_Can_Strive_For_-_Radhanath_Swami.mp3</t>
  </si>
  <si>
    <t>A_Very_Little_Old_Bengali_Widow_-_Radhanath_Swami.mp3</t>
  </si>
  <si>
    <t>Adjust_And_Harmonize_Keeping_In_Mind_The_Higher_Principles_-_Radhanath_Swami.mp3</t>
  </si>
  <si>
    <t>Are_we_Using_Technology_Or_Is_Technology_Using_Us_-_Radhanath_Swami.mp3</t>
  </si>
  <si>
    <t>Are_you_reading_black_or_white_-_Radhanath_Swami.mp3</t>
  </si>
  <si>
    <t>Art_Of_Tolerance_-_Radhanath_Swami.mp3</t>
  </si>
  <si>
    <t>Association_Is_Contagious_-_Radhanath_Swami.mp3</t>
  </si>
  <si>
    <t>Attachment_To_Devotees_Is_Attachment_To_Krishna_-_Radhanath_Swami.mp3</t>
  </si>
  <si>
    <t>Balance_Is_The_Key_To_Success_-_Radhanath_Swami.mp3</t>
  </si>
  <si>
    <t>Being_attracted_to_Krishna_-_Radhanath_Swami.mp3</t>
  </si>
  <si>
    <t>Berries_Of_Affection_-_Radhanath_Swami.mp3</t>
  </si>
  <si>
    <t>Bhakti_Is_To_Turn_Our_Attention_Back_To_The_Lord_-_Radhanath_Swami.mp3</t>
  </si>
  <si>
    <t>Bhakti_The_Yoga_Of_Love_-_Radhanath_Swami.mp3</t>
  </si>
  <si>
    <t>Bhakti_Yoga_Is_About_Tuning_Into_Grace_-_Radhanath_Swami.mp3</t>
  </si>
  <si>
    <t>Bhakti_Yoga_Is_Beautiful_-_Radhanath_Swami.mp3</t>
  </si>
  <si>
    <t>Breaking_Bad_Habits_-_Radhanath_Swami.mp3</t>
  </si>
  <si>
    <t>Building_Self_Confidence_In_Children_-_Radhanath_Swami.mp3</t>
  </si>
  <si>
    <t>Can%27t_we_make_the_connection_-_Radhanath_Swami.mp3</t>
  </si>
  <si>
    <t>Choose_The_Hurricane_Or_The_Harinaam_-_Radhanath_Swami.mp3</t>
  </si>
  <si>
    <t>Cleaning_The_Dust_On_Mirror_-_Radhanath_Swami.mp3</t>
  </si>
  <si>
    <t>Consiousness_Really_Matters_-_Radhanath_Swami.mp3</t>
  </si>
  <si>
    <t>Conviction_and_Inner_Realization_Brings_Satisfaction_-_Radhanath_Swami.mp3</t>
  </si>
  <si>
    <t>Cows_Love_for_Krishna_in_Vrindavan_-_Radhanath_Swami.mp3</t>
  </si>
  <si>
    <t>Creating_Foundation_In_Children_-_Radhanath_Swami.mp3</t>
  </si>
  <si>
    <t>Cultivating_Strong_Intelligence_and_Conviction_-_Radhanath_Swami.mp3</t>
  </si>
  <si>
    <t>Damodarashtakam_-_Radhanath_Swami.mp3</t>
  </si>
  <si>
    <t>Deep_Inside_Everyone_Is_Beautiful_-_Radhanath_Swami.mp3</t>
  </si>
  <si>
    <t>Defining_Yoga_From_Vedic_Perspective.mp3</t>
  </si>
  <si>
    <t>Detachment_And_Compassion_-_Radhanath_Swami.mp3</t>
  </si>
  <si>
    <t>Devoted_To_Each_Other_-_Radhanath_Swami.mp3</t>
  </si>
  <si>
    <t>Different_Levels_Of_Perception_-_Radhanath_Swami%20%282%29.mp3</t>
  </si>
  <si>
    <t>Different_Levels_Of_Perception_-_Radhanath_Swami.mp3</t>
  </si>
  <si>
    <t>Dive_Deeper_Into_The_River_Of_Life_-_Radhanath_Swami.mp3</t>
  </si>
  <si>
    <t>Don%E2%80%99t_Lose_Faith_If_You_Don%E2%80%99t_See_Immediate_Results_-_Radhanath_Swami.mp3</t>
  </si>
  <si>
    <t>Dying_To_Live_-_Radhanath_Swami.mp3</t>
  </si>
  <si>
    <t>Even_Good_Intentions_Should_Be_In_Harmony_With_Divine_Plan_-_Radhanath_Swami.mp3</t>
  </si>
  <si>
    <t>Every_Living_Being_Is_Our_Neighbour_-_Radhanath_Swami.mp3</t>
  </si>
  <si>
    <t>Every_Religious_Path_Is_To_Clean_Our_Heart_-_Radhanath_Swami.mp3</t>
  </si>
  <si>
    <t>Every_Situation_Is_An_Opportunity_To_Express_Love_For_Krishna_-_Radhanath_Swami.mp3</t>
  </si>
  <si>
    <t>Experience_the_Higher_Taste_-_Radhanath_Swami.mp3</t>
  </si>
  <si>
    <t>Failures_Are_Stepping_Stones_To_Success_-_Radhanath_Swami.mp3</t>
  </si>
  <si>
    <t>Fear_And_The_Way_Out_Of_It_-_Radhanath_Swami.mp3</t>
  </si>
  <si>
    <t>For_Relationships_To_Have_Deep_Substance_Meaning_And_Fulfillment_-_Radhanath_Swami.mp3</t>
  </si>
  <si>
    <t>Forgiveness-The_Basis_Of_All_Relatinoships_-_Radhanath_Swami.mp3</t>
  </si>
  <si>
    <t>From_Low_Self_Esteem_To_Self_Confidence_-_Radhanath_Swami.mp3</t>
  </si>
  <si>
    <t>From_Ritual_to_Spiritual_-_Radhanath_Swami.mp3</t>
  </si>
  <si>
    <t>Fundamental_Need_Of_The_World_-_Radhanath_Swami.mp3</t>
  </si>
  <si>
    <t>Glory_Of_The_Holy_Names_-_Radhanath_Swami.mp3</t>
  </si>
  <si>
    <t>Go_Deep_Connect_To_Your_Real_Self_-_Radhanath_Swami.mp3</t>
  </si>
  <si>
    <t>God%2C_The_Original_Power_House_-_Radhanath_Swami.mp3</t>
  </si>
  <si>
    <t>God_And_Terrorism_-_Radhanath_Swami.mp3</t>
  </si>
  <si>
    <t>Golden_rule_for_kirtan_-_Radhanath_Swami.mp3</t>
  </si>
  <si>
    <t>Gratitude_And_Ingratitude_-_Radhanath_Swami.mp3</t>
  </si>
  <si>
    <t>Greatest_Need_In_Today%E2%80%99s_Society_Is_People_Who_Live_By_A_Good_Example_-_Radhanath_Swami.mp3</t>
  </si>
  <si>
    <t>Greatest_Need_Of_Today_is_to_Tolerate_Sectarianism_-_Radhanath_Swami.mp3</t>
  </si>
  <si>
    <t>Greatness_is_Ability_To_Tolerate_Provoking_Situations_-_Radhanath_Swami.mp3</t>
  </si>
  <si>
    <t>Habits_Cover_Our_Logic_And_Intelligence_-_Radhanath_Swami.mp3</t>
  </si>
  <si>
    <t>Hanuman%27s_Yoga_-_Radhanath_Swami.mp3</t>
  </si>
  <si>
    <t>Have_Faith_In_The_Power_Glory_And_Grace_Of_The_Supreme_-_Radhanath_Swami.mp3</t>
  </si>
  <si>
    <t>Hell_into_Heaven_and_Heaven_into_Hell_-_Radhanath_Swami.mp3</t>
  </si>
  <si>
    <t>Here_is_the_holy_name_-_Radhanath_Swami.mp3</t>
  </si>
  <si>
    <t>How_Rich_Are_You_-_Radhanath_Swami.mp3</t>
  </si>
  <si>
    <t>How_Spirituality_Can_Solve_All_World_Problems_-_Radhanath_Swami.mp3</t>
  </si>
  <si>
    <t>How_To_Deal_With_Ecological_Disease_-_Radhanath_Swami.mp3</t>
  </si>
  <si>
    <t>How_To_Deal_With_Frustrations_-_Radhanath_Swami.mp3</t>
  </si>
  <si>
    <t>How_To_Transform_Every_Situation_Into_An_Opportunity_For_Devotional_Service_-_Radhanath_Swami.mp3</t>
  </si>
  <si>
    <t>Humility_-_Radhanath_Swami.mp3</t>
  </si>
  <si>
    <t>Humility_Of_Lord_Chaitanya_-_Radhanath_Swami.mp3</t>
  </si>
  <si>
    <t>Hungry_Heart_Of_A_Child_-_Radhanath_Swami.mp3</t>
  </si>
  <si>
    <t>Hurricanes_Of_The_Mind_-_Radhanath_Swami.mp3</t>
  </si>
  <si>
    <t>Hurt_Yourself_By_Holding_Hatred_-_Radhanath_Swami.mp3</t>
  </si>
  <si>
    <t>Impact_Of_Technology_And_A_Solution_-_Radhanath_Swami.mp3</t>
  </si>
  <si>
    <t>Impossible_Is_A_Word_In_A_Fools_Dictionary_-_Radhanath_Swami.mp3</t>
  </si>
  <si>
    <t>Inspiration_From_Baseball_Player_-_Radhanath_Swami.mp3</t>
  </si>
  <si>
    <t>Integrity_Always_Wins_-_Radhanath_Swami.mp3</t>
  </si>
  <si>
    <t>Is_Technology_Good_Or_Bad_-_Radhanath_Swami.mp3</t>
  </si>
  <si>
    <t>Is_your_mind_your_friend_or_enemy_-_Radhanath_Swami.mp3</t>
  </si>
  <si>
    <t>It%27s_Beautiful_How_Saintly_People_Think_-_Radhanath_Swami.mp3</t>
  </si>
  <si>
    <t>It_doesnt_get_any_better_than_this_-_Radhanath_Swami.mp3</t>
  </si>
  <si>
    <t>It_doesn%E2%80%99t_matter_where_you_stay_-_Radhanath_Swami.mp3</t>
  </si>
  <si>
    <t>It%E2%80%99s_Crucial_To_Have_Spiritual_Foundation_-_Radhanath_Swami.mp3</t>
  </si>
  <si>
    <t>I%E2%80%99ve_Come_To_Give_You_What_You_Forgot_To_Take_-_Radhanath_Swami.mp3</t>
  </si>
  <si>
    <t>Key_To_Success_-_Radhanath_Swami.mp3</t>
  </si>
  <si>
    <t>King_Rantidev_Exemplifies_How_to_Tolerate_Provoking_Situations_-_Radhanath_Swami.mp3</t>
  </si>
  <si>
    <t>Knowledge_can_transform_the_way_we_live_-_Radhanath_Swami.mp3</t>
  </si>
  <si>
    <t>Krishna_Bhakti_In_Vrindavan_-_Radhanath_Swami.mp3</t>
  </si>
  <si>
    <t>Krishna_Comes_As_Bhagavatam_-_Radhanath_Swami.mp3</t>
  </si>
  <si>
    <t>Krishna_is_everywhere_waiting_for_us_-_Radhanath_Swami.mp3</t>
  </si>
  <si>
    <t>Krishna_Reciprocates_With_Everyone_-_Radhanath_Swami.mp3</t>
  </si>
  <si>
    <t>Life_With_Foundation_Of_Principles_-_Radhanath_Swami.mp3</t>
  </si>
  <si>
    <t>Like_A_Rolling_Stone_-_Radhanath_Swami.mp3</t>
  </si>
  <si>
    <t>Lord_Sees_The_Sincerity_And_Integrity_In_Our_Efforts_-_Radhanath_Swami.mp3</t>
  </si>
  <si>
    <t>Love_In_Gods_Home_-_Radhanath_Swami.mp3</t>
  </si>
  <si>
    <t>Love_Of_God_Our_Essential_Nature_-_Radhanath_Swami.mp3</t>
  </si>
  <si>
    <t>Maintaining_Integrity_Despite_Dualities_-_Radhanath_Swami.mp3</t>
  </si>
  <si>
    <t>Marriage_Can_Be_The_Path_To_Perfection_-_Radhanath_Swami.mp3</t>
  </si>
  <si>
    <t>Married_Life_-_Radhanath_Swami.mp3</t>
  </si>
  <si>
    <t>Money_Cannot_Buy_Happiness_-_Radhanath_Swami.mp3</t>
  </si>
  <si>
    <t>Mother_Nature_Teaches_-_Radhanath_Swami.mp3</t>
  </si>
  <si>
    <t>Mutual_Respect_Love_And_Appreciation_In_A_Relationship_-_Radhanath_Swami.mp3</t>
  </si>
  <si>
    <t>My_first_day_in_India_-_Radhanath_Swami.mp3</t>
  </si>
  <si>
    <t>No%21_Spirituality_is_not_about_escaping_the_world_-_Radhanath_Swami.mp3</t>
  </si>
  <si>
    <t>No_Spirituality_is_not_about_escaping_the_world_-_Radhanath_Swami.mp3</t>
  </si>
  <si>
    <t>Offer_The_Best_You_Have_-_Radhanath_Swami.mp3</t>
  </si>
  <si>
    <t>One_Common_Source_-_Radhanath_Swami.mp3</t>
  </si>
  <si>
    <t>Our_Perception_of_Reality_-_Radhanath_Swami.mp3</t>
  </si>
  <si>
    <t>Our_Sweet_Lord_Gopal_-_Radhanath_Swami.mp3</t>
  </si>
  <si>
    <t>Our_Yearning_For_Love_-_Radhanath_Swami.mp3</t>
  </si>
  <si>
    <t>Pain_Maybe_Inevitable_But_Suffering_Is_Optional_-_Radhanath_Swami.mp3</t>
  </si>
  <si>
    <t>People_Take_Shelter_of_Anxieties_Due_To_Conditioning_-_Radhanath_Swami.mp3</t>
  </si>
  <si>
    <t>Positive_Attitude_Is_Incomplete_Without_Spirituality_-_Radhanath_Swami.mp3</t>
  </si>
  <si>
    <t>Positive_Outlook_Even_While_Dying_-_Radhanath_Swami.mp3</t>
  </si>
  <si>
    <t>Power_Of_Forgiveness_Exemplified_-_Radhanath_Swami.mp3</t>
  </si>
  <si>
    <t>Power_Of_Unity_-_Radhanath_Swami.mp3</t>
  </si>
  <si>
    <t>Propaganda_Influences_Our_Perceptions_-_Radhanath_Swami.mp3</t>
  </si>
  <si>
    <t>Radhe_Jaya_Jaya_Madhava_Daiyte_-_Radhanath_Swami.mp3</t>
  </si>
  <si>
    <t>Ramayana%2C_From_An_Ecological_Perspective_-_Radhanath_Swami.mp3</t>
  </si>
  <si>
    <t>Ramayana_From_An_Ecological_Perspective_-_Radhanath_Swami.mp3</t>
  </si>
  <si>
    <t>Real_Compassion_-_Radhanath_Swami.mp3</t>
  </si>
  <si>
    <t>Real_inner_strength_real_success_-_Radhanath_Swami.mp3</t>
  </si>
  <si>
    <t>Real_Poverty_is_of_The_Heart_-_Radhanath_Swami.mp3</t>
  </si>
  <si>
    <t>Real_Renunciation_Through_Humility_-_Radhanath_Swami.mp3</t>
  </si>
  <si>
    <t>Real_spiritual_enlightenment_-_Radhanath_Swami.mp3</t>
  </si>
  <si>
    <t>Real_Success_In_Life_Is_To_Please_God_-_Radhanath_Swami.mp3</t>
  </si>
  <si>
    <t>Recognizing_The_Sacredness_Of_Our_Life_Leads_to_Compassion_for_others_-_Radhanath_Swami.mp3</t>
  </si>
  <si>
    <t>Relationships_-_Radhanath_Swami.mp3</t>
  </si>
  <si>
    <t>Religion_Is_Not_About_Cutting_Another%27s_Throat_-_Radhanath_Swami.mp3</t>
  </si>
  <si>
    <t>Renounce_Your_Ego_-_Radhanath_Swami.mp3</t>
  </si>
  <si>
    <t>Revelation_Of_The_Holy_Name_-_Radhanath_Swami.mp3</t>
  </si>
  <si>
    <t>Root_Cause_Of_Envy_-_Radhanath_Swami.mp3</t>
  </si>
  <si>
    <t>Sacisutashtakam_-_Radhanath_Swami.mp3</t>
  </si>
  <si>
    <t>Seeing_The_Potential_-_Radhanath_Swami.mp3</t>
  </si>
  <si>
    <t>Simple_Living_High_Thinking_-_Radhanath_Swami.mp3</t>
  </si>
  <si>
    <t>Sincere_Prayers_Never_go_in_Vain_-_Radhanath_Swami.mp3</t>
  </si>
  <si>
    <t>So_Many_Miracles_-_Radhanath_Swami.mp3</t>
  </si>
  <si>
    <t>Spiritual_Globalization_-_Radhanath_Swami.mp3</t>
  </si>
  <si>
    <t>Srila_Prabhupada-The_Perfect_Example_of_Renunciation_-_Radhanath_Swami.mp3</t>
  </si>
  <si>
    <t>Stop_Worrying_Start_Living_-_Radhanath_Swami.mp3</t>
  </si>
  <si>
    <t>Striving_For_The_Highest_Ideals_-_Radhanath_Swami.mp3</t>
  </si>
  <si>
    <t>Surrender_Perhaps_Thats_The_Sacry_Part_-_Radhanath_Swami.mp3</t>
  </si>
  <si>
    <t>That_Gives_Us_Life_Enthusiasm_And_Happiness_-_Radhanath_Swami.mp3</t>
  </si>
  <si>
    <t>That_Is_The_Power_Of_The_Name_-_Radhanath_Swami.mp3</t>
  </si>
  <si>
    <t>That_Is_Victory_-_Radhanath_Swami.mp3</t>
  </si>
  <si>
    <t>Thats_what_it_means_to_be_an_advanced_devotee_-_Radhanath_Swami.mp3</t>
  </si>
  <si>
    <t>The_Art_Of_Self_Confidence_-_Radhanath_Swami.mp3</t>
  </si>
  <si>
    <t>The_Challenges_To_Bhakti_In_a_City_-_Radhanath_Swami.mp3</t>
  </si>
  <si>
    <t>The_Connection_Between_Cleaning_Heart_And_Cleaning_Habits_-_Radhanath_Swami.mp3</t>
  </si>
  <si>
    <t>The_Desire_To_Love_And_Be_Loved_-_Radhanath_Swami.mp3</t>
  </si>
  <si>
    <t>The_Essential_Quality_Of_Renunciation_Is_Humility_-_Radhanath_Swami.mp3</t>
  </si>
  <si>
    <t>The_Greatest_Problem_Is_The_Hungry_Heart_-_Radhanath_Swami.mp3</t>
  </si>
  <si>
    <t>The_Hope_To_Be_An_Instrument_Of_God_Is_Incredibly_Wonderful_-_Radhanath_Swami.mp3</t>
  </si>
  <si>
    <t>The_Medicine_Of_Holy_Name_-_Radhanath_Swami.mp3</t>
  </si>
  <si>
    <t>The_Mind_Is_Like_A_Monkey_-_Radhanath_Swami.mp3</t>
  </si>
  <si>
    <t>The_Power_To_Change_-_Radhanath_Swami.mp3</t>
  </si>
  <si>
    <t>The_principle_of_Karma_-_Radhanath_Swami.mp3</t>
  </si>
  <si>
    <t>The_reasons_behind_natural_calamities_-_Radhanath_Swami.mp3</t>
  </si>
  <si>
    <t>The_Root_Cause_Of_Fear_-_Radhanath_Swami.mp3</t>
  </si>
  <si>
    <t>The_Secret_Of_Enthusiasm_And_Happiness_-_Radhanath_Swami.mp3</t>
  </si>
  <si>
    <t>The_Spoilt_Child_-_Radhanath_Swami.mp3</t>
  </si>
  <si>
    <t>The_Ultimate_Prayer_-_Radhanath_Swami.mp3</t>
  </si>
  <si>
    <t>The_Way_To_Complete_Confidence_Enthusiasm_and_Preseverance_-_Radhanath_Swami.mp3</t>
  </si>
  <si>
    <t>The_Yuga_Avatar_-_Radhanath_Swami.mp3</t>
  </si>
  <si>
    <t>There_Is_No_Environmental_Crisis._-_Radhanath_Swami.mp3</t>
  </si>
  <si>
    <t>This_Is_Real_Kirtan_-_Radhanath_Swami.mp3</t>
  </si>
  <si>
    <t>This_world_is_a_mirror_of_our_own_consiousness_-_Radhanath_Swami.mp3</t>
  </si>
  <si>
    <t>Three_Types_Of_Persons_Performing_their_Duties_-_Radhanath_Swami.mp3</t>
  </si>
  <si>
    <t>Three_Views_Of_The_World_-_Radhanath_Swami.mp3</t>
  </si>
  <si>
    <t>Thus_Spake_An_American_Indian_-_Radhanath_Swami.mp3</t>
  </si>
  <si>
    <t>Time_is_so_Precious_01_-_Radhanath_Swami.mp3</t>
  </si>
  <si>
    <t>Time_is_so_Precious_02_-_Radhanath_Swami.mp3</t>
  </si>
  <si>
    <t>To_fail_is_not_much_of_a_loss_-_Radhanath_Swami.mp3</t>
  </si>
  <si>
    <t>Tolerate_Honor_without_Becoming_Arrogant_-_Radhanath_Swami.mp3</t>
  </si>
  <si>
    <t>True_Greatness_-_Radhanath_Swami.mp3</t>
  </si>
  <si>
    <t>Unity_Is_Strength_-_Radhanath_Swami.mp3</t>
  </si>
  <si>
    <t>Uprooting_The_Weeds_Of_Bad_Habits_-_Radhanath_Swami.mp3</t>
  </si>
  <si>
    <t>Utilizing_Technology_for_a_Higher_Cause_-_Radhanath_Swami.mp3</t>
  </si>
  <si>
    <t>Vedas_Teach_Us_the_Ultimate_Goal_of_Life_-_Radhanath_Swami.mp3</t>
  </si>
  <si>
    <t>Vedic_Perspective_On_Climatic_Change_-_Radhanath_Swami.mp3</t>
  </si>
  <si>
    <t>Vision_means_seeing_the_invisible_-_Radhanath_Swami.mp3</t>
  </si>
  <si>
    <t>We_All_Have_An_Opportunity_To_Do_Something_Wonderful_-_Radhanath_Swami.mp3</t>
  </si>
  <si>
    <t>We_Always_Have_The_Free_Will_Power_To_Choose_-_Radhanath_Swami.mp3</t>
  </si>
  <si>
    <t>We_Become_One_With_The_Supreme_Through_Our_Love_-_Radhanath_Swami.mp3</t>
  </si>
  <si>
    <t>What_is_Death_-_Radhanath_Swami.mp3</t>
  </si>
  <si>
    <t>What_Is_Real_Self_Confidence_-_Radhanath_Swami.mp3</t>
  </si>
  <si>
    <t>What_Makes_a_Person_Great_-_Radhanath_Swami.mp3</t>
  </si>
  <si>
    <t>What_Should_Be_Our_Consciousness_While_Helping_Others_-_Radhanath_Swami.mp3</t>
  </si>
  <si>
    <t>What_We_Should_Be_Striving_For_At_Each_Moment_-_Radhanath_Swami.mp3</t>
  </si>
  <si>
    <t>When_A_Devotee_Prays_For_Us_-_Radhanath_Swami.mp3</t>
  </si>
  <si>
    <t>When_Agitated_Lonely_Or_Bored_-_Radhanath_Swami.mp3</t>
  </si>
  <si>
    <t>When_Hell_Became_Heaven_For_Me_-_Radhanath_Swami.mp3</t>
  </si>
  <si>
    <t>When_You_Taste_The_Nectar_Of_Krishna_-_Radhanath_Swami.mp3</t>
  </si>
  <si>
    <t>Where_Is_God_-_Radhanath_Swami.mp3</t>
  </si>
  <si>
    <t>Wheres_the_Bhava_-_Radhanath_Swami.mp3</t>
  </si>
  <si>
    <t>Whether_I_Win_Or_Lose_Let_It_Be_But_I%E2%80%99m_Going_To_Try_-_Radhanath_Swami.mp3</t>
  </si>
  <si>
    <t>Whom_To_Associate_With_-_Radhanath_Swami.mp3</t>
  </si>
  <si>
    <t>Why_common_sense_is_so_uncommon_-_Radhanath_Swami.mp3</t>
  </si>
  <si>
    <t>Why_Do_We_Offer_A_Garland_-_Radhanath_Swami.mp3</t>
  </si>
  <si>
    <t>Why_Is_It_Called_Mahamantra_-_Radhanath_Swami.mp3</t>
  </si>
  <si>
    <t>Why_Should_We_Pray_-_Radhanath_Swami.mp3</t>
  </si>
  <si>
    <t>Winning_The_Game_Of_Life_-_Radhanath_Swami.mp3</t>
  </si>
  <si>
    <t>With_Inner_Peace_We_Can_Tolerate_Anger_-_Radhanath_Swami.mp3</t>
  </si>
  <si>
    <t>Yoga_Of_Marriage_-_Radhanath_Swami.mp3</t>
  </si>
  <si>
    <t>Yoga_Of_The_Ocean_and_The_Drop_-_Radhanath_Swami.mp3</t>
  </si>
  <si>
    <t>You%E2%80%99ve_Got_The_Boat_Get_The_Compass_And_Captain_-_Radhanath_Swami.mp3</t>
  </si>
  <si>
    <t>The_Journey_Home-Audio_Book</t>
  </si>
  <si>
    <t>Bhajans</t>
  </si>
  <si>
    <t>1989-001_India_The_Land_Of_Dharma_Lecture_Mumbai_-_Radhanath_Swami_1989-01-13_IDesireTree.mp3</t>
  </si>
  <si>
    <t>1989-002_Constructive_Work_Lecture_Mumbai_-_Radhanath_Swami_1989-01-20_IDesireTree.mp3</t>
  </si>
  <si>
    <t>1989-003_The_Goal_Of_Life_BG-2_47_Mumbai_-_Radhanath_Swami_1989-02-17_IDesireTree.mp3</t>
  </si>
  <si>
    <t>1989-004_Unfortunates_Are_Fortunates_SB-07_15_68_Mumbai_-_Radhanath_Swami_1989-03-29_IDesireTree.mp3</t>
  </si>
  <si>
    <t>1989-005_A_Devotee_Is_Not_Impressed_By_Magician_SB-08_01_01-02_Mumbai_-_18-04-89_IDesireTree.mp3</t>
  </si>
  <si>
    <t>1989-006_Hanuman_Lord_Rama%27s_Foremost_Servitor_Lecture_NV_-_27-4-89_IDesireTree.mp3</t>
  </si>
  <si>
    <t>1989-007_Krsna_is_Our_Only_Shelter_SB-07_09_40_NV_-_Radhanath_Swami_89_IDesireTree.mp3</t>
  </si>
  <si>
    <t>1989-008_Proper_Behaviour_of_a_Brahmacari_SB_NV_-_Radhanath_Swami_1989-06-27_IDesireTree.mp3</t>
  </si>
  <si>
    <t>1989-009_Roomconversation_-_Family_Life_in_KC_Lecture_-_28-6-89_IDesireTree.mp3</t>
  </si>
  <si>
    <t>1989-010_Overcoming_Lust_Lecture_NV_-_Radhanath_Swami_1989-07-01_IDesireTree.mp3</t>
  </si>
  <si>
    <t>1989-011_An_Empty_Husk_Lecture_Mumbai_-_Radhanath_Swami_1989-07-08_IDesireTree.mp3</t>
  </si>
  <si>
    <t>1989-012_The_Correct_Anchorage_BG-08_28_Mumbai_-_Radhanath_Swami_1989-07-09_IDesireTree.mp3</t>
  </si>
  <si>
    <t>1989-013_Charity_BG-15_18_Mumbai_-_Radhanath_Swami_1989-07-16_IDesireTree.mp3</t>
  </si>
  <si>
    <t>1989-014_Marriage_In_Krishna_Consciousness_Lecture_Mumbai_-_16-07-89_IDesireTree.mp3</t>
  </si>
  <si>
    <t>1989-015_Headline_In_Newspaper_SB-01_02_08_Mumbai_-_Radhanath_Swami_1989-07-17_IDesireTree.mp3</t>
  </si>
  <si>
    <t>1989-016_Sanatan_Goswami_Disappearance_Day_Lecture_Mumbai_-_18-07-89_IDesireTree.mp3</t>
  </si>
  <si>
    <t>1989-017_Take_The_Medicine_BG-05_20_Mumbai_-_Radhanath_Swami_1989-07-20_IDesireTree.mp3</t>
  </si>
  <si>
    <t>1989-018_Story_of_Gajendra_SB-01_13_43_Mumbai_-_Radhanath_Swami_1989-07-21_IDesireTree.mp3</t>
  </si>
  <si>
    <t>1989-019_How_To_Be_Krishna_Consciousness_Q%26A_Mumbai_-_Radhanath_Swami__1989-07-21_IDesireTree.mp3</t>
  </si>
  <si>
    <t>1989-020_Punch_Your_Way_Back_Home_Back_To_Godhead_SB-_07_11_16_Mumbai_-_26-9-89_IDesireTree.mp3</t>
  </si>
  <si>
    <t>1989-021_Honesty_Among_Thieves_Lecture_Mumbai_-_Radhanath_Swami_1989-07-23_IDesireTree.mp3</t>
  </si>
  <si>
    <t>1989-022_Why_Is_Krishna_Dancing_With_Gopis_Mumbai_-_Radhanath_Swami_1989-07-23_IDesireTree.mp3</t>
  </si>
  <si>
    <t>1989-023_Krishna_Knows_What_Is_Best_for_You_BG-07_19_Mumbai_-_30-07-89_IDesireTree.mp3</t>
  </si>
  <si>
    <t>1989-024_Responsible_Citizens_Lecture_Mumbai_-_Radhanath_Swami_1989-07-31_IDesireTree.mp3</t>
  </si>
  <si>
    <t>1989-025_Humble_And_Tolerant_SB-07_10_5_Mumbai_-_Radhanath_Swami_1989-08-03_IDesireTree.mp3</t>
  </si>
  <si>
    <t>1989-027_Understand_Your_Position_SB-01_09_30_Mumbai_-_Radhanath_Swami_1989-08-08_IDesireTree.mp3</t>
  </si>
  <si>
    <t>1989-027_Understand_Your_Position_SB-07_10_07_Mumbai_-_08-08-89_IDesireTree.mp3</t>
  </si>
  <si>
    <t>1989-028_The_Disrobing_Of_Draupadi_BG-04_11_Mumbai_-_Radhanath_Swami_1989-08-20_new_IDesireTree.mp3</t>
  </si>
  <si>
    <t>1989-029_The_Way_To_Ultimate_Happiness_Lecture_At_Ur_Champaks_Res_Mumbai_-_21-08-89_IDesireTree.mp3</t>
  </si>
  <si>
    <t>1989-030_The_Meaning_Of_Religion_BG-04_07-09_Mumbai_-_Radhanath_Swami_1989-08-22_IDesireTree.mp3</t>
  </si>
  <si>
    <t>1989-031_Real_Krishna_Consciousness_SB-07_10_10_Mumbai_-_Radhanath_Swami_1989-08-22_IDesireTree.mp3</t>
  </si>
  <si>
    <t>1989-032_Self_Management_Lecture_Mumbai_-_Radhanath_Swami_1989-08-23_IDesireTree.mp3</t>
  </si>
  <si>
    <t>1989-033_Devotee_Is_Equipoised_SB-07_10_12_Mumbai_-_Radhanath_Swami_1989-08-24_IDesireTree.mp3</t>
  </si>
  <si>
    <t>1989-034_Your%27s_Ever_Well_Wisher_Lecture_Mumbai_-_Radhanath_Swami_1989-08-25_IDesireTree.mp3</t>
  </si>
  <si>
    <t>1989-035_Lord%27s_Inconceivable_Ways_Lecture_Mumbai_-_Radhanath_Swami_1989-08-25_IDesireTree.mp3</t>
  </si>
  <si>
    <t>1989-036_How_To_Please_Krishna_SB-07_10_14_Mumbai_-_Radhanath_Swami_1989-08-28_IDesireTree.mp3</t>
  </si>
  <si>
    <t>1989-037_Forgiveness_Lecture_Mumbai_-_Radhanath_Swami_1989-08-29_IDesireTree.mp3</t>
  </si>
  <si>
    <t>1989-038_Who_Is_Most_dear_To_Krishna_BG-18_68_Mumbai_-_29-08-89_IDesireTree.mp3</t>
  </si>
  <si>
    <t>1989-039_The_Twelve_Steps_Of_Alcoholic_Anonymous_Lecture_Mumbai_-_31-08-89_IDesireTree.mp3</t>
  </si>
  <si>
    <t>1989-040_Stop_Trusting_Your_Mind_Lecture_Mumbai_-_Radhanath_Swami_1989-09-01_IDesireTree.mp3</t>
  </si>
  <si>
    <t>1989-041_The_Master_Never_Leaves_His_Disciples_Lecture_Mumbai_-_03-09-89_IDesireTree.mp3</t>
  </si>
  <si>
    <t>1989-043_We_Are_Never_Safe_In_Material_World_Lecture_Mumbai_-_07-09-89_IDesireTree.mp3</t>
  </si>
  <si>
    <t>1989-044_Obey_Your_Spiritual_Master_Q%26A_Mumbai_-_Radhanath_Swami_1989-09-22_IDesireTree.mp3</t>
  </si>
  <si>
    <t>1989-045_Differance_Between_Devotees_%26_Demigods_SB-7_10_31-35_Mumbai_-_23-09-89_IDesireTree.mp3</t>
  </si>
  <si>
    <t>1989-046_Not_Bad_Not_Mad__But_Sick_Lecture_Mumbai_-_Radhanath_Swami_1989-09-23_IDesireTree.mp3</t>
  </si>
  <si>
    <t>1989-047_Servant_Of_Krishna_BG-02_44_Mumbai_-_Radhanath_Swami_1989-09-24_IDesireTree.mp3</t>
  </si>
  <si>
    <t>1989-048_Merciful_Like_Ganga_Jamuna_SB-07_10_36-38_Mumbai_-_Radhanath_Swami_1989-09-_IDesireTree.mp3</t>
  </si>
  <si>
    <t>1989-049_Becoming_Peaceful_SB-08_05_47_Mumbai_-_Radhanath_Swami_1989-09-24_IDesireTree.mp3</t>
  </si>
  <si>
    <t>1989-050_Hare_Krishna_-_Radhanath_Swami_IDesireTree.mp3</t>
  </si>
  <si>
    <t>1989-051_Preparing_For_Death_SB-07_10_39_Mumbai_-_Radhanath_Swami_1989-09-25_IDesireTree.mp3</t>
  </si>
  <si>
    <t>1989-052_Real_Opulence_Is_Renunciation_SB-07_11_16_Mumbai_-_26-09-89_IDesireTree.mp3</t>
  </si>
  <si>
    <t>1989-053_Utter_Dependence_Lecture_Mumbai_-_Radhanath_Swami_1989-09-26_IDesireTree.mp3</t>
  </si>
  <si>
    <t>1989-054_Punch_Your_Way_Back_Home_Back_To_Godhead_SB-07_10_40_Mumbai_-_27-09-89_IDesireTree.mp3</t>
  </si>
  <si>
    <t>1989-055_Studying_Bhagavatam_SB-07_10_43-44_Mumbai_-_Radhanath_Swami_1989-09-28_IDesireTree.mp3</t>
  </si>
  <si>
    <t>1989-056_Faith_Lecture_Mumbai_-_Radhanath_Swami_1989-09-29_IDesireTree.mp3</t>
  </si>
  <si>
    <t>1989-057_Krishna_Reciprocates_To_Your_Desire_SB-07_01_03_Mumbai_-_29-09-89_IDesireTree.mp3</t>
  </si>
  <si>
    <t>1989-058_In_Spiritual_World_Everything_Is_Personal_SB-03_21_07_Mumbai_-_29-09-89_IDesireTree.mp3</t>
  </si>
  <si>
    <t>1989-059_True_Parented_Love_SB-07_10_18_Mumbai_-_Radhanath_Swami_1989-09-30_IDesireTree.mp3</t>
  </si>
  <si>
    <t>1989-06-27_SB_07-12-08_-_Radhanath_Swami_New_Vrindavan.mp3</t>
  </si>
  <si>
    <t>1989-060_Controlling_The_Mind_BG-06_05_Mumbai_-_Radhanath_Swami_1989-10-01_IDesireTree.mp3</t>
  </si>
  <si>
    <t>1989-061_Story_Of_Sri_Sudama_VP-1_19_65_Mumbai_-_Radhanath_Swami_1989-10-01_IDesireTree.mp3</t>
  </si>
  <si>
    <t>1989-062_Pride_Lecture_Mumbai_-_Radhanath_Swami_1989-10-05_IDesireTree.mp3</t>
  </si>
  <si>
    <t>1989-063_Will_You_Be_A_Kitten_Or_Rat_BG-11_36_Mumbai_-_Radhanath_Swami_1989-10-05_IDesireTree.mp3</t>
  </si>
  <si>
    <t>1989-064_Krishna_Consciousness_For_Everyone_Lecture_Mumbai_-_06-10-89_IDesireTree.mp3</t>
  </si>
  <si>
    <t>1989-065_Entering_The_Supreme_Mystery_SB-07_10_50_Mumbai_-_6-10-89_IDesireTree.mp3</t>
  </si>
  <si>
    <t>1989-066_Overcoming_Lust_Lecture_Mumbai_-_Radhanath_Swami_1989-10-07_IDesireTree.mp3</t>
  </si>
  <si>
    <t>1989-067_Bhakti-_The_Process_Of_Becoming_Greater_Than_God_Lecture_Mumbai_-_15-10-89_IDesireTree.mp3</t>
  </si>
  <si>
    <t>1989-068_God_Is_Love_Lecture_Mumbai_-_Radhanath_Swami_1989-10-15_IDesireTree.mp3</t>
  </si>
  <si>
    <t>1989-069_Bhagavad_Gita_Rejects_Piety_BG-02_45_Mumbai_-_Radhanath_Swami_1989-10-18_IDesireTree.mp3</t>
  </si>
  <si>
    <t>1989-070_Without_Mercy_Of_Lord_We_Are_Hopeless_BG-08_15_Mumbai_-_19-10-89_IDesireTree.mp3</t>
  </si>
  <si>
    <t>1989-071_Fake_Godman_CC_-_Radhanath_Swami_IDesireTree.mp3</t>
  </si>
  <si>
    <t>1989-072_Fool_Number_One_Lecture_Mumbai_-_Radhanath_Swami_1989-10-30_IDesireTree.mp3</t>
  </si>
  <si>
    <t>1989-073_Do_Not_Believe_In_This_World_Lecture_Mumbai_-_Radhanath_Swami_1989-10-21_IDesireTree.mp3</t>
  </si>
  <si>
    <t>1989-074_Holyday_not_holiday_Lecture_Mumbai_-_Radhanath_Swami_1989-10-29_IDesireTree.mp3</t>
  </si>
  <si>
    <t>1989-075_Spiritual_Life_Means_To_Give_Q%26A_Mumbai_-_Radhanath_Swami_1989-10-30_IDesireTree.mp3</t>
  </si>
  <si>
    <t>1989-076_Meditation_On_The_Month_Of_Damodar_BG-04_09_Mumbai_-_22-10-89_IDesireTree.mp3</t>
  </si>
  <si>
    <t>1989-077_Who_Is_Crazy_SB-05_05_04_Mumbai_-_Radhanath_Swami_1989-10-23_IDesireTree.mp3</t>
  </si>
  <si>
    <t>1989-078_Self_Management_-_BG-06_06_Mumbai_-_Radhanath_Swami_1989-10-25_IDesireTree.mp3</t>
  </si>
  <si>
    <t>1989-079_How_To_Be_Krishna_Conscious_Q%26A_Mumbai_-_Radhanath_Swami_1989-10-28_new_IDesireTree.mp3</t>
  </si>
  <si>
    <t>1989-08-22_SB_07-10-10_-_Radhanath_Swami_Mumbai.mp3</t>
  </si>
  <si>
    <t>1989-080_Behaviour_Of_A_Perfect_Person_SB-07_13_11-17_Mumbai_-_23-12-89_IDesireTree.mp3</t>
  </si>
  <si>
    <t>1989-081_Never_Become_Lazy_SB-07_13_18-21_Mumbai_-_Radhanath_Swami_1989-12-24_IDesireTree.mp3</t>
  </si>
  <si>
    <t>1989-082_Approach_God_Through_His_Servant_BG-04_19_Mumbai_-_24-12-89_IDesireTree.mp3</t>
  </si>
  <si>
    <t>1989-083_Krishnizing_The_Senses_BG-10_36_Mumbai_-_Radhanath_Swami_1989-12-26_IDesireTree.mp3</t>
  </si>
  <si>
    <t>1989-084_Material_Enjoyment-_Danger_At_Every_Step_SB-07_13_24_Mumbai_-_27-12-89_IDesireTree.mp3</t>
  </si>
  <si>
    <t>1989-085_Visit_Holy_Places_To_Purify_Consciousness_Lecture_Mumbai_-_1989-12-27_IDesireTree.mp3</t>
  </si>
  <si>
    <t>1989-086_Evolution_SB-07_13_25_Mumbai_-_Radhanath_Swami_1989-12-28_IDesireTree.mp3</t>
  </si>
  <si>
    <t>1989-087_Conquering_The_Enemy_Of_Lust_SB-07_13_26_Mumbai_-_29-12-89_IDesireTree.mp3</t>
  </si>
  <si>
    <t>1989-088_Depending_On_Krishna_SB-07_13_27_Mumbai_-_Radhanath_Swami_1989-12-30_IDesireTree.mp3</t>
  </si>
  <si>
    <t>1989-089_No_Realization_Without_Service_BG-09_14_Mumbai_-_Radhanath_Swami_1989-12-30_IDesireTree.mp3</t>
  </si>
  <si>
    <t>1989-090_Simply_For_Devotees_Pleasure_BG-12_02_Mumbai_-_Radhanath_Swami_1989-12-31_IDesireTree.mp3</t>
  </si>
  <si>
    <t>1989-091_Srila_Jiva_Goswami_Lecture_Mumbai_-_Radhanath_Swami_1989-12-31_IDesireTree.mp3</t>
  </si>
  <si>
    <t>1990-001_Servant_Of_Servant_Lecture_Mumbai_-_Radhanath_Swami_1990-02-02_IDesireTree.mp3</t>
  </si>
  <si>
    <t>1990-002_Whatever_Krishna_Does_Is_Perfect_BG-08_IDesireTree.mp3</t>
  </si>
  <si>
    <t>1990-003_Dont_Be_Like_A_Bumble_Bee_SB-07_13_35-36_Mumbai_-_07-01-90_IDesireTree.mp3</t>
  </si>
  <si>
    <t>1990-004_Perfection_Of_Renunciation_BG-18_46_Mumbai_-_Radhanath_Swami_1990-01-07_IDesireTree.mp3</t>
  </si>
  <si>
    <t>1990-005_A_Leaf_a_Flower_A_fruit_IDesireTree_-_Radhanath_Swami.mp3</t>
  </si>
  <si>
    <t>1990-006_Spiritual_Progress_SB-07_13_45_Mumbai_-_Radhanath_Swami_1990-01-12_IDesireTree.mp3</t>
  </si>
  <si>
    <t>1990-007_Greatest_charity_to_others_Lecture_Mumbai_-_Radhanath_Swami_1990-01-14_IDesireTree.mp3</t>
  </si>
  <si>
    <t>1990-008_Why_I_Can%27t_Be_Like_That_SB-07_14_02_Mumbai_-_Radhanath_Swami_1990-01-15_IDesireTree.mp3</t>
  </si>
  <si>
    <t>1990-009_Finding_Peace_in_Chaos_Lecture_Mumbai_-_Radhanath_Swami_1990-01-17_IDesireTree.mp3</t>
  </si>
  <si>
    <t>1990-010_The_Essence_Of_Vedas_BNP-03_08_126_Pune_-_Radhanath_Swami_1990-01-19_IDesireTree.mp3</t>
  </si>
  <si>
    <t>1990-011_Why_Bhisma_Fought_Against_Pandavas_SB-01_09_16_Pune_-_20-01-90_IDesireTree.mp3</t>
  </si>
  <si>
    <t>1990-012_Greatest_Things_Is_To_Become_Servant_BG-06_47_-_Radhanath_Swami_1990-01-28_IDesireTree.mp3</t>
  </si>
  <si>
    <t>1990-013_The_Story_Of_Ajamila_Lecture_Mumbai_-_Radhanath_Swami_1990-01-28_IDesireTree.mp3</t>
  </si>
  <si>
    <t>1990-014_No_Pain_No_Gain_SB-07_14_18_-_Radhanath_Swami_1990-01-29_IDesireTree.mp3</t>
  </si>
  <si>
    <t>1990-015_The_Power_Of_Association_Of_Saintly_Persons_SB-07_14_29_Mumbai_-_01-02-90_IDesireTree.mp3</t>
  </si>
  <si>
    <t>1990-016_Afraid_To_Worship_Lord_Hari_Lecture_Mumbai_-_Radhanath_Swami_1990-02-03_IDesireTree.mp3</t>
  </si>
  <si>
    <t>1990-017_Cat_Dog_Camel_Lecture_Mumbai_-_Radhanath_Swami_1990-02-04_IDesireTree.mp3</t>
  </si>
  <si>
    <t>1990-018_Personalism_vs_Impersonalism_Lecture_Mumbai_-_Radhanath_Swami_1990-02-04_IDesireTree.mp3</t>
  </si>
  <si>
    <t>1990-019_Glories_of_the_Great_King_SB-07_14_35_Mumbai_-_Radhanath_Swami_1990-02-05_IDesireTree.mp3</t>
  </si>
  <si>
    <t>1990-020_The_Secret_Of_Proper_Chanting_SMSKM-2_Mumbai_-_Radhanath_Swami_1990-02-11_IDesireTree.mp3</t>
  </si>
  <si>
    <t>1990-021_If_You_Are_Looking_For_Krishna_You_Will_Find_Him_SB-10_14_Mumbai_-_17-02-90_IDesireTree.mp3</t>
  </si>
  <si>
    <t>1990-022_Lord_Nityananda_Appearance_Day_VS-1_1_12_Mumbai_-_17-02-90_IDesireTree.mp3</t>
  </si>
  <si>
    <t>1990-023_Discipline_BG-02_64_Mumbai_-_Radhanath_Swami_1990-02-19_IDesireTree.mp3</t>
  </si>
  <si>
    <t>1990-024_Making_Chicago_Into_Vaikuntha_MT_-_Lecture_Mumbai_-_22-02-90_IDesireTree.mp3</t>
  </si>
  <si>
    <t>1990-025_Vyasa_Puja_BVM_1_-_Radhanath_Swami_IDesireTree.mp3</t>
  </si>
  <si>
    <t>1990-026_For_His_Pleasure_CC_-_Radhanath_Swami_IDesireTree.mp3</t>
  </si>
  <si>
    <t>1990-027_Who_Is_Perfect_Yogi_BG-06_32_Mumbai_-_Radhanath_Swami_1990-03-11_IDesireTree.mp3</t>
  </si>
  <si>
    <t>1990-028_The_Only_Qaulification_Required_Lecture_Mumbai_-_Radhanath_Swami_1990-03-11_IDesireTree.mp3</t>
  </si>
  <si>
    <t>1990-029_Lord_Chaitanya-_Incarnation_Of_Lord_Sri_Krishna_Lecture_Mumbai_-_11-03-90_IDesireTree.mp3</t>
  </si>
  <si>
    <t>1990-030_Six_Characteristics_Of_Pure_Devotional_Service_Lecture_Mumbai_-_18-03-90_IDesireTree.mp3</t>
  </si>
  <si>
    <t>1990-031_The_Real_Vairagya_SB-07_14_46_Mumbai_-_Radhanath_Swami_1990-03-21_IDesireTree.mp3</t>
  </si>
  <si>
    <t>1990-032_Apparent_Contradiction_In_Scriptures_SB-07_15_47_Mumbai_-_22-03-90_IDesireTree.mp3</t>
  </si>
  <si>
    <t>1990-033_Purification_SB-07_15_52_Mumbai_-_Radhanath_Swami_1990-03-24_IDesireTree.mp3</t>
  </si>
  <si>
    <t>1990-034_Explaining_Different_Philosophies_SB-07_15_58_Mumbai_-_25-03-90_IDesireTree.mp3</t>
  </si>
  <si>
    <t>1990-035_Nourishing_The_Spiritual_Plant_SB-07_15_52_Mumbai_-_25-03-90_IDesireTree.mp3</t>
  </si>
  <si>
    <t>1990-036_Don%27t_Complain_SB-07_15_72_Mumbai_-_Radhanath_Swami_1990-03-26_IDesireTree.mp3</t>
  </si>
  <si>
    <t>1990-037_The_Key_To_Success_SB-07_15_58_Mumbai_-_Radhanath_Swami_1990-04-08_IDesireTree.mp3</t>
  </si>
  <si>
    <t>1990-038_Krishna_Is_The_Doer_Lecture_Mumbai_-_Anil_Bankade%27s_Residence_-_10-04-90_IDesireTree.mp3</t>
  </si>
  <si>
    <t>1990-039_Pleasing_Krishna_And_His_Devotees_SB-07_15_77_Mumbai_-_14-04-90_IDesireTree.mp3</t>
  </si>
  <si>
    <t>1990-040_Everything_Is_In_Krishna_BG-02_44_Mumbai_-_Radhanath_Swami_1990-04-14_IDesireTree.mp3</t>
  </si>
  <si>
    <t>1990-041_Lord_Rama_BG-04_10_Mumbai_-_Radhanath_Swami_1990-04-18_IDesireTree.mp3</t>
  </si>
  <si>
    <t>1990-042_Cultivating_Ignorance_BG-14_19_Mumbai_-_Radhanath_Swami_1990-04-22_IDesireTree.mp3</t>
  </si>
  <si>
    <t>1990-043_Krishna_Is_Your_Ever_Well_Wisher_SB-08_01_10_Mumbai_-_25-04-90_IDesireTree.mp3</t>
  </si>
  <si>
    <t>1990-044_Perceiving_The_Paramatma_SB-08_01_11_Mumbai_-_Radhanath_Swami_1990-04-26_IDesireTree.mp3</t>
  </si>
  <si>
    <t>1990-045_Transcendental_Q%26A_Mumbai_-_Radhanath_Swami_1990-04-26_IDesireTree.mp3</t>
  </si>
  <si>
    <t>1990-046_Increasing_Hardshirs_out_Of_Love_SB-08_01_13_Mumbai_-_27-04-90_IDesireTree.mp3</t>
  </si>
  <si>
    <t>1990-047_How_To_Begin_Spiritual_Life_Lecture_Mumbai_-_Radhanath_Swami_1990-04-28_IDesireTree.mp3</t>
  </si>
  <si>
    <t>1990-048_For_his_Pleasure_BG-09_27_Mumbai_-_Radhanath_Swami_1990-04-29_IDesireTree.mp3</t>
  </si>
  <si>
    <t>1990-049_Krsna_Needs_Your_Surrender_SB-08-01-15_Mumbai_-_1990-04-30_IDesireTree.mp3</t>
  </si>
  <si>
    <t>1990-051_What_Surrender_Means_SB-08_02_31-32_Mumbai_-_Radhanath_Swami_1990-05-20_IDesireTree.mp3</t>
  </si>
  <si>
    <t>1990-052_Krishna_Never_Leaves_His_Devotees_BG-09_13_Mumbai_-_20-05-90_IDesireTree.mp3</t>
  </si>
  <si>
    <t>1990-053_Devotees_Are_Undisturbed_Lecture_Mumbai_-_Radhanath_Swami_1990-05-25_IDesireTree.mp3</t>
  </si>
  <si>
    <t>1990-054_Maya_comes_in_Disguise_SB-NV_-_Radhanath_Swami_1990-06-20_IDesireTree.mp3</t>
  </si>
  <si>
    <t>1990-055_A_Vaishnava_Has_Faith_SB-08_05_47_Mumbai_-_Radhanath_Swami_1990-07-27_IDesireTree.mp3</t>
  </si>
  <si>
    <t>1990-056_Association_Of_Devotees_BG-10_09_Mumbai_-_Radhanath_Swami_1990-07-27_IDesireTree.mp3</t>
  </si>
  <si>
    <t>1990-058_Trust_In_Mercy_Of_God_SB-08_06_14_Mumbai_-_Radhanath_Swami_1990-08-09_IDesireTree.mp3</t>
  </si>
  <si>
    <t>1990-059_A_friend_indeed_SB-09_04_38_Mumbai_-_Radhanath_Swami_1990-08-10_IDesireTree.mp3</t>
  </si>
  <si>
    <t>1990-060_Humility_BG-18_55_Mumbai_-_Radhanath_Swami_1990-08-11_IDesireTree.mp3</t>
  </si>
  <si>
    <t>1990-061_What_Janmashtami_Really_Means_BG-11_53_-_Radhanath_Swami_1990-08-12_IDesireTree.mp3</t>
  </si>
  <si>
    <t>1990-062_Prabhupad_Lecture_Mumbai_-_Radhanath_Swami_1990-08-15_IDesireTree.mp3</t>
  </si>
  <si>
    <t>1990-063_Beg_For_Guru_Maharaj_SB-08_06_26-28_Mumbai_-_Radhanath_Swami_1990-08-16_IDesireTree.mp3</t>
  </si>
  <si>
    <t>1990-064_Sense_Enjoyment_Means_Spiritual_Death_SB-08_06_36-37_Mumbai_-_20-08-90_IDesireTree.mp3</t>
  </si>
  <si>
    <t>1990-065_Thy_Will_Be_Done_SB-08_06_39_Mumbai_-_Radhanath_Swami_1990-08-21_IDesireTree.mp3</t>
  </si>
  <si>
    <t>1990-066_Willing_To_Be_Instrument_Of_God_SB-08_06_39_Mumbai_-_22-08-90_IDesireTree.mp3</t>
  </si>
  <si>
    <t>1990-067_First_take_the_speck_out_of_your_eye_BG-08_07_04_Mumbai_-_23-8-90_IDesireTree.mp3</t>
  </si>
  <si>
    <t>1990-068_Making_Krishna_Happy_SB-08_07_05-06_Mumbai_-_Radhanath_Swami_1990-08-24_IDesireTree.mp3</t>
  </si>
  <si>
    <t>1990-069_The_Perfect_Worship_Of_Lord_Ganesh_BG-02_45_Mumbai_-_26-08-90_IDesireTree.mp3</t>
  </si>
  <si>
    <t>1990-071_Humiliation_SB-08_07_12_Mumbai_-_Radhanath_Swami_1990-08-27_IDesireTree.mp3</t>
  </si>
  <si>
    <t>1990-072_Offering_To_Radharani_CC_AL-01_04_06_Mumbai_-_Radhanath_Swami_1990-08-28_IDesireTree.mp3</t>
  </si>
  <si>
    <t>1990-073_Understanding_Of_Srimati_Radharani_CC-01_04_06_Mumbai_-_28-08-90_IDesireTree.mp3</t>
  </si>
  <si>
    <t>1990-074_Perfect_Love_Lecture_Mumbai_-_Radhanath_Swami_1990-08-28_IDesireTree.mp3</t>
  </si>
  <si>
    <t>1990-075_Spiritual_Life_Means_Warfare_SB-08_07_01-09_Mumbai_-_29-08-90_IDesireTree.mp3</t>
  </si>
  <si>
    <t>1990-076_Krishna_Always_Glorifies_His_Devotees_SB-08_07_21_Mumbai_-_31-08-90_IDesireTree.mp3</t>
  </si>
  <si>
    <t>1990-077_Surrendering_Everything_Lecture_Mumbai_-_Radhanath_Swami_1990-09-02_IDesireTree.mp3</t>
  </si>
  <si>
    <t>1990-078_Gravity_Of_Offence_SB-08_07_22_Mumbai_-_Radhanath_Swami_1990-09-03_IDesireTree.mp3</t>
  </si>
  <si>
    <t>1990-079_Comitting_To_This_Great_Mission_SB-08_07_24_Mumbai_-_05-09-90_IDesireTree.mp3</t>
  </si>
  <si>
    <t>1990-080_Vaishnava_Activities-_Incomprehensible_SB-08_07_23_Mumbai_-_06-09-90_IDesireTree.mp3</t>
  </si>
  <si>
    <t>1990-081_Seperation_BG-02_66_Mumbai_-_Radhanath_Swami_1990-09-17_IDesireTree.mp3</t>
  </si>
  <si>
    <t>1990-082_Nothing_Is_Ours_Lecture_Mumbai_-_Radhanath_Swami_1990-09-29_IDesireTree.mp3</t>
  </si>
  <si>
    <t>1990-083_Opening_Spiritual_Eyes_BG-11_04_Mumbai_-_Radhanath_Swami_1990-02-18_IDesireTree.mp3</t>
  </si>
  <si>
    <t>1990-084_Rasa_Lila_CC_-_Radhanath_Swami_IDesireTree.mp3</t>
  </si>
  <si>
    <t>1990-085_How_To_Become_Pure_Devotee_Lecture_Mumbai_-_Radhanath_Swami_1990-10-04_IDesireTree.mp3</t>
  </si>
  <si>
    <t>1990-086_Determination_BG-02_41_Mumbai_-_Radhanath_Swami_1990-10-05_IDesireTree.mp3</t>
  </si>
  <si>
    <t>1990-087_Be_Fixed_In_Your_Aim_BG-08_27_Mumbai_-_Radhanath_Swami_1990-10-06_IDesireTree.mp3</t>
  </si>
  <si>
    <t>1990-088_Be_Enthusiastic_CC_ML-01_02_Mumbai_-_Radhanath_Swami_1990-10-06_new_IDesireTree.mp3</t>
  </si>
  <si>
    <t>1990-089_Uniting_For_The_Pleasure_Of_Krishna_SB-08_07_04-06_Mumbai_-_07-10-90_IDesireTree.mp3</t>
  </si>
  <si>
    <t>1990-090_God_Is_Subordinate_To_His_Devotees_BG-10_10_Mumbai_-_14-10-90_IDesireTree.mp3</t>
  </si>
  <si>
    <t>1990-091_Transcendental_Lust_SB-08_09_23_Mumbai_-_Radhanath_Swami_1990-10-15_IDesireTree.mp3</t>
  </si>
  <si>
    <t>1990-092_Transcendental_Nectar_SB-08_09_24-26_Mumbai_-_Radhanath_Swami_1990-10-16_IDesireTree.mp3</t>
  </si>
  <si>
    <t>1990-093_Govardhan_Lilla_Lecture_Mumbai_-_Radhanath_Swami_1990-10-19_IDesireTree.mp3</t>
  </si>
  <si>
    <t>1990-094_Questions_And_Answers_Lecture_Mumbai_-_Radhanath_Swami_1990-10-19_IDesireTree.mp3</t>
  </si>
  <si>
    <t>1990-095_Spiritual_Life_-_As_It_Is_SB-08_10_01-06_Mumbai_-_20-10-90_IDesireTree.mp3</t>
  </si>
  <si>
    <t>1990-096_Aspiring_For_Nothing_But_Service_BG-10_01_Mumbai_-_21-10-90_IDesireTree.mp3</t>
  </si>
  <si>
    <t>1990-097_Krsna_is_the_Property_of_Impoverished_SB-07_13_41-42_Mumbai_-_01-11-90_IDesireTree.mp3</t>
  </si>
  <si>
    <t>1991-001_Worshiping_diety_Lecture_Mumbai_-_Radhanath_Swami_1991-01-10_IDesireTree.mp3</t>
  </si>
  <si>
    <t>1991-002_The_Greatest_Miracle_SB-08_24_54-58_Mumbai_-_Radhanath_Swami_1991-01-24_IDesireTree.mp3</t>
  </si>
  <si>
    <t>1991-003_Perfection_Of_All_Knowledge_SB-08_24_61_Mumbai_-_Radhanath_Swami_1991-01-25_IDesireTree.mp3</t>
  </si>
  <si>
    <t>1991-004_Pride_Is_Sin_BG-11_55_Mumbai_-_Radhanath_Swami_1991-01-25_IDesireTree.mp3</t>
  </si>
  <si>
    <t>1991-005_To_Be_In_The_World_But_Not_Of_It_SB-09_01_01-08_Mumbai_-_26-01-91_IDesireTree.mp3</t>
  </si>
  <si>
    <t>1991-006_Drinking_Poison_SB-09_04_13-16_Mumbai_-_Radhanath_Swami_1991-01-27_IDesireTree.mp3</t>
  </si>
  <si>
    <t>1991-007_Smashing_The_Illusion_Of_False_Ego_Lecture_Mumbai_-_27-01-91_IDesireTree.mp3</t>
  </si>
  <si>
    <t>1991-008_Lord_Nityananda-_Most_Merciful_SB-09_04_18-20_Mumbai_-_28-01-91_IDesireTree.mp3</t>
  </si>
  <si>
    <t>1991-009_The_Greatest_Treasure_SB-09_04_18-10_Mumbai_-_29-01-91_IDesireTree.mp3</t>
  </si>
  <si>
    <t>1991-010_Age_Of_Quarrel_And_Hypocrisy_SB-09_04_21_Mumbai_-_30-01-91_IDesireTree.mp3</t>
  </si>
  <si>
    <t>1991-011_Being_A_Humble_Servant_SB-09_04_24_Mumbai_-_01-02-91_IDesireTree.mp3</t>
  </si>
  <si>
    <t>1991-011_Being_A_Humble_Servant_SB-09_04_24_Mumbai_-_Radhanath_Swami_1991-02-01_IDesireTree.mp3</t>
  </si>
  <si>
    <t>1991-012_Spiritual_Sentiments_BG-14_04_Mumbai_-_Radhanath_Swami_1991-02-01_IDesireTree.mp3</t>
  </si>
  <si>
    <t>1991-013_Perfect_Renunciation_SB-09_04_27_Mumbai_-_Radhanath_Swami_1991-02-05_IDesireTree.mp3</t>
  </si>
  <si>
    <t>1991-014_Who_Is_crazy_SB-09_04_41-45_Mumbai_-_Radhanath_Swami_1991-02-08_IDesireTree.mp3</t>
  </si>
  <si>
    <t>1991-015_Eternal_Joy_Of_Soul_SB-09_04_46-47_Mumbai_-_Radhanath_Swami_1991-02-09_IDesireTree.mp3</t>
  </si>
  <si>
    <t>1991-017_Never_Dream_Of_Offending_A_Devotee_SB-09_04_55-59_Mumbai_-_12-02-91_IDesireTree.mp3</t>
  </si>
  <si>
    <t>1991-018_Glories_Of_Lord_Shiva_BG-05_45_Mumbai_-_Radhanath_Swami_1991-02-12_IDesireTree.mp3</t>
  </si>
  <si>
    <t>1991-019_Being_Pious_BG-07_28_Mumbai_-_Radhanath_Swami_1991-02-13_IDesireTree.mp3</t>
  </si>
  <si>
    <t>1991-021_Punishment_for_a_vaishnava_offence_SB-09_04_68_Mumbai_-_18-2-91_IDesireTree.mp3</t>
  </si>
  <si>
    <t>1991-022_Pleasing_The_Spiritual_Master_BG-01_29_Mumbai_-_Radhanath_Swami_1991-02-24_IDesireTree.mp3</t>
  </si>
  <si>
    <t>1991-023_Surrender_To_His_Love_And_Mercy_Lecture_Mumbai_-_Radhanath_Swami_1991-02-27_IDesireTree.mp3</t>
  </si>
  <si>
    <t>1991-024_God_Becomes_Servant_Of_His_Devotees_SB-01_8_20-21_Mumbai_-_27-02-91_IDesireTree.mp3</t>
  </si>
  <si>
    <t>1991-025_Chaitanya_Charitamrita_Reading_Lecture_Mumbai_-_Radhanath_Swami_1991-02-28_IDesireTree.mp3</t>
  </si>
  <si>
    <t>1991-026_Beyond_Liberation_CC_AL-01_35_Mumbai_-_Radhanath_Swami_1991-02-28_IDesireTree.mp3</t>
  </si>
  <si>
    <t>1991-027_True_Principles_Of_Religion_Lecture_Mumbai_-_Radhanath_Swami_1991-03-02_IDesireTree.mp3</t>
  </si>
  <si>
    <t>1991-028_Questions_And_Answers_Lecture_Pune_-_Radhanath_Swami_1991-03-02_IDesireTree.mp3</t>
  </si>
  <si>
    <t>1991-029_Liberation_Is_Useless_SB-09_05_25_Mumbai_-_Radhanath_Swami_1991-03-05_IDesireTree.mp3</t>
  </si>
  <si>
    <t>1991-030_Renunciation_is_to_give_SB-09_05_26_Mumbai_-_Radhanath_Swami_1991-03-06_IDesireTree.mp3</t>
  </si>
  <si>
    <t>1991-031_Surrender_And_Faith_BG-11_30-32_Mumbai_-_Radhanath_Swami_1991-03-08_IDesireTree.mp3</t>
  </si>
  <si>
    <t>1991-032_What_Is_Civilisation_BG-04_09_Mumbai_-_Radhanath_Swami_1991-03-09_IDesireTree.mp3</t>
  </si>
  <si>
    <t>1991-033_The_Pitfall_Of_Maya_SB-09_06_39-46_Mumbai_-_Radhanath_Swami_1991-03-09_IDesireTree.mp3</t>
  </si>
  <si>
    <t>1991-034_Everything_Is_Perfect_BG-12_13-14_Mumbai_-_Radhanath_Swami_1991-03-10_IDesireTree.mp3</t>
  </si>
  <si>
    <t>1991-035_Miseries_Of_Sex_Attraction_SB-9_10_9-11_Mumbai_-_28-04-91_IDesireTree.mp3</t>
  </si>
  <si>
    <t>1991-036_Krishna_Is_Perfect_BG-06_33-34_Mumbai_-_Radhanath_Swami_1991-04-28_IDesireTree.mp3</t>
  </si>
  <si>
    <t>1991-037_Why_Vaishnavas_Appear_To_Be_Defeated_SB-09_10_12_Mumbai_-_29-04-91_IDesireTree.mp3</t>
  </si>
  <si>
    <t>1991-038_Abandaning_krsna_is_disasterous_SB-09_10_15_Mumbai_-_01-5-91_IDesireTree.mp3</t>
  </si>
  <si>
    <t>1991-039_How_To_Overcome_Material_Energy_BG-07_14_Mumbai_-_02-05-91_IDesireTree.mp3</t>
  </si>
  <si>
    <t>1991-040_Krishna%27s_Inconceivable_Potency_SB-09_10_16_Mumbai_-_03-05-91_IDesireTree.mp3</t>
  </si>
  <si>
    <t>1991-041_The_Story_Of_Markandeya_Muni_Lecture_Mumbai_-_Radhanath_Swami_1991-05-03_IDesireTree.mp3</t>
  </si>
  <si>
    <t>1991-042_Raghunath_Das_Goswami_SB-10_36_01_Mumbai_-_Radhanath_Swami_1991-05-04_IDesireTree.mp3</t>
  </si>
  <si>
    <t>1991-043_Lecture_To_College_Students_Lecture_Mumbai_-_Radhanath_Swami_-1991-05-04_IDesireTree.mp3</t>
  </si>
  <si>
    <t>1991-044_The_Pastimes_Of_Lord_Ramachandra_SB-09_10_31-38_Mumbai_-_09-05-91_IDesireTree.mp3</t>
  </si>
  <si>
    <t>1991-045_Being_Pious_BG-07_28_Mumbai_-_Radhanath_Swami_1991-05-10_IDesireTree.mp3</t>
  </si>
  <si>
    <t>1991-046_Advent_Of_Kaliyuga_SB-09_10_51_Mumbai_-_Radhanath_Swami_1991-05-11_IDesireTree.mp3</t>
  </si>
  <si>
    <t>1991-047_Bandaged_Society_SB-05_12_02_Mumbai_-_Radhanath_Swami_1991-05-12_IDesireTree.mp3</t>
  </si>
  <si>
    <t>1991-048_Life_After_Death_Lecture_Mumbai_-_Radhanath_Swami_1991-05-12_IDesireTree.mp3</t>
  </si>
  <si>
    <t>1991-049_Pleasing_Two_Is_Impossible_Lecture_Mumbai_-_Radhanath_Swami_1991-05-12_IDesireTree.mp3</t>
  </si>
  <si>
    <t>1991-050_Real_Vrindavan_SB-09_11_19_Mumbai_-_Radhanath_Swami_1991-05-21_IDesireTree.mp3</t>
  </si>
  <si>
    <t>1991-051_Atheists_Stand_No_Chance_BG-09_12_Mumbai_-_Radhanath_Swami_1991-05-24_IDesireTree.mp3</t>
  </si>
  <si>
    <t>1991-052_The_Diesease_Of_Envy_SB-09_11_23_Mumbai_-_Radhanath_Swami_1991-05-24_IDesireTree.mp3</t>
  </si>
  <si>
    <t>1991-053_Story_Of_Prahlad_Maharaj_SB_Mumbai_-_Radhanath_Swami_1991-05-26_IDesireTree.mp3</t>
  </si>
  <si>
    <t>1991-054_The_Story_Of_Narasimhadev_Lecture_Mumbai_-_Radhanath_Swami_1991-05-26_IDesireTree.mp3</t>
  </si>
  <si>
    <t>1991-055_The_Greatness_Of_devotee_SB_-_Radhanath_Swami_1991-05-27_IDesireTree.mp3</t>
  </si>
  <si>
    <t>1991-056_Within_Our_Heart_Lecture_Mumbai_-_Radhanath_Swami_1991-05-05_IDesireTree.mp3</t>
  </si>
  <si>
    <t>1991-057_The_Importance_Of_Chastity_SB-09_10_24-27_Mumbai_-_06-05-91_IDesireTree.mp3</t>
  </si>
  <si>
    <t>1991-058_Demons_Are_Killed_In_The_End_SB-09_10_28_Mumbai_-_07-05-91_IDesireTree.mp3</t>
  </si>
  <si>
    <t>1991-059_Haridas_Thakur_Lecture_Mumbai_-_Radhanath_Swami_1991-06-03_IDesireTree.mp3</t>
  </si>
  <si>
    <t>1991-060_Dangerous_Road-_Pride_SB-09_14_04-06_Mumbai_-_Radhanath_Swami_1991-06-06_IDesireTree.mp3</t>
  </si>
  <si>
    <t>1991-061_Are_You_The_Proprietor_SB-09_14_08-09_Mumbai_-_Radhanath_Swami_1991-06-07_IDesireTree.mp3</t>
  </si>
  <si>
    <t>1991-062_Aim_Is_One_Inspite_Of_Disagreement_SB-04_30_8-11_Mumbai_-_07-06-91_IDesireTree.mp3</t>
  </si>
  <si>
    <t>1991-063_Obedience_To_Guru_Parampara_CC_AL-01_02_Mumbai_-_Radhanath_Swami_1991-06-08_IDesireTree.mp3</t>
  </si>
  <si>
    <t>1991-064_Questions_And_Answers_Q%26A_Mumbai_-_Radhanath_Swami_1991-06-08_IDesireTree.mp3</t>
  </si>
  <si>
    <t>1991-065_Spiritual_Life_is_a_Necessity_Rainbow_Lecture_-_Radhanath_Swami_1991-07-01_IDesireTree.mp3</t>
  </si>
  <si>
    <t>1991-066_Devahuti%27s_Enquiries_To_Lord_Kapila_SB-03_25_07_Mumbai_-_01-06-91_IDesireTree.mp3</t>
  </si>
  <si>
    <t>1991-067_Man_And_Demigods_SB-09_13_11_Mumbai_-_Radhanath_Swami_1991-06-02_IDesireTree.mp3</t>
  </si>
  <si>
    <t>1991-068_Inauspicious_To_Auspicious_SB-09_13_12-13_Mumbai_-_03-06-91_IDesireTree.mp3</t>
  </si>
  <si>
    <t>1991-069_Blessing_Of_Acharyas_Is_Necessary_Lecture_Mumbai_-_27-05-91_IDesireTree.mp3</t>
  </si>
  <si>
    <t>1991-070_Srinivas_Acarya_and_his_Associates_Lecture_Mumbai_-_27-05-91_IDesireTree.mp3</t>
  </si>
  <si>
    <t>1991-071_Unmotivated_Love_For_God_SB-09_13_09_Mumbai_-_Radhanath_Swami_1991-05-30_IDesireTree.mp3</t>
  </si>
  <si>
    <t>1991-072_Like_A_Fish_SB-09_13_10_Mumbai_-_Radhanath_Swami_1991-05-31_IDesireTree.mp3</t>
  </si>
  <si>
    <t>1991-073_The_Twelve_Mahajans_Lecture_Mumbai_-_Radhanath_Swami_1991-05-31_IDesireTree.mp3</t>
  </si>
  <si>
    <t>1991-074_Hearing_Is_Beginning_SB-10_01_08_Mumbai_-_Radhanath_Swami_1991-10-12_IDesireTree.mp3</t>
  </si>
  <si>
    <t>1991-075_Refuge_In_Holy_Vibration_Lecture_Mumbai_-_Radhanath_Swami_1991-10-12_IDesireTree.mp3</t>
  </si>
  <si>
    <t>1991-076_What_Is_Sadhu_SB-05_01_17_Mumbai_-_Radhanath_Swami_1991-10-13_IDesireTree.mp3</t>
  </si>
  <si>
    <t>1991-077_Brahman_By_Quality_And_Not_By_Birth_SB-10_01_13_Mumbai_-_14-10-91_IDesireTree.mp3</t>
  </si>
  <si>
    <t>1991-078_Perceiving_Vrindavan_Lecture_Mumbai_-_Radhanath_Swami_1991-10-14_IDesireTree.mp3</t>
  </si>
  <si>
    <t>1991-079_Pure_Bhagavat_Philosophy_SB-10_01_14_Mumbai_-_Radhanath_Swami_1991-10-15_IDesireTree.mp3</t>
  </si>
  <si>
    <t>1991-080_Importance_Of_Krishna_Katha_SB-10_01_15_Mumbai_-_Radhanath_Swami_1991-10-16_IDesireTree.mp3</t>
  </si>
  <si>
    <t>1991-081_Ravan_In_Our_Heart_Lecture_Mumbai_-_Radhanath_Swami_1991-10-17_IDesireTree.mp3</t>
  </si>
  <si>
    <t>1991-082_Story_Of_Ajamila_SB-06_03_22-23_Mumbai_-_Radhanath_Swami_1991-10-18_IDesireTree.mp3</t>
  </si>
  <si>
    <t>1991-083_Remove_The_Obstacle_Of_Ravana_SB-1_3_22_Mumbai_-_17-10-91_IDesireTree.mp3</t>
  </si>
  <si>
    <t>1991-084_Rainbow_SB_Class_NV_-_Radhanath_Swami_1991-07-06_IDesireTree.mp3</t>
  </si>
  <si>
    <t>1991-085_The_Dangers_of_Vaishnava_Aparadha_Lecture_NV_-_Radhanath_Swami_1991-07-18_IDesireTree.mp3</t>
  </si>
  <si>
    <t>1991-086_Death_Is_the_End_Lecture_Mumbai_-_Radhanath_Swami_1991-10-02_IDesireTree.mp3</t>
  </si>
  <si>
    <t>1991-087_Path_Of_Perfection_Lecture_Mumbai_-_Radhanath_Swami_1991-10-22_IDesireTree.mp3</t>
  </si>
  <si>
    <t>1991-088_Need_For_Vaishnava_Blessings_Lecture_Mumbai_-_Radhanath_Swami_1991-10-23_IDesireTree.mp3</t>
  </si>
  <si>
    <t>1991-089_Krishna%27s_Pastime-_Not_For_Sense_Gratification_Lecture_Mumbai_-_24-10-91_IDesireTree.mp3</t>
  </si>
  <si>
    <t>1991-090_Sambandha_Abhidaya_Prayojana_Lecture_Mumbai_-_Radhanath_Swami_1991-10-24_IDesireTree.mp3</t>
  </si>
  <si>
    <t>1991-091_Harmony_With_Mother_Earth_SB-10_01_17_Mumbai_-_Radhanath_Swami_1991-10-18_IDesireTree.mp3</t>
  </si>
  <si>
    <t>1991-092_Quality_Of_A_Mahatma_BG-09_14_Mumbai_-_Radhanath_Swami_1991-10-20_IDesireTree.mp3</t>
  </si>
  <si>
    <t>1991-093_Calling_With_Helplessness_SB-10_01_20_Mumbai_-_Radhanath_Swami_1991-10-20_IDesireTree.mp3</t>
  </si>
  <si>
    <t>1991-094_Krishna-_The_Supreme_SB-10_01_21_Mumbai_-_Radhanath_Swami_1991-10-21_IDesireTree.mp3</t>
  </si>
  <si>
    <t>1991-095_Spiritual_Science_Lecture_Mumbai_-_Radhanath_Swami_1991-10-21_IDesireTree.mp3</t>
  </si>
  <si>
    <t>1991-096_Introduction_To_Chaitanya_Charitamrita_Lecture_Mumbai_-_22-10-91_IDesireTree.mp3</t>
  </si>
  <si>
    <t>1991-098_The_Nectarian_Association_Of_Devotees_CC_AL-01_Mumbai_-_26-10-91_IDesireTree.mp3</t>
  </si>
  <si>
    <t>1991-099_Coming_Out_Of_Illusion_BG-15_07_Mumbai_-_Radhanath_Swami_1991-10-26_IDesireTree.mp3</t>
  </si>
  <si>
    <t>1991-100_Relish_His_Messages_SB-10_01_48_Mumbai_-_Radhanath_Swami_1991-11-03_IDesireTree.mp3</t>
  </si>
  <si>
    <t>1991-101_Vamandev_Begs_From_Bali_Maharaj_SB-08_19_21_Mumbai_-_26-10-91_IDesireTree.mp3</t>
  </si>
  <si>
    <t>1991-102_Relationship_Between_Devotees_Lecture_Mumbai_-_Radhanath_Swami_1991-10-27_IDesireTree.mp3</t>
  </si>
  <si>
    <t>1991-103_Attachment_For_Sense_Enjoyment_SB-10_01_35_Mumbai_-_28-10-91_IDesireTree.mp3</t>
  </si>
  <si>
    <t>1991-104_Narottam_Das_Thakur_Disappearance_Day_CC_AL-01_Mumbai_-_28-10-91_IDesireTree.mp3</t>
  </si>
  <si>
    <t>1991-105_Death_Is_Sure_Sir_SB-10_01_36_Mumbai_-_Radhanath_Swami_1991-10-29_IDesireTree.mp3</t>
  </si>
  <si>
    <t>1991-106_Lord_Chaitanya_%27s_Early_Revelations_Lecture_Mumbai_-_29-10-91_IDesireTree.mp3</t>
  </si>
  <si>
    <t>1991-107_Parikshit%27s_Enquiry_Before_Death_SB-01_19_24_Mumbai_-_29-10-91_IDesireTree.mp3</t>
  </si>
  <si>
    <t>1991-108_Krishna_Always_Glorifies_His_Devotees_SB-01_09_09_Mumbai_-_30-10-91_IDesireTree.mp3</t>
  </si>
  <si>
    <t>1991-109_When_Death_Comes_SB-10_01_42_Mumbai_-_Radhanath_Swami_1991-10-30_IDesireTree.mp3</t>
  </si>
  <si>
    <t>1991-110_Different_Energies_Of_Krishna_Lecture_Mumbai_-_Radhanath_Swami_1991-10-30_IDesireTree.mp3</t>
  </si>
  <si>
    <t>1991-111_Story_Of_Prostitute_Pingla_SB-11_08_22-27_Mumbai_-_01-11-91_IDesireTree.mp3</t>
  </si>
  <si>
    <t>1991-112_Changing_Our_Consciousness_SB-10_01_42_Mumbai_-_Radhanath_Swami_1991-11-01_IDesireTree.mp3</t>
  </si>
  <si>
    <t>1991-113_Under_One_Master_Lecture_Mumbai_-_Radhanath_Swami_1991-11-01_IDesireTree.mp3</t>
  </si>
  <si>
    <t>1991-114_Oneness_In_Guru_Lecture_Mumbai_-_Radhanath_Swami_1991-11-02_IDesireTree.mp3</t>
  </si>
  <si>
    <t>1991-115_Watch_Those_Thoughts_Of_The_Mind_SB-10_01_47_Mumbai_-_02-11-91_IDesireTree.mp3</t>
  </si>
  <si>
    <t>1991-116_Hearing-_Washes_All_Doubts_BG-04_38-39_Mumbai_-_Radhanath_Swami_1991-11-03_IDesireTree.mp3</t>
  </si>
  <si>
    <t>1991-117_Teaching_From_Govardhan_Lila_Lecture_Mumbai_-_Radhanath_Swami_1991-11-07_IDesireTree.mp3</t>
  </si>
  <si>
    <t>1991-118_Diaappearance_of_prabhupada_Lecture_Mumbai_-_Radhanath_Swami_1991-11-10_IDesireTree.mp3</t>
  </si>
  <si>
    <t>1991-119_Desire_To_Please_Krishna_BG-02_14_Mumbai_-_Radhanath_Swami_1991-11-20_IDesireTree.mp3</t>
  </si>
  <si>
    <t>1991-120_Our_Supreme_Lord_Lecture_Mumbai_-_Radhanath_Swami_1991-11-23_IDesireTree.mp3</t>
  </si>
  <si>
    <t>1991-121_Relative_Truth_Is_Maya_Lecture_Mumbai_-_Radhanath_Swami_1991-11-23_IDesireTree.mp3</t>
  </si>
  <si>
    <t>1991-122_Happy_Birthday_Lecture_Mumbai_-_Radhanath_Swami_1991-11-24_IDesireTree.mp3</t>
  </si>
  <si>
    <t>1991-123_Maya_Redefined_Lecture_Mumbai_-_Radhanath_Swami_1991-11-25_IDesireTree.mp3</t>
  </si>
  <si>
    <t>1991-124_Exalted_Surrender_Of_Lord%27s_Pure_Devotees_SB-10_02_17_Mumbai_-_26-11-91_IDesireTree.mp3</t>
  </si>
  <si>
    <t>1991-125_The_Greatness_Of_Krishna_Lecture_Mumbai_-_Radhanath_Swami_1991-11-26_IDesireTree.mp3</t>
  </si>
  <si>
    <t>1991-126_Nectar_Of_Instruction_NOI-01-02_Mumbai_-_Radhanath_Swami_1991-11-27_IDesireTree.mp3</t>
  </si>
  <si>
    <t>1991-127_You_Are_The_Greatest_SB-10_01_52-53_Mumbai_-_Radhanath_Swami_1991-11-04_IDesireTree.mp3</t>
  </si>
  <si>
    <t>1991-128_Impersonalism_Lamblasted_Lecture_Mumbai_-_Radhanath_Swami_1991-11-04_IDesireTree.mp3</t>
  </si>
  <si>
    <t>1991-129_Devotees_Demand_No_Respect_SB-10_01_49-50_Mumbai_-_05-11-91_IDesireTree.mp3</t>
  </si>
  <si>
    <t>1991-130_Krishna_Is_Certainly_A_Person_Lecture_Mumbai_-_Radhanath_Swami_1991-11-05_IDesireTree.mp3</t>
  </si>
  <si>
    <t>1991-131_Incarnations_Of_Krishna_Lecture_Mumbai_-_Radhanath_Swami_1991-11-06_IDesireTree.mp3</t>
  </si>
  <si>
    <t>1991-132_The_Story_Of_Bilwamangal_Thakur_CC_AL-1_Mumbai_-_28-11-91_IDesireTree.mp3</t>
  </si>
  <si>
    <t>1991-133_Envious_Of_His_Mercy_SB-10_02_20_Mumbai_-_Radhanath_Swami_1991-11-29_IDesireTree.mp3</t>
  </si>
  <si>
    <t>1991-134_Devotee_On_Red_Alert_CC_AL-01_Mumbai_-_Radhanath_Swami_1991-11-29_IDesireTree.mp3</t>
  </si>
  <si>
    <t>1991-135_Story_Of_Jada_Bharat_SB-05_11_01_Mumbai_-_Radhanath_Swami_1991-11-29_IDesireTree.mp3</t>
  </si>
  <si>
    <t>1991-136_Different_Categories_Of_Devotees_Lecture_Mumbai_-_30-11-91_IDesireTree.mp3</t>
  </si>
  <si>
    <t>1991-137_Perfection_Of_Varnashram_Dharma_BG-04_13_Mumbai_-_30-11-91_IDesireTree.mp3</t>
  </si>
  <si>
    <t>1991-138_Yamunacharya_BG-05_21_Mumbai_-_Radhanath_Swami_1991-12-01_IDesireTree.mp3</t>
  </si>
  <si>
    <t>1991-139_Pondering_About_Dharma_Lecture_Mumbai_-_Radhanath_Swami_1991-12-01_IDesireTree.mp3</t>
  </si>
  <si>
    <t>1991-140_Service_Attitude_Demons_%26_Devotees_SB-10_02_23-24_Mumbai_-_02-12-91_IDesireTree.mp3</t>
  </si>
  <si>
    <t>1991-141_Approaching_The_Guru_Lecture_Mumbai_-_Radhanath_Swami_1991-12-02_IDesireTree.mp3</t>
  </si>
  <si>
    <t>1991-142_Quadraple_Expansion_Of_Krishna_Lecture_Mumbai_-_Radhanath_Swami_1991-12-03_IDesireTree.mp3</t>
  </si>
  <si>
    <t>1991-143_What_Is_Real_Poverty_Lecture_Mumbai_-_Radhanath_Swami_1991-12-03_IDesireTree.mp3</t>
  </si>
  <si>
    <t>1991-144_Yamaraj%27s_Teachings_As_A_Vidura_SB-01_13_15_Surat_-_08-12-91_IDesireTree.mp3</t>
  </si>
  <si>
    <t>1991-145_The_Duty_Of_Indians_SB-10_02_19_Mumbai_-_Radhanath_Swami_1991-11-28_IDesireTree.mp3</t>
  </si>
  <si>
    <t>1991-146_Kaitava_Dharma_Lecture_Mumbai_-_Radhanath_Swami_1991-12-13_IDesireTree.mp3</t>
  </si>
  <si>
    <t>1991-147_Perfect_Wife_SB-08_22_16_Mumbai_-_Radhanath_Swami_1991-12-13_IDesireTree.mp3</t>
  </si>
  <si>
    <t>1991-148_Arjuna%27s_Lamentation_For_Krishna_SB-01_15_20-27_Mumbai_-_14-12-91_IDesireTree.mp3</t>
  </si>
  <si>
    <t>1991-149_Most_Secret_Of_All_Secrets_SB-10_02_36_Mumbai_-_Radhanath_Swami_1991-12-14_IDesireTree.mp3</t>
  </si>
  <si>
    <t>1991-150_Mind-_Friend_And_Enemy_BG-06_26_Mumbai_-_Radhanath_Swami_1991-12-15_IDesireTree.mp3</t>
  </si>
  <si>
    <t>1991-151_Causeless_Mercy_SB-10_03_15-17_Mumbai_-_Radhanath_Swami_1991-12-26_IDesireTree.mp3</t>
  </si>
  <si>
    <t>1991-152_Lord%27s_Sacrifice_Is_Uncomparable_Lecture_Mumbai_-_27-12-91_IDesireTree.mp3</t>
  </si>
  <si>
    <t>1991-153_Receiving_Transcendental_Knowledge_BG-04_03_Mumbai_-_29-12-91_IDesireTree.mp3</t>
  </si>
  <si>
    <t>1991-154_Lord%27s_Merciful_Devotees_CC_AL-01_01_Mumbai_-_Radhanath_Swami_1991-12-12_IDesireTree.mp3</t>
  </si>
  <si>
    <t>1991-155_Krishna_Only_SB-10_02_35_Mumbai_-_Radhanath_Swami_1991-12-13_IDesireTree.mp3</t>
  </si>
  <si>
    <t>1991-156_The_Pillar_Of_Faith_SB-01_12_30_Surat_-_Radhanath_Swami_1991-12-09_IDesireTree.mp3</t>
  </si>
  <si>
    <t>1991-157_Revealing_The_Greatest_Illusion_SB-10_02_32_Mumbai_-_10-12-91_IDesireTree.mp3</t>
  </si>
  <si>
    <t>1991-158_Incarnations_Of_Godhead_Lecture_Mumbai_-_Radhanath_Swami_1991-12-10_IDesireTree.mp3</t>
  </si>
  <si>
    <t>1991-159_Krishna_Is_Equal_To_All_SB-10_03_21_Mumbai_-_Radhanath_Swami_1991-12-30_IDesireTree.mp3</t>
  </si>
  <si>
    <t>1991-160_Philosophy_First-_Pastimes_Later_Lecture_Mumbai_-_30-12-91_IDesireTree.mp3</t>
  </si>
  <si>
    <t>1991-161_Name_-_Ultimate_purification_BG-02_44_Mumbai_-_Radhanath_Swami_1991-12-30_IDesireTree.mp3</t>
  </si>
  <si>
    <t>1991-162_Chaitanya_Mahaprabhu_Is_Krishna_Lecture_Mumbai_-_Radhanath_Swami_1991-12-31_IDesireTree.mp3</t>
  </si>
  <si>
    <t>1992-001_How_To_Overcome_Spiritual_Envyness_SB-04_08_33-34_Mumbai_-_01-01-92_IDesireTree.mp3</t>
  </si>
  <si>
    <t>1992-002_Transcendental_Appearance_SB-10_03_24_Mumbai_-_Radhanath_Swami_1992-01-02_IDesireTree.mp3</t>
  </si>
  <si>
    <t>1992-003_Why_We_Are_At_Pune_Lecture_Pune_-_Radhanath_Swami_1992-01-03_IDesireTree.mp3</t>
  </si>
  <si>
    <t>1992-004_Marriage_In_Mutual_exploitation_SB-05_05_02-03_Mumbai_-_04-01-92_IDesireTree.mp3</t>
  </si>
  <si>
    <t>1992-005_I_Am_Eternally_Grateful_To_You_Lecture_Pune_-_Radhanath_Swami_1992-01-04_IDesireTree.mp3</t>
  </si>
  <si>
    <t>1992-006_Questions_And_Answers_Q%26A_Pune_-_Radhanath_Swami_1992-01-05_IDesireTree.mp3</t>
  </si>
  <si>
    <t>1992-007_Srila_Jiva_Goswami_CC_AL-02_Mumbai_-_Radhanath_Swami_1992-01-06_IDesireTree.mp3</t>
  </si>
  <si>
    <t>1992-008_Who_Is_Original_Person_Lecture_Mumbai_-_Radhanath_Swami_1992-01-07_IDesireTree.mp3</t>
  </si>
  <si>
    <t>1992-009_Krsna_Is_Not_Boond_BG-04_14_Mumbai_-_Radhanath_Swami_1992-01-08_IDesireTree.mp3</t>
  </si>
  <si>
    <t>1992-010_Dispelling_Fear_SB-10_3_23_Mumbai_-_Radhanath_Swami_1992-01-09_IDesireTree.mp3</t>
  </si>
  <si>
    <t>1992-011_Different_Expansions_Of_Krishna_CC_AL-02_90_Mumbai_-_09-01-92_IDesireTree.mp3</t>
  </si>
  <si>
    <t>1992-012_How_To_Defeat_Mayavadis_Lecture_Mumbai_-_Radhanath_Swami_1992-01-10_IDesireTree.mp3</t>
  </si>
  <si>
    <t>1992-013_Controlling_Senses_Lectire_Mumbai_-_Radhanath_Swami_1992-01-11_IDesireTree.mp3</t>
  </si>
  <si>
    <t>1992-014_Sarvabhauma_Bhattacharya_SB-03_27_24_Mumbai_-_Radhanath_Swami_1992-01-12_IDesireTree.mp3</t>
  </si>
  <si>
    <t>1992-015_Greatness_Of_Dhruva_Maharaj_BG-18_61_Mumbai_-_Radhanath_Swami_1991-01-12_IDesireTree.mp3</t>
  </si>
  <si>
    <t>1992-016_Shun_Attachment_Now_SB-10_04_16-18_Mumbai_-_Radhanath_Swami_1991-01-29_IDesireTree.mp3</t>
  </si>
  <si>
    <t>1992-017_Lord_Krishna-_A_Shastric_Evidence_CC_AL-2_Mumbai_-_29-01-92_IDesireTree.mp3</t>
  </si>
  <si>
    <t>1992-018_Reading_The_Bhagvatam_SB-10_04_20_Mumbai_-_Radhanath_Swami_1992-01-30_IDesireTree.mp3</t>
  </si>
  <si>
    <t>1992-019_The_Rasas_In_Goloka_CC-01_02_Mumbai_-_Radhanath_Swami_1992-01-30_IDesireTree.mp3</t>
  </si>
  <si>
    <t>1992-020_Srila_Bhakti_Siddhanta_Saraswati_Thakur_CC_al-_Mumbai_-_22-02-92_IDesireTree.mp3</t>
  </si>
  <si>
    <t>1992-021_Dhenukasura_Within_Us_BG-03_30_Mumbai_-_Radhanath_Swami_1992-02-03_IDesireTree.mp3</t>
  </si>
  <si>
    <t>1992-022_Explaining_The_Material_Elements_CC_AL-02_90_Mumbai_-_08-02-92_IDesireTree.mp3</t>
  </si>
  <si>
    <t>1992-023_Vaishnavism_%26_Sannyas_CC_AL-02_Mumbai_-_Radhanath_Swami_1992-02-12_IDesireTree.mp3</t>
  </si>
  <si>
    <t>1992-024_Unified_In_Guru%27s_Service_BG-10_09_Mumbai_-_Radhanath_Swami_1992-02-12_IDesireTree.mp3</t>
  </si>
  <si>
    <t>1992-025_RamanujAcharya_Dissappearence_Day_Lecture_Mumbai_-_13-02-92_IDesireTree.mp3</t>
  </si>
  <si>
    <t>1992-026_Incarnation_In_Four_Yugas_Lecture_Mumbai_-_Radhanath_Swami_1992-02-13_IDesireTree.mp3</t>
  </si>
  <si>
    <t>1992-027_No_Expectation_In_Service_SB-10_05_01-02_Mumbai_-_14-02-92_IDesireTree.mp3</t>
  </si>
  <si>
    <t>1992-028_Story_Of_VarahDev_Lecture_Mumbai_-_Radhanath_Swami_1992-02-15_IDesireTree.mp3</t>
  </si>
  <si>
    <t>1992-029_Appearance_Of_Lord_Varahadev_BG-04_08-09_Mumbai_-_15-02-92_IDesireTree.mp3</t>
  </si>
  <si>
    <t>1992-030_Lord_Nityananda_CC_AL-01_02_Mumbai_-_Radhanath_Swami_1992-02-16_IDesireTree.mp3</t>
  </si>
  <si>
    <t>1992-031_Sacrifice_CC_AL-02_Mumbai_-_Radhanath_Swami_1992-02-17_IDesireTree.mp3</t>
  </si>
  <si>
    <t>1992-032_Narottam_Das_Thakur_Lecture_Mumbai_-_Radhanath_Swami_1992-02-18_IDesireTree.mp3</t>
  </si>
  <si>
    <t>1992-033_The_Greatest_Boon_In_Kaliyuga_BG-04_03_Mumbai_-_Radhanath_Swami_1992-02-19_IDesireTree.mp3</t>
  </si>
  <si>
    <t>1992-034_Prayers_By_Advaita_Acharya_CC_AL-02_Mumbai_-_Radhanath_Swami_1992-02-20_IDesireTree.mp3</t>
  </si>
  <si>
    <t>1992-035_Questions_And_Answer_Q%26A_Mumbai_-_Radhanath_Swami_1992-02-21_IDesireTree.mp3</t>
  </si>
  <si>
    <t>1992-036_Story_Of_Madhavendra_Puri_Lecture_Mumbai_-_Radhanath_Swami_1992-03-16_IDesireTree.mp3</t>
  </si>
  <si>
    <t>1992-037_Initiation_Lecture_Lecture_Mumbai_-_Radhanath_Swami_1992-03-18_IDesireTree.mp3</t>
  </si>
  <si>
    <t>1992-038_Gaura_Poornima_Lecture_Mumbai_-_Radhanath_Swami_1992-03-18_IDesireTree.mp3</t>
  </si>
  <si>
    <t>1992-039_Sucking_The_Poison_SB-10_06_41-42_Mumbai_-_Radhanath_Swami_1992-03-20_IDesireTree.mp3</t>
  </si>
  <si>
    <t>1992-040_As_Krishna_Discends_CC-01_01_04-06_Mumbai_-_Radhanath_Swami_1992-03-27_IDesireTree.mp3</t>
  </si>
  <si>
    <t>1992-041_Teachings_Of_BhaktiSiddhanta_Saraswati_SB-12_03_61_Mumbai_-_22-02-92_IDesireTree.mp3</t>
  </si>
  <si>
    <t>1992-042_Teachings_Of_Queen_Kunti_SB-01_08_42_Mumbai_-_Radhanath_Swami_1992-02-23_IDesireTree.mp3</t>
  </si>
  <si>
    <t>1992-043_Jagai_And_Madhai_Ht_-_Lecture_Mumbai_-_Radhanath_Swami_1992-02-29_IDesireTree.mp3</t>
  </si>
  <si>
    <t>1992-044_Becoming_Servant_Of_Servant_SB-01_02_16_Mumbai_-_Radhanath_Swami_1992-03-15_IDesireTree.mp3</t>
  </si>
  <si>
    <t>1992-045_The_True_Path_SB-10_06_37-38_Mumbai_-_Radhanath_Swami_1992-03-16_IDesireTree.mp3</t>
  </si>
  <si>
    <t>1992-046_A_Moment%27s_Association_SB-07_13_42_Mumbai_-_Radhanath_Swami_1992-03-27_IDesireTree.mp3</t>
  </si>
  <si>
    <t>1992-047_The_Unexpected_Shakatasur_SB-10_07_10-12_Mumbai_-_27-03-92_IDesireTree.mp3</t>
  </si>
  <si>
    <t>1992-048_Making_Life_Simple_BG-08_15_Mumbai_-_Radhanath_Swami_1992-03-28_IDesireTree.mp3</t>
  </si>
  <si>
    <t>1992-049_Cutting_The_Material_Roots_SB-17_27-30_Mumbai_-_29-03-92_Verify_Verse_-_IDesireTree.mp3</t>
  </si>
  <si>
    <t>1992-050_Lord_Chaitanya_Leaves_Vrindavan_CC_ML-19_96_Mumbai_-_03-04-92_IDesireTree.mp3</t>
  </si>
  <si>
    <t>1992-051_Misdirected_Love_SB-10_07_32_Mumbai_-_Radhanath_Swami_1992-04-04_IDesireTree.mp3</t>
  </si>
  <si>
    <t>1992-052_The_Strenght_Of_Krishna%27s_Illusion_SB-10_07_18-19_Mumbai_-_30-03-92_IDesireTree.mp3</t>
  </si>
  <si>
    <t>1992-053_Disloyal_Controvercy_SB-10_07_20-24_Mumbai_-_Radhanath_Swami_1992-03-31_IDesireTree.mp3</t>
  </si>
  <si>
    <t>1992-054_The_Highest_Pastimes_CC-01_01_04_22_Mumbai_-_Radhanath_Swami_1992-03-31_IDesireTree.mp3</t>
  </si>
  <si>
    <t>1992-055_Trinavarta_In_Our_Heart_SB-10_07_25-26_Mumbai_-_Radhanath_Swami_1992-04-01_IDesireTree.mp3</t>
  </si>
  <si>
    <t>1992-056_Rooting_Out_The_Trinavarta_SB-10_07_27-29_Mumbai_-_01-04-92_IDesireTree.mp3</t>
  </si>
  <si>
    <t>1992-057_The_Supreme_Perfection_CC_AL-01_Mumbai_-_Radhanath_Swami_1992-04-02_IDesireTree.mp3</t>
  </si>
  <si>
    <t>1992-058_Bhajahu_Re_Mana_Lecture_Mumbai_-_Radhanath_Swami_1992-04-02_IDesireTree.mp3</t>
  </si>
  <si>
    <t>1992-059_Krsna_Waiting_to_Help_Us_BG-13_16_Mumbai_-_Radhanath_Swami_1992-04-07_IDesireTree.mp3</t>
  </si>
  <si>
    <t>1992-060_Story_Of_Ramanujacharya_Lecture_Mumbai_-_Radhanath_Swami_1992-04-08_IDesireTree.mp3</t>
  </si>
  <si>
    <t>1992-061_Secret_Of_Detachment_Lecture_Mumbai_-_Radhanath_Swami_1992-04-04_IDesireTree.mp3</t>
  </si>
  <si>
    <t>1992-062_Brahma_Vimohana_Lilla_SB-10_13_01-03_Mumbai_-_Radhanath_Swami_1992-04-05_IDesireTree.mp3</t>
  </si>
  <si>
    <t>1992-063_How_To_Be_Real_Grihastha_SB-10_8_01-04_Mumbai_-_Radhanath_Swami_1992-04-07_IDesireTree.mp3</t>
  </si>
  <si>
    <t>1992-064_Guru_And_Vaishnava_Blessing_SB-10_08_06_Mumbai_-_Radhanath_Swami_1992-04-09_IDesireTree.mp3</t>
  </si>
  <si>
    <t>1992-065_The_Lord%27s_Love_for_His_Devotees_Lecture_Mumbai_-_23-6-92_IDesireTree.mp3</t>
  </si>
  <si>
    <t>1992-066_Submissive_Approach_To_Guru_BG-02_45_-_Radhanath_Swami_1992-06-09_IDesireTree.mp3</t>
  </si>
  <si>
    <t>1992-067_We_have_no_Independance_from_Krsna_SB_-_Radhanath_Swami_1992-07-09_IDesireTree.mp3</t>
  </si>
  <si>
    <t>1992-068_Understanding_Prabhupada%27s_Mission_Lecture_Columbus_-_12-07-92_IDesireTree.mp3</t>
  </si>
  <si>
    <t>1992-069_Sri_Caitanya_Lila_Lecture_-_Radhanath_Swami_92_IDesireTree.mp3</t>
  </si>
  <si>
    <t>1992-070_Developing_Humility_Lecture_Mumbai_-_Radhanath_Swami_1992-08-14_IDesireTree.mp3</t>
  </si>
  <si>
    <t>1992-071_Lord_Balarama_Appearance_Day_Lecture_Mumbai_-_Radhanath_Swami_1992-08-15_IDesireTree.mp3</t>
  </si>
  <si>
    <t>1992-072_Developing_Affection_SB-10_13_31-32_Mumbai_-_Radhanath_Swami_1992-08-15_IDesireTree.mp3</t>
  </si>
  <si>
    <t>1992-073_Laziness_And_False_Ego_BG-03_30_Mumbai_-_Radhanath_Swami_1992-08-16_IDesireTree.mp3</t>
  </si>
  <si>
    <t>1992-074_Spiritual_Attachments_SB-10_13_33-34_Mumbai_-_Radhanath_Swami_1992-08-16_IDesireTree.mp3</t>
  </si>
  <si>
    <t>1992-075_Inconceivable_Lord_Krishna_SB-10_13_35_Mumbai_-_Radhanath_Swami_1992-08-17_IDesireTree.mp3</t>
  </si>
  <si>
    <t>1992-076_Vaishnava_Is_Selfless_SB-10_08_07-09_Mumbai_-_Radhanath_Swami_1992-04-10_IDesireTree.mp3</t>
  </si>
  <si>
    <t>1992-077_One_Pointed_Determination_BG-02_41_Mumbai_-_Radhanath_Swami_1992-04-10_IDesireTree.mp3</t>
  </si>
  <si>
    <t>1992-078_Pastimes_Of_Lord_Ramachandra_Ht_-_SB-09_11_23_Mumbai_-_11-04-92_IDesireTree.mp3</t>
  </si>
  <si>
    <t>1992-079_Importance_Of_Tulsi_Maharani_SB-10_13_49_Mumbai_-_28-08-92_IDesireTree.mp3</t>
  </si>
  <si>
    <t>1992-080_Importance_Of_Serving_Devotees_Lecture_Mumbai_-_Radhanath_Swami_1992-08-30_IDesireTree.mp3</t>
  </si>
  <si>
    <t>1992-081_Krishna%27s_Love_For_Us_SB-10_13_36_Mumbai_-_Radhanath_Swami_1992-08-18_IDesireTree.mp3</t>
  </si>
  <si>
    <t>1992-082_Mysticism_And_Devotion_SB-10_13_37-38_Mumbai_-_Radhanath_Swami_1992-08-19_IDesireTree.mp3</t>
  </si>
  <si>
    <t>1992-083_Greatness_Of_Krishna_SB-10_03_39_Mumbai_-_Radhanath_Swami_1992-08-20_IDesireTree.mp3</t>
  </si>
  <si>
    <t>1992-084_Supreme_Controller_SB-10_13_40_Mumbai_-_Radhanath_Swami_1992-08-21_IDesireTree.mp3</t>
  </si>
  <si>
    <t>1992-085_Meaning_Of_Janamashtami_Lecture_Mumbai_-_Radhanath_Swami_1991-08-21_IDesireTree.mp3</t>
  </si>
  <si>
    <t>1992-086_Spiritual_Chastisement_BG-02_11_Mumbai_-_Radhanath_Swami_1992-08-23_IDesireTree.mp3</t>
  </si>
  <si>
    <t>1992-087_Power_Of_Maya_SB-10_13_42_Mumbai_-_Radhanath_Swami_1992-08-24_IDesireTree.mp3</t>
  </si>
  <si>
    <t>1992-088_Real_Cause_Of_Suffering_SB-11_23_42-43_Mumbai_-_Radhanath_Swami_1992-08-24_IDesireTree.mp3</t>
  </si>
  <si>
    <t>1992-089_Lord_Pleases_His_Devotees_Lecture_Mumbai_-_Radhanath_Swami_1992-08-25_IDesireTree.mp3</t>
  </si>
  <si>
    <t>1992-090_Dicussions_On_Bhagavad_Gita_Q%26A_Mumbai_-_Radhanath_Swami_1992-08-26_IDesireTree.mp3</t>
  </si>
  <si>
    <t>1992-091_Glory_Of_Krishna_SB-10_13_46-48_Mumbai_-_Radhanath_Swami_1992-08-27_IDesireTree.mp3</t>
  </si>
  <si>
    <t>1992-092_Grihastha_Ashrama_%26_Deity_Worship_BG-07_07_Mumbai_-_27-08-92_IDesireTree.mp3</t>
  </si>
  <si>
    <t>1992-093_Vaishnava_Etiquette_Lecture_Mumbai_-_Radhanath_Swami_1992-08-27_IDesireTree.mp3</t>
  </si>
  <si>
    <t>1992-094_We_have_no_Independance_from_Krsna_SB_-_Radhanath_Swami_1992-09-07_IDesireTree.mp3</t>
  </si>
  <si>
    <t>1992-095_Srila_Jiva_Goswami_LectureMumbai_-_Radhanath_Swami_1992-09-08_IDesireTree.mp3</t>
  </si>
  <si>
    <t>1992-096_Bhaktivinoda_Thakur_SB-_Mumbai_-_Radhanath_Swami_1992-09-09_IDesireTree.mp3</t>
  </si>
  <si>
    <t>1992-097_Greatness_Of_bhaktivinode_Thakur_Lecture_Mumbai_-_09-09-92_IDesireTree.mp3</t>
  </si>
  <si>
    <t>1992-098_Glories_Of_Lord_Brahma_And_Haridas_Thakur_SB-10_14_01_Mumbai_-_10-09-92_IDesireTree.mp3</t>
  </si>
  <si>
    <t>1992-099_Without_Mercy_Nothing_Is_Possible_SB-10_14_02_Mumbai_-_11-09-92_IDesireTree.mp3</t>
  </si>
  <si>
    <t>1992-100_Real_Humility_SB-10_14_28_Mumbai_-_Radhanath_Swami_1992-10-05_IDesireTree.mp3</t>
  </si>
  <si>
    <t>1992-101_General_Discussion_Lecture_Mumbai_-_Radhanath_Swami_1992-08-28_IDesireTree.mp3</t>
  </si>
  <si>
    <t>1992-102_Developing_Love_Lecture_Mumbai_-_Radhanath_Swami_1992-08-29_IDesireTree.mp3</t>
  </si>
  <si>
    <t>1992-103_Bhisma%27s_Greatness_SB-01_09_22_Mumbai_-_Radhanath_Swami_1992-08-30_IDesireTree.mp3</t>
  </si>
  <si>
    <t>1992-104_Appearance_Of_Lord_Vamandev_SB-_Mumbai_-_Radhanath_Swami_1992-09-08_IDesireTree.mp3</t>
  </si>
  <si>
    <t>1992-105_We_Are_Really_Insignificant_SB-10_14_10_Mumbai_-_Radhanath_Swami_1992-09-18_IDesireTree.mp3</t>
  </si>
  <si>
    <t>1992-106_The_Power_Of_Devotion_SB-10_14_11_Mumbai_-_Radhanath_Swami_1992-09-19_IDesireTree.mp3</t>
  </si>
  <si>
    <t>1992-107_Love_Of_God_Ht_-_Lecture_Palghar_-_Radhanath_Swami_1992-09-22_IDesireTree.mp3</t>
  </si>
  <si>
    <t>1992-108_First_Meeting_With_Guru_SB-10_14_15_Mumbai_-_Radhanath_Swami_1992-09-23_IDesireTree.mp3</t>
  </si>
  <si>
    <t>1992-109_Krishna_Is_Omnipotent_SB-10_14_16_Mumbai_-_Radhanath_Swami_1992-09-24_IDesireTree.mp3</t>
  </si>
  <si>
    <t>1992-110_Demigod_Worship_SB-06_03_12_Mumbai_-_Radhanath_Swami_1992-09-11_IDesireTree.mp3</t>
  </si>
  <si>
    <t>1992-111_Lecture_On_Accepting_Saffron_Lecture_Mumbai_-_Radhanath_Swami_1992-09-11_IDesireTree.mp3</t>
  </si>
  <si>
    <t>1992-112_Importance_Of_Austerity_SB-01_03_09_Mumbai_-_Radhanath_Swami_1992-09-132_IDesireTree.mp3</t>
  </si>
  <si>
    <t>1992-113_Attachment_To_Krishna_SB-10_14_04_Mumbai_-_Radhanath_Swami_1992-09-13_IDesireTree.mp3</t>
  </si>
  <si>
    <t>1992-115_Humble_Servant_Attitude_SB-10_14_56_Mumbai_-_Radhanath_Swami_1992-09-14_IDesireTree.mp3</t>
  </si>
  <si>
    <t>1992-116_Dr_Frog_In_Well_SB-10_14_07_Mumbai_-_Radhanath_Swami_1992-09-15_IDesireTree.mp3</t>
  </si>
  <si>
    <t>1992-117_Duties_For_Devotees_BG-03_18-19_Mumbai_-_Radhanath_Swami_1992-09-15_IDesireTree.mp3</t>
  </si>
  <si>
    <t>1992-118_Lord%27s_Special_Mercy_SB-10_14_08_Mumbai_-_Radhanath_Swami_1992-09-16_IDesireTree.mp3</t>
  </si>
  <si>
    <t>1992-119_Krishna-_The_Master_Of_Mystics_SB-10_14_27_Mumbai_-_04-10-92_IDesireTree.mp3</t>
  </si>
  <si>
    <t>1992-120_How_To_Be_A_Perfect_Servant_Of_Lord_Ganesh_BG-07_20_Mumbai_-_04-10-92_IDesireTree.mp3</t>
  </si>
  <si>
    <t>1992-121_Real_Sacrifice_SB-10_40_06-12_Mumbai_-_Radhanath_Swami_1992-10-04_IDesireTree.mp3</t>
  </si>
  <si>
    <t>1992-122_Spiritual_Vision_SB-10_16_17-18_Mumbai_-_Radhanath_Swami_1992-11-14_IDesireTree.mp3</t>
  </si>
  <si>
    <t>1992-123_Anything_Disconnected_With_Krishna_Is_Maya_BG-12_18-19_Mumbai_-_15-11-92_IDesireTree.mp3</t>
  </si>
  <si>
    <t>1992-124_The_Gift_Of_Surrendering_BG-18_78_Mumbai_-_Radhanath_Swami_1992-11-21_IDesireTree.mp3</t>
  </si>
  <si>
    <t>1992-125_Story_Of_Chitraketu_SB-06_11_16-18_Mumbai_-_Radhanath_Swami_1922-11-22_IDesireTree.mp3</t>
  </si>
  <si>
    <t>1992-126_Spiritual_Emotion_SB-10_16_16_Mumbai_-_Radhanath_Swami_1992-11-23_IDesireTree.mp3</t>
  </si>
  <si>
    <t>1992-127_To_Be_On_Red_Alert_Lecture_Mumbai_-_Radhanath_Swami_1992-11-23_IDesireTree.mp3</t>
  </si>
  <si>
    <t>1992-128_Controlling_The_Tongue_Lecture_Mumbai_-_Radhanath_Swami_1992-11-24_IDesireTree.mp3</t>
  </si>
  <si>
    <t>1992-129_Fool%27s_Paradise_vs_Goloka_Vrindavan_SB-10_16_23-26_Mumbai_-_27-11-92_IDesireTree.mp3</t>
  </si>
  <si>
    <t>1992-130_Fortune_Of_Kaliyuga_People_SB-11_05_36_Mumbai_-_Radhanath_Swami_1992-11-27_IDesireTree.mp3</t>
  </si>
  <si>
    <t>1992-131_Our_Faith_Is_Our_Life_SB-10_16_25-30_Mumbai_-_Radhanath_Swami_1992-11-28_IDesireTree.mp3</t>
  </si>
  <si>
    <t>1992-132_Love_And_Compassion_SB-06_10_08-10_Mumbai_-_Radhanath_Swami_1992-11-28_IDesireTree.mp3</t>
  </si>
  <si>
    <t>1992-133_The_Proof_Of_The_Process_SB-10_16_36-38_Mumbai_-_Radhanath_Swami_1992-12-02_IDesireTree.mp3</t>
  </si>
  <si>
    <t>1992-134_Understanding_Prabhupada%27s_Mission_Lecture_Columbus_-_7-12-92_IDesireTree.mp3</t>
  </si>
  <si>
    <t>1992-135_Story_Of_Prahlad_Maharaj_SB-07_05_11_Mumbai_-_Radhanath_Swami_1992-12-09_IDesireTree.mp3</t>
  </si>
  <si>
    <t>1992-136_Hearing_Means_To_Put_Into_Action_SB-10_16_56-57_Mumbai_-_10-12-92_IDesireTree.mp3</t>
  </si>
  <si>
    <t>1992-137_Lord_Rama%27s_Pastimes_Lecture_Mumbai_-_Radhanath_Swami_1992-10-05_IDesireTree.mp3</t>
  </si>
  <si>
    <t>1992-138_Overcoming_Material_Conditioning_SB-10_16_57-59_Mumbai_-_11-12-92_IDesireTree.mp3</t>
  </si>
  <si>
    <t>1992-139_Prayers_Of_Vaishnavas_Never_Go_In_Vain_SB-10_16_60-64_Mumbai_-_12-12-92_IDesireTree.mp3</t>
  </si>
  <si>
    <t>1992-140_Only_Surrender_SB-02_04_21_Mumbai_-_Radhanath_Swami_1992-12-13_IDesireTree.mp3</t>
  </si>
  <si>
    <t>1992-141_What_Do_You_have_To_Renounce_SB-10_16_65-67_Mumbai_-_13-12-92_IDesireTree.mp3</t>
  </si>
  <si>
    <t>1992-142_Let_Lord_Krishna_Devastate_Our_False_Ego_SB-10_17_1-3_Mumbai_-_15-12-92_IDesireTree.mp3</t>
  </si>
  <si>
    <t>1992-143_Beware_Of_Mad_Elephant_Offence_SB-10_17_12_Mumbai_-_17-12-92_IDesireTree.mp3</t>
  </si>
  <si>
    <t>1992-144_Spiritual_Warfare_SB-10_17_21-22_Mumbai_-_Radhanath_Swami_1992-12-18_IDesireTree.mp3</t>
  </si>
  <si>
    <t>1992-145_Sense_Gratification_And_Bhakti_Go_Ill_Together_SB-05_05_7_Mumbai_-_18-12-92_IDesireTree.mp3</t>
  </si>
  <si>
    <t>1992-146_Only_One_Reality_SB-01_02_07_Mumbai_-_Radhanath_Swami_1992-12-19_IDesireTree.mp3</t>
  </si>
  <si>
    <t>1992-147_Vrajabasi_Spirits_SB-10_18_01-07_Mumbai_-_Radhanath_Swami_1992-12-20_IDesireTree.mp3</t>
  </si>
  <si>
    <t>1992-148_Free_Yourself_From_Material_Modes_BG-14_05_Mumbai_-_20-12-92_IDesireTree.mp3</t>
  </si>
  <si>
    <t>1992-149_Truth_Of_God_Consciousness_SB-03_04_21_Mumbai_-_Radhanath_Swami_1992-12-20_IDesireTree.mp3</t>
  </si>
  <si>
    <t>1992-150_Don%27t_Put_Your_Faith_In_This_Material_World_SB-10_18_27_Mumbai_-_24-12-92_IDesireTree.mp3</t>
  </si>
  <si>
    <t>1992-151_Equality_Of_Vision_BG-05_18_Mumbai_-_Radhanath_Swami_1992-12-24_IDesireTree.mp3</t>
  </si>
  <si>
    <t>1992-152_Power_Of_Association_SB-03_07_14_Mumbai_-_Radhanath_Swami_1992-12-25_IDesireTree.mp3</t>
  </si>
  <si>
    <t>1992-153_Kill_The_Demon_Of_Doubt_SB-10_18_28-32_Mumbai_-_Radhanath_Swami_1992-12-25_IDesireTree.mp3</t>
  </si>
  <si>
    <t>1992-154_Material_Life-_Big_Forest_Fire_SB-10_19_1-12_Mumbai_-_26-12-92_IDesireTree.mp3</t>
  </si>
  <si>
    <t>1992-155_Peace_Formula_BG-05-17_Mumbai_-_Radhanath_Swami_1992-12-26_IDesireTree.mp3</t>
  </si>
  <si>
    <t>1992-156_Living_In_Harmony_With_Nature_SB-10_20_1-5_Mumbai_-_27-12-92_IDesireTree.mp3</t>
  </si>
  <si>
    <t>1992-157_Disappearance_Of_Srila_Jiva_Goswami_Lecture_Mumbai_-_27-12-92_IDesireTree.mp3</t>
  </si>
  <si>
    <t>1992-158_Killing_Of_Shishupal_SB-10_87_23_Mumbai_-_Radhanath_Swami_1992-12-27_IDesireTree.mp3</t>
  </si>
  <si>
    <t>1992-159_Teachings_From_Story_Of_Ajamila_SB-06_02_07_Mumbai_-_28-12-92_IDesireTree.mp3</t>
  </si>
  <si>
    <t>1992-160_Pure_Devotional_Service_Is_Real_Diamond_SB-10_20_8_Mumbai_-_29-12-92_IDesireTree.mp3</t>
  </si>
  <si>
    <t>1992-161_Nimai_Pandit%27s_Pastimes_Lecture_Mumbai_-_Radhanath_Swami_1992-12-29_IDesireTree.mp3</t>
  </si>
  <si>
    <t>1992-162_Story_Of_King_Parikshit_SB-01_19_07_Mumbai_-_Radhanath_Swami_1992-12-29_IDesireTree.mp3</t>
  </si>
  <si>
    <t>1992-163_Developing_Love_Lecture_Mumbai_-_Radhanath_Swami_1992-12-30_IDesireTree.mp3</t>
  </si>
  <si>
    <t>1992-164_Introduction_To_Pune_Yatra_Lecture_Pune_-_Radhanath_Swami_1992-12-31_IDesireTree.mp3</t>
  </si>
  <si>
    <t>1993-001_No_One_Is_Hopeless_Lecture_Pune_-_Radhanath_Swami_1993-01-01_IDesireTree.mp3</t>
  </si>
  <si>
    <t>1993-002_What_is_real_satsang_SB-10_20_15_Pune_-_Radhanath_Swami_1993-01-03_IDesireTree.mp3</t>
  </si>
  <si>
    <t>1993-003_Krsna_can_tear_down_the_wall_of_Illusion_SB-10_20_18_-_05-01-93_IDesireTree.mp3</t>
  </si>
  <si>
    <t>1993-004_Meaning_Of_False_Pride_SB-10_20_19_Mumbai_-_Radhanath_Swami_1993-01-06_IDesireTree.mp3</t>
  </si>
  <si>
    <t>1993-005_Story_Of_Maharaj_Chitraketu_SB-06_15_05-06_Mumbai_-_06-01-93_IDesireTree.mp3</t>
  </si>
  <si>
    <t>1993-006_We_Are_Like_Puppets_In_The_Hands_Of_Death_SB-12_03_1-8_Mumbai_-_09-01-93_IDesireTree.mp3</t>
  </si>
  <si>
    <t>1993-007_Highest_Achievements_SB-12_10_23-25_-_Radhanath_Swami_1993-01-10_IDesireTree.mp3</t>
  </si>
  <si>
    <t>1993-008_Tug_Of_War_SB-10_20_25-29_Mumbai_-_Radhanath_Swami_1993-01-11_IDesireTree.mp3</t>
  </si>
  <si>
    <t>1993-009_Four_Paramparas_Lecture_Mumbai_-_Radhanath_Swami_1993-01-12_IDesireTree.mp3</t>
  </si>
  <si>
    <t>1993-010_No_Compromise_Lecture_Mumbai_-_Radhanath_Swami_1993-01-13_IDesireTree.mp3</t>
  </si>
  <si>
    <t>1993-013_Even_Jivas_Can_Expand_By_The_Will_Of_Krishna_Lecture_Mumbai_-_14-01-93_IDesireTree.mp3</t>
  </si>
  <si>
    <t>1993-014_To_Have_Innocent_Faith_SB-10_20_42-44_Mumbai_-_Radhanath_Swami_1993-01-16_IDesireTree.mp3</t>
  </si>
  <si>
    <t>1993-015_Enthusiasm_Patience_And_Faith_SB-10_20_45-46_Mumbai_-_17-01-93_IDesireTree.mp3</t>
  </si>
  <si>
    <t>1993-016_Who_Is_Rich_Who_Is_Poor_SB-06_03_31-32_Mumbai_-_Radhanath_Swami_1993-01-17_IDesireTree.mp3</t>
  </si>
  <si>
    <t>1993-017_To_Purify_Our_Heart_SB-01_02_08_-_Radhanath_Swami_1993-01-17_IDesireTree.mp3</t>
  </si>
  <si>
    <t>1993-018_Discussions_On_Vaishnava_Etiquettes_Lecture_Mumbai_-_17-01-93_IDesireTree.mp3</t>
  </si>
  <si>
    <t>1993-019_Death_Means_Eternal_Life_SB-10_20_47-48_Mumbai_-_Radhanath_Swami_1993-01-18_IDesireTree.mp3</t>
  </si>
  <si>
    <t>1993-020_Valentines_Day_Lecture_-_Radhanath_Swami_1993-02-14_IDesireTree.mp3</t>
  </si>
  <si>
    <t>1993-021_Athens_BG-10_07_-_Radhanath_Swami_1993-03-10_IDesireTree.mp3</t>
  </si>
  <si>
    <t>1993-022_Humble_Service_Attitude_SB-03_15_33_Vrindavan_-_Radhanath_Swami_1993-03-19_IDesireTree.mp3</t>
  </si>
  <si>
    <t>1993-023_True_Glorification_Of_Guru_SB-03_16_01-09_Vrindavan_-_20-03-93_IDesireTree.mp3</t>
  </si>
  <si>
    <t>1993-024_Power_Of_Krishna_Consciousness_SB-03_16_31_Barsana_-_22-03-93_IDesireTree.mp3</t>
  </si>
  <si>
    <t>1993-025_Blessed_Age_Of_Kaliyuga_Lecture_Mumbai_-_Radhanath_Swami_1993-03-23_IDesireTree.mp3</t>
  </si>
  <si>
    <t>1993-026_When_Ego_Is_Attacked_SB-10_25_01-02_-_Radhanath_Swami_1993-03-24_IDesireTree.mp3</t>
  </si>
  <si>
    <t>1993-027_A_Prison_House_Without_Walls_SB-10_25_03-05_-_Radhanath_Swami_1993-03-25_IDesireTree.mp3</t>
  </si>
  <si>
    <t>1993-028_Lord_Krsna_Wants_to_Purify_His_Devotee_SB-10_25_07-08_-_26-03-93_IDesireTree.mp3</t>
  </si>
  <si>
    <t>1993-029_Purpose_Of_Creation_SB-02_09_36_-_Radhanath_Swami_1993-03-26_IDesireTree.mp3</t>
  </si>
  <si>
    <t>1993-031_Accept_Lord_Krishna%27s_Mercy_SB-10_25_11-13_Mumbai_-_27-03-93_IDesireTree.mp3</t>
  </si>
  <si>
    <t>1993-032_Following_In_Their_Footsteps_BG-03_21_Mumbai_-_Radhanath_Swami_1993-03-28_IDesireTree.mp3</t>
  </si>
  <si>
    <t>1993-033_Meditation_On_Aarati_Lecture_Mumbai_-_Radhanath_Swami_1993-03-29_IDesireTree.mp3</t>
  </si>
  <si>
    <t>1993-034_We_are_not_Indras_SB-10_25_16_17_Mumbai_-_Radhanath_Swami_1993-03-29_IDesireTree.mp3</t>
  </si>
  <si>
    <t>1993-035_Gopi%27s_Exalted_Love_for_Lord_Krsna_SB-10_25_18_Mumbai_-_30-03-93_IDesireTree.mp3</t>
  </si>
  <si>
    <t>1993-036_Glories_Of_lord_Ramachandra_SB-09_10_04_-_Radhanath_Swami_1993-04-01_IDesireTree.mp3</t>
  </si>
  <si>
    <t>1993-037_Lord_Ramachandra%27s_Devotees_Lecture_Mumbai_-_Radhanath_Swami_1993-04-01_IDesireTree.mp3</t>
  </si>
  <si>
    <t>1993-038_The_Art_Of_Living_SB-09_10_08_Mumbai_-_Radhanath_Swami_1993-04-02_IDesireTree.mp3</t>
  </si>
  <si>
    <t>1993-039_Supreme_Protector_SB-10_25_20_-_Radhanath_Swami_1993-04-03_IDesireTree.mp3</t>
  </si>
  <si>
    <t>1993-040_Power_Of_Preacher_BG-04_15_Mumbai_-_Radhanath_Swami_1993-04-04_IDesireTree.mp3</t>
  </si>
  <si>
    <t>1993-042_Pitfalls_on_the_path_Lecture_Mumbai_-_Radhanath_Swami_1993-04-06_IDesireTree.mp3</t>
  </si>
  <si>
    <t>1993-043_Wonderful_krsna_SB-10_26_01_Mumbai_-_Radhanath_Swami_1993-04-08_IDesireTree.mp3</t>
  </si>
  <si>
    <t>1993-044_Setting_An_Example_SB-03_04_18_Mumbai_-_Radhanath_Swami_1994-04-09_IDesireTree.mp3</t>
  </si>
  <si>
    <t>1993-045_Kshetra_And_Kshetra-_Jna_BG-13_01-03_Mumbai_-_Radhanath_Swami_1994-04-10_IDesireTree.mp3</t>
  </si>
  <si>
    <t>1993-046_Lord_Balaram_visit_vrindavan_SB_class_Mumbai_-_Radhanath_Swami_1993-04-10_IDesireTree.mp3</t>
  </si>
  <si>
    <t>1993-047_Harmonious_Life_Of_Brajabasis_SB-10_26_05-06_Mumbai_-_11-04-93_IDesireTree.mp3</t>
  </si>
  <si>
    <t>1993-048_Inaction_In_Action_Bg-04_17_Mumbai_-_Radhanath_Swami_1993-04-11_IDesireTree.mp3</t>
  </si>
  <si>
    <t>1993-049_Between_Senses_And_Soul_BG-13_29_Mumbai_-_Radhanath_Swami_1993-04-11_IDesireTree.mp3</t>
  </si>
  <si>
    <t>1993-050_Time_And_Tide_Wait_For_None_Lecture_Mumbai_-_Radhanath_Swami_1993-04-13_new_IDesireTree.mp3</t>
  </si>
  <si>
    <t>1993-051_Purification_Means_SB-10_26_13_-_Radhanath_Swami_1993-04-13_IDesireTree.mp3</t>
  </si>
  <si>
    <t>1993-052_Unmotivated_Unconditional_Love_SB-10_26_14-15_Mumbai_-_14-04-93_IDesireTree.mp3</t>
  </si>
  <si>
    <t>1993-053_Need_To_Change_Consciousness_BG-07_05_Mumbai_-_Radhanath_Swami_1993-04-14_IDesireTree.mp3</t>
  </si>
  <si>
    <t>1993-054_Incarnation_Foretold_SB-10_26_16-21_Mumbai_-_Radhanath_Swami_1993-04-15_IDesireTree.mp3</t>
  </si>
  <si>
    <t>1993-056_Talk_With_Chinmaya_Mission_Boys_Lecture_Mumbai_-_Radhanath_Swami_1993-04-17_IDesireTree.mp3</t>
  </si>
  <si>
    <t>1993-057_To_Be_Detached_SB-03_29_70-11_Mumbai_-_Radhanath_Swami_1993-04-17_IDesireTree.mp3</t>
  </si>
  <si>
    <t>1993-058_The_Only_Safe_Place_SB-10_26_21_Mumbai_-_Radhanath_Swami_1993-04-17_IDesireTree.mp3</t>
  </si>
  <si>
    <t>1993-059_Secret_Of_Success_BG-18_66_Mumbai_-_Radhanath_Swami_1993-04-18_IDesireTree.mp3</t>
  </si>
  <si>
    <t>1993-060_Hearing_And_Absorbing_BG-07_01-03_Mumbai_-_Radhanath_Swami_1993-04-18_IDesireTree.mp3</t>
  </si>
  <si>
    <t>1993-061_The_Power_Of_Holyname_Ht_-_BG-05_18_Mumbai_-_Radhanath_Swami_1993-04-19_IDesireTree.mp3</t>
  </si>
  <si>
    <t>1993-062_Prestige_To_Be_Purified_SB-10_27_01_Mumbai_-_Radhanath_Swami_1993-04-20_IDesireTree.mp3</t>
  </si>
  <si>
    <t>1993-063_The_Perfection_Of_Life_Ht_-_BG-06_18-19_Mumbai_-_Radhanath_Swami_1993-04-20_IDesireTree.mp3</t>
  </si>
  <si>
    <t>1993-064_Three_Gates_To_Hell_BG-16_21-24_Mumbai_-_Radhanath_Swami_1993-04-23_IDesireTree.mp3</t>
  </si>
  <si>
    <t>1993-065_Purifying_Ourselves_Lecture_Mumbai_-_Radhanath_Swami_1993-04-23_IDesireTree.mp3</t>
  </si>
  <si>
    <t>1993-066_Transcendental_Words_Of_Gita_BG-10_19_Mumbai_-_Radhanath_Swami_1993-04-24_IDesireTree.mp3</t>
  </si>
  <si>
    <t>1993-067_Death_Is_Knocking_At_The_Door_SB-01_15_21_Mumbai_-_25-04-93_Verify_Verse_-_IDesireTree.mp3</t>
  </si>
  <si>
    <t>1993-068_Everything_Emanates_From_Me_BG-10_08_Mumbai_-_Radhanath_Swami_1993-04-25_IDesireTree.mp3</t>
  </si>
  <si>
    <t>1993-069_Attracting_Our_Youth_Lecture_Mumbai_-_Radhanath_Swami_1993-04-29_IDesireTree.mp3</t>
  </si>
  <si>
    <t>1993-070_What_It_Means_To_Be_A_Pure_Devotee_SB-09_10_03_Mumbai_-_1993-04-30_IDesireTree.mp3</t>
  </si>
  <si>
    <t>1993-071_Ego_Purification_SB-10_27_12_14_Mumbai_-_Radhanath_Swami_1993-04-30_IDesireTree.mp3</t>
  </si>
  <si>
    <t>1993-072_Greatness_Of_Jahanava_Devi_Lecture_Mumbai_-_Radhanath_Swami_1993-05-01_IDesireTree.mp3</t>
  </si>
  <si>
    <t>1993-073_Devotee_Making_Mistakes_SB-10_27_18-20_Mumbai_-_Radhanath_Swami_1993-05-02_IDesireTree.mp3</t>
  </si>
  <si>
    <t>1993-074_Attaining_Peace_By_Spiritual_Quest_BG-03_12_Mumbai_-_02-05-93_IDesireTree.mp3</t>
  </si>
  <si>
    <t>1993-075_Science_Of_Bhakti_BG-12_16_Mumbai_-_Radhanath_Swami_1993-05-02_IDesireTree.mp3</t>
  </si>
  <si>
    <t>1993-076_Chaitanya_Mahaprabhu_And_Iswarpuri_SB-07_06_28_Mumbai_-_04-05-93_IDesireTree.mp3</t>
  </si>
  <si>
    <t>1993-077_Tricks_of_Maya_SB-10_27_21-23_Mumbai_-_Radhanath_Swami_1993-05-04_IDesireTree.mp3</t>
  </si>
  <si>
    <t>1993-078_Introduction_About_Initiation_Lecture_Mumbai_-_Radhanath_Swami_1993-05-04_IDesireTree.mp3</t>
  </si>
  <si>
    <t>1993-079_Learning_To_Take_Shelter_SB-07_09_03-05_Mumbai_-_Radhanath_Swami_1993-05-05_IDesireTree.mp3</t>
  </si>
  <si>
    <t>1993-080_Initiation_Lecture_Lecture_Mumbai_-_Radhanath_Swami_1993-05-05_IDesireTree.mp3</t>
  </si>
  <si>
    <t>1993-081_Glories_Of_Prahlad_Maharaj_SB-03_27_21_Mumbai_-_Radhanath_Swami_1993-05-05_IDesireTree.mp3</t>
  </si>
  <si>
    <t>1993-082_Lord_Buddha_BG-09_29-05-22_-_Radhanath_Swami_1993-05-06_IDesireTree.mp3</t>
  </si>
  <si>
    <t>1993-083_How_To_Attain_Love_Of_God_SB-03_01_04_Mumbai_-_Radhanath_Swami_1993-05-07_IDesireTree.mp3</t>
  </si>
  <si>
    <t>1993-084_Putting_Krishna_In_The_Center_SB-01_02_09_Mumbai_-_08-05-93_IDesireTree.mp3</t>
  </si>
  <si>
    <t>1993-085_Supreme_Benediction_SB-10_51_55_Mumbai_-_Radhanath_Swami_1993-05-093_IDesireTree.mp3</t>
  </si>
  <si>
    <t>1993-086_Crazy_Human_Society_SB-01_03_39_Mumbai_-_Radhanath_Swami_1993-05-09_IDesireTree.mp3</t>
  </si>
  <si>
    <t>1993-087_Lord_Krishna%27s_Blessing_On_His_Devotees_SB-10_28_17_Mumbai_-_18-05-93_IDesireTree.mp3</t>
  </si>
  <si>
    <t>1993-088_Preparing_For_Final_Test_SB-01_19_15_-_Radhanath_Swami_1993-05-19_IDesireTree.mp3</t>
  </si>
  <si>
    <t>1993-09-24_SB_10-45-42-43_-_Radhanath_Swami_Mumbai.mp3</t>
  </si>
  <si>
    <t>1993-090_A_Moment%27s_Mistake_SB-01_03_29_Mumbai_-_Radhanath_Swami_1993-05-20_IDesireTree.mp3</t>
  </si>
  <si>
    <t>1993-091_Knowledge_And_Renunciation_SB-03_27_21_Mumbai_-_Radhanath_Swami_1993-05-21_IDesireTree.mp3</t>
  </si>
  <si>
    <t>1993-092_Gopis_Highest_Form_Of_Detachment_SB-10_29_04-08_Mumbai_-_22-05-93_IDesireTree.mp3</t>
  </si>
  <si>
    <t>1993-093_How_To_Achieve_Satisfaction_Of_The_Self_SB-01_02_05_Mumbai_-_22-05-93_IDesireTree.mp3</t>
  </si>
  <si>
    <t>1993-094_The_Exalted_Position_Of_Gopis_SB-10_29_09-11_Mumbai_-_23-05-93_IDesireTree.mp3</t>
  </si>
  <si>
    <t>1993-095_Lord_Krishna%27s_Love_For_His_Devotees_SB-01_08_36_Mumbai_-_23-05-93_IDesireTree.mp3</t>
  </si>
  <si>
    <t>1993-096_Worst_Prison_House_SB-02_01_09_Mumbai_-_Radhanath_Swami_1993-05-24_IDesireTree.mp3</t>
  </si>
  <si>
    <t>1993-097_Selfless_Love_For_Others_SB-10_33_26-27_Mumbai_-_Radhanath_Swami_1993-05-24_IDesireTree.mp3</t>
  </si>
  <si>
    <t>1993-098_Nothing_Is_Ours_BG-02_24_Mumbai_-_Radhanath_Swami_1993-05-25_IDesireTree.mp3</t>
  </si>
  <si>
    <t>1993-099_The_Wealth_Of_Indian_Culture_SB-05_05_05_Mumbai_-_27-05-93_IDesireTree.mp3</t>
  </si>
  <si>
    <t>1993-100_Highest_Form_Of_Renunciation_SB-10_29_14_Mumbai_-_27-05-93_IDesireTree.mp3</t>
  </si>
  <si>
    <t>1993-101_Story_Of_Shyamantaka_Jewel_BG-02_44_Mumbai_-_Radhanath_Swami_1993-05-28_IDesireTree.mp3</t>
  </si>
  <si>
    <t>1993-102_Marriage_Ceremony_Lecture_Lecture_Mumbai_-_Radhanath_Swami_1993-05-28_IDesireTree.mp3</t>
  </si>
  <si>
    <t>1993-103_Knowing_Vedic_Principle_Mt_-_Lecture_Palghar_-_29-05-93_IDesireTree.mp3</t>
  </si>
  <si>
    <t>1993-103_Knowing_Vedic_Principle_Mt_-_Lecture_Palghar_-_Radhanath_Swami_1993-05-29_IDesireTree.mp3</t>
  </si>
  <si>
    <t>1993-104_The_Holy_Name_Is_all_auspicious_Lecture_-_Radhanath_Swami_1993-06-04_IDesireTree.mp3</t>
  </si>
  <si>
    <t>1993-105_Attachment_To_Devotees_SB-03_25_24_Mumbai_-_Radhanath_Swami_1993-06-05_IDesireTree.mp3</t>
  </si>
  <si>
    <t>1993-106_Dust_Of_Lotus_Feet_SB-10_29_36_37_Mumbai_-_Radhanath_Swami_1993-06-06_IDesireTree.mp3</t>
  </si>
  <si>
    <t>1993-107_Story_Of_Lord_Jagannath_BG-13_17_Mumbai_-_Radhanath_Swami_1993-06-06_IDesireTree.mp3</t>
  </si>
  <si>
    <t>1993-108_Greatness_Of_Vedic_Culture_SB-01_02_25_Mumbai_-_Radhanath_Swami_1993-06-06_IDesireTree.mp3</t>
  </si>
  <si>
    <t>1993-109_Each_Test_Is_Important_BG-04_39_Mumbai_-_Radhanath_Swami_1993-06-07_IDesireTree.mp3</t>
  </si>
  <si>
    <t>1993-110_To_Be_Greedy_For_Krishna_SB-10_29_39_Mumbai_-_Radhanath_Swami_1993-06-08_IDesireTree.mp3</t>
  </si>
  <si>
    <t>1993-111_Utilising_Free_Will_In_Service_Of_Krishna_SB-02_09_34_Mumbai_-_08-06-93_IDesireTree.mp3</t>
  </si>
  <si>
    <t>1993-112_Ideal_Leadership_SB-05_01_07_MUmbai_-_Radhanath_Swami_1993-06-09_IDesireTree.mp3</t>
  </si>
  <si>
    <t>1993-113_Story_of_Narada_Muni_SB-01_05_29_Mumbai_-_Radhanath_Swami_1993-06-10_IDesireTree.mp3</t>
  </si>
  <si>
    <t>1993-114_Question_%26_Answers_Q%26A_Maumbai_-_Radhanath_Swami_1993-06-11_IDesireTree.mp3</t>
  </si>
  <si>
    <t>1993-115_Thank_for_Lord_Krsna%27s_Mercy_SB-01_08_38-39_-_Radhanath_Swami_1993-06-12IDesireTree.mp3</t>
  </si>
  <si>
    <t>1993-116_Thinking_Oneself_Lowly_SB-10_33_31-35_-_Radhanath_Swami_1993-06-12_IDesireTree.mp3</t>
  </si>
  <si>
    <t>1993-117_Ideal_Household_Life_BG-09_27_Mumbai_-_Radhanath_Swami_1993-06-13_IDesireTree.mp3</t>
  </si>
  <si>
    <t>1993-120_Lord_Krsna_Our_supreme_Saviour_SB-01_03_33_-_Radhanath_Swami_1993-06-18_IDesireTree.mp3</t>
  </si>
  <si>
    <t>1993-121_Bhishma_the_Apistole_Of_Surrender_SB-01_09_30_Mumbai_-_19-06-93_IDesireTree.mp3</t>
  </si>
  <si>
    <t>1993-122_Respecting_Demigods_SB-10_34_10-15_-_Radhanath_Swami_1993-06-19_IDesireTree.mp3</t>
  </si>
  <si>
    <t>1993-123_Disappearance_-_Radhanath_Swami_IDesireTree.mp3</t>
  </si>
  <si>
    <t>1993-124_Showing_Love_For_Each_Other_Lecture_Mumbai_-_Radhanath_Swami_1993-06-20_IDesireTree.mp3</t>
  </si>
  <si>
    <t>1993-125_The_Supreme_Wealth_SB-10_45_35-37_-_Radhanath_Swami_1993-06-20_IDesireTree.mp3</t>
  </si>
  <si>
    <t>1993-126_Everything_Is_controlled_SB-10_45_38_-_Radhanath_Swami_1993-09-21_IDesireTree.mp3</t>
  </si>
  <si>
    <t>1993-127_Srimati_Radharani_the_Supreme_Love_SB-10_36_26_-_Radhanath_Swami_1993-09-23_IDesireTree.mp3</t>
  </si>
  <si>
    <t>1993-128_The_gift_of_srimati_Radharani_Lecture_-_Radhanath_Swami_1993-09-23_IDesireTree.mp3</t>
  </si>
  <si>
    <t>1993-129_Responsibility_Of_Human_Life_SB-03_25_13_-_Radhanath_Swami_1993-09-24_IDesireTree.mp3</t>
  </si>
  <si>
    <t>1993-130_Value_Of_Association_Of_Devotees_SB-10_45_42-44_Mumbai_-_24-09-93_IDesireTree.mp3</t>
  </si>
  <si>
    <t>1993-131_Lord_Krsna_In_the_Form_of_Death_SB-10_45_45-50_Mumbai_-_25-9-93_IDesireTree.mp3</t>
  </si>
  <si>
    <t>1993-132_Sweetness_Of_Bhakti_SB-04_24_55_Mumbai_-_Radhanath_Swami_1993-09-26_IDesireTree.mp3</t>
  </si>
  <si>
    <t>1993-133_Srila_Jiva_Goswami_Lecture_Mumbai_-_Radhanath_Swami_1993-09-27_IDesireTree.mp3</t>
  </si>
  <si>
    <t>1993-134_Lord_Varahadev_SB-08_21_01-04_Mumbai_-_Radhanath_Swami_1993-09-27_IDesireTree.mp3</t>
  </si>
  <si>
    <t>1993-135_Srila_Bhaktivinoda_Thakur%27s_Dream_SB_Mumbai_-_Radhanath_Swami_1993-09-28_IDesireTree.mp3</t>
  </si>
  <si>
    <t>1993-136_Haridas_Thakur-_The_Crown_Jewel_CC_anty-11_1-7_Mumbai_-_29-09-93_IDesireTree.mp3</t>
  </si>
  <si>
    <t>1993-137_Power_Of_Forgiveness_Lecture_Mumbai_-_Radhanath_Swami_1993-09-29_IDesireTree.mp3</t>
  </si>
  <si>
    <t>1993-138_Mother_Earth_Giving_Alaram_Lecture_Mumbai_-_Radhanath_Swami_1993-09-30_IDesireTree.mp3</t>
  </si>
  <si>
    <t>1993-139_Understanding_The_Truth_Of_Material_Nature_SB-06_04_31_Mumbai_-_01-10-93_IDesireTree.mp3</t>
  </si>
  <si>
    <t>1993-140_This_Is_The_Time_SB-01_06_35_Mumbai_-_Radhanath_Swami_1993-10-02_IDesireTree.mp3</t>
  </si>
  <si>
    <t>1993-141_Need_For_Association_BG-10_09_Mumbai_-_Radhanath_Swami_1993-10-03_IDesireTree.mp3</t>
  </si>
  <si>
    <t>1993-142_The_Safe_Place_Ht_-_SB-01_03_15_Mumbai_-_Radhanath_Swami_1993-10-04_IDesireTree.mp3</t>
  </si>
  <si>
    <t>1993-143_Empowerment_Through_Mercy_SB-10_46_16_Mumbai_-_Radhanath_Swami_1993-10-05_IDesireTree.mp3</t>
  </si>
  <si>
    <t>1993-144_Scriptures_Are_The_Eternal_Absolute_Truth_SB-10_08_47_Mumbai_-_08-10-93_IDesireTree.mp3</t>
  </si>
  <si>
    <t>1993-145_Truth_And_Illusion_BG-03_27_Mumbai_-_Radhanath_Swami_1993-10-09_IDesireTree.mp3</t>
  </si>
  <si>
    <t>1993-146_Krishna_Consciousness_Is_Truth_SB-04_30_08_Mumbai_-_10-10-93_IDesireTree.mp3</t>
  </si>
  <si>
    <t>1993-147_Controlling_Senses_Through_Service_SB-10_46_30-31_Mumbai_-_11-10-93_IDesireTree.mp3</t>
  </si>
  <si>
    <t>1993-148_Transcending_Heavenly_Planets_SB-10_47_01-03_Mumbai_-_16-10-93_IDesireTree.mp3</t>
  </si>
  <si>
    <t>1993-149_Crisis_As_Stepping_Stone_SB-01_16_04_Mumbai_-_Radhanath_Swami_1993-10-16_IDesireTree.mp3</t>
  </si>
  <si>
    <t>1993-150_Supreme_Morality_Of_Gopis_SB-10_46_04-06_Mumbai_-_17-10-93_IDesireTree.mp3</t>
  </si>
  <si>
    <t>1993-151_Story_Of_Dhruv_Maharaj_SB-04_08_10_Mumbai_-_Radhanath_Swami_1993-10-17_IDesireTree.mp3</t>
  </si>
  <si>
    <t>1993-152_Dutiful_People_BG-03_22_Mumbai_-_Radhanath_Swami_1993-10-18_IDesireTree.mp3</t>
  </si>
  <si>
    <t>1993-153_We_Are_Homeless_Creature_SB-10_47_04_Mumbai_-_Radhanath_Swami_1993-10-21_IDesireTree.mp3</t>
  </si>
  <si>
    <t>1993-154_Story_Of_Sakshi_Gopal_CC_ML-05_76_Mumbai_-_Radhanath_Swami_1993-10-22_IDesireTree.mp3</t>
  </si>
  <si>
    <t>1993-155_Krishna_Cheats_To_Give_Something_Higher_SB-10_47_16_Mumbai_-_23-10-93_IDesireTree.mp3</t>
  </si>
  <si>
    <t>1993-156_Sinking_In_Material_Ocean_SB-01_03_22_Mumbai_-_Radhanath_Swami_1993-10-23_IDesireTree.mp3</t>
  </si>
  <si>
    <t>1993-157_Srila_Madhavacharya_CC_ML-09_245-24_Mumbai_-_Radhanath_Swami_1993-10-24_IDesireTree.mp3</t>
  </si>
  <si>
    <t>1993-158_Lord_Rama%27s_Pastimes_SB-09_11_20_Mumbai_-_Radhanath_Swami_1993-10-24_IDesireTree.mp3</t>
  </si>
  <si>
    <t>1993-159_The_Greatest_Preaching_Lecture_Mumbai_-_Radhanath_Swami_1993-10-25_IDesireTree.mp3</t>
  </si>
  <si>
    <t>1993-160_Krishnadas_Kaviraj_Goswami_CC-Adi-08_01_02_Mumbai_-_26-10-93_IDesireTree.mp3</t>
  </si>
  <si>
    <t>1993-161_Raghunath_Bhatta_Goswami_BG-07_18_Mumbai_-_Radhanath_Swami_1993-10-27_IDesireTree.mp3</t>
  </si>
  <si>
    <t>1993-162_Defeating_Impersonalism_CC-ML-01_Mumbai_-_Radhanath_Swami_1993-10-29_IDesireTree.mp3</t>
  </si>
  <si>
    <t>1993-163_Uddavas_Humility_SB-10_49_22-25_Mumbai_-_Radhanath_Swami_1993-10-29_IDesireTree.mp3</t>
  </si>
  <si>
    <t>1993-164_Renunciation_Of_The_Gopies_Lecture_Mumbai_-_Radhanath_Swami_1993-10-30_IDesireTree.mp3</t>
  </si>
  <si>
    <t>1993-165_We_Are_Spoilt_Brats_SB-02_02_05_Mumbai_-_Radhanath_Swami_1993-10-30_IDesireTree.mp3</t>
  </si>
  <si>
    <t>1993-166_Learning_Through_The_Gopies_SB-10_47_38-39_Mumbai_-_31-10-93_IDesireTree.mp3</t>
  </si>
  <si>
    <t>1993-167_Story_Of_Murari_Gupta_SB-01_04_12_Mumbai_-_Radhanath_Swami_1993-10-31_IDesireTree.mp3</t>
  </si>
  <si>
    <t>1993-168_Serving_Vaishnavas_With_Life_And_Soul_SB-10_47_54-56_Mumbai_-_12-11-93_IDesireTree.mp3</t>
  </si>
  <si>
    <t>1993-169_Govardhan_Puja_SB-10_25_13_Mumbai_-_Radhanath_Swami_1993-11-15_IDesireTree.mp3</t>
  </si>
  <si>
    <t>1993-170_Uddava_Realies_True_Humility_SB-10_47_53_Mumbai_-_16-11-93_IDesireTree.mp3</t>
  </si>
  <si>
    <t>1993-171_Question_And_Answer_Q%26A_-_Radhanath_Swami_1993-12-02_IDesireTree.mp3</t>
  </si>
  <si>
    <t>1993-172_Harmony_Amongst_Various_Varnas_And_Ashramas_SB-01_02_13_Mumbai_-_05-12-93_IDesireTree.mp3</t>
  </si>
  <si>
    <t>1993-173_Spiritual_Master_Serving_His_Disciples_BG-12_08_Mumbai_-_07-12-93_IDesireTree.mp3</t>
  </si>
  <si>
    <t>1993-174_Narahari_Sarkar_Disappearance_SB-10_49_12-19_Mumbai_-_09-12-93_IDesireTree.mp3</t>
  </si>
  <si>
    <t>1993-175_Being_Eager_And_Greedy_For_Krishna_BG-10_31_Mumbai_-_09-12-93_IDesireTree.mp3</t>
  </si>
  <si>
    <t>1993-176_Envy-_The_Greatest_Impediment_SB-10_43_7-11_Mumbai_-_11-12-93_IDesireTree.mp3</t>
  </si>
  <si>
    <t>1993-177_Chanting_Outweighs_Everything_Lecture_Mumbai_-_Radhanath_Swami_1993-12-11_IDesireTree.mp3</t>
  </si>
  <si>
    <t>1993-178_Devotees_Helplessness_SB-10_49_01-04_Mumbai_-_Radhanath_Swami_1993-12-12_IDesireTree.mp3</t>
  </si>
  <si>
    <t>1993-179_Greatest_Benediction_In_Kaliyuga_SB-11_05_37_Mumbai_-_12-12-93_IDesireTree.mp3</t>
  </si>
  <si>
    <t>1993-180_Most_Of_Us_Are_Uncivilized_SB-01_05_12_Mumbai_-_Radhanath_Swami_1993-12-12_IDesireTree.mp3</t>
  </si>
  <si>
    <t>1993-181_Glories_Of_Queen_Kunti_SB-10_49_14-15_Mumbai_-_Radhanath_Swami_1993-12-13_IDesireTree.mp3</t>
  </si>
  <si>
    <t>1993-182_Five_Principles_Of_Spiritual_Advancement_SB-01_01_15_Mumbai_-_14-12-93_IDesireTree.mp3</t>
  </si>
  <si>
    <t>1993-183_The_Supreme_Yajna_BG-03_14_Mumbai_-_Radhanath_Swami_1993-12-15_IDesireTree.mp3</t>
  </si>
  <si>
    <t>1993-184_Disguised_Duryodhanas_SB-10_49_22_Mumbai_-_Radhanath_Swami_1993-12-17_IDesireTree.mp3</t>
  </si>
  <si>
    <t>1993-185_Only_By_Realising_The_Goal_Of_Life_CC-adi_08_63_Mumbai_-_17-12-93_IDesireTree.mp3</t>
  </si>
  <si>
    <t>1993-186_Dhritarshtra_Within_Us_SB-10_49_23-25_Mumbai_-_Radhanath_Swami_1993-12-18_IDesireTree.mp3</t>
  </si>
  <si>
    <t>1993-187_Beware_Of_Plunderers_SB-10_49_26-28_Mumbai_-_Radhanath_Swami_1993-12-19_IDesireTree.mp3</t>
  </si>
  <si>
    <t>1993-188_Fire_Of_Harinaam_BG-03_10_Mumbai_-_Radhanath_Swami_1993-12-19_IDesireTree.mp3</t>
  </si>
  <si>
    <t>1993-189_To_Have_Determination_SB-01_06_22_Mumbai_-_Radhanath_Swami_1993-12-19_IDesireTree.mp3</t>
  </si>
  <si>
    <t>1993-190_Dhritarashtra_Surrenders_SB-10_49_29-31_Mumbai_-_Radhanath_Swami_1993-12-20_IDesireTree.mp3</t>
  </si>
  <si>
    <t>1993-191_Jesus_Christ_SB-10_50_19_Mumbai_-_Radhanath_Swami_1993-12-25_IDesireTree.mp3</t>
  </si>
  <si>
    <t>1993-192_Inconceivable_Weapon_SB-10_50_20_Mumbai_-_Radhanath_Swami_1993-12-26_IDesireTree.mp3</t>
  </si>
  <si>
    <t>1993-193_Essence_Of_True_Renunciation_BG-18_01_Mayapur_-_Radhanath_Swami_1993-12-28_IDesireTree.mp3</t>
  </si>
  <si>
    <t>1993-194_Jada_Bharat_Instructing_King_Rahuguna_SB-05_10_13_Rainbow_Lecture_-_93_IDesireTree.mp3</t>
  </si>
  <si>
    <t>1993-195_Man_Hanging_from_Cliff_Lecture_Rainbow_Festival_-_Radhanath_Swami_IDesireTree.mp3</t>
  </si>
  <si>
    <t>1993-196_Story_Of_Jada_Bharata_SB-05_10_13_Rainbow_-_Radhanath_Swami_1993_IDesireTree.mp3</t>
  </si>
  <si>
    <t>1994-001_Unalloyed_Devotional_Service_SB-03_29_10_Mayapur_-_02-01-94_IDesireTree.mp3</t>
  </si>
  <si>
    <t>1994-002_Question_And_Answer_Q%26A_Mayapur_-_Radhanath_Swami_1994-01-02_IDesireTree.mp3</t>
  </si>
  <si>
    <t>1994-003_Lord_Krishna-_The_Only_Controller_SB-01_15_29_Mumbai_-_09-01-94_IDesireTree.mp3</t>
  </si>
  <si>
    <t>1994-004_Who_Is_Our_Real_Friend_SB-10_51_01-06_Mumbai_-_Radhanath_Swami_1994-01-11_IDesireTree.mp3</t>
  </si>
  <si>
    <t>1994-005_Teachings_Of_Bhagavad_Gita_BG-07_02_Mumbai_-_Radhanath_Swami_1994-01-11_IDesireTree.mp3</t>
  </si>
  <si>
    <t>1994-006_Humbling_Ourselves_SB-01_02_19_Mumbai_-_Radhanath_Swami_1994-01-13_IDesireTree.mp3</t>
  </si>
  <si>
    <t>1994-007_Disappearance_Of_Srila_Jiva_Goswami_SB-10_51_13_Mumbai_-_14-01-94_IDesireTree.mp3</t>
  </si>
  <si>
    <t>1994-008_Value_Of_the_Holy_Name_Lecture_Mumbai_-_Radhanath_Swami_1994-01-15_IDesireTree.mp3</t>
  </si>
  <si>
    <t>1994-009_We_Should_Wake_Up_SB-10_51_27_Mumbai_-_Radhanath_Swami_1994-01-16_IDesireTree.mp3</t>
  </si>
  <si>
    <t>1994-010_Question_And_Answer_Q%26A_Mumbai_-_Radhanath_Swami_1994-01-16_IDesireTree.mp3</t>
  </si>
  <si>
    <t>1994-011_Path_of_Pure_devotional_service_I_SB-02_03_24_Pune_-_22-01-94_IDesireTree.mp3</t>
  </si>
  <si>
    <t>1994-012_Accepting_Mercy_with_Humility-I_SB-02_03_21_Pune_-_23-01-94_IDesireTree.mp3</t>
  </si>
  <si>
    <t>1994-013_Accepting_Mercy_with_Humility-II_Lecture_Pune_-_Radhanath_Swami_1994-01-23_IDesireTree.mp3</t>
  </si>
  <si>
    <t>1994-014_Sense_gratification_result_in_suffering_SB-10_51-55_-_31-01-94_IDesireTree.mp3</t>
  </si>
  <si>
    <t>1994-015_How_To_Know_God_SB-02_06_34-35_Mumbai_-_Radhanath_Swami_1994-01-18_IDesireTree.mp3</t>
  </si>
  <si>
    <t>1994-016_Krishna_Will_Not_Abandon_His_Devotees_SB-10_51_34_Mumbai_-_19-01-94_IDesireTree.mp3</t>
  </si>
  <si>
    <t>1994-017_Sacred_Moments_BG-10_09_Pune_-_Radhanath_Swami_1994-01-20_IDesireTree.mp3</t>
  </si>
  <si>
    <t>1994-018_Questions_And_Answers_Q%26A_Pune_-_Radhanath_Swami_1994-01-21_IDesireTree.mp3</t>
  </si>
  <si>
    <t>1994-019_Fools_Are_Attached_To_Result_SB-06_12_07_Mumbai_-_25-01-94_IDesireTree.mp3</t>
  </si>
  <si>
    <t>1994-020_Even_Krishna_Aspires_To_Be_Servant_Lecture_Mumbai_-_30-01-94_IDesireTree.mp3</t>
  </si>
  <si>
    <t>1994-021_Material_World-_Place_Of_Suffering_Ht_-_BG-14_01_Kurukshetra_-_07-02-94_IDesireTree.mp3</t>
  </si>
  <si>
    <t>1994-022_Krishna_Protects_Those_Who_Surrender_BG-09_22_Kurukshetra_-_08-02-94_IDesireTree.mp3</t>
  </si>
  <si>
    <t>1994-023_Real_touchstone_Holy_name_BG-07_28_Mumbai_-_Radhanath_Swami_1994-02-09_IDesireTree.mp3</t>
  </si>
  <si>
    <t>1994-025_Vishnupriya_Devi_Appearance_Day_SB-10_52_37_Mumbai_-_15-02-94_IDesireTree.mp3</t>
  </si>
  <si>
    <t>1994-027_Story_Of_Vasant_Panchami_Lecture_Mumbai_-_Radhanath_Swami_1994-02-15_IDesireTree.mp3</t>
  </si>
  <si>
    <t>1994-031_Lord_Krishna_The_Supreme_Well_Wisher_BG-09_22_Mumbai_-_18-02-94_IDesireTree.mp3</t>
  </si>
  <si>
    <t>1994-032_Rukmis_Disguised_SB-10_52_41_Mumbai_-_Radhanath_Swami_1994-02-17_IDesireTree.mp3</t>
  </si>
  <si>
    <t>1994-034_Call_Of_Pure_Of_Devotees_CC_AL-06_10_Mumbai_-_Radhanath_Swami_1994-02-18_IDesireTree.mp3</t>
  </si>
  <si>
    <t>1994-035_Story_Of_Srila_Advaita_Acharya_Lecture_Mumbai_-_Radhanath_Swami_1994-02-18_IDesireTree.mp3</t>
  </si>
  <si>
    <t>1994-036_Our_Desperate_Need_SB-10_52_43-44Mumbai_-_Radhanath_Swami_1994-02-19_IDesireTree.mp3</t>
  </si>
  <si>
    <t>1994-037_Defeating_Impersonalism_SB-10_53_01-03_Mumbai_-_Radhanath_Swami_1994-02-20_IDesireTree.mp3</t>
  </si>
  <si>
    <t>1994-038_Srila_Madhavacharya_Disappearance_Day_Lecture_Mumbai_-_20-02-94_IDesireTree.mp3</t>
  </si>
  <si>
    <t>1994-039_Surrender-_By_Realisation_Lecture_Mumbai_-_Radhanath_Swami_1994-02-21_IDesireTree.mp3</t>
  </si>
  <si>
    <t>1994-040_Story_Of_RamanujAcharya_Ht_-_Lecture_Mumbai_-_Radhanath_Swami_1994-02-21_IDesireTree.mp3</t>
  </si>
  <si>
    <t>1994-041_Pleasing_Guru_By_Sacrifice_SB-03_28_17_Mumbai_-_Radhanath_Swami_1994-02-22_IDesireTree.mp3</t>
  </si>
  <si>
    <t>1994-042_Lord_Nityananda_Prabhu%27s_Pastimes_CC_AL-01_07-11_Mumbai_-_24-02-94_IDesireTree.mp3</t>
  </si>
  <si>
    <t>1994-043_Lord_Varahadev_Lecture_Mumbai_-_Radhanath_Swami_1994-02-23_IDesireTree.mp3</t>
  </si>
  <si>
    <t>1994-045_Question_And_Answer_Q%26A_Mumbai_-_Radhanath_Swami_1994-02-25_IDesireTree.mp3</t>
  </si>
  <si>
    <t>1994-046_Qualification_For_Receiving_Truth_SB-07_01_04-05_Mumbai_-_26-02-94_IDesireTree.mp3</t>
  </si>
  <si>
    <t>1994-047_No_Happiness_In_This_Material_World_SB-10_53_24_Mumbai_-_27-02-94_IDesireTree.mp3</t>
  </si>
  <si>
    <t>1994-048_Narottam_Das_Thakur_Appearance_Lecture_Mumbai_-_Radhanath_Swami_1994-02-27_IDesireTree.mp3</t>
  </si>
  <si>
    <t>1994-050_What_Does_Bhakti_Means_SB-01_05_12_Mumbai_-_Radhanath_Swami_1994-03-13_IDesireTree.mp3</t>
  </si>
  <si>
    <t>1994-051_Story_Of_King_Prataprudra_SB-10_31_09_Mumbai_-_Radhanath_Swami_1994-03-20_IDesireTree.mp3</t>
  </si>
  <si>
    <t>1994-052_Curing_The_Disease_Of_Envy_SB-10_54_26_Mumbai_-_Radhanath_Swami_1994-03-23_IDesireTree.mp3</t>
  </si>
  <si>
    <t>1994-053_Ksira-Chora_Gopinath_GT_-_BG-05_29_Mumbai_-_Radhanath_Swami_1994-03-23_IDesireTree.mp3</t>
  </si>
  <si>
    <t>1994-054_Surrendering_Everything_SB-08_18_23-25_Mumbai_-_Radhanath_Swami_1994-03-25_IDesireTree.mp3</t>
  </si>
  <si>
    <t>1994-055_Lord_Krishna%27s_Way_Of_Purification_SB-10_54_35_Mumbai_-_26-03-94_IDesireTree.mp3</t>
  </si>
  <si>
    <t>1994-056_Reading_Chaitanya_Charitamrita_CC_AL-13_81_Mumbai_-_27-03-94_IDesireTree.mp3</t>
  </si>
  <si>
    <t>1994-057_Covered_Incarnations_SB-07_03_38_Mumbai_-_Radhanath_Swami_1994-03-27_IDesireTree.mp3</t>
  </si>
  <si>
    <t>1994-058_Understanding_Bhagavad-Gita_Lecture_Mumbai_-_Radhanath_Swami_1994-03-28_IDesireTree.mp3</t>
  </si>
  <si>
    <t>1994-059_Regulation_In_Spiritual_Life_SB-01_03_29_Mumbai_-_03-04-94_IDesireTree.mp3</t>
  </si>
  <si>
    <t>1994-062_The_Purpose_Of_Yajna_BG-03_10_Mumbai_-_Radhanath_Swami_1994-04-03_IDesireTree.mp3</t>
  </si>
  <si>
    <t>1994-063_Humility_%26_Pride_SB-01_11_01_Mumbai_-_Radhanath_Swami_1994-04-07_IDesireTree.mp3</t>
  </si>
  <si>
    <t>1994-064_Material_World_On_Blazing_Fire_SB-01_03_38-39_Mumbai_-_05-05-94_IDesireTree.mp3</t>
  </si>
  <si>
    <t>1994-067_Overcoming_Difficulties_SB-07_09_43_Mumbai_-_Radhanath_Swami_1994-05-06_IDesireTree.mp3</t>
  </si>
  <si>
    <t>1994-070_Transcendental_Reciprocation_SB-10_57_05_Mumbai_-_07-05-94_IDesireTree.mp3</t>
  </si>
  <si>
    <t>1994-071_The_Supreme_Gift_SB-01_05_07_Mumbai_-_Radhanath_Swami_1994-05-07_IDesireTree.mp3</t>
  </si>
  <si>
    <t>1994-074_Accusations_In_The_Lives_Of_Devotees_SB-10_57_19_Mumbai_-_08-05-94_IDesireTree.mp3</t>
  </si>
  <si>
    <t>1994-075_Prayers_By_Queen_Kunti_SB-01_08_35_Mumbai_-_Radhanath_Swami_1994-05-08_IDesireTree.mp3</t>
  </si>
  <si>
    <t>1994-076_Compassion_Of_Haridas_Thakur_BG-02_15_Mumbai_-_Radhanath_Swami_1994-05-08_IDesireTree.mp3</t>
  </si>
  <si>
    <t>1994-077_How_To_Advance_HT_-_SI-6_Belgaum_-_Radhanath_Swami_1994-05-09_IDesireTree.mp3</t>
  </si>
  <si>
    <t>1994-079_Detachment_SB-01_15_42_Mumbai_-_Radhanath_Swami_1994-05-10_IDesireTree.mp3</t>
  </si>
  <si>
    <t>1994-082_Importance_Of_Surrender_SB-07_01_07_Mumbai_-_Radhanath_Swami_1994-05-12_IDesireTree.mp3</t>
  </si>
  <si>
    <t>1994-084_To_Avoid_Fall_Down_BG-06_44_Mumbai_-_Radhanath_Swami_1994-05-12_IDesireTree.mp3</t>
  </si>
  <si>
    <t>1994-085_Fire_Of_Tribulation_SB-10_58_5_Mumbai_-_Radhanath_Swami_1994-05-13_IDesireTree.mp3</t>
  </si>
  <si>
    <t>1994-088_Question_And_Answer_Q%26A_Mumbai_-_Radhanath_Swami_1994-05-13_IDesireTree.mp3</t>
  </si>
  <si>
    <t>1994-091_Nature_Of_Material_Existence_BG-18_25_Mumbai_-_Radhanath_Swami_1994-05-14_IDesireTree.mp3</t>
  </si>
  <si>
    <t>1994-094_Positive_Humility_SB-10_58_08_Mumbai_-_Radhanath_Swami_1994-05-15_IDesireTree.mp3</t>
  </si>
  <si>
    <t>1994-096_Talks_With_LIMC_Students_Lecture_Mumbai_-_Radhanath_Swami_1994-05-12_IDesireTree.mp3</t>
  </si>
  <si>
    <t>1994-097_Significance_Of_Chandan_Yatra_Lecture_Mumbai_-_Radhanath_Swami_1994-05-15_IDesireTree.mp3</t>
  </si>
  <si>
    <t>1994-098_Talk_With_Brahmachari%27s_Q%26A_Mumbai_-_Radhanath_Swami_1994-05-25_IDesireTree.mp3</t>
  </si>
  <si>
    <t>1994-099_Vrindavan_das_Thakur_Lecture_-_Radhanath_Swami_1994-06-05_IDesireTree.mp3</t>
  </si>
  <si>
    <t>1994-100_Transcendental_Remedy_for_this_Age_Lecture_NV_-_Radhanath_Swami_1994-06-16_IDesireTree.mp3</t>
  </si>
  <si>
    <t>1994-101_Talks_With_Padharpur_Camp_Volunteers_Lecture_Mumbai_-_07-08-94_IDesireTree.mp3</t>
  </si>
  <si>
    <t>1994-103_Significance_Of_Jhulan_Yatra_Lecture_Mumbai_-_Radhanath_Swami_1994-08-20_IDesireTree.mp3</t>
  </si>
  <si>
    <t>1994-104_Incarnation_Are_Expansions_Of_Krishna_SB-01_03_28_Mumbai_-_21-08-94_IDesireTree.mp3</t>
  </si>
  <si>
    <t>1994-105_Hearing_Is_Necessary_Everyday_SB-01_03_29_Mumbai_-_22-08-94_IDesireTree.mp3</t>
  </si>
  <si>
    <t>1994-106_Lord_Balaram%27s_Mercy_Is_must_BG-10_08_Mumbai_-_Radhanath_Swami_1994-08-21_IDesireTree.mp3</t>
  </si>
  <si>
    <t>1994-108_Uncovering_The_Soul_SB-01_03_31_Mumbai_-_Radhanath_Swami_1994-08-24_IDesireTree.mp3</t>
  </si>
  <si>
    <t>1994-109_Secret_Of_Success_SB-01_05_31_Mumbai_-_Radhanath_Swami_1994-08-25_IDesireTree.mp3</t>
  </si>
  <si>
    <t>1994-111_Appearance_Of_Krishna_In_Our_Heart_SB-10-03_13_Mumbai_-_26-08-94_IDesireTree.mp3</t>
  </si>
  <si>
    <t>1994-114_Eight_Sons_Of_Mother_Devaki_SB-01_03_38_Mumbai_-_Radhanath_Swami_1994-08-28_IDesireTree.mp3</t>
  </si>
  <si>
    <t>1994-116_The_Glory_of_Nityananda-Balaram_Lecture_-_Radhanath_Swami_08-94_IDesireTree.mp3</t>
  </si>
  <si>
    <t>1994-117_Role_Of_Durga_Devi_SB-01_03_34_Mumbai_-_Radhanath_Swami_1994-08-29_IDesireTree.mp3</t>
  </si>
  <si>
    <t>1994-118_We_Have_No_Power_To_Understand_Krishna_SB-01_03_35_Mumbai_-_28-08-94_IDesireTree.mp3</t>
  </si>
  <si>
    <t>1994-119_First_Purify_Ourselves_Lecture_Mumbai_-_Radhanath_Swami_1994-08-28_IDesireTree.mp3</t>
  </si>
  <si>
    <t>1994-120_Childhood_Pastimes_Of_Krishna_SB-01_03_36_Mumbai_-_29-08-94_IDesireTree.mp3</t>
  </si>
  <si>
    <t>1994-121_Krishna%27s_Pastimes_Are_Nectarian_Lecture_Mumbai_-_29-08-94_IDesireTree.mp3</t>
  </si>
  <si>
    <t>1994-123_Why_Does_Krsna_Appear_Lecture_Mumbai_-_Radhanath_Swami_1994-08-29_IDesireTree.mp3</t>
  </si>
  <si>
    <t>1994-124_Offering_To_Srila_Prabhupada__Mumbai_-_Radhanath_Swami_1994-08-30_IDesireTree.mp3</t>
  </si>
  <si>
    <t>1994-125_Pastimes_Of_Lord_Krishna_HT_-_Lecture_Mumbai_-_Radhanath_Swami_1994-08-31_IDesireTree.mp3</t>
  </si>
  <si>
    <t>1994-126_Don%27t_Solve_Problems_-_Transcend_Them_Lecture_Mumbai_-_02-09-94_IDesireTree.mp3</t>
  </si>
  <si>
    <t>1994-130_Greed_For_Wealth_Ruins_Us_SB-10_10_38_Mumbai_-_Radhanath_Swami_1994-09-04_IDesireTree.mp3</t>
  </si>
  <si>
    <t>1994-133_Need_Of_The_Hour_Mt_-_BG-04_03_Palghar_-_Radhanath_Swami_1994-09-04_IDesireTree.mp3</t>
  </si>
  <si>
    <t>1994-135_Submitting_To_The_Parampara_SB-01_04_01_Mumbai_-_Radhanath_Swami_1994-09-07_IDesireTree.mp3</t>
  </si>
  <si>
    <t>1994-137_Surrender_To_the_Order_SB-01_03_42_Mumbai_-_Radhanath_Swami_1994-09-04_IDesireTree.mp3</t>
  </si>
  <si>
    <t>1994-138_How_Much_Faith_Do_We_Have_BG-04_39_Mumbai_-_Radhanath_Swami_1994-09-10_IDesireTree.mp3</t>
  </si>
  <si>
    <t>1994-140_Proper_Worship_Of_Demigods_SB-08_06_09_Mumbai_-_Radhanath_Swami_1994-09-09_IDesireTree.mp3</t>
  </si>
  <si>
    <t>1994-141_Strive_For_Service_Of_Sakhis_Lecture_Mumbai_-_Radhanath_Swami_1994-09-11_IDesireTree.mp3</t>
  </si>
  <si>
    <t>1994-142_Eagerness_To_Hear_SB-01_04_03_Mumbai_-_Radhanath_Swami_1994-09-09_IDesireTree.mp3</t>
  </si>
  <si>
    <t>1994-145_Renunciation_Of_Sukhdev_Goswami_SB-01_04_05_Mumbai_-_11-09-94_IDesireTree.mp3</t>
  </si>
  <si>
    <t>1994-146_Glories_Of_Radharani_Lecture_Mumbai_-_Radhanath_Swami_1994-09-12_IDesireTree.mp3</t>
  </si>
  <si>
    <t>1994-147_Priorities_Of_Bhakti_BG-03_08_Mumbai_-_Radhanath_Swami_1994-09-13_IDesireTree.mp3</t>
  </si>
  <si>
    <t>1994-148_Srila_Bhaktivinod_Thakur_SB_Mumbai_-_Radhanath_Swami_1994-09-17_IDesireTree.mp3</t>
  </si>
  <si>
    <t>1994-149_Vamandev_%26_Jiva_Goswami_App_-_Radhanath_Swami_IDesireTree.mp3</t>
  </si>
  <si>
    <t>1994-150_Detachment_In_Family_Life_Uncomplete_Ending_-_SB-01_04_10_Mumbai_-_18-09-94_IDesireTree.mp3</t>
  </si>
  <si>
    <t>1994-151_Life_Of_Bhaktivinoda_Thakur_SB-01_01_08_Mumbai_-_Radhanath_Swami_1994-09-17_IDesireTree.mp3</t>
  </si>
  <si>
    <t>1994-152_glories_Of_Haridas_Thakur_Lecture_Mumbai_-_Radhanath_Swami_1994-09-18_IDesireTree.mp3</t>
  </si>
  <si>
    <t>1994-155_Think_Of_Krishna_BG-07_01_Mumbai_-_Radhanath_Swami_1994-09-20_IDesireTree.mp3</t>
  </si>
  <si>
    <t>1994-157_Real_Morality_And_Immorality_SB-01_04_14_Mumbai_-_22-09-94_IDesireTree.mp3</t>
  </si>
  <si>
    <t>1994-158_Ishtagoshti_With_Brahmacharis_Q%26A_Mumbai_-_Radhanath_Swami_1994-09-22_IDesireTree.mp3</t>
  </si>
  <si>
    <t>1994-160_Krishna_Is_Centre_Of_Everything_HT_-_Lecture_Mumbai_-_23-09-94_IDesireTree.mp3</t>
  </si>
  <si>
    <t>1994-162_Don%27t_Be_Arrogant_Ht_-_BG-03_11_Mumbai_-_Radhanath_Swami_1994-09-24_IDesireTree.mp3</t>
  </si>
  <si>
    <t>1994-165_Material_Gains_Can_Be_Troublesome_SB-01_02_23_Mumbai_-_25-09-94_IDesireTree.mp3</t>
  </si>
  <si>
    <t>1994-167_Without_Determination_We_Are_Animals_SB-04_24_44_Mumbai_-_25-09-94_IDesireTree.mp3</t>
  </si>
  <si>
    <t>1994-169_Story_Of_Lord_Varahadev_SB-03_13_14-17_Varahavan_-_27-09-94_IDesireTree.mp3</t>
  </si>
  <si>
    <t>1994-173_About_Varahavan_KT_-_BG-06_31-32_Varahavan_-_Radhanath_Swami_1994-09-30_IDesireTree.mp3</t>
  </si>
  <si>
    <t>1994-174_Essence_Of_The_Vedas_SB-01_04_13_Mumbai_-_Radhanath_Swami_1994-10-02_IDesireTree.mp3</t>
  </si>
  <si>
    <t>1994-176_Time_Devours_Everything_BG-11_32_33_Mumbai_-_Radhanath_Swami_1994-10-04_IDesireTree.mp3</t>
  </si>
  <si>
    <t>1994-177_Accept_Knowledge_Humbly_SB-01_04_33_Mumbai_-_Radhanath_Swami_1994-10-06_IDesireTree.mp3</t>
  </si>
  <si>
    <t>1994-180_Criticism_Ruins_Spiritual_Life_Lecture_Mumbai_-_Radhanath_Swami_1994-10-07_IDesireTree.mp3</t>
  </si>
  <si>
    <t>1994-181_Cause_Of_Despondency_SB-01_05_02_Mumbai_-_Radhanath_Swami_1994-10-08_IDesireTree.mp3</t>
  </si>
  <si>
    <t>1994-183_Pride_And_Criticism_SB-04_20_26_Mumbai_-_Radhanath_Swami_1994-10-08_IDesireTree.mp3</t>
  </si>
  <si>
    <t>1994-184_Go_Beyond_The_Three_Modes_BG-14_05_Mumbai_-_Radhanath_Swami_1994-10-09_IDesireTree.mp3</t>
  </si>
  <si>
    <t>1994-186_Real_Accomplishment_SB-01_05_02_Mumbai_-_09-10-94_IDesireTree.mp3</t>
  </si>
  <si>
    <t>1994-188_Mercy_In_Form_Of_Holy_Name_HT_-_BG-09_20_Pune_-_Radhanath_Swami_1994-10-12_IDesireTree.mp3</t>
  </si>
  <si>
    <t>1994-190_Give_Best_For_Krishna_SB-03_33_17_Pune_-_Radhanath_Swami_1994-10-13_IDesireTree.mp3</t>
  </si>
  <si>
    <t>1994-192_Six_Demons_In_Our_Heart_BG-04_08_Mumbai_-_Radhanath_Swami_1994-10-15_IDesireTree.mp3</t>
  </si>
  <si>
    <t>1994-194_Raghunatha_Das_Goswami_Lecture_Mumbai_-_Radhanath_Swami_1994-10-16_IDesireTree.mp3</t>
  </si>
  <si>
    <t>1994-196_What_Are_Samskaras_Ht_-_Lecture_Mumbai_-_Radhanath_Swami_1994-10-16_IDesireTree.mp3</t>
  </si>
  <si>
    <t>1994-199_Story_Of_Chand_Kazi_%26_Sridhar_Kolavecha_BG-04_39_Mumbai_-_18-10-94_IDesireTree.mp3</t>
  </si>
  <si>
    <t>1994-200_Glories_Of_Sridhar_Kalavecha_BG-04_89_Mumbai_-_Radhanath_Swami_1994-10-18_IDesireTree.mp3</t>
  </si>
  <si>
    <t>1994-202_Meditation_On_Sharad_Purnima_SB-10_29_01-02_Mumbai_-_19-10-94_IDesireTree.mp3</t>
  </si>
  <si>
    <t>1994-204_Question_And_Answer_Q%26A_Mumbai_-_Radhanath_Swami_1994-10-21_IDesireTree.mp3</t>
  </si>
  <si>
    <t>1994-205_What_Is_Civilization_SB-01_05_16_Mumbai_-_Radhanath_Swami_1994-10-22_IDesireTree.mp3</t>
  </si>
  <si>
    <t>1994-206_Childhood_Pastimes_Of_Krishna_Lecture_Mumbai_-_Radhanath_Swami_1994-10-22_IDesireTree.mp3</t>
  </si>
  <si>
    <t>1994-207_Fallen_Devotee_Is_Most_Miserable_SB-01_05_17_Mumbai_-_23-10-94_IDesireTree.mp3</t>
  </si>
  <si>
    <t>1994-208_Govardhan_Lilla_Lecture_Mumbai_-_Radhanath_Swami_1994-10-23_IDesireTree.mp3</t>
  </si>
  <si>
    <t>1994-209_Contents_Of_Bhagavatam_SB-01_05_14_Mumbai_-_28-10-94_IDesireTree.mp3</t>
  </si>
  <si>
    <t>1994-210_Serve_Without_Expectation_BG-02_49_Mumbai_-_Radhanath_Swami_1994-12-20_IDesireTree.mp3</t>
  </si>
  <si>
    <t>1994-211_What_Is_Grihastha_Ashram_SB-01_07_02_Mumbai_-_Radhanath_Swami_1994-12-21_IDesireTree.mp3</t>
  </si>
  <si>
    <t>1994-212_Protector_Of_Real_Religion_BG-04_38_Mumbai_-_Radhanath_Swami_1994-12-22_IDesireTree.mp3</t>
  </si>
  <si>
    <t>1994-213_Talk_With_Chinmaya_Mission_Boys_Lecture_Mumbai_-_Radhanath_Swami_1994-12-22_IDesireTree.mp3</t>
  </si>
  <si>
    <t>1994-214_Vyasdev%27s_Meditation_At_Badrikashram_SB-01_07_03-04_Mumbai_-_23-12-94_IDesireTree.mp3</t>
  </si>
  <si>
    <t>1994-215_Glories_of_the_Holy_Name_Lecture_-_Radhanath_Swami_94_IDesireTree.mp3</t>
  </si>
  <si>
    <t>1995-001_South_India_Yatra_SB-01_01_13_Mumbai_-_Radhanath_Swami_1995-01-01.mp3</t>
  </si>
  <si>
    <t>1995-002_The_Story_Of_Dronacharya_SB-01_07_15_Mumbai_-_Radhanath_Swami_1995-01-02.mp3</t>
  </si>
  <si>
    <t>1995-003_Association_Of_Devotees_SB-01_07_17-19_Mumbai_-_Radhanath_Swami_1995-01-03.mp3</t>
  </si>
  <si>
    <t>1995-004_Our_Aspiration_To_Chant_Humbly_BG-03_31_Mumbai_-_Radhanath_Swami_1995-01-03.mp3</t>
  </si>
  <si>
    <t>1995-005_How_To_Please_Krishna_SB-01_02_28-29_Mumbai_-_Radhanath_Swami_1995-01-03.mp3</t>
  </si>
  <si>
    <t>1995-006_Get_Out_Of_Darkness_SB-01_07_23_Mumbai_-_Radhanath_Swami_1995-01-05.mp3</t>
  </si>
  <si>
    <t>1995-007_Arrival_Lecture_Lecture_Mumbai_-_Radhanath_Swami_1995-01-06.mp3</t>
  </si>
  <si>
    <t>1995-008_Centennial_Address_Lecture_Mumbai_-_Radhanath_Swami_1995-01-06.mp3</t>
  </si>
  <si>
    <t>1995-009_Kunti%27s_Dependence_On_Holy_Name_SB-01_08_38_Mumbai_-_Radhanath_Swami_1995-01-07.mp3</t>
  </si>
  <si>
    <t>1995-010_We_Are_Helpless_SB-01_07_26_Mumbai_-_Radhanath_Swami_1995-01-08.mp3</t>
  </si>
  <si>
    <t>1995-011_Demoniac_Qualities-_Lust_Pride_Prestige_BG-16_10_Mumbai_-_Radhanath_Swami_1995-01-08.mp3</t>
  </si>
  <si>
    <t>1995-013_Nature_The_Enjoyer_And_Consciousness_BG-13_01-02_Mumbai_-_Radhanath_Swami_1995-01-10.mp3</t>
  </si>
  <si>
    <t>1995-014_Talk_With_J_J_Medical_Students_Lecture_Mumbai_-_Radhanath_Swami_1995-01-11_new.mp3</t>
  </si>
  <si>
    <t>1995-015_O_Lord%21_My_Home_Is_Your_Property_Lecture_Pune_-_Radhanath_Swami_1995-01-12.mp3</t>
  </si>
  <si>
    <t>1995-016_Bhagavad_Gita-_The_Greatest_Science_Mt_-_BG-05_24_Pune_-_Radhanath_Swami_1995-01-12.mp3</t>
  </si>
  <si>
    <t>1995-017_You_Are_Invisible_To_All-_Kunti_SB-01_8_18_Pune_-_Radhanath_Swami_1995-01-13.mp3</t>
  </si>
  <si>
    <t>1995-018_Opulence_Of_The_Absolute_BG-10_07_Pune_-_Radhanath_Swami_1995-01-13.mp3</t>
  </si>
  <si>
    <t>1995-019_Question_%26_Answere_Q_%26_A_Pune_-_Radhanath_Swami_1995-01-13.mp3</t>
  </si>
  <si>
    <t>1995-020_Importance_Of_Makar_Sankranti_Mt_-_SB-01_9_29-30_Kolhapur_-_Radhanath_Swami_1995-01-14.mp3</t>
  </si>
  <si>
    <t>1995-021_How_To_Understand_Krishna_Ht_-_BG-10_10_Belgaum_-_Radhanath_Swami_1995-01-15.mp3</t>
  </si>
  <si>
    <t>1995-022_Arrival_Address_Ht_-_Lecture_Belgaum_-_Radhanath_Swami_1995-01-15.mp3</t>
  </si>
  <si>
    <t>1995-023_Materialistic_People_Are_Animals_Ht_-_SB-02_03_18_Belgaum_-_Radhanath_Swami_1995-01-16.mp3</t>
  </si>
  <si>
    <t>1995-024_The_Supreme_Goal_Of_Life_MT_-_SB-01_02_08_Belgaum_-_Radhanath_Swami_1995-01-16.mp3</t>
  </si>
  <si>
    <t>1995-025_Blind_Leading_The_Blind_HT_-_SB-02_03_19_Belgaum_-_Radhanath_Swami_1995-01-17.mp3</t>
  </si>
  <si>
    <t>1995-026_Meaning_Of_Lotus_Feet_SB-01_08_39_Nasik_-_Radhanath_Swami_1995-01-19.mp3</t>
  </si>
  <si>
    <t>1995-027_Krsna_Is_equal_To_All_BG-09_29_Javlibaleshwar_-_Radhanath_Swami_1995-01-19.mp3</t>
  </si>
  <si>
    <t>1995-028_What_Is_Faith_SB-03_02_10_Mumbai_-_Radhanath_Swami_1995-01-20.mp3</t>
  </si>
  <si>
    <t>1995-029_Gopala_Bhatta_Goswami_SB-01_01_13_Mumbai_-_Radhanath_Swami_1995-01-21.mp3</t>
  </si>
  <si>
    <t>1995-030_Vaishnavas_Forgive_Easily_SB-01_07_44_Mumbai_-_Radhanath_Swami_1995-01-21.mp3</t>
  </si>
  <si>
    <t>1995-031_Jaydev_Goswami_SB-01_03_29_Mumbai_-_Radhanath_Swami_1995-01-22.mp3</t>
  </si>
  <si>
    <t>1995-032_Compassion_Exemplified_SB-01_07_45-47_Mumbai_-_Radhanath_Swami_1995-01-22.mp3</t>
  </si>
  <si>
    <t>1995-033_Take_Gita_Seriously_BG-07_01_Mumbai_-_Radhanath_Swami_1995-01-22.mp3</t>
  </si>
  <si>
    <t>1995-034_Why_Caitanya_Mahaprabhu_Appeared_Lecture_Mumbai_-_Radhanath_Swami_1995-01-23.mp3</t>
  </si>
  <si>
    <t>1995-035_Why_Pune_Yatra_Lecture_Pune_-_Radhanath_Swami_1995-01-26.mp3</t>
  </si>
  <si>
    <t>1995-036_Question_%26_Answer_Q%26A_Pune_-_Radhanath_Swami_1995-01-27.mp3</t>
  </si>
  <si>
    <t>1995-037_Chaitanya_Mahaprabhu_Begins_Sankirtan_SB-09_04_24_Pune_-_Radhanath_Swami_1995-01-27.mp3</t>
  </si>
  <si>
    <t>1995-038_What_Is_Isckcon_Lecture_Pune_-_Radhanath_Swami_1995-01-28.mp3</t>
  </si>
  <si>
    <t>1995-039_Servant_Of_Servant_SB-09_04_63_Pune_-_Radhanath_Swami_1995-01-29.mp3</t>
  </si>
  <si>
    <t>1995-040_Don%27t_Break_Others_Heart_SB-04_08_34_Mumbai_-_Radhanath_Swami_1995-02-01.mp3</t>
  </si>
  <si>
    <t>1995-041_Activities_Of_Devotees_SB-01_08_36_Allahabad_-_Radhanath_Swami_1995-02-02.mp3</t>
  </si>
  <si>
    <t>1995-042_We_Are_Completely_Dependent_On_Your_Mercy_SB-01_08_37_Allahabad_-_03-02-95_IDesireTree.mp3</t>
  </si>
  <si>
    <t>1995-043_Lord_Chaitanya_In_Varanasi_HT_-_Lecture_Mumbai_-_Radhanath_Swami_1995-02-05.mp3</t>
  </si>
  <si>
    <t>1995-044_Uttara-_Mother_In_Krishna_Consciousness_SB-01_08_10_Mumbai_-_Radhanath_Swami_1995-02-08.mp3</t>
  </si>
  <si>
    <t>1995-045_How_Krishna_Protects_SB-01_08_11_Mumbai_-_Radhanath_Swami_1995-02-09.mp3</t>
  </si>
  <si>
    <t>1995-046_Talk_With_Nair_Medical_Students_Lecture_Mumbai_-_Radhanath_Swami_1995-02-09.mp3</t>
  </si>
  <si>
    <t>1995-048_Story_Of_Lord_VarahaDev_SB-03_14_05_Mumbai_-_Radhanath_Swami_1995-02-12.mp3</t>
  </si>
  <si>
    <t>1995-049_Merciful_Lord_Nityananda_CC_ML-01_08_Mumbai_-_Radhanath_Swami_1995-02-13.mp3</t>
  </si>
  <si>
    <t>1995-050_Krishna%27s_Energies_SB-01_08_16_Mumbai_-_Radhanath_Swami_1995-02-14.mp3</t>
  </si>
  <si>
    <t>1995-051_Affection_Between_Devotees_SB-01_08_31_Mumbai_-_Radhanath_Swami_1995-03-05.mp3</t>
  </si>
  <si>
    <t>1995-052_Don%27t_Speculate_About_Krishna_SB-01_08_33_Mumbai_-_Radhanath_Swami_1995-03-07.mp3</t>
  </si>
  <si>
    <t>1995-053_How_To_Get_Real_Treasure_CC_ML-20_142_Mumbai_-_Radhanath_Swami_1995-03-07.mp3</t>
  </si>
  <si>
    <t>1995-055_Real_Religion_Krishna_Consciouness_SB-01_08_35_Mumbai_-_Radhanath_Swami_1995-03-09.mp3</t>
  </si>
  <si>
    <t>1995-056_Lecture_To_Students_BG-04_23_Mumbai_-_Radhanath_Swami_1995-03-09.mp3</t>
  </si>
  <si>
    <t>1995-057_Become_Fortunate_CC_ML-22_3Mumbai_-_Radhanath_Swami_1995-03-10.mp3</t>
  </si>
  <si>
    <t>1995-058_Consciouness_Means_Krishna_Consciouness_SB-01_08_38_Mumbai_-_Radhanath_Swami_1995-03-12.mp3</t>
  </si>
  <si>
    <t>1995-059_Hari_Nama_Sankirtan_CC_ML-20_34_Mumbai_-_Radhanath_Swami_1995-03-12.mp3</t>
  </si>
  <si>
    <t>1995-060_Take_To_Bhakti_Now_Ht_-_BG-07_06_Mumbai_-_Radhanath_Swami_1995-03-12.mp3</t>
  </si>
  <si>
    <t>1995-061_incomplete_lec_Madhavendra_Puri_%26_Gopal_Nathji_Lecture_Mumbai_-_14-03-95_IDesireTree.mp3</t>
  </si>
  <si>
    <t>1995-062_Merciful_Of_All_Incarnations_Ht_-_BG-04_06_Mumbai_-_Radhanath_Swami_1996-03-15.mp3</t>
  </si>
  <si>
    <t>1995-063_Initiation_Lecture_Lecture_Mumbai_-_Radhanath_Swami_1995-03-17.mp3</t>
  </si>
  <si>
    <t>1995-064_Prabhupada_Pastimes_Lecture_Mumbai_-_Radhanath_Swami_1995-03-18.mp3</t>
  </si>
  <si>
    <t>1995-065_Initiation_Lecture_Lecture_Mumbai_-_Radhanath_Swami_1995-03-18.mp3</t>
  </si>
  <si>
    <t>1995-066_Pastimes_Of_Nimai_Lecture_Mumbai_-_Radhanath_Swami_1995-03-19.mp3</t>
  </si>
  <si>
    <t>1995-067_Prabhupada_Night_Lecture_Mumbai_-_Radhanath_Swami_1995-03-23.mp3</t>
  </si>
  <si>
    <t>1995-068_Understanding_Kurukshetra_And_Gita_Lecture_Kurukshetra_-_Radhanath_Swami_1995-03-24.mp3</t>
  </si>
  <si>
    <t>1995-069_Lord_Jaganatha_Ratha_Yatra_SB-02_09_36_Kurukshetra_-_Radhanath_Swami_1995-03-25.mp3</t>
  </si>
  <si>
    <t>1995-070_Glorification_Of_Srila_Prabhupada_Lecture_Kurukshetra_-_Radhanath_Swami_1995-03-26.mp3</t>
  </si>
  <si>
    <t>1995-071_Material_Life_Means_Suffering_HT_-_BG-06_40_Kurukshetra_-_Radhanath_Swami_1995-03-27.mp3</t>
  </si>
  <si>
    <t>1995-073_How_The_Pandavas_Were_Protected_SB-01_09_02-03_Mumbai_-_30-03-95_IDesireTree.mp3</t>
  </si>
  <si>
    <t>1995-074_Rath_Yatra_CC_ML-13_03_Mumbai_-_Radhanath_Swami_1995-03-31_IDesireTree.mp3</t>
  </si>
  <si>
    <t>1995-075_Become_Humble_SB-01_09_04_Mumbai_-_01-04-95_IDesireTree.mp3</t>
  </si>
  <si>
    <t>1995-075_How_Krishna_Consciousness_Develops_Lecture_Mumbai_-_01-04-95_IDesireTree.mp3</t>
  </si>
  <si>
    <t>1995-076_Devotees_Desire-_Only_To_Serve_BG-12_17_Mumbai_-_02-04-95_new_IDesireTree.mp3</t>
  </si>
  <si>
    <t>1995-077_Question_And_Answer_Q%26A_Massorie_-_Radhanath_Swami_1995-04-06_IDesireTree.mp3</t>
  </si>
  <si>
    <t>1995-078_Developing_Krishna_Consciouness_SB-04_30_17-18_Delhi_-_06-05-95_IDesireTree.mp3</t>
  </si>
  <si>
    <t>1995-079_Arrival_Lecture_Lecture_Mumbai_-_Radhanath_Swami_1995-08-09_IDesireTree.mp3</t>
  </si>
  <si>
    <t>1995-080_Festival_Of_Jhulan_Yatra_Lecture_Mumbai_-_Radhanath_Swami_1995-08-09_IDesireTree.mp3</t>
  </si>
  <si>
    <t>1995-081_Leaders_Should_Be_Like_King_Shibi_SB-01_12_20_Mumbai_-_10-08-95_IDesireTree.mp3</t>
  </si>
  <si>
    <t>1995-082_Lord_Balaram%27s_Appearence_Day_SB-10_08_12_Mumbai_-_10-08-95_IDesireTree.mp3</t>
  </si>
  <si>
    <t>1995-083_Preaching_By_Our_Own_Actions_SB-07_10_39_Mumbai_-_12-08-95_IDesireTree.mp3</t>
  </si>
  <si>
    <t>1995-084_Fight_Against_Crisis_Of_Doubts_SB-01_12_21_Mumbai_-_13-08-95_IDesireTree.mp3</t>
  </si>
  <si>
    <t>1995-085_What_Is_Yukta_Vairagya_BG-03_06_Mumbai_-_Radhanath_Swami_1995-08-13_IDesireTree.mp3</t>
  </si>
  <si>
    <t>1995-086_Krishna_Is_Our_Only_Shelter_SB-01_12_23_Mumbai_-_Radhanath_Swami_1995-08-15_IDesireTree.mp3</t>
  </si>
  <si>
    <t>1995-087_Significance_Of_Krishna%27s_Appearance_Lecture_Mumbai_-_18-08-95_IDesireTree.mp3</t>
  </si>
  <si>
    <t>1995-088_Janmashtami_Katha_SB-10_01_16_Mumbai_-_Radhanath_Swami_1995-08-18_IDesireTree.mp3</t>
  </si>
  <si>
    <t>1995-089_Offring_To_Srila_Prabhupada_Lecture_Mumbai_-_Radhanath_Swami_1995-08-19_IDesireTree.mp3</t>
  </si>
  <si>
    <t>1995-090_What_To_Ask_From_Krishna_SB-01_02_07_Mumbai_-_Radhanath_Swami_1995-08-20_IDesireTree.mp3</t>
  </si>
  <si>
    <t>1995-091_Glories_Of_Srila_Prabhupada_Lecture_Mumbai_-_Radhanath_Swami_1995-08-20_IDesireTree.mp3</t>
  </si>
  <si>
    <t>1995-092_Krishna_Supreme_Source_Of_Everything_Ht_-_BG-07_07_Palghar_-_23-08-95_IDesireTree.mp3</t>
  </si>
  <si>
    <t>1995-093_Maharaj_Yudhisthir_Ideal_Leader_SB-01_12_34_Mumbai_-_25-08-95_IDesireTree.mp3</t>
  </si>
  <si>
    <t>1995-094_Krishna_Is_Realised_Gradually_SB-02_04_06_Mumbai_-_25-08-95_IDesireTree.mp3</t>
  </si>
  <si>
    <t>1995-095_Always_Glorify_Devotees_BG-10_09_Mumbai_-_Radhanath_Swami_1995-08-29_IDesireTree.mp3</t>
  </si>
  <si>
    <t>1995-096_Greatness_Of_Yamaraj_And_Vidura_SB-01_13_01_Mumbai_-_29-08-95_IDesireTree.mp3</t>
  </si>
  <si>
    <t>1995-097_Importance_Of_Disciplic_Succession_Lecture_Pune_-_30-08-95_IDesireTree.mp3</t>
  </si>
  <si>
    <t>1995-098_More_You_Enjoy_More_You_Suffer_SB-08_07_39_Pune_-_30-08-95_IDesireTree.mp3</t>
  </si>
  <si>
    <t>1995-099_Be_Determined_In_Devotional_Service_SB-04_11_02_Pune_-_31-08-95_IDesireTree.mp3</t>
  </si>
  <si>
    <t>1995-100_Gita-_Practical_Way_OF_Life_HT_-_BG-03_30_Pune_-_Radhanath_Swami_1995-08-31_IDesireTree.mp3</t>
  </si>
  <si>
    <t>1995-102_Srimati_Radharani-_Embodiment_Of_Devotion_CC_Adi-04_68-69_Mumbai_-_02-09-95_IDesireTree.mp3</t>
  </si>
  <si>
    <t>1995-103_Gopis_Are_Supreme_Devotees_BG-12_20_Mumbai_-_Radhanath_Swami_1995-09-03_IDesireTree.mp3</t>
  </si>
  <si>
    <t>1995-104_How_To_Welcome_Devotees_SB-01_13_09_Mumbai_-_Radhanath_Swami_1995-09-05_IDesireTree.mp3</t>
  </si>
  <si>
    <t>1995-105_Mahamaya_And_Yogamaya_BG-13_31-32_Mumbai_-_Radhanath_Swami_1995-09-15_IDesireTree.mp3</t>
  </si>
  <si>
    <t>1995-106_Story_Of_Chand_Kazi_BG-12_08_Mumbai_-_Radhanath_Swami_1995-09-17_IDesireTree.mp3</t>
  </si>
  <si>
    <t>1995-107_Materialistic_People_Material_Desire_SB-01_13_27_Mumbai_-_23-09-95_IDesireTree.mp3</t>
  </si>
  <si>
    <t>1995-108_Aspiring_For_Service_BG-02-52_Mumbai_-_Radhanath_Swami_1995-09-24_IDesireTree.mp3</t>
  </si>
  <si>
    <t>1995-109_Lust_Greatest_Bondage_SB-07_06_17-18_Delhi_-_Radhanath_Swami_1995-09-29_IDesireTree.mp3</t>
  </si>
  <si>
    <t>1995-110_Question_And_Answers_Q%26A_Mumbai_-_Radhanath_Swami_1995-09-30_IDesireTree.mp3</t>
  </si>
  <si>
    <t>1995-112_Instructions_Of_Lord_Rishabhdev_SB-05_05_03_Mumbai_-_01-10-95_IDesireTree.mp3</t>
  </si>
  <si>
    <t>1995-113_Four_Types_Of_Devotees_HT_-_BG-07_16_Mumbai_-_Radhanath_Swami_1995-10-02_IDesireTree.mp3</t>
  </si>
  <si>
    <t>1995-114_Pastimes_Of_Lord_Rama_SB-09_10_23_Mumbai_-_Radhanath_Swami_1995-10-03_IDesireTree.mp3</t>
  </si>
  <si>
    <t>1995-115_Raghunath_Das_Goswami_SB_Mumbai_-_Radhanath_Swami_1995-10-05_IDesireTree.mp3</t>
  </si>
  <si>
    <t>1995-116_Laws_Of_God_SB-01_13_42_Mumbai_-_Radhanath_Swami_1995-10-06_IDesireTree.mp3</t>
  </si>
  <si>
    <t>1995-117_Nature_Of_Material_Pleasure_BG-02_57_Mumbai_-_Radhanath_Swami_1995-10-07_IDesireTree.mp3</t>
  </si>
  <si>
    <t>1995-118_Childhood_Pastimes_Of_Krishna_BG-10_03_Mumbai_-_Radhanath_Swami_1995-10-08_IDesireTree.mp3</t>
  </si>
  <si>
    <t>1995-119_Sharad_Purnima_Lecture_Mumbai_-_Radhanath_Swami_1995-10-08_IDesireTree.mp3</t>
  </si>
  <si>
    <t>1995-120_Krishna_In_Form_Of_Kala_SB-01_13_49_Mumbai_-_Radhanath_Swami_1995-10-12_IDesireTree.mp3</t>
  </si>
  <si>
    <t>1995-121_Life_Of_Srila_Narottam_Das_Thakur_SB_Mumbai_-_Radhanath_Swami_1995-10-13_IDesireTree.mp3</t>
  </si>
  <si>
    <t>1995-122_Humility_Not_Pride_Can_Win_Krsna_SB-01_13_50_Mumbai_-_14-10-95_IDesireTree.mp3</t>
  </si>
  <si>
    <t>1995-123_Practical_Application_Of_Bhagavad_Gita_Lecture_Mumbai_-_14-10-95_new_IDesireTree.mp3</t>
  </si>
  <si>
    <t>1995-124_Appearance_Of_Radha_Kunda_CC_ML-08_08_Mumbai_-_Radhanath_Swami_1995-10-17_IDesireTree.mp3</t>
  </si>
  <si>
    <t>1995-125_Question_And_Answers_Q%26A_Jaipur_-_Radhanath_Swami_1995-10-24_new_IDesireTree.mp3</t>
  </si>
  <si>
    <t>1995-126_Krishna_Our_Only_Shelter_Ht_-_Lecture_Mumbai_-_Radhanath_Swami_1995-10-25_IDesireTree.mp3</t>
  </si>
  <si>
    <t>1995-127_Offering_To_Srila_Prabhupad_Ht_-_Lecture_Mumbai_-_25-10-95_IDesireTree.mp3</t>
  </si>
  <si>
    <t>1995-128_Live_By_God%27s_Plan_BG-03_31-32_Mumbai_-_Radhanath_Swami_1995-10-28_IDesireTree.mp3</t>
  </si>
  <si>
    <t>1995-129_Krishna_Consciousness_Is_The_Only_Hope_SB-01_14_08_Mumbai_-_29-10-95_IDesireTree.mp3</t>
  </si>
  <si>
    <t>1995-130_Worship_Of_Govardhan_Hill_BG-09_26_Mumbai_-_Radhanath_Swami_1995-10-29_IDesireTree.mp3</t>
  </si>
  <si>
    <t>1995-131_Arrival_Lecture_Lecture_Mumbai_-_Radhanath_Swami_1995-12-16_IDesireTree.mp3</t>
  </si>
  <si>
    <t>1995-132_Srimad_Bhagavatam_Class1of_15_Minutes_SB-01_15_29_31_Mumbai_-_17-12-95_IDesireTree.mp3</t>
  </si>
  <si>
    <t>1995-133_Krsna_Consciousness_Original_Consciousness_SB-02_01_04_Mumbai_-_17-12-95_IDesireTree.mp3</t>
  </si>
  <si>
    <t>1995-134_Srimad_Bhagavatam_Class1of_15_Minutes_SB-01_15_33_34_Mumbai_-_21-12-95_IDesireTree.mp3</t>
  </si>
  <si>
    <t>1995-135_How_Krsna_Left_This_World_SB-01_15_35_Mumbai_-_Radhanath_Swami_1995-12-23_IDesireTree.mp3</t>
  </si>
  <si>
    <t>1995-136_Glories_Of_Jiva_Goswami_Lecture_Mumbai_-_Radhanath_Swami_1995-12-24_IDesireTree.mp3</t>
  </si>
  <si>
    <t>1995-137_What_Is_Real_Knowledge_BG-13_22_Mumbai_-_Radhanath_Swami_1995-12-25_IDesireTree.mp3</t>
  </si>
  <si>
    <t>1995-138_Die_To_Live_SB-01_15_41_Mumbai_-_Radhanath_Swami_1995-12-29_IDesireTree.mp3</t>
  </si>
  <si>
    <t>1996-001_Quit_Home_Timely_SB-01_15_44_Mumbai_-_Radhanath_Swami_1996-01-01.mp3</t>
  </si>
  <si>
    <t>1996-002_Pastimes_Of_Nimai_BG-10_40_Pune_-_Radhanath_Swami_1996-01-02.mp3</t>
  </si>
  <si>
    <t>1996-003_Science_And_Spirituality_Lecture_Pune_-_Radhanath_Swami_1996-01-02.mp3</t>
  </si>
  <si>
    <t>1996-004_Arrival_Lecture_Lecture_Pune_-_Radhanath_Swami_1996-01-03.mp3</t>
  </si>
  <si>
    <t>1996-005_Gaur_Nitai_Lecture_Pune_-_Radhanath_Swami_1996-01-03.mp3</t>
  </si>
  <si>
    <t>1996-006_Even_Lord_Brahma_Is_Bewildered_BG-08_19_Pune_-_Radhanath_Swami_1996-01-03.mp3</t>
  </si>
  <si>
    <t>1996-007_Krishna_Is_Supremely_Merciful_SB-03_02_23_Pune_-_Radhanath_Swami_1996-01-04.mp3</t>
  </si>
  <si>
    <t>1996-008_Self_Management_Lecture_Mumbai_-_Radhanath_Swami_1996-01-04.mp3</t>
  </si>
  <si>
    <t>1996-009_Importance_Of_Deity_Worship_BG-07_18_Mumbai_-_Radhanath_Swami_1996-01-05.mp3</t>
  </si>
  <si>
    <t>1996-010_Wake_Up_To_Reality_SB-01_15_51_Mumbai_-_Radhanath_Swami_1996-01-07.mp3</t>
  </si>
  <si>
    <t>1996-011_Don%27t_Waste_Valuable_Time_SB-01_16_6_Mumbai_-_Radhanath_Swami_1996-01-07_IDesireTree.mp3</t>
  </si>
  <si>
    <t>1996-012_Prabhupada-_Messenger_Of_Bhagwat_Gita_MT_-_Lecture_Kolhapur_-_08-01-96_IDesireTree.mp3</t>
  </si>
  <si>
    <t>1996-013_The_Only_Shelter_Lecture_Kolhapur_-_Radhanath_Swami_1996-01-08_IDesireTree.mp3</t>
  </si>
  <si>
    <t>1996-014_Centre_Should_Be_Krishna_MT_-_SB-09_04_63_Belgaum_-_09-01-96_IDesireTree.mp3</t>
  </si>
  <si>
    <t>1996-015_Give_Credits_To_Others_MT_-_SB-03_02_09_Belgaum_-_10-01-96_IDesireTree.mp3</t>
  </si>
  <si>
    <t>1996-016_Prabhupada_Premanjali_MT_-_Lecture_Belgaum_-_Radhanath_Swami_1996-01-10_IDesireTree.mp3</t>
  </si>
  <si>
    <t>1996-017_Loving_Exchanges_Ht_-_Q%26A_Belgaum_-_Radhanath_Swami_1996-01-11_IDesireTree.mp3</t>
  </si>
  <si>
    <t>1996-018_Yamaraj_Is_The_Well_Wisher_Of_Devotees_SB-01_16_07_Mumbai_-_14-01-96_IDesireTree.mp3</t>
  </si>
  <si>
    <t>1996-019_Nimai_Pandit%27s_Sannyas_Lilla_Lecture_Mumbai_-_Radhanath_Swami_1996-01-14_IDesireTree.mp3</t>
  </si>
  <si>
    <t>1996-020_Eternal_Pastimes_Of_Lord_Krishna_Ht_-_BG-02_57_Mumbai_-_16-01-96_IDesireTree.mp3</t>
  </si>
  <si>
    <t>1996-021_Making_Krishna_Happy_BG-12_16_Mumbai_-_Radhanath_Swami_1996-01-18_IDesireTree.mp3</t>
  </si>
  <si>
    <t>1996-022_What_Is_Real_Education_Lecture_Mumbai_-_Radhanath_Swami_1996-01-20_IDesireTree.mp3</t>
  </si>
  <si>
    <t>1996-023_Determination_Like_Bird_Chatak_Lecture_Mumbai_-_Radhanath_Swami_1996-01-21_IDesireTree.mp3</t>
  </si>
  <si>
    <t>1996-024_Krishna_Is_Servant_Of_Devotees_SB-01_16_16_Mumbai_-_21-01-96_IDesireTree.mp3</t>
  </si>
  <si>
    <t>1996-025_Be_Dear_To_Devotees_SB-01_16_19_Mumbai_-_Radhanath_Swami_1996-01-23_IDesireTree.mp3</t>
  </si>
  <si>
    <t>1996-026_Talks_With_College_Students_Lecture_Mumbai_-_Radhanath_Swami_1996-01-23_IDesireTree.mp3</t>
  </si>
  <si>
    <t>1996-027_Arrival_Lecture_Lecture_Pune_-_Radhanath_Swami_1996-01-25_IDesireTree.mp3</t>
  </si>
  <si>
    <t>1996-028_Question_And_Answer_Q%26A_Pune_-_Radhanath_Swami_1996-01-25_IDesireTree.mp3</t>
  </si>
  <si>
    <t>1996-029_Advaita_Acharya_Lecture_Pune_-_Radhanath_Swami_1996-01-26_new_IDesireTree.mp3</t>
  </si>
  <si>
    <t>1996-030_Departure_Lecture_Lecture_Pune_-_Radhanath_Swami_1996-01-27_IDesireTree.mp3</t>
  </si>
  <si>
    <t>1996-031_Vyas_Puja_Lecture_Pune_-_Radhanath_Swami_1996-01-27_IDesireTree.mp3</t>
  </si>
  <si>
    <t>1996-032_Lord_Caitanya%27s_Pastimes_In_Boat_Lecture_Mumbai_-_30-1-96_IDesireTree.mp3</t>
  </si>
  <si>
    <t>1996-033_Glorification_Of_Mayapur_Lecture_Mayapur_-_Radhanath_Swami_1996-02-18_IDesireTree.mp3</t>
  </si>
  <si>
    <t>1996-034_Chaitanya_Charitamrita_Reading_CC_ML-09_221_Trivandurum_-_22-02-96_IDesireTree.mp3</t>
  </si>
  <si>
    <t>1996-035_Chaitanya_Charitamrita_Reading_Lecture_Trivandurum_-_22-02-96_IDesireTree.mp3</t>
  </si>
  <si>
    <t>1996-036_Even_Lord_Brahma_Stresses_Personalism_SB-03_26_21_Trivandurum_-_23-02-96_IDesireTree.mp3</t>
  </si>
  <si>
    <t>1996-038_Importance_Of_Cows_And_Bulls_SB-01_17_20_Mumbai_-_25-02-96_IDesireTree.mp3</t>
  </si>
  <si>
    <t>1996-039_Story_Of_Keshav_Kashmiri_Lecture_Mumbai_-_Radhanath_Swami_1996-02-25_IDesireTree.mp3</t>
  </si>
  <si>
    <t>1996-040_Proper_Discrimination_SB-01_17_23_Mumbai_-_Radhanath_Swami_1996-02-27_IDesireTree.mp3</t>
  </si>
  <si>
    <t>1996-041_Four_Principle_of_Religion_SB-01_17_25_Mumbai_-_Radhanath_Swami_1996-02-29_IDesireTree.mp3</t>
  </si>
  <si>
    <t>1996-042_Mother_Earth_SB-01_17_26-27_Mumbai_-_Radhanath_Swami_1996-03-01_IDesireTree.mp3</t>
  </si>
  <si>
    <t>1996-043_Yoga_Means_Activity_For_Purification_BG-05_11_Mumbai_-_01-03-96_IDesireTree.mp3</t>
  </si>
  <si>
    <t>1996-044_Srila_Madhavendra_Puri_Disappearance_Day_Festival_Lecture_Mumbai_-_02-03-96_IDesireTree.mp3</t>
  </si>
  <si>
    <t>1996-045_Lord_Chaitanya_Visits_Kulia_Gram_Lecture_Mumbai_-_03-03-96_IDesireTree.mp3</t>
  </si>
  <si>
    <t>1996-046_Pastimes_Of_Mahaprabhu_Performing_Drama_Lecture_Mumbai_-_04-03-96_IDesireTree.mp3</t>
  </si>
  <si>
    <t>1996-047_Navadwip_Pastimes_Of_Lord_Caitanya_Lecture_Mumbai_-_05-03-96_IDesireTree.mp3</t>
  </si>
  <si>
    <t>1996-048_Compassion_Of_Caitanya_Mahaprabhu_Lecture_Mumbai_-_05-03-96_IDesireTree.mp3</t>
  </si>
  <si>
    <t>1996-049_Faults_Of_Impersonalism_Lecture_Mumbai_-_Radhanath_Swami_1996-03-06_IDesireTree.mp3</t>
  </si>
  <si>
    <t>1996-050_The_Ultimate_Purpose_Of_Life_SB-03_25_13_Mumbai_-_09-03-96_IDesireTree.mp3</t>
  </si>
  <si>
    <t>1996-051_Strong_Leader_Can_Stop_Effect_Of_Kali_SB-01_17_35_Mumbai_-_10-03-96_IDesireTree.mp3</t>
  </si>
  <si>
    <t>1996-052_Mercy_Of_Lord_Nityananda_Lecture_Mumbai_-_Radhanath_Swami_1996-03-10_IDesireTree.mp3</t>
  </si>
  <si>
    <t>1996-053_Glorification_Of_HH_Gaur_Govind_Swami_Lecture_Mumbai_-_13-03-96_IDesireTree.mp3</t>
  </si>
  <si>
    <t>1996-054_Kaliyuga_SB-01_17_40_Mumbai_-_Radhanath_Swami_1996-03-15_IDesireTree.mp3</t>
  </si>
  <si>
    <t>1996-055_Where_To_Attach_Oneself_Ht_-_BG-07_01_Mumbai_-_Radhanath_Swami_1996-03-16_IDesireTree.mp3</t>
  </si>
  <si>
    <t>1996-056_My_First_Meeting_With_Srila_Prabhupada_Lecture_Mumbai_-_16-03-96_IDesireTree.mp3</t>
  </si>
  <si>
    <t>1996-057_One%27s_Ashram_Is_Not_Important_SB-10_02_10_Mumbai_-_17-03-96_IDesireTree.mp3</t>
  </si>
  <si>
    <t>1996-058_Great_King_Prataprudra_CC_-_Radhanath_Swami_IDesireTree.mp3</t>
  </si>
  <si>
    <t>1996-059_Krsna_Protects_Great_Devotee_SB-01_18_02_Mumbai_-_23-03-96_IDesireTree.mp3</t>
  </si>
  <si>
    <t>1996-060_What_Is_Supreme_Wealth_Lecture_Mumbai_-_Radhanath_Swami_1996-03-23_IDesireTree.mp3</t>
  </si>
  <si>
    <t>1996-061_Faith_Removes_Fear_SB-01_18_04_Mumbai_-_Radhanath_Swami_1996-03-24_IDesireTree.mp3</t>
  </si>
  <si>
    <t>1996-062_RamanujAcharya_Appearence_Day_BG-03_34_Mumbai_-_Radhanath_Swami_1996-03-24_IDesireTree.mp3</t>
  </si>
  <si>
    <t>1996-063_Initiation_Lecture_Lecture_Mumbai_-_Radhanath_Swami_1996-03-28_IDesireTree.mp3</t>
  </si>
  <si>
    <t>1996-064_Initiation_Lecture_Fire_Sacrifice_-_Lecture_Mumbai_-_28-03-96_IDesireTree.mp3</t>
  </si>
  <si>
    <t>1996-065_Shyamsunder_Prabhu_Remember_Srila_Prabhupada_Lecture_Mumbai_-_28-03-96_IDesireTree.mp3</t>
  </si>
  <si>
    <t>1996-066_Teachings_Of_Lord_Rama_Lectures_Mumbai_-_Radhanath_Swami_1996-03-30_IDesireTree.mp3</t>
  </si>
  <si>
    <t>1996-067_Lord_Never_Appears_Alone_SB-01_18_9_Mumbai_-_Radhanath_Swami_1996-03-29_IDesireTree.mp3</t>
  </si>
  <si>
    <t>1996-068_Pastimes_Of_Lord_Rama_SB-09_10_02_Mumbai_-_Radhanath_Swami_1996-03-29_IDesireTree.mp3</t>
  </si>
  <si>
    <t>1996-069_Glorify_Devotees_Inspite_Of_Our_Ego_Lecture_Mumbai_-_31-03-96_IDesireTree.mp3</t>
  </si>
  <si>
    <t>1996-070_Saffron_Awarding_Ceremony_Lecture_Mumbai_-_Radhanath_Swami_1996-04-03_IDesireTree.mp3</t>
  </si>
  <si>
    <t>1996-071_Sri_Hanuman%27s_Pastimes_Lecture_Mumbai_-_Radhanath_Swami_1996-04-03_new_IDesireTree.mp3</t>
  </si>
  <si>
    <t>1996-072_Real_Wealth_Is_Krishna_Consciousness_BG-12_08_Mumbai_-_06-04-96_IDesireTree.mp3</t>
  </si>
  <si>
    <t>1996-073_How_Insignificant_We_Are%21_BG-08_18_Mumbai_-_Radhanath_Swami_1996-04-07_IDesireTree.mp3</t>
  </si>
  <si>
    <t>1996-074_Qualification_Is_More_Important_Than_Birth_SB-01_18_18_Mumbai_-_07-04-96_IDesireTree.mp3</t>
  </si>
  <si>
    <t>1996-075_Purify_Our_Heart_BG-03_20_Pune_-_Radhanath_Swami_1996-04-09_IDesireTree.mp3</t>
  </si>
  <si>
    <t>1996-076_Give_Up_Envy_And_Cooperate_SB-04_19_01-02_Pune_-_Radhanath_Swami_1996-04-10_IDesireTree.mp3</t>
  </si>
  <si>
    <t>1996-077_Abhiram_Gopal_Thakur_Appearence_Day_Lecture_Pune_-_10-04-96_IDesireTree.mp3</t>
  </si>
  <si>
    <t>1996-078_Transcendental_Sight_Seeing_SB-02_03_22_Pune_-_Radhanath_Swami_1996-04-11_IDesireTree.mp3</t>
  </si>
  <si>
    <t>1996-079_Story_Of_King_Nriga_Ht_-_BG-07_29_Pune_-_Radhanath_Swami_1996-04-11_IDesireTree.mp3</t>
  </si>
  <si>
    <t>1996-081_Vrindavan_Das_Thakur_Ht_-_SB-03_25_15_Mumbai_-_Radhanath_Swami_1996-04-13_IDesireTree.mp3</t>
  </si>
  <si>
    <t>1996-083_Most_Merciful-_Nitai_Gaurachandra_Lecture_Mumbai_-_14-04-96_IDesireTree.mp3</t>
  </si>
  <si>
    <t>1996-084_Isckon_Youth_Forum_Inaguration_Lecture_Mumbai_-_Radhanath_Swami_1996-04-16_IDesireTree.mp3</t>
  </si>
  <si>
    <t>1996-085_Laws_Of_God_Will_Surely_Act_BG-03_15_Mumbai_-_Radhanath_Swami_1996-04-18_IDesireTree.mp3</t>
  </si>
  <si>
    <t>1996-086_King_Shivaji_Took_Shelter_Of_Holy_Name_Mt_-_BG-02-48_Mumbai_-_19-04-96_IDesireTree.mp3</t>
  </si>
  <si>
    <t>1996-087_Varnashram_System_Means_Acting_Together_SB-01_18_32_Mumbai_-_20-04-96_IDesireTree.mp3</t>
  </si>
  <si>
    <t>1996-088_Teachings_Of_Jada_Bharat_Ht_-_Lecture_Mumbai_-_Radhanath_Swami_1996-04-20_IDesireTree.mp3</t>
  </si>
  <si>
    <t>1996-089_Srila_Gadadhar_Pandit_Lecture_Mumbai_-_Radhanath_Swami_1996-04-21_IDesireTree.mp3</t>
  </si>
  <si>
    <t>1996-090_Fight_In_Spiritual_Life_Lecture_Mumbai_-_Radhanath_Swami_1996-04-21_IDesireTree.mp3</t>
  </si>
  <si>
    <t>1996-091_How_Degradation_Of_Brahmanas_Began_SB-1_18_37_Mumbai_-_24-04-96_IDesireTree.mp3</t>
  </si>
  <si>
    <t>1996-092_What_Is_Knowledge_And_Ignorance_BG-10_1_Mumbai_-_24-04-96_IDesireTree.mp3</t>
  </si>
  <si>
    <t>1996-093_Pastimes_Of_Sri_RamanujAcharya_BG_Mumbai_-_25-04-96_IDesireTree.mp3</t>
  </si>
  <si>
    <t>1996-093_Pastimes_Of_Sri_RamanujAcharya_BG_Mumbai_-_Radhanath_Swami_1996-04-25_IDesireTree.mp3</t>
  </si>
  <si>
    <t>1996-094_Devotees_Must_Be_Self_Conscious_SB-01_18_38-40_Mumbai_-_26-04-96_IDesireTree.mp3</t>
  </si>
  <si>
    <t>1996-095_Please_Krishna_According_To_Our_Capacity_BG-12_18_Mumbai_-_26-04-96_IDesireTree.mp3</t>
  </si>
  <si>
    <t>1996-096_Question_And_Answer_Q%26A_Mumbai_-_24-04-96_IDesireTree.mp3</t>
  </si>
  <si>
    <t>1996-096_Question_And_Answer_Q%26A_Mumbai_-_Radhanath_Swami_1996-04-24_IDesireTree.mp3</t>
  </si>
  <si>
    <t>1996-097_Center_Marriage_Life_Around_Krsna_Lecture_Mumbai_-_25-04-96_IDesireTree.mp3</t>
  </si>
  <si>
    <t>1996-098_Pastimes_Of_Jahnava_Devi_SB_Mumbai_-_Radhanath_Swami_1996-04-27_IDesireTree.mp3</t>
  </si>
  <si>
    <t>1996-099_Greatness_Of_Sita_Devi_SB-01_02_08_Mumbai_-_Radhanath_Swami_1996-04-27_IDesireTree.mp3</t>
  </si>
  <si>
    <t>1996-100_Instinctive_Behaviour_Not_For_Devotee_SB-01_08_48_Mumbai_-_28-04-96_IDesireTree.mp3</t>
  </si>
  <si>
    <t>1996-101_Humility_Is_A_Must_SB-07_09_26-27_Mumbai_-_Radhanath_Swami_1996-04-28_IDesireTree.mp3</t>
  </si>
  <si>
    <t>1996-102_SB-05_14_19_-_Radhanath_Swami_1996-06-01_IDesireTree.mp3</t>
  </si>
  <si>
    <t>1996-103_SB-06_07_13_-_Radhanath_Swami_1996-06-08_IDesireTree.mp3</t>
  </si>
  <si>
    <t>1996-104_Forest_of_Material_Enjoyment_SB-05_14_19_-_Radhanath_Swami_06-96_IDesireTree.mp3</t>
  </si>
  <si>
    <t>1996-105_SB_-_Radhanath_Swami_1996-07-25_IDesireTree.mp3</t>
  </si>
  <si>
    <t>1996-106_Glories_Of_Srila_Prabhupada_Lecture_Mumbai_-_Radhanath_Swami_1996-08-04_IDesireTree.mp3</t>
  </si>
  <si>
    <t>1996-107_Vyas_Puja_Offering_Lecture_Mumbai_-_Radhanath_Swami_1996-08-04_IDesireTree.mp3</t>
  </si>
  <si>
    <t>1996-109_SB-06_09_50_-_Radhanath_Swami_1997-08-08_IDesireTree.mp3</t>
  </si>
  <si>
    <t>1996-111_Obstacles_Are_For_Our_Benefit_SB-02_02_32_Mumbai_-_24-08-96_IDesireTree.mp3</t>
  </si>
  <si>
    <t>1996-112_Bhakti_Yoga-_Most_Auspicious_SB-02_02_33_Mumbai_-_25-08-96_IDesireTree.mp3</t>
  </si>
  <si>
    <t>1996-113_Materialists_Always_Attack_Devotees_SB-02_02_34_Mumbai_-_25-08-96_IDesireTree.mp3</t>
  </si>
  <si>
    <t>1996-114_Ideal_Family_Life_SB-01_15_28_Mumbai_-_Radhanath_Swami_1996-08-26_IDesireTree.mp3</t>
  </si>
  <si>
    <t>1996-115_Hearing_Is_Most_Important_Activity_SB-02_02_03_Mumbai_-_28-08-96_IDesireTree.mp3</t>
  </si>
  <si>
    <t>1996-116_Address_To_Devotees_From_South_Africa_Lecture_Mumbai_-_28-08-96_IDesireTree.mp3</t>
  </si>
  <si>
    <t>1996-117_Demigod_Worship_And_Vaishnavas_SB-02_03_02-07_Mumbai_-_30-08-96_IDesireTree.mp3</t>
  </si>
  <si>
    <t>1996-118_Bhakti-_The_Greatest_Wealth_SB-02_03_08-09_Mumbai_-_01-09-96_IDesireTree.mp3</t>
  </si>
  <si>
    <t>1996-119_Dualities_Of_Mind_SB-07_08_09_Mumbai_-_Radhanath_Swami_1996-09-01_IDesireTree.mp3</t>
  </si>
  <si>
    <t>1996-120_Glories_Of_Srila_Prabhupada_Lecture_Mumbai_-_Radhanath_Swami_1996-09-04_IDesireTree.mp3</t>
  </si>
  <si>
    <t>1996-121_Vyas_Puja_Offering_Lecture_Mumbai_-_Radhanath_Swami_1996-09-04_IDesireTree.mp3</t>
  </si>
  <si>
    <t>1996-123_Vrindavan_Pastimes_Of_Krishna_SB-02_03_12_Mumbai_-_05-09-96_Part_2_IDesireTree.mp3</t>
  </si>
  <si>
    <t>1996-124_Chant_And_Remember_Pastimes_Of_Krishna_BG-04_09_Mumbai_-_05-09-96_IDesireTree.mp3</t>
  </si>
  <si>
    <t>1996-125_Offering_To_Srila_Prabhupada_Lecture_Mumbai_-_Radhanath_Swami_1996-09-06_IDesireTree.mp3</t>
  </si>
  <si>
    <t>1996-126_Causeless_Mercy_Of_Srila_Prabhupada_BG-02_70_Mumbai_-_07-09-96_IDesireTree.mp3</t>
  </si>
  <si>
    <t>1996-127_Lord%27s_Affection_For_His_Devotee_SB-07_10_3-4_Mumbai_-_8-9-96_IDesireTree.mp3</t>
  </si>
  <si>
    <t>1996-128_On_Dramas_Lecture_Mumbai_-_Radhanath_Swami_1996-09-09_IDesireTree.mp3</t>
  </si>
  <si>
    <t>1996-129_Krishna-_The_Original_Purusa_SB-02_03_21_Mumbai_-_14-09-96_IDesireTree.mp3</t>
  </si>
  <si>
    <t>1996-130_Pastimes_Of_Srila_Prabhupada_Lecture_Mumbai_-_Radhanath_Swami_1996-09-15_IDesireTree.mp3</t>
  </si>
  <si>
    <t>1996-131_Hear_from_Guru_BG-07_01_Mumbai_-_Radhanath_Swami_1996-09-16_IDesireTree.mp3</t>
  </si>
  <si>
    <t>1996-132_Holy_Name_Is_Realised_With_Humility_SB-02_03_24-25_Mumbai_-_19-09-96_IDesireTree.mp3</t>
  </si>
  <si>
    <t>1996-133_Srimati_Radharani%27s_Appearence_Day_CC_Adi-04_74-81_Mumbai_-_20-09-96_IDesireTree.mp3</t>
  </si>
  <si>
    <t>1996-134_Radhastami_Lecture_Mumbai_-_Radhanath_Swami_1996-09-20_new_IDesireTree.mp3</t>
  </si>
  <si>
    <t>1996-135_What_Is_The_Aim_Of_Life_BG-02_08_Mumbai_-_Radhanath_Swami_1996-09-21_IDesireTree.mp3</t>
  </si>
  <si>
    <t>1996-137_Don%27t_Let_Kali_Enter_Your_Home_SB-02_04_2Mumbai_-_22-09-96_IDesireTree.mp3</t>
  </si>
  <si>
    <t>1996-138_Gaura_Nitai_Deity_Welcoming_Lecture_Pune_-_Radhanath_Swami_1996-09-23_IDesireTree.mp3</t>
  </si>
  <si>
    <t>1996-140_Pleasing_Krishna_Is_Our_Aim_BG-18_58_Pune_-_24-09-96_IDesireTree.mp3</t>
  </si>
  <si>
    <t>1996-140_Pleasing_Krishna_Is_Our_Aim_BG-18_58_Pune_-_Radhanath_Swami_1996-09-24_IDesireTree.mp3</t>
  </si>
  <si>
    <t>1996-141_Srila_Bhaktivinoda_Thakur_SB-07_09_28_Pune_-_Radhanath_Swami_1996-09-25_IDesireTree.mp3</t>
  </si>
  <si>
    <t>1996-142_Visvaroop%27s_And_Prabhupada%27s_Sanyas_Pastimes_Lecture_Mumbai_-_27-09-96_IDesireTree.mp3</t>
  </si>
  <si>
    <t>1996-143_Caste_Sex_No_Consideration_SB-01_18_18-19_Mumbai_-_28-09-96_IDesireTree.mp3</t>
  </si>
  <si>
    <t>1996-144_Krishna_Is_Master_Of_Everyone_SB-02_04_07_Mumbai_-_28-09-96_IDesireTree.mp3</t>
  </si>
  <si>
    <t>1996-145_Pastimes_Of_Haridas_Thakur_Lecture_Mumbai_-_Radhanath_Swami_1996-09-29_IDesireTree.mp3</t>
  </si>
  <si>
    <t>1996-146_Arrival_Lecture_Mt_-_Lecture_Belgaum_-_Radhanath_Swami_1996-09-30_IDesireTree.mp3</t>
  </si>
  <si>
    <t>1996-147_Depend_On_Krishna_Lecture_Belgaum_-_Radhanath_Swami_1996-10-01_IDesireTree.mp3</t>
  </si>
  <si>
    <t>1996-148_Make_Mind_Your_Friend_Ht_-_BG-06_05_Kolhapur_-_Radhanath_Swami_1996-10-03_IDesireTree.mp3</t>
  </si>
  <si>
    <t>1996-149_Surrender_With_Humility_BG-02_04-07_Mumbai_-_Radhanath_Swami_1996-10-06_IDesireTree.mp3</t>
  </si>
  <si>
    <t>1996-150_Perform_Activities_To_Please_Krishna_SB-02_04_17_Mumbai_-_10-10-96_IDesireTree.mp3</t>
  </si>
  <si>
    <t>1996-152_Power_Of_Bhakti_SB-02_04_18_Mumbai_-_Radhanath_Swami_1996-10-13_IDesireTree.mp3</t>
  </si>
  <si>
    <t>1996-153_Pastimes_Of_Gopala_Bhatta_Goswami_SB-02_04_21_Mumbai_-_13-10-96_IDesireTree.mp3</t>
  </si>
  <si>
    <t>1996-154_Demigods_And_Story_Of_Keshav_Kashmiri_HT_-_BG-09_23_Mumbai_-_16-10-96_IDesireTree.mp3</t>
  </si>
  <si>
    <t>1996-155_Knowledge_By_Utter_Surrender_SB-02_04_23_Mumbai_-_19-10-96_IDesireTree.mp3</t>
  </si>
  <si>
    <t>1996-156_Supreme_Person_Is_Understood_By_Service_SB-11_02_36_Mumbai_-_20-10-96_IDesireTree.mp3</t>
  </si>
  <si>
    <t>1996-157_Original_Cause_of_All_Problems_SB-02_05_03_Mumbai_-_24-10-96_IDesireTree.mp3</t>
  </si>
  <si>
    <t>1996-158_Saffron_Awarding_Ceremony_Lecture_Mumbai_-_Radhanath_Swami_1996-10-25_IDesireTree.mp3</t>
  </si>
  <si>
    <t>1996-159_Marriage_Address_Lecture_Mumbai_-_Radhanath_Swami_1996-10-25_IDesireTree.mp3</t>
  </si>
  <si>
    <t>1996-160_Gajendra_Has_Shown_The_Way_Lecture_Mumbai_-_Radhanath_Swami_1996-10-26_IDesireTree.mp3</t>
  </si>
  <si>
    <t>1996-161_Importance_Of_The_Month_Of_Damodar_Lecture_Mumbai_-_27-10-96_IDesireTree.mp3</t>
  </si>
  <si>
    <t>1996-162_Sharad_Purnima_Festival_Lecture_Mumbai_-_Radhanath_Swami_1996-10-27_IDesireTree.mp3</t>
  </si>
  <si>
    <t>1996-163_Glories_Of_Narrottama_Das_Thakur_SB-02_05_12_Mumbai_-_31-10-96_new_IDesireTree.mp3</t>
  </si>
  <si>
    <t>1996-164_Attach_To_Krishna_Detached_From_Maya_SB-02_05_14_Mumbai_-_02-11-96_IDesireTree.mp3</t>
  </si>
  <si>
    <t>1996-165_Be_Like_Swans_Not_Like_Crows_Ht_-_Lecture_Mumbai_-_02-11-96_IDesireTree.mp3</t>
  </si>
  <si>
    <t>1996-166_Book_Distribution_Meeting_Lecture_Mumbai_-_Radhanath_Swami_1996-11-03_IDesireTree.mp3</t>
  </si>
  <si>
    <t>1996-167_Bahulastami_Lecture_Mumbai_-_Radhanath_Swami_1996-11-03_IDesireTree.mp3</t>
  </si>
  <si>
    <t>1996-168_Precarious_Condition_Of_Indians_SB-02_05_15_Mumbai_-_03-11-96_IDesireTree.mp3</t>
  </si>
  <si>
    <t>1996-169_Departure_Meeting_Lecture_Mumbai_-_Radhanath_Swami_1996-11-04_IDesireTree.mp3</t>
  </si>
  <si>
    <t>1996-170_Lecture_New_Vrindavan_-_Radhanath_Swami_1996-12-09_IDesireTree.mp3</t>
  </si>
  <si>
    <t>1996-171_Arrival_Lecture_SB-02_06_35_Mumbai_-_Radhanath_Swami_1996-12-19_IDesireTree.mp3</t>
  </si>
  <si>
    <t>1996-173_Surrender_By_Hearing_And_Chanting_SB-02_06_38_Mumbai_-_22-12-96_IDesireTree.mp3</t>
  </si>
  <si>
    <t>1996-174_Churning_The_Ocean_Of_Milk_Lecture_Mumbai_-_Radhanath_Swami_1996-12-22_IDesireTree.mp3</t>
  </si>
  <si>
    <t>1996-175_Jesus_Christ-_A_true_Guru_SB-02_06_42_Mumbai_-_Radhanath_Swami_1996-12-25_IDesireTree.mp3</t>
  </si>
  <si>
    <t>1996-176_Supremacy_of_Lord_Krishna_SB-02_06_43-45_Mumbai_-_26-12-96_IDesireTree.mp3</t>
  </si>
  <si>
    <t>1996-177_Gigantic_Boar_Incarnation_SB-02_07_01_Mumbai_-_Radhanath_Swami_1996-12-28_IDesireTree.mp3</t>
  </si>
  <si>
    <t>1996-178_Follow_the_Mahajans_BG-04_15_Mumbai_-_Radhanath_Swami_1996-12-28_IDesireTree.mp3</t>
  </si>
  <si>
    <t>1996-179_Glories_of_BhaktiSiddhanta_Saraswati_Lecture_Mumbai_-_29-12-96_IDesireTree.mp3</t>
  </si>
  <si>
    <t>1997-001_Birth_of_Lord_Kapila_SB-02_07_03_Mumbai_-_Radhanath_Swami_1997-01-01_IDesireTree.mp3</t>
  </si>
  <si>
    <t>1997-002_Glories_of_Shivananda_Sen_Gt_-_Lecture_Mumbai_-_Radhanath_Swami_1997-01-03_IDesireTree.mp3</t>
  </si>
  <si>
    <t>1997-003_Bhagavad_Gita_For_The_Modern_Man_Ht_-_Lecture_Mumbai_-_04-01-97_IDesireTree.mp3</t>
  </si>
  <si>
    <t>1997-004_Address_at_Chaitanya_Hospital_Lecture_Mumbai_-_Radhanath_Swami_1997-01-04_IDesireTree.mp3</t>
  </si>
  <si>
    <t>1997-005_Effects_of_Anger_SB-02_07_07_Mumbai_-_Radhanath_Swami_1997-01-05_IDesireTree.mp3</t>
  </si>
  <si>
    <t>1997-006_Devananda_Pandit_Disappearance_Day_Lecture_Mumbai_-_05-01-97_IDesireTree.mp3</t>
  </si>
  <si>
    <t>1997-007_Pastimes_of_King_Prithu_SB-02_07_09_Mumbai_-_Radhanath_Swami_1997-01-07_IDesireTree.mp3</t>
  </si>
  <si>
    <t>1997-008_Questions_by_Yaksha_to_Yudhishitra_BG-06_25_Mumbai_-_07-01-97_IDesireTree.mp3</t>
  </si>
  <si>
    <t>1997-009_Greatness_of_Srila_Jiva_Goswami_BG-03_34_Mumbai_-_11-01-97_IDesireTree.mp3</t>
  </si>
  <si>
    <t>1997-010_Matsya_Avatar_SB-02_07_12_Mumbai_-_12-01-97_IDesireTree.mp3</t>
  </si>
  <si>
    <t>1997-011_Mahaprabhu_Chastises_Advaita_Lecture_Mumbai_-_Radhanath_Swami_1997-01-12_IDesireTree.mp3</t>
  </si>
  <si>
    <t>1997-012_BTG_Festival_Lecture_Mumbai_-_Radhanath_Swami_1997-01-13_IDesireTree.mp3</t>
  </si>
  <si>
    <t>1997-013_Fruitive_Workers_are_Misers_Ht_-_BG-02_IDesireTree.mp3</t>
  </si>
  <si>
    <t>1997-014_Initiation_Lecture_Lecture_-_Radhanath_Swami_IDesireTree.mp3</t>
  </si>
  <si>
    <t>1997-015_Be_Eager_Like_Dhruva_BG-05_12_Pune_-_Radhanath_Swami_1997-01-17_IDesireTree.mp3</t>
  </si>
  <si>
    <t>1997-016_Materialists_are_like_Rats_SB-04_24_66_Pune_-_Radhanath_Swami_1997-01-17_IDesireTree.mp3</t>
  </si>
  <si>
    <t>1997-017_Talks_with_IYF_-_Pune_Boys_Lecture_Pune_-_Radhanath_Swami_1997-01-17_IDesireTree.mp3</t>
  </si>
  <si>
    <t>1997-018_Love_of_Brajbasis_SB-02_07_27_Khandala_-_Radhanath_Swami_1997-01-18_new_IDesireTree.mp3</t>
  </si>
  <si>
    <t>1997-019_Using_Science_In_Krishna_Consciousness_Lecture_Mumbai_-_19-01-97_IDesireTree.mp3</t>
  </si>
  <si>
    <t>1997-020_Never_Offend_Devotees_SB-04_30_08_Mumbai_-_Radhanath_Swami_1997-01-23_IDesireTree.mp3</t>
  </si>
  <si>
    <t>1997-021_Never_Expect_Any_Glory_Lecture_Mumbai_-_Radhanath_Swami_1997-01-23_IDesireTree.mp3</t>
  </si>
  <si>
    <t>1997-022_Attaining_the_Supreme_BG-08_12-13_Mumbai_-_Radhanath_Swami_1997-01-24_IDesireTree.mp3</t>
  </si>
  <si>
    <t>1997-023_Krishna-_The_Supreme_Source_SB-02_07_26_Mumbai_-_Radhanath_Swami_1997-01-25_IDesireTree.mp3</t>
  </si>
  <si>
    <t>1997-024_Story_Of_Vritasura_SB-_Mumbai_-_Radhanath_Swami_1997-01-25_IDesireTree.mp3</t>
  </si>
  <si>
    <t>1997-025_Subduing_Kaliya_SB-02_07_28-29_Mumbai_-_Radhanath_Swami_1997-01-26_IDesireTree.mp3</t>
  </si>
  <si>
    <t>1997-026_Parvati_Curses_Chitraketu_SB_Mumbai_-_Radhanath_Swami_1997-01-26_IDesireTree.mp3</t>
  </si>
  <si>
    <t>1997-027_Arrival_Lecture_Lecture_Pune_-_Radhanath_Swami_1997-01-30_IDesireTree.mp3</t>
  </si>
  <si>
    <t>1997-028_Gopala_Bhatta_Goswami_and_Ramachandra_Kaviraj_SB-05_05_20_Pune_-_31-01-97_IDesireTree.mp3</t>
  </si>
  <si>
    <t>1997-029_Question_And_Answer_Q%26A_Pune_-_Radhanath_Swami_1997-02-02_IDesireTree.mp3</t>
  </si>
  <si>
    <t>1997-030_Departure_Lecture_Lecture_Pune_-_Radhanath_Swami_1997-02-02_IDesireTree.mp3</t>
  </si>
  <si>
    <t>1997-031_Material_Problems_And_Spiritual_Solution_Lecture_Mumbai_-_07-02-97_IDesireTree.mp3</t>
  </si>
  <si>
    <t>1997-032_What_Is_Service_SB-02_07_42_Mumbai_-_Radhanath_Swami_1997-02-08_IDesireTree.mp3</t>
  </si>
  <si>
    <t>1997-033_Qualify_Like_Dhruva_SB-04_12_36_Mumbai_-_Radhanath_Swami_1997-02-08_IDesireTree.mp3</t>
  </si>
  <si>
    <t>1997-034_Surrender_To_The_Surrendered_SB-02_07_43-45_Mumbai_-_09-02-97_IDesireTree.mp3</t>
  </si>
  <si>
    <t>1997-035_Preach_With_Compassion_Lecture_Mumbai_-_Radhanath_Swami_1997-02-09_IDesireTree.mp3</t>
  </si>
  <si>
    <t>1997-036_Viswanatha_Chakravarty_Thakur_SB-02_07_47_Mumbai_-_11-02-97_IDesireTree.mp3</t>
  </si>
  <si>
    <t>1997-037_Vasant_Panchmi_Festival_Lecture_Mumbai_-_Radhanath_Swami_1997-02-11_IDesireTree.mp3</t>
  </si>
  <si>
    <t>1997-038_Real_Happiness_BG-06_28_Mumbai_-_Radhanath_Swami_1997-02-11_IDesireTree.mp3</t>
  </si>
  <si>
    <t>1997-039_Srila_Advaita_Acharya_Lecture_Mumbai_-_Radhanath_Swami_1997-02-13_IDesireTree.mp3</t>
  </si>
  <si>
    <t>1997-040_Perform_Your_Duty_BG-03_08_Mumbai_-_Radhanath_Swami_1997-02-13_IDesireTree.mp3</t>
  </si>
  <si>
    <t>1997-041_Sripad_Madhavacharya_CC_ML-09_245_Mumbai_-_Radhanath_Swami_1997-02-15_IDesireTree.mp3</t>
  </si>
  <si>
    <t>1997-042_Realise_Your_Identity_Ht_-_BG-05_12_Mumbai_-_Radhanath_Swami_1997-02-15_IDesireTree.mp3</t>
  </si>
  <si>
    <t>1997-043_Acharyas_Emphasise_Service_SB-02_07_50_Mumbai_-_Radhanath_Swami_1997-02-16_IDesireTree.mp3</t>
  </si>
  <si>
    <t>1997-044_Varahadev_Protects_Mother_Earth_SB_Mumbai_-_Radhanath_Swami_1997-02-19_IDesireTree.mp3</t>
  </si>
  <si>
    <t>1997-045_Lord_Nityananda_Lecture_Mumbai_-_Radhanath_Swami_1997-02-20_IDesireTree.mp3</t>
  </si>
  <si>
    <t>1997-046_Nitai_Delivers_Jagai_and_Madhai_Lecture_Mumbai_-_Radhanath_Swami_1997-02-20_IDesireTree.mp3</t>
  </si>
  <si>
    <t>1997-047_Become_Submissive_SB-02_08_01_Mumbai_-_Radhanath_Swami_1997-02-22_IDesireTree.mp3</t>
  </si>
  <si>
    <t>1997-048_Real_Intelligence_Lecture_Mumbai_-_Radhanath_Swami_1997-02-22_IDesireTree.mp3</t>
  </si>
  <si>
    <t>1997-049_Glories_of_Srimad_Bhagavatam_SB-02_08_02_Mumbai_-_23-02-97_IDesireTree.mp3</t>
  </si>
  <si>
    <t>1997-050_Srila_Prabhupada_Lecture_Mumbai_-_Radhanath_Swami_1997-02-23_IDesireTree.mp3</t>
  </si>
  <si>
    <t>1997-051_Srila_Ishwara_Puri_SB-02_08_02_Mumbai_-_Radhanath_Swami_1997-03-06_IDesireTree.mp3</t>
  </si>
  <si>
    <t>1997-052_What_Is_Responsibility_SB-02_08_21_Mumbai_-_Radhanath_Swami_1997-03-13_IDesireTree.mp3</t>
  </si>
  <si>
    <t>1997-053_Understanding_The_Pastimes_Of_Krishna_SB-02_08_23_Mumbai_-_15-03-97_IDesireTree.mp3</t>
  </si>
  <si>
    <t>1997-054_How_To_Please_Krishna_Lecture_Mumbai_-_Radhanath_Swami_1997-03-16_IDesireTree.mp3</t>
  </si>
  <si>
    <t>1997-055_Initiation_Lecture_Lecture_Mumbai_-_Radhanath_Swami_1997-03-24_IDesireTree.mp3</t>
  </si>
  <si>
    <t>1997-056_Real_Success_Of_Life_BG-04_31_Mumbai_-_Radhanath_Swami_1997-03-29_IDesireTree.mp3</t>
  </si>
  <si>
    <t>1997-057_Path_Of_Perfection_BG-07_30_Mumbai_-_Radhanath_Swami_1997-04-01_IDesireTree.mp3</t>
  </si>
  <si>
    <t>1997-058_Marriage_Ceremony_Address_Lecture_Mumbai_-_Radhanath_Swami_1997-04-08_IDesireTree.mp3</t>
  </si>
  <si>
    <t>1997-059_Trancendence_of_Vaikuntha_SB-02_09_10_Mumbai_-_Radhanath_Swami_1997-04-12_IDesireTree.mp3</t>
  </si>
  <si>
    <t>1997-060_The_Art_of_Working_Ht_-_BG-02_48-50_Mumbai_-_Radhanath_Swami_1997-04-12_IDesireTree.mp3</t>
  </si>
  <si>
    <t>1997-061_Opulence_Of_The_Denizens_Of_Vaikuntha_SB-02_09_11_Mumbai_-_13-04-97_IDesireTree.mp3</t>
  </si>
  <si>
    <t>1997-062_Ocean_of_Mercy_Lecture_Mumbai_-_Radhanath_Swami_1997-04-14_IDesireTree.mp3</t>
  </si>
  <si>
    <t>1997-063_Material_Distress_BG-04_38_Mumbai_-_Radhanath_Swami_1997-04-19_IDesireTree.mp3</t>
  </si>
  <si>
    <t>1997-064_Association_of_Devotees_Lecture_Udipi_-_Radhanath_Swami_1997-04-21_IDesireTree.mp3</t>
  </si>
  <si>
    <t>1997-065_Udipi_Yatra_Lecture_Udipi_-_Radhanath_Swami_1997-04-22_IDesireTree.mp3</t>
  </si>
  <si>
    <t>1997-066_The_Sublime_Process_Lecture_Mumbai_-_Radhanath_Swami_1997-04-23_IDesireTree.mp3</t>
  </si>
  <si>
    <t>1997-067_Perverted_Reflection_SB-02_09_17_Mumbai_-_Radhanath_Swami_1997-04-24_IDesireTree.mp3</t>
  </si>
  <si>
    <t>1997-068_Overcome_Spiritual_Laziness_Lecture_Mumbai_-_Radhanath_Swami_1997-04-27_IDesireTree.mp3</t>
  </si>
  <si>
    <t>1997-069_Bangalore_Temple_Opening_Lecture_Bangalore_-_Radhanath_Swami_1997-04-30_IDesireTree.mp3</t>
  </si>
  <si>
    <t>1997-070_Eagerness_Of_Krishna_BG-06_15_Mumbai_-_Radhanath_Swami_1997-05-03_IDesireTree.mp3</t>
  </si>
  <si>
    <t>1997-071_Always_Be_Alert_SB-02_09_28_Mumbai_-_Radhanath_Swami_1997-05-04_IDesireTree.mp3</t>
  </si>
  <si>
    <t>1997-072_Prabhupada_Nectar_Lecture_Mumbai_-_Radhanath_Swami_1997-05-05_IDesireTree.mp3</t>
  </si>
  <si>
    <t>1997-073_Appearence_Of_Lord_Chaitanya_BG-04_39_Mumbai_-_Radhanath_Swami_1997-05-06_IDesireTree.mp3</t>
  </si>
  <si>
    <t>1997-074_Marraige_Addresses_Lecture_Mumbai_-_Radhanath_Swami_1997-05-09_IDesireTree.mp3</t>
  </si>
  <si>
    <t>1997-075_Krishna_And_Jiva_Are_Never_One_SB-02_09_33_Mumbai_-_10-05-97_IDesireTree.mp3</t>
  </si>
  <si>
    <t>1997-076_Chatusshloki_Bhagavatam_SB-02_09_35-36_Mumbai_-_Radhanath_Swami_1997-05-14_IDesireTree.mp3</t>
  </si>
  <si>
    <t>1997-077_Departure_Address_To_Brahmacari_Lecture_Mumbai_-_Radhanath_Swami_1997-05-14_IDesireTree.mp3</t>
  </si>
  <si>
    <t>1997-078_Our_Eagerness_Attracts_Krishna_Lecture_K_ford_London_-_26-05-97_IDesireTree.mp3</t>
  </si>
  <si>
    <t>1997-079_Bhaktivedanta_Manor_SB_03_19_09_London_-_Radhanath_Swami_1997-05-28_IDesireTree.mp3</t>
  </si>
  <si>
    <t>1997-08-20_SB_03-27-06_-_How_to_Behave_with_Different_Devotees%20-01_-_Radhanath_Swami_Germany.mp3</t>
  </si>
  <si>
    <t>1997-08-20_SB_03-27-06_-_How_to_Behave_with_Different_Devotees%20-02_-_Radhanath_Swami_Germany.mp3</t>
  </si>
  <si>
    <t>1997-080_Compassionate_Nature_of_Devotees_Lecture_London_-_Radhanath_Swami_IDesireTree.mp3</t>
  </si>
  <si>
    <t>1997-081_Humility_of_Devotees_Lecture_Bhaktivedanta_Manor_-_31-05-97_IDesireTree.mp3</t>
  </si>
  <si>
    <t>1997-083_SB-06_7_13_-_Radhanath_Swami_1997-06-08_IDesireTree.mp3</t>
  </si>
  <si>
    <t>1997-084_Unlimited_Dualities_BG-14_20_Chicago_-_Radhanath_Swami_1997-08-05_IDesireTree.mp3</t>
  </si>
  <si>
    <t>1997-085_Pride_Cometh_Before_The_Fall_SB-06_09_50_Chicago_-_08-08-97_IDesireTree.mp3</t>
  </si>
  <si>
    <t>1997-086_Lecture_Bhaktivedanta_Manor_London_-_Radhanath_Swami_1997-08-12_IDesireTree.mp3</t>
  </si>
  <si>
    <t>1997-087_Becoming_Sincere_SB-03_01_40_Mumbai_-_Radhanath_Swami_1997-08-23_IDesireTree.mp3</t>
  </si>
  <si>
    <t>1997-088_Krishna_Book_Reading_Lecture_Mumbai_-_Radhanath_Swami_1997-08-25_IDesireTree.mp3</t>
  </si>
  <si>
    <t>1997-089_Make_Krishna_The_Priority_Lecture_Mumbai_-_Radhanath_Swami_1997-08-25_IDesireTree.mp3</t>
  </si>
  <si>
    <t>1997-090_Offering_To_Srila_Prabhupada_Lecture_Mumbai_-_Radhanath_Swami_1997-08-28_IDesireTree.mp3</t>
  </si>
  <si>
    <t>1997-091_Our_Life_Is_Our_Eagerness_SB-03_01_44_Mumbai_-_Radhanath_Swami_1997-08-28_IDesireTree.mp3</t>
  </si>
  <si>
    <t>1997-092_Market_Place_Of_Happiness_BG-04_06_Mumbai_-_Radhanath_Swami_1997-08-30_IDesireTree.mp3</t>
  </si>
  <si>
    <t>1997-093_Be_Eager_For_Krishna_CC_Antya_Mumbai_-_Radhanath_Swami_1997-08-31_IDesireTree.mp3</t>
  </si>
  <si>
    <t>1997-094_Advent_Of_Lord_Krishna_BG-07_Mumbai_-_Radhanath_Swami_1997-09-06_IDesireTree.mp3</t>
  </si>
  <si>
    <t>1997-095_Conquer_Delusion_BG-07_Mumbai_-_Radhanath_Swami_1997-09-06_IDesireTree.mp3</t>
  </si>
  <si>
    <t>1997-097_Make_The_Unfortunate_The_Most_Fortunate_SB-03_02_11_Mumbai_-_11-09-97_IDesireTree.mp3</t>
  </si>
  <si>
    <t>1997-098_Association_Of_Devotees_The_Most_Precious_Things_BG-11_03_Moscow_-_12-09-97_IDesireTree.mp3</t>
  </si>
  <si>
    <t>1997-099_Devotee_Welcomes_Difficulties_SB-04_12_05_Moscow_-_13-09-97_IDesireTree.mp3</t>
  </si>
  <si>
    <t>1997-100_Eagerness_To_Please_Krsna_Lecture_MOscow_-_Radhanath_Swami_1997-09-13_IDesireTree.mp3</t>
  </si>
  <si>
    <t>1997-101_Lecture_-_Radhanath_Swami_1997-09-14_IDesireTree.mp3</t>
  </si>
  <si>
    <t>1997-102_Opportunity_To_Serve_The_Greatest_Benidiction_SB-04_12_07_Moscow_-_15-09-97_IDesireTree.mp3</t>
  </si>
  <si>
    <t>1997-103_Desires_Limited_-_Resourses_Unlimited_SB-04_12_08_Moscow_-_16-09-97_IDesireTree.mp3</t>
  </si>
  <si>
    <t>1997-104_How_I_Meet_Srila_Prabhupada_Lecture_St_-_Radhanath_Swami_IDesireTree.mp3</t>
  </si>
  <si>
    <t>1997-105_SB-03_28_42_St_-_Radhanath_Swami_IDesireTree.mp3</t>
  </si>
  <si>
    <t>1997-106_Krsna_The_Supreme_Propritor_BG-08_20_Moscow_-_Radhanath_Swami_1997-09-19_IDesireTree.mp3</t>
  </si>
  <si>
    <t>1997-107_The_Wealth_Of_Krishna_Consciousness_SB-10_14_29_Mumbai_-_21-09-97_IDesireTree.mp3</t>
  </si>
  <si>
    <t>1997-108_Krishna_The_Most_Merciful_Personality_SB-03_02_23_Mumbai_-_25-09-97_IDesireTree.mp3</t>
  </si>
  <si>
    <t>1997-109_Simply_Please_Krishna_SB-03_02_25_Mumbai_-_Radhanath_Swami_1997-09-27_IDesireTree.mp3</t>
  </si>
  <si>
    <t>1997-110_Message_To_The_Congregation_Devotees_Lecture_Mumbai_-_27-09-97_IDesireTree.mp3</t>
  </si>
  <si>
    <t>1997-111_Ecstasy_Of_Nand_Maharaj_And_Mother_Yasoda_SB-03_02_26_Mumbai_-_28-09-97_IDesireTree.mp3</t>
  </si>
  <si>
    <t>1997-112_Simple_Living_High_Thinking_SB-03_02_29_Mumbai_-_Radhanath_Swami_1997-10-02_IDesireTree.mp3</t>
  </si>
  <si>
    <t>1997-113_Preparing_For_The_21_Century_Lecture_Mumbai_-_Radhanath_Swami_1997-10-02_IDesireTree.mp3</t>
  </si>
  <si>
    <t>1997-114_Honour_Demigods_But_Worship_Only_Krishna_SB-03_02_31-32_-_04-10-97_IDesireTree.mp3</t>
  </si>
  <si>
    <t>1997-115_Come_Out_Of_Dense_Illusion_BG-08_20_Mumbai_-_Radhanath_Swami_1997-10-04_IDesireTree.mp3</t>
  </si>
  <si>
    <t>1997-117_Even_An_Elephant_Can_Become_A_Vaishnava_BG-03_02_Mumbai_-_05-10-97_IDesireTree.mp3</t>
  </si>
  <si>
    <t>1997-118_Advance_Like_Dhruva_SB-04_12_04_Pune_-_Radhanath_Swami_1997-10-06_IDesireTree.mp3</t>
  </si>
  <si>
    <t>1997-119_Identify_Yourself_Properly_SB-04_29_60_Pune_-_Radhanath_Swami_1997-10-07_IDesireTree.mp3</t>
  </si>
  <si>
    <t>1997-120_The_Power_Of_Holy_Name_Lecture_Pune_-_Radhanath_Swami_1997-10-08_IDesireTree.mp3</t>
  </si>
  <si>
    <t>1997-121_Talk_With_Pune_IYF_Boys_Lecture_Pune_-_Radhanath_Swami_1997-10-09_IDesireTree.mp3</t>
  </si>
  <si>
    <t>1997-122_Why_Are_People_Lonely_BG-12_15_Mumbai_-_Radhanath_Swami_1997-10-09_IDesireTree.mp3</t>
  </si>
  <si>
    <t>1997-123_Using_The_Senses_In_Krishna%27s_Service_SB-03_06_18_Mumbai_-_11-10-97_IDesireTree.mp3</t>
  </si>
  <si>
    <t>1997-124_Aim_And_Purpose_Of_Bhaktivedanta_Hospital_Lecture_Mumbai_-_11-10-97_IDesireTree.mp3</t>
  </si>
  <si>
    <t>1997-125_Krishna_As_Dwarkadhish_SB-03_03_08-09_Mumbai_-_Radhanath_Swami_1997-10-12_IDesireTree.mp3</t>
  </si>
  <si>
    <t>1997-126_Find_Your_Right_Place_Lecture_Mumbai_-_Radhanath_Swami_1997-10-12_IDesireTree.mp3</t>
  </si>
  <si>
    <t>1997-127_Burden_Of_Love_SB-03_03_14_Mumbai_-_Radhanath_Swami_1997-10-16_IDesireTree.mp3</t>
  </si>
  <si>
    <t>1997-128_Glories_Of_Navadwipdhama_Lecture_Mumbai_-_Radhanath_Swami_1997-10-18_IDesireTree.mp3</t>
  </si>
  <si>
    <t>1997-130_Killing_Of_Jarasandha_SB-03_03_19_-_Radhanath_Swami_1997-10-23_IDesireTree.mp3</t>
  </si>
  <si>
    <t>1997-131_Marraige_Ceremony_Address_Mumbai_-_Radhanath_Swami_1997-10-25_IDesireTree.mp3</t>
  </si>
  <si>
    <t>1997-132_Right_Approach_To_Bhagavatam_SB-05_04_08_Mayapur_-_27-10-97_IDesireTree.mp3</t>
  </si>
  <si>
    <t>1997-133_SB-05_11_06_-_Radhanath_Swami_IDesireTree.mp3</t>
  </si>
  <si>
    <t>1997-134_Imbibing_The_Mood_Of_Vrindavan_SB-07_14_12_Vrindavan_-_08-11-97_IDesireTree.mp3</t>
  </si>
  <si>
    <t>1997-135_Damodar_Lilla_Pastimes_Lecture_-_Radhanath_Swami_1997-11-14_IDesireTree.mp3</t>
  </si>
  <si>
    <t>1997-136_Separation_From_Krishna_Is_Intolerable_SB-03_04_14-15_Mumbai_-_15-11-97_IDesireTree.mp3</t>
  </si>
  <si>
    <t>1997-137_Govardhan_Lilla_SB-10_25_13_Mumbai_-_Radhanath_Swami_1997-11-16_IDesireTree.mp3</t>
  </si>
  <si>
    <t>1997-138_Eye_Of_Scriptures_Lecture_Mumbai_-_Radhanath_Swami_1997-11-16_IDesireTree.mp3</t>
  </si>
  <si>
    <t>1997-140_Becoming_Servant_of_the_Servant_SB-03_04_18_Mumbai_-_18-11-97_new_IDesireTree.mp3</t>
  </si>
  <si>
    <t>1997-141_SB-04_13_38_-_Radhanath_Swami_1997-12-02_IDesireTree.mp3</t>
  </si>
  <si>
    <t>1997-142_BG-18_64_-_Radhanath_Swami_1997-12-03_IDesireTree.mp3</t>
  </si>
  <si>
    <t>1997-143_SB-04_13_39_-_Radhanath_Swami_1997-12-03_IDesireTree.mp3</t>
  </si>
  <si>
    <t>1997-144_BG-18_68_-_Radhanath_Swami_1997-12-04_IDesireTree.mp3</t>
  </si>
  <si>
    <t>1997-145_SB-04_13_40_-_Radhanath_Swami_1997-12-04_IDesireTree.mp3</t>
  </si>
  <si>
    <t>1997-146_To_always_Remember_Krishna_And_To_Never_Forget_Krishna_SB-01_08_42_London_IDesireTree.mp3</t>
  </si>
  <si>
    <t>1997-147_The_Holiest_of_Holy_Places_-_Where_Devotees_Reside_Lecture_London_IDesireTree.mp3</t>
  </si>
  <si>
    <t>1997-148_Understanding_The_Greatness_Of_Krishna_Lecture_London_Bhaktivedanta_Manor_IDesireTree.mp3</t>
  </si>
  <si>
    <t>1997-149_Marriage_Ceremony_Address_Yogesh_chandra_Prabhu_%26_Niti_Mataji_Lecture_IDesireTree.mp3</t>
  </si>
  <si>
    <t>1998-001_Weeds_of_False_Ego_SB-03_05_29_Mumbai_-_Radhanath_Swami_1998-01-01_IDesireTree.mp3</t>
  </si>
  <si>
    <t>1998-002_Pushya_Abhishek_Lecture_Mumbai_-_Radhanath_Swami_1998-01-12_IDesireTree.mp3</t>
  </si>
  <si>
    <t>1998-003_Relationship_Between_Krishna_%26_Bhisma_SB-01_09_23_Mumbai_-_14-01-98_IDesireTree.mp3</t>
  </si>
  <si>
    <t>1998-004_Perform_Your_Duties_In_Devotional_Service_SB-03_05_40_Mumbai_-_17-01-98_IDesireTree.mp3</t>
  </si>
  <si>
    <t>1998-005_Nectar_of_Lotus_Feet_SB-03_05_41_Mumbai_-_Radhanath_Swami_1998-01-18_IDesireTree.mp3</t>
  </si>
  <si>
    <t>1998-006_Appearance_of_Srila_Gopal_Bhatt_Goswami_Lecture_Mumbai_-_18-01-98_IDesireTree.mp3</t>
  </si>
  <si>
    <t>1998-007_Using_Our_Free_Will_Properly_Lecture_Mumbai_-_Radhanath_Swami_1998-01-20_IDesireTree.mp3</t>
  </si>
  <si>
    <t>1998-008_More_You_Have_More_You_Suffer_SB-03_09_06_Mumbai_-_21-01-98_IDesireTree.mp3</t>
  </si>
  <si>
    <t>1998-009_Arrival_Address_Lecture_Pune_-_Radhanath_Swami_1998-01-23_IDesireTree.mp3</t>
  </si>
  <si>
    <t>1998-01-22_SB_09-16-07-09_-_Radhanath_Swami_Radhanath_Swami_Mumbai.mp3</t>
  </si>
  <si>
    <t>1998-010_Questions_%26_Answers_Q%26A_Pune_-_Radhanath_Swami_1998-01-23_IDesireTree.mp3</t>
  </si>
  <si>
    <t>1998-011_Jada_Bharat_%26_Human_Sacrifice_SB-09_16_30-31_Mumbai_-_28-01-98_IDesireTree.mp3</t>
  </si>
  <si>
    <t>1998-012_Brahmacari_Class_and_Q%26A_Q%26A_Mumbai_-_Radhanath_Swami_1998-01-30_IDesireTree.mp3</t>
  </si>
  <si>
    <t>1998-013_Gaura_Nitai_Deity_Welcoming_Lecture_Mumbai_-_Radhanath_Swami_1998-01-30_IDesireTree.mp3</t>
  </si>
  <si>
    <t>1998-014_Pleasing_Demigods_SB-03_05_49_Mumbai_-_Radhanath_Swami_1998-01-31_IDesireTree.mp3</t>
  </si>
  <si>
    <t>1998-015_Fixed_Determination_BG-02_41_Mumbai_-_Radhanath_Swami_1998-01-31_IDesireTree.mp3</t>
  </si>
  <si>
    <t>1998-016_Life_of_Srila_Raghunath_Das_Goswami_Lecture_Mumbai_-_01-02-98_IDesireTree.mp3</t>
  </si>
  <si>
    <t>1998-017_Pastimes_of_Srila_Rupa_Goswami_I_Lecture_Pune_-_Radhanath_Swami_1998-01-24_IDesireTree.mp3</t>
  </si>
  <si>
    <t>1998-018_Pastimes_of_Srila_Rupa_Goswami_II_Lecture_Pune_-_Radhanath_Swami_1998-01-24_IDesireTree.mp3</t>
  </si>
  <si>
    <t>1998-019_Pastimes_of_Srila_Rupa_Goswami_III_Lecture_Pune_-_24-01-98_IDesireTree.mp3</t>
  </si>
  <si>
    <t>1998-020_Spiritual_Life_Means_to_Control_Mind_BG-06_36_Mumbai_-_27-01-98_IDesireTree.mp3</t>
  </si>
  <si>
    <t>1998-021_Pastimes_of_Srila_Vishwanath_Chakravarthy_Thakur_Lecture_Mumbai_-_01-02-98_IDesireTree.mp3</t>
  </si>
  <si>
    <t>1998-022_Lord%27s_Pastimes_in_the_Ocean_Lecture_Mumbai_-_Radhanath_Swami_1998-02-02_IDesireTree.mp3</t>
  </si>
  <si>
    <t>1998-023_Sripad_Madhvacaryas_Disappearance_Day_SB-09_18_16_Mumbai_-_02-02-98_IDesireTree.mp3</t>
  </si>
  <si>
    <t>1998-024_Understand_the_Laws_of_Nature_BG-04_06_Mumbai_-_Radhanath_Swami_1998-02-03_IDesireTree.mp3</t>
  </si>
  <si>
    <t>1998-025_Tapasya-_Purpose_of_Human_Existence_SB-03_09_17_Mumbai_-_04-02-98_IDesireTree.mp3</t>
  </si>
  <si>
    <t>1998-026_Only_Krishna_is_Infalliable_BG-15_16-17_Mumbai_-_Radhanath_Swami_1998-02-07_IDesireTree.mp3</t>
  </si>
  <si>
    <t>1998-027_Approach_Krishna_With_the_Desire_to_Serve_SB-03_06_03_Mumbai_-_07-02-98_IDesireTree.mp3</t>
  </si>
  <si>
    <t>1998-029_Lord_Varahadev_Appearance_Day_Lecture_Mumbai_-_Radhanath_Swami_1998-02-08_IDesireTree.mp3</t>
  </si>
  <si>
    <t>1998-030_Pastimes_of_Lord_Nityananda_Prabhu_Lecture_Mumbai_-_09-02-98_IDesireTree.mp3</t>
  </si>
  <si>
    <t>1998-031_Pastimes_of_Lord_Nityananda_Prabhu_eve_Lecture_Mumbai_-_09-02-98_IDesireTree.mp3</t>
  </si>
  <si>
    <t>1998-032_Training_Our_Mind_Lecture_Mumbai_-_Radhanath_Swami_1998-02-10_IDesireTree.mp3</t>
  </si>
  <si>
    <t>1998-033_Everything_Belongs_to_Krishna_SB-03_09_22_Mumbai_-_11-02-98_IDesireTree.mp3</t>
  </si>
  <si>
    <t>1998-034_Narottam_Das_Thakur_Lecture_Mumbai_-_Radhanath_Swami_1998-02-12_IDesireTree.mp3</t>
  </si>
  <si>
    <t>1998-035_Transcendental_Faith_BG-12_01_Mumbai_-_Radhanath_Swami_1998-02-13_IDesireTree.mp3</t>
  </si>
  <si>
    <t>1998-036_Srimad_Bhagavatam_Explains_All_Detail_SB-03_06_08_Mumbai_-_14-02-98_IDesireTree.mp3</t>
  </si>
  <si>
    <t>1998-038_Put_Your_Heart_in_Doing_Service_BG-09_13_Mumbai_-_15-02-98_IDesireTree.mp3</t>
  </si>
  <si>
    <t>1998-039_Srila_Bhaktisiddhanta_Saraswati_App_Day_Lecture_Mumbai_-_16-02-98_IDesireTree.mp3</t>
  </si>
  <si>
    <t>1998-040_Cunning_Mind_SB-05_11_17_Mayapur_-_Radhanath_Swami_1998-02-24_IDesireTree.mp3</t>
  </si>
  <si>
    <t>1998-042_Duties_in_Real_Varnashram_System_BG-03_06_32_Mumbai_-_01-03-98_IDesireTree.mp3</t>
  </si>
  <si>
    <t>1998-043_Just_Neglect_Your_Mind_SB-05_Mumbai_-_Radhanath_Swami_1998-03-01_IDesireTree.mp3</t>
  </si>
  <si>
    <t>1998-044_Overcoming_the_Three_Modes_BG-13_24_Mumbai_-_Radhanath_Swami_1998-03-03_IDesireTree.mp3</t>
  </si>
  <si>
    <t>1998-045_Praying-_The_Way_Lord_Brahma_Did_SB-03_09_40_Mumbai_-_04-03-98_IDesireTree.mp3</t>
  </si>
  <si>
    <t>1998-046_Setting_an_Ideal_Example_BG-02_23_Mumbai_-_Radhanath_Swami_1998-03-06_IDesireTree.mp3</t>
  </si>
  <si>
    <t>1998-047_Madhavendra_Puri_%26_Chaitanya_MahaPrabhu-_CC_Mumbai_-_08-03-98_IDesireTree.mp3</t>
  </si>
  <si>
    <t>1998-048_Attentive_Hearing_%26_Chanting_SB-03_06_37_Mumbai_-_08-03-98_IDesireTree.mp3</t>
  </si>
  <si>
    <t>1998-049_Bhakti_is_the_Only_Way_BG-07_01_Mumbai_-_Radhanath_Swami_1998-03-21_IDesireTree.mp3</t>
  </si>
  <si>
    <t>1998-050_Krishna_will_Definetly_Protect_SB-03_07_06_Mumbai_-_21-03-98_IDesireTree.mp3</t>
  </si>
  <si>
    <t>1998-051_Senses_Make_us_Miserable_SB-03_07_Mumbai_-_Radhanath_Swami_1998-03-22_IDesireTree.mp3</t>
  </si>
  <si>
    <t>1998-052_Philosophy_or_Foolosophy_BG-11_41-42_Kurukshetra_-_25-03-98_IDesireTree.mp3</t>
  </si>
  <si>
    <t>1998-053_Lord_Gauranga%27s_Lila_at_Rath_Yatra-_I_SB-_Kurukshetra_-_26-03-98_IDesireTree.mp3</t>
  </si>
  <si>
    <t>1998-054_Mind_the_Real_Cause_of_Suffering_BG-12_18-19_Mumbai_-_29-03-98_IDesireTree.mp3</t>
  </si>
  <si>
    <t>1998-055_Process_of_Devotional_Service_is_Gradual_SB-03_07_12_Mumbai_-_29-03-98_IDesireTree.mp3</t>
  </si>
  <si>
    <t>1998-056_Great_Kings-_Rantideva_%26_Dushyanta_SB-09_20_15-20_Mumbai_-_02-04-98_IDesireTree.mp3</t>
  </si>
  <si>
    <t>1998-057_To_Live_Without_Service_is_Impossible_Lecture_Mumbai_-_03-04-98_IDesireTree.mp3</t>
  </si>
  <si>
    <t>1998-059_Cleansing_the_Mirror_of_Mind_SB-05_14_05_Mayapur_-_12-04-98_IDesireTree.mp3</t>
  </si>
  <si>
    <t>1998-060_Real_Happiness_is_Krishna_Consiousness_SB-03_07_40_Mumbai_-_03-05-98_IDesireTree.mp3</t>
  </si>
  <si>
    <t>1998-061_Lord_is_Eternally_Hungry_for_His_Devotees_Love_Lecture_Mumbai_-_03-05-98_IDesireTree.mp3</t>
  </si>
  <si>
    <t>1998-062_Sincere_Desire_to_Serve_-_Please_Krishna_-_Radhanath_Swami_1998-05-05_IDesireTree.mp3</t>
  </si>
  <si>
    <t>1998-063_Srila_Prabhupada_Pastimes_Lecture_Mumbai_-_Radhanath_Swami_1998-05-07_IDesireTree.mp3</t>
  </si>
  <si>
    <t>1998-064_Attentively_Hearing_the_Sound_Vibration_SB-03_08_03_Mumbai_-_12-05-98_IDesireTree.mp3</t>
  </si>
  <si>
    <t>1998-065_Glories_of_Ganga_Devi_SB-03_08_04-05_Mumbai_-_Radhanath_Swami_1998-05-13_IDesireTree.mp3</t>
  </si>
  <si>
    <t>1998-066_Address_to_Brahmacaris-_I%26II_Lecture_Mumbai_-_Radhanath_Swami_1998-05-13_IDesireTree.mp3</t>
  </si>
  <si>
    <t>1998-067_Lecture_NV_-_Radhanath_Swami_1998-05-19_IDesireTree.mp3</t>
  </si>
  <si>
    <t>1998-068_SB-07_02_50_NV_-_Radhanath_Swami_1998-05-20_IDesireTree.mp3</t>
  </si>
  <si>
    <t>1998-069_Lord_Caitanya_Celebrating_Ratha_Yatra_Lecture_NV_-_21-05-98_IDesireTree.mp3</t>
  </si>
  <si>
    <t>1998-070_Indra%27s_Attachment_SB-3_25_16_NV_-_Radhanath_Swami_1998-05-25_IDesireTree.mp3</t>
  </si>
  <si>
    <t>1998-072_Pleasing_Krishna_With_Our_Humility_BG-08_07_Mumbai_-_19-07-98_IDesireTree.mp3</t>
  </si>
  <si>
    <t>1998-073_Total_Faith_in_Scriptures_SB-03_09_37_Mumbai_-_Radhanath_Swami_1998-07-20_IDesireTree.mp3</t>
  </si>
  <si>
    <t>1998-074_What_is_Real_Renunciation_Lecture_Mumbai_-_Radhanath_Swami_1998-07-21_IDesireTree.mp3</t>
  </si>
  <si>
    <t>1998-075_Real_Affection_SB-03_09_42_Mumbai_-_Radhanath_Swami_1998-07-26_IDesireTree.mp3</t>
  </si>
  <si>
    <t>1998-076_Ganges_of_the_Holy_Name_SB-03_13_44_Mumbai_-_Radhanath_Swami_1998-07-28_IDesireTree.mp3</t>
  </si>
  <si>
    <t>1998-077_Importance_of_Disciplic_Succession_SB-03_10_03_Mumbai_-_29-07-98_IDesireTree.mp3</t>
  </si>
  <si>
    <t>1998-078_Hare_Krishna_SB-03_10_04_Mumbai_-_Radhanath_Swami_1998-07-30_IDesireTree.mp3</t>
  </si>
  <si>
    <t>1998-079_You_Cannot_Satisfy_Each_%26_Every_Person_CC_ML-02_81_Mumbai_-_01-08-98_IDesireTree.mp3</t>
  </si>
  <si>
    <t>1998-080_The_Story_of_Banasura_BG-02_49_Mumbai_-_Radhanath_Swami_1998-08-01_IDesireTree.mp3</t>
  </si>
  <si>
    <t>1998-081_Demigods_Depend_on_Krishna_SB-03_5_37-38_Mumbai_-_15-08-98_IDesireTree.mp3</t>
  </si>
  <si>
    <t>1998-082_Reading_Prabhupada_Lilamrita_Lecture_Mumbai_-_Radhanath_Swami_1998-09-16_IDesireTree.mp3</t>
  </si>
  <si>
    <t>1998-083_Arrival_Address_Lecture_Mumbai_-_Radhanath_Swami_1998-09-18_IDesireTree.mp3</t>
  </si>
  <si>
    <t>1998-084_Becoming_Attached_to_Krishna_SB-03_12_42_Mumbai_-_19-09-98_IDesireTree.mp3</t>
  </si>
  <si>
    <t>1998-085_Hare_Krishna_SB-03_12_43_Mumbai_-_Radhanath_Swami_1998-09-20_IDesireTree.mp3</t>
  </si>
  <si>
    <t>1998-086_Marriage_Ceremony_Address_Lecture_Mumbai_-_Radhanath_Swami_1998-09-20_IDesireTree.mp3</t>
  </si>
  <si>
    <t>1998-087_Krishna_Lila_SB-10_Mumbai_-_Radhanath_Swami_1998-09-20_IDesireTree.mp3</t>
  </si>
  <si>
    <t>1998-088_Lecture_-_Radhanath_Swami_IDesireTree.mp3</t>
  </si>
  <si>
    <t>1998-089_Hare_Krishna_BG-07_06-07_Mumbai_-_Radhanath_Swami_1998-09-23_IDesireTree.mp3</t>
  </si>
  <si>
    <t>1998-090_Glories_of_Svayambhuva_Manu_SB-03_13_02-03_Mumbai_-_27-09-98_IDesireTree.mp3</t>
  </si>
  <si>
    <t>1998-091_Krishna_Lila_BG-08_14_Mumbai_-_Radhanath_Swami_1998-09-27_IDesireTree.mp3</t>
  </si>
  <si>
    <t>1998-092_Preach_Only_When_You_Receive_the_Order_Lecture_Mumbai_-_28-09-97_IDesireTree.mp3</t>
  </si>
  <si>
    <t>1998-093_Applying_Teachings_of_Ram_Lila_in_Our_Lives_Lecture_Belgaum_-_28-09-98_IDesireTree.mp3</t>
  </si>
  <si>
    <t>1998-094_Hare_Krishna_SB-03_32_40_Belgaum_-_Radhanath_Swami_1998-09-29_IDesireTree.mp3</t>
  </si>
  <si>
    <t>1998-095_Real_Solution_to_all_Material_Problem_BG-16_11-12_-_04-10-98_IDesireTree.mp3</t>
  </si>
  <si>
    <t>1998-096_Identify_Yourself_Properly_SB-03_02_29_Mumbai_-_Radhanath_Swami_1998-10-07_IDesireTree.mp3</t>
  </si>
  <si>
    <t>1998-097_Complexity_of_Modern_Civilization_Lecture_Pune_-_Radhanath_Swami_1998-10-07_IDesireTree.mp3</t>
  </si>
  <si>
    <t>1998-098_Bringing_the_Lord_Back_to_Our_Heart_BG-03_Nigdi_-_08-10-98_IDesireTree.mp3</t>
  </si>
  <si>
    <t>1998-099_No_Competition_in_Vaikuntha_SB-03_15_20_Mumbai_-_Radhanath_Swami_1998-11-04_IDesireTree.mp3</t>
  </si>
  <si>
    <t>1998-100_Becoming_Expert_With_Simplicity_SB-10_04_05_Mumbai_-_05-11-98_IDesireTree.mp3</t>
  </si>
  <si>
    <t>1998-101_Hare_Krishna_BG_05_20_Mumbai_-_08-11-98_IDesireTree.mp3</t>
  </si>
  <si>
    <t>1998-102_Performing_Our_Duties_With_Expertise_BG_03_23_Mumbai_-_10-11-98_IDesireTree.mp3</t>
  </si>
  <si>
    <t>1998-103_HareKrishna_MT_-_BG_02_55_Nasik_-_Radhanath_Swami_1998-11-18_IDesireTree.mp3</t>
  </si>
  <si>
    <t>1998-104_Bad_Association_is_Dangerous_SB-10_04_36_Mumbai_-_26-11-98_IDesireTree.mp3</t>
  </si>
  <si>
    <t>1998-105_Factors_While_Getting_Married_SB-03_14_19_Mumbai_-_28-11-98_IDesireTree.mp3</t>
  </si>
  <si>
    <t>1998-106_Focussing_the_Mind_on_the_Real_Purpose_of_Life_BG-02_28_Mumbai_-_28-11-98_IDesireTree.mp3</t>
  </si>
  <si>
    <t>1998-107_Lord_Siva%27s_Mercy_on_Daksa_SB-04_24_27-30_Mumbai_-_29-11-98_IDesireTree.mp3</t>
  </si>
  <si>
    <t>1998-108_Realization_With_My_Parents_Lecture_Mumbai_-_Radhanath_Swami_1998-12-02_IDesireTree.mp3</t>
  </si>
  <si>
    <t>1998-109_Soul%3B_One_of_Krishna%27s_Wonderful_Creation_BG_02_21_Mumbai_-_03-12-98_IDesireTree.mp3</t>
  </si>
  <si>
    <t>1998-110_Serving_the_Lord_with_Love_%26_Devotion_BG-08_15_Mumbai_-_04-12-98_IDesireTree.mp3</t>
  </si>
  <si>
    <t>1998-111_Best_Blessings_of_Demigods_SB-03_14_26_Mumbai_-_Radhanath_Swami_1998-12-06_IDesireTree.mp3</t>
  </si>
  <si>
    <t>1998-113_Offering_to_Srila_Bhaktisiddhantha_S_T_Lecture_Mumbai_-_07-12-98_IDesireTree.mp3</t>
  </si>
  <si>
    <t>1999-001_Putting_Krishna_in_the_Center_of_our_Lives_SB-04_09_01_Belgaum_-_01-01-99_IDesireTree.mp3</t>
  </si>
  <si>
    <t>1999-002_Hare_Krishna_Lecture_Mumbai_-_Radhanath_Swami_1999-01-02_IDesireTree.mp3</t>
  </si>
  <si>
    <t>1999-003_Glories_of_Srila_Advaita_Acharya_I_CC_Adi_1-_Mumbai_-_24-01-99_IDesireTree.mp3</t>
  </si>
  <si>
    <t>1999-004_Wedding_Ceremony_Address_Lecture_Mumbai_-_Radhanath_Swami_1999-01-25_IDesireTree.mp3</t>
  </si>
  <si>
    <t>1999-007_Pastimes_of_Srila_Ishwar_Puri_Lecture_Mumbai_-_Radhanath_Swami_1999-02-08_IDesireTree.mp3</t>
  </si>
  <si>
    <t>1999-009_The_Soul%27s_Eternal_Longing_for_Krishna_SB-03_15_41-42_Mumbai_-_20-02-99_IDesireTree.mp3</t>
  </si>
  <si>
    <t>1999-01-10_Various_-_What_it_Means_to_be_Vaishnava_-_Radhanath_Swami_Mumbai.mp3</t>
  </si>
  <si>
    <t>1999-010_Kanak_Kamini_%26_Pratistha_SB-03_15_43_Mumbai_-_Radhanath_Swami_1999-02-21_IDesireTree.mp3</t>
  </si>
  <si>
    <t>1999-012_Glorifying_our_Previous_Acaryas_Lecture_Pune_-_Radhanath_Swami_1999-02-25_IDesireTree.mp3</t>
  </si>
  <si>
    <t>1999-013_Hare_Krsna_Lecture_Pune_-_Radhanath_Swami_1999-02-25_IDesireTree.mp3</t>
  </si>
  <si>
    <t>1999-014_Questions_%26_Answers_Q%26A_Pune_-_Radhanath_Swami_1999-02-27_IDesireTree.mp3</t>
  </si>
  <si>
    <t>1999-015_Glories_of_Srila_Madhavendra_Puri-_I_CC_Adi-09_10_Pune_-_27-02-99_IDesireTree.mp3</t>
  </si>
  <si>
    <t>1999-016_Glories_of_Srila_Madhavendra_Puri_II_CC_Adi-09_10_Pune_-_27-02-99_IDesireTree.mp3</t>
  </si>
  <si>
    <t>1999-017_Lord_Chaitanya%27s_Sannyas_Lila_I_CC_Adi-07_21-38_Mumbai_-_02-03-99_IDesireTree.mp3</t>
  </si>
  <si>
    <t>1999-018_Gaura_Poornima_Celebration_Lecture_Mumbai_-_Radhanath_Swami_1999-03-02_IDesireTree.mp3</t>
  </si>
  <si>
    <t>1999-019_Glories_of_Mother_Ganga_Lecture_Mumbai_-_Radhanath_Swami_1999-03-12_IDesireTree.mp3</t>
  </si>
  <si>
    <t>1999-021_Dying-_Giving_Our_Lives_for_Krishna_BG_Mumbai_-_Radhanath_Swami_1999-03-14_IDesireTree.mp3</t>
  </si>
  <si>
    <t>1999-022_Touchstone_of_the_Holy_Name_Lecture_Mumbai_-_Radhanath_Swami_1999-03-15_IDesireTree.mp3</t>
  </si>
  <si>
    <t>1999-023_Lecture_Ram_Lila_-_Radhanath_Swami_1999-03-25_IDesireTree.mp3</t>
  </si>
  <si>
    <t>1999-024_SB-07_10_51-59_-_Radhanath_Swami_1999-03-26_new_IDesireTree.mp3</t>
  </si>
  <si>
    <t>1999-025_Marriage_Ceremony_Address_Lecture_Mumbai_-_Radhanath_Swami_1999-05-23_IDesireTree.mp3</t>
  </si>
  <si>
    <t>1999-026_Lecture_-_Radhanath_Swami_1999-05-25_IDesireTree.mp3</t>
  </si>
  <si>
    <t>1999-027_Understanding_Krishna%27s_Unlimited_Pastimes_SB-10_12_03_Mumbai_-_06-06-99_IDesireTree.mp3</t>
  </si>
  <si>
    <t>1999-028_Humility_of_Parikshit_Maharaj_SB-01_19_15_Mumbai_-_13-06-99_IDesireTree.mp3</t>
  </si>
  <si>
    <t>1999-029_Devotee_Must_be_Grateful_SB-03_19_36_Mumbai_-_Radhanath_Swami_1999-06-18_IDesireTree.mp3</t>
  </si>
  <si>
    <t>1999-030_Krsna%27s_Violent_Act_Purifies_Our_Heart_SB-03_19_37_Mumbai_-_19-06-99_IDesireTree.mp3</t>
  </si>
  <si>
    <t>1999-031_Benefits_of_Hearing_Srimad_Bhagavatam_SB-03_19_38_Mumbai_-_20-06-99_IDesireTree.mp3</t>
  </si>
  <si>
    <t>1999-033_Pride_Cometh_Before_the_Fall_BG-18_26_Mumbai_-_Radhanath_Swami_1999-06-22_IDesireTree.mp3</t>
  </si>
  <si>
    <t>1999-034_Srila_Prabhupada_Lilamrita_Reading_Lecture_Mumbai_-_24-06-99_IDesireTree.mp3</t>
  </si>
  <si>
    <t>1999-035_Hare_Krsna_Lecture_Belgaum_-_Radhanath_Swami_1999-07-01_IDesireTree.mp3</t>
  </si>
  <si>
    <t>1999-037_Danger_at_Every_Step_BG-__Mumbai_-_Radhanath_Swami_1999-07-04_IDesireTree.mp3</t>
  </si>
  <si>
    <t>1999-038_Everything_Is_Dependent_On_Krsna_SB-03-20-16_Mumbai_-_04-07-99_IDesireTree.mp3</t>
  </si>
  <si>
    <t>1999-039_Surrendering_Krsna_With_Full_Devotion_Lecture_Nasik_-_07-07-99_IDesireTree.mp3</t>
  </si>
  <si>
    <t>1999-040_Focussing_Our_Energy_In_Service_of_the_Lord_BG-05_12_Mumbai_-_09-07-99_IDesireTree.mp3</t>
  </si>
  <si>
    <t>1999-042_Happiness_in_Krishna_Consciousness_BG-09_13_Mumbai_-_10-07-99_IDesireTree.mp3</t>
  </si>
  <si>
    <t>1999-043_Eager_%26_Enthusiastic_to_Serve_the_Deity_Lecture_Mumbai_-_18-07-99_IDesireTree.mp3</t>
  </si>
  <si>
    <t>1999-044_Offering_to_HG_Abhiram_Gopal_Thakur_Lecture_Mumbai_-_19-07-99_IDesireTree.mp3</t>
  </si>
  <si>
    <t>1999-045_Hare_Krishna_SB-03_20_32_Mumbai_-_Radhanath_Swami_1999-07-20_IDesireTree.mp3</t>
  </si>
  <si>
    <t>1999-046_Realization_of_Jagannath_Puri_Yatra_Lecture_Mumbai_-_20-07-99_IDesireTree.mp3</t>
  </si>
  <si>
    <t>1999-047_Tapasya_Is_The_Basic_Element_Of_Bhakti_SB-03_20_32-34_Mumbai_-_20-07-99_IDesireTree.mp3</t>
  </si>
  <si>
    <t>1999-048_Apperance_of_Radha_Kund_Lecture_Mumbai_-_Radhanath_Swami_1999-10-31_IDesireTree.mp3</t>
  </si>
  <si>
    <t>1999-049_Relation_Between_Husband_%26_Wife_-_Radhanath_Swami_IDesireTree.mp3</t>
  </si>
  <si>
    <t>1999-051_Preaching_is_the_Basis_of_our_Movement_SB-10_02_19_Vrindavan_-_20-11-99_IDesireTree.mp3</t>
  </si>
  <si>
    <t>1999-052_Glories_of_Bhismadev_Lecture_Kurukshetra_-_Radhanath_Swami_1999-11-25_IDesireTree.mp3</t>
  </si>
  <si>
    <t>1999-053_Exemplary_Life_of_Maharaj_Janak_BG-03_20_Kurukshetra_-_25-11-99_IDesireTree.mp3</t>
  </si>
  <si>
    <t>1999-054_History_%26_Contents_of_Bhagavad_Gita_BG-01_01_Kurukshetra_-_25-11-99_IDesireTree.mp3</t>
  </si>
  <si>
    <t>1999-055_Lords_Mercy_to_Cross_this_Material_World_BG-07_14_Kurukshetra_-_26-11-99_IDesireTree.mp3</t>
  </si>
  <si>
    <t>1999-056_Lecture_Mumbai_-_Radhanath_Swami_1999-12-04_IDesireTree.mp3</t>
  </si>
  <si>
    <t>1999-058_Krishna_Gives_What_is_Best_for_His_Devotees_Lecture_Kolhapur_-_05-12-99_IDesireTree.mp3</t>
  </si>
  <si>
    <t>1999-059_Treasure_Of_The_Lotus_Feet_Of_Lord_Krsna_Lecture_Mumbai_-_05-12-99_IDesireTree.mp3</t>
  </si>
  <si>
    <t>1999-060_Lecture_Mumbai_-_Radhanath_Swami_1999-12-07_IDesireTree.mp3</t>
  </si>
  <si>
    <t>1999-061_Original_Book_Distribution_BG-07_27_Mumbai_-_Radhanath_Swami_1999-12-12_IDesireTree.mp3</t>
  </si>
  <si>
    <t>1999-062_Following_In_The_Footstep_Of_Arjuna_I_BG_18_64-66_Mumbai_-_19-12-99_IDesireTree.mp3</t>
  </si>
  <si>
    <t>1999-063_Deliverance_of_Nalakuvera_%26_Manigriva_Lecture_Mumbai_-_24-12-99_IDesireTree.mp3</t>
  </si>
  <si>
    <t>1999-064_Maya_Seizes_an_Offender_SB-06_09_43_Mumbai_-_Radhanath_Swami_1999-12-27_IDesireTree.mp3</t>
  </si>
  <si>
    <t>1999-065_Kaliyuga_Gets_Maximum_Mercy_Lecture_Mumbai_-_Radhanath_Swami_1999-12-31_IDesireTree.mp3</t>
  </si>
  <si>
    <t>1999-066_Marriage_Ceremony_Nityalila_M_-_Radhanath_Swami_IDesireTree.mp3</t>
  </si>
  <si>
    <t>2000-002_Marriage_Ceremony_Address_Lecture_Mumbai_-_Radhanath_Swami_2000-01-01_IDesireTree.mp3</t>
  </si>
  <si>
    <t>2000-003_The_True_Purpose_of_Life-_MT_Marriage_Address_Mumbai_-_01-01-00_IDesireTree.mp3</t>
  </si>
  <si>
    <t>2000-004_Our_Lives_In_Chaos_Lecture_Mumbai_-_Radhanath_Swami_2000-01-08_IDesireTree.mp3</t>
  </si>
  <si>
    <t>2000-005_Life_of_Srila_Jiva_Goswami_Lecture_Mumbai_-_Radhanath_Swami_2000-01-09_IDesireTree.mp3</t>
  </si>
  <si>
    <t>2000-006_Beware_of_Maya%27s_Hijackers_Lecture_Mumbai_-_Radhanath_Swami_2000-01-12_IDesireTree.mp3</t>
  </si>
  <si>
    <t>2000-007_Don%27t_be_Like_Dogs_Hogs_Camels_%26_Asses_SB-3_2_19_Mumbai_-_13-01-00_IDesireTree.mp3</t>
  </si>
  <si>
    <t>2000-008_The_Age_of_Kali_Lecture_Mumbai_-_Radhanath_Swami_2000-01-14_IDesireTree.mp3</t>
  </si>
  <si>
    <t>2000-009_Questions_%26_Answers_Q%26A_Udipi_-_Radhanath_Swami_2000-01-18_IDesireTree.mp3</t>
  </si>
  <si>
    <t>2000-010_Life_%26_Teachings_of_Srila_Madhavacarya-_Part_1_Lecture_Udipi_-_20-01-00_IDesireTree.mp3</t>
  </si>
  <si>
    <t>2000-011_Life_%26_Teachings_of_Srila_Madhavacarya-_Part_2_Lecture_Udipi_-_20-01-00_IDesireTree.mp3</t>
  </si>
  <si>
    <t>2000-012_Hare_Krishna_LectureKarnataka_-_Radhanath_Swami_2000-01-21_IDesireTree.mp3</t>
  </si>
  <si>
    <t>2000-014_No_Newspapers_in_Hell_Lecture_Belgaum_-_Radhanath_Swami_2000-01-23_IDesireTree.mp3</t>
  </si>
  <si>
    <t>2000-015_Marriage_Address_Lecture_Mumbai_-_Radhanath_Swami_2000-01-26_doubtful_IDesireTree.mp3</t>
  </si>
  <si>
    <t>2000-016_LNHO-_A_Real_Example_of_True_Indians-_Lecture_Mumbai_-_26-01-00_IDesireTree.mp3</t>
  </si>
  <si>
    <t>2000-017_Contribution_of_The_Gaudiya_Vaisnava_Acharyas_Lecture_Mumbai_-_2000-01-29_IDesireTree.mp3</t>
  </si>
  <si>
    <t>2000-018_Pushya_Abhishek_Lecture_Mumbai_-_Radhanath_Swami_2000-01-31_IDesireTree.mp3</t>
  </si>
  <si>
    <t>2000-019_Following_Guru_Parampara_SB-01_03_42_Mumbai_-_Radhanath_Swami_2000-02-03_IDesireTree.mp3</t>
  </si>
  <si>
    <t>2000-020_Futility_of_Material_Pleasure_SB-3_25_13_Mumbai_-_05-02-00_IDesireTree.mp3</t>
  </si>
  <si>
    <t>2000-021_Marriage_ceremony_address_Lecture_Mumbai_-_Radhanath_Swami_2000-02-05_IDesireTree.mp3</t>
  </si>
  <si>
    <t>2000-022_Qualification_to_Understand_the_Truth_SB-03_25_14_Mumbai_-_06-02-00_IDesireTree.mp3</t>
  </si>
  <si>
    <t>2000-023_Glories_of_the_Hare_Krishna_Movement_Lecture_Mumbai_-_06-02-00_IDesireTree.mp3</t>
  </si>
  <si>
    <t>2000-024_Marriage_In_Krsna_Conscious_Is_Renunciation_Lecture_Mumbai_-_07-02-2000_IDesireTree.mp3</t>
  </si>
  <si>
    <t>2000-025_Seeing_Everything_Positively_Lecture_Mumbai_-_Radhanath_Swami_2000-02-08_IDesireTree.mp3</t>
  </si>
  <si>
    <t>2000-026_Unlimited_Happiness_by_Surrendering_to_Krsna_SB_1_-_Radhanath_Swami_IDesireTree.mp3</t>
  </si>
  <si>
    <t>2000-027_Lecture_Los_Angeles_-_Radhanath_Swami_2000-02-10_IDesireTree.mp3</t>
  </si>
  <si>
    <t>2000-028_Arrival_Address_Lecture_Pune_-_Radhanath_Swami_2000-02-10_IDesireTree.mp3</t>
  </si>
  <si>
    <t>2000-029_Life_%26_Teachings_of_Srila_Sanatana_Goswami_Lecture_Pune_-_12-02-00_Part_1_IDesireTree.mp3</t>
  </si>
  <si>
    <t>2000-030_Life_%26_Teachings_of_Srila_Sanatana_Goswami_Lecture_Pune_-_12-02-00_Part_2_IDesireTree.mp3</t>
  </si>
  <si>
    <t>2000-031_Questions_%26_Answers-_I_Q%26A_Pune_-_Radhanath_Swami_2000-02-13_Part_1_IDesireTree.mp3</t>
  </si>
  <si>
    <t>2000-032_Questions_%26_Answers-_I_Q%26A_Pune_-_Radhanath_Swami_2000-02-13_Part_2_IDesireTree.mp3</t>
  </si>
  <si>
    <t>2000-033_Glories_of_Lord_Nityananda_Lecture_Mumbai_-_Radhanath_Swami_2000-02-17_IDesireTree.mp3</t>
  </si>
  <si>
    <t>2000-034_Real_Control_of_Mind_BG-06_-_Radhanath_Swami_IDesireTree.mp3</t>
  </si>
  <si>
    <t>2000-035_Srila_Narottam_Das_Thakur_Lecture_Mumbai_-_Radhanath_Swami_2000-02-20_IDesireTree.mp3</t>
  </si>
  <si>
    <t>2000-036_Line_2000-02-24_-_Radhanath_Swami_IDesireTree.mp3</t>
  </si>
  <si>
    <t>2000-037_Pre_Initiation_Lec_Lecture_Mumbai_-_Radhanath_Swami_2000-03-05_IDesireTree.mp3</t>
  </si>
  <si>
    <t>2000-038_Questions_%26_Answers_Q%26A_Mumbai_-_Radhanath_Swami_2000-03-05_IDesireTree.mp3</t>
  </si>
  <si>
    <t>2000-039_How_Bhagavad_Gita_is_an_Open_Secret_Lecture_Mumbai_-_12-03-00_IDesireTree.mp3</t>
  </si>
  <si>
    <t>2000-040_Condolence_Message_Mrs_Dalal_Lecture_Mumbai_-_Radhanath_Swami_2000-03-16_IDesireTree.mp3</t>
  </si>
  <si>
    <t>2000-041_Gaura_Poornima_Celebrations_Lecture_Mumbai_-_Radhanath_Swami_2000-03-19_IDesireTree.mp3</t>
  </si>
  <si>
    <t>2000-042_Gaura_Poornima_Celebrations_Lecture_Mumbai_-_Radhanath_Swami_2000-03-20_IDesireTree.mp3</t>
  </si>
  <si>
    <t>2000-043_Initiation_Lecture_Lecture_Mumbai_-_Radhanath_Swami_2000-03-21_IDesireTree.mp3</t>
  </si>
  <si>
    <t>2000-044_Jagannath_Misra_Festival_Initiation_Lecture-_I_-_21-03-00_Chek_IDesireTree.mp3</t>
  </si>
  <si>
    <t>2000-045_Placing_Our_Full_Faith_in_Krishna_SB-03_26_07_Mumbai_-_25-03-00_IDesireTree.mp3</t>
  </si>
  <si>
    <t>2000-046_Marriage_Ceremony_Address_Lecture_Mumbai_-_Radhanath_Swami_2000-03-25_IDesireTree.mp3</t>
  </si>
  <si>
    <t>2000-047_Lecture_Chicago_-_Radhanath_Swami_2000-04-24_IDesireTree.mp3</t>
  </si>
  <si>
    <t>2000-048_SB-08_-_Radhanath_Swami_IDesireTree.mp3</t>
  </si>
  <si>
    <t>2000-049_BG-09_-_Radhanath_Swami_IDesireTree.mp3</t>
  </si>
  <si>
    <t>2000-050_SB_-_Radhanath_Swami_IDesireTree.mp3</t>
  </si>
  <si>
    <t>2000-053_Simplicity_%26_Sincerity_of_the_Heart_SB-01_08_20_Mumbai_-_17-08-00_IDesireTree.mp3</t>
  </si>
  <si>
    <t>2000-055_Poverty_of_the_Heart_SB-03_29_17_Mumbai_-_Radhanath_Swami_2000-08-20_IDesireTree.mp3</t>
  </si>
  <si>
    <t>2000-057_The_Appearance_of_Lord_Krishna-_I_SB-10_-_Radhanath_Swami_IDesireTree.mp3</t>
  </si>
  <si>
    <t>2000-058_Vyas_Puja_Offering_Lecture_Mumbai_-_Radhanath_Swami_2000-08-24_IDesireTree.mp3</t>
  </si>
  <si>
    <t>2000-059_Wonderful_Appearance_of_Lord_Krishna_Lecture_Mumbai_-_25-08-00_IDesireTree.mp3</t>
  </si>
  <si>
    <t>2000-060_Firm_Conviction_in_Lord_Krishna_BG-07_30_Mumbai_-_26-08-00_IDesireTree.mp3</t>
  </si>
  <si>
    <t>2000-061_Charming_Vrindavan_Pastimes_of_Lord_Krishna-_II_S_Feast_Lecture_-_27-08-00_IDesireTree.mp3</t>
  </si>
  <si>
    <t>2000-062_The_Only_True_Wealth_Is_Bhakti_SB-03_29_20_Mumbai_-_27-8-2000_IDesireTree.mp3</t>
  </si>
  <si>
    <t>2000-063_Genuine_Compassion_Please_Krishna_SB-03_29_26_Mumbai_-_03-09-00_IDesireTree.mp3</t>
  </si>
  <si>
    <t>2000-064_Taking_Care_of_Each_%26_Every_Devotee_Sunday_Feast_Mumbai_-_03-09-00_IDesireTree.mp3</t>
  </si>
  <si>
    <t>2000-068_SB_05_-_Radhanath_Swami_IDesireTree.mp3</t>
  </si>
  <si>
    <t>2000-069_BG_03_-_Radhanath_Swami_IDesireTree.mp3</t>
  </si>
  <si>
    <t>2000-070_SB_05_-_Radhanath_Swami_IDesireTree.mp3</t>
  </si>
  <si>
    <t>2000-071_SB_05_-_Radhanath_Swami_IDesireTree.mp3</t>
  </si>
  <si>
    <t>2000-072_SB_05_-_Radhanath_Swami_IDesireTree.mp3</t>
  </si>
  <si>
    <t>2000-073_Lecture_Oskorblenie_Predannogo_-_Radhanath_Swami_2000-10-14_IDesireTree.mp3</t>
  </si>
  <si>
    <t>2000-074_Lecture_-_Radhanath_Swami_2000-10-15_IDesireTree.mp3</t>
  </si>
  <si>
    <t>2000-075_SB_05_-_Radhanath_Swami_IDesireTree.mp3</t>
  </si>
  <si>
    <t>2000-076_Lecture_-_Radhanath_Swami_2000-10-17_IDesireTree.mp3</t>
  </si>
  <si>
    <t>2000-077_Narottam_Das_Thakur_Lecture_-_Radhanath_Swami_2000-10-17_IDesireTree.mp3</t>
  </si>
  <si>
    <t>2000-078_Narottam_Das_Thakur_Lecture_-_Radhanath_Swami_2000-10-17_IDesireTree.mp3</t>
  </si>
  <si>
    <t>2000-079_Lecture_Iniciacia_-_Radhanath_Swami_2000-10-18_Nir_IDesireTree.mp3</t>
  </si>
  <si>
    <t>2000-080_Krishna_-_The_Lifter_of_Govardhan_Hill-I_SB-10_26_05_Mumbai_-_28-10-00_IDesireTree.mp3</t>
  </si>
  <si>
    <t>2000-081_Krishna_-_The_Lifter_of_Govardhan_Hill-II_SB-10_26_05_Mumbai_-_28-10-00_IDesireTree.mp3</t>
  </si>
  <si>
    <t>2000-082_What_it_Means_to_be_Para_Dukh-Dukhi_SB-03_31_02_Mumbai_-_29-10-00_IDesireTree.mp3</t>
  </si>
  <si>
    <t>2000-083_Lalashmayi_Prarthana-_I_Sun_Feast_Mumbai_-_Radhanath_Swami_2000-10-29_IDesireTree.mp3</t>
  </si>
  <si>
    <t>2000-084_Lalashmayi_Prarthana-_II_Sun_Feast_Mumbai_-_Radhanath_Swami_2000-10-29_IDesireTree.mp3</t>
  </si>
  <si>
    <t>2000-085_Offering_to_Srila_Prabhupada_At_Radha_Gopinath_Temple_-_31-10-00_IDesireTree.mp3</t>
  </si>
  <si>
    <t>2000-087_Gadadhar_Pandit_%26_Shrinivas_Acharya_Lecture_Mumbai_-_05-11-00_IDesireTree.mp3</t>
  </si>
  <si>
    <t>2000-088_Drama_Realisation_Lecture_Mumbai_-_Radhanath_Swami_2000-11-10_IDesireTree.mp3</t>
  </si>
  <si>
    <t>2000-089_Krishna_is_the_Friend_of_all_Living_Entity_SB-03_31_14_Mumbai_-_11-11-00_IDesireTree.mp3</t>
  </si>
  <si>
    <t>2000-091_Offering_to_HG_Gopi_Vallabh_Prabhu_Lecture_Mumbai_-_12-11-00_IDesireTree.mp3</t>
  </si>
  <si>
    <t>2000-093_Grihastha_Life_Meance_To_Sacrifice_For_Krsna_Lecture_Mumbai_-_24-11-2000_IDesireTree.mp3</t>
  </si>
  <si>
    <t>2000-094_Loving_Relationship_Between_Lord_%26_his_devotees_LectureMumbai_-_25-11-00_IDesireTree.mp3</t>
  </si>
  <si>
    <t>2000-097_Marriage_address_Lecture_Mumbai_-_Radhanath_Swami_2000-12-02_IDesireTree.mp3</t>
  </si>
  <si>
    <t>2000-099_Depending_Fully_upon_krsnas_Mercy_BG-03_30_Mumbai_-_09-12-00_IDesireTree.mp3</t>
  </si>
  <si>
    <t>2000-100_Devotee_Simply_Wants_to_Serve_KrsnaLecture_Mumbai_-_10-12-00_IDesireTree.mp3</t>
  </si>
  <si>
    <t>2000-101_Glories_of_Srila_Bhaktisiddhanta_Sraswati_Thakur_Lecture_Mumbai_-_14-12-00_IDesireTree.mp3</t>
  </si>
  <si>
    <t>2000-102_Marriage_Address_Lecture_Mumbai_-_Radhanath_Swami_2000-12-16_IDesireTree.mp3</t>
  </si>
  <si>
    <t>2000-103_Lord_Caitanya_Relishing_The_Love_Of_Sri_Radha_CC_-_Radhanath_Swami_IDesireTree.mp3</t>
  </si>
  <si>
    <t>2000-104_Marriage_Ceremony_Address_Lecture_Mumbai_-_Radhanath_Swami_2000-12-01_IDesireTree.mp3</t>
  </si>
  <si>
    <t>2000-105_Marriage_Ceremony_Address_Lecture_Mumbai_-_Radhanath_Swami_2000-12-02_IDesireTree.mp3</t>
  </si>
  <si>
    <t>2000-106_Renouncing_Sexlife_For_the_Service_Of_Krsna_SB-03_31_35_Mumbai_-_02-12-00_IDesireTree.mp3</t>
  </si>
  <si>
    <t>2000-107_Marriage_Ceremony_Address_Lecture_Mumbai_-_Radhanath_Swami_2000-12-16_IDesireTree.mp3</t>
  </si>
  <si>
    <t>2001-001_Rath_Yatra_Lec_Lecture_-_Radhanath_Swami_2001-01-05_IDesireTree.mp3</t>
  </si>
  <si>
    <t>2001-002_Real_Renunciation_Means_To_Please_Krishna_SB-03_32_23_Mumbai_-_07-01-01_IDesireTree.mp3</t>
  </si>
  <si>
    <t>2001-003_SB-10_15_12_Vrindavan_-_Radhanath_Swami_2001-01-11_IDesireTree.mp3</t>
  </si>
  <si>
    <t>2001-004_SB_Class_Allahabad_-_Radhanath_Swami_2001-01-13_IDesireTree.mp3</t>
  </si>
  <si>
    <t>2001-005_Lecture_-_Radhanath_Swami_2001-01-13_IDesireTree.mp3</t>
  </si>
  <si>
    <t>2001-006_Lecture_Allahabad_-_Radhanath_Swami_2001-01-15_IDesireTree.mp3</t>
  </si>
  <si>
    <t>2001-007_Lecture_-_Radhanath_Swami_2001-01-17_IDesireTree.mp3</t>
  </si>
  <si>
    <t>2001-008_Lecture_Mumbai_-_Radhanath_Swami_2001-01-21_IDesireTree.mp3</t>
  </si>
  <si>
    <t>2001-009_Pastimes_Of_Lord_Caitanya-1_SB_-_Pune_-_Radhanath_Swami_2001-01-27_IDesireTree.mp3</t>
  </si>
  <si>
    <t>2001-010_Pastimes_Of_Lord_Caitanya-2_SB_-_Pune_-_Radhanath_Swami_2001-01-27_IDesireTree.mp3</t>
  </si>
  <si>
    <t>2001-011_Understanding_What_Is_Real_Happiness_BG_-_Radhanath_Swami_IDesireTree.mp3</t>
  </si>
  <si>
    <t>2001-012_Advaita_Acharya_The_Real_Acharya_SB-03_33_06_Mumbai_-_01-02-2001_IDesireTree.mp3</t>
  </si>
  <si>
    <t>2001-013_3_Kinds_Of_Devotees_Benedicted_Lecture_Mumbai_-_Radhanath_Swami_2001-02-03_IDesireTree.mp3</t>
  </si>
  <si>
    <t>2001-014_Bhakti_Free_From_Motivations_Lecture_Mumbai_-_Radhanath_Swami_2001-02-04_IDesireTree.mp3</t>
  </si>
  <si>
    <t>2001-015_Krishna_The_Reservoir_Of_Pleasure_Lecture_Mayapur_-_09-02-01_IDesireTree.mp3</t>
  </si>
  <si>
    <t>2001-016_Establishing_Unity_In_Diversity_SB-04_01_04_Mumbai_-_03-03-01_IDesireTree.mp3</t>
  </si>
  <si>
    <t>2001-017_Why_Study_The_Life_Of_Great_Souls_SB-01_13_05_Mumbai_-_12-04-01_IDesireTree.mp3</t>
  </si>
  <si>
    <t>2001-019_Effects_And_Consequence_Of_Anger_On_Daksha_SB-04_02_23-24_Mumbai_-_15-04-01_IDesireTree.mp3</t>
  </si>
  <si>
    <t>2001-020_Glories_Of_Srila_Prabhupad_And_Abhiram_Thakur_Lecture_Mumbai_-_15-04-2001_IDesireTree.mp3</t>
  </si>
  <si>
    <t>2001-021_The_Inner_mood_of_lord_shiva_SB-03_02_29_Mumbai_-_21-04-01_IDesireTree.mp3</t>
  </si>
  <si>
    <t>2001-023_Durlabha_Manav_Janma_Lecture_Mumbai_-_Radhanath_Swami_2001-04-22_IDesireTree.mp3</t>
  </si>
  <si>
    <t>2001-024_Lecture_London_-_Radhanath_Swami_2001-04-25_IDesireTree.mp3</t>
  </si>
  <si>
    <t>2001-025_Living_By_The_Principle_Die_To_Live_SB-04_04_24_Mumbai_-_17-6-01_IDesireTree.mp3</t>
  </si>
  <si>
    <t>2001-026_Secrets_Of_Revealed_Thru_Srivas_Thakur_I_Lecture_Mumbai_-_17-06-01_IDesireTree.mp3</t>
  </si>
  <si>
    <t>2001-027_Lord_Caitanya_And_Rath_Yatra_Lecture_Mumbai_-_Radhanath_Swami_2001-06-17_IDesireTree.mp3</t>
  </si>
  <si>
    <t>2001-028_Wonderful_Lila_Of_Lord_Krishna_SB-04_05_13-21_Mumbai_-_07-07_-2001_IDesireTree.mp3</t>
  </si>
  <si>
    <t>2001-029_Become_Loyal_To_Srila_Prabhupad_lecture_Mumbai_-_Radhanath_Swami_2001-07-08_IDesireTree.mp3</t>
  </si>
  <si>
    <t>2001-031_Initiation_Lecture_Mumbai_-_Radhanath_Swami_2001-07-14_IDesireTree.mp3</t>
  </si>
  <si>
    <t>2001-032_Inititation_Lecture_Mumbai_-_Radhanath_Swami_2001-07-15_IDesireTree.mp3</t>
  </si>
  <si>
    <t>2001-033_Cultivate_Right_Spirit_For_Chanting_Lecture_Mumbai_-_15_07_01_IDesireTree.mp3</t>
  </si>
  <si>
    <t>2001-034_SB-06_01_44_Moscow_-_Radhanath_Swami_2001-07-30_IDesireTree.mp3</t>
  </si>
  <si>
    <t>2001-035_Remember_Srila_Prabhupada_Lecture_Moscow_-_Radhanath_Swami_2001-07-30_IDesireTree.mp3</t>
  </si>
  <si>
    <t>2001-036_Rupa_Goswami_Lecture_Moscow_-_Radhanath_Swami_2001-07-31_IDesireTree.mp3</t>
  </si>
  <si>
    <t>2001-037_Rupa_Goswami_Lecture_Moscow_-_Radhanath_Swami_31_IDesireTree.mp3</t>
  </si>
  <si>
    <t>2001-038_Rupa_Goswami_Lecture_Moscow_-_Radhanath_Swami_2001-08-01_IDesireTree.mp3</t>
  </si>
  <si>
    <t>2001-039_Lecture_Mosocw_-_Radhanath_Swami_2001-08-03_IDesireTree.mp3</t>
  </si>
  <si>
    <t>2001-040_Saniyas_Initiation_Lecture_Moscow_-_2001-08-04_IDesireTree.mp3</t>
  </si>
  <si>
    <t>2001-041_SB-60_01_47_Moscow_-_Radhanath_Swami_2001-08-05_IDesireTree.mp3</t>
  </si>
  <si>
    <t>2001-042_Lecture_Kiev_-_Radhanath_Swami_2001-08-06_IDesireTree.mp3</t>
  </si>
  <si>
    <t>2001-043_Lecture_Kiev_-_Radhanath_Swami_2001-08-07_IDesireTree.mp3</t>
  </si>
  <si>
    <t>2001-044_SB-07_09_19_Kiev_-_Radhanath_Swami_2001-08-08_IDesireTree.mp3</t>
  </si>
  <si>
    <t>2001-045_Lecture_Kiev_-_Radhanath_Swami_2001-08-08_IDesireTree.mp3</t>
  </si>
  <si>
    <t>2001-046_SB-07_09_20_Kiev_-_Radhanath_Swami_2001-08-09_IDesireTree.mp3</t>
  </si>
  <si>
    <t>2001-047_Arrival_Lec_Lecture_Mumbai_-_Radhanath_Swami_2001-10-31_IDesireTree.mp3</t>
  </si>
  <si>
    <t>2001-048_Extingushing_The_Fire_Of_Material_Exsistance_Lecture_Mumbai_-_31-10-01_IDesireTree.mp3</t>
  </si>
  <si>
    <t>2001-050_Meaning_Of_Rasa_Lila_Lecture_Mumbai_-_Radhanath_Swami_2001-11-01_IDesireTree.mp3</t>
  </si>
  <si>
    <t>2001-051_Importance_Of_Training_%26_Discipline_SB-04_08_36_Mumbai_-_03-11-01_IDesireTree.mp3</t>
  </si>
  <si>
    <t>2001-052_Damodar_Lila_Of_Krsna_Lecture_London_-_Radhanath_Swami_2001-11-04_IDesireTree.mp3</t>
  </si>
  <si>
    <t>2001-053_Drama_Realisation_Lec_Lecture_Mumbai_-_Radhanath_Swami_2001-12-01_IDesireTree.mp3</t>
  </si>
  <si>
    <t>2001-054_Memories_Of_George_Harrison_Lecture_Mumbai_-_Radhanath_Swami_2001-12-02_IDesireTree.mp3</t>
  </si>
  <si>
    <t>2001-055_Real_Fortune_Is_Bhakti_Lecture_Mumbai_-_Radhanath_Swami_2001-12-07_IDesireTree.mp3</t>
  </si>
  <si>
    <t>2001-056_The_Desperate_Need_To_Take_Shelter_Of_Krsna_SB-04_08_79_Mumbai_-_08-12-01_IDesireTree.mp3</t>
  </si>
  <si>
    <t>2001-058_Real_Opulance_Is_Association_Of_Devotees_BG-01_08_Mumbai_-_09-12-01_IDesireTree.mp3</t>
  </si>
  <si>
    <t>2001-059_Vyas_Puja_Add_Lecture_Mumbai_-_Radhanath_Swami_2001-12-131_IDesireTree.mp3</t>
  </si>
  <si>
    <t>2001-06-16_Various_-_Devotee_care_system_for_the_UK-01_-_Radhanath_Swami_London.mp3</t>
  </si>
  <si>
    <t>2001-06-16_Various_-_Devotee_care_system_for_the_UK-02_-_Radhanath_Swami_London.mp3</t>
  </si>
  <si>
    <t>2001-060_Seeing_Krishna_Through_Faith_SB-04_09_02_-_Radhanath_Swami_2001-12-15_IDesireTree.mp3</t>
  </si>
  <si>
    <t>2001-061_Ecstacy_Through_Spiritualised_Senses_SB-04_09_03_Mumbai_-_16-12-01_IDesireTree.mp3</t>
  </si>
  <si>
    <t>2001-062_Killing_The_Serpent_Of_Impersonalism_Lecture_Mumbai_-_16-12-01_IDesireTree.mp3</t>
  </si>
  <si>
    <t>2001-063_Value_Of_Association_Of_Devotees_SB-01_18_13_Mumbai_-_20-12-01_IDesireTree.mp3</t>
  </si>
  <si>
    <t>2001-064_Make_Your_Desire_One_With_Krsna_SB_Class_Mumbai_-_22-12-01_IDesireTree.mp3</t>
  </si>
  <si>
    <t>2001-067_Power_Of_The_Mercy_Of_The_Holy_Name_SB-01_18_19_Mumbai_-_27-12-01_IDesireTree.mp3</t>
  </si>
  <si>
    <t>2001-069_Book_Distribution_Nectar_Lecture_Mumbai_-_Radhanath_Swami_2001-12-29_IDesireTree.mp3</t>
  </si>
  <si>
    <t>2001-071_Overcoming_Sankachuda_Lecture_Mumbai_-_Radhanath_Swami_2001-12-30_IDesireTree.mp3</t>
  </si>
  <si>
    <t>2001-072_Getting_Purified_On_New_Years_Eve_Lecture_Mumbai_-_31-12-01_IDesireTree.mp3</t>
  </si>
  <si>
    <t>2001-08-03_Various_-_Developing_the_Consciousness_of_Family_Spirit_-_Radhanath_Swami_Moscow.mp3</t>
  </si>
  <si>
    <t>2001-08-10_Various_-_Devotees_are_the_Goldest_Assets-01_-_Radhanath_Swami_New_Vraj_Dham.mp3</t>
  </si>
  <si>
    <t>2001-08-10_Various_-_Devotees_are_the_Goldest_Assets-02_-_Radhanath_Swami_New_Vraj_Dham.mp3</t>
  </si>
  <si>
    <t>2001-08-25_SB_04-30-08_-_Developing_Proper_Relationship_Amongst_Devotees_-_Radhanath_Swami_Italy.mp3</t>
  </si>
  <si>
    <t>2002-001_Srila_Bhaktisiddhanta_Saraswati_Disapp_-_Radhanath_Swami_IDesireTree.mp3</t>
  </si>
  <si>
    <t>2002-002_Sweet_Memories_of_George_Harrison_SB-01_18_26_Mumbai_-_03-01-02_IDesireTree.mp3</t>
  </si>
  <si>
    <t>2002-004_Lord_Caitanya_%26_Rath_Yatra_Lecture_Mumbai_-_Radhanath_Swami_2002-01-05_IDesireTree.mp3</t>
  </si>
  <si>
    <t>2002-005_Lord_Caitanya_Celebrating_Rath_Yatra_CC_Mumbai_-_Radhanath_Swami_2002-01-05_IDesireTree.mp3</t>
  </si>
  <si>
    <t>2002-006_Nature_of_spiritual_Anxiety_SB_04_09_22_Mumbai_-_Radhanath_Swami_2002-01-06_IDesireTree.mp3</t>
  </si>
  <si>
    <t>2002-007_Shyamsunder_Prabhu_Remembers_George_Harrison_Lecture_Mumbai_-_06-01-02_IDesireTree.mp3</t>
  </si>
  <si>
    <t>2002-008_Looking_For_An_Every_Opportunity_To_See_Krsna_Lecture_Mumbai_-_08-01-02_IDesireTree.mp3</t>
  </si>
  <si>
    <t>2002-009_Book_Distribution_Of_Address_Lecture_Mumbai_-_Radhanath_Swami_2002-01-10_IDesireTree.mp3</t>
  </si>
  <si>
    <t>2002-01-13_SB_04-09-29_-_What_is_a_true_Substance_of_a_Vaishnava_-_Radhanath_Swami_Mumbai.mp3</t>
  </si>
  <si>
    <t>2002-010_Lamentation_Of_Dhruva_Maharaj_SB-04_93_28_Mumbai_-_12-01-02_IDesireTree.mp3</t>
  </si>
  <si>
    <t>2002-011_Real_Solution_For_World_Peace_Juhu_Rath_Yatra_Lecture_Mumbai_-_12-01-02_IDesireTree.mp3</t>
  </si>
  <si>
    <t>2002-012_True_Substance_Of_Vaishnava_SB-04_-_Radhanath_Swami_IDesireTree.mp3</t>
  </si>
  <si>
    <t>2002-013_Preaching_History_of_Russia_Lecture_Mumbai_-_Radhanath_Swami_2002-01-13_IDesireTree.mp3</t>
  </si>
  <si>
    <t>2002-015_SB_04_30_18_Mumbai_-_Radhanath_Swami_2002-01-19_IDesireTree.mp3</t>
  </si>
  <si>
    <t>2002-016_Pandal_Programme_Lecture_Belgaum_-_Radhanath_Swami_2002-01-19_IDesireTree.mp3</t>
  </si>
  <si>
    <t>2002-017_Q_and_A_With_Belgaum_Devotees_Q_%26_A_Belgaum_-_Radhanath_Swami_2002-01-21_IDesireTree.mp3</t>
  </si>
  <si>
    <t>2002-018_What_It_Means_To_Be_Forgiving_SB-01_18_49_Mumbai_-_24-01-02_IDesireTree.mp3</t>
  </si>
  <si>
    <t>2002-019_Dhruva_Maharaj_An_Ideal_Hero_SB-04_09_48-50_Mumbai_-_26-01-02_IDesireTree.mp3</t>
  </si>
  <si>
    <t>2002-021_Motherly_Love_Knows_No_Bounds_SB-04_09_51-52_Mumbai_-_27-01-02_IDesireTree.mp3</t>
  </si>
  <si>
    <t>2002-022_The_Simple_Process_Of_Krsna_Consciousness_Lecture_Mumbai_-_27-01-02_IDesireTree.mp3</t>
  </si>
  <si>
    <t>2002-023_Pushpa_Abhishek_Lect_-_Radhanath_Swami_IDesireTree.mp3</t>
  </si>
  <si>
    <t>2002-024_Deity_Welcoming_Address_Lecture_Mumbai_-_Radhanath_Swami_2002-01-29_IDesireTree.mp3</t>
  </si>
  <si>
    <t>2002-026_To_Seek_Blessing_Is_a_Sign_Of_Humility_Lecture_Mumbai_-_31-01-02_IDesireTree.mp3</t>
  </si>
  <si>
    <t>2002-027_Today%27s_Society_Requires_Leaders_Like_Uttanupada_SB-04_-_Radhanath_Swami_IDesireTree.mp3</t>
  </si>
  <si>
    <t>2002-029_Beauty_Of_Old_Age_SB-04_09_67_Mumbai_-_Radhanath_Swami_2002-02-03_IDesireTree.mp3</t>
  </si>
  <si>
    <t>2002-031_Krsna_Always_Protects_His_Devotees_SB-04_10_14_Mumbai_-_Radhanath_Swami_09_IDesireTree.mp3</t>
  </si>
  <si>
    <t>2002-032_Disspating_The_Cloud_Of_Material_Illusion_SB-04_10_14_Mumbay_-_10-02-02_IDesireTree.mp3</t>
  </si>
  <si>
    <t>2002-033_Glories_Of_Srila_Jayadeva_Goswami_-_Radhanath_Swami_IDesireTree.mp3</t>
  </si>
  <si>
    <t>2002-034_Fearlessly_Surrender_Our_Lives_To_Krsna_SB-01_19_15_Mumbai_-_14-02-02_IDesireTree.mp3</t>
  </si>
  <si>
    <t>2002-035_Pastime_of_Baby_Krsna_Lecture_Mumbai_-_Radhanath_Swami_2002-02-15_IDesireTree.mp3</t>
  </si>
  <si>
    <t>2002-038_quality_Of_Compassion_that_Decorates_Devotee_Lecture_Mumbai_-_17-02-02_IDesireTree.mp3</t>
  </si>
  <si>
    <t>2002-039_Advaita_Acharya_App_-_Radhanath_Swami_IDesireTree.mp3</t>
  </si>
  <si>
    <t>2002-040_Four_Essential_Qualities_of_a_Vaisnava_-_Radhanath_Swami_I_23_IDesireTree.mp3</t>
  </si>
  <si>
    <t>2002-041_Four_Essential_Qualities_of_a_Vaisnava_-_Radhanath_Swami_I_23_IDesireTree.mp3</t>
  </si>
  <si>
    <t>2002-042_Four_Essential_Qualities_of_a_Vaisnava_-_Radhanath_Swami_I_23_IDesireTree.mp3</t>
  </si>
  <si>
    <t>2002-043_Pastimes_%26_Teachings_Of_Lord_Nityananda_Lecture_Mumbai_-_25_02_02_IDesireTree.mp3</t>
  </si>
  <si>
    <t>2002-044_Real_Purpose_Of_Performing_Yagya_Lecture_Mumbai_-_22-03-02_IDesireTree.mp3</t>
  </si>
  <si>
    <t>2002-046_SB-10_40_06_Vrindavan_-_Radhanath_Swami_2002-03-31_IDesireTree.mp3</t>
  </si>
  <si>
    <t>2002-047_Getting_Priorities_right_Lecture_Mumbai_-_Radhanath_Swami_2002-04-06_IDesireTree.mp3</t>
  </si>
  <si>
    <t>2002-048_Devotee_Should_Be_Duty_Bound_SB-04_12_16_Mumbai_-_07-04-02_IDesireTree.mp3</t>
  </si>
  <si>
    <t>2002-049_Remembering_HH_Tamal_Krsna_Goswami_Maharaj_Lecture_Mumbai_-_07-04-02_IDesireTree.mp3</t>
  </si>
  <si>
    <t>2002-050_Stress_Management_Lecture_Mumbai_-_Radhanath_Swami_2002-04-12_IDesireTree.mp3</t>
  </si>
  <si>
    <t>2002-051_Imbibing_The_Conscious_Of_Humlity_SB-04_12_22_Mumbai_-_13-04-02_IDesireTree.mp3</t>
  </si>
  <si>
    <t>2002-052_Bhakti_Is_the_Only_Real_Fortune_SB-04_12_23_Mumbai_-_14-04-02_IDesireTree.mp3</t>
  </si>
  <si>
    <t>2002-054_SB_Class_New_Vrindavan_-_Radhanath_Swami_2002-05-19_IDesireTree.mp3</t>
  </si>
  <si>
    <t>2002-056_Sunday_Feast_New_Vrindavan_-_Radhanath_Swami_2002-06-16_IDesireTree.mp3</t>
  </si>
  <si>
    <t>2002-057_SB-04_30_-_Radhanath_Swami_IDesireTree.mp3</t>
  </si>
  <si>
    <t>2002-058_SB-04_30_22_New_Vrindavan_-_Radhanath_Swami_2002-06-23_IDesireTree.mp3</t>
  </si>
  <si>
    <t>2002-059_Vanamalis_Lecture_Washington_DC_-_Radhanath_Swami_2002-06-25_IDesireTree.mp3</t>
  </si>
  <si>
    <t>2002-060_Potomac_SB-05_06_09_Washington_DC_-_Radhanath_Swami_2002-06-262_IDesireTree.mp3</t>
  </si>
  <si>
    <t>2002-061_Potomac_Jagannatha_Lecture_Washington_DC_-_Radhanath_Swami_2002-06-26_IDesireTree.mp3</t>
  </si>
  <si>
    <t>2002-062_SB-05_06_10_Washington_DC_-_Radhanath_Swami_2002-06-27_IDesireTree.mp3</t>
  </si>
  <si>
    <t>2002-063_Lecture_Washington_DC_-_Radhanath_Swami_2002-06-27_IDesireTree.mp3</t>
  </si>
  <si>
    <t>2002-064_Initiation_Lecture_New_Vrindavan_-_Radhanath_Swami_2002-07-04_IDesireTree.mp3</t>
  </si>
  <si>
    <t>2002-065_SB-04_30_34_New_Vrindavan_-_Radhanath_Swami_2002-07-05_IDesireTree.mp3</t>
  </si>
  <si>
    <t>2002-066_SB-04_30_35_New_Vrindavan_-_Radhanath_Swami_2002-07-06_IDesireTree.mp3</t>
  </si>
  <si>
    <t>2002-067_SB_04_30_36_New_Vrindavan_-_Radhanath_Swami_2002-07-07_IDesireTree.mp3</t>
  </si>
  <si>
    <t>2002-068_Lecture_2nd_AVE_New_Vrindavan_-_Radhanath_Swami_2002-07-09_IDesireTree.mp3</t>
  </si>
  <si>
    <t>2002-069_Lecture_26_2nd_AVE_-_Radhanath_Swami_2002-07-12_IDesireTree.mp3</t>
  </si>
  <si>
    <t>2002-070_Lecture_Italy_-_Radhanath_Swami_2002-09-03_IDesireTree.mp3</t>
  </si>
  <si>
    <t>2002-071_SB-04_29_71_New_Vrindavan_-_Radhanath_Swami_2002-08-15_IDesireTree.mp3</t>
  </si>
  <si>
    <t>2002-072_Lecture_Italy_-_Radhanath_Swami_2002-09-04_IDesireTree.mp3</t>
  </si>
  <si>
    <t>2002-073_Lecture_Italy_-_Radhanath_Swami_2002-09-04_IDesireTree.mp3</t>
  </si>
  <si>
    <t>2002-074_Lecture_Italy_-_Radhanath_Swami_2002-09-04_IDesireTree.mp3</t>
  </si>
  <si>
    <t>2002-075_Lecture_Italy_-_Radhanath_Swami_2002-09-16_IDesireTree.mp3</t>
  </si>
  <si>
    <t>2002-076_Lecture_Italy_-_Radhanath_Swami_2002-09-18_IDesireTree.mp3</t>
  </si>
  <si>
    <t>2002-077_Lecture_Italy_-_Radhanath_Swami_2002-09-18_IDesireTree.mp3</t>
  </si>
  <si>
    <t>2002-078_Lecture_Italy_-_Radhanath_Swami_2002-09-18_IDesireTree.mp3</t>
  </si>
  <si>
    <t>2002-079_Lecture_Italy_-_Radhanath_Swami_2002-09-19_IDesireTree.mp3</t>
  </si>
  <si>
    <t>2002-080_Lecture_Italy_-_Radhanath_Swami_2002-09-21_IDesireTree.mp3</t>
  </si>
  <si>
    <t>2002-081_Lecture_Italy_-_Radhanath_Swami_2002-09-22_IDesireTree.mp3</t>
  </si>
  <si>
    <t>2002-082_Lecture_Italy_-_Radhanath_Swami_2002-09-22_IDesireTree.mp3</t>
  </si>
  <si>
    <t>2002-083_Lecture_Italy_-_Radhanath_Swami_2002-09-23_IDesireTree.mp3</t>
  </si>
  <si>
    <t>2002-084_Lecture_Italy_-_Radhanath_Swami_2002-09-23_IDesireTree.mp3</t>
  </si>
  <si>
    <t>2002-085_Lecture_Italy_-_Radhanath_Swami_2002-09-23_IDesireTree.mp3</t>
  </si>
  <si>
    <t>2002-086_Lecture_Italy_-_Radhanath_Swami_2002-09-24_IDesireTree.mp3</t>
  </si>
  <si>
    <t>2002-087_Lecture_Italy_-_Radhanath_Swami_2002-09-24_IDesireTree.mp3</t>
  </si>
  <si>
    <t>2002-088_Lecture_Italy_-_Radhanath_Swami_2002-09-24_IDesireTree.mp3</t>
  </si>
  <si>
    <t>2002-089_SB-03_25_20_Moscow_-_Radhanath_Swami_2002-09-26_IDesireTree.mp3</t>
  </si>
  <si>
    <t>2002-09-05_SB_03-07-14_-_Different_Stages_of_Sadhana_Bhakti-01_-_Radhanath_Swami_Radhadesh.mp3</t>
  </si>
  <si>
    <t>2002-09-05_SB_03-07-14_-_Different_Stages_of_Sadhana_Bhakti-02_-_Radhanath_Swami_Radhadesh.mp3</t>
  </si>
  <si>
    <t>2002-09-06_Various_-_Volunteers_Program_-_Radhanath_Swami_London.mp3</t>
  </si>
  <si>
    <t>2002-090_Darshan_Lecture_Moscow_-_Radhanath_Swami_2002-09-27_IDesireTree.mp3</t>
  </si>
  <si>
    <t>2002-091_SB-03_25_21_Moscow_-_Radhanath_Swami_2002-09-27_IDesireTree.mp3</t>
  </si>
  <si>
    <t>2002-092_SB-03_25_22_Moscow_-_Radhanath_Swami_2002-09-28_IDesireTree.mp3</t>
  </si>
  <si>
    <t>2002-093_Lecture_Moscow_-_Radhanath_Swami_2002-09-28_IDesireTree.mp3</t>
  </si>
  <si>
    <t>2002-094_SB-03_25_23_Moscow_-_Radhanath_Swami_2002-09-29_IDesireTree.mp3</t>
  </si>
  <si>
    <t>2002-095_Lecture_Moscow_-_Radhanath_Swami_2002-09-302_IDesireTree.mp3</t>
  </si>
  <si>
    <t>2002-096_SB-03_25_24_Moscow_-_Radhanath_Swami_2002-09-30_IDesireTree.mp3</t>
  </si>
  <si>
    <t>2002-097_Initiation_Lecture_Moscow_-_Radhanath_Swami_2002-09-30_IDesireTree.mp3</t>
  </si>
  <si>
    <t>2002-098_Lecture_Kiev_-_Radhanath_Swami_2002-10-01_IDesireTree.mp3</t>
  </si>
  <si>
    <t>2002-099_Converting_the_mind_SB-04_10_08_Mumbai_-_Radhanath_Swami_2002-10-01_IDesireTree.mp3</t>
  </si>
  <si>
    <t>2002-100_Arrival_Address_Lecture_Mumbai_-_Radhanath_Swami_2002-10-12_IDesireTree.mp3</t>
  </si>
  <si>
    <t>2002-101_Higher_Intoxication_Of_The_Holy_Name_SB-04_18_15_Mumbai_-_13-10-02_IDesireTree.mp3</t>
  </si>
  <si>
    <t>2002-102_Sunday_Feast_Mumbai_-_Radhanath_Swami_2002-10-13_IDesireTree.mp3</t>
  </si>
  <si>
    <t>2002-103_Conflict_resolution_Lecture_Mumbai_-_Radhanath_Swami_2002-10-17_IDesireTree.mp3</t>
  </si>
  <si>
    <t>2002-105_Conquering_the_Greast_Enemy_Lecture_Mumbai_-_Radhanath_Swami_2002-10-19_IDesireTree.mp3</t>
  </si>
  <si>
    <t>2002-106_Spreading_Krsna_Consciousness_All_Over_I_Sunday_Feast_Mumbai_-_24-11-02_IDesireTree.mp3</t>
  </si>
  <si>
    <t>2002-107_Mother_Earth_Reciprocates_As_You_Approach_SB-04_18_22_Mumbai_-_20-10-02_IDesireTree.mp3</t>
  </si>
  <si>
    <t>2002-108_Utilising_Human_Body_For_The_Greatest_Gift_Sunday_Feast_Mumbai_-_20_10_02_IDesireTree.mp3</t>
  </si>
  <si>
    <t>2002-109_Sharad_Purnima_Lecture_Mumbai_-_Radhanath_Swami_2002-10-21_IDesireTree.mp3</t>
  </si>
  <si>
    <t>2002-110_Sacrifice_For_The_Welfare_Of_Others_SB-02_06_08_Mumbai_-_24-10-02_IDesireTree.mp3</t>
  </si>
  <si>
    <t>2002-111_Lessons_From_The_Life_Of_Narottam_Das_Sunday_Feast_Mumbai_-_27-10-02_IDesireTree.mp3</t>
  </si>
  <si>
    <t>2002-112_We_Want_To_Welcome_That_Wealth_Of_Love_Lecture_Mumbai_-_23-11-02_IDesireTree.mp3</t>
  </si>
  <si>
    <t>2002-113_Lord_Conquered_By_Devotees_Love_Lecture_Mumbai_-_Radhanath_Swami_2002-11-23_IDesireTree.mp3</t>
  </si>
  <si>
    <t>2002-114_Spreading_Krsna_Consciousness_All_Over_II_Sunday_Feast_Mumbai_-_24-11-02_IDesireTree.mp3</t>
  </si>
  <si>
    <t>2002-115_Teachings_Of_Rshibhdev_SB-02_07_10_Mumbai_-_Radhanath_Swami_2002-11-28_IDesireTree.mp3</t>
  </si>
  <si>
    <t>2002-116_The_Power_Of_Love_Prerna_Lecture_Mumbai_-_Radhanath_Swami_2002-11-29_IDesireTree.mp3</t>
  </si>
  <si>
    <t>2002-117_Absorbing_Our_Mind_BY_Taking_Responsibility_SB-04_20_12_Mumbai_-_30-11-02_IDesireTree.mp3</t>
  </si>
  <si>
    <t>2002-12-22_SB_03-15-39_-_Radhanath_Swami_Los_Angeles.mp3</t>
  </si>
  <si>
    <t>2002-120_Vyas_Puja_Address_Lecture_Mumbai_-_Radhanath_Swami_2002-13-03_IDesireTree.mp3</t>
  </si>
  <si>
    <t>2002-121_Drama_Realisation_Lecture_Mumbai_-_Radhanath_Swami_2002-12-05_IDesireTree.mp3</t>
  </si>
  <si>
    <t>2002-124_Become_Conditioned_to_Chant_The_Holy_Name_Lecture_Mumbai_-_29-12-02_IDesireTree.mp3</t>
  </si>
  <si>
    <t>2002-125_To_Utilise_Everything_to_Serve_The_Lord_Lecture_Mumbai_-_31-12-02_IDesireTree.mp3</t>
  </si>
  <si>
    <t>2003-001_What_Exactly_is_Non_Violence_SB-02_07_37_Mumbai_-_02-01-03_IDesireTree.mp3</t>
  </si>
  <si>
    <t>2003-002_Utilising_Human_Body_Lecture_Mumbai_-_Radhanath_Swami_2003-01-03_IDesireTree.mp3</t>
  </si>
  <si>
    <t>2003-003_Prthu_Maharaj_an_Ideal_Responsible_King_SB-04_21_06_Mumbai_-_04-01-03_IDesireTree.mp3</t>
  </si>
  <si>
    <t>2003-004_Surpassing_Material_Conditioning_Sunday_feast_Pune_-_05-01-03_IDesireTree.mp3</t>
  </si>
  <si>
    <t>2003-005_Tamal_Tree_Plantation_Ceremony_Lecture_Mumbai_-_Radhanath_Swami_2003-01-07_IDesireTree.mp3</t>
  </si>
  <si>
    <t>2003-006_Deity_Welcoming_Lecture_Mumbai_-_Radhanath_Swami_2003-01-07_IDesireTree.mp3</t>
  </si>
  <si>
    <t>2003-007_Intricacies_of_Subtle_Science_SB-04_21_13_Mumbai_-_11-01-03_IDesireTree.mp3</t>
  </si>
  <si>
    <t>2003-008_The_Culture_of_how_to_Respect_Others_SB-04_21_14_Mumbai_-_12-01-03_IDesireTree.mp3</t>
  </si>
  <si>
    <t>2003-009_Coming_Before_Sri_Radha_Gopinath_Sunday_Feast_Mumbai_-_12-01-03_IDesireTree.mp3</t>
  </si>
  <si>
    <t>2003-011_Srila_Prabhupada_Memories_Lecture_Mumbai_-_Radhanath_Swami_2003-01-19_IDesireTree.mp3</t>
  </si>
  <si>
    <t>2003-012_Glories_of_the_Lord_%26_His_Devotees_Mercy_Lecture_Mumbai_-_16-03-03_IDesireTree.mp3</t>
  </si>
  <si>
    <t>2003-013_Compassion_Melts_Heart_SB-06_01_01_Mumbai_-_Radhanath_Swami_2003-03-17_IDesireTree.mp3</t>
  </si>
  <si>
    <t>2003-014_Introducing_the_Great_Devotees_Lecture_Mumbai_-_Radhanath_Swami_2003-03-17_IDesireTree.mp3</t>
  </si>
  <si>
    <t>2003-015_Appearance_of_Lord_Caitanya_Lecture_Mumbai_-_Radhanath_Swami_2003-03-18_IDesireTree.mp3</t>
  </si>
  <si>
    <t>2003-016_Mahaprakash_lila_Lecture_Mumbai_-_Radhanath_Swami_2003-03-18_IDesireTree.mp3</t>
  </si>
  <si>
    <t>2003-017_Giving_a_Loving_Gift_to_Mahaprabhu_Lecture_Mumbai_-_18-03-03_IDesireTree.mp3</t>
  </si>
  <si>
    <t>2003-018_Jagannatha_Mishra_Festival_Lecture_Mumbai_-_Radhanath_Swami_2003-03-19_IDesireTree.mp3</t>
  </si>
  <si>
    <t>2003-020_Deeply_Value_the_Rare_Human_Life_Lecture_Mumbai_-_23-03-03_IDesireTree.mp3</t>
  </si>
  <si>
    <t>2003-021_Qualification_for_spiritual_Advancement_SB_Class_Mumbai_-_29-03-03_IDesireTree.mp3</t>
  </si>
  <si>
    <t>2003-022_Overcoming_Depression_Prerna_Lecture_Mumbai_-_Radhanath_Swami_2003-03-29_IDesireTree.mp3</t>
  </si>
  <si>
    <t>2003-023_Increase_Attachment_to_Devotional_Service_SB-04_22_25_Mumbai_-_30-03-03_IDesireTree.mp3</t>
  </si>
  <si>
    <t>2003-024_Improtance_of_the_Institution_of_ISKCON_Lecture_Mumbai_-_30-03-03_IDesireTree.mp3</t>
  </si>
  <si>
    <t>2003-025_Initiation_Lec_Lecture_Pune_-_Radhanath_Swami_2003-04-04_IDesireTree.mp3</t>
  </si>
  <si>
    <t>2003-026_We_should_depend_only_on_the_mercy_of_Krsna_SB_Class_Mumbai_-_06-04-03_IDesireTree.mp3</t>
  </si>
  <si>
    <t>2003-027_Love_and_Devotion_of_Bharat_to_Lord_Sri_Ram_Lecture_Mumbai_-_06-04-03_IDesireTree.mp3</t>
  </si>
  <si>
    <t>2003-028_Teachings_from_Ramayan_SB-02_09_33_Mumbai_-_Radhanath_Swami_2003-04-08_IDesireTree.mp3</t>
  </si>
  <si>
    <t>2003-029_Perfect_Questions_Perfect_Answers_Lecture_Mumbai_-_08-04-03_IDesireTree.mp3</t>
  </si>
  <si>
    <t>2003-030_Responsibility_of_a_Disciple_Initiation_Lec_Mumbai_-_11-04-03_IDesireTree.mp3</t>
  </si>
  <si>
    <t>2003-031_Ramayan_Contains_Examples_of_Ideals_Lecture_Mumbai_-_11-04-03_IDesireTree.mp3</t>
  </si>
  <si>
    <t>2003-032_HH_RNS_App_of_Jahnava_Devi_SB-05_14_26_New_Vrindavan_-_10-05-03_IDesireTree.mp3</t>
  </si>
  <si>
    <t>2003-033_HH_RNS_Darshan_Lecture_New_Vrindavan_-_Radhanath_Swami_2003-05-17_IDesireTree.mp3</t>
  </si>
  <si>
    <t>2003-034_HH_RNS_Bhag_Class_SB-05_14_33_New_Vrindavan_-_Radhanath_Swami_2003-05-17_IDesireTree.mp3</t>
  </si>
  <si>
    <t>2003-035_HH_RNS_NV_Parikrama_Lecture_New_Vrindavan_-_Radhanath_Swami_2003-05-17_IDesireTree.mp3</t>
  </si>
  <si>
    <t>2003-036_HG_TP_HH_RNS_HH_VS_NV_Parikrama_Lecture_New_Vrindavan_-_18-05-03_IDesireTree.mp3</t>
  </si>
  <si>
    <t>2003-037_Old_Vrindavan_Memorial_Day_Lecture_New_Vrindavan_-_26-05-03_IDesireTree.mp3</t>
  </si>
  <si>
    <t>2003-038_HRS_SB_Class_CC-Adi_lila_07_50_Alachua_-_Radhanath_Swami_June_2003_IDesireTree.mp3</t>
  </si>
  <si>
    <t>2003-039_Panihati_Festival-_Glories_of_Raghunath_Das_Goswami_Lecture_US_-_07-06-03_IDesireTree.mp3</t>
  </si>
  <si>
    <t>2003-040_Ratha_Yatra_Lecture_New_York_-_Radhanath_Swami_2003-06-08_IDesireTree.mp3</t>
  </si>
  <si>
    <t>2003-041_NY_Ashram_Darshan_Lecture_New_York_-_Radhanath_Swami_2003-06-12_IDesireTree.mp3</t>
  </si>
  <si>
    <t>2003-042_HHRS_SB-03_29_19_Gita_Nagari_-_Radhanath_Swami_2003-06-29_IDesireTree.mp3</t>
  </si>
  <si>
    <t>2003-043_Preparing_for_Ratha_Yatra_LectureNew_Vrindavan_-_Radhanath_Swami_2003-07-20_IDesireTree.mp3</t>
  </si>
  <si>
    <t>2003-044_Never_Trust_Maya%27s_Promises_SB-05_18_26_US_-_Radhanath_Swami_2003-07-25_IDesireTree.mp3</t>
  </si>
  <si>
    <t>2003-045_What_is_Real_Greatness_Sunday_Feast_New_Vrindavan_-_27-07-03_IDesireTree.mp3</t>
  </si>
  <si>
    <t>2003-046_Krishna%27s_Beauty_is_the_Ultimate_Reality_SB-04_24_49_Mumbai_-_16-08-03_IDesireTree.mp3</t>
  </si>
  <si>
    <t>2003-047_Lord_Krishna%27s_Various_Forms_of_Mercy_SB-04_24_50_Mumbai_-_17-08-03_IDesireTree.mp3</t>
  </si>
  <si>
    <t>2003-048_Tolerating_the_Porvoking_Situation_Sunday_Feast_Mumbai_-_17-08-03_IDesireTree.mp3</t>
  </si>
  <si>
    <t>2003-051_Vyas_Puja_Offering_Lecture_Mumbai_-_Radhanath_Swami_2003-08-21_IDesireTree.mp3</t>
  </si>
  <si>
    <t>2003-052_Mahaprabhus_House_Lecture_Mumbai_-_Radhanath_Swami_2003-08-22_IDesireTree.mp3</t>
  </si>
  <si>
    <t>2003-053_Bhakti_is_the_Highest_form_of_Meditation_SB-04_24_53_Mumbai_-_23-08-03_IDesireTree.mp3</t>
  </si>
  <si>
    <t>2003-057_Power_of_habits_Prerna_Lecture_Mumbai_-_Radhanath_Swami_2003-08-30_IDesireTree.mp3</t>
  </si>
  <si>
    <t>2003-058_Seeing_everything_in_relation_to_Krsna_SB_Class_Mumbai_-_31-08-03_IDesireTree.mp3</t>
  </si>
  <si>
    <t>2003-059_Being_Compassionate_to_all_Living_Entities_Lecture_Mumbai_-_31-08-03_IDesireTree.mp3</t>
  </si>
  <si>
    <t>2003-060_Brahman_Initation_Lecture_Mumbai_-_Radhanath_Swami_2003-09-02_IDesireTree.mp3</t>
  </si>
  <si>
    <t>2003-061_How_to_Approach_Srimati_Radharani_CC_madhya_08_209_Mumbai_-_04-09-03_IDesireTree.mp3</t>
  </si>
  <si>
    <t>2003-062_We_Need_Blessings_of_Srimati_Radharani_Lecture_Mumbai_-_04-09-03_IDesireTree.mp3</t>
  </si>
  <si>
    <t>2003-064_Failures_as_stepping_stones_to_success_Lecture_Mumbai_-_20-09-03_IDesireTree.mp3</t>
  </si>
  <si>
    <t>2003-065_Bhakti_Caru_M_Lecture_Sunday_feast_Mumbai_-_Radhanath_Swami_2003-09-21_IDesireTree.mp3</t>
  </si>
  <si>
    <t>2003-067_Offering_to_HG_Caitanya_Vallabh_Prabhu_Lecture_Mumbai_-_04-10-03_IDesireTree.mp3</t>
  </si>
  <si>
    <t>2003-069_Sri_Ramacandra_Vijayotsava_Sunday_Feast_Mumbai_-_Radhanath_Swami_2003-10-05_IDesireTree.mp3</t>
  </si>
  <si>
    <t>2003-070_Goswamis_Disappearance_Lecture_Mumbai_-_Radhanath_Swami_2003-10-07_IDesireTree.mp3</t>
  </si>
  <si>
    <t>2003-071_Lord_Krishna%27s_Damodar_Lila_Lecture_Mumbai_-_Radhanath_Swami_2003-10-10_IDesireTree.mp3</t>
  </si>
  <si>
    <t>2003-073_Sunday_Feast_Mumbai_-_Radhanath_Swami_2003-10-12_IDesireTree.mp3</t>
  </si>
  <si>
    <t>2003-075_Supreme_Love_of_the_Vrajavasis_Sunday_Feast_Mumbai_-_19-10-03_IDesireTree.mp3</t>
  </si>
  <si>
    <t>2003-076_Govardhan_Puja_SB-10_21_18_New_Vrindavan_-_Radhanath_Swami_2003-10-25_IDesireTree.mp3</t>
  </si>
  <si>
    <t>2003-077_Krishna%27s_All-Attractive_Damodara-Lila_Lecture_New_Vrindavan_-_26-10-03_IDesireTree.mp3</t>
  </si>
  <si>
    <t>2003-078_Offering_to_Srila_Prabhupad_Lecture_New_Vrindavan_-_28-10-03_IDesireTree.mp3</t>
  </si>
  <si>
    <t>2003-079_Lilamrta_Lecture_New_Vrindavan_-_Radhanath_Swami_2003-10-29_IDesireTree.mp3</t>
  </si>
  <si>
    <t>2003-08-03_Various_-_Lesson_to_Govinda_-_Radhanath_Swami_Rome.mp3</t>
  </si>
  <si>
    <t>2003-080_The_Nature_of_Prabhupada%27s_Love_Lecture_New_Vrindavan_-_29-10-03_IDesireTree.mp3</t>
  </si>
  <si>
    <t>2003-081_Diwali_-_Lord_Rama%27s_Return_to_Ayodhya_Lecture_New_Vrindavan_-_30-10-03_IDesireTree.mp3</t>
  </si>
  <si>
    <t>2003-084_Lecture_26_2nd_ave_-_Radhanath_Swami_2003-11-04_IDesireTree.mp3</t>
  </si>
  <si>
    <t>2003-085_Lecture_26_2nd_Ave_-_Radhanath_Swami_2003-11-04_IDesireTree.mp3</t>
  </si>
  <si>
    <t>2003-086_SB-10_01_64_San_Diego_-_Radhanath_Swami_2003-11-21_IDesireTree.mp3</t>
  </si>
  <si>
    <t>2003-087_Sri_Giridhari%27s_Home_Lecture_US_-_Radhanath_Swami_2003-11-21_IDesireTree.mp3</t>
  </si>
  <si>
    <t>2003-088_SB_10_01_65-66_San_Diego_-_Radhanath_Swami_2003-11-22_IDesireTree.mp3</t>
  </si>
  <si>
    <t>2003-089_Initiation_Initiation_Lecture_San_Diego_-_Radhanath_Swami_2003-11-22_IDesireTree.mp3</t>
  </si>
  <si>
    <t>2003-090_SB_10_01_67_San_Diego_-_Radhanath_Swami_2003-11-23_IDesireTree.mp3</t>
  </si>
  <si>
    <t>2003-091_Sunday_Feast_Laguna_Beach_-_Radhanath_Swami_2003-11-23_IDesireTree.mp3</t>
  </si>
  <si>
    <t>2003-092_SB_03_14_19_Laguna_Beach_-_Radhanath_Swami_2003-11-24_IDesireTree.mp3</t>
  </si>
  <si>
    <t>2003-093_SB-03_14_20_Laguna_Beach_-_Radhanath_Swami_2003-11-25_IDesireTree.mp3</t>
  </si>
  <si>
    <t>2003-094_SB-03_24_40_LA_-_Radhanath_Swami_2003-11-26_IDesireTree.mp3</t>
  </si>
  <si>
    <t>2003-095_Lecture_Yatra%27s_Nama_Hatta_-_Radhanath_Swami_2003-11-26_IDesireTree.mp3</t>
  </si>
  <si>
    <t>2003-096_SB-03_24_41_Los_Angeles_-_Radhanath_Swami_2003-11-27_IDesireTree.mp3</t>
  </si>
  <si>
    <t>2003-097_Nama_Hatta_Thanksgiving_Lecture_US_-_Radhanath_Swami_2003-11-27_IDesireTree.mp3</t>
  </si>
  <si>
    <t>2003-098_SB-03_24_42_LA_-_Radhanath_Swami_2003-11-28_IDesireTree.mp3</t>
  </si>
  <si>
    <t>2003-099_SB-03_24_43_Los_Angeles_-_Radhanath_Swami_2003-11-29_IDesireTree.mp3</t>
  </si>
  <si>
    <t>2003-101_Gita_Jayanti_Sunday_Feast_US_-_Radhanath_Swami_2003-11-30_IDesireTree.mp3</t>
  </si>
  <si>
    <t>2003-102_Gita_Jayanti_Initiation_Lecture_US_-_Radhanath_Swami_2003-11-30_IDesireTree.mp3</t>
  </si>
  <si>
    <t>2003-103_Offering_to_H_-_Radhanath_Swami_IDesireTree.mp3</t>
  </si>
  <si>
    <t>2003-104_Vyas_Puja_Address_Lecture_Mumbai_-_Radhanath_Swami_2003-12-12_IDesireTree.mp3</t>
  </si>
  <si>
    <t>2003-105_Cutting_Down_the_Weed_of_False_Ego_SB-04_26_08_Mumbai_-_14-12-03_IDesireTree.mp3</t>
  </si>
  <si>
    <t>2003-107_Memorial_of_Idelle_Slavin_Lecture_Mumbai_-_Radhanath_Swami_2003-12-14_IDesireTree.mp3</t>
  </si>
  <si>
    <t>201540_Hare_Krsna_Lecture_Mumbai_-_Radhanath_Swami_2003-01-02_IDesireTree.mp3</t>
  </si>
  <si>
    <t>201543_Hare_Krsna_BG-08_05_Pune_-_Radhanath_Swami_2003-01-05_IDesireTree.mp3</t>
  </si>
  <si>
    <t>201547a_Wedding_Address_Lecture_Mumbai_-_Radhanath_Swami_2003-01-11_IDesireTree.mp3</t>
  </si>
  <si>
    <t>201547b_Offering_To_Syamsundari_%26_TKG_Lecture_Pune_-_Radhanath_Swami_2003-01-05_IDesireTree.mp3</t>
  </si>
  <si>
    <t>201560_Mahaprakash_Lila_Of_Lord_Caitanya_Lecture_Mumbai_-_Radhanath_Swami_2003-03-18_IDesireTree.mp3</t>
  </si>
  <si>
    <t>201569_Overcoming_Depression_Lecture_Mumbai_-_Radhanath_Swami_2003-03-29_IDesireTree.mp3</t>
  </si>
  <si>
    <t>201584_Ramayan_Contains_Examples_Of_Ideals_Lecture_Mumbai_-_11-04-03_IDesireTree.mp3</t>
  </si>
  <si>
    <t>201599_Medicine_for_Kaliyuga_Lecture_Mumbai_-_Radhanath_Swami_2003-08-31_IDesireTree.mp3</t>
  </si>
  <si>
    <t>2004-08-27_Festivals_-_Disappearance_of_Rupa_Goswami_-_Radhanath_Swami_San_Casciano.mp3</t>
  </si>
  <si>
    <t>2004-08-28_SB_03-16-09_-_Radhanath_Swami_San_Casciano.mp3</t>
  </si>
  <si>
    <t>2004-08-30_Various_-_Lord_CM_could_be_understood_by_those_who_recieved_his_Special_Mercy.mp3</t>
  </si>
  <si>
    <t>2004-08-31_Various_-_Chant_the_holy_names_with_the_Holy_Scriptures_-_Radhanath_Swami_Nepi.mp3</t>
  </si>
  <si>
    <t>2004-09-01_Various_-_Story_of_Sukhdev_Goswami_-_Radhanath_Swami_Nepi.mp3</t>
  </si>
  <si>
    <t>2004-09-01_Various_-_The_Story_of_Dorothy_-_Radhanath_Swami_Nepi.mp3</t>
  </si>
  <si>
    <t>01_The_Art_of_Tolerance_Prerana_Mumbai_-_Radhanath_Swami_2004-01-15_IDesireTree.mp3</t>
  </si>
  <si>
    <t>02_The_Appearance_%26_Pastimes_of_Lord_Jagannath_Rath_Yatra_Mumbai_-_16-01-04_IDesireTree.mp3</t>
  </si>
  <si>
    <t>03_Becoming_Instrument_of_Real_Compassion_SB-04_27_11_Mumbai_-_17-01-04_IDesireTree.mp3</t>
  </si>
  <si>
    <t>04_Maintaining_Our_Integrity_in_All_Circumstances_Lecture_Mumbai_-_17-01-04_IDesireTree.mp3</t>
  </si>
  <si>
    <t>06_Knowing_Our_Real_Shelter_LNHO_Address_Mumbai_-_Radhanath_Swami_2004-01-28_IDesireTree.mp3</t>
  </si>
  <si>
    <t>08_Overcoming_The_Influence_of_Time_SB-4_27_24_Mumbai_-_31-01-04_IDesireTree.mp3</t>
  </si>
  <si>
    <t>01_Awakening_Our_Transcendental_Love_for_Krishna_Lecture_Mumbai_-_03-02-04_IDesireTree.mp3</t>
  </si>
  <si>
    <t>06_Cultivating_Our_Attachment_Towards_Krsna_SB-04_28_16_Mumbai_-_28-02-04_IDesireTree.mp3</t>
  </si>
  <si>
    <t>07_The_Art_Of_Self_Confidence_Prerana_Mumbai_-_Radhanath_Swami_2004-02-28_IDesireTree.mp3</t>
  </si>
  <si>
    <t>08_Investing_Time_In_Truth_%26_Eternity_SB-04_28_17_Mumbai_-_29-02-04_IDesireTree.mp3</t>
  </si>
  <si>
    <t>09_Following_in_the_Footsteps_of_Great_Souls_Sunday_Feast_Mumbai_-_29-02-04_IDesireTree.mp3</t>
  </si>
  <si>
    <t>01_Srila_Prabhupada_Conquers_Russia_Gaur_Purnima_Mumbai_-_04-03-04_IDesireTree.mp3</t>
  </si>
  <si>
    <t>02_Lord_Caitanya-_The_Most_Magnanimous-I_Gaur_Purnima_Mumbai_-_05-03-04_IDesireTree.mp3</t>
  </si>
  <si>
    <t>03_Lord_Caitanya_-The_Most_Magnanimous-II_Gaur_Purnima_Mumbai_-_05-03-04_IDesireTree.mp3</t>
  </si>
  <si>
    <t>04_Lord_Caitanya%27s_Tour_of_South_India_Gaur_Purnima_Mumbai_-_05-03-04_IDesireTree.mp3</t>
  </si>
  <si>
    <t>01_Balancing_Grhastha_Life_With_Spiritual_Life_Lecture_Mumbai_-_12-03-04_IDesireTree.mp3</t>
  </si>
  <si>
    <t>03_Identity_Crisis_Chetana_Mumbai_-_Radhanath_Swami_2004-03-13_IDesireTree.mp3</t>
  </si>
  <si>
    <t>04_HH_Sridhar_Maharaj-_Srila_Prabhupad%27s_Man_Sunday_Feast_Mumbai_-_14-03-04_IDesireTree.mp3</t>
  </si>
  <si>
    <t>05_The_Power_of_Bhakti_Lecture_Mumbai_-_Radhanath_Swami_2004-03-15_IDesireTree.mp3</t>
  </si>
  <si>
    <t>06_Nimai_Accepts_Mendicant_Brahamana%27s_Offerings_Lecture_Mumbai_-_16-03-04_IDesireTree.mp3</t>
  </si>
  <si>
    <t>07_Reawakening_Our_Transcendental_Consciousness_SB-03_07_13_Mumbai_-_19-03-04_IDesireTree.mp3</t>
  </si>
  <si>
    <t>08_Principles_of_Leadership_Seminar_Mumbai_-_Radhanath_Swami_2004-03-19_IDesireTree.mp3</t>
  </si>
  <si>
    <t>10_We_Are_Always_Servants_Initiation_Lec_Pune_-_Radhanath_Swami_2004-03-21_IDesireTree.mp3</t>
  </si>
  <si>
    <t>12_Offering_To_HG_Saranagati_Mataji_Memorial_Offering_Mumbai_-_27-03-04_IDesireTree.mp3</t>
  </si>
  <si>
    <t>01_Unity_is_Strength_Prerana_Mumbai_-_27-03-04_IDesireTree.mp3</t>
  </si>
  <si>
    <t>03_Entering_The_Spiritual_Realm_Through_Faith_Sunday_Feast_Mumbai_-_28-03-04_IDesireTree.mp3</t>
  </si>
  <si>
    <t>04_Taking_Vow_of_Dedication_%26_Service_Initiation_Lec_Mumbai_-_30-03-04_IDesireTree.mp3</t>
  </si>
  <si>
    <t>05_Determination_of_Ahilya_Ram_Navami_Lec_Mumbai_-_30-03-04_IDesireTree.mp3</t>
  </si>
  <si>
    <t>06_Ramayan-_The_Legend_of_Selfless_Pure_Devotion_Lecture_Mumbai_-_31-03-04_IDesireTree.mp3</t>
  </si>
  <si>
    <t>07_Establishing_The_Spirit_of_Initiation_Initiation_Lec_Mumbai_-_02-04-04_IDesireTree.mp3</t>
  </si>
  <si>
    <t>08_Aspiring_To_Serve_Birth_After_Birth_SB-04_30_33_Mumbai_-_04-09-04_IDesireTree.mp3</t>
  </si>
  <si>
    <t>09_The_Immense_Value_of_Association_SB-04_30_34_Mumbai_-_05-09-04_IDesireTree.mp3</t>
  </si>
  <si>
    <t>01_Unity_is_Strength_Prerana_Mumbai_-_Radhanath_Swami_2004-03-27_IDesireTree.mp3</t>
  </si>
  <si>
    <t>05_Determination_of_Ahilya_Ram_Navami_Lec_Mumbai_-_Radhanath_Swami_2004-03-30_IDesireTree.mp3</t>
  </si>
  <si>
    <t>08_Overcoming_Obstacles_in_Spiritual_Life_Lecture_New_York_-_11-04-04_IDesireTree.mp3</t>
  </si>
  <si>
    <t>09_Spirituality_And_Vegetarianism_Lecture_New_York_University_-_12-04-04_IDesireTree.mp3</t>
  </si>
  <si>
    <t>01_Srila_Prabhupada-_The_Embodiment_of_Compassion_Lecture_New_York_-_13-04-04_IDesireTree.mp3</t>
  </si>
  <si>
    <t>02_Quest_for_Inner_Happiness_Lecture_Chicago_-_Radhanath_Swami_2004-04-24_IDesireTree.mp3</t>
  </si>
  <si>
    <t>03_Five_Potent_Forms_of_Devotional_Service_Lecture_Chicago_-_25-04-04_IDesireTree.mp3</t>
  </si>
  <si>
    <t>05_Glorious_Departure_of_Bhisma_Dev_SB-01_09_43_Chicago_-_27-04-04_IDesireTree.mp3</t>
  </si>
  <si>
    <t>06_The_Power_of_Holy_Name_Lecture_Chicago_-_Radhanath_Swami_2004-04-27_IDesireTree.mp3</t>
  </si>
  <si>
    <t>07_Glories_of_Jahnava_Devi_SB-01_09_44_Chicago_-_Radhanath_Swami_2004-04-28_IDesireTree.mp3</t>
  </si>
  <si>
    <t>08_Living_in_Material_World_Honestly_Lecture_Chicago_-_30-04-04_IDesireTree.mp3</t>
  </si>
  <si>
    <t>10_Appearance_of_Lord_Narsimhadeva_Lecture_New_Vrindavan_-_03-05-04_IDesireTree.mp3</t>
  </si>
  <si>
    <t>11_A_Sadhu_is_Tolerant_and_Compassionate_SB-06_05_43_New_Vrindavan_-_08-05-04_IDesireTree.mp3</t>
  </si>
  <si>
    <t>12_The_Installation_of_Sri_Panca_Tattva_Sunday_Feast_New_Vrindavan_-_16-05-04_IDesireTree.mp3</t>
  </si>
  <si>
    <t>01_Questions_%26_Answers_Lecture_Chicago_-_Radhanath_Swami_2004-05-01_IDesireTree.mp3</t>
  </si>
  <si>
    <t>02_Developing_our_Krishna_Consciousness_Lecture_New_Vrindavan_-_12-05-04_IDesireTree.mp3</t>
  </si>
  <si>
    <t>08_Krishna_is_The_Supreme_Proprietor_Sunday_Feast_New_Vrindavan_-_23-05-04_IDesireTree.mp3</t>
  </si>
  <si>
    <t>11_Krishna_Sees_Only_our_Devotion_Lecture_New_Vrindavan_-_27-05-04_IDesireTree.mp3</t>
  </si>
  <si>
    <t>13_The_Power_of_Holy_Name_SB-06_08_19_New_Vrindavan_-_30-05-04_IDesireTree.mp3</t>
  </si>
  <si>
    <t>14_Life_of_Ganga_Mata_Goswamini_Sunday_Feast_New_Vrindavan_-_30-05-04_IDesireTree.mp3</t>
  </si>
  <si>
    <t>02_The_Importance_of_Determination_Lecture_New_York_-_04-06-04_IDesireTree.mp3</t>
  </si>
  <si>
    <t>03_The_Imperceptible_Nature_of_Time_SB-07_01_11_New_York_-_06-06-04_IDesireTree.mp3</t>
  </si>
  <si>
    <t>04_Real_Religion_Teaches_Love_of_Godhead_Sunday_Feast_New_York_-_06-06-04_IDesireTree.mp3</t>
  </si>
  <si>
    <t>05_Krishna_Always_Protects_His_Devotee_SB-07_01_12_New_York_-_07-06-04_IDesireTree.mp3</t>
  </si>
  <si>
    <t>09_The_Right_Mood_for_Deity_Worship_SB-03_29_16_Los_Angeles_-_18-07-04_IDesireTree.mp3</t>
  </si>
  <si>
    <t>10_Snana_Yatra-_Giving_Pleasure_to_Krishna_Sunday_Feast_Los_Angeles_-_2004_IDesireTree.mp3</t>
  </si>
  <si>
    <t>11_Serving_with_Right_Attitude_CC_Reading_Los_Angeles_-_Radhanath_Swami_2004_IDesireTree.mp3</t>
  </si>
  <si>
    <t>12_The_Cleansing_of_Gundica_Temple_CC_Reading_Los_Angeles_-_2004_IDesireTree.mp3</t>
  </si>
  <si>
    <t>01_Unalloyed_Devotional_Service_CC_Reading_Southern_California_-_2004_IDesireTree.mp3</t>
  </si>
  <si>
    <t>02_Appearance_of_Lord_Jagannath_Lecture_Los_Angeles_-_Radhanath_Swami_2004_IDesireTree.mp3</t>
  </si>
  <si>
    <t>04_Temptations_%26_False_Promises_of_Maya_SB-01_02_09_Saranagati_-_10-07-04_IDesireTree.mp3</t>
  </si>
  <si>
    <t>07_The_Glories_of_Holy_Name_Sunday_Feast_Saranagati_temple_-_11-07-04_IDesireTree.mp3</t>
  </si>
  <si>
    <t>08_Guarding_Against_Offenses_SB-9_4_68_Banabihari_Mandir_-_12-07-04_IDesireTree.mp3</t>
  </si>
  <si>
    <t>09_Fearlessness_Attained_by_Taking_Shelter_of_Krishna_Lecture_London_-_2004_IDesireTree.mp3</t>
  </si>
  <si>
    <t>01_Hanumanji%27s_Spirit_of_Surrender_Lecture_London_-_Radhanath_Swami_2004_IDesireTree.mp3</t>
  </si>
  <si>
    <t>03_Seeking_Shelter_of_Vaisnavas_CC_ML-22_53_London_-_Radhanath_Swami_2004_IDesireTree.mp3</t>
  </si>
  <si>
    <t>04_Appearance_of_Lord_Krishna_Lecture_London_-_Radhanath_Swami_2004_IDesireTree.mp3</t>
  </si>
  <si>
    <t>05_Importance_of_Sense_Control_SB-07_12_17-25_London_-_Radhanath_Swami_2004_IDesireTree.mp3</t>
  </si>
  <si>
    <t>06_Overcoming_Fear_SB-04_28_22_London_-_Radhanath_Swami_2004_IDesireTree.mp3</t>
  </si>
  <si>
    <t>07_Krishna_Consciousness_Surpasses_all_Rituals_SB-07_15_04_London_-_23-08-04_IDesireTree.mp3</t>
  </si>
  <si>
    <t>08_Deliverance_of_Bakasura_Sunday_Feast_London_-_Radhanath_Swami_2004-08-22_IDesireTree.mp3</t>
  </si>
  <si>
    <t>09_Aspiring_to_Serve_Birth_after_Birth_SB-04_30_33_Mumbai_-_04-09-04_IDesireTree.mp3</t>
  </si>
  <si>
    <t>10_Immense_Value_of_Association_SB-4_30_34_Mumbai_-_05-09-04_IDesireTree.mp3</t>
  </si>
  <si>
    <t>11_Benefits_of_Hearing_Transcendental_Topics_Sunday_Feast_Mumbai_-_05-09-04_IDesireTree.mp3</t>
  </si>
  <si>
    <t>01_Appearance_of_Lord_Krishna_Janmashtami_Mumbai_-_Radhanath_Swami_2004-09-07_IDesireTree.mp3</t>
  </si>
  <si>
    <t>02_Srila_Prabhupada_In_New_York_Vyas_Puja_Offering_Mumbai_-_09-09-04_IDesireTree.mp3</t>
  </si>
  <si>
    <t>03_Transforming_Garage_Like_Heart_Into_VaikunthaLecture_Mumbai_-_10-09-04_IDesireTree.mp3</t>
  </si>
  <si>
    <t>05_Who_is_Real_Aryan_SB-5_30_39_Mumbai_-_Radhanath_Swami_2004-09-12_IDesireTree.mp3</t>
  </si>
  <si>
    <t>06_Learning_to_Take_Shelter_of_Krsna_Sunday_Feast_Mumbai_-_12-09-04_IDesireTree.mp3</t>
  </si>
  <si>
    <t>07_Overcoming_the_Invisible_Strings_of_Maya_SB-04_30_45_Mumbai_-_18-09-04_IDesireTree.mp3</t>
  </si>
  <si>
    <t>08_Begging_for_Compassionate_Love_Radhashtami_Mumbai_-_22-09-04_IDesireTree.mp3</t>
  </si>
  <si>
    <t>01_Crying_Out_for_Mercy_Radhashtami_Mumbai_-_Radhanath_Swami_2004-09-22_IDesireTree.mp3</t>
  </si>
  <si>
    <t>02_The_Art_of_Forgiveness_Prerana_Mumbai_-_Radhanath_Swami_2004-09-18_IDesireTree.mp3</t>
  </si>
  <si>
    <t>03_While_in_Pandharpur_Lecture_Pandharpur_-_Radhanath_Swami_2004-09-19_IDesireTree.mp3</t>
  </si>
  <si>
    <t>04_Pandharpur-_A_Place_of_Immense_Spirituality_Lecture_Pandharpur_-_20-09-04_IDesireTree.mp3</t>
  </si>
  <si>
    <t>05_Root_of_All_Causes_SB-04_31_18_Mumbai_-_Radhanath_Swami_2004-10-16_IDesireTree.mp3</t>
  </si>
  <si>
    <t>06_The_Power_of_Positive_Atittude_Prerana_Mumbai_-_Radhanath_Swami_2004-10-16_IDesireTree.mp3</t>
  </si>
  <si>
    <t>07_Showing_Real_Compassion_Thru_Preaching_SB-04_31_19_Mumbai_-_17-10-04_IDesireTree.mp3</t>
  </si>
  <si>
    <t>08_Brahma_Vimohan_Lila_Sunday_Feast_Mumbai_-_Radhanath_Swami_2004-10-17_IDesireTree.mp3</t>
  </si>
  <si>
    <t>01_Real_Meaning_of_Yajna_Mumbai_-_Radhanath_Swami_2004-10-22_IDesireTree.mp3</t>
  </si>
  <si>
    <t>02_Philosophy_Without_Good_Character_has_no_Meaning_Lecture_Mumbai_-_23-10-04_IDesireTree.mp3</t>
  </si>
  <si>
    <t>06_Service_as_Center_of_Varnashram_SB-05_01_01_Mumbai_-_31-10-04_IDesireTree.mp3</t>
  </si>
  <si>
    <t>07_Festivals_of_Kartik_Sunday_Feast_Lecture_Mumbai_-_31-10-04_IDesireTree.mp3</t>
  </si>
  <si>
    <t>01_Why_Do_Bad_Things_Happen_to_Good_People_Prerana_Mumbai_-_30-11-04_IDesireTree.mp3</t>
  </si>
  <si>
    <t>02_Who_is_Crazy_Chetana_Mumbai_-_Radhanath_Swami_2004-12-04_IDesireTree.mp3</t>
  </si>
  <si>
    <t>04_Lord_Caitanya_Explains_Who_is_a_Vaisnava_Sunday_Feast_Mumbai_-_05-12-04_IDesireTree.mp3</t>
  </si>
  <si>
    <t>05_The_Real_Meaning_of_Vyas_Puja_Lecture_Mumbai_-_Radhanath_Swami_2004-12-11_IDesireTree.mp3</t>
  </si>
  <si>
    <t>06_Learning_to_Completely_Depend_on_Krishna_Lecture_Mumbai_-_11-12-04_IDesireTree.mp3</t>
  </si>
  <si>
    <t>07_Cooperation_Amongst_Devotees_SB-05_01_40_Mumbai_-_12-12-04_IDesireTree.mp3</t>
  </si>
  <si>
    <t>08_Gauri_Das_Pandit%27s_DevotionSunday_Feast_Mumbai_-_12-12-04_IDesireTree.mp3</t>
  </si>
  <si>
    <t>09_Address_on_25th_Year_Celebration_of_Khar_Program_Lecture_Mumbai_-_17-12-04_IDesireTree.mp3</t>
  </si>
  <si>
    <t>01_Perfection_Attained_by_Perfect_Hearing_SB-03_13_48_Mumbai_-_19-12-04_IDesireTree.mp3</t>
  </si>
  <si>
    <t>03_Sincerity_Attracts_Krishna_SB-05_03_01_Mumbai_-_Radhanath_Swami_2004-12-25_IDesireTree.mp3</t>
  </si>
  <si>
    <t>04_Teachings_of_Lord_Jesus_Christ_Lecture_Mumbai_-_Radhanath_Swami_2004-12-25_IDesireTree.mp3</t>
  </si>
  <si>
    <t>05_Bhakti_The_Wealth_of_Heart_SB-05_03_02_Mumbai_-_Radhanath_Swami_2004-12-26_IDesireTree.mp3</t>
  </si>
  <si>
    <t>06_Glories_of_Narahari_Sarkar_%26_Gadadhar_Das_Sunday_Feast_Mumbai_-_26-12-04_IDesireTree.mp3</t>
  </si>
  <si>
    <t>08_New_Year_Resolution_Prerana_Mumbai_-_Radhanath_Swami_2004-12-31_IDesireTree.mp3</t>
  </si>
  <si>
    <t>09_What_is_Real_Greatness_Goloka_Dham_Germany_-_Radhanath_Swami_2004_IDesireTree.mp3</t>
  </si>
  <si>
    <t>2004-11-28_Srimad_Bhagavatam_ISKCON_Chowpatty_-_Radhanath_Swami_IDesireTree.mp3</t>
  </si>
  <si>
    <t>2004-11-28_Sunday_Feast_ISKCON_Chowpatty_-_Radhanath_Swami_IDesireTree.mp3</t>
  </si>
  <si>
    <t>2005-04-08_SB_03-21-19_-_Radhanath_Swami_San_Casciano.mp3</t>
  </si>
  <si>
    <t>2005-04-09_SB_03-21-20_-_Radhanath_Swami_San_Casciano.mp3</t>
  </si>
  <si>
    <t>2005-07-10_SB_07-04-40_-_Radhanath_Swami.mp3</t>
  </si>
  <si>
    <t>2005-08-03_Various_-_The_danger_of_Pride_-_Radhanath_Swami_Albettone.mp3</t>
  </si>
  <si>
    <t>2005-08-04_SB_02-01-07_-_Radhanath_Swami_Albettone.mp3</t>
  </si>
  <si>
    <t>2005-08-04_Various_-_Recalling_Bhakti_Tirtha_Swami_-_Radhanath_Swami_Albettone.mp3</t>
  </si>
  <si>
    <t>2005-08-05_Various_-_Humility_and_Devotion_-_Radhanath_Swami_Albettone.mp3</t>
  </si>
  <si>
    <t>2005-08-07_Festivals_-_Snana_Yatra_-_Radhanath_Swami_San_Casciano.mp3</t>
  </si>
  <si>
    <t>2005-08-08_Various_-_Initiations_-_Radhanath_Swami_San_Casciano.mp3</t>
  </si>
  <si>
    <t>2005-08-09_Various_-_True_Renunciation_-_Radhanath_Swami_San_Casciano.mp3</t>
  </si>
  <si>
    <t>2005-08-10_Various_-_Krishna_Know%27s_our_hearts_-_Radhanath_Swami_Nepi.mp3</t>
  </si>
  <si>
    <t>2005-08-10_Various_-_The_Essence_of_Austerity_-_Radhanath_Swami_Nepi.mp3</t>
  </si>
  <si>
    <t>01_Krishna_Doesn%27t_Require_Anything_SB-05_03_08_Mumbai_-_01-01-05_IDesireTree.mp3</t>
  </si>
  <si>
    <t>02_The_Meaning_and_Richness_of_Vedic_Culture_Lecture_Mumbai_-_02-01-05_IDesireTree.mp3</t>
  </si>
  <si>
    <t>03_The_Glories_of_Chanting_Hare_Krishna_Sunday_Feast_Mumbai_-_02-01-05_IDesireTree.mp3</t>
  </si>
  <si>
    <t>04_Knowing_Swami_Radhanath_Lecture_Mumbai_-_Radhanath_Swami_2005-01-06_IDesireTree.mp3</t>
  </si>
  <si>
    <t>05_The_Meaning_of_Renunciation_Lecture_Mumbai_-_Radhanath_Swami_2005-01-07_IDesireTree.mp3</t>
  </si>
  <si>
    <t>07_Achieving_My_Path_Lecture_Mumbai_-_Radhanath_Swami_2005-01-08_IDesireTree.mp3</t>
  </si>
  <si>
    <t>08_The_Secret_of_Achieving_True_Happiness_Lecture_Nigdi_-_09-01-05_IDesireTree.mp3</t>
  </si>
  <si>
    <t>09_The_Essence_of_the_Meaning_of_Bhagavad_Gita_Lecture_Mumbai_-_10-01-05_IDesireTree.mp3</t>
  </si>
  <si>
    <t>10_The_Variegatedness_of_Unconditional_Love_Sunday_Feast_Mumbai_-_16-01-05_IDesireTree.mp3</t>
  </si>
  <si>
    <t>01_Life_of_Srinivas_Acarya_Lecture_Pune_-_Radhanath_Swami_2005-01-22_IDesireTree.mp3</t>
  </si>
  <si>
    <t>02_Krishna_Accepts_the_Devotion_Lecture_Mumbai_-_Radhanath_Swami_2005-01-25_IDesireTree.mp3</t>
  </si>
  <si>
    <t>06_What_is_Real_Attonement_NSCI_Lecture_Mumbai_-_Radhanath_Swami_2005-01-31_IDesireTree.mp3</t>
  </si>
  <si>
    <t>07_Detach_Yourself_from_Sense_Gratification_SB_-5_5_4_Mumbai_-_05-02-05_IDesireTree.mp3</t>
  </si>
  <si>
    <t>08_Dying_to_Live_Prerana_Mumbai_-_Radhanath_Swami_2005-02-10_IDesireTree.mp3</t>
  </si>
  <si>
    <t>09_The_Philosophy_of_Krishna_Consciousness_Lecture_Mumbai_-_12-02-05_IDesireTree.mp3</t>
  </si>
  <si>
    <t>01_The_Medicine_of_the_Holy_Name_Sunday_Feast_Mumbai_-_13-02-05_IDesireTree.mp3</t>
  </si>
  <si>
    <t>05_Protect_Yourself_by_Chanting_Holy_Name_SB-05_06_04_Mumbai_-_20-03-05_IDesireTree.mp3</t>
  </si>
  <si>
    <t>06_Lord_Caitanya_Giving_Credit_to_Devotees_Sunday_Feast_Mumbai_-_20-03-05_IDesireTree.mp3</t>
  </si>
  <si>
    <t>07_Establishing_the_Truth_of_One_Supreme_Godhead_Lecture_Mumbai_-_24-03-05_IDesireTree.mp3</t>
  </si>
  <si>
    <t>08_The_Prelude_to_Caitanya_Lila_Lecture_Mumbai_-_Radhanath_Swami_2005-03-24_IDesireTree.mp3</t>
  </si>
  <si>
    <t>04_Material_World_a_Place_to_Live_and_Learn_Chetana_Lecture_Mumbai_-_19-03-05_IDesireTree.mp3</t>
  </si>
  <si>
    <t>01_Lalita_Vishaka_Installation_Evening_Class_Lecture_Mumbai_-_02-04-05_IDesireTree.mp3</t>
  </si>
  <si>
    <t>02_Developing_Selfless_Service_Attitude_Sunday_Feast_Mumbai_-_03-04-05_IDesireTree.mp3</t>
  </si>
  <si>
    <t>03_Value_of_Sadhu_Sanga_Questions_%26_Answers_London_-_06-04-05_IDesireTree.mp3</t>
  </si>
  <si>
    <t>04_Keeping_Prabhupada%27s_Family_Alive_Lecture_London_-_06-04-05_IDesireTree.mp3</t>
  </si>
  <si>
    <t>06_Put_Your_Faith_in_Krishna_Lecture_Germany_-_Radhanath_Swami_April_2005_IDesireTree.mp3</t>
  </si>
  <si>
    <t>07_No_Shelter_Besides_Krishna%27s_Lotus_Feet_Lecture_London_-_April_2005_IDesireTree.mp3</t>
  </si>
  <si>
    <t>08_Family_Values_Lecture_London_-_Radhanath_Swami_April_2005_IDesireTree.mp3</t>
  </si>
  <si>
    <t>09_House_Program-Nikunja_Prabhu_Lecture_London_-_Radhanath_Swami_April_2005_IDesireTree.mp3</t>
  </si>
  <si>
    <t>10_Serving_the_Servants_Lecture_Gita_Nagari_-_Radhanath_Swami_June_2005_IDesireTree.mp3</t>
  </si>
  <si>
    <t>11Cooperation_Among_Devotees_SB-04_22_32_Gita_Nagari_-_June_2005_IDesireTree.mp3</t>
  </si>
  <si>
    <t>01_Overcoming_Influence_of_Materal_Modes_SB_Lecture_Gita_Nagari_-_June_2005_IDesireTree.mp3</t>
  </si>
  <si>
    <t>02_Glorious_Qualities_of_Prthu_Maharaj_SB-04_22_54_Gita_Nagari_-_June_2005_IDesireTree.mp3</t>
  </si>
  <si>
    <t>03_Following_in_the_Footsteps_SB-04_22_56_Gita_Nagari_-_June_2005_IDesireTree.mp3</t>
  </si>
  <si>
    <t>04_Lord_Caitanya_Pleases_Haridas_Thakur_Lecture_Gita_Nagari_-_June_2005_IDesireTree.mp3</t>
  </si>
  <si>
    <t>05_Jagadananda_Pandits_Loving_Relations_Lecture_Gita_Nagari_-_June_2005_IDesireTree.mp3</t>
  </si>
  <si>
    <t>06_Bhimasena%27s_Wedding_Lecture_New_Vrindavan_-_Radhanath_Swami_Spring_2005_IDesireTree.mp3</t>
  </si>
  <si>
    <t>07_Sunday_Feast_Sunday_Feast_Brooklyn_-_Radhanath_Swami_Spring_2005_IDesireTree.mp3</t>
  </si>
  <si>
    <t>08_Lord_Imprisioned_in_the_Heart_of_His_DevoteeLecture_Chicago_-_Spring_2005_IDesireTree.mp3</t>
  </si>
  <si>
    <t>09_Servant_Leadership_Lecture_Columbia_-_Radhanath_Swami_Spring_2005_IDesireTree.mp3</t>
  </si>
  <si>
    <t>10_Festival_of_Inspiration_Final_Addres_Lecture_New_Vrindavan_-_Spring_2005_IDesireTree.mp3</t>
  </si>
  <si>
    <t>12_Significance_of_Gundica_Marjanam_Lecture_US_-_Radhanath_Swami_Spring_2005_IDesireTree.mp3</t>
  </si>
  <si>
    <t>13_Spirituality_%26_Vegetarianism_Lecture_New_York_University_-_Spring_2005_IDesireTree.mp3</t>
  </si>
  <si>
    <t>14_Exchange_of_Hearts_SB-01_16_34_Chicago_-_Radhanath_Swami_Spring_2005_IDesireTree.mp3</t>
  </si>
  <si>
    <t>03_Gravity_of_Vaisnav_offense_SB-04_06_37_US_-_West_Coast_2005_IDesireTree.mp3</t>
  </si>
  <si>
    <t>04_Do_Not_Be_Restless_Like_a_Lightning_Flash_SB-10_20_17_US_-_West_Coast_2005_IDesireTree.mp3</t>
  </si>
  <si>
    <t>05_The_Glories_of_HH_Bhakti_Tirtha_Swami_SB_Lecture_US_-_West_Coast_2005_IDesireTree.mp3</t>
  </si>
  <si>
    <t>06_The_Glories_of_Lord_Shiva_SB-04_06_42_US_-_Radhanath_Swami_West_Coast_2005_IDesireTree.mp3</t>
  </si>
  <si>
    <t>07_Varnashrama_Dharma_SB-04_06_44_US_-_Radhanath_Swami_West_Coast_2005_IDesireTree.mp3</t>
  </si>
  <si>
    <t>08_Responsibility_Lecture_London_-_Radhanath_Swami_August_2005_IDesireTree.mp3</t>
  </si>
  <si>
    <t>09_Maya_Traps_The_Puffed_Up_SB-05_13_23_Mumbai_-_Radhanath_Swami_2005-09-07_IDesireTree.mp3</t>
  </si>
  <si>
    <t>01_What_Janmashtami_Really_Means_Lecture_Mumbai_-_Radhanath_Swami_2005-09-09_IDesireTree.mp3</t>
  </si>
  <si>
    <t>03_Glories_of_Srila_Swaroop_Damodar_Goswami_Lecture_Mumbai_-_10-09-05_IDesireTree.mp3</t>
  </si>
  <si>
    <t>05_Glories_of_Srimati_Radharani_Lecture_Mumbai_-_Radhanath_Swami_2005-09-11_IDesireTree.mp3</t>
  </si>
  <si>
    <t>06_Vaisnava%27s_Mood_of_Studying_Bhakti_Shastri_Lecture_Mumbai_-_14-09-05_IDesireTree.mp3</t>
  </si>
  <si>
    <t>01_Bali_Maharaj-_Emblem_of_Complete_Surrender_Lecture_Mumbai_-_15-09-05_IDesireTree.mp3</t>
  </si>
  <si>
    <t>02_Glories_of_Srila_Haridas_Thakur_SB-05_14_06_Mumbai_-_17-09-05_IDesireTree.mp3</t>
  </si>
  <si>
    <t>05_Cast_Off_the_Sinful_Mentality_SB-10_20_28_Mumbai_-_22-09-05_IDesireTree.mp3</t>
  </si>
  <si>
    <t>06_Do_Not_Eat_the_Forbidden_Apple_of_Envy_SB-05_14_12_Mumbai_-_24-09-05_IDesireTree.mp3</t>
  </si>
  <si>
    <t>07_Hurricane_or_Harinaam_Prerana_Lecture_Mumbai_-_Radhanath_Swami_2005-09-24_IDesireTree.mp3</t>
  </si>
  <si>
    <t>01_Saints_and_Swindlers_SB-05_14_13_Mumbai_-_Radhanath_Swami_2005-09-25_IDesireTree.mp3</t>
  </si>
  <si>
    <t>03_Dangers_and_Oppurtunities_Lecture_Mumbai_-_Radhanath_Swami_2005-09-28_IDesireTree.mp3</t>
  </si>
  <si>
    <t>06_Thorns_And_Pebbles_on_the_Path_of_Grhastha_Ashram_SB-05_14_18_-_01-10-05_IDesireTree.mp3</t>
  </si>
  <si>
    <t>07_Offerings_to_Nandarani_Lecture_Mumbai_-_Radhanath_Swami_2005-10-01_IDesireTree.mp3</t>
  </si>
  <si>
    <t>08_Resolving_Conflicts_in_Grhastha_Ashram_SB-05_14_19_Mumbai_-_02-10-05_IDesireTree.mp3</t>
  </si>
  <si>
    <t>09_Power_of_Mercy_and_Pastimes_of_H_-_Radhanath_Swami_IDesireTree.mp3</t>
  </si>
  <si>
    <t>10_Yamuna_Pati_Prabhu%27s_Memorial_Lecture_Govind_Dham_Nigdi_-_06-10-05_IDesireTree.mp3</t>
  </si>
  <si>
    <t>01_From_Illusion_to_Reality_Chetana_Mumbai_-_Radhanath_Swami_2005-10-08_IDesireTree.mp3</t>
  </si>
  <si>
    <t>02_Greed_-_No_Satisfaction_No_Relationships_SB-05_14_26_Mumbai_-_09-10-05_IDesireTree.mp3</t>
  </si>
  <si>
    <t>04_Destroying_The_Ravana_Within_37th_Prerana_Mumbai_-_15-10-05_IDesireTree.mp3</t>
  </si>
  <si>
    <t>05_Monkey_Psychology_in_Concrete_Jungle_SB-05_14_32_Mumbai_-_16-10-05_IDesireTree.mp3</t>
  </si>
  <si>
    <t>06_Pastimes_of_Murari_Gupta_Sunday_Feast_Mumbai_-_Radhanath_Swami_2005-10-16_IDesireTree.mp3</t>
  </si>
  <si>
    <t>07_Glories_of_the_Month_of_Kartik_SB-3_21_30_Mumbai_-_17-10-05_IDesireTree.mp3</t>
  </si>
  <si>
    <t>08_Sharad_Poornima_Lecture_Mumbai_-_Radhanath_Swami_2005-10-17_IDesireTree.mp3</t>
  </si>
  <si>
    <t>09_Integrity_of_Lord_Ramchandra_Dipavali_Lecture_Mumbai_-_01-11-05_IDesireTree.mp3</t>
  </si>
  <si>
    <t>01_Govardhan_Puja_Lecture_Mumbai_-_Radhanath_Swami_2005-11-03_IDesireTree.mp3</t>
  </si>
  <si>
    <t>02_The_Origin_of_Mother_Ganges_SB-05_17_01_Mumbai_-_04-11-05_IDesireTree.mp3</t>
  </si>
  <si>
    <t>04_Offerings_-_Radhanath_Swami_IDesireTree.mp3</t>
  </si>
  <si>
    <t>05_Offerings_-_Radhanath_Swami_IDesireTree.mp3</t>
  </si>
  <si>
    <t>06_Krishna%27s_Inconceivable_Varigatedness_SB-05_15_05-06_Mumbai_-_06-11-05_IDesireTree.mp3</t>
  </si>
  <si>
    <t>07_Damodar_Lila_Sunday_Feast_Mumbai_-_Radhanath_Swami_2005-11-06_IDesireTree.mp3</t>
  </si>
  <si>
    <t>09_Memories_of_Srila_Prabhupada_Sunday_Feast_Mumbai_-_20-11-05_IDesireTree.mp3</t>
  </si>
  <si>
    <t>10_How_to_Cultivate_Attachment_to_Krsna_Lecture_Nigidi_-_20-11-05_IDesireTree.mp3</t>
  </si>
  <si>
    <t>01_The_Power_of_Prayers_Prerana_Mumbai_-_Radhanath_Swami_2005-11-25_IDesireTree.mp3</t>
  </si>
  <si>
    <t>03_Knowing_the_Inconceivable_Through_Faith_SB-05_16_08-09_Mumbai_-_27-11-05_IDesireTree.mp3</t>
  </si>
  <si>
    <t>04_Glories_of_Srila_Narahari_Sarkar_Sunday_Feast_Mumbai_-_27-11-05_IDesireTree.mp3</t>
  </si>
  <si>
    <t>06_Lord_has_Personal_Relationships_With_All_SB-03_22_04_Mumbai_-_02-12-05_IDesireTree.mp3</t>
  </si>
  <si>
    <t>08_Knowledge_of_the_Absolute_Lecture_Mumbai_-_Radhanath_Swami_2005-12-06_IDesireTree.mp3</t>
  </si>
  <si>
    <t>09_Real_Problems_Real_Solutions_Prerna_Lecture_Mumbai_-_10-12-05_IDesireTree.mp3</t>
  </si>
  <si>
    <t>01_Heavenly_Pleasure_Vs_Spiritual_Pleasure_SB-05_17_10-11_Mumbai_-_11-12-05_IDesireTree.mp3</t>
  </si>
  <si>
    <t>02_Gita_Jayanti_Lecture_Sunday_Feast_Mumbai_-_Radhanath_Swami_2005-12-11_IDesireTree.mp3</t>
  </si>
  <si>
    <t>04_Vyas_Puja_Address_Lecture_Mumbai_-_Radhanath_Swami_2005-12-17_IDesireTree.mp3</t>
  </si>
  <si>
    <t>05_Compassion_of_Lord_Shiva_SB-05_17_17-19_Mumbai_-_18-12-05_IDesireTree.mp3</t>
  </si>
  <si>
    <t>2006-001_Glories_Of_Srila_Anantacharya_Lecture_Mumbai_-_Radhanath_Swami_2006-01-15_IDesireTree.mp3</t>
  </si>
  <si>
    <t>2006-002_Beware_Of_Paramatma%27s_Watchfull_Eyes_SB-05_18_29_Mumbai_-_21-01-06_IDesireTree.mp3</t>
  </si>
  <si>
    <t>2006-003_SB-05_18_30_Mumbai_-_Radhanath_Swami_2006-01-22_IDesireTree.mp3</t>
  </si>
  <si>
    <t>2006-004_Glories_Of_Srila_Locana_Das_Thakur_Lecture_Mumbai_-_22-01-06_IDesireTree.mp3</t>
  </si>
  <si>
    <t>2006-005_Power_Of_Inquiry_Prerana_Lecture_Mumbai_-_Radhanath_Swami_2006-01-26_IDesireTree.mp3</t>
  </si>
  <si>
    <t>2006-006_Lecture_Mumbai_-_Radhanath_Swami_2006-01-27_IDesireTree.mp3</t>
  </si>
  <si>
    <t>2006-007_Pastimes_Related_To_Lord_Varaha_SB-05_18_35_Mumbai_-_28-01-06_IDesireTree.mp3</t>
  </si>
  <si>
    <t>2006-008_Pushya_Abhishek_Lecture_Lecture_Mumbai_-_Radhanath_Swami_2006-01-28_IDesireTree.mp3</t>
  </si>
  <si>
    <t>2006-009_Memories_Of_Srila_Prabhupada_Lecture_Mumbai_-_Radhanath_Swami_2006-01-29_IDesireTree.mp3</t>
  </si>
  <si>
    <t>2006-010_Prabhupada_Memories_Lecture_Mumbai_-_Radhanath_Swami_2006-01-29_IDesireTree.mp3</t>
  </si>
  <si>
    <t>2006-011_Prabhupada_Memories_Lec_Mumbai_-_Radhanath_Swami_2006-02-05_IDesireTree.mp3</t>
  </si>
  <si>
    <t>2006-013_Every_Moment_of_Your_Life_Count_Lec_at_NSCI_Mumbai_-_08-02-06_IDesireTree.mp3</t>
  </si>
  <si>
    <t>2006-014_Absorb_Completely_In_Whatever_One_Does_SB-05_19_13_Mumbai_-_12-02-06_IDesireTree.mp3</t>
  </si>
  <si>
    <t>2006-015_Prabhupada_Memories_Lecture_Mumbai_-_Radhanath_Swami_2006-02-12_IDesireTree.mp3</t>
  </si>
  <si>
    <t>2006-018_Lord_Caitanya_Manifesting_Different_Forms_Lecture_Mumbai_-_14-03-06_IDesireTree.mp3</t>
  </si>
  <si>
    <t>2006-019_Sankirtan_Movement_Makes_Kaliyuga_Glorious_Lecture_Mumbai_-_14-03-06_IDesireTree.mp3</t>
  </si>
  <si>
    <t>2006-020_The_Power_of_Holy_Name_Lecture_Mumbai_-_Radhanath_Swami_2006-03-15_IDesireTree.mp3</t>
  </si>
  <si>
    <t>2006-022_Lord_Caitanya%27s_Pastime_of_Sannyas_%26_After_Lecture_Mumbai_-_15-03-06_IDesireTree.mp3</t>
  </si>
  <si>
    <t>2006-023_Lecture_At_Sahadev_Pr_Residence_Lecture_Mumbai_-_Radhanath_Swami_2006-03-18_IDesireTree.mp3</t>
  </si>
  <si>
    <t>2006-024_The_Absolute_Truth_is_Inconceivable_SB-05_21_11_Mumbai_-_19-03-06_IDesireTree.mp3</t>
  </si>
  <si>
    <t>2006-025_Krishna_Descends_To_Reawaken_Our_Dormant_Love_Lecture_Mumbai_-_19-03-06_IDesireTree.mp3</t>
  </si>
  <si>
    <t>2006-026_Srila_Prabhupada_The_Perfect_Rupanuga_Lecture_Mumbai_-_06-08-06_IDesireTree.mp3</t>
  </si>
  <si>
    <t>2006-027_Initiation_Lecture_Brahmacari_Initiation_on_Balaram_Jayanti_-_09-08-06_IDesireTree.mp3</t>
  </si>
  <si>
    <t>2006-029_Tune_Your_Mind_to_Krishna_Channel_Sunday_Feast_-_Radhanath_Swami_2006-08-13_IDesireTree.mp3</t>
  </si>
  <si>
    <t>2006-031_Janmashtami_Lecture_At_Bhartiya_Vidya_Bhavan_-_Radhanath_Swami_2006-08-17_IDesireTree.mp3</t>
  </si>
  <si>
    <t>2006-032_SP_Vyas_Puja_Address_RadhaGopinath_Temple_-_Radhanath_Swami_2006-08-17_IDesireTree.mp3</t>
  </si>
  <si>
    <t>2006-033_Prayers_of_A_Pure_Devotee-_Srila_Prabhupada_Sunday_Feast_-_20-08-06_IDesireTree.mp3</t>
  </si>
  <si>
    <t>2006_Various_-_How_to_Properly_Serve_the_Vaishnavas_-_Radhanath_Swami.mp3</t>
  </si>
  <si>
    <t>2006_Various_-_Krishna_never_forgets_service_of_his_Devotees_-_Radhanath_Swami.mp3</t>
  </si>
  <si>
    <t>2006_Various_-_Prabhupada_Pastimes_-_Radhanath_Swami.mp3</t>
  </si>
  <si>
    <t>2006_Various_-_The_Principle_of_Gratitude_-_Radhanath_Swami.mp3</t>
  </si>
  <si>
    <t>07-11-25_Hate_The_Sin_But_Love_The_Sinner_%28SB-7_1_44-46%29_HH_Radhanath_Swami.mp3</t>
  </si>
  <si>
    <t>07-12-14_Krishna_sees_the_purpose_%28SB7_2_23%29_HH_Radhanath_Swami.mp3</t>
  </si>
  <si>
    <t>07-12-30_Humb_Service_Attit_TransKnowledge_To_Realisation_%28SB-7_2_42%29_Radhanath_Swami.mp3</t>
  </si>
  <si>
    <t>07-12-30_Selfless_Service_Attracts_Lord%27s_Empowerment_%28Sunday_Feast%29_Radhanath_Swami.mp3</t>
  </si>
  <si>
    <t>2007-01-07_Pastimes_of_Advaita_Acharya_-_Radhanath_Swami.mp3</t>
  </si>
  <si>
    <t>2007-01-07_Special_Lecture_Attitude_of_Gratitude_BIRLA_House_-_Radhanath_Swami_IDesireTree.mp3</t>
  </si>
  <si>
    <t>2007-01-11_Service_Attitude_is_Heart_of_Bhakti_CC_ML-13_60_-_Radhanath_Swami_Juhu_Mumbai.mp3</t>
  </si>
  <si>
    <t>2007-02-18_Coming_Above_The_Dualities_SB-06-09-37_ISKCON_Chowpatty_-_Radhanath_Swami_IDesireTree.mp3</t>
  </si>
  <si>
    <t>2007-02-25_Sunday_Festival_Babulnath_-_Radhanath_Swami_IDesireTree.mp3</t>
  </si>
  <si>
    <t>2007-03-03_Gaur_Lila_Eve_Class_-_Radhanath_Swami.mp3</t>
  </si>
  <si>
    <t>2007-03-03_Gaur_Lila_Morn_Class_-_Radhanath_Swami.mp3</t>
  </si>
  <si>
    <t>2007-03-04_Childhood_pastimes_of_Nimai_-_Radhanath_Swami.mp3</t>
  </si>
  <si>
    <t>2007-03-04_Jagannath_Misra_Festival_-_Radhanath_Swami.mp3</t>
  </si>
  <si>
    <t>2007-03-07_-_Lecture_-_Second_Avenue_-_07-03-07.mp3</t>
  </si>
  <si>
    <t>2007-03-09_Lec_at_Khar_-_Radhanath_Swami.mp3</t>
  </si>
  <si>
    <t>2007-03-26%20SB-03-31-06_Juhu_-_Radhanath_Swami.mp3</t>
  </si>
  <si>
    <t>2007-03-27_Ramnavmi_lec_-_Radhanath_Swami.mp3</t>
  </si>
  <si>
    <t>2007-04-02_Service_Attitude_is_the_Foundation_SB-06-11-24_-_Radhanath_Swami.mp3</t>
  </si>
  <si>
    <t>2007-04-02_Understanding_the_Spirit_of_Vrindavan_Pastimes_Sunday_Feast_-_Radhanath_Swami.mp3</t>
  </si>
  <si>
    <t>2007-04-28_Do_Not_Mistreat_Anyone_SB-06-14-01_ISKCON_Chowpatty_-_Radhanath_Swami_IDesireTree.mp3</t>
  </si>
  <si>
    <t>2007-04-29_Sunday_Festival_ISKCON_Chowpatty_-_Radhanath_Swami_IDesireTree.mp3</t>
  </si>
  <si>
    <t>2007-05-01_Narshima_Chaturdasi_Festival_Morn_Lec_SB-07-09-18_-_Radhanath_Swami.mp3</t>
  </si>
  <si>
    <t>2007-05-08_Initation_Eve_Lec_-_Radhanath_Swami.mp3</t>
  </si>
  <si>
    <t>2007-05-08_Initation_Morn_Lec_-_Radhanath_Swami.mp3</t>
  </si>
  <si>
    <t>2007-07-31_CC_Madhya_Lila_13-155_-_Radhanath_Swami_Los_Angeles.mp3</t>
  </si>
  <si>
    <t>2007-08-26_Sunday_Festival_Alachua_-_Radhanath_Swami_IDesireTree.mp3</t>
  </si>
  <si>
    <t>2007-08-27_SB-07-06-11-12-13_Alachua_-_Radhanath_Swami_IDesireTree.mp3</t>
  </si>
  <si>
    <t>2007-08-29_SB-07-06-14-13_Alachua_-_Radhanath_Swami_IDesireTree.mp3</t>
  </si>
  <si>
    <t>2007-10-14_Sunday_Festival_Teachings_From_Sri_Brhat_Bhagvatamrta_ISKCON_Chowpatty_IDesireTree.mp3</t>
  </si>
  <si>
    <t>2007-10-18_Eve_Lec_at_nair_medicle_college_-_Radhanath_Swami.mp3</t>
  </si>
  <si>
    <t>2007-10-19_SB_at_RRB_JUHU_-_Radhanath_Swami.mp3</t>
  </si>
  <si>
    <t>2007-10-26_Eventful_Kartik_Month_SB-07-01-10_ISKCON_Chowpatty_-_Radhanath_Swami_IDesireTree.mp3</t>
  </si>
  <si>
    <t>2007-11-25_Hate_The_Sin_But_Love_The_Sinner_SB-07-01-44-46_-_Radhanath_Swami_IDesireTree.mp3</t>
  </si>
  <si>
    <t>2007-11-25_SB-07_-_Radhanath_Swami.mp3</t>
  </si>
  <si>
    <t>2007-12-02_Sunday_Feast_with_HHDVS_HG_Mahamuni_Prabhu_IDesireTree_-_Radhanath_Swami.mp3</t>
  </si>
  <si>
    <t>2007-12-07_Address_to_Garland_making_Matajis_-_Radhanath_Swami.mp3</t>
  </si>
  <si>
    <t>2007-12-08_Vyas_Puja_Address_-_Radhanath_Swami.mp3</t>
  </si>
  <si>
    <t>2007-12-09_Connecting_To_Mercy_Of_Devotees_Sunday_Feast_with_HHCMS_HGMMP_IDesireTree.MP3</t>
  </si>
  <si>
    <t>2007-12-09_Taking_Care_Of_Details_SB-07-02-14_IDesireTree.MP3</t>
  </si>
  <si>
    <t>2007-12-09_Taking_Care_Of_Details_SB-07-02-14_IDesireTree_-_Radhanath_Swami.MP3</t>
  </si>
  <si>
    <t>2007-12-14_Krishna_sees_the_purpose_SB-07-02-23_-_Radhanath_Swami_IDesireTree.mp3</t>
  </si>
  <si>
    <t>2007-12-15_SB-07-02-23_-_Radhanath_Swami.mp3</t>
  </si>
  <si>
    <t>2007-12-22_50th_wedding_aniversary_Sahadev_Prabhu-Sucharitra_Mataji_IDesireTree.mp3</t>
  </si>
  <si>
    <t>2007-12-22_No_Substitute_For_Maturity_%26_Realisation_SB-07-02-35_-_Radhanath_Swami_IDesireTree.mp3</t>
  </si>
  <si>
    <t>2007_Various_-_Daksa_curses_Shiva_-_Radhanath_Swami.mp3</t>
  </si>
  <si>
    <t>2007_Various_-_Enthusiasm_and_Devotion_-_Radhanath_Swami.mp3</t>
  </si>
  <si>
    <t>2007_Various_-_Figure_of_Radharani_-_Radhanath_Swami.mp3</t>
  </si>
  <si>
    <t>2007_Various_-_Finding_Spirituality_in_the_Agreement_-_Radhanath_Swami.mp3</t>
  </si>
  <si>
    <t>2007_Various_-_Glory_of_the_Holy_Name_-_Radhanath_Swami.mp3</t>
  </si>
  <si>
    <t>2007_Various_-_Learning_to_Love_-_Radhanath_Swami.mp3</t>
  </si>
  <si>
    <t>2007_Various_-_Life_of_Haridas_Thakur_-_Radhanath_Swami.mp3</t>
  </si>
  <si>
    <t>2007_Various_-_Meaning_of_Marriage_-_Radhanath_Swami.mp3</t>
  </si>
  <si>
    <t>2007_Various_-_Nature_Teaches_-_Radhanath_Swami.mp3</t>
  </si>
  <si>
    <t>2007_Various_-_Pride_Kills_Devotion_-_Radhanath_Swami.mp3</t>
  </si>
  <si>
    <t>2007_Various_-_Sacrifice_for_Others_-_Radhanath_Swami.mp3</t>
  </si>
  <si>
    <t>2007_Various_-_Servant_of_the_Servant_-_Radhanath_Swami.mp3</t>
  </si>
  <si>
    <t>2007_Various_-_Speeches_in_Naimisharanya_-_Radhanath_Swami.mp3</t>
  </si>
  <si>
    <t>2007_Various_-_Surrender_of_Bali_Maharaj_-_Radhanath_Swami.mp3</t>
  </si>
  <si>
    <t>08-01-05_Art_Of_Mind_Control_%28SB-7_2_47%29_HH_Radhanath_Swami.mp3</t>
  </si>
  <si>
    <t>08-01-06_Stop_Dreaming_Wake_-_Up_%21_%28SB-7_2_48%29_HH_Radhanath_Swami.mp3</t>
  </si>
  <si>
    <t>2008-01-03_Sankirtan_Festival_2008_with_HG_Mahamuni_Pr_-_Radhanath_Swami.mp3</t>
  </si>
  <si>
    <t>2008-01-05_Art_Of_Mind_Control_SB-07-02-47_-_Radhanath_Swami_IDesiretree.mp3</t>
  </si>
  <si>
    <t>2008-01-05_Mid_Day_Meal_Program_-_Radhanath_Swami_IDesireTree.mp3</t>
  </si>
  <si>
    <t>2008-01-06_Stop_Dreaming_Wake_-_Up_%21_SB-07-02-48_-_Radhanath_Swami_IDesireTree.mp3</t>
  </si>
  <si>
    <t>2008-01-10_BhaktiVedant_Hospital-Annual_Day%20Celebration_-_Radhanath_Swami_2008_IDesireTree.mp3</t>
  </si>
  <si>
    <t>2008-01-11_Rath_Yatra_In_Iraq_-_Radhanath_Swami_IDesireTree.mp3</t>
  </si>
  <si>
    <t>2008-01-12_Anomalies_Of_Modern_Civilization_SB-07-02-59-60_-_Radhanath_Swami_IDesireTree.mp3</t>
  </si>
  <si>
    <t>2008-01-13_Clear_Intelligence_Comes_From_Sincerity_SB-07-02-61_-_Radhanath_Swami_IDesireTree.mp3</t>
  </si>
  <si>
    <t>2008-01-13_Gauranga_Takes_Sannyas_Sunday_Feast_-_Radhanath_Swami_IDesireTree.mp3</t>
  </si>
  <si>
    <t>2008-01-14_Making_Marriage_Divine_-_Radhanath_Swami_IDesireTree.mp3</t>
  </si>
  <si>
    <t>2008-01-18_Enriching_Our_Lives_By_Divine_Qualities_Birla_House_-_Radhanath_Swami_IDesireTree.mp3</t>
  </si>
  <si>
    <t>2008-01-19_Love_Me_-_Love_My_Cows_SB-07-03-13_-_Radhanath_Swami_IDesireTree.mp3</t>
  </si>
  <si>
    <t>2008-02-19_Nityananda_Katha_CC_Adi_lila-05_-_Radhanath_Swami_IDesireTree.mp3</t>
  </si>
  <si>
    <t>2008-02-19_Nityananda_Katha_CC_Adilila_05-204_-_Radhanath_Swami_IDesireTree.MP3</t>
  </si>
  <si>
    <t>2008-03-06_Kolkata_IYF_IDesireTree_-_Radhanath_Swami.mp3</t>
  </si>
  <si>
    <t>2008-03-07_Kolkata_SB-04_IDesireTree_-_Radhanath_Swami.mp3</t>
  </si>
  <si>
    <t>2008-03-08_Who_Is_A_Vaisnava_SB-07-04-33_-_Radhanath_Swami_IDesireTree.mp3</t>
  </si>
  <si>
    <t>2008-03-09_Antidote_Of_Envy_Is_Appreciation_SB-07-04-34_-_Radhanath_Swami_IDesireTree.mp3</t>
  </si>
  <si>
    <t>2008-03-10_Marriage%20Address_HG_Ananda_Krsna_Pr_%26_Sunayna_-_Radhanath_Swami_IDesireTree.mp3</t>
  </si>
  <si>
    <t>2008-03-20_Parallels_Of_Prahlad%27s_Mood_In_Gura_Lila_SB-07-04-44_-_Radhanath_Swami_IDesireTree.mp3</t>
  </si>
  <si>
    <t>2008-03-21_Evening_Lecture_-_Radhanath_Swami_IDesireTree.mp3</t>
  </si>
  <si>
    <t>2008-03-21_Gaur_pournima_Eve_Lecture_-_Radhanath_Swami_IDesireTree.mp3</t>
  </si>
  <si>
    <t>2008-03-21_Gay_Gorachand_Jive_Tare_-_Radhanath_Swami_IDesireTree.mp3</t>
  </si>
  <si>
    <t>2008-03-21_Lord_Caitanya_Visits_Vrnindavan_CC_Madhya_-_Radhanath_Swami_IDesireTree.mp3</t>
  </si>
  <si>
    <t>2008-03-22_First_Gaura_Pournima_Celebration_-_Radhanath_Swami_IDesireTree.mp3</t>
  </si>
  <si>
    <t>2008-03-23_Fortune_Of_A_Genuine_Beggar_Sunday_Feast_-_Radhanath_Swami_IDesireTree.mp3</t>
  </si>
  <si>
    <t>2008-03-26_Devotees_Do_not_Create_Enemies_SB-07-05-03_-_Radhanath_Swami_IDesireTree.mp3</t>
  </si>
  <si>
    <t>2008-04-13_Realisations_On_The_Banks_Of_Ganges_Sunday_Feast_-_Radhanath_Swami_IDesireTree.mp3</t>
  </si>
  <si>
    <t>2008-04-13_Setting_Life%27s_Priorities_Without_Complacency_-_Radhanath_Swami_IDesireTree.mp3</t>
  </si>
  <si>
    <t>2008-04-15_Eve_Lecture_HT_-_Radhanath_Swami_IDesireTree.mp3</t>
  </si>
  <si>
    <t>2008-04-17_Initiation_Lecture_HT_-_Radhanath_Swami_IDesireTree.mp3</t>
  </si>
  <si>
    <t>2008-04-17_Service_With_Co-operation-01_HT_-_Radhanath_Swami_IDesireTree.mp3</t>
  </si>
  <si>
    <t>2008-04-17_Serving_With_Co-operation-02_HT_-_Radhanath_Swami_IDesireTree.mp3</t>
  </si>
  <si>
    <t>2008-04-18_Lecture_at_Kolhapur_MT_-_Radhanath_Swami_IDesireTree.mp3</t>
  </si>
  <si>
    <t>2008-04-20_Glories_Of_Sri_Hanuman_Sunday_Feast_-_Radhanath_Swami_IDesireTree.mp3</t>
  </si>
  <si>
    <t>2008-04-22_History_Of_Rath_Yatra_Gopal%27s_Fun_School_Rath_Yatra_-_Radhanath_Swami_IDesireTree.mp3</t>
  </si>
  <si>
    <t>2008-05-07_SB_06-04-26_-_Radhanath_Sw_Bhaktivedanta_Manor.mp3</t>
  </si>
  <si>
    <t>2008-08-30_SB_04-29-47_-_Radhanath_Swami_Los_Angeles.mp3</t>
  </si>
  <si>
    <t>2008-08-31_Festivals_-_Initiation_Ceremony_-_Radhanath_Swami_Los_Angeles.mp3</t>
  </si>
  <si>
    <t>2008-08-31_Various_-_Sunday_Feast-Everyone_is_seeking_pleasure_-_Radhanath_Swami_Los_Angeles.mp3</t>
  </si>
  <si>
    <t>2008-09-02_SB_04-29-49_-_Radhanath_Swami_Los_Angeles.mp3</t>
  </si>
  <si>
    <t>2008-10-07_SB_06-08-34-42_-_Radhanath_Sw_Bhaktivedanta_Manor.mp3</t>
  </si>
  <si>
    <t>2008-10-26_-_A_Learned_Person_is_one_whos_sees_everyone_equal_-_San_Diego.mp3</t>
  </si>
  <si>
    <t>2008-10-28_-_Lecture_-_Laguna_Beach.mp3</t>
  </si>
  <si>
    <t>2008-10-29_-_Narayan%27s_Home_-_San_Diego.mp3</t>
  </si>
  <si>
    <t>2008-11-13_Creating_Culture_Of_Vrindavan_-_ISKCON_Juhu_-_Radhanath_Swami_IDesireTree.mp3</t>
  </si>
  <si>
    <t>2008-11-26_A_True_Love_Story_SB-07-09-51-52_ISKCON_Chowpatty_-_Radhanath_Swami_IDesireTree.mp3</t>
  </si>
  <si>
    <t>2008_Various_-_Be_not_Bees_Flies_-_Radhanath_Swami.mp3</t>
  </si>
  <si>
    <t>2008_Various_-_Compassion_of_Srila_Prabhupada_-_Radhanath_Swami.mp3</t>
  </si>
  <si>
    <t>2008_Various_-_Foundations_of_Devotional_Service_-_Radhanath_Swami.mp3</t>
  </si>
  <si>
    <t>2008_Various_-_How_to_Prevent_Mad_Elephant_-_Radhanath_Swami.mp3</t>
  </si>
  <si>
    <t>2008_Various_-_Matter_of_Conscience_-_Radhanath_Swami.mp3</t>
  </si>
  <si>
    <t>2008_Various_-_The_Real_need_is_Love_and_be_Loved_-_Radhanath_Swami.mp3</t>
  </si>
  <si>
    <t>2008_Various_-_The_Real_Step_is_in_the_Heart_-_Radhanath_Swami.mp3</t>
  </si>
  <si>
    <t>2009-01-04_Festivals_-_Ratha_Yatra_-_Radhanath_Swami_ISKCON_Nigdi.mp3</t>
  </si>
  <si>
    <t>2009-01-10_Misery_Is_For_Everyone_SB-07-10-52-59_ISKCON_Chowpatty_-_Radhanath_Swami_IDesireTree.mp3</t>
  </si>
  <si>
    <t>2009-02-04_SB_07-13-29_-_Winning_the_Game_of_Life_-_Radhanath_Swami.mp3</t>
  </si>
  <si>
    <t>2009-02-07_Festivals_-_Unity_by_Focusing_on_Essence_-_Radhanath_Swami_Mumbai.mp3</t>
  </si>
  <si>
    <t>2009-03-07_Various_-_In_Search_for_Krishna_-_Radhanath_Swami_MumbaiQA.mp3</t>
  </si>
  <si>
    <t>2009-03-11_CC_Adi_Lila_17-32_-_Proper_Mood_for_Chanting_Hare_Krishna_-_Radhanath_Swami.mp3</t>
  </si>
  <si>
    <t>2009-03-11_Festivals_-_Gaura_Poornima_-_Radhanath_Swami.mp3</t>
  </si>
  <si>
    <t>2009-03-11_Festivals_-_Gaura_Purnima_-_Radhanath_Swami.mp3</t>
  </si>
  <si>
    <t>2009-03-11_Various_-_Sannyasa_Initiation_of_Jagat_Cakshu_Prabhu_-_Radhanath_Swami_Mumbai.mp3</t>
  </si>
  <si>
    <t>2009-03-14_Various_-_Power_of_Blesssings_-_Radhanath_Swami.mp3</t>
  </si>
  <si>
    <t>2009-03-22_Baffled_In_Casino_Of_Maya_SB07-13-30_ISKCON_Chowpatty_-_Radhanath_Swami_IDesireTree.mp3</t>
  </si>
  <si>
    <t>2009-03-25_Glories_of_Jayapataka_Swami_-_Radhanath_Sw_Bhaktivedanta_Manor.mp3</t>
  </si>
  <si>
    <t>2009-08-05_Lord_Balaram_App_Day_-_Bhaktivedanta_Manor.mp3</t>
  </si>
  <si>
    <t>2009-08-05_Lord_Balaram_App_Day_-_Radhanath_Swami_Bhaktivedanta_Manor.mp3</t>
  </si>
  <si>
    <t>2009-08-09_Sunday_Feast_Hare_Krishna_Kirtan_ISKCON_Chowpatty_-_Radhanath_Swami_IDesireTree.mp3</t>
  </si>
  <si>
    <t>2009-08-14_SB_10-03-27_-_Fulfilling_the_reason_for_Krishna%27s_Appearance_-_Radhanath_Swami.mp3</t>
  </si>
  <si>
    <t>2009-08-22_The_Only_Secure_Investment_SB-08-02-33_ISKCON_Chowpatty_-_Radhanath_Swami_IDesireTree.mp3</t>
  </si>
  <si>
    <t>2009-08-23_Krishna_Is_Always_Grateful_SB-08-03-01_ISKCON_Chowpatty_-_Radhanath_Swami_IDesireTree.mp3</t>
  </si>
  <si>
    <t>2009-08-26_Various_-_Prerna-The_Journey_Home_-_Radhanath_Swami_Mumbai.mp3</t>
  </si>
  <si>
    <t>2009-08-27_Festivals_-_Radhastami-Glories_of_Srimati_Radharani_-_Radhanath_Swami_Mumbai.mp3</t>
  </si>
  <si>
    <t>2009-08-30_SB_08-03-06_-_Forgetting_Krishna_the_Greatest_Crisis_-_Radhanath_Swami.mp3</t>
  </si>
  <si>
    <t>2009-09-09_Evening_class_-_Prabhupadadesh_Italy_-_Radhanath_Swami.mp3</t>
  </si>
  <si>
    <t>2009-09-10_Public_program_-_Bologna_Italy_-_Radhanath_Swami.mp3</t>
  </si>
  <si>
    <t>2009-09-10_SB_03-18-15_-_Prabhupadadesh_Italy_-_Radhanath_Swami.mp3</t>
  </si>
  <si>
    <t>2009-09-11_How_prabhupada%27s_hardships_for_us_-_Prabhupadadesh_Italy_-_Radhanath_Swami.mp3</t>
  </si>
  <si>
    <t>2009-09-12_Initiation_lecture_-_Prabhupadadesh_Italy_-_Radhanath_Swami.mp3</t>
  </si>
  <si>
    <t>2009-09-12_Wedding_lecture_-_Prabhupadadesh_Italy_-_Radhanath_Swami.mp3</t>
  </si>
  <si>
    <t>2009-09-13_BG_02-22_-_Villagio_hare_krishna_-_Italy_-_Radhanath_Swami.mp3</t>
  </si>
  <si>
    <t>2009-09-13_Departure_lecture_-_Prabhupadadesh_Italy_-_Radhanath_Swami.mp3</t>
  </si>
  <si>
    <t>2009-09-25_Various_-_House_Program-Personify_a_universal_teaching_-_Radhanath_Sw_Mumbai.mp3</t>
  </si>
  <si>
    <t>2009-09-25_Various_-_House_Program-Personify_a_universal_teaching_-_Radhanath_Swami_Mumbai.mp3</t>
  </si>
  <si>
    <t>2009-09-28_Dusherra_Lecture_-_Glories_Of_Lord_Ramachandra_-_Radhanath_Swami_ISKCON_Chowpatty.mp3</t>
  </si>
  <si>
    <t>2009-10-04_Sunday_Feast_-_Sharad_Purnima_Lecture_-_Radhanath_Swami_ISKCON_Chowpatty.mp3</t>
  </si>
  <si>
    <t>2009-10-05_Various_-_Marriage_Address_to_Yoga_Group_-_Radhanath_Sw_Mumbai.mp3</t>
  </si>
  <si>
    <t>2009-10-05_Various_-_Marriage_Address_to_Yoga_Group_-_Radhanath_Swami_Mumbai.mp3</t>
  </si>
  <si>
    <t>2009-10-10_Festivals_-_Ratha_Yatra-Loving_Krishna_includes_Loving_Everyone_-_Radhanath_Sw_Juhu.mp3</t>
  </si>
  <si>
    <t>2009-10-28_-_Bodhi_Tree_Lecture.mp3</t>
  </si>
  <si>
    <t>2009-10-29_Bhariti_Ganguly_prg_-_Kolkata_-_Radhanath_Swami_IDesireTree.mp3</t>
  </si>
  <si>
    <t>2009-10-30_Crossword_talk_-_Kolkata_-_Radhanath_Swami_IDesireTree.mp3</t>
  </si>
  <si>
    <t>2009-10-30_Gorenka_House_Prg_-_Kolkata_-_Radhanath_Swami_IDesireTree.mp3</t>
  </si>
  <si>
    <t>2009-10-30_SB_04-21-01_-_Kolkata_-_Radhanath_Swami_IDesireTree.mp3</t>
  </si>
  <si>
    <t>2009-10-31_SB_04-21-4-4_-_Kolkata_-_Radhanath_Swami_IDesireTree.mp3</t>
  </si>
  <si>
    <t>2009-11-01_SB_04-21-05_-_Kolkata_-_Radhanath_Swami_IDesireTree.mp3</t>
  </si>
  <si>
    <t>2009-11-07_SB-08-06-13_-_Serving_The_Lord_Without_Demanding_-_Radhanath_Swami_ISKCON_Chowpatty.mp3</t>
  </si>
  <si>
    <t>2009-11-08_SB-08-06-14_-_Krishna_Hears_Intent_Of_Our_Prayers_-_Radhanath_Swami_ISKCON_Chowpatty.mp3</t>
  </si>
  <si>
    <t>2009-11-14_SB-08-06-26-28_-_Making_Truce_For_A_Higher_Cause_-_Radhanath_Swami_ISKCON_Chowpatty.mp3</t>
  </si>
  <si>
    <t>2009-11-15_Sunday_Feast_-_Gratefully_Adjusting_In_Any_Situation_-_Radhanath_Swami_-_Cross_Maidan.mp3</t>
  </si>
  <si>
    <t>2009-11-23_SB_10-06_-_The_Killing_of_the_Demon_Putana_-_Radhanath_Sw_Bhaktivedanta_Manor.mp3</t>
  </si>
  <si>
    <t>2009-12-13_Sunday_Feast_-_Los_Angeles_-_Radhanath_Swami_IDesireTree.mp3</t>
  </si>
  <si>
    <t>2009-12-14_SB_05-13-11_-_Los_Angeles_-_Radhanath_Swami_IDesireTree.mp3</t>
  </si>
  <si>
    <t>2009-12-15_SB_05-13-12_-_Los_Angeles_-_Radhanath_Swami_IDesireTree.mp3</t>
  </si>
  <si>
    <t>2009-12-18_SB_05-13-15_-_Los_Angeles_-_Radhanath_Swami_IDesireTree.mp3</t>
  </si>
  <si>
    <t>2009-12-18_SB_05-13-15_-_Los_Angeles_IDesireTree.mp3</t>
  </si>
  <si>
    <t>2009-12-22_-_Initiation_Ceremony_Lecture_-_ISKCON_Silicon_-_Radhanath_Swami_Valley.mp3</t>
  </si>
  <si>
    <t>2009-12-22_Initiations_-_Radhanath_Swami_San_Jose.mp3</t>
  </si>
  <si>
    <t>2009-12-23_-_Lecture_-_ISKCON_Silicon_Valley_-_Radhanath_Swami.mp3</t>
  </si>
  <si>
    <t>2009-12-23_Lecture_-_San_Jose_-_Radhanath_Swami.mp3</t>
  </si>
  <si>
    <t>2009_Various_-_Devotees_Greet_-_Radhanath_Swami.mp3</t>
  </si>
  <si>
    <t>2009_Various_-_Faith_Defeats_Fear_-_Radhanath_Swami.mp3</t>
  </si>
  <si>
    <t>2009_Various_-_Initiation_-_Radhanath_Swami.mp3</t>
  </si>
  <si>
    <t>2009_Various_-_Love_God_-_Radhanath_Swami.mp3</t>
  </si>
  <si>
    <t>2009_Various_-_Marriage_-_Radhanath_Swami.mp3</t>
  </si>
  <si>
    <t>2009_Various_-_Prabhupada_Arrives_West_-_Radhanath_Swami.mp3</t>
  </si>
  <si>
    <t>2009_Various_-_Soul_Devotion_Time_-_Radhanath_Swami.mp3</t>
  </si>
  <si>
    <t>2009_Various_-_Spirit_of_Bhakti_-_Radhanath_Swami.mp3</t>
  </si>
  <si>
    <t>RNS_Initiation_-_09-09-12_Italy.mp3</t>
  </si>
  <si>
    <t>RNS_Prerna_Lecture_-_Radhanath_Swami.mp3</t>
  </si>
  <si>
    <t>2010-01-02_Maha_Sanga_with_HH_GRS_-_Manor.mp3</t>
  </si>
  <si>
    <t>2010-01-09_Bhagavatam_Crushes_Out_Faith_In_Illusion_SB-08-08-09-27-28_-_ISKCON_Chowpatty.mp3</t>
  </si>
  <si>
    <t>2010-01-09_DADAR_Ratha_Yatra_Lecture_-_Radhanath_Swami_ISKCON_Chowpatty.mp3</t>
  </si>
  <si>
    <t>2010-01-17_HH_Radhanath_Swami_at_SJM_-_SB_04-30-08.mp3</t>
  </si>
  <si>
    <t>2010-01-17_HHRNS_Lecture_in_Jayanagar_Bangalore_-_Radhanath_Swami.mp3</t>
  </si>
  <si>
    <t>2010-01-17_SB_04-30-08_HH_RNS_at_SJM_Bangalore.mp3</t>
  </si>
  <si>
    <t>2010-01-31_Festivals_-_Lecture_at_Juhu_Rath_Yatra_-_Radhanath_Swami_Juhu.mp3</t>
  </si>
  <si>
    <t>2010-02-04_HH_Radhanath_Swami_-_at_KPP.mp3</t>
  </si>
  <si>
    <t>2010-02-04_SB_class_ISKCON_Vrindavan_Radhanath_Swami.mp3</t>
  </si>
  <si>
    <t>2010-02-12_SB_08-07-39_Mayapur_Radhanath_Swami.mp3</t>
  </si>
  <si>
    <t>2010-02-21_Vyasa_Puja_Mumbai_Radhanath_Swami.mp3</t>
  </si>
  <si>
    <t>2010-02-21_Vyasa_Puja_Offering_Radhanath_Swami.mp3</t>
  </si>
  <si>
    <t>2010-02-27_CC_Madhya_06-255_-_Love_In_Separation_-_Radhanatha_Swami_ISKCON_Chowpatty.mp3</t>
  </si>
  <si>
    <t>2010-02-27_Gaur_Leela-Eve%20Lec_-_Radhanath_Swami_ISKCON_Chowpatty.mp3</t>
  </si>
  <si>
    <t>2010-02-28_CC_Madhya_06-254_-_Gaur_Leela_-_Radhanath_Swami_ISKCON_Chowpatty.mp3</t>
  </si>
  <si>
    <t>2010-02-28_Gaur_Leela_-_Radhanath_Swami_ISKCON_Chowpatty.mp3</t>
  </si>
  <si>
    <t>2010-03-04_Various_-_Ishta_Goshti_-_Radhanath_Swami_Mumbai.mp3</t>
  </si>
  <si>
    <t>2010-03-06_-_Prerna_Festival_-_Vedic_Perspective_Of_Climatic_Change_-_Radhanath_Swami.mp3</t>
  </si>
  <si>
    <t>2010-03-14_-_Sunday_Feast_-_Glories_Of_Mother_Ganges_-_Radhanath_Swami_ISKCON_Chowpatty.mp3</t>
  </si>
  <si>
    <t>2010-03-14_SB_08-14-07-08_-_Realities_Of_Material_Existence_-_Radhanath_Swami_ISKCON_Chowpatty.mp3</t>
  </si>
  <si>
    <t>2010-03-18_Devotees_taking_initiation_vows_Radhanath_Swami.MP3</t>
  </si>
  <si>
    <t>2010-03-18_Initiation_is_saying_thank_you_to_Krishna_-_initiation_lect_-_Radhanath_Swami_Pune.MP3</t>
  </si>
  <si>
    <t>2010-03-20_Lakshmi_Narayan_Festival_-_Radhanath_Swami_And_Chandramouli_Swami.mp3</t>
  </si>
  <si>
    <t>2010-03-21_Various_-_Sunday_Feast-Coperating_for_Higher_Purpose_-_Radhanath_Swami_Mumbai.mp3</t>
  </si>
  <si>
    <t>2010-03-24_Sri_Rama_Navami_-_Lord%27s_Reciprocations_With_His_Pure_Devotees_-_Radhanath_Swami.mp3</t>
  </si>
  <si>
    <t>2010-03-27_Initiation_Lecture_-_Radhanath_Swami_ISKCON_Chowpatty.mp3</t>
  </si>
  <si>
    <t>2010-03-28_SB-08-16-06_-_Principles_Of_Hospitality_-_Radhanath_Swami_ISKCON_Chowpatty.mp3</t>
  </si>
  <si>
    <t>2010-03-30_Initiation_Lecture-Brahmacaris_And_Their_Parents_-_Radhanath_Swami_ISKCON_Chowpatty.mp3</t>
  </si>
  <si>
    <t>2010-04-01_SB_Radhanath_Swami_ISKCON_Delhi_-_Radhanath_Swami.mp3</t>
  </si>
  <si>
    <t>2010-04-10_Prerna_Festival_-_In_Search_Of_Lost_Love_-_Radhanath_Swami_ISKCON_Chowpatty.mp3</t>
  </si>
  <si>
    <t>2010-04-11_Sunday_Feast_-_Every_Breath_Is_A_Death_Breath_-_Radhanath_Swami_ISKCON_Chowpatty.mp3</t>
  </si>
  <si>
    <t>2010-04-15_SB_04-23-27_-_Importance_of_Purushottam_Adhika_Masa_-_Radhanath_Swami_Juhu.mp3</t>
  </si>
  <si>
    <t>2010-04-16_SB_01-02-06_-_Divinity_and_Divine_Service_-_Radhanath_Swami_Mumbai.mp3</t>
  </si>
  <si>
    <t>2010-04-18_Various_-_Every_Moment_is_a_Chance_to_Love_Krishna_-_Radhanath_Swami_Mumbai.mp3</t>
  </si>
  <si>
    <t>2010-04-23_-_Evening_Class_-_Radhanath_Swami.mp3</t>
  </si>
  <si>
    <t>2010-04-23_Various_-_Vaikuntha_is_the_residence_of_Lord_-_Radhanath_Sw_Bhaktivedanta_Manor.mp3</t>
  </si>
  <si>
    <t>2010-04-24_-_Initiation_Address_-_Radhanath_Swami.mp3</t>
  </si>
  <si>
    <t>2010-04-26_Festivals_-_Govardhan_Puja_-_Radhanath_Swami_New_York.mp3</t>
  </si>
  <si>
    <t>2010-04-29_-_SB_Class_-_Radhanath_Swami_New_York_City.mp3</t>
  </si>
  <si>
    <t>2010-05-28_Krishna_Balaram_Pastimes_-_Radhanath_Swami_ISKCON_Alachua.mp3</t>
  </si>
  <si>
    <t>2010-06-02_-_Morning_Class_-_Radhanath_Swami_Alachua_Florida.mp3</t>
  </si>
  <si>
    <t>2010-06-20_Evening_Lecture_-_Radhanath_Swami_Amsterdam.mp3</t>
  </si>
  <si>
    <t>2010-06-20_Morning_Lecture_-_Radhanath_Swami_Amsterdam.mp3</t>
  </si>
  <si>
    <t>2010-06-21_Desciple_Gathering_Rotterdam_-_Radhanath_Swami_and%20Dhananjaya_Das_Netherland.mp3</t>
  </si>
  <si>
    <t>2010-06-22_SB_04-28-27_-_Radhanath_Swami_Radhadesh.mp3</t>
  </si>
  <si>
    <t>2010-06-23_-_Reception_of_Devotees_-_Radhanath_Swami_Kiev.mp3</t>
  </si>
  <si>
    <t>2010-06-24_-_Raghunatha_Das_Goswami_-_Radhanath_Swami_Kiev.mp3</t>
  </si>
  <si>
    <t>2010-06-24_Kiev_Ukraine_Radhanath_Swami.mp3</t>
  </si>
  <si>
    <t>2010-06-25_-_How_to_percieve_Krishna_in_our_daily_life_-_Radhanath_Swami_and_Niranjan_Swami.mp3</t>
  </si>
  <si>
    <t>2010-06-25_Kiev_Ukraine_Radhanath_Swami_with_Niranjana_Swami.mp3</t>
  </si>
  <si>
    <t>2010-06-26_-_He_Krishna_Karuna_Sindhu_-_Radhanath_Swami_Kiev.mp3</t>
  </si>
  <si>
    <t>2010-06-26_-_Lord_Chaitanya_came_to_bestow_gift_of_Pure_Bhakti_-_Radhanath_Swami_Kiev.mp3</t>
  </si>
  <si>
    <t>2010-06-26_Evening_darshan_Kiev_Ukraine_Radhanath_Swami.mp3</t>
  </si>
  <si>
    <t>2010-06-26_Kiev_Ukraine_Radhanath_Swami.mp3</t>
  </si>
  <si>
    <t>2010-06-27_-_Sunday_Feast_Program_-_Radhanath_Swami_and_Niranjan_Swami_Kiev.mp3</t>
  </si>
  <si>
    <t>2010-06-27_Kiev_Ukraine_Radhanath_Swami_with_Niranjana_Swami.mp3</t>
  </si>
  <si>
    <t>2010-06-28_-_Initiation_-_Radhanath_Swami_Kiev.mp3</t>
  </si>
  <si>
    <t>2010-06-28_-_Initiation_-_Radhanath_Swami_Kiev_Ukraine.mp3</t>
  </si>
  <si>
    <t>2010-07-08_Please%20use%20the%20free%20will%20to%20become%20sincere_-_Radhanath_Swami.mp3</t>
  </si>
  <si>
    <t>2010-07-08_Spiritual%20Medicine-1_-_Radhanath_Swami.mp3</t>
  </si>
  <si>
    <t>2010-07-08_Various_-_Free_Will_Sincere_-_Radhanath_Swami.mp3</t>
  </si>
  <si>
    <t>2010-07-09_Various_-_Narada_Muni_Jagat_Guru_-_Radhanath_Swami.mp3</t>
  </si>
  <si>
    <t>2010-07-09_Various_-_Spiritual_Medicine_-_Radhanath_Swami.mp3</t>
  </si>
  <si>
    <t>2010-07-10_Various_-_Amanina_Manadena_-_Radhanath_Swami.mp3</t>
  </si>
  <si>
    <t>2010-07-11_Various_-_Bhakti_-_Radhanath_Swami.mp3</t>
  </si>
  <si>
    <t>2010-07-11_Various_-_Bhakti_means_service_-_Radhanath_Swami.mp3</t>
  </si>
  <si>
    <t>2010-07-12_Initiations_-_Radhanath_Swami.mp3</t>
  </si>
  <si>
    <t>2010-07-12_Spiritual%20Medicine-2_-_Radhanath_Swami.mp3</t>
  </si>
  <si>
    <t>2010-07-12_Various_-_Initiation_-_Radhanath_Swami.mp3</t>
  </si>
  <si>
    <t>2010-07-14_SB_07-04-29_-_Radhanath_Sw_Bhaktivedanta_Manor.mp3</t>
  </si>
  <si>
    <t>2010-08-02_Radio_Interview_-_Ajayan_at_Mind_Matters_Radio_with_Radhanath_Swami_Seattle_USA.mp3</t>
  </si>
  <si>
    <t>2010-08-26_-_A_Learned_Person_is_one_whos_sees_everyone_equal_-_Radhanath_Swami_San_Diego.mp3</t>
  </si>
  <si>
    <t>2010-08-26_SB_05-25-06_-_Radhanath_Swami_Los_Angeles.mp3</t>
  </si>
  <si>
    <t>2010-08-27_-_Seeing%20All%20Living%20Entities%20Equally%20With%20Love_-_Radhanath_Swami_SanDiego.mp3</t>
  </si>
  <si>
    <t>2010-08-28_-_Lecture_-_Laguna_Beach_-_Radhanath_Swami.mp3</t>
  </si>
  <si>
    <t>2010-08-29_-_Narayan%27s_Home_-_Los_Angeles_Radhanath_Swami.mp3</t>
  </si>
  <si>
    <t>2010-09-01_Sri_Krishna_Janmastam_Evening_-_Radhanatha_Swami_Los_Angeles.mp3</t>
  </si>
  <si>
    <t>2010-09-02_-_Prabhupada_Vyasa_puja_homages_-_San_Diego_Radhanath_Swami.mp3</t>
  </si>
  <si>
    <t>2010-09-22_Radio_Interview_-_Michele_Meiche_at_Awakenings_Radio_with_Radhanath_Swami_USA.mp3</t>
  </si>
  <si>
    <t>2010-09-28_-_Bodhi_Tree_Lecture_-_Radhanath_Swami.mp3</t>
  </si>
  <si>
    <t>2010-09-28_Radio_Interview_-_Dennis_Miller_with_Radhanath_Swami_USA.mp3</t>
  </si>
  <si>
    <t>2010-09-30_-_Yoga_Rasa_-_Radhanatha_Swami_Dallas.mp3</t>
  </si>
  <si>
    <t>2010-10-01_-_Nia_Moves_-_Radhanath_Swami_Dallas.mp3</t>
  </si>
  <si>
    <t>2010-10-02_-_Heights_Yoga_School_-_Radhanath_Swami_Dallas.mp3</t>
  </si>
  <si>
    <t>2010-10-02_-_India_House_-_Radhanath_Swami_Dallas.mp3</t>
  </si>
  <si>
    <t>2010-10-03_-_Home_Program_-_Radhanath_Swami_Texas.mp3</t>
  </si>
  <si>
    <t>2010-10-03_-_Houston_Temple_-_Radhanath_Swami_Dallas.mp3</t>
  </si>
  <si>
    <t>2010-10-05_Radio_Interview_-_Johnny_Tan_at_My_Mama_Kitchen_Talk_Radio_with_Radhanath_Swami_USA.mp3</t>
  </si>
  <si>
    <t>2010-10-06_-_Kalachandji%27s_-_Radhanath_Swami_Dallas.mp3</t>
  </si>
  <si>
    <t>2010-10-07_-_UT_of_Dallas_-_Radhanath_Swami_Dallas.mp3</t>
  </si>
  <si>
    <t>2010-10-08_-_Dallas_Conference_Center_-_Radhanath_Swami_Dallas.mp3</t>
  </si>
  <si>
    <t>2010-10-09_-_Arlington_Yoga_Center_-_Radhanath_Swami_Dallas.mp3</t>
  </si>
  <si>
    <t>2010-10-09_-_Pathways_Church_-_Radhanath_Swami_Dallas.mp3</t>
  </si>
  <si>
    <t>2010-10-11_Radio_Interview_-_Eliakim%20Thorpe_at_LA_Talk_Radio_with_Radhanath_Swami_USA.mp3</t>
  </si>
  <si>
    <t>2010-10-12_Radio_Interview_-_Mischke_at_WCCO_News_Radio_830_with_Radhanath_Swami_USA.mp3</t>
  </si>
  <si>
    <t>2010-10-15_-_Akashic_Bookstore.mp3</t>
  </si>
  <si>
    <t>2010-10-15_-_Srimad_Bhagavatam_class_-_Los_Angeles.mp3</t>
  </si>
  <si>
    <t>2010-10-15_Interview_-_Matt_Welsh_of_Spiritual_Media_Blog_with_Radhanath_Swami_USA.mp3</t>
  </si>
  <si>
    <t>2010-10-15_Lecture_Akashic_Bookstore_Radhanath_Swami.mp3</t>
  </si>
  <si>
    <t>2010-10-15_Radio_Interview_-_Robin_Rothenberg_at_Living_Yoga_Radio_with_Radhanath_Swami_USA.mp3</t>
  </si>
  <si>
    <t>2010-10-15_SB_-_Los_Angeles_-_Radhanath_Swami.mp3</t>
  </si>
  <si>
    <t>2010-10-17_Annual_Ratha_Yatra_Lecture_-_Radhanath_Swami_Laguna_Beach.mp3</t>
  </si>
  <si>
    <t>2010-10-17_Arati_-_Radhanath_Swami_Laguna_Beach.mp3</t>
  </si>
  <si>
    <t>2010-10-19_SB_Class_-_Radhanath_Swami_Los_Angeles.mp3</t>
  </si>
  <si>
    <t>2010-11-17_-_Lecture_-_Radhanath_Swami_Boston_University.mp3</t>
  </si>
  <si>
    <t>2010-12-07_-_Birthday_Lecture_-_Radhanath_Swami.mp3</t>
  </si>
  <si>
    <t>2010-12-07_-_Birthday_Offerings_-_Radhanath_Swami.mp3</t>
  </si>
  <si>
    <t>2010-12-10_Various_-_To_associates_with_devotees_and_to_render_some_Services_-_Radhanath_Sw.mp3</t>
  </si>
  <si>
    <t>2010_Festivals_-_Festival_of_Inspiration_-_Radhanath_Swami_New_Vrindavan.mp3</t>
  </si>
  <si>
    <t>2010_Various_-_History_of_Villa_Vrindavana_-_Radhanath_Swami.mp3</t>
  </si>
  <si>
    <t>Prabhupada_Vyasa_puja_homages_-_San_Diego.mp3</t>
  </si>
  <si>
    <t>RNS_SB_04-2-27_-_10-06-22.mp3</t>
  </si>
  <si>
    <t>Ghatkopar_Rath_Yatra_Radhanath_Swami_lecture_and_kirtan.mp3</t>
  </si>
  <si>
    <t>2011-01-26_Radhanath_Swami_ISKCON_Juhu.mp3</t>
  </si>
  <si>
    <t>2011-03-28_-_Book_launch_address_-_Radhanath_Swami_Hyderabad.mp3</t>
  </si>
  <si>
    <t>2011-03-29_-_Initiation_Lecture_-_Radhanath_Swami_ISKCON_Hyderabad.mp3</t>
  </si>
  <si>
    <t>2011-03-29_SB_04-31-05_-_Radhanath_Swami_ISKCON_Hyderabad.mp3</t>
  </si>
  <si>
    <t>2011-03-30_SB_01-04-02_-_Radhanath_Swami_ISKCON_Secunderabad.mp3</t>
  </si>
  <si>
    <t>2011-01-08_Various_-_Sincerity_and_Compassion_-_Radhanath_Swami_Mumbai.mp3</t>
  </si>
  <si>
    <t>2011-01-09_Sunday_Feast_-_Kirtan_-_Radhanath_Swami_ISKCON_Chowpatty.mp3</t>
  </si>
  <si>
    <t>2011-01-16_-_Sunday_Feast_Kirtan_-_Radhanath_Swami_ISKCON_Chowpatty.mp3</t>
  </si>
  <si>
    <t>2011-01-21_Various_-_Saffron_Awarding_Ceremony_-_Radhanath_Swami_Mumbai.mp3</t>
  </si>
  <si>
    <t>2011-01-23_-_Sunday_Feast_Kirtan_-_Radhanath_Swami_ISKCON_Chowpatty.mp3</t>
  </si>
  <si>
    <t>2011-01-23_Sunday_Feast_Kirtan_-_Radhanath_Swami_ISKCON_Chowpatty.mp3</t>
  </si>
  <si>
    <t>2011-01-29_SB-09-11-26-36_-_Its_The_Thought_That_Counts_-_Radhanath_Swami_ISKCON_Chowpatty.mp3</t>
  </si>
  <si>
    <t>2011-02-11_Q%26A_-_Inter_Faith_Conference_-_Radhanath_Swami_Somaiya%20College.mp3</t>
  </si>
  <si>
    <t>2011-02-16_Nityananda_Trayodasi_-_Radhanath_Swami_ISKCON_Mayapur.mp3</t>
  </si>
  <si>
    <t>2011-02-23_SB_04-12-17_Glories_of_His_Holiness_Gaur_Govinda_Maharaj_-_Mayapur.mp3</t>
  </si>
  <si>
    <t>2011-03-06_Sunday_Feast_-_Srila_Prabhupada_Katha_-_Radhanath_Swami_ISKCON_Chowpatty.mp3</t>
  </si>
  <si>
    <t>2011-03-13_Sunday%20Feast_Loving%20Reciprocations_of_Lord_Caitanya_-_Radhanath_Swami_Pune.mp3</t>
  </si>
  <si>
    <t>2011-03-19_-_Gaur_Purnima_Lecture_-_Radhanath_Swami_ISKCON_Chowpatty.mp3</t>
  </si>
  <si>
    <t>2011-03-19_Gaura_Poornima_Lecture_-_Radhanath_Swami_ISKCON_Chowpatty.mp3</t>
  </si>
  <si>
    <t>2011-03-22_SB_04-09-17_-_Dhruva_Maharaja_Returns_Home_-_Radhanath_Swami_ISKCON_Nigidi.mp3</t>
  </si>
  <si>
    <t>2011-03-25_SB_04-28-48_False_Ego_purified_though_Service_-_Radhanath_Swami_ISKCON_Juhu.mp3</t>
  </si>
  <si>
    <t>2011-03-26_Festivals_-_Dadar_Rath_Yatra_-_Radhanath_Swami.mp3</t>
  </si>
  <si>
    <t>2011-03-26_Festivals_-_Dadar_Ratha_Yatra_-_Radhanath_Swami.mp3</t>
  </si>
  <si>
    <t>2011-03-26_SB_09-18-01_-_Serving_Krishna_is_the_Safest_Position_-_Radhanath_Swami.mp3</t>
  </si>
  <si>
    <t>2011-03-27_Various_-_Sunday_Feast-My_First_Meeting_with_Srila_Prabhupada_-_Radhanath_Swami.mp3</t>
  </si>
  <si>
    <t>2011-04-08_Various_-_Sannyas_Initiation_Address_-_Radhanath_Sw_Bhaktivedanta_Manor.mp3</t>
  </si>
  <si>
    <t>2011-05-21_CC_Madhya_Lila_04-125_-_Radhanath_Swami_Alachua.mp3</t>
  </si>
  <si>
    <t>2011-05-24_-_SB_09-22-01_-_Radhanatha_Swami_Alachua.mp3</t>
  </si>
  <si>
    <t>2011-05-24_SB_09-22-01_-_Radhanath_Swami_Alachua.mp3</t>
  </si>
  <si>
    <t>2011-05-25_Various_-_Yagya_-_Radhanath_Swami_ISKCON_Boston.mp3</t>
  </si>
  <si>
    <t>2011-06-20_-_Ethics_In_Leadership_and_Management_-_Radhanath_Swami_Norwood.mp3</t>
  </si>
  <si>
    <t>2011-06-24_Various_-_Interview_-_Radhanath_Swami_Washington.mp3</t>
  </si>
  <si>
    <t>2011-07-03_Various_-_Panihati_-_Radhanath_Swami_California.mp3</t>
  </si>
  <si>
    <t>2011-07-07_SB_06-09-39_-_Radhanath_Swami_Los_Angeles.mp3</t>
  </si>
  <si>
    <t>2011-07-08_SB_06-09-40_-_Radhanath_Swami_Los_Angeles.mp3</t>
  </si>
  <si>
    <t>2011-07-13_SB_06-09-44_-_Radhanath_Swami_Los_Angeles.mp3</t>
  </si>
  <si>
    <t>2011-07-30_Various_-_Sadhu_Sanga_Co-operation_-_Radhanath_Sw_Bhaktivedanta_Manor.mp3</t>
  </si>
  <si>
    <t>2011-07-31_CC_Adi_Lila_04-227-228_-_Radhanath_Sw_Bhaktivedanta_Manor.mp3</t>
  </si>
  <si>
    <t>2011-08-05_Various_-_Absorbtion_-_Radhanath_Swami.mp3</t>
  </si>
  <si>
    <t>2011-08-05_Various_-_Absorbtion_-_Radhanath_Swami_with_Sacinandana_Swami_-_DC.mp3</t>
  </si>
  <si>
    <t>2011-08-07_Various_-_True_Faith_-_Radhanath_Swami.mp3</t>
  </si>
  <si>
    <t>2011-10-15_SB_10-03-09_-_Selfless_Servive_has_no_Material_Impediments_-_Radhanath_Swami.mp3</t>
  </si>
  <si>
    <t>2011-11-19_99th_Prerna_-_The_Power_of_Intentions_-_Radhanath_Swami_ISKCON_Chowpatty.mp3</t>
  </si>
  <si>
    <t>2011-11-21_SB_03-31-18_-_Gratitude_and_Surrender_-_Radhanath_Sw_ISKCON_Delhi.mp3</t>
  </si>
  <si>
    <t>2011-11-24_Various_-_Marraige_Address_of_Jaishank_and_Vishnu_Priya_-_Radhanath_Swami.mp3</t>
  </si>
  <si>
    <t>2011-11-26_SB_10-04-03_-_Real_Peace_is_Peace_of_Mind_-_Radhanath_Swami_ISKCON_Chowpatty.mp3</t>
  </si>
  <si>
    <t>2011-12-06_-_Gita_Dan_Yajna_-_Radhanath_Swami_ISKCON_Chowpatty.mp3</t>
  </si>
  <si>
    <t>2011-12-17_SB-10-04-28-29_-_False_Sense_of_Propritership_-_Radhanath_Swami_ISKCON_Chowpatty.mp3</t>
  </si>
  <si>
    <t>2011-12-24_-_Jagannath_Rath_Yatra_Lecture_-_Radhanath_Swami_Wada.mp3</t>
  </si>
  <si>
    <t>2011_Various_-_Finding_Unity_-_Radhanath_Swami.mp3</t>
  </si>
  <si>
    <t>2011_Various_-_Knowing_the_body_to_be_Krishna%27s_Property_-_Radhanath_Swami_Golok_Dham.mp3</t>
  </si>
  <si>
    <t>2012-01-06_Various_-_Pastimes_of_Lord_Jagannath_-_Radhanath_Swami_ISKCON_Juhu.mp3</t>
  </si>
  <si>
    <t>2012-01-07_-_Glories_of_Jagannath_Rath_Yatra_-_Radhanath_Swami_Dadar.mp3</t>
  </si>
  <si>
    <t>2012-01-08_-_Jagannath_Rath_Yatra_Lecture_-_Radhanath_Swami_Juhu.mp3</t>
  </si>
  <si>
    <t>2012-01-08_SB_10-05-17_-_Get_Happiness_to_Give_Happiness_-_Radhanath_Swami_ISKCON_Chowpatty.mp3</t>
  </si>
  <si>
    <t>2012-01-14_Festivals_-_Jagannath_Rath_Yatra_Lecture_-_Radhanath_Swami_Ghatkopar.mp3</t>
  </si>
  <si>
    <t>2012-01-15_Various_-_Kunja_Bihari_Prabhu%27s_Residence_-_Radhanath_Swami_Mumbai_Central.mp3</t>
  </si>
  <si>
    <t>2012-01-21_SB_10-06-01_-_Dynamics_of_Love_of_Godhead_-_Radhanath_Swami_ISKCON_Chowpatty.mp3</t>
  </si>
  <si>
    <t>2012-01-21_Various_-_INSPIRO-Youth_Festival_Lecture_-_Radhanath_Swami_ISKCON_Chowpatty.mp3</t>
  </si>
  <si>
    <t>2012-01-22_Various_-_Birla_House_Program_-_Radhanath_Swami_ISKCON_Chowpatty.mp3</t>
  </si>
  <si>
    <t>2012-01-22_Various_-_GCL-Bhagavat_Gita_Lecture_-_Radhanath_Swami_ISKCON_Chowpatty.mp3</t>
  </si>
  <si>
    <t>2012-01-22_Various_-_Sunday_Feast-Glories_of_Ambarish_Maharaj_-_Radhanath_Swami_ISKCON_Chowpatty.mp3</t>
  </si>
  <si>
    <t>2012-01-26_-_Republic_Day_and_Our_Spiritual_Constitution_-_Radhanath_Swami_ISKCON_Juhu.mp3</t>
  </si>
  <si>
    <t>2012-01-28_SB_03-02-23_-_Glories_of_Acharyas_-_Radhanath_Swami_ISKCON_Chowpatty.mp3</t>
  </si>
  <si>
    <t>2012-01-29_SB_10-06-09_-_Putana_in_Vrindavan_-_Radhanath_Swami_ISKCON_Chowpatty.mp3</t>
  </si>
  <si>
    <t>2012-02-04_Various_-_Prerna_Festival-Power_of_Intensions_-_Radhanath_Swami_ISKCON_Kolkata.mp3</t>
  </si>
  <si>
    <t>2012-02-05_Festivals_-_Nityananda_Trayodashi_Festival_Class_-_Radhanath_Swami_ISKCON_Kolkata.mp3</t>
  </si>
  <si>
    <t>2012-02-10_SB_04-30-08_-_Radhanath_Swami_ISKCON_Mayapur.mp3</t>
  </si>
  <si>
    <t>2012-02-25_SB_10-07-03_-_Developing_Eagerness_to_Hear_-_Radhanath_Swami_ISKCON_Chowpatty.mp3</t>
  </si>
  <si>
    <t>2012-02-26_-_GCL_Award_Giving_Lecture_-_Radhanath_Swami_ISKCON%20Chowpatty.mp3</t>
  </si>
  <si>
    <t>2012-02-26_SB-10-07-04_-_Be_Sensitive_to_Mind_Body_and_Soul_-_Radhanath_Swami_ISKCON_Chowpatty.mp3</t>
  </si>
  <si>
    <t>2012-03-04_-_Filling_In_and_Emptying_Out_-_Radhanath_Swami.mp3</t>
  </si>
  <si>
    <t>2012-03-08_Festivals_-_Lord_Chaitanya_is_Conquered_by_Love_-_Radhanath_Swami_ISKCON_Chowpatty.mp3</t>
  </si>
  <si>
    <t>2012-03-11_Sunday_Feast-Lord_Caitanya%27s_Mahaprakash_Lila_-_Radhanath_Swami_ISKCON_Chowpatty.mp3</t>
  </si>
  <si>
    <t>2012-03-18_SB_10-07-22-25_-_Transformation_of_Ego_-_Radhanath_Swami_ISKCON_Chowpatty.mp3</t>
  </si>
  <si>
    <t>2012-03-21_Various_-_Interview_on_TV_show_Rain_-_Radhanath_Swami.mp3</t>
  </si>
  <si>
    <t>2012-03-25_Various_-_Victory_of_Krishna_Consciousness_-_Radhanath_Swami_Moscow.mp3</t>
  </si>
  <si>
    <t>2012-03-29_Various_-_Creating_a_Caring_Community_-_Radhanath_Swami_ISKCON_London.mp3</t>
  </si>
  <si>
    <t>2012-03-30_Various_-_Envy_is_the_root_cause_of_our_Degradation_-_Radhanath_Swami_ISKCON_London.mp3</t>
  </si>
  <si>
    <t>2012-03-31_SB_09-10-02_-_The_Pastimes_of_Lord_Ramchandra_-_Radhanath_Swami_UK.mp3</t>
  </si>
  <si>
    <t>2012-04-01_Festivals_-_Appearance_of_Lord_Sri_Ramchandra_-_Radhanath_Swami_Bhaktivedanta_Manor.mp3</t>
  </si>
  <si>
    <t>2012-04-19_Various_-_East_Meets_West-01_-_Radhanath_Swami_and_Dr.Cornel_Richardson_Auditorium.mp3</t>
  </si>
  <si>
    <t>2012-04-19_Various_-_East_Meets_West-02_-_Radhanath_Swami_and_Dr.Cornel_Richardson_Auditorium.mp3</t>
  </si>
  <si>
    <t>2012-05-13_Various_-_Mother%27s_Day_-_Radhanath_Swami_New_Vrindavan.mp3</t>
  </si>
  <si>
    <t>2012-05-14_Various_-_Instruction_of_Chaitanya_Mahaprabhu_-_Radhanath_Swami_New_Vrindavan.mp3</t>
  </si>
  <si>
    <t>2012-05-20_Various_-_Krishna_is_the_source_of_everything_-_Radhanath_Swami_Bhaktivedanta_Manor.mp3</t>
  </si>
  <si>
    <t>2012-06-16_CC_Madhya_Lila_06-241_-_Radhanath_Swami_New_Vrindavan.mp3</t>
  </si>
  <si>
    <t>2012-07-06_SB_07-03-31_-_Radhanath_Swami_Los_Angeles.mp3</t>
  </si>
  <si>
    <t>2012-07-08_CC_Madhya_Lila_22-107_-_Sunday_Feast_Lecture_-_Radhanath_Swami_Los_Angeles.mp3</t>
  </si>
  <si>
    <t>2012-07-08_SB_07-03-33_-_Radhanath_Swami_Los_Angeles.mp3</t>
  </si>
  <si>
    <t>2012-07-27_Various_-_Sadhu_Sanga_-_Radhanath_Swami_Bhaktivedanta_Manor.mp3</t>
  </si>
  <si>
    <t>2012-07-28_Various_-_Initiation_Address_-_Radhanath_Swami_Bhaktivedanta_Manor.mp3</t>
  </si>
  <si>
    <t>2012-07-29_Festivals_-_Jhulan_Yatra_-_Radhanath_Swami_Bhaktivedanta_Manor.mp3</t>
  </si>
  <si>
    <t>2012-08-02_Festivals_-_Balaram_Jayanti_-_Radhanath_Swami_ISKCON_London.mp3</t>
  </si>
  <si>
    <t>2012-08-04_Various_-_Forest_of_Enjoyment_%28Morning%29_-_Radhanath_Swami_ISKCON_Radhadesh.mp3</t>
  </si>
  <si>
    <t>2012-08-04_Various_-_Unity_and_Honesty_-_Radhanath_Swami_ISKCON_Radhadesh.mp3</t>
  </si>
  <si>
    <t>2012-08-05_SB_05-14-23_-_Radhanath_Swami_ISKCON_Radhadesh.mp3</t>
  </si>
  <si>
    <t>2012-08-05_Various_-_How_to_transform_Crisis_into_blessings_-_Radhanath_Swami_ISKCON_Radhadesh.mp3</t>
  </si>
  <si>
    <t>2012-08-10_Festivals_-_Janmashtami_Festival_Class_-_Radhanath_Swami_Bhaktivedanta_Manor.mp3</t>
  </si>
  <si>
    <t>2012-08-12_Various_-_Janmashtami_Festival_Class_-_Radhanath_Swami_Bhaktivedanta_Manor.mp3</t>
  </si>
  <si>
    <t>2012-08-13_Various_-_The_True_Meaning_of_Sacred_-_Radhanath_Swami_ISKCON_Florence.mp3</t>
  </si>
  <si>
    <t>2012-08-14_SB_05-12-04_-_Radhanath_Swami_ISKCON_Florence.mp3</t>
  </si>
  <si>
    <t>2012-08-14_Various_-_The_Instructions_of_The_Spiritual_Master_-_Radhanath_Swami_ISKCON_Florence.mp3</t>
  </si>
  <si>
    <t>2012-08-15_Various_-_Initiations_-_Radhanath_Swami_Italy.mp3</t>
  </si>
  <si>
    <t>2012-08-15_Various_-_Simple_Living_and_High_Thinking_-_Radhanath_Swami_ISKCON_Florence.mp3</t>
  </si>
  <si>
    <t>2012-09-14_SB_07-05-06_-_Radhanath_Swami_Los_Angeles.mp3</t>
  </si>
  <si>
    <t>2012-10-08_Various_-_Spiritual_Life_-_Radhanath_Swami_London_University.mp3</t>
  </si>
  <si>
    <t>2012-10-13_CC_Adi_Lila_11-36_-_Rath_Yatra_Pastimes_-_Radhanath_Swami_ISKCON_London.mp3</t>
  </si>
  <si>
    <t>2012-10-14_CC_Adi_Lila_07-24_-_Radhanath_Swami_Bhaktivedanta_Manor.mp3</t>
  </si>
  <si>
    <t>2012-10-18_SB_10-13-33_-_Love_is_the_Ultimate_Light_-_Radhanath_Swami_ISKCON_Chowpatty.mp3</t>
  </si>
  <si>
    <t>2012-10-23_SB_10-55-11_-_Radhanath_Swami_ISKCON_Tirupati.mp3</t>
  </si>
  <si>
    <t>2012-10-29_Festivals_-_Sharad_Poornima_Class_-_Radhanath_Swami_ISKCON_Chowpatty.mp3</t>
  </si>
  <si>
    <t>2012-12-02_Festivals_-_Vyasa_Puja_Address_Lecture_-_Radhanath_Swami_Cross_Maidan_Churchgate.mp3</t>
  </si>
  <si>
    <t>2012-12-07_SB-10-14-11_-_Humility_acceses_Krisha%27s_Mercy_-_Radhanath_Swami_ISKCON_Chowpatty.mp3</t>
  </si>
  <si>
    <t>2012_CC_Madhya_Lila_06-241_-_Radhanath_Swami_New_Vrindavan.mp3</t>
  </si>
  <si>
    <t>2012_Various_-_A_Vedic_Scholar_cum_Swami_-_Radhanath_Swami_Harvard_University.mp3</t>
  </si>
  <si>
    <t>2012_Various_-_Community_of_Devotees_-_Radhanath_Swami_New_Vrindavan.mp3</t>
  </si>
  <si>
    <t>2012_Various_-_Disappearance_of_Srila_Ramananda_Raya_-_Radhanath_Swami_New_Vrindavan.mp3</t>
  </si>
  <si>
    <t>2012_Various_-_Love_for_Krishna_-_Radhanath_Swami_Coloba.mp3</t>
  </si>
  <si>
    <t>2012_Various_-_Spiritual_Realization_-_Radhanath_Swami_New_Vrindavan.mp3</t>
  </si>
  <si>
    <t>2013-01-09_SB_03-25-20_-_Radhanath_Swami_ISKCON_Vrindavan.mp3</t>
  </si>
  <si>
    <t>2013-01-12_Festivals_-_Jagannath_Rath_Yatra_Festival-Dadar_-_Radhanath_Swami_ISKCON_Chowpatty.mp3</t>
  </si>
  <si>
    <t>2013-01-16_Various_-_Bhumi_Pujan_Lecture_-_Radhanath_Swami_ISKCON_Aurangabad.mp3</t>
  </si>
  <si>
    <t>2013-01-18_Various_-_Teachings_of_Prahlad_Maharaj_-_Radhanath_Swami_ISKCON_Juhu.mp3</t>
  </si>
  <si>
    <t>2013-01-19_Festivals_-_Ghatkopar_Rath_Yatra_Lecture_-_Radhanath_Swami_Ghatkopar.mp3</t>
  </si>
  <si>
    <t>2013-01-20_SB-10-14-61_-_Charming_contrasts_in_Krishna_Lila_-_Radhanath_Swami_ISKCON_Chowpatty.mp3</t>
  </si>
  <si>
    <t>2013-01-26_Festivals_-_Pushya_Abhishek_Lecture_-_Radhanath_Swami_ISKCON_Chowpatty.mp3</t>
  </si>
  <si>
    <t>2013-02-03_SB_10-15-20_-_Pleasing_oneself_to_Please_Krishna_-_Radhanath_Swami_ISKCON_Chowpatty.mp3</t>
  </si>
  <si>
    <t>2013-03-17_SB_10-16-42-44_-_Power_of_Devotees_Association_-_Radhanath_Swami_ISKCON_Chowpatty.mp3</t>
  </si>
  <si>
    <t>2013-03-27_Festivals_-_Gaura_Poornima_-_Radhanath_Swami_ISKCON_Bhaktivedanta_Manor.mp3</t>
  </si>
  <si>
    <t>2013-04-28_Various_-_Sunday_Feast_Lecture_-_Radhanath_Swami_ISKCON_Chicago.mp3</t>
  </si>
  <si>
    <t>2013-05-23_Various_-_Disappearance_of_Jayananda_Prabhu_-_Radhanath_Swami_ISKCON_Alachua.mp3</t>
  </si>
  <si>
    <t>2013-05-24_SB_07-05-30_-_Appearance_Day_of_Narsimha_Deva_-_Radhanath_Swami_ISKCON_Alachua.mp3</t>
  </si>
  <si>
    <t>2013-06-04_SB_07-10-08_-_Radhanath_Swami_Los_Angeles.mp3</t>
  </si>
  <si>
    <t>2013-06-04_Various_-_Moving_story_of_Sindhutai_Sapkal_-_Radhanath_Swami_Narayan_Mandir.mp3</t>
  </si>
  <si>
    <t>2013-06-15_Various_-_Initiation_Ceremony_-_Radhanath_Swami_ISKCON_Silicon_Valley.mp3</t>
  </si>
  <si>
    <t>2013-06-16_Various_-_Raghunatha_Dasa_Goswami_-_Radhanath_Swami_ISKCON_Silicon_Valley.mp3</t>
  </si>
  <si>
    <t>2013-07-20_SB-10-22-27-28_-_Breaking_the_wall_of_False_Ego_-_Radhanath_Swami_ISKCON_Chowpatty.mp3</t>
  </si>
  <si>
    <t>2013-07-27_Prerna_Festival-Engineering-The_Better_World_-_Radhanath_Swami_ISKCON_Chowpatty.mp3</t>
  </si>
  <si>
    <t>2013-08-09_Various_-_Initiation_Lecture_-_Radhanath_Sw_Gita_Nagari.mp3</t>
  </si>
  <si>
    <t>2013-08-10_Various_-_Everyone_is_happy_in_Vrindavan_-_Radhanath_Sw_Gita_Nagari.mp3</t>
  </si>
  <si>
    <t>2013-08-11_Various_-_Lord_Chaitanya%27s_Absorption_-_Radhanath_Sw_Gita_Nagari.mp3</t>
  </si>
  <si>
    <t>2013-09-13_Festivals_-_Radhashtami_Lecture_-_Radhanatha_Swami_Bhaktivedanta_Manor.mp3</t>
  </si>
  <si>
    <t>2013-10-06_Various_-_Sunday_Feast-%20Servant_of_the_Servant_-_Radhanath_Swami_ISKCON_Slovenia.mp3</t>
  </si>
  <si>
    <t>2013-10-24_Various_-_Vegetarian_Society_-_Radhanath_Swami_Mumbai.mp3</t>
  </si>
  <si>
    <t>2013-12-17_SB-08-18-20_-_Radhanath_Swami_Bhaktivedanta_Manor.mp3</t>
  </si>
  <si>
    <t>2013-12-20_Various_-_What_Is_A_Real_Vision_-_Radhanath_Swami_Pune.mp3</t>
  </si>
  <si>
    <t>2013-12-21_SB_07-05-32_-_Simplicity_Enables_to_Receive_Grace_of_Krishna_-_Radhanath_Swami_Pune.mp3</t>
  </si>
  <si>
    <t>2013-12-21_Various_-_Real_Transformation_is_Awakening_of_Love_-_Radhanath_Swami_Pune.mp3</t>
  </si>
  <si>
    <t>2013-12-26_Various_-_Returning_to_Patna_After_42_Years_-_Radhanath_Swami_Patna.mp3</t>
  </si>
  <si>
    <t>2014-01-03_Various_-_Striking_The_Balance_In_Life_-_Radhanath_Swami.mp3</t>
  </si>
  <si>
    <t>2014-01-04_SB_10-34-16-20_-_Snake_of_False_Ego%20_-_Radhanath_Swami_ISKCON_Chowpatty.mp3</t>
  </si>
  <si>
    <t>2014-01-04_Various_-_Prerna_Festival-The_Power_To_Change_-_Radhanath_Swami_ISKCON_Chowpatty.mp3</t>
  </si>
  <si>
    <t>2014-01-05_Various_-_Sunday_Feast-Glories_of_Jiva_Goswami_-_Radhanath_Swami_ISKCON_Chowpatty.mp3</t>
  </si>
  <si>
    <t>2014-01-06_Various_-_Sankirtan_Festival_-_Radhanath_Swami.mp3</t>
  </si>
  <si>
    <t>2014-01-10_Festivals_-_Bhaktivedanta_Hospital_Annual_Day_-_Radhanath_Swami_Mira_Road.mp3</t>
  </si>
  <si>
    <t>2014-01-11_SB_10-35-04-05_-_Sweetness_of_Krishna%27s_Love_-_Radhanath_Swami_ISKCON_Chowpatty.mp3</t>
  </si>
  <si>
    <t>2014-01-11_Various_-_Receiving_Grace_By_Becoming_An_Instrument_of_God_-_Radhanath_Swami_Wada.mp3</t>
  </si>
  <si>
    <t>2014-01-12_Various_-_Being_Content_Is_A_Sign_Of_Simplicity_-_Radhanath_Swami_Wada.mp3</t>
  </si>
  <si>
    <t>2014-01-12_Various_-_Our_Contribution_to_Save_the_Environment_-_Radhanath_Swami_Wada.mp3</t>
  </si>
  <si>
    <t>2014-01-14_Various_-_Pastimes_of_Sridhar_Kolavecha_-_Radhanath_Swami_Wada.mp3</t>
  </si>
  <si>
    <t>2014-01-15_Festivals_-_Anniversary_of_the_Juhu_Temple_Opening_-_Radhanath_Swami_ISKCON_Juhu.mp3</t>
  </si>
  <si>
    <t>2014-01-16_SB_06-03-08_-_Radhanath_Swami_ISKCON_Juhu.mp3</t>
  </si>
  <si>
    <t>2014-01-17_Various_-_Pallika_Dasi%27s_Memorial_Program_-_Radhanath_Swami_Mumbai.mp3</t>
  </si>
  <si>
    <t>2014-01-17_Various_-_Pallika_Dasi%E2%80%99s_Memorial_Program_-_Radhanath_Swami_Mumbai.mp3</t>
  </si>
  <si>
    <t>2014-01-18_Various_-_Celebrating_Festival_of_Unity_in_Diversity_-_Radhanath_Swami.mp3</t>
  </si>
  <si>
    <t>2014-01-24_Various_-_Stories_From_Journey_Home_-_Radhanath_Swami.mp3</t>
  </si>
  <si>
    <t>2014-01-25_Festivals_-_Pushya_Abhishek_Lecture_%28Evening%29_-_Radhanath_Swami_ISKCON_Chowpatty.mp3</t>
  </si>
  <si>
    <t>2014-01-25_SB_10-36-05-15_-_Naam_Ruchi_and_Jivadaya_-_Radhanath_Swami_ISKCON_Chowpatty.mp3</t>
  </si>
  <si>
    <t>2014-01-25_SB_10-36-05_-_Aristasura-The_Garb_of_False_Religion_-_Radhanath_Swami.mp3</t>
  </si>
  <si>
    <t>2014-01-26_SB_10-36-16_-_Turning_Worst_Into_Worthy_-_Radhanath_Swami.mp3</t>
  </si>
  <si>
    <t>2014-01-26_Various_-_What_Is_Real_Freedom_-_Radhanath_Swami.mp3</t>
  </si>
  <si>
    <t>2014-01-29_Various_-_Addressed_to_Ukraine_Devotees_-_Radhanath_Swami.mp3</t>
  </si>
  <si>
    <t>2014-01-30_Various_-_Tamil_Book_Launch-Sharing_Moments_From_Journey_Home_-_Radhanath_Swami.mp3</t>
  </si>
  <si>
    <t>2014-02-02_Various_-_Memories_and_Appreciation_of_HG_Kirtida_Mataji_-_Radhanath_Swami.mp3</t>
  </si>
  <si>
    <t>2014-02-04_Various_-_Grihastha_Ashram_is_a_Sacred_Opportunity_for_Bhakti_-_Radhanath_Swami.mp3</t>
  </si>
  <si>
    <t>2014-02-06_Various_-_Annamrita-A_Sign_of_Srila_Prabhupada%27s_Compassion_-_Radhanath_Swami_Dadar.mp3</t>
  </si>
  <si>
    <t>2014-02-09_SB_10-38-01_-_Key_of_Entering_Vrindavan_-_Radhanath_Swami_ISKCON_Chowpatty.mp3</t>
  </si>
  <si>
    <t>2014-03-02_SB_08-23-16_-_Radhanath_Swami_ISKCON_Mayapur.mp3</t>
  </si>
  <si>
    <t>2014-03-04_Various_-_My_Experience_with_Himalayan_Yogis_-_Radhanath_Swami_Rishikesh.mp3</t>
  </si>
  <si>
    <t>2014-03-05_Various_-_In_Giving_We_Receive_-_Radhanath_Swami_Rishikesh.mp3</t>
  </si>
  <si>
    <t>2014-03-05_Various_-_The_Way_to_Real_Ananda_-_Radhanath_Swami_Rishikesh.mp3</t>
  </si>
  <si>
    <t>2014-03-06_Various_-_What_is_the_Mood_of_Bhakti_-_Radhanath_Swami_Rishikesh.mp3</t>
  </si>
  <si>
    <t>2014-03-08_SB_10-40-01_-_Conceiving_Inconceivable_Krishna%27s_Creation_-_Radhanath_Swami.mp3</t>
  </si>
  <si>
    <t>2014-03-08_Various_-_What_is_Dhruva%27s_And_Hanuman%27s_Yoga_-_Radhanath_Swami_Rishikesh.mp3</t>
  </si>
  <si>
    <t>2014-03-09_SB_10-40-04-05_-_Lord_Reciprocates_with_Our_Emotions_-_Radhanath_Swami.mp3</t>
  </si>
  <si>
    <t>2014-03-09_SB_10-40-04-05_-_Separation_from_Krishna_-_Radhanath_Swami_ISKCON_Chowpatty.mp3</t>
  </si>
  <si>
    <t>2014-04-16_SB_03-05-40_-_Bhakti_reveals_Knowledge_within_our_Heart_-_Radhanath_Swami.mp3</t>
  </si>
  <si>
    <t>2014-04-20_SB_10-44-05_-_Inconceivable_Krishna_Kills_Kamsa_-_Radhanath_Swami_ISKCON_Chowpatty.mp3</t>
  </si>
  <si>
    <t>2014-04-25_Various_-_The_Magic_of_Love_-_Radhanath_Swami.mp3</t>
  </si>
  <si>
    <t>2014-04-27_Seminars_-_Mahabharat_Series_04_-_Radhanath_Swami_Bhaktivedanta_Manor.mp3</t>
  </si>
  <si>
    <t>2014-05-04_Various_-_Sunday_Feast-To_Love_Krishna_-_Radhanath_Swami_ISKCON_Chicago.mp3</t>
  </si>
  <si>
    <t>2014-05-15_Festivals_-_Nrsingha_Festival-Soul_of_Lord_Nrsingha_-_Radhanath_Swami.mp3</t>
  </si>
  <si>
    <t>2014-06-09_SB_08-06-13_-_Radhanath_Swami_Los_Angeles.mp3</t>
  </si>
  <si>
    <t>2014-06-11_SB_08-06-15_-_Radhanath_Swami_Los_Angeles.mp3</t>
  </si>
  <si>
    <t>2014-07-01_Various_-_Loving_Gurudeva-Srila_Prabhupada_-_Radhanath_Swami_Govardha_Eco_Village.mp3</t>
  </si>
  <si>
    <t>2014-07-12_SB_04-20-16_-_Radhanath_Swami_Gita_Nagari_Retreat.mp3</t>
  </si>
  <si>
    <t>2014-07-19_Various_-_Nature_of_Dualities_-_Radhanath_Swami_TBC.mp3</t>
  </si>
  <si>
    <t>2014-07-29_Various_-_The_Soul_is_Eternal_-_Radhanath_Swami_Bhakti_Center.mp3</t>
  </si>
  <si>
    <t>2014-08-05_SB_11-08-09_-_Radhanath_Swami.mp3</t>
  </si>
  <si>
    <t>2014-08-05_Various_-_First_meeting_with_Malati_Mataji_-_Radhanath_Swami.mp3</t>
  </si>
  <si>
    <t>2014-08-06_SB_11-08-10_-_Radhanath_Swami.mp3</t>
  </si>
  <si>
    <t>2014-08-10_Various_-_Staying_Strong_-_Radhanath_Swami_Washington_DC.mp3</t>
  </si>
  <si>
    <t>2014-08-15_Various_-_The_Lotus_Festival_-_Radhanath_Swami_Bhakti_Center.mp3</t>
  </si>
  <si>
    <t>2014-08-17_BG_04-09_-_Janma_Karma_ca_me_Divyam_-_Radhanath_Swami_Bhakti_Center.mp3</t>
  </si>
  <si>
    <t>2014-08-29_Festivals_-_The_Pearl_Festival-Hare_Krishna_Kirtan_-_Radhanath_Swami_Bhakti_Center.mp3</t>
  </si>
  <si>
    <t>2014-08-29_Festivals_-_The_Pearl_Festival-Path_of_Devotion_-_Radhanath_Swami_Bhakti_Center.mp3</t>
  </si>
  <si>
    <t>2014-09-12_Various_-_Principles_of_a_Spiritual_Community_-_Radhanath_Swami_Denver.mp3</t>
  </si>
  <si>
    <t>2014-09-21_Various_-_Initation_Ceremony_-_Radhanath_Swami_ISKCON_Chicago.mp3</t>
  </si>
  <si>
    <t>2014-10-16_SB_10-87-32_-_Dealings_Devotees_-_Radhanath_Swami_ISKCON_Tirupati.mp3</t>
  </si>
  <si>
    <t>2014-11-02_SB_10-52-24_-_Being_Eager_to_hear_about_Krishna_-_Radhanath_Swami_ISKCON_Chowpatty.mp3</t>
  </si>
  <si>
    <t>2014-11-15_SB_10-52-44_-_Rukmini%27s_Message_to_Lord_Krishna_-_Radhanath_Swami_ISKCON_Chowpatty.mp3</t>
  </si>
  <si>
    <t>2014-11-23_SB_10-53-13-17_-_Krishna_Kidnaps_Rukmini_-_Radhanath_Swami_ISKCON_Chowpatty.mp3</t>
  </si>
  <si>
    <t>2014-12-07_Various_-_Initiation_Class_-_Radhanath_Swami_Bhaktivedanta_Manor.mp3</t>
  </si>
  <si>
    <t>2014-12-13_SB-10-54-10-12_-_Krishna_Marries_Rukmini_-_Radhanath_Swami_ISKCON_Chowpatty.mp3</t>
  </si>
  <si>
    <t>2015-01-11_Festivals_-_Bhaktivedanta_Hospital_Annual_Day_-_Radhanath_Swami_Mumbai.mp3</t>
  </si>
  <si>
    <t>2015-01-22_Prerana_Festivals-The_Power_of_Sound_-_Radhanath_Swami_ISKCON_Chowpatty.mp3</t>
  </si>
  <si>
    <t>2015-01-23_Festivals_-_Ratha_Yatra_Festivals_-_Radhanath_Swami_Juhu.mp3</t>
  </si>
  <si>
    <t>2015-01-30_Festivals_-_Initiation_Lecture_-_Radhanath_Swami_Juhu.mp3</t>
  </si>
  <si>
    <t>2015-02-02_Various_-_Srila_Prabhupada_and_Calcutta_-_Radhanath_Swami_Kolkata.mp3</t>
  </si>
  <si>
    <t>2015-02-14_SB_06-04-12_-_Radhanath_Swami_ISKCON_Mayapur.mp3</t>
  </si>
  <si>
    <t>2015-02-21_SB-10-58-06-07_-_Gratitude_In_All_Situation_-_Radhanath_Swami_ISKCON_Chowpatty.mp3</t>
  </si>
  <si>
    <t>2015-02-22_Festivals_-_Wada_Rath_Yatra-Celebrating_Festival_of_Chariots_-_Radhanath_Swami_Wada.mp3</t>
  </si>
  <si>
    <t>2015-02-27_Various_-_Recognising_The_Divinity_In_Everyone_-_Radhanath_Swami_Vivek_Vig_House.mp3</t>
  </si>
  <si>
    <t>2015-03-01_Various_-_IYF-Qualities_of_A_Real_Yogi_-_Radhanath_Swami_Rishikesh.mp3</t>
  </si>
  <si>
    <t>2015-03-02_Various_-_Glories_of_Hanuman_-_Radhanath_Swami_Rishikesh.mp3</t>
  </si>
  <si>
    <t>2015-03-02_Various_-_IYF-Equanimity_Amidst_Turbulence_-_Radhanath_Swami_Rishikesh.mp3</t>
  </si>
  <si>
    <t>2015-03-03_Various_-_Glory_of_Path_of_Devotion_and_Holy_Name_-_Radhanath_Swami_Rishikesh.mp3</t>
  </si>
  <si>
    <t>2015-03-03_Various_-_IYF-Yoga_of_Love_-_Radhanath_Swami_Rishikesh.mp3</t>
  </si>
  <si>
    <t>2015-03-03_Various_-_Meaning_of_Anand_Prakash_-_Radhanath_Swami_Rishikesh.mp3</t>
  </si>
  <si>
    <t>2015-03-05_CC_Adi_Lila_07-20-21_-_Gaur_Purnima_Festival_-_Radhanath_Swami_ISKCON_Chowpatty.mp3</t>
  </si>
  <si>
    <t>2015-03-05_Festivals_-_Gaur_Purnima-Evening_Lecture_-_Radhanath_Swami_ISKCON_Chowpatty.mp3</t>
  </si>
  <si>
    <t>2015-03-05_Various_-_Enchanting_Pastimes_of_Lord_Caitanya_Mahaprabhu_01_-_Radhanath_Swami.mp3</t>
  </si>
  <si>
    <t>2015-03-06_Festivals-Jagannath_Mishra_Festival_-_Radhanath_Swami_ISKCON_Chowpatty.mp3</t>
  </si>
  <si>
    <t>2015-03-06_Various_-_Enchanting_Pastimes_of_Lord_Caitanya_Mahaprabhu_02_-_Radhanath_Swami.mp3</t>
  </si>
  <si>
    <t>2015-03-08_SB_04-16-03_-_Leadership_means_to_Sacrifice_and_be_Responsible_-_Radhanath_Swami.mp3</t>
  </si>
  <si>
    <t>2015-04-05_Various_-_Valuable_Lessons_From_Ramayana_-_Radhanath_Swami_Coimbatore.mp3</t>
  </si>
  <si>
    <t>2015-04-12_SB-10-60-37_-_Imports_of_Word_Niskincanah_-_Radhanath_Swami_ISKCON_Chowpatty.mp3</t>
  </si>
  <si>
    <t>2015-04-29_SB_07-09-44_-_Radhanath_Swami_ISKCON_London.mp3</t>
  </si>
  <si>
    <t>2015-05_SB_05-18-09_-_Radhanath_Swami_North_Carolina.mp3</t>
  </si>
  <si>
    <t>2015-06-30_SB_09-06-48_-_Radhanath_Swami_Los_Angeles.mp3</t>
  </si>
  <si>
    <t>2015-07-01_Various_-_What_is_Yoga_-_Radhanath_Swami_Veda_Yoga_Center.mp3</t>
  </si>
  <si>
    <t>2015-07-03_Various_-_Every_human_being_has_Limitness_Desire_-_Radhanath_Swami_Camarillo.mp3</t>
  </si>
  <si>
    <t>2015-07-07_SB_09-07-08_-_Radhanath_Swami_Los_Angeles.mp3</t>
  </si>
  <si>
    <t>2015-07_Various_-_Compassionate_-_Radhanath_Swami_Yogalution_Movement_Ayurveda.mp3</t>
  </si>
  <si>
    <t>2015-08-22_Prerana_-_Jaladuta-A_Historic_Voyage_-_Radhanath_Swami_ISKCON_Chowpatty.mp3</t>
  </si>
  <si>
    <t>2015-08-22_SB-10-67-04_-_Beware_of_Spritiual_Crisis_-_Radhanath_Swami_ISKCON_Chowpatty.mp3</t>
  </si>
  <si>
    <t>2015-08-28_Various_-_Lessons_from_Churning_of_Milk_Ocean_-_Radhanath_Swami_Kumbha_Mela_Nasik.mp3</t>
  </si>
  <si>
    <t>2015-08-28_Various_-_Pastimes_and_Glories_of_Nasik_Dham_-_Radhanath_Swami_ISKCON_Nasik.mp3</t>
  </si>
  <si>
    <t>2015-08-29_Various_-_Glories_of_Lord_Balarama_-_Radhanath_Swami_Kumbha_Mela_Nasik.mp3</t>
  </si>
  <si>
    <t>2015-09-05_Festivals_-_Janmastami_Talk_-_Radhanath_Swami_Omega.mp3</t>
  </si>
  <si>
    <t>2015-09-06_Festivals_-_Srila_Prabhupada_Appearance_-_Radhanath_Swami_Omega.mp3</t>
  </si>
  <si>
    <t>2015-09-09_Various_-_Bhakti_Fest-Bhakti_means_to_Love_-_Radhanath_Swami_California.mp3</t>
  </si>
  <si>
    <t>2015-09-10_Various_-_Bhakti_Fest-Three_Gunas_-_Radhanath_Swami_California.mp3</t>
  </si>
  <si>
    <t>2015-09-11_Various_-_Bhakti_Fest-Jatayu_Helping_Mother_Sita_-_Radhanath_Swami_California.mp3</t>
  </si>
  <si>
    <t>2015-09-13_Various_-_Bhakti_Fest-Spiritual_Path_-_Radhanath_Swami_California.mp3</t>
  </si>
  <si>
    <t>2015-09-13_Various_-_Srila_Prabhupada_Arrival_in_USA_-_Radhanath_Swami_Los_Angeles.mp3</t>
  </si>
  <si>
    <t>2015-09-16_Festivals_-_Sannyasa_Initiation_of_Amal_Bhakta_Swami_-_Radhanath_Swami_Los_Angeles.mp3</t>
  </si>
  <si>
    <t>2015-09-21_Festivals_-_Sri_Radhastami_-_Radhanath_Swami_New_Jersey.mp3</t>
  </si>
  <si>
    <t>2015-09-22_Festivals_-_Sri_Radhastami_Pearl_Festival_-_Radhanath_Swami_New%20York.mp3</t>
  </si>
  <si>
    <t>2015-09_Various_-_India_Conference-Maharaja%27s_Experiences_-_Radhanath_Sw_Boston.mp3</t>
  </si>
  <si>
    <t>2015-10-18_SB_04-30-08_-_Importance_of_Co-operation_among_Devotees_-_Radhanath_Swami_GEV_Wada.mp3</t>
  </si>
  <si>
    <t>2015-10-27_Various_-_Krishna%27s_Power_to_Receive_and_Give_Love_Is_Unlimited_-_Radhanath_Swami.mp3</t>
  </si>
  <si>
    <t>2015-11-25_Various_-_Special_Kartik_Purnima_Class_-_Radhanath_Swami_Bhaktivedanta_Manor.mp3</t>
  </si>
  <si>
    <t>2015-12-08_SB_08-04-03-04_-_Radhanath_Swami_Dallas.mp3</t>
  </si>
  <si>
    <t>2015_SB_05-18-09_-_Radhanath_Swami_North_Carolina.mp3</t>
  </si>
  <si>
    <t>2016-01-02_SB_04-30-08_-_Developing_Friendship_based_on_Krishna%27s_Terms_-_Radhanath_Swami_GEV.mp3</t>
  </si>
  <si>
    <t>2016-01-09_Various_-_Wealth-The_Double_Edge_Sword_-_Radhanath_Swami_Artha_GEV.mp3</t>
  </si>
  <si>
    <t>2016-01-15_Various_-_Integrity_and_Compassion_-_Radhanath_Swami_Sunil_Sanghai_House.mp3</t>
  </si>
  <si>
    <t>2016-01-31_SB_10-74-36_-_Vaishnav_means_No_Envy_-_Radhanath_Swami_ISKCON_Chowpatty.mp3</t>
  </si>
  <si>
    <t>2016-02-06_SB_07-07-43_-_How_Srila_Prabhupada_Established_ISKCON_-_Radhanath_Swami_Juhu.mp3</t>
  </si>
  <si>
    <t>2016-02-12_Various_-_Six_C%27s_of_Community_Building_-_Radhanath_Swami_Vasco.mp3</t>
  </si>
  <si>
    <t>2016-02-13_Various_-_Journey_Home_Experiences_-_Radhanath_Swami_Panjim.mp3</t>
  </si>
  <si>
    <t>2016-02-14_Various_-_Yoga_of_Love_-_Radhanath_Swami_Panjim.mp3</t>
  </si>
  <si>
    <t>2016-02-16_Festivals_-_Glories_of_Vasant_Panchami_-_Radhanath_Swami_Belgaum.mp3</t>
  </si>
  <si>
    <t>2016-02-16_Various_-_Journey_Home_Experiences_-_Radhanath_Swami_Kolkata.mp3</t>
  </si>
  <si>
    <t>2016-02-20_Festivals_-_Nityananda_Trayodashi_Katha_-_Radhanath_Swami_Kolkata.mp3</t>
  </si>
  <si>
    <t>2016-02-26_SB_05-18-09_-_Radhanath_Swami_ISKCON_Mayapur.mp3</t>
  </si>
  <si>
    <t>2016-02-28_Festivals_-_ILS-Appearance_of_Srila_Bhaktisiddhanta_Thakur_-_Radhanath_Swami_Mayapur.mp3</t>
  </si>
  <si>
    <t>2016-03-13_SB_10-78-07-16_-_Krishna%27s_Great_Multitasking_-_Radhanath_Swami_ISKCON_Chowpatty.mp3</t>
  </si>
  <si>
    <t>2016-04-12_Various_-_Interview_on_The_Journey_Within_by_CBS_Radio_-_Radhanath_Swami_Chicago.mp3</t>
  </si>
  <si>
    <t>2016-05-05_Various_-_Six_Obstacles_on_the_path_of_Love_-_Radhanath_Swami_Bhakti_Center.mp3</t>
  </si>
  <si>
    <t>2016-05-18_Various_-_Power_of_Positive_Attitude_-_Radhanath_Swami_Hewlett_Packard_Houston.mp3</t>
  </si>
  <si>
    <t>2016-05-20_Festivals_-_Narsimha_Chaturdashi_-_Radhanath_Swami_ISKCON_Houston.mp3</t>
  </si>
  <si>
    <t>2016-06-06_Various_-_Initiation_Lecture_-_Radhanath_Swami_New_York_Bhakti_Center.mp3</t>
  </si>
  <si>
    <t>2016-06_Various_-_Journey_Within_-_Radhanath_Swami_Pittsburgh.mp3</t>
  </si>
  <si>
    <t>2016-07-22_Various_-_The_Currency_of_Relationships_-_Radhanath_Swami.mp3</t>
  </si>
  <si>
    <t>2016-07-25_Various_-_Growing_Through_Adversity_-_Radhanath_Swami.mp3</t>
  </si>
  <si>
    <t>2016-07-26_SB_10-03-47_-_Radhanath_Swami_Los_Angeles.mp3</t>
  </si>
  <si>
    <t>2016-08-25_Festivals_-_Janmastami_Lecture_-_Radhanath_Swami_ISKCON_Chicago.mp3</t>
  </si>
  <si>
    <t>2016-10-23_Various_-_Disciples_Meeting_-_Radhanath_Swami_UK.mp3</t>
  </si>
  <si>
    <t>2016-10-30_Festivals_-_Govardhan_Puja_-_Radhanath_Swami_ISKCON_Chowpatty.mp3</t>
  </si>
  <si>
    <t>2016-10-31_Festivals_-_Govardhan_Puja_-_Radhanath_Swami_GEV_Wada.MP3</t>
  </si>
  <si>
    <t>2016-11-03_-_Srila_Prabhupada_Disappearance_Day_-_Radhanath_Swami_GEV_Wada.mp3</t>
  </si>
  <si>
    <t>2016-11-18_SB_10-87-25_-_Describing_The_Indescribable_-_Radhanath_Swami_ISKCON_Chowpatty.mp3</t>
  </si>
  <si>
    <t>2016-11-28_Various_-_Rupa_Goswami_and_Sanatan_Goswami_-_Radhanath_Swami_GEV_Wada.mp3</t>
  </si>
  <si>
    <t>2016-12-11_SB-10-87-42_-_Common_Quality_of_Prayers_offered_-_Radhanath_Swami_ISKCON_Chowpatty.mp3</t>
  </si>
  <si>
    <t>2016_Various_-_Good_Life_Project_Interview_-_Radhanath_Swami.mp3</t>
  </si>
  <si>
    <t>2017-03-12_Festivals_-_Gaura_Purnima-01_Morning_Session_-_Radhanath_Swami_ISKCON_Chowpatty.mp3</t>
  </si>
  <si>
    <t>2017-03-12_Festivals_-_Gaura_Purnima-02_Afternoon_Session_-_Radhanath_Swami_ISKCON_Chowpatty.mp3</t>
  </si>
  <si>
    <t>2017-03-12_Festivals_-_Gaura_Purnima-03_Evening_Session_-_Radhanath_Swami_ISKCON_Chowpatty.mp3</t>
  </si>
  <si>
    <t>2017-04-16_Various_-_Sunday_Feast_Class_-_Radhanath_Swami_ISKCON_Alachua.mp3</t>
  </si>
  <si>
    <t>2017-05-29_SB_10-13-31_-_Radhanath_Swami_Los_Angeles.mp3</t>
  </si>
  <si>
    <t>2017-06-04_Festivals_-_Panihati_Cida_Dahi_Festival_-_Radhanath_Swami_Laguna_Beach.mp3</t>
  </si>
  <si>
    <t>2017-06-12_SB_10-13-44_-_Radhanath_Swami_Los_Angeles.mp3</t>
  </si>
  <si>
    <t>2017-07-05_SB_01-01-01_-_Radhanath_Swami_Los_Angeles.mp3</t>
  </si>
  <si>
    <t>2017-08-05_Festival_-_Prerana-The_Journey_Within_-_Radhanath_Swami_ISKCON_Chowpatty.mp3</t>
  </si>
  <si>
    <t>2017-08-06_SB_11-03-36_-_Kaliya_Pastime_-_Radhanath_Swami_ISKCON_Chowpatty.mp3</t>
  </si>
  <si>
    <t>2017-08-15_Festivals_-_Janmastami_Lecture_Part-01_-_Radhanath_Swami_ISKCON_Chowpatty.mp3</t>
  </si>
  <si>
    <t>2017-08-15_Festivals_-_Janmastami_Lecture_Part-02_-_Radhanath_Swami_ISKCON_Chowpatty.mp3</t>
  </si>
  <si>
    <t>2017-08-15_Festivals_-_Janmastami_Lecture_Part-03_-_Radhanath_Swami_ISKCON_Chowpatty.mp3</t>
  </si>
  <si>
    <t>2017-08-15_Festivals_-_Janmastami_Lecture_Part-04_-_Radhanath_Swami_ISKCON_Chowpatty.mp3</t>
  </si>
  <si>
    <t>2017-08-29_Festivals_-_Radhastami%28Evening_Class%29_-_Radhanath_Swami_ISKCON_Chowpatty.mp3</t>
  </si>
  <si>
    <t>2017-09-16_SB_01-02-23_-_Radhanath_Swami_Los_Angeles.mp3</t>
  </si>
  <si>
    <t>2017-12-16_SB_11-06-08_-_Glorious_Activities_of_the_Lord_-_Radhanath_Swami_ISKCON_Chowpatty.mp3</t>
  </si>
  <si>
    <t>2017-12-25_Various_-_What_Pleases_Me_-_Radhanath_Swami_Desai_House.mp3</t>
  </si>
  <si>
    <t>2017_Festivals_-_Gaura_Purnima-03_Evening_Session-Jaya_Jaya_Jagannath_-_Radhanath_Sw_Chowpatty.mp3</t>
  </si>
  <si>
    <t>2017_Pushya_Abhishek_-_What_Attracts_Krishna_Is_Simplicity_of_Offerings_-_Radhanath_Sw_Chowpatty.mp3</t>
  </si>
  <si>
    <t>2018-01-06_SB_11-06-34-35_-_Glories_of_Gopal_Bhatta_Goswami_-_Radhanath_Swami_ISKCON_Chowpatty.mp3</t>
  </si>
  <si>
    <t>2018-01-07_SB_11-06-35_-_Process_to_Understand_Krishna_-_Radhanath_Swami_ISKCON_Chowpatty.mp3</t>
  </si>
  <si>
    <t>2018-01-26_Festivals_-_Special_Class_on_Sri_Ramanujacarya_-_Radhanath_Swami_ISKCON_Juhu.mp3</t>
  </si>
  <si>
    <t>2018-02-08_Festivals_-_Secret_of_Servant_Leadership_-_Radhanath_Swami_ISKCON_Mayapur.mp3</t>
  </si>
  <si>
    <t>2018-02-10_SB_04-20-13_-_Radhanath_Swami_ISKCON_Mayapur.mp3</t>
  </si>
  <si>
    <t>2018-03-02_Festivals_-_Gaur_Purnima_Morning_Class-Gaur_Katha_-_Radhanath_Swami_ISKCON_Chowpatty.mp3</t>
  </si>
  <si>
    <t>2018-08-19_Various_-_Proper_Hearing_of_Hari_Katha_-_Radhanath_Swami_Bhaktivedanta_Manor.mp3</t>
  </si>
  <si>
    <t>2018-08-26_SB_10-08-12_-_Balaram_Jayanti_Class_-_Radhanath_Swami_ISKCON_Chowpatty.mp3</t>
  </si>
  <si>
    <t>2018-09-02_SB_10-16-39_-_Janmastami_Festival_Katha_-_Radhanath_Swami_ISKCON_Chowpatty.mp3</t>
  </si>
  <si>
    <t>2018-09-03_SB_10-01-02_-_Janmastami_Festival_Katha_-_Radhanath_Swami_ISKCON_Chowpatty.mp3</t>
  </si>
  <si>
    <t>2018-10-28_SB_11-14-01_-_Glories_Of_Uddhav_Gita_-_Radhanath_Swami_ISKCON_Chowpatty.mp3</t>
  </si>
  <si>
    <t>2018-12-16_SB_11-15-12_-_Lord_Krishna_is_Real_Yogesvara_-_Radhanath_Swami_ISKCON_Chowpatty.mp3</t>
  </si>
  <si>
    <t>2019-01-05_Festivals_-_Shivaji_Park_Rath_Yatra_Lecture_-_Radhanath_Swami_Dadar.mp3</t>
  </si>
  <si>
    <t>2019-01-06_SB_11-15-32_-_Psychology_of_Love_of_Godhead_-_Radhanath_Swami_ISKCON_Chowpatty.mp3</t>
  </si>
  <si>
    <t>2019-01-20_SB_11-16-10-17_-_Krishna_is_the_Source_of_Opulence_-_Radhanath_Swami_ISKCON_Chowpatty.mp3</t>
  </si>
  <si>
    <t>2019-03-24_CC_Madhya_Lila_01-52-53_-_Radhanath_Swami_Bhaktivedanta_Manor.mp3</t>
  </si>
  <si>
    <t>2019-04-28_Festivals_-_Glories_of_Sri_Hanuman-The_Emblem_of_Devotion_-_Radhanath_Swami.mp3</t>
  </si>
  <si>
    <t>2019-05-06_Various_-_Wisdom_from_the_Bhakti_Tradition_-_Radhanath_Swami_Bhakti_Centre.mp3</t>
  </si>
  <si>
    <t>2019-05-14_Various_-_Talk_on_Mothers_Day_-_Radhanath_Swami_Bhakti_Centre.mp3</t>
  </si>
  <si>
    <t>2019-05-14_Various_-_Wisdom_from_the_Bhakti_Tradition_-_Radhanath_Swami_Bhakti_Centre.mp3</t>
  </si>
  <si>
    <t>2019-05-29_Various_-_Wisdom_from_the_Bhakti_Tradition_-_Radhanath_Swami_Bhakti_Centre.mp3</t>
  </si>
  <si>
    <t>2019-07-10_SB_01-16-20_-_Radhanath_Swami_Los_Angeles.mp3</t>
  </si>
  <si>
    <t>2019-07-28_Festivals_-_Initiation_Talk_-_Radhanath_Swami_Silicon_Valley.mp3</t>
  </si>
  <si>
    <t>2019-08-24_SB_01-03-28_-_Janmashtami_Festival_-_Radhanath_Swami_ISKCON_Chowpatty.mp3</t>
  </si>
  <si>
    <t>2019-08-25_Festivals_-_Srila_Prabhupada_Vyasa_Puja_Offerings_-_Radhanath_Swami_ISKCON_Chowpatty.mp3</t>
  </si>
  <si>
    <t>2019-11-10_Festivals_-_Govardhan_Puja_Lecture_-_Radhanath_Swami_GEV.mp3</t>
  </si>
  <si>
    <t>2019-12-29_Festivals_-_Glories_of_Jiva_Goswami_-_Radhanath_Swami_GEV_Wada.mp3</t>
  </si>
  <si>
    <t>2020-01-12_SB_06-03-31_-_Sankirtan_brings_Auspiciousness_-_Radhanath_Swami_ISKCON_Chowpatty.mp3</t>
  </si>
  <si>
    <t>2020-01-18_Various_-_Artha_Forum_-_Radhanath_Swami_GEV.mp3</t>
  </si>
  <si>
    <t>2020-01-25_Festivals_-_Pushya_Abhishek_Lecture-Evening_Class_-_Radhanath_Swami_ISKCON_Chowpatty.mp3</t>
  </si>
  <si>
    <t>2020-01-25_Festivals_-_Pushya_Abhishek_Lecture-Morning_Class_-_Radhanath_Swami_ISKCON_Chowpatty.mp3</t>
  </si>
  <si>
    <t>2020-01-26_Various_-_Special_Class-Shikshastakam_-_Radhanath_Swami_ISKCON_Juhu.mp3</t>
  </si>
  <si>
    <t>2020-02-02_CC_Adi_Lila_06-12_-_Glories_of_Advaita_Acharya_-_Radhanath_Swami_ISKCON_Chowpatty.mp3</t>
  </si>
  <si>
    <t>2020-02-19_SB_09-21-18_-_Ishvar_Puri_Lecture_-_Radhanath_Swami_ISKCON_Mayapur.mp3</t>
  </si>
  <si>
    <t>2020-03-09_Festivals_-_Appearance_of_Lord_Chaitanya_Mahaprabhu_-_Radhanath_Swami_GEV_Wada.mp3</t>
  </si>
  <si>
    <t>2020-06-06_Various_-_Mahabhagavat_Prarikshit_Maharaj_-_Radhanath_Swami_ISKCON_Chowpatty.mp3</t>
  </si>
  <si>
    <t>2020-08-03_Festivals_-_Zoom_Class-Balaram%20_Jayanti_-_Radhanath_Swami_ISKCON_Chowpatty.mp3</t>
  </si>
  <si>
    <t>2020-08-12_-_Janmashtami_Special_Class_-_Radhanath_Swami_ISKCON_Chowpatty.mp3</t>
  </si>
  <si>
    <t>2020-08-13_-_Prabhupada_Vyas_Puja_Celebrations_-_Radhanath_Swami_ISKCON_Chowpatty.mp3</t>
  </si>
  <si>
    <t>2020-12-13_Festivals_-_Satsang_Lecture_-_Radhanath_Swami_ISKCON_Chowpatty.mp3</t>
  </si>
  <si>
    <t>2021-01-30_Festivals_-_Pushya_Abhishek_Class_-_Radhanath_Swami_ISKCON_Chowpatty.mp3</t>
  </si>
  <si>
    <t>2021-02-25_Festivals_-_Nityananda_Trayodashi_Special_Class_-_Radhanath_Swami_ISKCON_Chowpatty.mp3</t>
  </si>
  <si>
    <t>2021-03-28_Festivals_-_Gaura_Purnima_Evening_Lecture_-_Radhanath_Swami_ISKCON_Chowpatty.mp3</t>
  </si>
  <si>
    <t>2021-04-21_Festivals_-_Sri_Ram_Navami_Lecture_-_Radhanath_Swami_ISKCON_Chowpatty.mp3</t>
  </si>
  <si>
    <t>2021-05-25_Festivals_-_Narasimha_Chaturdashi_Class_-_Radhanath_Swami_ISKCON_Chowpatty.mp3</t>
  </si>
  <si>
    <t>2021-07-18_Festivals_-_Brahmotsavam_Festival_Lecture_-_Radhanath_Swami_ISKCON_Chowpatty.mp3</t>
  </si>
  <si>
    <t>2021-09-14_Festivals_-_Radhastami_Class_-_Radhanath_Swami_ISKCON_Chowpatty.mp3</t>
  </si>
  <si>
    <t>2022-01-09_Various_-_Satsang_Program_-_Radhanath_Swami_ISKCON_Chowpatty.mp3</t>
  </si>
  <si>
    <t>2022-01-23_Various_-_Satsang_Program_-_Radhanath_Sw_ISKCON_Chowpatty.mp3</t>
  </si>
  <si>
    <t>2022-01-26_Festival_-_Special_Class_-_Radhanath_Swami_ISKCON_Juhu.mp3</t>
  </si>
  <si>
    <t>2022-01-29_Festivals_-_Pushya_Abhishek_Lecture_-_Radhanth_Swami_ISKCON_Chowpatty.mp3</t>
  </si>
  <si>
    <t>2022-01-30_Various_-_Memorial_Program_of_HG_Vamshidhar_Prabhu_-_Radhanth_Swami_ISKCON_Chowpatty.mp3</t>
  </si>
  <si>
    <t>2022-02-14_Festivals_-_Lord_Nityananda_Appearance_Class_-_Radhanath_Swami_ISKCON_Chowpatty.mp3</t>
  </si>
  <si>
    <t>2022-02-27_Various_-_Satsang_Program_-_Radhanath_Swami_ISKCON_Chowpatty.mp3</t>
  </si>
  <si>
    <t>2022-04-10_Festivals_-_Rama_Navami_Evening_Class_-_Radhanath_Swami_GEV.mp3</t>
  </si>
  <si>
    <t>2022-05-14_Various_-_Green_Pilgrimage_Conference_-_Radhanath_Swami_GEV.mp3</t>
  </si>
  <si>
    <t>2022-05-15_Festivals_-_Narsimha_Chaturdashi_Class_-_Radhanath_Swami_ISKCON_Chowpatty.mp3</t>
  </si>
  <si>
    <t>2023-03-07_Festivals_-_Gaur_Purnima_Class_-_Radhanath_Swami_ISKCON_Chowpatty.mp3</t>
  </si>
  <si>
    <t>2023-03-30_Festivals_-_Rama_Navami_Lecture_-_Radhanath_Swami_ISKCON_Chowpatty.mp3</t>
  </si>
  <si>
    <t>2023-04-02_SB_09-10-16_-_Lessons_from_Ramayana_-_Radhanath_Swami_ISKCON_Chowpatty.mp3</t>
  </si>
  <si>
    <t>2023-04-09_SB_01-18-03_-_Glories_of_King_Parikshit_-_Radhanath_Swami_ISKCON_Chowpatty.mp3</t>
  </si>
  <si>
    <t>2023-06-25_Various_-_Sunday_Feast_Lecture_-_Radhanath_Swami_ISKCON_Alachua.mp3</t>
  </si>
  <si>
    <t>2023-06-26_Festivals_-_Initiation_Lecture_-_Radhanath_Swami_ISKCON_Alachua.mp3</t>
  </si>
  <si>
    <t>2023-07-16_Festivals_-_Brahmotsav_Festival_Lecture_-_Radhanath_Swami_ISKCON_Chowpatty.mp3</t>
  </si>
  <si>
    <t>2023-09-07_Festivals_-_Janmastami_Lecture-Krishna_Katha_-_Radhanath_Swami_ISKCON_Chowpatty.mp3</t>
  </si>
  <si>
    <t>2023-09-24_SB_02-02-36_-_Making_heart_a_better_place_-_Radhanath_Swami_Maharaj_ISKCON_Chowpatty.mp3</t>
  </si>
  <si>
    <t>2023-10-12_Festivals_-_Vyas_Puja-Festival_of_Gratitude_-_Radhanath_Swami_GEV.mp3</t>
  </si>
  <si>
    <t>2024-01-06_Festival_Lecture_-_Pushya_Abhishek_Lecture_-_Radhanath_Swami_ISKCON_Chowpatty.mp3</t>
  </si>
  <si>
    <t>2024-01-07_SB_02-05-32_-_How_to_atone_for_offences_-_Radhanath_Swami_ISKCON_Chowpatty.mp3</t>
  </si>
  <si>
    <t>2024-01-26_Special_Class_-_Welcoming_Sri_Rama_to_our_Life_-_Radhanath_Swami_ISKCON_Juhu.mp3</t>
  </si>
  <si>
    <t>2024-04-07_SB_02-07-24_-_Lessons_from_Ramayan_-_Radhanath_Swami_ISKCON_Chowpatty.mp3</t>
  </si>
  <si>
    <t>2024-07-14_SB_02-09-29_-_How_Lord_Krishna_reveals_Himself_-_Radhanath_Swami_ISKCON_Chowpatty.mp3</t>
  </si>
  <si>
    <t>2024-07-21_Festival_Class_-_Brahmotsava_-_Radhanath_Swami_Maharaj_ISKCON_Chowpatty.mp3</t>
  </si>
  <si>
    <t>2024-08-18_SB_02-09-46_-_Austerity_and_Bhakti_-_Radhanath_Swami_ISKCON_Chowpatty.mp3</t>
  </si>
  <si>
    <t>2024-08-19_Festival_Class_-_Glories_of_Lord_Balarama_-_Radhanath_Swami_ISKCON_Chowpatty.mp3</t>
  </si>
  <si>
    <t>2024-08-30_SB_06-19-06_-_Radhanath_Swami_ISKCON_Delhi.mp3</t>
  </si>
  <si>
    <t>2024-09-11_CC_Adi_Lila_04-69_-_Radhastami_Lecture_-_Radhanath_Swami_ISKCON_Chowpatty.mp3</t>
  </si>
  <si>
    <t>2024-12-01_SB_03-02-03_-_What_is_the_Difficulty_-_Radhanath_Swami_ISKCON_Chowpatty.mp3</t>
  </si>
  <si>
    <t>2024-12-22_SB_03-22-20_-_Krishna_inconceivable_Plans_-_Radhanath_Swami_ISKCON_Chowpatty.mp3</t>
  </si>
  <si>
    <t>2025-05-28_SB_03-15-33_-_Radhanath_Swami_ISKCON_Alachua.mp3</t>
  </si>
  <si>
    <t>02_-_2014_Gita_Nagari_Retreat_-_Bhajans-Hare_Krishna_Kirtan_-_Radhanath_Swami.mp3</t>
  </si>
  <si>
    <t>03_-_2014_Gita_Nagari_Retreat_-_Bhajans-Hare_Krishna_Kirtan.mp3</t>
  </si>
  <si>
    <t>04_-_2014_Gita_Nagari_Retreat_-_Morning_Session-Devotees_Chanting_-_Radhanath_Swami.mp3</t>
  </si>
  <si>
    <t>05_-_2014_Gita_Nagari_Retreat_-_CC_Madhya_Lila_13-80_-_Sesa_Prabhu.mp3</t>
  </si>
  <si>
    <t>06_-_2014_Gita_Nagari_Retreat_-_Bhajans-Hare_Krishna_Kirtan.mp3</t>
  </si>
  <si>
    <t>07_-_2014_Gita_Nagari_Retreat_-_Bhajans-Hare_Krishna_Kirtan.mp3</t>
  </si>
  <si>
    <t>08_-_2014_Gita_Nagari_Retreat_-_Bhajans-Hare_Krishna_Kirtan.mp3</t>
  </si>
  <si>
    <t>09_-_2014_Gita_Nagari_Retreat_-_SB_04-20-16_-_Radhanath_Swami.mp3</t>
  </si>
  <si>
    <t>10_-_2014_Gita_Nagari_Retreat_-_Bhajans-Hare_krishna_Kirtan_-_Radhanath_Swami.mp3</t>
  </si>
  <si>
    <t>11_-_2014_Gita_Nagari_Retreat_-_Bhajans-Hare_krishna_Kirtan.mp3</t>
  </si>
  <si>
    <t>12_-_2014_Gita_Nagari_Retreat_-_Mission_of_Lord_Chaitanya_Mahaprabhu_Movement_-_Rukmini_Mataji.mp3</t>
  </si>
  <si>
    <t>15_-_2014_Gita_Nagari_Retreat_-_Bonafied_Spiritual_Master_-_Devamrita_Swami.mp3</t>
  </si>
  <si>
    <t>16_-_2014_Gita_Nagari_Retreat_-_Initiation_Ceremony.mp3</t>
  </si>
  <si>
    <t>17_-_2014_Gita_Nagari_Retreat_-_Devotion_to_Reach_Krishna_-_Radhanath_Swami.mp3</t>
  </si>
  <si>
    <t>18_-_2014_Gita_Nagari_Retreat_-_Pure_Devotion_Service_-_Radhanath_Swami.mp3</t>
  </si>
  <si>
    <t>19_-_2014_Gita_Nagari_Retreat_-_Initiation_Ceremony_-_Radhanath_Swami.mp3</t>
  </si>
  <si>
    <t>20_-_2014_Gita_Nagari_Retreat_-_Initiation_Ceremony_-_Radhanath_Swami.mp3</t>
  </si>
  <si>
    <t>21_-_2014_Gita_Nagari_Retreat_-_End_of_Initiation_Ceremony_-_Devamrita_Swami.mp3</t>
  </si>
  <si>
    <t>22_-_2014-07-12_Gita_Nagari_Retreat_-_How_Creation_begins_-_Radhanath_Swami.mp3</t>
  </si>
  <si>
    <t>23_-_2014-07-12_Gita_Nagari_Retreat_-_Proper_Attitude_-_Radhanath_Swami.mp3</t>
  </si>
  <si>
    <t>2015_Gita_Nagari_Retreat_-_Authenticity_and_Harmony_-_Giriraj_Swami_2015-05-30.mp3</t>
  </si>
  <si>
    <t>2015_Gita_Nagari_Retreat_-_Guru_Puja_-_2015-05-29.mp3</t>
  </si>
  <si>
    <t>2015_Gita_Nagari_Retreat_-_Guru_Puja_-_2015-05-31.mp3</t>
  </si>
  <si>
    <t>2015_Gita_Nagari_Retreat_-_Hare_Krishna_Kirtan_-_2015-05-30.mp3</t>
  </si>
  <si>
    <t>2015_Gita_Nagari_Retreat_-_Hare_Krishna_Kirtan_-_Kids_Kirtan_2015-05-30.mp3</t>
  </si>
  <si>
    <t>2015_Gita_Nagari_Retreat_-_Hare_Krishna_Kirtan_01_-_Acyuta_Gopi_Mataji_2015-05-30.mp3</t>
  </si>
  <si>
    <t>2015_Gita_Nagari_Retreat_-_Hare_Krishna_Kirtan_02_-_Acyuta_Gopi_Mataji_2015-05-30.mp3</t>
  </si>
  <si>
    <t>2015_Gita_Nagari_Retreat_-_Krishna_Integrity_and_Us_-_Vishaka_Mataji_2015-05-29.mp3</t>
  </si>
  <si>
    <t>2015_Gita_Nagari_Retreat_-_Pleasing_Krishna_-_Radhanath_Swami_2015-05-30.mp3</t>
  </si>
  <si>
    <t>2015_Gita_Nagari_Retreat_-_SB_02-07-15_-_2015-05-29.mp3</t>
  </si>
  <si>
    <t>2015_Gita_Nagari_Retreat_-_SB_07-09-28_-_Malati_Mataji_2015-05-30.mp3</t>
  </si>
  <si>
    <t>2015_Gita_Nagari_Retreat_-_Srila_Prabhupada_Pastimes_-_Vishaka_Mataji_2015-05-29.mp3</t>
  </si>
  <si>
    <t>2015_Gita_Nagari_Retreat_-_Tulasi_Puja_-_2015-05-29.mp3</t>
  </si>
  <si>
    <t>SB_03-18-15_-_The_Battle_Between_Lord_Boar_and_the_Demon_Hiranyaksa_-_Radhanath_Swami.mp3</t>
  </si>
  <si>
    <t>Various_-_Building_a_Foundation_-_Radhanath_Swami.mp3</t>
  </si>
  <si>
    <t>Various_-_Encountering_God-Hindu_and_Christian_Perspectives_-_Radhanath_Swami.mp3</t>
  </si>
  <si>
    <t>Various_-_Every_situation_is_a_Blessing_-_Radhanath_Swami.mp3</t>
  </si>
  <si>
    <t>Various_-_Lessons_from_a_Hawk_-_Radhanath_Swami.mp3</t>
  </si>
  <si>
    <t>Various_-_Memories_and_Realization_with_his_mother_-_Radhanath_Swami.mp3</t>
  </si>
  <si>
    <t>Various_-_Real_Love_and_Perverted_Love_-_Radhanath_Swami.mp3</t>
  </si>
  <si>
    <t>Various_-_Relative_Perception_of_Reality_-_Radhanath_Swami.mp3</t>
  </si>
  <si>
    <t>Various_-_Saranagati_Series-Accepting_Lord_as_the_Supreme_Protector_-_Radhanath_Swami_ISKCON_Chicago.mp3</t>
  </si>
  <si>
    <t>Various_-_The_Stick_of_Sadhu%27s_Blessing_-_Radhanath_Swami.mp3</t>
  </si>
  <si>
    <t>1991-052_The_Diesease_Of_Envy_SB_09-11-23_-_Radhanath_Swami_Mumbai_1991-05-24_IDesireTree.mp3</t>
  </si>
  <si>
    <t>1991-133_Envious_Of_His_Mercy_SB_10-02-20_-_Radhanath_Swami_Mumbai_1991-11-29_IDesireTree.mp3</t>
  </si>
  <si>
    <t>1991_Ravana-Personification_of_Lust_%26_Envy-02_-_Radhanath_Swami_Heideberg_1991-12-09_IDesireTree.mp3</t>
  </si>
  <si>
    <t>1994-052_Curing_The_Disease_Of_Envy_SB_10-54-26_-_Radhanath_Swami_Mumbai_1994-03-23_IDesireTree.mp3</t>
  </si>
  <si>
    <t>1996-076_Give_Up_Envy_And_Cooperate_SB_04-19-01-02_-_Radhanath_Swami_Pune_1996-04-10_IDesireTree.mp3</t>
  </si>
  <si>
    <t>1997_Ravana-Personification_of_Lust_%26_Envy-01_-_Radhanath_Swami_Heideberg_1997-12-09_IDesireTree.mp3</t>
  </si>
  <si>
    <t>1998-099_No_Competition_in_Vaikuntha_SB_03-15-20_-_Radhanath_Swami_Mumbai_1998-11-04_IDesireTree.mp3</t>
  </si>
  <si>
    <t>Cultivating_Compassion_by_Eliminating_Envy_-_Radhanath_Swami_IDesireTree.mp3</t>
  </si>
  <si>
    <t>Do_Not_Eat_the_Forbidden_Apple_of_Envy-SB-05-14-12_-_Radhanath_Swami_24-09-05.MP3</t>
  </si>
  <si>
    <t>Freeing_Ourselves_from_our_Kaliya_like_Envy_-_Radhanath_Swami_IDesireTree.mp3</t>
  </si>
  <si>
    <t>To_Overcome_Envy_One_Must_Give_Up_Fault_Finding-Sunday_Feast_-_Radhanath_Swami_09-10-05.MP3</t>
  </si>
  <si>
    <t>1997_Effects_of_Anger_SB-02-07-07_-_Radhanath_Swami_Mumbai_1997-01-05_IDesireTree.mp3</t>
  </si>
  <si>
    <t>2001_Effect_and_Consequences_of_Anger_on_Daksa_-_Radhanath_Swami_2001-04-15_Mumbai_IDesireTree.mp3</t>
  </si>
  <si>
    <t>1991-099_Coming_Out_Of_Illusion_BG_15-07_-_Radhanath_Swami_Mumbai_1991-10-26_IDesireTree.mp3</t>
  </si>
  <si>
    <t>1993-145_Truth_And_Illusion_BG_03-27_-_Radhanath_Swami_Mumbai_1993-10-09_IDesireTree.mp3</t>
  </si>
  <si>
    <t>1996-010_Wake_Up_To_Reality_SB_01-15-51_-_Radhanath_Swami_Mumbai_1996-01-07.mp3</t>
  </si>
  <si>
    <t>1997-095_Conquer_Delusion_BG-07_-_Radhanath_Swami_Mumbai_1997-09-06_IDesireTree.mp3</t>
  </si>
  <si>
    <t>1997-115_Come_Out_Of_Dense_Illusion_BG_08-20_-_Radhanath_Swami_Mumbai_1997-10-04_IDesireTree.mp3</t>
  </si>
  <si>
    <t>Dissipating_the_Cloud_of_Material_Illusion_-_Radhanath_Swami_IDesireTree.mp3</t>
  </si>
  <si>
    <t>Everything_is_relative_-_Radhanath_Swami_IDesireTree.MP3</t>
  </si>
  <si>
    <t>How_the_Soul_Gets_Illusioned_-_Radhanath_Swami_IDesireTree.mp3</t>
  </si>
  <si>
    <t>1989-010_Overcoming_Lust_Lecture_-_Radhanath_Swami_NV_1989-07-01_IDesireTree.mp3</t>
  </si>
  <si>
    <t>1989-066_Overcoming_Lust_Lecture_-_Radhanath_Swami_Mumbai_1989-01-07_IDesireTree.mp3</t>
  </si>
  <si>
    <t>1989-087_Conquering_The_Enemy_Of_Lust_SB_07-13-26_-_Radhanath_Swami_Mumbai_1989-12-29_IDesireTree.mp3</t>
  </si>
  <si>
    <t>1990-013_The_Story_Of_Ajamila_Lecture_-_Radhanath_Swami_Mumbai_1990-01-28_IDesireTree.mp3</t>
  </si>
  <si>
    <t>1990_The_Story_of_Ajamila_-_Radhanath_Swami_Mumbai_1990-01-28_IDesireTree.MP3</t>
  </si>
  <si>
    <t>1991-035_Miseries_Of_Sex_Attraction_SB_09-10-09-11_-_Radhanath_Swami_Mumbai_1991-04-28_IDesireTree.mp3</t>
  </si>
  <si>
    <t>1991-082_Story_Of_Ajamila_SB_06-03-22-23_-_Radhanath_Swami_Mumbai_1991-10-18_IDesireTree.mp3</t>
  </si>
  <si>
    <t>1992-159_Teachings_From_Story_Of_Ajamila_SB_06-02-07_-_Radhanath_Swami_Mumbai_1992-12-28_IDesireTree.mp3</t>
  </si>
  <si>
    <t>1995-011_Demoniac_Qualities-Lust_Pride_Prestige_BG_16-10_-_Radhanath_Swami_Mumbai_1995-01-08.mp3</t>
  </si>
  <si>
    <t>1995-109_Lust_Greatest_Bondage_SB_07-06-17-18_-_Radhanath_Swami_Delhi_1995-09-29_IDesireTree.mp3</t>
  </si>
  <si>
    <t>1997_Ravana-Personification_of_Lust_%26_Envy-02_-_Radhanath_Swami_Heideberg_1997-12-09_IDesireTree.mp3</t>
  </si>
  <si>
    <t>1994-130_Greed_For_Wealth_Ruins_Us_SB_10-10-38_-_Radhanath_Swami_Mumbai_1994-09-04_IDesireTree.mp3</t>
  </si>
  <si>
    <t>1998-008_More_You_Have_More_You_Suffer_SB_03-09-06_-_Radhanath_Swami_Mumbai_1998-01-21_IDesireTree.mp3</t>
  </si>
  <si>
    <t>Greed-No_Satisfaction_No_Relationships_SB-05-14-26_-_Radhanth_Swami_Mumbai_09-10-05.mp3</t>
  </si>
  <si>
    <t>1989-062_Pride_Lecture_-_Radhanath_Swami_Mumbai_1989-10-05_IDesireTree.mp3</t>
  </si>
  <si>
    <t>1991-004_Pride_Is_Sin_BG_11-55_-_Radhanath_Swami_Mumbai_1991-01-25_IDesireTree.mp3</t>
  </si>
  <si>
    <t>1991-060_Dangerous_Road-_Pride_SB_09-14-04-06_-_Radhanath_Swami_Mumbai_1991-06-06_IDesireTree.mp3</t>
  </si>
  <si>
    <t>1993-004_Meaning_Of_False_Pride_SB_10-20-19_-_Radhanath_Swami_Mumbai_1993-01-06_IDesireTree.mp3</t>
  </si>
  <si>
    <t>1994-063_Humility_%26_Pride_SB_01-11-01_-_Radhanath_Swami_Mumbai_1994-04-07_IDesireTree.mp3</t>
  </si>
  <si>
    <t>1994-162_Don%27t_Be_Arrogant_Ht_-_BG_03-11_-_Radhanath_Swami_Mumbai_1994-09-24_IDesireTree.mp3</t>
  </si>
  <si>
    <t>1994-183_Pride_And_Criticism_SB_04-20-26_-_Radhanath_Swami_Mumbai_1994-10-08_IDesireTree.mp3</t>
  </si>
  <si>
    <t>1999-033_Pride_Cometh_Before_the_Fall_BG_18-26_-_Radhanath_Swami_Mumbai_1999-06-22_IDesireTree.mp3</t>
  </si>
  <si>
    <t>2005_Maya_Traps_The_Puffed_Up_SB_05-13-23_-_Radhanath_Swami_Mumbai_-_2005-09-07.MP3</t>
  </si>
  <si>
    <t>Do_not_become_a_prisoner_of_success_SB_06-11-24-26_-_Radhanath_Swami_IDesireTree.mp3</t>
  </si>
  <si>
    <t>Keshi%27s_Pride_and_Yamuna%27s_Mercy_-_Radhanath_Swami_IDesireTree.mp3</t>
  </si>
  <si>
    <t>Destroying_The_Ravana_Within_%2837th_Prerana_-_Mumbai%29_15-10-05.MP3</t>
  </si>
  <si>
    <t>Lord_Balaram-The_Destroyer_of_Anarthas-Lord_Balaram_-_Radhanath_Swami.mp3</t>
  </si>
  <si>
    <t>1992-016_Shun_Attachment_Now_SB_10-04-16-18_-_Radhanath_Swami_Mumbai_1992-01-29_IDesireTree.mp3</t>
  </si>
  <si>
    <t>1992-061_Secret_Of_Detachment_Lecture_-_Radhanath_Swami_Mumbai_1992-04-04_IDesireTree.mp3</t>
  </si>
  <si>
    <t>1992-074_Spiritual_Attachments_SB_10-13-33-34_-_Radhanath_Swami_Mumbai_1992-08-16_IDesireTree.mp3</t>
  </si>
  <si>
    <t>1993-057_To_Be_Detached_SB_03-29-70-11_-_Radhanath_Swami_Mumbai_1993-04-17_IDesireTree.mp3</t>
  </si>
  <si>
    <t>1994-079_Detachment_SB-01-15-42_-_Radhanath_Swami_Mumbai_1994-05-10_IDesireTree.mp3</t>
  </si>
  <si>
    <t>1996-055_Where_To_Attach_Oneself_Ht_-_BG_07-01_-_Radhanath_Swami_Mumbai_1996-03-16_IDesireTree.mp3</t>
  </si>
  <si>
    <t>1998-070_Indra%27s_Attachment_SB_03-25-16_-_Radhanath_Swami_NV_1998-05-25_IDesireTree.mp3</t>
  </si>
  <si>
    <t>1989-011_An_Empty_Husk_Lecture_-_Radhanath_Swami_Mumbai_1989-07-08_IDesireTree.mp3</t>
  </si>
  <si>
    <t>2007_What_it_Takes_to_Go_Back_To_Godhead_SB_06-11-19_-_Radhanath_Swami_2007-03-25_IDesireTree.MP3</t>
  </si>
  <si>
    <t>1989-003_The_Goal_Of_Life_BG_2-47_-_Radhanath_Swami_Mumbai_1989-02-17_IDesireTree.mp3</t>
  </si>
  <si>
    <t>1989-017_Take_The_Medicine_BG_05-20_-_Radhanath_Swami_Mumbai_1989-07-20_IDesireTree.mp3</t>
  </si>
  <si>
    <t>1989-069_Bhagavad_Gita_Rejects_Piety_BG_02-45_-_Radhanath_Swami_Mumbai_1989-10-18_IDesireTree.mp3</t>
  </si>
  <si>
    <t>1992-090_Dicussions_On_Bhagavad_Gita_Q%26A_-_Radhanath_Swami_Mumbai_1992-08-26_IDesireTree.mp3</t>
  </si>
  <si>
    <t>1993-045_Kshetra_And_Kshetra_Jna_BG_13-01-03_-_Radhanath_Swami_Mumbai_1993-04-10_IDesireTree.mp3</t>
  </si>
  <si>
    <t>1993-048_Inaction_In_Action_BG_04-17_-_Radhanath_Swami_Mumbai_1993-04-11_IDesireTree.mp3</t>
  </si>
  <si>
    <t>1993-066_Transcendental_Words_Of_Gita_BG_10-19_-_Radhanath_Swami_Mumbai_1993-04-24_IDesireTree.mp3</t>
  </si>
  <si>
    <t>1993-068_Everything_Emanates_From_Me_BG_10-08_-_Radhanath_Swami_Mumbai_1993-04-25_IDesireTree.mp3</t>
  </si>
  <si>
    <t>1994-005_Teachings_Of_Bhagavad_Gita_BG_07-02_-_Radhanath_Swami_Mumbai_1994-01-11_IDesireTree.mp3</t>
  </si>
  <si>
    <t>1994-058_Understanding_Bhagavad-Gita_Lecture_-_Radhanath_Swami_Mumbai_1994-03-28_IDesireTree.mp3</t>
  </si>
  <si>
    <t>1995-013_Nature_The_Enjoyer_And_Consciousness_BG_13-01-02_-_Radhanath_Swami_Mumbai_1995-01-10.mp3</t>
  </si>
  <si>
    <t>1995-016_Bhagavad_Gita-The_Greatest_Science_Mt_BG_05-24_-_Radhanath_Swami_Pune_1995-01-12.mp3</t>
  </si>
  <si>
    <t>1995-033_Take_Gita_Seriously_BG_07-01_-_Radhanath_Swami_Mumbai_1995-01-22.mp3</t>
  </si>
  <si>
    <t>1995-068_Understanding_Kurukshetra_And_Gita_Lecture_-_Radhanath_Swami_Kurukshetra_1995-03-24.mp3</t>
  </si>
  <si>
    <t>1995-100_Gita_Practical_Way_OF_Life_HT_-_BG_03-30_-_Radhanath_Swami_Pune_1995-08-31_IDesireTree.mp3</t>
  </si>
  <si>
    <t>1996_Arjuna%27s_Purifying_Arrows-01_-_Radhanath_Swami_Columbus_1996-07-21_IDesireTree.mp3</t>
  </si>
  <si>
    <t>1996_Arjuna%27s_Purifying_Arrows-02_-_Radhanath_Swami_Columbus_1996-07-21_IDesireTree.mp3</t>
  </si>
  <si>
    <t>1997-003_Bhagavad_Gita_For_The_Modern_Man_Ht_-_Lecture_-_Radhanath_Swami_Mumbai_1997-01-04_IDesireTree.mp3</t>
  </si>
  <si>
    <t>1997_BG-08-20_If_You_are_Eager_Nothing_is_Impossible_-_Radhanath_Swami_1997-09-19_IDesireTree.mp3</t>
  </si>
  <si>
    <t>1998_BG-02-50_The_Art_of_Living_-_Radhanath_Swami_Germany_1998-08-27_IDesireTree.mp3</t>
  </si>
  <si>
    <t>1998_BG-17-20_The_Ultimate_Charity_of_Krishna_Consciousness_-_Radhanath_Swami_1998-08-08_IDesireTree.mp3</t>
  </si>
  <si>
    <t>1999-062_Following_In_The_Footstep_Of_Arjuna_I_BG_18-64-66_-_Radhanath_Swami_Mumbai_1999-12-19_IDesireTree.mp3</t>
  </si>
  <si>
    <t>2000-039_How_Bhagavad_Gita_is_an_Open_Secret_Lecture_-_Radhanath_Swami_Mumbai_2000-03-12_IDesireTree.mp3</t>
  </si>
  <si>
    <t>2003-101_Gita_Jayanti_Sunday_Feast_-_Radhanath_Swami_US_2003-11-30_IDesireTree.mp3</t>
  </si>
  <si>
    <t>2005_Gita_Jayanti_Lecture_-_Sunday_Feast_-_Radhanath_Swami_Mumbai_2005-12-11_IDesireTree.mp3</t>
  </si>
  <si>
    <t>2005_The_Essence_of_the_Meaning_of_Bhagavad_Gita_Radhanath_Swami_-_Mumbai_2005-01-10_IDesireTree.mp3</t>
  </si>
  <si>
    <t>BG_05-14_Serving_the_Lord_with_Simplicity_-_Radhanath_Swami_Zurich_IDesireTree.mp3</t>
  </si>
  <si>
    <t>Purifying_Ourselves_by_Performing_Devotional_Service_BG-04-14_-_Mumbai_08-01-92_IDesireTree.MP3</t>
  </si>
  <si>
    <t>The_Activities_of_a_Krishna_Conscious_Person_BG-03-18-20_-_Mumbai_29-03-05_IDesireTree.mp3</t>
  </si>
  <si>
    <t>1989-012_The_Correct_Anchorage_BG_08-28_-_Radhanath_Swami_Mumbai_1989-07-09_IDesireTree.mp3</t>
  </si>
  <si>
    <t>1989-065_Entering_The_Supreme_Mystery_SB_07-10-50_-_Radhanath_Swami_Mumbai_1989-10-06_IDesireTree.mp3</t>
  </si>
  <si>
    <t>1989-067_Bhakti-_The_Process_Of_Becoming_Greater_Than_God_Lecture_-_Radhanath_Swami_Mumbai_1989-10-15_IDesireTree.mp3</t>
  </si>
  <si>
    <t>1990-006_Spiritual_Progress_SB_07-13-45_-_Radhanath_Swami_Mumbai_1990-01-12_IDesireTree.mp3</t>
  </si>
  <si>
    <t>1990-030_Six_Characteristics_Of_Pure_Devotional_Service_Lecture_-_Radhanath_Swami_Mumbai_1990-03-18_IDesireTree.mp3</t>
  </si>
  <si>
    <t>1990-035_Nourishing_The_Spiritual_Plant_SB_07-15-52_-_Radhanath_Swami_Mumbai_1990-03-25_IDesireTree.mp3</t>
  </si>
  <si>
    <t>1990-039_Pleasing_Krishna_And_His_Devotees_SB_07-15-77_-_Radhanath_Swami_Mumbai_1990-04-14_IDesireTree.mp3</t>
  </si>
  <si>
    <t>1990-047_How_To_Begin_Spiritual_Life_Lecture_-_Radhanath_Swami_Mumbai_1990-04-28_IDesireTree.mp3</t>
  </si>
  <si>
    <t>1990-068_Making_Krishna_Happy_SB_08-07-05-06_-_Radhanath_Swami_Mumbai_1990-08-24_IDesireTree.mp3</t>
  </si>
  <si>
    <t>1990-085_How_To_Become_Pure_Devotee_Lecture_-_Radhanath_Swami_Mumbai_1990-10-04_IDesireTree.mp3</t>
  </si>
  <si>
    <t>1990-096_Aspiring_For_Nothing_But_Service_BG_10-01_-_Radhanath_Swami_Mumbai_1990-10-21_IDesireTree.mp3</t>
  </si>
  <si>
    <t>1991-012_Spiritual_Sentiments_BG_14-04_-_Radhanath_Swami_Mumbai_1991-02-01_IDesireTree.mp3</t>
  </si>
  <si>
    <t>1991-055_The_Greatness_Of_devotee_SB_1991-05-27_-_Radhanath_Swami_IDesireTree.mp3</t>
  </si>
  <si>
    <t>1992-079_Importance_Of_Tulasi_Maharani_SB_10-13-49_-_Radhanath_Swami_Mumbai_1992-08-28_IDesireTree.mp3</t>
  </si>
  <si>
    <t>1992-082_Mysticism_And_Devotion_SB_10-13-37-38_-_Radhanath_Swami_Mumbai_1992-08-19_IDesireTree.mp3</t>
  </si>
  <si>
    <t>1992-106_The_Power_Of_Devotion_SB_10-14-11_-_Radhanath_Swami_Mumbai_1992-09-19_IDesireTree.mp3</t>
  </si>
  <si>
    <t>1992-112_Importance_Of_Austerity_SB_01-03-09_-_Radhanath_Swami_Mumbai_1992-09-13_IDesireTree.mp3</t>
  </si>
  <si>
    <t>1992-160_Pure_Devotional_Service_Is_Real_Diamond_SB_10-20-08_-_Radhanath_Swami_Mumbai_1992-12-29_IDesireTree.mp3</t>
  </si>
  <si>
    <t>1993-075_Science_Of_Bhakti_BG_12-16_-_Radhanath_Swami_Mumbai_1993-05-02_IDesireTree.mp3</t>
  </si>
  <si>
    <t>1993-083_How_To_Attain_Love_Of_God_SB_03-01-04_-_Radhanath_Swami_Mumbai_1993-05-07_IDesireTree.mp3</t>
  </si>
  <si>
    <t>1993-132_Sweetness_Of_Bhakti_SB_04-24-55_-_Radhanath_Swami_Mumbai_1993-09-26_IDesireTree.mp3</t>
  </si>
  <si>
    <t>1994-001_Unalloyed_Devotional_Service_SB_03-29-10_-_Radhanath_Swami_Mayapur_1994-01-02_IDesireTree.mp3</t>
  </si>
  <si>
    <t>1994-011_Path_of_Pure_devotional_service_I_SB_02-03-24_-_Radhanath_Swami_Pune_1994-01-22_IDesireTree.mp3</t>
  </si>
  <si>
    <t>1994-050_What_Does_Bhakti_Means_SB_01-05-12_-_Radhanath_Swami_Mumbai_1994-03-13_IDesireTree.mp3</t>
  </si>
  <si>
    <t>1994-141_Strive_For_Service_Of_Sakhis_Lecture_-_Radhanath_Swami_Mumbai_1994-09-11_IDesireTree.mp3</t>
  </si>
  <si>
    <t>1994-147_Priorities_Of_Bhakti_BG_03-08_-_Radhanath_Swami_Mumbai_1994-09-13_IDesireTree.mp3</t>
  </si>
  <si>
    <t>1994-190_Give_Best_For_Krishna_SB_03-33-17_-_Radhanath_Swami_Pune_1994-10-13_IDesireTree.mp3</t>
  </si>
  <si>
    <t>1995-060_Take_To_Bhakti_Now_Ht_-_BG_07-06_-_Radhanath_Swami_Mumbai_1995-03-12.mp3</t>
  </si>
  <si>
    <t>1996-112_Bhakti_Yoga-_Most_Auspicious_SB_02-02-33_-_Radhanath_Swami_Mumbai_1996-08-25_IDesireTree.mp3</t>
  </si>
  <si>
    <t>1996-118_Bhakti-_The_Greatest_Wealth_SB_02-03-08-09_-_Radhanath_Swami_Mumbai_1996-09-01_IDesireTree.mp3</t>
  </si>
  <si>
    <t>1996-152_Power_Of_Bhakti_SB_02-04-18_-_Radhanath_Swami_Mumbai_1996-10-13_IDesireTree.mp3</t>
  </si>
  <si>
    <t>1998-004_Perform_Your_Duties_In_Devotional_Service_SB_03-05-40_-_Radhanath_Swami_Mumbai_1998-01-17_IDesireTree.mp3</t>
  </si>
  <si>
    <t>1998-049_Bhakti_is_the_Only_Way_BG_07-01_-_Radhanath_Swami_Mumbai_1998-03-21_IDesireTree.mp3</t>
  </si>
  <si>
    <t>1998-055_Process_of_Devotional_Service_is_Gradual_SB_03-07-12_-_Radhanath_Swami_Mumbai_1998-03-29_IDesireTree.mp3</t>
  </si>
  <si>
    <t>1998-110_Serving_the_Lord_with_Love_%26_Devotion_BG_08-15_-_Radhanath_Swami_Mumbai_1998-12-04_IDesireTree.mp3</t>
  </si>
  <si>
    <t>1999-039_Surrendering_Krsna_With_Full_Devotion_Lecture_-_Radhanath_Swami_Nasik_1999-07-07_IDesireTree.mp3</t>
  </si>
  <si>
    <t>1999-047_Tapasya_Is_The_Basic_Element_Of_Bhakti_SB_03-20-32-34_-_Radhanath_Swami_Mumbai_1999-07-20_IDesireTree.mp3</t>
  </si>
  <si>
    <t>2000_Only_Bhakti_Can_Eradicate_all_Sinful_Desires_SB-03-31-29_-_Radhanath_Swami_Mumbai_2000-11-25_IDesireTree.MP3</t>
  </si>
  <si>
    <t>2000_SB-03-29-20_The_Only_True_Wealth_Is_Bhakti_-_Radhanath_Swami_2000-09-06_IDesireTree.mp3</t>
  </si>
  <si>
    <t>2001-014_Bhakti_Free_From_Motivations_Lecture_-_Radhanath_Swami_Mumbai_2001-02-04_IDesireTree.mp3</t>
  </si>
  <si>
    <t>2001-055_Real_Fortune_Is_Bhakti_Lecture_-_Radhanath_Swami_Mumbai_2001-12-07_IDesireTree.mp3</t>
  </si>
  <si>
    <t>2001-061_Ecstacy_Through_Spiritualised_Senses_SB_04-09-03_-_Radhanath_Swami_Mumbai_2001-12-16_IDesireTree.mp3</t>
  </si>
  <si>
    <t>2002-052_Bhakti_Is_the_Only_Real_Fortune_SB_04-12-23_-_Radhanath_Swami_Mumbai_2002-04-14_IDesireTree.mp3</t>
  </si>
  <si>
    <t>2003-053_Bhakti_is_the_Highest_form_of_Meditation_SB_04-24-53_-_Radhanath_Swami_Mumbai_1998-03-23_IDesireTree.mp3</t>
  </si>
  <si>
    <t>2003_Love_and_Devotion_of_Bharat_to_Sri_Rama-01_-_Radhanath_Swami_Mumbai_2003-04-06_IDesireTree.MP3</t>
  </si>
  <si>
    <t>2003_Love_and_Devotion_of_Bharat_to_Sri_Rama-02_-_Radhanath_Swami_Mumbai_2003-04-06_IDesireTree.MP3</t>
  </si>
  <si>
    <t>2004_Krishna_Sees_Only_our_Devotion_-_Radhanath_Swami_New_Vrindavan_2004-05-27_IDesireTree.mp3</t>
  </si>
  <si>
    <t>2004_Simply_Love_and_Devotion_Pushya_Abhishek_-_Radhanath_Swami_Mumbai_2004-01-29_IDesireTree.mp3</t>
  </si>
  <si>
    <t>2004_The_Power_of_Bhakti_-_Radhanath_Swami_Mumbai_2004-03-15_IDesireTree.mp3</t>
  </si>
  <si>
    <t>Bhakti_The_Only_Means_To_Attain_Spiritual_Perfection_SB-04-28-38_-_Mumbai_28-03-04_IDesireTree.mp3</t>
  </si>
  <si>
    <t>Bhakti_The_Wealth_of_Heart_SB-05-03-02_-_Mumbai_26-12-04_IDesireTree.mp3</t>
  </si>
  <si>
    <t>Holding_unto_the_Life_wreth_of_Devotional_Service_-_Radhanath_Swami_IDesireTree.mp3</t>
  </si>
  <si>
    <t>Nourishing_Our_Spiritual_Strength_-_Radhanath_Swami_IDesireTree.mp3</t>
  </si>
  <si>
    <t>Only_Bhakti_Can_Eradicate_all_Sinful_Desires_SB-03-31-29_-_Mumbai_25-11-00_IDesireTree.MP3</t>
  </si>
  <si>
    <t>Quresh_and_Dhanurdas%27_Supreme_Devotion_To_Ramanuja_-_Radhanath_Swami_IDesireTree.mp3</t>
  </si>
  <si>
    <t>Serving_the_Lord_with_Humility_and_Devotion_-_Radhanath_Swami_IDesireTree.mp3</t>
  </si>
  <si>
    <t>Srimad_Bhagvatam_Only_Deals_with_Unalloyed_Devotion_SB-01-01-02_-_Prabhupadade_21-08-01_IDesireTree.MP3</t>
  </si>
  <si>
    <t>Stages_of_devotional_Serves-01_-_Radhanath_Swami_IDesireTree.MP3</t>
  </si>
  <si>
    <t>The_Power_of_Bhakti_-_Mumbai_15-03-04_IDesireTree.mp3</t>
  </si>
  <si>
    <t>Unmotivated_%26_Unalloyed_Devotion_of_Vasudev_for_Krishna_SB-10-08-09_-_Mumbai_10-04-92_IDesireTree.MP3</t>
  </si>
  <si>
    <t>Worshipping_the_Lord_for_Material_Benefit_is_Foolish_23_-_Radhanath_Swami_IDesireTree.mp3</t>
  </si>
  <si>
    <t>1991-069_Blessing_Of_Acharyas_Is_Necessary_Lecture_-_Radhanath_Swami_Mumbai_1991-05-27_IDesireTree.mp3</t>
  </si>
  <si>
    <t>1991-088_Need_For_Vaishnava_Blessings_Lecture_-_Radhanath_Swami_Mumbai_1991-10-23_IDesireTree.mp3</t>
  </si>
  <si>
    <t>1992-064_Guru_And_Vaishnava_Blessing_SB_10-08-06_-_Radhanath_Swami_Mumbai_1992-04-09_IDesireTree.mp3</t>
  </si>
  <si>
    <t>1992-139_Prayers_Of_Vaishnavas_Never_Go_In_Vain_SB_10-16-60-64_-_Radhanath_Swami_Mumbai_1992-12-12_IDesireTree.mp3</t>
  </si>
  <si>
    <t>1993-087_Lord_Krishna%27s_Blessing_On_His_Devotees_SB_10-28-17_-_Radhanath_Swami_Mumbai_1993-05-18_IDesireTree.mp3</t>
  </si>
  <si>
    <t>1998-111_Best_Blessings_of_Demigods_SB_03-14-26_-_Radhanath_Swami_Mumbai_1998-12-06_IDesireTree.mp3</t>
  </si>
  <si>
    <t>2002-026_To_Seek_Blessing_Is_a_Sign_Of_Humility_Lecture_-_Radhanath_Swami_Mumbai_2002-01-31_IDesireTree.mp3</t>
  </si>
  <si>
    <t>1989-055_Studying_Bhagavatam_SB_07-10-43-44_-_Radhanath_Swami_Mumbai_1989-09-28_IDesireTree.mp3</t>
  </si>
  <si>
    <t>1996-166_Book_Distribution_Meeting_Lecture_-_Radhanath_Swami_Mumbai_1996-11-03_IDesireTree.mp3</t>
  </si>
  <si>
    <t>1997-012_BTG_Festival_Lecture_-_Radhanath_Swami_Mumbai_1997-01-13_IDesireTree.mp3</t>
  </si>
  <si>
    <t>1997-088_Krishna_Book_Reading_Lecture_-_Radhanath_Swami_Mumbai_1997-08-25_IDesireTree.mp3</t>
  </si>
  <si>
    <t>1999-061_Original_Book_Distribution_BG_07-27_-_Radhanath_Swami_Mumbai_1999-12-12_IDesireTree.mp3</t>
  </si>
  <si>
    <t>2001-069_Book_Distribution_Nectar_Lecture_-_Radhanath_Swami_Mumbai_2001-12-29_IDesireTree.mp3</t>
  </si>
  <si>
    <t>2002-009_Book_Distribution_Of_Address_Lecture_-_Radhanath_Swami_Mumbai_2002-01-10_IDesireTree.mp3</t>
  </si>
  <si>
    <t>1989-008_Proper_Behaviour_of_a_Brahmacari_SB_-_Radhanath_Swami_NV_1989-06-27_IDesireTree.mp3</t>
  </si>
  <si>
    <t>1992-111_Lecture_On_Accepting_Saffron_Lecture_-_Radhanath_Swami_Mumbai_1992-09-11_IDesireTree.mp3</t>
  </si>
  <si>
    <t>1994-098_Talk_With_Brahmachari%27s_Q%26A_-_Radhanath_Swami_Mumbai_1994-05-25_IDesireTree.mp3</t>
  </si>
  <si>
    <t>1994-158_Ishtagoshti_With_Brahmacharis_Q%26A_-_Radhanath_Swami_Mumbai_1994-09-22_IDesireTree.mp3</t>
  </si>
  <si>
    <t>1996-070_Saffron_Awarding_Ceremony_Lecture_-_Radhanath_Swami_Mumbai_1996-04-03_IDesireTree.mp3</t>
  </si>
  <si>
    <t>1997-077_Departure_Address_To_Brahmacari_Lecture_-_Radhanath_Swami_Mumbai_1997-05-14_IDesireTree.mp3</t>
  </si>
  <si>
    <t>1998-012_Brahmacari_Class_and_Q%26A_Q%26A_-_Radhanath_Swami_Mumbai_1998-01-30_IDesireTree.mp3</t>
  </si>
  <si>
    <t>1998-066_Address_to_Brahmacaris-_I%26II_Lecture_-_Radhanath_Swami_Mumbai_1998-05-13_IDesireTree.mp3</t>
  </si>
  <si>
    <t>1991-025_Chaitanya_Charitamrita_Reading_Lecture_-_Radhanath_Swami_Mumbai_1991-02-28_IDesireTree.mp3</t>
  </si>
  <si>
    <t>1992-054_The_Highest_Pastimes_CC_01-01-04-22_-_Radhanath_Swami_Mumbai_1992-03-31_IDesireTree.mp3</t>
  </si>
  <si>
    <t>Setting_the_Scene-The_Writing_of_Caitanya_Caritamrta_Sunday_Feast_-_Mumbai_04-11-05.mp3</t>
  </si>
  <si>
    <t>Srila_Krishnadas_Kaviraj_Goswami_CC_Adi-08_01-02_Mumbai_26-10-93_IDesireTree.mp3</t>
  </si>
  <si>
    <t>1989-013_Charity_BG_15-18_-_Radhanath_Swami_Mumbai_1989-07-16_IDesireTree.mp3</t>
  </si>
  <si>
    <t>1990-007_Greatest_charity_to_others_Lecture_-_Radhanath_Swami_Mumbai_1990-01-14_IDesireTree.mp3</t>
  </si>
  <si>
    <t>1991-057_The_Importance_Of_Chastity_SB_09-10-24-27_-_Radhanath_Swami_Mumbai_1991-05-06_IDesireTree.mp3</t>
  </si>
  <si>
    <t>1989-046_Not_Bad_Not_Mad_But_Sick_Lecture_-_Radhanath_Swami_Mumbai_1989-09-23_IDesireTree.mp3</t>
  </si>
  <si>
    <t>1992-132_Love_And_Compassion_SB_06-10-08-10_-_Radhanath_Swami_Mumbai_1992-11-28_IDesireTree.mp3</t>
  </si>
  <si>
    <t>1994-076_Compassion_Of_Haridas_Thakur_BG_02-15_-_Radhanath_Swami_Mumbai_1994-05-08_IDesireTree.mp3</t>
  </si>
  <si>
    <t>1995-032_Compassion_Exemplified_SB_01-07-45-47_-_Radhanath_Swami_Mumbai_1995-01-22.mp3</t>
  </si>
  <si>
    <t>1997-035_Preach_With_Compassion_Lecture_-_Radhanath_Swami_Mumbai_1997-02-09_IDesireTree.mp3</t>
  </si>
  <si>
    <t>1997-080_Compassionate_Nature_of_Devotees_Lecture_-_Radhanath_Swami_London_IDesireTree.mp3</t>
  </si>
  <si>
    <t>2000-063_Genuine_Compassion_Please_Krishna_SB_03-29-26_-_Radhanath_Swam_Mumbaii_2000-09-030_IDesireTree.mp3</t>
  </si>
  <si>
    <t>2000_SB-03-29-06_Real_Compassion_is_Done_in_the_mood_-_Radhanath_Swami_2000-08-09_IDesireTree.mp3</t>
  </si>
  <si>
    <t>2002-038_quality_Of_Compassion_that_Decorates_Devotee_Lecture_-_Radhanath_Swami_Mumbai_2002-02-17_IDesireTree.mp3</t>
  </si>
  <si>
    <t>2003-013_Compassion_Melts_Heart_SB_06-01-01_-_Radhanath_Swami_Mumbai_2003-03-17_IDesireTree.mp3</t>
  </si>
  <si>
    <t>2003-059_Being_Compassionate_to_all_Living_Entities_Lecture_-_Radhanath_Swami_Mumbai_2003-08-31_IDesireTree.mp3</t>
  </si>
  <si>
    <t>2003_Being_Compassionate_to_All_Living_Entities_Lecture_-_Radhanath_Swami_Mumbai_2003-08-31_IDesireTree.mp3</t>
  </si>
  <si>
    <t>2004_A_Sadhu_is_Tolerant_and_Compassionate_SB_06-05-43_-_Radhanath_Swami_New_Vrindavan_2004-05-08_IDesireTree.mp3</t>
  </si>
  <si>
    <t>2004_Becoming_Instrument_of_Real_Compassion_SB_04-27-11_-_Radhanath_Swami_Mumbai_2004-01-17_IDesireTree.mp3</t>
  </si>
  <si>
    <t>2004_Showing_Real_Compassion_Through_Preaching_SB_04-31-19_-_Radhanath_Swami_Mumbai_2004-10-17IDesireTree.mp3</t>
  </si>
  <si>
    <t>2005_Compassion_of_Lord_Shiva_SB_05-17-17-19_-_Radhanath_Swami_Mumbai_2005-12-18_IDesireTree.MP3</t>
  </si>
  <si>
    <t>2007_From_Passion_To_Compassion-Prerna_Festival_-_Radhanath_Swami_and_Giriraj_Swami_2007-12-15_IDesireTree.mp3</t>
  </si>
  <si>
    <t>Compassion-The_Real_Spirit_of_Renunciation_SB-05-01-25-26_-_Mumbai_28-11-04_IDesireTree.mp3</t>
  </si>
  <si>
    <t>Preachers_Must_Have_Compassionate_Heart_like_Vidura_SB-04-31-30-31_-_Mumbai_30-10-04_IDesireTree.mp3</t>
  </si>
  <si>
    <t>SB-03-29-06_Real_Compassion_is_Done_in_the_mood_-_09.08.00_IDesireTree.mp3</t>
  </si>
  <si>
    <t>Showing_Real_Compassion_Thru_Preaching_SB-04-31-19_-_Mumbai_17-10-04_IDesireTree.mp3</t>
  </si>
  <si>
    <t>2001-016_Establishing_Unity_In_Diversity_SB_04-01-04_-_Radhanath_Swami_Mumbai_2001-03-03_IDesireTree.mp3</t>
  </si>
  <si>
    <t>2002-103_Conflict_resolution_Lecture_-_Radhanath_Swami_Mumbai_2002-10-17_IDesireTree.mp3</t>
  </si>
  <si>
    <t>1996-128_On_Dramas_Lecture_-_Radhanath_Swami_Mumbai_1996-09-09_IDesireTree.mp3</t>
  </si>
  <si>
    <t>2000-088_Drama_Realisation_Lecture_-_Radhanath_Swami_Mumbai_2000-11-10_IDesireTree.mp3</t>
  </si>
  <si>
    <t>2001-053_Drama_Realisation_Lec_Lecture_-_Radhanath_Swami_Mumbai_2001-12-01_IDesireTree.mp3</t>
  </si>
  <si>
    <t>2002-121_Drama_Realisation_Lecture_-_Radhanath_Swami_Mumbai_2002-12-05_IDesireTree.mp3</t>
  </si>
  <si>
    <t>2003-005_Tamal_Tree_Plantation_Ceremony_Lecture_-_Radhanath_Swami_Mumbai_2003-01-07_IDesireTree.mp3</t>
  </si>
  <si>
    <t>1989-051_Preparing_For_Death_SB_07-10-39_-_Radhanath_Swami_Mumbai_1989-09-25_IDesireTree.mp3</t>
  </si>
  <si>
    <t>1989-063_Will_You_Be_A_Kitten_Or_Rat_BG_11-36_-_Radhanath_Swami_Mumbai_1989-10-05_IDesireTree.mp3</t>
  </si>
  <si>
    <t>1991-048_Life_After_Death_Lecture_-_Radhanath_Swami_Mumbai_1991-05-12_IDesireTree.mp3</t>
  </si>
  <si>
    <t>1991-086_Death_Is_the_End_Lecture_-_Radhanath_Swami_Mumbai_1991-10-02_IDesireTree.mp3</t>
  </si>
  <si>
    <t>1991-105_Death_Is_Sure_Sir_SB_10-01-36_-_Radhanath_Swami_Mumbai_1991-10-29_IDesireTree.mp3</t>
  </si>
  <si>
    <t>1991-107_Parikshit%27s_Enquiry_Before_Death_SB_01-19-24_-_Radhanath_Swami_Mumbai_1991-10-29_IDesireTree.mp3</t>
  </si>
  <si>
    <t>1991-109_When_Death_Comes_SB_10-01-42_-_Radhanath_Swami_Mumbai_1991-10-30_IDesireTree.mp3</t>
  </si>
  <si>
    <t>1993-006_We_Are_Like_Puppets_In_The_Hands_Of_Death_SB_12-03-01-08_-_Radhanath_Swami_Mumbai_1993-01-09_IDesireTree.mp3</t>
  </si>
  <si>
    <t>1993-019_Death_Means_Eternal_Life_SB_10-20-47-48_-_Radhanath_Swami_Mumbai_1993-01-18_IDesireTree.mp3</t>
  </si>
  <si>
    <t>1993-067_Death_Is_Knocking_At_The_Door_SB_01-15-21_-_Radhanath_Swami_Mumbai_1993-04-25_IDesireTree.mp3</t>
  </si>
  <si>
    <t>1993-088_Preparing_For_Final_Test_SB_01-19-15_-_Radhanath_Swami_1993-05-19_IDesireTree.mp3</t>
  </si>
  <si>
    <t>1993-131_Lord_Krsna_In_the_Form_of_Death_SB_10-45-45-50_-_Radhanath_Swami_Mumbai_1993-09-25_IDesireTree.mp3</t>
  </si>
  <si>
    <t>1996-001_Quit_Home_Timely_SB_01-15-44_-_Radhanath_Swami_Mumbai_1996-01-01.mp3</t>
  </si>
  <si>
    <t>1991-001_Worshiping_diety_Lecture_-_Radhanath_Swami_Mumbai_1991-01-10_IDesireTree.mp3</t>
  </si>
  <si>
    <t>1992-092_Grihastha_Ashrama_and_Deity_Worship_BG-07-07_-_Radhanath_Swami_Mumbai_1992-08-27_IDesireTree.mp3</t>
  </si>
  <si>
    <t>1993-033_Meditation_On_Aarati_Lecture_-_Radhanath_Swami_Mumbai_1993-03-29_IDesireTree.mp3</t>
  </si>
  <si>
    <t>1996-009_Importance_Of_Deity_Worship_BG_07-18_-_Radhanath_Swami_Mumbai_1996-01-05.mp3</t>
  </si>
  <si>
    <t>1996-138_Gaura_Nitai_Deity_Welcoming_Lecture_-_Radhanath_Swami_Pune_1996-09-23_IDesireTree.mp3</t>
  </si>
  <si>
    <t>1998-013_Gaura_Nitai_Deity_Welcoming_Lecture_-_Radhanath_Swami_Mumbai_1998-01-30_IDesireTree.mp3</t>
  </si>
  <si>
    <t>1999-043_Eager_and_Enthusiastic_to_Serve_the_Deity_Lecture_-_Radhanath_Swami_Mumbai_1999-07-18_IDesireTree.mp3</t>
  </si>
  <si>
    <t>2000_SB-03-29-16_Properly_Worshipping_the_Deity-01_-_Radhanath_Swami_2000-08-19_IDesireTree.mp3</t>
  </si>
  <si>
    <t>2000_SB-03-29-16_Properly_Worshipping_the_Deity-02_-_Radhanath_Swami_2000-08-19_IDesireTree.mp3</t>
  </si>
  <si>
    <t>2002-024_Deity_Welcoming_Address_Lecture_-_Radhanath_Swami_Mumbai_2002-01-29_IDesireTree.mp3</t>
  </si>
  <si>
    <t>2003-006_Deity_Welcoming_Lecture_-_Radhanath_Swami_Mumbai_2003-02-07_IDesireTree.mp3</t>
  </si>
  <si>
    <t>2004_The_Right_Mood_for_Deity_Worship_SB_03-29-16_-_Radhanath_Swami_Los_Angeles_2004-07-18_IDesireTree.mp3</t>
  </si>
  <si>
    <t>2005_Lalita_Vishaka_Installation_Evening_Class_-_Radhanath_Swami_Mumbai_2005-04-02_IDesireTree.mp3</t>
  </si>
  <si>
    <t>Sri_Bhasya_Compiled_and_Deity_Worship_Established_-_Radhanath_Swami_IDesireTree.mp3</t>
  </si>
  <si>
    <t>The_Installation_of_Sri_Panca_Tattva_-_Sunday_Feast_-_New_Vrindavan_16-05-04_IDesireTree.mp3</t>
  </si>
  <si>
    <t>1990-069_The_Perfect_Worship_Of_Lord_Ganesh_BG_02-45_-_Radhanath_Swami_Mumbai_1990-08-26_IDesireTree.mp3</t>
  </si>
  <si>
    <t>1991-067_Man_And_Demigods_SB_09-13-11_-_Radhanath_Swami_Mumbai_1991-06-02_IDesireTree.mp3</t>
  </si>
  <si>
    <t>1992-110_Demigod_Worship_SB_06-03-12_-_Radhanath_Swami_Mumbai_1992-09-11_IDesireTree.mp3</t>
  </si>
  <si>
    <t>1993-122_Respecting_Demigods_SB_10-34-10-15_-_Radhanath_Swami_1993-06-19_IDesireTree.mp3</t>
  </si>
  <si>
    <t>1994-117_Role_Of_Durga_Devi_SB_01-03-34_-_Radhanath_Swami_Mumbai_1994-08-29_IDesireTree.mp3</t>
  </si>
  <si>
    <t>1994-136_Proper_Worship_Of_Demigods_SB_08-06-09_-_Radhanath_Swami_Mumbai_1994-09-09_IDesireTree.mp3</t>
  </si>
  <si>
    <t>1996-154_Demigods_And_Story_Of_Keshav_Kashmiri_HT_-_BG_09-23_-_Radhanath_Swami_Mumbai_1996-10-16_IDesireTree.mp3</t>
  </si>
  <si>
    <t>1997-114_Honour_Demigods_But_Worship_Only_Krishna_SB_03-02-31-32_-_Radhanath_Swami_1997-10-04_IDesireTree.mp3</t>
  </si>
  <si>
    <t>1998-014_Pleasing_Demigods_SB_03-05-49_-_Radhanath_Swami_Mumbai_1998-01-31_IDesireTree.mp3</t>
  </si>
  <si>
    <t>1998-081_Demigods_Depend_on_Krishna_SB_03-05-37-38_-_Radhanath_Swami_Mumbai_1998-08-15_IDesireTree.mp3</t>
  </si>
  <si>
    <t>1998-111_Best_Blessings_of_Demigods_SB_03-14-26_-_Radhanath_Swami_Mumbai_1998-06-12_IDesireTree.mp3</t>
  </si>
  <si>
    <t>1989-057_Krishna_Reciprocates_To_Your_Desire_SB_07-01-03_-_Radhanath_Swami_Mumbai_1989-09-29_IDesireTree.mp3</t>
  </si>
  <si>
    <t>1991-119_Desire_To_Please_Krishna_BG_02-14_-_Radhanath_Swami_Mumbai_1991-11-20_IDesireTree.mp3</t>
  </si>
  <si>
    <t>1995-076_Devotees_Desire-_Only_To_Serve_BG_12-17_-_Radhanath_Swami_Mumbai_1995-04-02_new_IDesireTree.mp3</t>
  </si>
  <si>
    <t>1997-103_Desires_Limited_-_Resourses_Unlimited_SB_04-12-08_-_Radhanath_Swami_Moscow_1997-09-16_IDesireTree.mp3</t>
  </si>
  <si>
    <t>2000_Only_Bhakti_Can_Eradicate_all_Sinful_Desires_SB_03-31-29_-_Radhanath_Swami_Mumbai_2000-11-25_IDesireTree.MP3</t>
  </si>
  <si>
    <t>2007_We_Must_Cultivate_Proper_Desires_SB_06-10-0_-_Radhanath_Swami_2007-03-11_IDesireTree.mp3</t>
  </si>
  <si>
    <t>1990-079_Comitting_To_This_Great_Mission_SB_08-07-24_-_Radhanath_Swami_Mumbai_1990-09-05_IDesireTree.mp3</t>
  </si>
  <si>
    <t>1990-086_Determination_BG_02-41_-_Radhanath_Swami_Mumbai_1990-10-05_IDesireTree.mp3</t>
  </si>
  <si>
    <t>1990-087_Be_Fixed_In_Your_Aim_BG_08-27_-_Radhanath_Swami_Mumbai_1990-10-06_IDesireTree.mp3</t>
  </si>
  <si>
    <t>1992-077_One_Pointed_Determination_BG_02-41_-_Radhanath_Swami_Mumbai_1992-04-10_IDesireTree.mp3</t>
  </si>
  <si>
    <t>1993-189_To_Have_Determination_SB_01-06-22_-_Radhanath_Swami_Mumbai_1993-12-19_IDesireTree.mp3</t>
  </si>
  <si>
    <t>1994-167_Without_Determination_We_Are_Animals_SB_04-24-44_-_Radhanath_Swam_Mumbaii_1994-09-25_IDesireTree.mp3</t>
  </si>
  <si>
    <t>1995-099_Be_Determined_In_Devotional_Service_SB_04-11-02_-_Radhanath_Swami_Pune_1995-08-31_IDesireTree.mp3</t>
  </si>
  <si>
    <t>1996-023_Determination_Like_Bird_Chatak_Lecture_-_Radhanath_Swami_Mumbai_1996-01-21_IDesireTree.mp3</t>
  </si>
  <si>
    <t>1998-015_Fixed_Determination_BG_02-41_-_Radhanath_Swami_Mumbai_1998-01-31_IDesireTree.mp3</t>
  </si>
  <si>
    <t>2004_Determination_of_Ahilya_Ram_Navami_-_Radhanath_Swami_Mumbai_2004-03-30_IDesireTree.mp3</t>
  </si>
  <si>
    <t>2004_The_Importance_of_Determination_-_Radhanath_Swami_New_York_2004-06-04_IDesireTree.mp3</t>
  </si>
  <si>
    <t>01.Inspiring_One_Another_in_Krishna_Consciousness_SB-07-03-30_-_US_Spring_2005_IDesireTree.mp3</t>
  </si>
  <si>
    <t>02.Seeking_Shelter_of_Vaisnavas_CC-ML-22-53_-_London_2004_IDesireTree.mp3</t>
  </si>
  <si>
    <t>03.Value_of_Sadhu_Sanga_-_Questions_%26_Answers_-_Radhanath_Swami_London_2005-04-06_IDesireTree.mp3</t>
  </si>
  <si>
    <t>04.Value_of_a_Moment%27s_Association_With_a_Pure_Devotee_SB-04-30-34_-_06-04-05_IDesireTree.mp3</t>
  </si>
  <si>
    <t>05.Developing_Culture_of_Respecting_Others_SB_06-07-33_-_New_Vrindavan_22-05-04_IDesireTree.mp3</t>
  </si>
  <si>
    <t>06.07-04-28_Do_Not_Mistreat_Anyone_SB_06-14-01_-_Radhanath_Swami_IDesireTree.mp3</t>
  </si>
  <si>
    <t>08.Cooperation_Amongst_Devotees_SB_05-01-40_-_Mumbai_2004-12-12_IDesireTree.mp3</t>
  </si>
  <si>
    <t>09.08-03-26_Devotees_Do_not_Create_Enemies_SB_07-05-03_-_Radhanath_Swami_IDesireTree.mp3</t>
  </si>
  <si>
    <t>10.Immense_Value_of_Association_SB_04-30-34_-_Radhanath_Swami_Mumbai_2004-09-05_IDesireTree.mp3</t>
  </si>
  <si>
    <t>11.Cooperation_Among_Devotees_SB_04-22-32_-_Radhanath_Swami_Gita_Nagari_June_2005_IDesireTree.mp3</t>
  </si>
  <si>
    <t>12.Real_Love_is_Only_Possible_when_We_are_United_-_Radhanath_Swami_IDesireTree.mp3</t>
  </si>
  <si>
    <t>15.Getting_Attached_to_the_Lord%27s_Devotees_-_Radhanath_Swami_IDesireTree.mp3</t>
  </si>
  <si>
    <t>16.Association_of_Devotees_is_the_Greatest_Benediction_SB-04-22-20_-_Mumbai_22-03-03.mp3</t>
  </si>
  <si>
    <t>17.Cooperation_Means_the_Process_of_Pleasing_-_New_Vrindavan_03-05-99_IDesireTree.mp3</t>
  </si>
  <si>
    <t>18.Purpose_of_Associating_with_the_Devotees_Belga_-_Radhanath_Swami_2002-01-19_IDesireTree.mp3</t>
  </si>
  <si>
    <t>1990-056_Association_Of_Devotees_BG_10-09_-_Radhanath_Swami_Mumbai_1990-07-27_IDesireTree.mp3</t>
  </si>
  <si>
    <t>1991-136_Different_Categories_Of_Devotees_Lecture_-_Radhanath_Swami_Mumbai_1991-11-30_IDesireTree.mp3</t>
  </si>
  <si>
    <t>1991-154_Lord%27s_Merciful_Devotees_CC_AL_01-01_-_Radhanath_Swami_Mumbai_1991-12-12_IDesireTree.mp3</t>
  </si>
  <si>
    <t>1992-046_A_Moment%27s_Association_SB_07-13-42_-_Radhanath_Swami_Mumbai_1992-03-27_IDesireTree.mp3</t>
  </si>
  <si>
    <t>1992-152_Power_Of_Association_SB_03-07-14_-_Radhanath_Swami_Mumbai_1992-12-25_IDesireTree.mp3</t>
  </si>
  <si>
    <t>1993-002_what_is_real_satsang_SB_10-20-15_-_Radhanath_Swami_Pune_1993-01-03_IDesireTree.mp3</t>
  </si>
  <si>
    <t>1993-105_Attachment_To_Devotees_SB_03-25-24_-_Radhanath_Swami_Mumbai_1993-06-05_IDesireTree.mp3</t>
  </si>
  <si>
    <t>1993-141_Need_For_Association_BG_10-09_-_Radhanath_Swami_Mumbai_1993-10-03_IDesireTree.mp3</t>
  </si>
  <si>
    <t>1995-003_Association_Of_Devotees_SB_01-07-17-19_-_Radhanath_Swami_Mumbai_1995-01-03.mp3</t>
  </si>
  <si>
    <t>1995-023_Materialistic_People_Are_Animals_Ht_-_SB_02-03-18_-_Radhanath_Swami_Belgaum_1995-01-16.mp3</t>
  </si>
  <si>
    <t>1995-051_Affection_Between_Devotees_SB_01-08-31_-_Radhanath_Swami_Mumbai_1995-03-05.mp3</t>
  </si>
  <si>
    <t>1997-064_Association_of_Devotees_Lecture_-_Radhanath_Swami_Udipi_1997-04-21_IDesireTree.mp3</t>
  </si>
  <si>
    <t>1998-104_Bad_Association_is_Dangerous_SB_10-04-36_-_Radhanath_Swami_Mumbai_1998-11-26_IDesireTree.mp3</t>
  </si>
  <si>
    <t>2004_Seeking_Shelter_of_Vaisnavas_CC-Madhya_Lila-22-53_-_Radhanath_Swami_London_2004_IDesireTree.mp3</t>
  </si>
  <si>
    <t>01.While_in_Pandharpur_-_Radhanath_Swami_Pandharpur_2004-09-19_IDesireTree.mp3</t>
  </si>
  <si>
    <t>02.Pandharpur-A_Place_of_Immense_Spirituality_-_Radhanath_Swami_Pandharpur_2004-09-20_IDesireTree.mp3</t>
  </si>
  <si>
    <t>03.Being_Conscious_of_the_Holy_Dhama.mp3</t>
  </si>
  <si>
    <t>04.How_to_Appreciate_Sri_Vrindavana_Dhama_-_Radhanath_Swami_IDesireTree.mp3</t>
  </si>
  <si>
    <t>05.Perceiving_Vrindavan_-_Radhanath_Swami_Mumbai_1991-10-14_IDesireTree.mp3</t>
  </si>
  <si>
    <t>06.Establishing_the_Spirit_of_Yatra_-_Radhanath_Swami_IDesireTree.mp3</t>
  </si>
  <si>
    <t>07.Qualifications_to_Enter_the_Holy_Dhama.mp3</t>
  </si>
  <si>
    <t>08.Taking_the_Spirit_of_Vrindavan_Everywhere_-_Radhanath_Swami_IDesireTree.mp3</t>
  </si>
  <si>
    <t>09.The_Mood_of_Entering_Vrindavan.mp3</t>
  </si>
  <si>
    <t>Lecture_at_Fugla_Ashram_-_Radhanath_Swami_IDesireTree.mp3</t>
  </si>
  <si>
    <t>01.Lecture_at_Akrura_ghat_01_-_Radhanath_Swami_IDesireTree.mp3</t>
  </si>
  <si>
    <t>01.Lecture_at_Akrura_ghat_02_-_Radhanath_Swami_IDesireTree.mp3</t>
  </si>
  <si>
    <t>01.Lecture_at_kaliya_ghat_-_Radhanath_Swami_IDesireTree.mp3</t>
  </si>
  <si>
    <t>02.Lecture_at_kaliya_ghat_-_Radhanath_Swami_IDesireTree.mp3</t>
  </si>
  <si>
    <t>01.Pastimes_of_Gokula_-_Gokula_Mahavana_IDesireTree.mp3</t>
  </si>
  <si>
    <t>02.Lecture_at_Gokula-01_-_Radhanath_Swami_IDesireTree.mp3</t>
  </si>
  <si>
    <t>03.Lecture_at_Gokula-02_-_Radhanath_Swami_IDesireTree.mp3</t>
  </si>
  <si>
    <t>04.Lecture_at_Gokula-03_-_Radhanath_Swami_IDesireTree.mp3</t>
  </si>
  <si>
    <t>02.The_Lifting_of_Govardhana_Hill_IDesireTree.mp3</t>
  </si>
  <si>
    <t>03.Parikrama_Completion_Prayers_IDesireTree.mp3</t>
  </si>
  <si>
    <t>05.Govardhan_Parikrama-01_IDesireTree.mp3</t>
  </si>
  <si>
    <t>06.Govardhan_Parikrama-02_IDesireTree.mp3</t>
  </si>
  <si>
    <t>01.Bhajan_and_Lecture_at_Govind_Kund_-_Radhanath_Swami_IDesireTree.mp3</t>
  </si>
  <si>
    <t>02.Lecture_at_Govind_Kund_IDesireTree_-_Radhanath_Swami_IDesireTree.mp3</t>
  </si>
  <si>
    <t>03.Bhajan_and_Lecture_at_Govind_Kund_-_Radhanath_Swami_IDesireTree.mp3</t>
  </si>
  <si>
    <t>04.Lecture_at_Krsna_Kund_-_Radhanath_Swami_IDesireTree.mp3</t>
  </si>
  <si>
    <t>05.The_Glories_of_Radha_Kunda_-_Radhanath_Swami_IDesireTree.mp3</t>
  </si>
  <si>
    <t>06.Bathing_with_Strong_Faith_-_Radhanath_Swami_IDesireTree.mp3</t>
  </si>
  <si>
    <t>07.Lecture_at_Radhakund_-_Radhanath_Swami_IDesireTree.mp3</t>
  </si>
  <si>
    <t>08.Lecture_at_Surya_Kund_-_Radhanath_Swami_IDesireTree.mp3</t>
  </si>
  <si>
    <t>09.Lecture_at_uddhava_kund_-_Radhanath_Swami_IDesireTree.mp3</t>
  </si>
  <si>
    <t>10.Lecture_at_vrinda_kund_with_Bhagavat_Prasad_Pr_IDesireTree.mp3</t>
  </si>
  <si>
    <t>01.Lecture_at_Candra_Sarovar_-_Radhanath_Swami_IDesireTree.mp3</t>
  </si>
  <si>
    <t>02.Bhajan_and_Lecture_-_Maan_Sarovar_IDesireTree.mp3</t>
  </si>
  <si>
    <t>02.Lecture_at_Kusum_Sarovar-01_-_Radhanath_Swami_IDesireTree.mp3</t>
  </si>
  <si>
    <t>03.Lecture_at_Kusum_Sarovar-02_-_Radhanath_Swami_IDesireTree.mp3</t>
  </si>
  <si>
    <t>04.Concluding_speech_at_kusum_Sarovar_IDesireTree.mp3</t>
  </si>
  <si>
    <t>06.Lecture_at_Pawan_sarovar_-_Radhanath_Swami_IDesireTree.mp3</t>
  </si>
  <si>
    <t>07.Pavan_Sarovar_-_Radhanath_Swami_IDesireTree.mp3</t>
  </si>
  <si>
    <t>01.Lecture_at_Radha_Damodar_Temple_-_Radhanath_Swami_IDesireTree.mp3</t>
  </si>
  <si>
    <t>02.Lecture_at_Radha_Gopijanvallabh_Temple-01_IDesireTree.mp3</t>
  </si>
  <si>
    <t>03.Lecture_at_Radha_Gopijanvallabh_Temple-02_IDesireTree.mp3</t>
  </si>
  <si>
    <t>04.Lecture_at_Radha_Govindji_Temple_-_Radhanath_Swami_IDesireTree.mp3</t>
  </si>
  <si>
    <t>05.Raval_Dauji_Temple_-_Radhanath_Swami_IDesireTree.mp3</t>
  </si>
  <si>
    <t>06.The_Seven_Main_Temples_of_Vrindavan_IDesireTree.mp3</t>
  </si>
  <si>
    <t>07.Various_Temples_Of_Vrindavan-01_-_Radhanath_Swami_IDesireTree.mp3</t>
  </si>
  <si>
    <t>08.Various_Temples_Of_Vrindavan-02_-_Radhanath_Swami_IDesireTree.mp3</t>
  </si>
  <si>
    <t>01.Bhajan_%26_Lecture_at_Tera_kadam_IDesireTree.mp3</t>
  </si>
  <si>
    <t>02.Lecture_at_Tera_kadam-02_-_Radhanath_Swami_IDesireTree.mp3</t>
  </si>
  <si>
    <t>03.Terakadamba_-_Radhanath_Swami_IDesireTree.mp3</t>
  </si>
  <si>
    <t>01.Bandiravan_-_Radhanath_Swami_IDesireTree.mp3</t>
  </si>
  <si>
    <t>02.Lecture_at_Bilvavan_-_Radhanath_Swami_IDesireTree.mp3</t>
  </si>
  <si>
    <t>03.Kamyavana_with_Sachinanadana_Swami_-_Radhanath_Swami_IDesireTree.mp3</t>
  </si>
  <si>
    <t>04.Lecture_at_Shyamvan_-_Radhanath_Swami_IDesireTree.mp3</t>
  </si>
  <si>
    <t>05.Talvan_Madhuban_-_Radhanath_Swami_IDesireTree.mp3</t>
  </si>
  <si>
    <t>01.The_Beautiful_Birthplace.mp3</t>
  </si>
  <si>
    <t>02.Wonderful_Pastimes_of_Varsana_-_Radhanath_Swami_IDesireTree.mp3</t>
  </si>
  <si>
    <t>03.Barsana-01_-_Radhanath_Swami_IDesireTree.mp3</t>
  </si>
  <si>
    <t>04.Barsana-02_-_Radhanath_Swami_IDesireTree.mp3</t>
  </si>
  <si>
    <t>05.Barsana-03_-_Radhanath_Swami_IDesireTree.mp3</t>
  </si>
  <si>
    <t>02.Lecture_%26_Kirtan_at_Vamsi_Vatas_-_Radhanath_Swami_IDesireTree.mp3</t>
  </si>
  <si>
    <t>01.The_Sacred_Lake_of_Nandagaon_-_Radhanath_Swami_IDesireTree.mp3</t>
  </si>
  <si>
    <t>02.Nand_Gaon_-_Radhanath_Swami_IDesireTree.mp3</t>
  </si>
  <si>
    <t>03.Rupa_Goswami%27s_Beautiful_Bhajan_Kutir_IDesireTree.mp3</t>
  </si>
  <si>
    <t>04.Lecture_at_uddhava_kyari_-_Radhanath_Swami_IDesireTree.mp3</t>
  </si>
  <si>
    <t>05.Talk_at_Yajya_Sthali_-_Radhanath_Swami_IDesireTree.mp3</t>
  </si>
  <si>
    <t>01.%20Lecture_at_Aam_Ghat_-_Radhanath_Swami_2003.mp3</t>
  </si>
  <si>
    <t>Lecture_at_Anbika_Kalana_-_Radhanath_Swami_2003_IDesireTree.mp3</t>
  </si>
  <si>
    <t>Lecture_at_Champahatti_-_Radhanath_Swami_2003_IDesireTree.mp3</t>
  </si>
  <si>
    <t>Lecture_at_Dhameshwar_Mahaprabhu_-_2003_IDesireTree.mp3</t>
  </si>
  <si>
    <t>Lecture_at_Bankim_Rai_-_Ekchakra_-_Radhanath_Swami_2003_IDesireTree.mp3</t>
  </si>
  <si>
    <t>Lecture_at_Ekcakra-01_-_Radhanath_Swami_2003_IDesireTree.mp3</t>
  </si>
  <si>
    <t>Lecture_at_Ekcakra-02_-_Radhanath_Swami_2003_IDesireTree.mp3</t>
  </si>
  <si>
    <t>Lecture_at_Ekcakra-03_-_Radhanath_Swami_2003_IDesireTree.mp3</t>
  </si>
  <si>
    <t>Lecture_at_Gada_Garden-01_-_Radhanath_Swami_2003_IDesireTree.mp3</t>
  </si>
  <si>
    <t>Lecture_at_Gada_Garden-02_-_Radhanath_Swami_2003_IDesireTree.mp3</t>
  </si>
  <si>
    <t>Lecture_at_Gada_Garden-03_-_Radhanath_Swami_2003_IDesireTree.mp3</t>
  </si>
  <si>
    <t>Lecture_at_Gada_Garden-04_-_Radhanath_Swami_2003_IDesireTree.mp3</t>
  </si>
  <si>
    <t>Lecture_at_Gada_Garden-05_-_Radhanath_Swami_2003_IDesireTree.mp3</t>
  </si>
  <si>
    <t>Lecture_at_Gada_Garden-06_-_Radhanath_Swami_2003_IDesireTree.mp3</t>
  </si>
  <si>
    <t>01.Lecture_at_Gaur_Doha_-_Radhanath_Swami_2003_IDesireTree.mp3</t>
  </si>
  <si>
    <t>Pastimes_at_Jajigram_-_Radhanath_Swami_IDesireTree.mp3</t>
  </si>
  <si>
    <t>Lecture_at_Kadam_Kanini_-_Radhanath_Swami_2003_IDesireTree.mp3</t>
  </si>
  <si>
    <t>Pastimes_at_Kanainatshala_-_Radhanath_Swami_IDesireTree.mp3</t>
  </si>
  <si>
    <t>House_of_Vrindavan_Das_Thakur_-_Modrum_Dwip_07-11-15_IDesireTree.mp3</t>
  </si>
  <si>
    <t>Lecture_at_Mamghachi-01_-_Radhanath_Swami_2003_IDesireTree.mp3</t>
  </si>
  <si>
    <t>Lecture_at_Mamghachi-02_-_Radhanath_Swami_2003_IDesireTree.mp3</t>
  </si>
  <si>
    <t>01.%20Lecture_at_Phulia-01_-_Radhanath_Swami_2003_IDesireTree.mp3</t>
  </si>
  <si>
    <t>01.%20Lecture_at_Phulia-02_-_Radhanath_Swami_2003_IDesireTree.mp3</t>
  </si>
  <si>
    <t>Pastimes_at_Ramkeli_-_Radhanath_Swami_IDesireTree.mp3</t>
  </si>
  <si>
    <t>Lecture_at_Shantipur-01_-_Radhanath_Swami_2003_IDesireTree.mp3</t>
  </si>
  <si>
    <t>Lecture_at_Shantipur-02_-_Radhanath_Swami_2003_IDesireTree.mp3</t>
  </si>
  <si>
    <t>Lecture_at_Srikhanda-01_-_Radhanath_Swami_2003_IDesireeTree.mp3</t>
  </si>
  <si>
    <t>Lecture_at_Srikhanda-02_-_Radhanath_Swami_2003_IDesireeTree.mp3</t>
  </si>
  <si>
    <t>Lecture_at_Srivas_Angan-01_-_Radhanath_Swami_2003_IDesireTree.mp3</t>
  </si>
  <si>
    <t>Lecture_at_Srivas_Angan-02_-_Radhanath_Swami_2003_IDesireTree.mp3</t>
  </si>
  <si>
    <t>Lecture_at_Srivas_Angan-03_-_Radhanath_Swami_2003_IDesireTree.mp3</t>
  </si>
  <si>
    <t>Lecture_at_Srivas_Angan-04_-_Radhanath_Swami_2003_IDesireTree.mp3</t>
  </si>
  <si>
    <t>Lecture_at_Srivas_Angan-05_-_Radhanath_Swami_2003_IDesireTree.mp3</t>
  </si>
  <si>
    <t>Pastimes_at_Srikhanda_-_Radhanath_Swami_IDesireeTree.mp3</t>
  </si>
  <si>
    <t>Lecture_at_Sridhar_Angaan_-_Radhanath_Swami_-_2003_IDesireTree.mp3</t>
  </si>
  <si>
    <t>Pastimes_at_Srinivas_Angaan_-_Radhanath_Swami_IDesireTree.mp3</t>
  </si>
  <si>
    <t>Pastimes_at_Surbhi_Kunj_-_Radhanath_Swami_IDesireTree.mp3</t>
  </si>
  <si>
    <t>Lecture_at_Candrodaya_Temple-01_-_Radhanath_Swami_2003_IDesireTree.mp3</t>
  </si>
  <si>
    <t>Lecture_at_Candrodaya_Temple-02_-_Radhanath_Swami_2003_IDesireTree.mp3</t>
  </si>
  <si>
    <t>Lecture_at_Vidyanagar_-_Radhanath_Swami_2003_IDesireTree.mp3</t>
  </si>
  <si>
    <t>Pastimes_at_Vidhyanagar_and_Champahati.mp3</t>
  </si>
  <si>
    <t>Lecture_at_Madhyam_Dvip_-_Radhanath_Swami_2007-11-08_IDesireTree.MP3</t>
  </si>
  <si>
    <t>Childhood_Pastimes_of_Nimai-01_-_2003_Yogapith_IDesireTree.mp3</t>
  </si>
  <si>
    <t>Childhood_Pastimes_of_Nimai-02_-_2003_Yogapith_IDesireTree.mp3</t>
  </si>
  <si>
    <t>Childhood_Pastimes_of_Nimai-03_-_2003_Yogapith_IDesireTree.mp3</t>
  </si>
  <si>
    <t>Childhood_Pastimes_of_Nimai-04_-_2003_Yogapith_IDesireTree.mp3</t>
  </si>
  <si>
    <t>Jaya_Jaya_Jagannath_-_07-11-05_Yogapith_IDesireTree.mp3</t>
  </si>
  <si>
    <t>06_-_Lectures_at_various_place_in_Puri</t>
  </si>
  <si>
    <t>07_-_Various_places_in_South_India</t>
  </si>
  <si>
    <t>08_-_Mayapur</t>
  </si>
  <si>
    <t>09_-_South%20India</t>
  </si>
  <si>
    <t>10_-_Udipi</t>
  </si>
  <si>
    <t>1990-023_Discipline_BG_02-64_-_Radhanath_Swami_Mumbai_19990-02-19_IDesireTree.mp3</t>
  </si>
  <si>
    <t>1994-135_Submitting_To_The_Parampara_SB_01-04-01_-_Radhanath_Swami_Mumbai_1994-09-07_IDesireTree.mp3</t>
  </si>
  <si>
    <t>1995-097_Importance_Of_Disciplic_Succession_Lecture_-_Radhanath_Swami_Pune_1995-08-30_IDesireTree.mp3</t>
  </si>
  <si>
    <t>2000-019_Following_Guru_Parampara_SB_01-03-42_-_Radhanath_Swami_Mumbai_2000-02-03_IDesireTree.mp3</t>
  </si>
  <si>
    <t>1993-175_Being_Eager_And_Greedy_For_Krishna_BG_10-31_-_Radhanath_Swami_Mumbai_1993-12-09_IDesireTree.mp3</t>
  </si>
  <si>
    <t>1997-015_Be_Eager_Like_Dhruva_BG_05-12_-_Radhanath_Swami_Pune_1997-01-17_IDesireTree.mp3</t>
  </si>
  <si>
    <t>1997-070_Eagerness_Of_Krishna_BG_06-15_-_Radhanath_Swami_Mumbai_1997-05-03_IDesireTree.mp3</t>
  </si>
  <si>
    <t>1997-078_Our_Eagerness_Attracts_Krishna_Lecture_K_ford_-_Radhanath_Swami_London_1997-05-26_IDesireTree.mp3</t>
  </si>
  <si>
    <t>1997-091_Our_Life_Is_Our_Eagerness_SB_03-01-44_-_Radhanath_Swami_Mumbai_1997-08-28_IDesireTree.mp3</t>
  </si>
  <si>
    <t>1997-093_Be_Eager_For_Krishna_CC_Antya_-_Radhanath_Swami_Mumbai_1997-08-31_IDesireTree.mp3</t>
  </si>
  <si>
    <t>1997-100_Eagerness_To_Please_Krsna_Lecture_-_Radhanath_Swami_MOscow_1997-09-13_IDesireTree.mp3</t>
  </si>
  <si>
    <t>1999-043_Eager_%26_Enthusiastic_to_Serve_the_Deity_Lecture_-_Radhanath_Swami_Mumbai_1999-07-18_IDesireTree.mp3</t>
  </si>
  <si>
    <t>2002-008_Looking_For_An_Every_Opportunity_To_See_Krsna_Lecture_-_Radhanath_Swami_Mumbai_2002-01-08_IDesireTree.mp3</t>
  </si>
  <si>
    <t>1990-088_Be_Enthusiastic_CC_ML-01_02_-_Radhanath_Swami_Mumbai_1990-10-060_new_IDesireTree.mp3</t>
  </si>
  <si>
    <t>1993-015_Enthusiasm_Patience_And_Faith_SB_10-20-45-46_-_Radhanath_Swami_Mumbai_1993-01-17_IDesireTree.mp3</t>
  </si>
  <si>
    <t>1997-071_Always_Be_Alert_SB_02-09-28_-_Radhanath_Swami_Mumbai_1997-05-04_IDesireTree.mp3</t>
  </si>
  <si>
    <t>1989-049_Becoming_Peaceful_SB_08-05-47_-_Radhanath_Swami_Mumbai_1989-09-24_IDesireTree.mp3</t>
  </si>
  <si>
    <t>1989-056_Faith_Lecture_-_Radhanath_Swami_Mumbai_1989-09-29_IDesireTree.mp3</t>
  </si>
  <si>
    <t>1990-055_A_Vaishnava_Has_Faith_SB_08-05-47_-_Radhanath_Swami_Mumbai_1990-07-27_IDesireTree.mp3</t>
  </si>
  <si>
    <t>1990-058_Trust_In_Mercy_Of_God_SB_08-06-14_-_Radhanath_Swami_Mumbai_1990-08-09_IDesireTree.mp3</t>
  </si>
  <si>
    <t>1991-031_Surrender_And_Faith_BG_11-30-32_-_Radhanath_Swami_Mumbai_1991-03-08_IDesireTree.mp3</t>
  </si>
  <si>
    <t>1991-066_Devahuti%27s_Enquiries_To_Lord_Kapila_SB_03-25-07_-_Radhanath_Swami_Mumbai_1991-06-01_IDesireTree.mp3</t>
  </si>
  <si>
    <t>1991-116_Hearing-_Washes_All_Doubts_BG_04-38-39_-_Radhanath_Swami_Mumbai_1991-11-03_IDesireTree.mp3</t>
  </si>
  <si>
    <t>1991-156_The_Pillar_Of_Faith_SB_01-12-30_-_Radhanath_Swami_Surat_1991-12-09_IDesireTree.mp3</t>
  </si>
  <si>
    <t>1992-131_Our_Faith_Is_Our_Life_SB_10-16-25-30_-_Radhanath_Swami_Mumbai_1992-11-28_IDesireTree.mp3</t>
  </si>
  <si>
    <t>1992-150_Don%27t_Put_Your_Faith_In_This_Material_World_SB_10-18-27_-_Radhanath_Swami_Mumbai_1992-12-24_IDesireTree.mp3</t>
  </si>
  <si>
    <t>1992-153_Kill_The_Demon_Of_Doubt_SB_10-18-28-32_-_Radhanath_Swami_Mumbai_1992-12-25_IDesireTree.mp3</t>
  </si>
  <si>
    <t>1993-014_To_Have_Innocent_Faith_SB_10-20-42-44_-_Radhanath_Swami_Mumbai_1993-01-16_IDesireTree.mp3</t>
  </si>
  <si>
    <t>1993-029_Purpose_Of_Creation_SB_02-09-36_-_Radhanath_Swami_1993-03-26_IDesireTree.mp3</t>
  </si>
  <si>
    <t>1994-138_How_Much_Faith_Do_We_Have_BG_04-39_-_Radhanath_Swami_Mumbai_1994-09-10_IDesireTree.mp3</t>
  </si>
  <si>
    <t>1995-028_What_Is_Faith_SB_03-02-10_-_Radhanath_Swami_Mumbai_1995-01-20.mp3</t>
  </si>
  <si>
    <t>1995-084_Fight_Against_Crisis_Of_Doubts_SB_01-12-21_-_Radhanath_Swami_Mumbai_1995-08-13_IDesireTree.mp3</t>
  </si>
  <si>
    <t>1996-061_Faith_Removes_Fear_SB_01-18-04_-_Radhanath_Swami_Mumbai_1996-03-24_IDesireTree.mp3</t>
  </si>
  <si>
    <t>1998-073_Total_Faith_in_Scriptures_SB_03-09-37_-_Radhanath_Swami_Mumbai_1998-07-20_IDesireTree.mp3</t>
  </si>
  <si>
    <t>2000-045_Placing_Our_Full_Faith_in_Krishna_SB_03-26-07_-_Radhanath_Swami_Mumbai_2000-03-25_IDesireTree.mp3</t>
  </si>
  <si>
    <t>2000-060_Firm_Conviction_in_Lord_Krishna_BG_07-30_-_Radhanath_Swami_Mumbai_2000-08-26_IDesireTree.mp3</t>
  </si>
  <si>
    <t>2001-060_Seeing_Krishna_Through_Faith_SB_04-09-02_-_Radhanath_Swami_2001-12-15_IDesireTree.mp3</t>
  </si>
  <si>
    <t>01.SB-10-27-12-14_Ego_Purification_-_Radhanath_Swami_Mumbai_1993-04-30_IDesireTree.mp3</t>
  </si>
  <si>
    <t>02.SB_02-03-31-32_Ego_Crushed_-_Radhanath_Swami_Mumbai_1997-05-07_IDesireTree.mp3</t>
  </si>
  <si>
    <t>03.When_Ego_is_Attacked_-_Radhanath_Swami_IDesireTree.mp3</t>
  </si>
  <si>
    <t>04.Giving_Up_Our_Egoistic_Attachments_-_Radhanath_Swami_1997-11-21_Ilford_IDesireTree.mp3</t>
  </si>
  <si>
    <t>05.Cutting_Down_the_Weed_of_False_Ego-01_SB_04-26-08_-_Radhanath_Swami_Mumbai_2003-12-14_IDesireTree.mp3</t>
  </si>
  <si>
    <t>06.Cutting_Down_the_Weed_of_False_Ego-02_SB_04-26-08_-_Radhanath_Swami_Mumbai_2003-12-14_IDesireTree.mp3</t>
  </si>
  <si>
    <t>1991-007_Smashing_The_Illusion_Of_False_Ego_Lecture_-_Radhanath_Swami_Mumbai_1991-01-27_IDesireTree.mp3</t>
  </si>
  <si>
    <t>1992-073_Laziness_And_False_Ego_BG_03-30_-_Radhanath_Swami_Mumbai_1992-08-16_IDesireTree.mp3</t>
  </si>
  <si>
    <t>1996-069_Glorify_Devotees_Inspite_Of_Our_Ego_Lecture_-_Radhanath_Swami_Mumbai_1996-03-31_IDesireTree.mp3</t>
  </si>
  <si>
    <t>1998-001_Weeds_of_False_Ego_SB_03-05_29_-_Radhanath_Swami_Mumbai_1998-01-01_IDesireTree.mp3</t>
  </si>
  <si>
    <t>2003-105_Cutting_Down_the_Weed_of_False_Ego_SB_04-26-08_-_Radhanath_Swami_Mumbai_2003-12-14_IDesireTree.mp3</t>
  </si>
  <si>
    <t>1989-072_Fool_Number_One_Lecture_-_Radhanath_Swami_Mumbai_1989-10-30_IDesireTree.mp3</t>
  </si>
  <si>
    <t>1989-076_Meditation_On_The_Month_Of_Damodar_BG_04-09_-_Radhanath_Swami_Mumbai_1989-10-22_IDesireTree.mp3</t>
  </si>
  <si>
    <t>1990-022_Lord_Nityananda_Appearance_Day_VS_1-1-12_-_Radhanath_Swami_Mumbai_1990-02-17_IDesireTree.mp3</t>
  </si>
  <si>
    <t>1990-061_What_Janmashtami_Really_Means_BG_11-53_-_Radhanath_Swami_1990-08-12_IDesireTree.mp3</t>
  </si>
  <si>
    <t>1990-093_Govardhan_Lilla_Lecture_-_Radhanath_Swami_Mumbai_1990-10-19_IDesireTree.mp3</t>
  </si>
  <si>
    <t>1990_What_Janmastami_Really_Means_BG_11-53_-_Radhanath_Swami_Mumbai_1990-08-12_IDesireTree.mp3</t>
  </si>
  <si>
    <t>1991-054_The_Story_Of_Narasimhadev_Lecture_-_Radhanath_Swami_Mumbai_1991-05-26_IDesireTree.mp3</t>
  </si>
  <si>
    <t>1991-117_Teaching_From_Govardhan_Lila_Lecture_-_Radhanath_Swami_Mumbai_1991-11-07_IDesireTree.mp3</t>
  </si>
  <si>
    <t>1992-021_Dhenukasura_Within_Us_BG_03-30_-_Radhanath_Swami_Mumbai_1992-02-03_IDesireTree.mp3</t>
  </si>
  <si>
    <t>1992-038_Gaur_Purnima_Lecture_-_Radhanath_Swami_Mumbai_1992-03-18_IDesireTree.mp3</t>
  </si>
  <si>
    <t>1992-071_Lord_Balarama_Appearance_Day_Lecture_-_Radhanath_Swami_Mumbai_1992-08-15_IDesireTree.mp3</t>
  </si>
  <si>
    <t>1992-085_Meaning_Of_Janamashtami_Lecture_-_Radhanath_Swami_Mumbai_1992-08-21_IDesireTree.mp3</t>
  </si>
  <si>
    <t>1993-107_Story_Of_Lord_Jagannath_BG_13-17_-_Radhanath_Swami_Mumbai_1993-06-06_IDesireTree.mp3</t>
  </si>
  <si>
    <t>1993-169_Govardhan_Puja_SB_10-25-13_-_Radhanath_Swami_Mumbai_1993-11-15_IDesireTree.mp3</t>
  </si>
  <si>
    <t>1994-027_Story_Of_Vasant_Panchami_Lecture_-_Radhanath_Swami_Mumbai_1994-02-15_IDesireTree.mp3</t>
  </si>
  <si>
    <t>1994-097_Significance_Of_Chandan_Yatra_Lecture_-_Radhanath_Swami_Mumbai_1994-05-15_IDesireTree.mp3</t>
  </si>
  <si>
    <t>1994-103_Significance_Of_Jhulan_Yatra_Lecture_-_Radhanath_Swami_Mumbai_1994-08-20_IDesireTree.mp3</t>
  </si>
  <si>
    <t>1994-106_Lord_Balaram%27s_Mercy_Is_must_BG_10-08_-_Radhanath_Swami_Mumbai_1994-08-21_IDesireTree.mp3</t>
  </si>
  <si>
    <t>1994-202_Meditation_On_Sharad_Purnima_SB_10-29-01-02_-_Radhanath_Swami_Mumbai_1994-10-19_IDesireTree.mp3</t>
  </si>
  <si>
    <t>1994-208_Govardhan_Lilla_Lecture_-_Radhanath_Swami_Mumbai_1994-10-23_IDesireTree.mp3</t>
  </si>
  <si>
    <t>1995-020_Importance_Of_Makar_Sankranti_Mt_-_SB_01-09-29-30_-_Radhanath_Swami_Kolhapur_1995-01-14.mp3</t>
  </si>
  <si>
    <t>1995-069_Lord_Jaganatha_Ratha_Yatra_SB_02-09-36_-_Radhanath_Swami_Kurukshetra_1995-03-25.mp3</t>
  </si>
  <si>
    <t>1995-074_Rath_Yatra_CC_ML_13-03_-_Radhanath_Swami_Mumbai_1995-03-31_IDesireTree.mp3</t>
  </si>
  <si>
    <t>1995-080_Festival_Of_Jhulan_Yatra_Lecture_-_Radhanath_Swami_Mumbai_1995-08-09_IDesireTree.mp3</t>
  </si>
  <si>
    <t>1995-082_Lord_Balaram%27s_Appearence_Day_SB_10-08-12_-_Radhanath_Swami_Mumbai_1995-08-10_IDesireTree.mp3</t>
  </si>
  <si>
    <t>1995-087_Significance_Of_Krishna%27s_Appearance_Lecture_-_Radhanath_Swami_Mumbai_1995-08-18_IDesireTree.mp3</t>
  </si>
  <si>
    <t>1995-088_Janmashtami_Katha_SB_10-01-16_-_Radhanath_Swami_Mumbai_1995-08-18_IDesireTree.mp3</t>
  </si>
  <si>
    <t>1995-119_Sharad_Purnima_Lecture_-_Radhanath_Swami_Mumbai_1995-10-08_IDesireTree.mp3</t>
  </si>
  <si>
    <t>1995-130_Worship_Of_Govardhan_Hill_BG_09-26_-_Radhanath_Swami_Mumbai_1995-10-29_IDesireTree.mp3</t>
  </si>
  <si>
    <t>1996-110_Lord_Balarama%27s_Appearence_Day_Lecture_-_Radhanath_Swami_Mumbai_1996-08-28_IDesireTree.mp3</t>
  </si>
  <si>
    <t>1996-161_Importance_Of_The_Month_Of_Damodar_Lecture_-_Radhanath_Swami_Mumbai_1996-10-27_IDesireTree.mp3</t>
  </si>
  <si>
    <t>1996-162_Sharad_Purnima_Festival_Lecture_-_Radhanath_Swami_Mumbai_1996-10-27_IDesireTree.mp3</t>
  </si>
  <si>
    <t>1996-167_Bahulastami_Lecture_-_Radhanath_Swami_Mumbai_1996-11-03_IDesireTree.mp3</t>
  </si>
  <si>
    <t>1997-037_Vasant_Panchmi_Festival_Lecture_-_Radhanath_Swami_Mumbai_1997-02-11_IDesireTree.mp3</t>
  </si>
  <si>
    <t>1998-002_Pushya_Abhishek_Lecture_-_Radhanath_Swami_Mumbai_1998-01-12_IDesireTree.mp3</t>
  </si>
  <si>
    <t>1998-069_Lord_Caitanya_Celebrating_Ratha_Yatra_Lecture_-_Radhanath_Swami_NV_1998-05-21_IDesireTree.mp3</t>
  </si>
  <si>
    <t>1999-018_Gaura_Poornima_Celebration_Lecture_-_Radhanath_Swami_Mumbai_1999-03-02_IDesireTree.mp3</t>
  </si>
  <si>
    <t>2000-018_Pushya_Abhishek_Lecture_-_Radhanath_Swami_Mumbai_2000-01-31_IDesireTree.mp3</t>
  </si>
  <si>
    <t>2000-041_Gaura_Poornima_Celebrations_Lecture_-_Radhanath_Swami_Mumbai_2000-03-19_IDesireTree.mp3</t>
  </si>
  <si>
    <t>2000-042_Gaura_Poornima_Celebrations_Lecture_-_Radhanath_Swami_Mumbai_2000-03-20_IDesireTree.mp3</t>
  </si>
  <si>
    <t>2000-044_Jagannath_Misra_Festival_Initiation_Lecture_-_Radhanath_Swami_Chek_2000-03-21_IDesireTree.mp3</t>
  </si>
  <si>
    <t>2000-057_The_Appearance_of_Lord_Krishna_-_SB_10_-_Radhanath_Swami_IDesireTree.mp3</t>
  </si>
  <si>
    <t>2000-059_Wonderful_Appearance_of_Lord_Krishna_Lecture_-_Radhanath_Swami_Mumbai_2000-08-25_IDesireTree.mp3</t>
  </si>
  <si>
    <t>2001-027_Lord_Caitanya_And_Rath_Yatra_Lecture_-_Radhanath_Swami_Mumbai_2001-06-17_IDesireTree.mp3</t>
  </si>
  <si>
    <t>2001-052_Damodar_Lila_Of_Krsna_Lecture_-_Radhanath_Swami_London_2001-11-04_IDesireTree.mp3</t>
  </si>
  <si>
    <t>2001_Narshima_Chaturdasi_Festival_Morn_Lec_SB_07-09-18_-_Radhanath_Swami_-_2001-05-07_IDesireTree.mp3</t>
  </si>
  <si>
    <t>2001_Sri_Krishna%27s_Damodara_Lila_-_Radhanath_Swami_Mumbai_2001-11-04_IDesireTree.mp3</t>
  </si>
  <si>
    <t>2002-004_Lord_Caitanya_%26_Rath_Yatra_Lecture_-_Radhanath_Swami_Mumbai_2002-01-05_IDesireTree.mp3</t>
  </si>
  <si>
    <t>2002-005_Lord_Caitanya_Celebrating_Rath_Yatra_CC_-_Radhanath_Swami_Mumbai_2002-01-05_IDesireTree.mp3</t>
  </si>
  <si>
    <t>2002-109_Sharad_Purnima_Lecture_-_Radhanath_Swami_Mumbai_2002-10-21_IDesireTree.mp3</t>
  </si>
  <si>
    <t>2002_Pushya_Abhishek_-_Radhanath_Swami_2002-02-08_IDesireTree.mp3</t>
  </si>
  <si>
    <t>2003-018_Jagannatha_Mishra_Festival_Lecture_-_Radhanath_Swami_Mumbai_2003-03-19_IDesireTree.mp3</t>
  </si>
  <si>
    <t>2003-040_Ratha_Yatra_Lecture_-_Radhanath_Swami_New_York_2003-06-08_IDesireTree.mp3</t>
  </si>
  <si>
    <t>2003-043_Preparing_for_Ratha_Yatra_Lecture_-_Radhanath_Swami_New_Vrindavan_2003-07-20_IDesireTree.mp3</t>
  </si>
  <si>
    <t>2003-071_Lord_Krishna%27s_Damodar_Lila_Lecture_-_Radhanath_Swami_Mumbai_2003-10-03_IDesireTree.mp3</t>
  </si>
  <si>
    <t>2003-076_Govardhan_Puja_SB_10-21-18_-_Radhanath_Swami_New_Vrindavan_2003-10-25_IDesireTree.mp3</t>
  </si>
  <si>
    <t>2004_Appearance_of_Lord_Jagannath_-_Radhanath_Swami_Los_Angeles_2004_IDesireTree.mp3</t>
  </si>
  <si>
    <t>2004_Appearance_of_Lord_Krishna_-_Janmashtami_-_Radhanath_Swami_Mumbai_2004-09-07_IDesireTree.mp3</t>
  </si>
  <si>
    <t>2004_Appearance_of_Lord_Narsimhadeva_-_Radhanath_Swami_New_Vrindavan_2004-05-03_IDesireTree.mp3</t>
  </si>
  <si>
    <t>2004_Begging_for_Compassionate_Love-Radhashtami_-_Radhanath_Swami_Mumbai_2004-09-22_IDesireTree.mp3</t>
  </si>
  <si>
    <t>2004_Crying_Out_for_Mercy-Radhashtami_-_Radhanath_Swami_Mumbai_2004-09-22_IDesireTree.mp3</t>
  </si>
  <si>
    <t>2004_How_Srila_Prabhupada_Established_Worldwide_Ratha_Yatra_-_Radhanath_Swami_Pune_2004-03-20_IDesireTree.mp3</t>
  </si>
  <si>
    <t>2004_Jagannath_Misra_Festival_-_Radhanath_Swami_2004-03-07_IDesireTree.MP3</t>
  </si>
  <si>
    <t>2004_Lord_Caitanya_-_The_Most_Magnanimous-01_Gaur_Purnima_-_Radhanath_Swami_Mumbai_2004-03-05_IDesireTree.mp3</t>
  </si>
  <si>
    <t>2004_Lord_Caitanya_-_The_Most_Magnanimous-02_Gaur_Purnima_-_Radhanath_Swami_Mumbai_2004-03-05_IDesireTree.mp3</t>
  </si>
  <si>
    <t>2004_Lord_Caitanya_Tour_of_South_India_-_Gaur_Purnima_-_Radhanath_SwamiMumbai_2004-03-05_IDesireTree.mp3</t>
  </si>
  <si>
    <t>2004_Ramayan_-_The_Legend_of_Selfless_Pure_Devotion_-_Radhanath_Swami_Mumbai_2004-03-31_IDesireTree.mp3</t>
  </si>
  <si>
    <t>2004_Simply_Love_%26_Devotion_-_Pushya_Abhishek_-_Radhanath_Swami_Mumbai_2004-01-29_IDesireTree.mp3</t>
  </si>
  <si>
    <t>2004_Snana_Yatra_-_Giving_Pleasure_to_Krishna_-_Radhanath_Swami_Los_Angeles_2004_IDesireTree.mp3</t>
  </si>
  <si>
    <t>2004_The_Appearance_%26_Pastimes_of_Lord_Jagannath_Rath_yatra_-_Radhanath_Swami_Mumbai_2004-01-16_IDesireTree.mp3</t>
  </si>
  <si>
    <t>2004_The_Cleansing_of_Gundica_Temple-CC_Reading_-_Radhanath_Swami_Los_Angeles_2004_IDesireTree.mp3</t>
  </si>
  <si>
    <t>2004_The_Ecstatic_Dancing_of_Lord_Caitanya_at_Ratha-yatra_-_Radhanath_Swami_New_York_2004-06-11_IDesireTree.mp3</t>
  </si>
  <si>
    <t>2005_First_Rath_Yatra-San_Francisco_Becomes_New_Jagannath_Puri_-_Radhanath_Swami_US_Spring_2005_IDesireTree.mp3</t>
  </si>
  <si>
    <t>2005_Glories_of_the_Month_of_Kartik_SB_03-21-30_-_Radhanath_Swami_Mumbai_2005-10-17_IDesireTree.MP3</t>
  </si>
  <si>
    <t>2005_Govardhan_Puja_-_Radhanath_Swami_Mumbai_2005-11-03_IDesireTree.MP3</t>
  </si>
  <si>
    <t>2005_Laxmi_Naryan_Festival_-_Radhanath_Swami_Mumbai_2005-03-30_IDesireTree.mp3</t>
  </si>
  <si>
    <t>2005_Sharad_Poornima_-_Radhanath_Swami_Mumbai_2005-10-17_IDesireTree.MP3</t>
  </si>
  <si>
    <t>2005_Significance_of_Gundica_Marjanam_-_Radhanath_Swami_US_Spring_2005_IDesireTree.mp3</t>
  </si>
  <si>
    <t>2005_What_Janmashtami_Really_Means_-_Radhanath_Swami_Mumbai_2005-09-09_IDesireTree.MP3</t>
  </si>
  <si>
    <t>2006_Appearance_of_Lord_Jagannath_-_Radhanath_Swami_2006-06-26_IDesireTree.mp3</t>
  </si>
  <si>
    <t>2006_Janmashtami_Lecture_-_Radhanath_Swami_Bhartiya_Vidya_Bhavan_2006-08-17_IDesireTree.mp3</t>
  </si>
  <si>
    <t>2006_Lord_Balaram_App_Day-The_Destroyer_of_Anarthas_-_Radhanath_Swami_2006-08-09_IDesireTree.MP3</t>
  </si>
  <si>
    <t>2006_Pushya_Abhishek_-_Radhanath_Swami_2006-01-28_IDesireTree.MP3</t>
  </si>
  <si>
    <t>2007_Ramnavmi_Lec_-_Radhanath_Swami_2007-03-27_IDesireTree.mp3</t>
  </si>
  <si>
    <t>2008_Ramnavami_-_Exemplary_Character_Of_Lord_Ramchandra_-_Juhu-Mumbai_-_Radhanath_Swami_2008-04-14_IDesireTree.mp3</t>
  </si>
  <si>
    <t>2018-01-27_Pushya_Abhishek_Festival_-_Krishna_Accepts_Our_Love_-_Radhanath_Swami_ISKCON_Chowpatty.mp3</t>
  </si>
  <si>
    <t>Appearance_of_Lord_Narsimhadeva_-_New_Vrindavan_03-05-04_IDesireTree.mp3</t>
  </si>
  <si>
    <t>Damodar_Leela_-_Radhanath_Swami_IDesireTree.mp3</t>
  </si>
  <si>
    <t>Damodarastakam_Prayers_-_Radhanath_Swami_IDesireTree.mp3</t>
  </si>
  <si>
    <t>Eventful_Kartik_Month_-_Radhanath_Swami_IDesireTree.mp3</t>
  </si>
  <si>
    <t>Glories_of_Giriraj_Govardhan_-_Radhanath_Swami_IDesireTree.mp3</t>
  </si>
  <si>
    <t>Lord_Caitanya_The_Supreme_Munificent_-_Gaur_Purnima_CC_ML-02-81_-_Mumbai_04-03-04_IDesireTree.mp3</t>
  </si>
  <si>
    <t>Lord_Narsimhadeva_Appearance_Day_-_Radhanath_Swami_Mumbai_1998-05-10_IDesireTree.mp3</t>
  </si>
  <si>
    <t>Open_Your_Heart_To_Invite_Lord_Nityananda_Prabhu%27s_Mercy_-_Nityananda_Trayodasi_-_Mumbai_IDesireTree.mp3</t>
  </si>
  <si>
    <t>Pastimes_at_Indradumna_Sarovar_-_Radhanath_Swami_IDesireTree.mp3</t>
  </si>
  <si>
    <t>Pastimes_at_Jagannath_Vallabh_Garden_%26_Gundicha_Temple_-_Radhanath_Swami_IDesireTree.mp3</t>
  </si>
  <si>
    <t>Perfect_Love-Radhastami_-_Radhanath_Swami_IDesireTree.mp3</t>
  </si>
  <si>
    <t>Stories_of_Lord_Jagannath_-_Radhanath_Swami_IDesireTree.mp3</t>
  </si>
  <si>
    <t>Story_of_Kshir_Chor_Gopinath_-_Radhanath_Swami_IDesireTree.mp3</t>
  </si>
  <si>
    <t>Transcending_Material_Misery_%26_Lalita_Devi%27s_App_Day_SB-05-14-01_-_Mumbai_10-09-05_IDesireTree.MP3</t>
  </si>
  <si>
    <t>Who_is_an_advanced_yogi_and_glories_of_Karthik_month_-_Radhanath_Swami_IDesireTree.mp3</t>
  </si>
  <si>
    <t>01.Following_in_the_Footsteps_SB-04-22-56_-_Gita_Nagari_-_June_2005_IDesireTree.mp3</t>
  </si>
  <si>
    <t>Following_the_Great_Acaryas_-_Bhajan_and_Purport_-_Radhanath_Swami_IDesireTree.mp3</t>
  </si>
  <si>
    <t>1989-037_Forgiveness_Lecture_-_Radhanath_Swami_Mumbai_1989-08-29_IDesireTree.mp3</t>
  </si>
  <si>
    <t>1993-137_Power_Of_Forgiveness_Lecture_-_Radhanath_Swami_Mumbai_1993-09-29_IDesireTree.mp3</t>
  </si>
  <si>
    <t>1995-030_Vaishnavas_Forgive_Easily_SB_01-07-44_-_Radhanath_Swami_Mumbai_1995-01-21.mp3</t>
  </si>
  <si>
    <t>1995_Draupadi%27s_Exalted_Forgiving_Nature_SB_01-07-44_-_Radhanath_Swami_Mumbai_1995-01-21_IDesireTree.MP3</t>
  </si>
  <si>
    <t>1999_Forgivness_-_The_Nature_of_Devotee_SB_09-15-40_-_Radhanath_Swami_1999-08-21_IDesireTree.mp3</t>
  </si>
  <si>
    <t>2002-018_What_It_Means_To_Be_Forgiving_SB_01-18-49_-_Radhanath_Swami_Mumbai_2002-01-24_IDesireTree.mp3</t>
  </si>
  <si>
    <t>2004_The_Art_of_Forgiveness_-_Radhanath_Swami_Mumbai_2004-09-184_IDesireTree.mp3</t>
  </si>
  <si>
    <t>The_Power_of_Forgiveness_-_Radhanath_Swami_IDesireTree.mp3</t>
  </si>
  <si>
    <t>Willingness_to_Take_Humble_Position_%26_Forgive_-_Sunday_Feast_-_Mumbai_24-10-04_IDesireTree.mp3</t>
  </si>
  <si>
    <t>1993-111_Utilising_Free_Will_In_Service_Of_Krishna_SB_02-09-34_-_Radhanath_Swami_Mumbai_1993-06-08_IDesireTree.mp3</t>
  </si>
  <si>
    <t>1998-007_Using_Our_Free_Will_Properly_Lecture_-_Radhanath_Swami_Mumbai_1998-01-20_IDesireTree.mp3</t>
  </si>
  <si>
    <t>Seminars_-_Gaur_Lila-Love_in_Separation_Part-01_-_Radhanath_Swami_ISKCON_Birmingham.mp3</t>
  </si>
  <si>
    <t>Seminars_-_Gaur_Lila-Love_in_Separation_Part-02_-_Radhanath_Swami_ISKCON_Birmingham.mp3</t>
  </si>
  <si>
    <t>Seminars_-_Gaur_Lila-Love_in_Separation_Part-03_-_Radhanath_Swami_ISKCON_Birmingham.mp3</t>
  </si>
  <si>
    <t>Seminars_-_Gaur_Lila-Love_in_Separation_Part-04_-_Radhanath_Swami_ISKCON_Birmingham.mp3</t>
  </si>
  <si>
    <t>1989-015_Headline_In_Newspaper_SB_01-02-08_-_Radhanath_Swami_Mumbai_1989-07-17_IDesireTree.mp3</t>
  </si>
  <si>
    <t>1993-185_Only_By_Realising_The_Goal_Of_Life_CC_Adi-08-63_-_Radhanath_Swami_Mumbai_1993-12-17_IDesireTree.mp3</t>
  </si>
  <si>
    <t>1995-024_The_Supreme_Goal_Of_Life_MT_-_SB_01-02-08_-_Radhanath_Swami_Belgaum_1995-01-16.mp3</t>
  </si>
  <si>
    <t>1996-135_What_Is_The_Aim_Of_Life_BG_02-08_-_Radhanath_Swami_Mumbai_1996-09-21_IDesireTree.mp3</t>
  </si>
  <si>
    <t>1992-005_I_Am_Eternally_Grateful_To_You_Lecture_-_Radhanath_Swami_Pune_1992-01-04_IDesireTree.mp3</t>
  </si>
  <si>
    <t>1993-115_Thank_for_Lord_Krsna%27s_Mercy_SB_01-08-38-39_-_Radhanath_Swami_1993-06-12_IDesireTree.mp3</t>
  </si>
  <si>
    <t>1999-029_Devotee_Must_be_Grateful_SB_03-19-36_-_Radhanath_Swami_Mumbai_1999-06-18_IDesireTree.mp3</t>
  </si>
  <si>
    <t>2007_Gratitude_the_Womb_for_Humility_-_Radhanath_Swami_Birla_House_2007-01-07_IDesireTree.mp3</t>
  </si>
  <si>
    <t>Devotee_Gratefully_Accept_Any_Situation_in_Life_SB_06-12-07_-_Radhanath_Swami_Mumbai_1994-01-25_IDesireTree.MP3</t>
  </si>
  <si>
    <t>Humility_%26_Gratitude-Must_To_Receive_Krishna%27s_Mercy_-_Jagannath_Misra_Festival_-_Mumbai_IDesireTree.mp3</t>
  </si>
  <si>
    <t>Learning_to_be_Grateful_from_Dhruva_Maharaj_SB-04-12-32_-_Gita_Nagari_02-06-04_IDesireTree.mp3</t>
  </si>
  <si>
    <t>Offering_Tears_of_Gratitude_and_Appreciation_-_Radhanath_Swami_IDesireTree.mp3</t>
  </si>
  <si>
    <t>Serve_with_Humility_and_Gratitude-Concluding_lecture_-_Radhanath_Swami_IDesireTree.mp3</t>
  </si>
  <si>
    <t>01_-_Goswami</t>
  </si>
  <si>
    <t>02_-_Srila_Bhaktisiddantha_Sarasvathi_Thakur</t>
  </si>
  <si>
    <t>03_-_Srila_Bhaktivinoda_Thakur</t>
  </si>
  <si>
    <t>04_-_Srila_Haridas_Thakur</t>
  </si>
  <si>
    <t>05_-_Srila_Madhavendra_Puri</t>
  </si>
  <si>
    <t>06_-_Sripada_Madhavacharya</t>
  </si>
  <si>
    <t>07_-_Srila_Narottamadas_Thakur</t>
  </si>
  <si>
    <t>08_-_Sripada_Ramanujacharya</t>
  </si>
  <si>
    <t>01.Heavenly_Pleasure_Vs_Spiritual_Pleasure_SB_05-17-10-11_-_Radhanath_Swami_Mumbai_2005-12-11_IDesireTree.mp3</t>
  </si>
  <si>
    <t>02.Quest_for_Inner_Happiness_-_Radhanath_Swami_Chicago_2004-04-24_IDesireTree.mp3</t>
  </si>
  <si>
    <t>03.The_Secret_of_Achieving_True_Happiness_-_Radhanath_Swami_Nigdi_2005-01-09_IDesireTree.mp3</t>
  </si>
  <si>
    <t>1991-015_Eternal_Joy_Of_Soul_SB_09-04-46-47_Radhanath_Swami_Mumbai_1991-02-09_IDesireTree.mp3</t>
  </si>
  <si>
    <t>1997-038_Real_Happiness_BG_06-28_-_Radhanath_Swami_Mumbai_1997-02-11_IDesireTree.mp3</t>
  </si>
  <si>
    <t>1997-092_Market_Place_Of_Happiness_BG_04-06_Radhanath_Swami_Mumbai_1997-08-30_IDesireTree.mp3</t>
  </si>
  <si>
    <t>1998-060_Real_Happiness_is_Krishna_Consiousness_SB_03-07-40_Radhanath_Swami_Mumbai_1998-05-03_IDesireTree.mp3</t>
  </si>
  <si>
    <t>1999-042_Happiness_in_Krishna_Consciousness_BG_09-13_Radhanath_Swami_Mumbai_199-07-10_IDesireTree.mp3</t>
  </si>
  <si>
    <t>2000-026_Unlimited_Happiness_by_Surrendering_to_Krsna_SB_01_-_Radhanath_Swami_IDesireTree.mp3</t>
  </si>
  <si>
    <t>01.Transforming_Garage_Like_Heart_Into_Vaikuntha_-_Radhanath_Swami_Mumbai_2004-09-10_IDesireTree.mp3</t>
  </si>
  <si>
    <t>02.Bhakti_The_Wealth_of_Heart_SB_05-03-02_-_Radhanath_Swami_Mumbai_2004-12-26_IDesireTree.mp3</t>
  </si>
  <si>
    <t>03.Lord_Imprisioned_in_the_Heart_of_His_Devotee_-_Radhanath_Swami_Chicago_2005_IDesireTree.mp3</t>
  </si>
  <si>
    <t>04.Exchange_of_Hearts_SB-01-16-34_-_Radhanath_Swami_Chicago_2005_IDesireTree.mp3</t>
  </si>
  <si>
    <t>05.The_Real_Treasure_in_Our_Own_Heart_-_Radhanath_Swami_Copenhagen_1999-08-03_IDesireTree.mp3</t>
  </si>
  <si>
    <t>06.Poverty_of_the_Heart_-_Radhanath_Swami_IDesireTree.mp3</t>
  </si>
  <si>
    <t>07.Melting_the_Steel_Heart_by_Chanting_the_Holy_Name_-_Radhanath_Swami_IDesireTree.mp3</t>
  </si>
  <si>
    <t>08.Melting_the_hard_hear_-_Radhanath_Swami_IDesireTree.MP3</t>
  </si>
  <si>
    <t>09.Melting_Lords_Melting_Hearts_-_Radhanath_Swami_IDesireTree.mp3</t>
  </si>
  <si>
    <t>1991-056_Within_Our_Heart_Lecture_-_Radhanath_Swami_Mumbai_2005-05-91_IDesireTree.mp3</t>
  </si>
  <si>
    <t>1991-081_Ravan_In_Our_Heart_Lecture_-_Radhanath_Swami_Mumbai_1991-10-17_IDesireTree.mp3</t>
  </si>
  <si>
    <t>1993-017_To_Purify_Our_Heart_SB_01-02-08_-_Radhanath_Swami_1993-01-17_IDesireTree.mp3</t>
  </si>
  <si>
    <t>1994-111_Appearance_Of_Krishna_In_Our_Heart_SB_10-03-13_-_Radhanath_Swami_Mumbai_1994-08-26_IDesireTree.mp3</t>
  </si>
  <si>
    <t>1995-040_Don%27t_Break_Others_Heart_SB_04-08-34_-_Radhanath_Swami_Mumbai_1995-02-01.mp3</t>
  </si>
  <si>
    <t>1995-072_Service_Attitude_Changes_Our_Stone_Like_Heart_Lecture_-_Radhanath_Swami_Kurukshetra_1995-03-27.mp3</t>
  </si>
  <si>
    <t>1998-098_Bringing_the_Lord_Back_to_Our_Heart_BG_03_-_Radhanath_Swami_Nigdi_1998-10-08_IDesireTree.mp3</t>
  </si>
  <si>
    <t>1990-020_The_Secret_Of_Proper_Chanting_SMSKM-2_-_Radhanath_Swami_Mumbai_1990-02-11_IDesireTree.mp3</t>
  </si>
  <si>
    <t>1991-075_Refuge_In_Holy_Vibration_Lecture_-_Radhanath_Swami_Mumbai_1991-10-12_IDesireTree.mp3</t>
  </si>
  <si>
    <t>1991-161_Name_-_Ultimate_purification_BG_02-44_-_Radhanath_Swami_Mumbai_1991-12-30_IDesireTree.mp3</t>
  </si>
  <si>
    <t>1993-030_Aspiration_For_Chanting_Mahamantra_Lecture_-_Radhanath_Swami_Mumbai_1993-03-26_IDesireTree.mp3</t>
  </si>
  <si>
    <t>1993-061_The_Power_Of_Holyname_Ht_-_BG_05-18_-_Radhanath_Swami_Mumbai_1993-04-19_IDesireTree.mp3</t>
  </si>
  <si>
    <t>1993-177_Chanting_Outweighs_Everything_Lecture_-_Radhanath_Swami_Mumbai_1993-12-11_IDesireTree.mp3</t>
  </si>
  <si>
    <t>1993-183_The_Supreme_Yajna_BG_03_14_-_Radhanath_Swami_Mumbai_1993-12-15_IDesireTree.mp3</t>
  </si>
  <si>
    <t>1993-188_Fire_Of_Harinaam_BG_03-10_-_Radhanath_Swami_Mumbai_1993-12-19_IDesireTree.mp3</t>
  </si>
  <si>
    <t>1994-008_Value_Of_the_Holy_Name_Lecture_-_Radhanath_Swami_Mumbai_199-01-15_IDesireTree.mp3</t>
  </si>
  <si>
    <t>1994-023_Real_touchstone_Holy_name_BG_07-28_-_Radhanath_Swami_Mumbai_1994-02-09_IDesireTree.mp3</t>
  </si>
  <si>
    <t>1994-100_Transcendental_Remedy_for_this_Age_Lecture_-_Radhanath_Swami_NV_1994-06-16_IDesireTree.mp3</t>
  </si>
  <si>
    <t>1994-188_Mercy_In_Form_Of_Holy_Name_HT_-_BG_09-20_-_Radhanath_Swami_Pune_1994-10-12_IDesireTree.mp3</t>
  </si>
  <si>
    <t>1994-215_Glories_of_the_Holy_Name_Lecture_-_Radhanath_Swami_1994_IDesireTree.mp3</t>
  </si>
  <si>
    <t>1995-004_Our_Aspiration_To_Chant_Humbly_BG_03-31_-_Radhanath_Swami_Mumbai_1995-01-03.mp3</t>
  </si>
  <si>
    <t>1995-009_Kunti%27s_Dependence_On_Holy_Name_SB_01-08-38_-_Radhanath_Swami_Mumbai_1995-01-07.mp3</t>
  </si>
  <si>
    <t>1995-059_Hari_Nama_Sankirtan_CC_ML_20-34_-_Radhanath_Swami_Mumbai_1995-03-12.mp3</t>
  </si>
  <si>
    <t>1996-086_King_Shivaji_Took_Shelter_Of_Holy_Name_Mt_-_BG_02-48_-_Radhanath_Swami_Mumbai_1996-04-19_IDesireTree.mp3</t>
  </si>
  <si>
    <t>1996-132_Holy_Name_Is_Realised_With_Humility_SB_02-03-25_-_Radhanath_Swami_Mumbai_1996-09-19_IDesireTree.mp3</t>
  </si>
  <si>
    <t>1997-120_The_Power_Of_Holy_Name_Lecture_-_Radhanath_Swami_Pune_1997-10-08_IDesireTree.mp3</t>
  </si>
  <si>
    <t>1998-048_Attentive_Hearing_%26_Chanting_SB_03-06-37_-_Radhanath_Swami_Mumbai_1998-03-08_IDesireTree.mp3</t>
  </si>
  <si>
    <t>1998-064_Attentively_Hearing_the_Sound_Vibration_SB_03-08-03_-_Radhanath_Swami_Mumbai_1998-05-12_IDesireTree.mp3</t>
  </si>
  <si>
    <t>1998-076_Ganges_of_the_Holy_Name_SB_03-13-44_-_Radhanath_Swami_Mumbai_1998-07-28_IDesireTree.mp3</t>
  </si>
  <si>
    <t>1998-112_Holyname-_The_Most_Effective_Way_to_Remember_Krishna_BG-12_02_Mumbai_-_06-12-98_IDesireTree.mp3</t>
  </si>
  <si>
    <t>1999-022_Touchstone_of_the_Holy_Name_Lecture_-_Radhanath_Swami_Mumbai_1999-03-15_IDesireTree.mp3</t>
  </si>
  <si>
    <t>2001-033_Cultivate_Right_Spirit_For_Chanting_Lecture_-_Radhanath_Swami_Mumbai_2001-07-15_IDesireTree.mp3</t>
  </si>
  <si>
    <t>2001-067_Power_Of_The_Mercy_Of_The_Holy_Name_SB_01-18-19_-_Radhanath_Swami_Mumbai_2001-12-27_IDesireTree.mp3</t>
  </si>
  <si>
    <t>2002-101_Higher_Intoxication_Of_The_Holy_Name_SB_04-18-15_-_Radhanath_Swami_Mumbai_2002-10-13_IDesireTree.mp3</t>
  </si>
  <si>
    <t>2002-124_Become_Conditioned_to_Chant_The_Holy_Name_Lecture_-_Radhanath_Swami_Mumbai_2002-12-29_IDesireTree.mp3</t>
  </si>
  <si>
    <t>Chanting_is_Our_First_Responsibility_-_09-09-02_London_IDesireTree.mp3</t>
  </si>
  <si>
    <t>Chanting_the_holy_name_SB-01-08-26_IDesireTree.MP3</t>
  </si>
  <si>
    <t>Chanting_the_Holy_Name_with_Humility_%26_Sincerity_IDesireTree.mp3</t>
  </si>
  <si>
    <t>Controlling_Mind_by_Attentively_Chanting_Holy_Name_SB-05-06-03_-_Mumbai_19-03-05_IDesireTree.mp3</t>
  </si>
  <si>
    <t>Crying_Out_For_the_Mercy_of_the_Holy_Name_IDesireTree.mp3</t>
  </si>
  <si>
    <t>Explaining_the_Sikshastakam_Verse_IDesireTree.mp3</t>
  </si>
  <si>
    <t>Holy_Name_-_The_Weapon_of_Lord_Chaitanya_-_Mumbai_31-03-05_IDesireTree.mp3</t>
  </si>
  <si>
    <t>Hurricane_or_Harinaam_-_Prerana_-_Mumbai_24-09-05_IDesireTree.MP3</t>
  </si>
  <si>
    <t>Melting_the_Steel_Heart_by_Chanting_the_Holy_Name_IDesireTree.mp3</t>
  </si>
  <si>
    <t>Protect_Yourself_by_Chanting_Holy_Name_SB-05-06-04_-_Mumbai_20-03-05_IDesireTree.mp3</t>
  </si>
  <si>
    <t>Removing_Poison_by_Chanting_the_Holy_Name_IDesireTree.mp3</t>
  </si>
  <si>
    <t>The_Glories_of_Holy_Name_-_Saranagati_temple_11-07-04_IDesireTree.mp3</t>
  </si>
  <si>
    <t>The_Power_of_Holy_Name_-_Chicago_27-04-04_IDesireTree.mp3</t>
  </si>
  <si>
    <t>The_Power_of_Holy_Name_SB-06-08-19_-_New_Vrindavan_30-5-04_IDesireTree.mp3</t>
  </si>
  <si>
    <t>01.Willingness_to_Take_Humble_Position_%26_Forgive_-_Radhanath_Swami_Mumbai_2004-10-24_IDesireTree.mp3</t>
  </si>
  <si>
    <t>02.Humility_%26_Gratitude-Must_To_Receive_Krishna%27s_Mercy_-_Jagannath_Misra_Festival_-_Mumbai_IDesireTree.mp3</t>
  </si>
  <si>
    <t>03.SB_07-09-08_-_Krishna_Protects_Meek_%26_Humble_-_Radhanath_Swami_2007-04-29_IDesireTree.MP3</t>
  </si>
  <si>
    <t>04.Chanting_the_Holy_Name_with_Humility_%26_Sincerity_-_Radhanath_Swami_IDesireTree.mp3</t>
  </si>
  <si>
    <t>05.Ramanujacarya_-_Emblem_of_complete_Surrender_%26_Humility_-_Radhanath_Swami_IDesireTree.mp3</t>
  </si>
  <si>
    <t>06.Supreme_humility_of_Sana_-_Radhanath_Swami_IDesireTree.MP3</t>
  </si>
  <si>
    <t>07.Serving_the_Lord_with_Humility_%26_Devotion_-_Radhanath_Swami_IDesireTree.mp3</t>
  </si>
  <si>
    <t>08.Serve_with_Humility_and_Gratitude_-_Concluding_lecture_-_Radhanath_Swami_IDesireTree.mp3</t>
  </si>
  <si>
    <t>1989-025_Humble_And_Tolerant_SB_07-10-5_-_Radhanath_Swami_Mumbai_1989-08-03_IDesireTree.mp3</t>
  </si>
  <si>
    <t>1990-060_Humility_BG_18-55_-_Radhanath_Swami_Mumbai_1990-08-11_IDesireTree.mp3</t>
  </si>
  <si>
    <t>1991-011_Being_A_Humble_Servant_SB_09-04-24_-_Radhanath_Swami_Mumbai_1991-02-01_IDesireTree.mp3</t>
  </si>
  <si>
    <t>1992-070_Developing_Humility_Lecture_-_Radhanath_Swami_Mumbai_1992-08-14_IDesireTree.mp3</t>
  </si>
  <si>
    <t>1992-083_Greatness_Of_Krishna_SB_10-03-39_-_Radhanath_Swami_Mumbai_1992-08-20_IDesireTree.mp3</t>
  </si>
  <si>
    <t>1992-100_Real_Humility_SB_10-14-28_-_Radhanath_Swami_Mumbai_1992-10-05_IDesireTree.mp3</t>
  </si>
  <si>
    <t>1992-105_We_Are_Really_Insignificant_SB_10-14-10_-_Radhanath_Swami_Mumbai_1992-09-18_IDesireTree.mp3</t>
  </si>
  <si>
    <t>1992-115_Humble_Servant_Attitude_SB_10-14-56_-_Radhanath_Swami_Mumbai_1992-09-14_IDesireTree.mp3</t>
  </si>
  <si>
    <t>1993-116_Thinking_Oneself_Lowly_SB_10-33-31-35_-_Radhanath_Swami_1993-06-12_IDesireTree.mp3</t>
  </si>
  <si>
    <t>1993-163_Uddavas_Humility_SB_10-49-22-25_-_Radhanath_Swami_Mumbai_1993-10-29_IDesireTree.mp3</t>
  </si>
  <si>
    <t>1993-170_Uddava_Realies_True_Humility_SB_10-47-53_-_Radhanath_Swami_Mumbai_1993-11-16_IDesireTree.mp3</t>
  </si>
  <si>
    <t>1994-006_Humbling_Ourselves_SB_01-02-19_-_Radhanath_Swami_Mumbai_1994-01-13_IDesireTree.mp3</t>
  </si>
  <si>
    <t>1994-012_Accepting_Mercy_with_Humility-I_SB_02-03-21_-_Radhanath_Swami_Pune_1994-01-23_IDesireTree.mp3</t>
  </si>
  <si>
    <t>1994-013_Accepting_Mercy_with_Humility-II_Lecture_-_Radhanath_Swami_Pune_1994-01-23_IDesireTree.mp3</t>
  </si>
  <si>
    <t>1994-094_Positive_Humility_SB_10-58-08_-_Radhanath_Swami_Mumbai_1994-05-15_IDesireTree.mp3</t>
  </si>
  <si>
    <t>1994-177_Accept_Knowledge_Humbly_SB_01-04-33_-_Radhanath_Swami_Mumbai_1994-10-06_IDesireTree.mp3</t>
  </si>
  <si>
    <t>1995-075_Become_Humble_SB_01-09-04_-_Radhanath_Swami_Mumbai_1995-04-01_IDesireTree.mp3</t>
  </si>
  <si>
    <t>1995-122_Humility_Not_Pride_Can_Win_Krsna_SB_01-13-50_-_Radhanath_Swami_Mumbai_1995-10-14_IDesireTree.mp3</t>
  </si>
  <si>
    <t>1996-073_How_Insignificant_We_Are%21_BG_08-18_-_Radhanath_Swami_Mumbai_1996-04-07_IDesireTree.mp3</t>
  </si>
  <si>
    <t>1996-101_Humility_Is_A_Must_SB_07-09-26-27_-_Radhanath_Swami_Mumbai_1996-04-28_IDesireTree.mp3</t>
  </si>
  <si>
    <t>1996-149_Surrender_With_Humility_BG_02-04-07_-_Radhanath_Swami_Mumbai_1996-10-06_IDesireTree.mp3</t>
  </si>
  <si>
    <t>1997-081_Humility_of_Devotees_Lecture_-_Radhanath_Swami_Bhaktivedanta_Manor_1997-05-31_IDesireTree.mp3</t>
  </si>
  <si>
    <t>1998-072_Pleasing_Krishna_With_Our_Humility_BG_08-07_-_Radhanath_Swami_Mumbai_1998-07-19_IDesireTree.mp3</t>
  </si>
  <si>
    <t>1999-028_Humility_of_Parikshit_Maharaj_SB_01-19-15_-_Radhanath_Swami_Mumbai_1999-06-13_IDesireTree.mp3</t>
  </si>
  <si>
    <t>2002-051_Imbibing_The_Conscious_Of_Humlity_SB_04-12-22_-_Radhanath_Swami_Mumbai_2008-04-13_IDesireTree.mp3</t>
  </si>
  <si>
    <t>1991-101_Vamandev_Begs_From_Bali_Maharaj_SB_08-19-21_-_Radhanath_Swami_Mumbai_1991-10-26_IDesireTree.mp3</t>
  </si>
  <si>
    <t>1991-131_Incarnations_Of_Krishna_Lecture_-_Radhanath_Swami_Mumbai_1991-11-06_IDesireTree.mp3</t>
  </si>
  <si>
    <t>1992-026_Incarnation_In_Four_Yugas_Lecture_-_Radhanath_Swami_Mumbai_1992-02-13_IDesireTree.mp3</t>
  </si>
  <si>
    <t>1992-028_Story_Of_VarahDev_Lecture_-_Radhanath_Swami_Mumbai_1992-02-15_IDesireTree.mp3</t>
  </si>
  <si>
    <t>1992-029_Appearance_Of_Lord_Varahadev_BG_04-08-09_-_Radhanath_Swami_Mumbai_1992-02-15_IDesireTree.mp3</t>
  </si>
  <si>
    <t>1992-104_Appearance_Of_Lord_Vamandev_-_Radhanath_Swami_Mumbai_1992-09-08_IDesireTree.mp3</t>
  </si>
  <si>
    <t>1993-082_Lord_Buddha_BG_09-29-05-22_-_Radhanath_Swami_1993-05-06_IDesireTree.mp3</t>
  </si>
  <si>
    <t>1993-134_Lord_Varahadev_SB_08-2-01-04_-_Radhanath_Swami_Mumbai_1993-09-27_IDesireTree.mp3</t>
  </si>
  <si>
    <t>1994-043_Lord_Varahadev_Lecture_-_Radhanath_Swami_Mumbai_1994-02-23_IDesireTree.mp3</t>
  </si>
  <si>
    <t>1994-104_Incarnation_Are_Expansions_Of_Krishna_SB_01-03-28_-_Radhanath_Swami_Mumbai_1994-08-21_IDesireTree.mp3</t>
  </si>
  <si>
    <t>1994-169_Story_Of_Lord_Varahadev_SB_03-13-14-17_-_Radhanath_Swami_Varahavan_1994-09-27_IDesireTree.mp3</t>
  </si>
  <si>
    <t>1995-048_Story_Of_Lord_VarahaDev_SB_03-14-05_-_Radhanath_Swami_Mumbai_1995-02-12.mp3</t>
  </si>
  <si>
    <t>1996-177_Gigantic_Boar_Incarnation_SB_02-07-01_-_Radhanath_Swami_Mumbai_1996-12-28_IDesireTree.mp3</t>
  </si>
  <si>
    <t>1997-010_Matsya_Avatar_SB_02-07-07_-_Radhanath_Swami_Mumbai_1997-01-12_IDesireTree.mp3</t>
  </si>
  <si>
    <t>1997-044_Varahadev_Protects_Mother_Earth_SB_-_Radhanath_Swami_Mumbai_1997-02-19_IDesireTree.mp3</t>
  </si>
  <si>
    <t>1998-022_Lord%27s_Pastimes_in_the_Ocean_Lecture_-_Radhanath_Swami_Mumbai_1998-02-02_IDesireTree.mp3</t>
  </si>
  <si>
    <t>1998-029_Lord_Varahadev_Appearance_Day_Lecture_-_Radhanath_Swami_Mumbai_1998-02-08_IDesireTree.mp3</t>
  </si>
  <si>
    <t>1993-034_We_are_not_Indras_SB_10-25-16-17_-_Radhanath_Swami_Mumbai_1993-03-29_IDesireTree.mp3</t>
  </si>
  <si>
    <t>04.Initation_Eve_Lec_-_Radhanath_Swami_2008-05-07_IDesireTree.MP3</t>
  </si>
  <si>
    <t>05.Initation_Morn_Lec_-_Radhanath_Swami_2008-05-07_IDesireTree.MP3</t>
  </si>
  <si>
    <t>06.Establishing_The_Spirit_of_Initiation_-_Radhanath_Swami_Mumbai_2004-04-02_IDesireTree.mp3</t>
  </si>
  <si>
    <t>07.Initiation-The_Process_of_Commitment_to_Parampara_-_Radhanath_Swami_New_Vrindavan_2004-05-29_IDesireTree.mp3</t>
  </si>
  <si>
    <t>10.Initiation_Lecture_-_Radhanath_Swami_2001-07-22_London_IDesireTree.mp3</t>
  </si>
  <si>
    <t>1992-037_Initiation_Lecture_Lecture_-_Radhanath_Swami_Mumbai_1992-03-18_IDesireTree.mp3</t>
  </si>
  <si>
    <t>1993-078_Introduction_About_Initiation_Lecture_-_Radhanath_Swami_Mumbai_1993-05-04_IDesireTree.mp3</t>
  </si>
  <si>
    <t>1993-080_Initiation_Lecture_Lecture_-_Radhanath_Swami_Mumbai_1993-05-05_IDesireTree.mp3</t>
  </si>
  <si>
    <t>1995-063_Initiation_Lecture_Lecture_-_Radhanath_Swami_Mumbai_1995-03-17.mp3</t>
  </si>
  <si>
    <t>1995-065_Initiation_Lecture_Lecture_-_Radhanath_Swami_Mumbai_1995-03-18.mp3</t>
  </si>
  <si>
    <t>1996-063_Initiation_Lecture_Lecture_-_Radhanath_Swami_Mumbai_1996-03-28_IDesireTree.mp3</t>
  </si>
  <si>
    <t>1996-064_Initiation_Lecture_Fire_Sacrifice_-_Radhanath_Swami_Mumbai_1996-03-28_IDesireTree.mp3</t>
  </si>
  <si>
    <t>1997-014_Initiation_Lecture_-_Radhanath_Swami_IDesireTree.mp3</t>
  </si>
  <si>
    <t>1997-055_Initiation_Lecture_Lecture_-_Radhanath_Swami_Mumbai_1997-03-24_IDesireTree.mp3</t>
  </si>
  <si>
    <t>2000-037_Pre_Initiation_Lecture_-_Radhanath_Swami_Mumbai_2000-03-05_IDesireTree.mp3</t>
  </si>
  <si>
    <t>2000-043_Initiation_Lecture_-_Radhanath_Swami_Mumbai_2000-03-21_IDesireTree.mp3</t>
  </si>
  <si>
    <t>2001-031_Initiation_Lecture_-_Radhanath_Swami_Mumbai_2001-07-14_IDesireTree.mp3</t>
  </si>
  <si>
    <t>2001-032_Inititation_Lecture_-_Radhanath_Swami_Mumbai_2001-07-15_IDesireTree.mp3</t>
  </si>
  <si>
    <t>2002-064_Initiation_Lecture_-_Radhanath_Swami_New_Vrindavan_2002-07-04_IDesireTree.mp3</t>
  </si>
  <si>
    <t>2003-025_Initiation_Lecture_-_Pune_2003-04-04_IDesireTree.mp3</t>
  </si>
  <si>
    <t>2003-030_Responsibility_of_a_Disciple_Initiation_Lecture_-_Radhanath_Swami_Mumbai_2003-04-11_IDesireTree.mp3</t>
  </si>
  <si>
    <t>2003-060_Brahman_Initation_Lecture_-_Radhanath_Swami_Mumbai_2003-09-02_IDesireTree.mp3</t>
  </si>
  <si>
    <t>2003-089_Initiation_Initiation_Lecture_-_Radhanath_Swami_San_Diego_2003-11-22_IDesireTree.mp3</t>
  </si>
  <si>
    <t>2003-102_Gita_Jayanti_Initiation_Lecture_-_Radhanath_Swami_US_2003-11-30_IDesireTree.mp3</t>
  </si>
  <si>
    <t>1997-048_Real_Intelligence_Lecture_-_Radhanath_Swami_Mumbai_1997-02-22_IDesireTree.mp3</t>
  </si>
  <si>
    <t>1995-038_What_Is_ISKCON_-_Radhanath_Swami_Pune_1995-01-28.mp3</t>
  </si>
  <si>
    <t>2000-023_Glories_of_the_Hare_Krishna_Movement_Lecture_-_Radhanath_Swami_Mumbai_2000-02-06_IDesireTree.mp3</t>
  </si>
  <si>
    <t>2003-024_Improtance_of_the_Institution_of_ISKCON_-_Radhanath_Swami_Mumbai_2003-03-30_IDesireTree.mp3</t>
  </si>
  <si>
    <t>1992-003_Why_We_Are_At_Pune_-_Radhanath_Swami_Pune_1992-01-03_IDesireTree.mp3</t>
  </si>
  <si>
    <t>1992-164_Introduction_To_Pune_Yatra_-_Pune_1992-12-31_IDesireTree.mp3</t>
  </si>
  <si>
    <t>1995-035_Why_Pune_Yatra_-_Radhanath_Swami_Pune_1995-01-26.mp3</t>
  </si>
  <si>
    <t>1991-010_Age_Of_Quarrel_And_Hypocrisy_SB_09-04-21_-_Radhanath_Swami_Mumbai_1991-01-30_IDesireTree.mp3</t>
  </si>
  <si>
    <t>1991-046_Advent_Of_Kaliyuga_SB_09-10-51_-_Radhanath_Swami_Mumbai_1991-05-11_IDesireTree.mp3</t>
  </si>
  <si>
    <t>1992-033_The_Greatest_Boon_In_Kaliyuga_BG_04-03_-_Radhanath_Swami_Mumbai_1992-02-19_IDesireTree.mp3</t>
  </si>
  <si>
    <t>1992-130_Fortune_Of_Kaliyuga_People_SB_11-05-36_-_Radhanath_Swami_Mumbai_1992-11-27_IDesireTree.mp3</t>
  </si>
  <si>
    <t>1993-025_Blessed_Age_Of_Kaliyuga_Lecture_-_Radhanath_Swami_Mumbai_1993-03-23_IDesireTree.mp3</t>
  </si>
  <si>
    <t>1993-179_Greatest_Benediction_In_Kaliyuga_SB_11-05-37_-_Radhanath_Swami_Mumbai_1993-12-12_IDesireTree.mp3</t>
  </si>
  <si>
    <t>1993-184_Disguised_Duryodhanas_SB_10-49-22_-_Radhanath_Swami_Mumbai_1993-12-17_IDesireTree.mp3</t>
  </si>
  <si>
    <t>1996-054_Kaliyuga_SB_01-17-40_-_Radhanath_Swami_Mumbai_1996-03-15_IDesireTree.mp3</t>
  </si>
  <si>
    <t>1996-091_How_Degradation_Of_Brahmanas_Began_SB_01-18-37_-_Radhanath_Swami_Mumbai_1996-04-24_IDesireTree.mp3</t>
  </si>
  <si>
    <t>1996-137_Don%27t_Let_Kali_Enter_Your_Home_SB_02-04-02_-_Radhanath_Swami_Mumbai_1996-09-22_IDesireTree.mp3</t>
  </si>
  <si>
    <t>1999-065_Kaliyuga_Gets_Maximum_Mercy_Lecture_-_Radhanath_Swami_Mumbai_1999-12-31_IDesireTree.mp3</t>
  </si>
  <si>
    <t>2000-008_The_Age_of_Kali_Lecture_-_Radhanath_Swami_Mumbai_2000-01-14_IDesireTree.mp3</t>
  </si>
  <si>
    <t>1991-003_Perfection_Of_All_Knowledge_SB_08-24-61_-_Radhanath_Swami_Mumbai_1991-01-25_IDesireTree.mp3</t>
  </si>
  <si>
    <t>1991-153_Receiving_Transcendental_Knowledge_BG_04-03_-_Radhanath_Swami_Mumbai_1991-12-29_IDesireTree.mp3</t>
  </si>
  <si>
    <t>1993-091_Knowledge_And_Renunciation_SB_03-27-21_-_Radhanath_Swami_Mumbai_1993-05-21_IDesireTree.mp3</t>
  </si>
  <si>
    <t>1994-015_How_To_Know_God_SB_02-06-34-35_-_Radhanath_Swami_Mumbai_1994-01-18_IDesireTree.mp3</t>
  </si>
  <si>
    <t>1995-137_What_Is_Real_Knowledge_BG_13-23_-_Radhanath_Swami_Mumbai_1995-12-25_IDesireTree.mp3</t>
  </si>
  <si>
    <t>1996-092_What_Is_Knowledge_And_Ignorance_BG_10-01_-_Radhanath_Swami_Mumbai_1996-04-24_IDesireTree.mp3</t>
  </si>
  <si>
    <t>1996-155_Knowledge_By_Utter_Surrender_SB_02-04-23_-_Radhanath_Swami_Mumbai_1996-10-19_IDesireTree.mp3</t>
  </si>
  <si>
    <t>1989-022_Why_Is_Krishna_Dancing_With_Gopis_-_Radhanath_Swami_Mumbai_1989-07-23_IDesireTree.mp3</t>
  </si>
  <si>
    <t>1989-035_Lord%27s_Inconceivable_Ways_Lecture_-_Radhanath_Swami_Mumbai_1989-08-25_IDesireTree.mp3</t>
  </si>
  <si>
    <t>1990-002_Whatever_Krishna_Does_Is_Perfect_BG-08_-_Radhanath_Swami_IDesireTree.mp3</t>
  </si>
  <si>
    <t>1990-040_Everything_Is_In_Krishna_BG_02-44_-_Radhanath_Swami_Mumbai_1990-04-14_IDesireTree.mp3</t>
  </si>
  <si>
    <t>1990-043_Krishna_Is_Your_Ever_Well_Wisher_SB_08-01-10_-_Radhanath_Swami_Mumbai_1990-04-25_IDesireTree.mp3</t>
  </si>
  <si>
    <t>1990-044_Perceiving_The_Paramatma_SB_08-01-11_-_Radhanath_Swami_Mumbai_1990-04-26_IDesireTree.mp3</t>
  </si>
  <si>
    <t>1990-049_Krsna_Needs_Your_Surrender_SB_08-01-15_-_Radhanath_Swami_Mumbai_1990-04-30_IDesireTree.mp3</t>
  </si>
  <si>
    <t>1990-070_Cause_Of_Lord%27s_Descent_SB_08-07-09-10_-_Radhanath_Swami_Mumbai_1990-08-26_IDesireTree.mp3</t>
  </si>
  <si>
    <t>1991-036_Krishna_Is_Perfect_BG_06-33-34_-_Radhanath_Swami_Mumbai_1991-04-28_IDesireTree.mp3</t>
  </si>
  <si>
    <t>1991-040_Krishna%27s_Inconceivable_Potency_SB_09-10-16_-_Radhanath_Swami_Mumbai_1991-05-03_IDesireTree.mp3</t>
  </si>
  <si>
    <t>1991-094_Krishna-_The_Supreme_SB_10-01-21_-_Radhanath_Swami_Mumbai_1991-10-21_IDesireTree.mp3</t>
  </si>
  <si>
    <t>1991-110_Different_Energies_Of_Krishna_Lecture_-_Radhanath_Swami_Mumbai_1991-10-30_IDesireTree.mp3</t>
  </si>
  <si>
    <t>1991-120_Our_Supreme_Lord_Lecture_-_Radhanath_Swami_Mumbai_1991-11-23_IDesireTree.mp3</t>
  </si>
  <si>
    <t>1991-125_The_Greatness_Of_Krishna_Lecture_-_Radhanath_Swami_Mumbai_1991-11-26_IDesireTree.mp3</t>
  </si>
  <si>
    <t>1991-142_Quadraple_Expansion_Of_Krishna_Lecture_-_Radhanath_Swami_Mumbai_1991-12-03_IDesireTree.mp3</t>
  </si>
  <si>
    <t>1991-152_Lord%27s_Sacrifice_Is_Uncomparable_Lecture_-_Radhanath_Swami_Mumbai_1991-12-27_IDesireTree.mp3</t>
  </si>
  <si>
    <t>1991-158_Incarnations_Of_Godhead_Lecture_-_Radhanath_Swami_Mumbai_1991-12-10_IDesireTree.mp3</t>
  </si>
  <si>
    <t>1991-159_Krishna_Is_Equal_To_All_SB_10-03-21_-_Radhanath_Swami_Mumbai_1991-12-30_IDesireTree.mp3</t>
  </si>
  <si>
    <t>1992-008_Who_Is_Original_Person_Lecture_-_Radhanath_Swami_Mumbai_1992-01-07_IDesireTree.mp3</t>
  </si>
  <si>
    <t>1992-009_Krsna_Is_Not_Boond_BG_04-14_-_Radhanath_Swami_Mumbai_1992-01-08_IDesireTree.mp3</t>
  </si>
  <si>
    <t>1992-011_Different_Expansions_Of_Krishna_CC_AL-02-90_-_Radhanath_Swami_Mumbai_1992-01-09_IDesireTree.mp3</t>
  </si>
  <si>
    <t>1992-017_Lord_Krishna-_A_Shastric_Evidence_CC_AL-02_-_Radhanath_Swami_Mumbai_1992-01-29_IDesireTree.mp3</t>
  </si>
  <si>
    <t>1992-075_Inconceivable_Lord_Krishna_SB_10-13-35_-_Radhanath_Swami_Mumbai_1992-08-17_IDesireTree.mp3</t>
  </si>
  <si>
    <t>1992-084_Supreme_Controller_SB_10-13-40_-_Radhanath_Swami_Mumbai_-_1992-08-21_IDesireTree.mp3</t>
  </si>
  <si>
    <t>1992-091_Glory_Of_Krishna_SB_10-13-46-48_-_Radhanath_Swami_Mumbai_1992-08-27_IDesireTree.mp3</t>
  </si>
  <si>
    <t>1992-109_Krishna_Is_Omnipotent_SB_10-14-16_-_Radhanath_Swami_Mumbai_1992-09-24_IDesireTree.mp3</t>
  </si>
  <si>
    <t>1992-119_Krishna-_The_Master_Of_Mystics_SB_10-14-27_-_Radhanath_Swami_Mumbai_1992-10-04_IDesireTree.mp3</t>
  </si>
  <si>
    <t>1993-003_Krsna_can_tear_down_the_wall_of_Illusion_SB_10-20-18_-_Radhanath_Swami_1993-01-05_IDesireTree.mp3</t>
  </si>
  <si>
    <t>1993-039_Supreme_Protector_SB_10-25-20_-_Radhanath_Swami_1993-04-03_IDesireTree.mp3</t>
  </si>
  <si>
    <t>1993-043_wonderful_krsna_SB_10-26-01_-_Radhanath_Swami_Mumbai_1993-04-08_IDesireTree.mp3</t>
  </si>
  <si>
    <t>1993-119_Lord_Krsna%27s_Unlimited_Potency_SB_10-33-35-37_-_Radhanath_Swami_1993-06-14_IDesireTree.mp3</t>
  </si>
  <si>
    <t>1994-003_Lord_Krishna-_The_Only_Controller_SB_01-15-29_-_Radhanath_Swami_Mumbai_1994-01-09_IDesireTree.mp3</t>
  </si>
  <si>
    <t>1994-031_Lord_Krishna_The_Supreme_Well_Wisher_BG_09-22_-_Radhanath_Swami_Mumbai_1994-02-18_IDesireTree.mp3</t>
  </si>
  <si>
    <t>1994-123_Why_Does_Krsna_Appear_Lecture_-_Radhanath_Swami_Mumbai_1994-08-29_IDesireTree.mp3</t>
  </si>
  <si>
    <t>1994-160_Krishna_Is_Centre_Of_Everything_HT_-_Radhanath_Swami_Mumbai_1994-09-23_IDesireTree.mp3</t>
  </si>
  <si>
    <t>1995-018_Opulence_Of_The_Absolute_BG_10-07_-_Radhanath_Swami_Pune_1995-01-13.mp3</t>
  </si>
  <si>
    <t>1995-027_Krsna_Is_equal_To_All_BG_09-29_-_Radhanath_Swami_Javlibaleshwar_1995-01-19.mp3</t>
  </si>
  <si>
    <t>1995-050_Krishna%27s_Energies_SB_01-08-16_-_Radhanath_Swami_Mumbai_1995-02-14.mp3</t>
  </si>
  <si>
    <t>1996-007_Krishna_Is_Supremely_Merciful_SB_03-02-23_-_Radhanath_Swami_Pune_1996-01-04.mp3</t>
  </si>
  <si>
    <t>1996-067_Lord_Never_Appears_Alone_SB_01-18-09_-_Radhanath_Swami_Mumbai_1996-03-29_IDesireTree.mp3</t>
  </si>
  <si>
    <t>1996-129_Krishna-_The_Original_Purusa_SB_02-03-21_-_Radhanath_Swami_Mumbai_1996-09-14_IDesireTree.mp3</t>
  </si>
  <si>
    <t>1996-144_Krishna_Is_Master_Of_Everyone_SB_02-04-07_-_Radhanath_Swami_Mumbai_1996-09-28_IDesireTree.mp3</t>
  </si>
  <si>
    <t>1996-176_Supremacy_of_Lord_Krishna_SB_02-06-43-45_-_Radhanath_Swami_Mumbai_1996-12-26_IDesireTree.mp3</t>
  </si>
  <si>
    <t>1997-023_Krishna-_The_Supreme_Source_SB_02-07-26_-_Radhanath_Swami_Mumbai_1997-01-25_IDesireTree.mp3</t>
  </si>
  <si>
    <t>1997-106_Krsna_The_Supreme_Propritor_BG_08-20_-_Radhanath_Swami_Moscow_1997-09-19_IDesireTree.mp3</t>
  </si>
  <si>
    <t>1997-125_Krishna_As_Dwarkadhish_SB_03-03-08-09_-_Radhanath_Swami_Mumbai_1997-10-12_IDesireTree.mp3</t>
  </si>
  <si>
    <t>1998-026_Only_Krishna_is_Infalliable_BG_15-16-17_-_Radhanath_Swami_Mumbai_1998-02-07_IDesireTree.mp3</t>
  </si>
  <si>
    <t>1998-028_Virat_Rupa_%26_Archa_Vigraha_SB_03-06-04_-_Radhanath_Swami_Mumbai_1998-02-08_IDesireTree.mp3</t>
  </si>
  <si>
    <t>1998-033_Everything_Belongs_to_Krishna_SB_03-09-22_-_Radhanath_Swami_Mumbai_1998-02-11_IDesireTree.mp3</t>
  </si>
  <si>
    <t>1999-038_Everything_Is_Dependent_On_Krsna_SB_03-20-16_-_Radhanath_Swami_Mumbai_1999-07-04_IDesireTree.mp3</t>
  </si>
  <si>
    <t>1999-059_Treasure_Of_The_Lotus_Feet_Of_Lord_Krsna_-_Radhanath_Swami_Mumbai_1999-12-05_IDesireTree.mp3</t>
  </si>
  <si>
    <t>2001-015_Krishna_The_Reservoir_Of_Pleasure_-_Radhanath_Swami_Mayapur_2001-02-09_IDesireTree.mp3</t>
  </si>
  <si>
    <t>1991-093_Calling_With_Helplessness_SB_10-01-20_-_Radhanath_Swami_Mumbai_1991-10-20_IDesireTree.mp3</t>
  </si>
  <si>
    <t>1991-155_Krishna_Only_SB_10-02-35_-_Radhanath_Swami_Mumbai_1991-12-13_IDesireTree.mp3</t>
  </si>
  <si>
    <t>1992-113_Attachment_To_Krishna_SB_10-14-04_-_Radhanath_Swami_Mumbai_1992-09-13_IDesireTree.mp3</t>
  </si>
  <si>
    <t>1993-110_To_Be_Greedy_For_Krishna_SB_10-29-39_-_Radhanath_Swami_Mumbai_1993-06-08_IDesireTree.mp3</t>
  </si>
  <si>
    <t>1994-155_Think_Of_Krishna_BG_07-01_-_Radhanath_Swami_Mumbai_1994-09-20_IDesireTree.mp3</t>
  </si>
  <si>
    <t>1995-021_How_To_Understand_Krishna_-_BG_10-10_-_Radhanath_Swami_Belgaum_1995-01-15.mp3</t>
  </si>
  <si>
    <t>1995-052_Don%27t_Speculate_About_Krishna_SB_01-08-33_-_Radhanath_Swami_Mumbai_1995-03-07.mp3</t>
  </si>
  <si>
    <t>1995-090_What_To_Ask_From_Krishna_SB_01-02-07_-_Radhanath_Swami_Mumbai_1995-08-20_IDesireTree.mp3</t>
  </si>
  <si>
    <t>1995-113_Four_Types_Of_Devotees_BG_07-16_-_Radhanath_Swami_Mumbai_1995-10-02_IDesireTree.mp3</t>
  </si>
  <si>
    <t>1997-022_Attaining_the_Supreme_BG_08-12-13_-_Radhanath_Swami_Mumbai_1997-01-24_IDesireTree.mp3</t>
  </si>
  <si>
    <t>1997-093_Be_Eager_For_Krishna_CC_Antya_Lila_-_Radhanath_Swami_Mumbai_1997-08-31_IDesireTree.mp3</t>
  </si>
  <si>
    <t>1999-036_Soul_Searching_For_Krsna%27s_Love_-_Radhanath_Swami_Mumbai_1999-07-03_IDesireTree.mp3</t>
  </si>
  <si>
    <t>1989-061_Story_of_Sri_Sudama_VP_01-19-65_-_Radhanath_Swami_Mumbai_1989-10-01_IDesireTree.mp3</t>
  </si>
  <si>
    <t>1992-062_Brahma_Vimohana_Lila_SB_10-13-01-03_-_Radhanath_Swami_Mumbai_1992-04-05_IDesireTree.mp3</t>
  </si>
  <si>
    <t>1993-101_Story_Of_Shyamantaka_Jewel_BG_02-44_-_Radhanath_Swami_Mumbai_1993-05-28_IDesireTree.mp3</t>
  </si>
  <si>
    <t>1994-053_Ksira-Chora_Gopinath_GT_BG_05-29_-_Radhanath_Swami_Mumbai_1994-03-23_IDesireTree.mp3</t>
  </si>
  <si>
    <t>1994-125_Pastimes_Of_Lord_Krishna_Lecture_-_Radhanath_Swami_Mumbai_1994-08-31_IDesireTree.mp3</t>
  </si>
  <si>
    <t>1994-127_Pastimes_Of_Lord_Krishna_Lecture_-_Radhanath_Swami_Mumbai_1994-08-31_IDesireTree.mp3</t>
  </si>
  <si>
    <t>1994-206_Childhood_Pastimes_Of_Krishna_Lecture_-_Radhanath_Swami_Mumbai_1994-10-22_IDesireTree.mp3</t>
  </si>
  <si>
    <t>1995-118_Childhood_Pastimes_Of_Krishna_BG_10-03_-_Radhanath_Swami_Mumbai_1995-10-08_IDesireTree.mp3</t>
  </si>
  <si>
    <t>1995-135_How_Krsna_Left_This_World_SB_01-15-35_-_Radhanath_Swami_Mumbai_1995-12-23_IDesireTree.mp3</t>
  </si>
  <si>
    <t>1997-025_Subduing_Kaliya_SB_02-07-28-29_-_Radhanath_Swami_Mumbai_1997-01-26_IDesireTree.mp3</t>
  </si>
  <si>
    <t>1997-094_Advent_Of_Lord_Krishna_BG-07_-_Radhanath_Swami_Mumbai_1997-09-06_IDesireTree.mp3</t>
  </si>
  <si>
    <t>1997-135_Damodar_Lila_Pastimes_Lecture_-_Radhanath_Swami_1997-11-14_IDesireTree.mp3</t>
  </si>
  <si>
    <t>1997-137_Govardhan_Lilla_SB_10-25-13_-_Radhanath_Swami_Mumbai_1997-11-16_IDesireTree.mp3</t>
  </si>
  <si>
    <t>1998-087_Krishna_Lila_SB-10_-_Radhanath_Swami_Mumbai_1998-09-20_IDesireTree.mp3</t>
  </si>
  <si>
    <t>1998-091_Krishna_Lila_BG_08-14_-_Radhanath_Swami_Mumbai_1998-09-27_IDesireTree.mp3</t>
  </si>
  <si>
    <t>2002-035_Pastime_of_Baby_Krsna_Lecture_-_Radhanath_Swami_Mumbai_2002-02-15_IDesireTree.mp3</t>
  </si>
  <si>
    <t>1989-036_How_To_Please_Krishna_SB_07-10-14_-_Radhanath_Swami_Mumbai_1989-08-28_IDesireTree.mp3</t>
  </si>
  <si>
    <t>1990-005_A_Leaf_a_Flower_a_Fruit_-_Radhanath_Swami_IDesireTree.mp3</t>
  </si>
  <si>
    <t>1994-190_Give_Best_For_Krishna_SB_03-33-17_-_Pune_1994-10-13_IDesireTree.mp3</t>
  </si>
  <si>
    <t>1995-005_How_To_Please_Krishna_SB_01-02-28-29_-_Radhanath_Swami_Mumbai_1995-01-03.mp3</t>
  </si>
  <si>
    <t>1996-021_Making_Krishna_Happy_BG_12-16_-_Radhanath_Swami_Mumbai_1996-01-18_IDesireTree.mp3</t>
  </si>
  <si>
    <t>1996-095_Please_Krishna_According_To_Our_Capacity_BG_12-18_-_Mumbai_1996-04-26_IDesireTree.mp3</t>
  </si>
  <si>
    <t>1996-140_Pleasing_Krishna_Is_Our_Aim_BG_18-58_-_Radhanath_Swami_Pune_1996-09-24_IDesireTree.mp3</t>
  </si>
  <si>
    <t>1997-054_How_To_Please_Krishna_Lecture_-_Radhanath_Swami_Mumbai_1997-03-16_IDesireTree.mp3</t>
  </si>
  <si>
    <t>1997-078_Our_Eagerness_Attracts_Krishna_Lecture_-_Radhanath_Swami_London_1997-05-26_IDesireTree.mp3</t>
  </si>
  <si>
    <t>1997-089_Make_Krishna_The_Priority_Lecture_-_Radhanath_Swami_Mumbai_1997-08-25_IDesireTree.mp3</t>
  </si>
  <si>
    <t>1997-100_Eagerness_To_Please_Krsna_Lecture_-_Radhanath_Swami_Moscow_1997-09-13_IDesireTree.mp3</t>
  </si>
  <si>
    <t>1997-109_Simply_Please_Krishna_SB_03-02-25_-_Mumbai_1997-09-27_IDesireTree.mp3</t>
  </si>
  <si>
    <t>1995-116_Laws_Of_God_SB_01-13-42_-_Radhanath_Swami_Mumbai_1995-10-06_IDesireTree.mp3</t>
  </si>
  <si>
    <t>1996-085_Laws_Of_God_Will_Surely_Act_BG_03-15_-_Radhanath_Swami_Mumbai_1996-04-18_IDesireTree.mp3</t>
  </si>
  <si>
    <t>1998-024_Understand_the_Laws_of_Nature_BG_04-06_-_Radhanath_Swami_Mumbai_1998-02-03_IDesireTree.mp3</t>
  </si>
  <si>
    <t>1989-081_Never_Become_Lazy_SB_07-13-18-21_-_Radhanath_Swami_Mumbai_1989-12-24_IDesireTree.mp3</t>
  </si>
  <si>
    <t>1997-068_Overcome_Spiritual_Laziness_Lecture_-_Radhanath_Swami_Mumbai_1997-04-27_IDesireTree.mp3</t>
  </si>
  <si>
    <t>1989-032_Self_Management_Lecture_-_Radhanath_Swami_Mumbai_1989-08-23_IDesireTree.mp3</t>
  </si>
  <si>
    <t>1992-122_Spiritual_Vision_SB_10-16-17-18_-_Radhanath_Swami_Mumbai_1992-11-14_IDesireTree.mp3</t>
  </si>
  <si>
    <t>1993-112_Ideal_Leadership_SB_05-01-07_-_Radhanath_Swami_Mumbai_1993-06-09_IDesireTree.mp3</t>
  </si>
  <si>
    <t>1995-025_Blind_Leading_The_Blind_HT_-_SB_02-03-19_-_Radhanath_Swami_Belgaum_1995-01-17.mp3</t>
  </si>
  <si>
    <t>1996-008_Self_Management_Lecture_-_Radhanath_Swami_Mumbai_1996-01-04.mp3</t>
  </si>
  <si>
    <t>1998-046_Setting_an_Ideal_Example_BG_02-23_-_Radhanath_Swami_Mumbai_1998-03-06_IDesireTree.mp3</t>
  </si>
  <si>
    <t>2002-050_Stress_Management_Lecture_-_Radhanath_Swami_Mumbai_2002-04-12_IDesireTree.mp3</t>
  </si>
  <si>
    <t>1991-026_Beyond_Liberation_CC_AL_01-35_-_Radhanath_Swami_Mumbai_1991-02-28_IDesireTree.mp3</t>
  </si>
  <si>
    <t>1991-029_Liberation_Is_Useless_SB_09-05-25_-_Radhanath_Swami_Mumbai_1991-03-05_IDesireTree.mp3</t>
  </si>
  <si>
    <t>1992-148_Free_Yourself_From_Material_Modes_BG_14-05_-_Radhanath_Swami_Mumbai_1992-12-20_IDesireTree.mp3</t>
  </si>
  <si>
    <t>1996-002_Pastimes_Of_Nimai_BG_10-40_-_Radhanath_Swami_Pune_1996-01-02.mp3</t>
  </si>
  <si>
    <t>1992-069_Sri_Caitanya_Lila_Lecture_-_Radhanath_Swami_1992_IDesireTree.mp3</t>
  </si>
  <si>
    <t>1996-005_Gaur_Nitai_Lecture_-_Radhanath_Swami_Pune_1996-01-03.mp3</t>
  </si>
  <si>
    <t>1991-008_Lord_Nityananda-_Most_Merciful_SB_09-04-18-20_-_Radhanath_Swami_Mumbai_1991-01-28_IDesireTree.mp3</t>
  </si>
  <si>
    <t>1992-030_Lord_Nityananda_CC_AL_01-02_-_Radhanath_Swami_Mumbai_1992-02-16_IDesireTree.mp3</t>
  </si>
  <si>
    <t>1994-045_Lord_Nityananda_Prabhu%27s_Mercy_Lecture_-_Radhanath_Swami_Mumbai_1994-02-24_IDesireTree.mp3</t>
  </si>
  <si>
    <t>1994-116_The_Glory_of_Nityananda-Balaram_Lecture_-_Radhanath_Swami_1994-08_IDesireTree.mp3</t>
  </si>
  <si>
    <t>1994-129_Lord_Nityananda_Prabhu%27s_Mercy_Lecture_-_Radhanath_Swami_Mumbai_1994-09-03_IDesireTree.mp3</t>
  </si>
  <si>
    <t>1995-049_Merciful_Lord_Nityananda_CC_ML_01-08_-_Radhanath_Swami_Mumbai_1995-02-13.mp3</t>
  </si>
  <si>
    <t>1996-052_Mercy_Of_Lord_Nityananda_Lecture_-_Radhanath_Swami_Mumbai_1996-03-10_IDesireTree.mp3</t>
  </si>
  <si>
    <t>1996-083_Most_Merciful-_Nitai_Gaurachandra_Lecture_-_Radhanath_Swami_Mumbai_1996-04-14_IDesireTree.mp3</t>
  </si>
  <si>
    <t>1997-045_Lord_Nityananda_Lecture_-_Radhanath_Swami_Mumbai_1997-02-20_IDesireTree.mp3</t>
  </si>
  <si>
    <t>1997-046_Nitai_Delivers_Jagai_and_Madhai_Lecture_-_Radhanath_Swami_Mumbai_1997-02-20_IDesireTree.mp3</t>
  </si>
  <si>
    <t>1998-030_Pastimes_of_Lord_Nityananda_Prabhu_Lecture_-_Radhanath_Swami_Mumbai_1998-02-09_IDesireTree.mp3</t>
  </si>
  <si>
    <t>1998-031_Pastimes_of_Lord_Nityananda_Prabhu_eve_Lecture_-_Radhanath_Swami_Mumbai_1998-02-09_IDesireTree.mp3</t>
  </si>
  <si>
    <t>2000-033_Glories_of_Lord_Nityananda_Lecture_-_Radhanath_Swami_Mumbai_2000-02-17_IDesireTree.mp3</t>
  </si>
  <si>
    <t>2003-082_Lord_Nityananda%27s_Mercy_Lecture_-_Radhanath_Swami_New_Vrindavan_2003-10-31_IDesireTree.mp3</t>
  </si>
  <si>
    <t>1990-041_Lord_Rama_BG-04_10_-_Radhanath_Swami_Mumbai_1990-04-18_IDesireTree.mp3</t>
  </si>
  <si>
    <t>1992-078_Pastimes_Of_Lord_Ramachandra_Ht_-_SB_09-11-23_-_Radhanath_Swami_Mumbai_1992-04-11_IDesireTree.mp3</t>
  </si>
  <si>
    <t>1992-137_Lord_Rama%27s_Pastimes_Lecture_-_Radhanath_Swami_Mumbai_1992-10-05_IDesireTree.mp3</t>
  </si>
  <si>
    <t>1993-036_Glories_Of_lord_Ramachandra_SB_09-10-04_-_Radhanath_Swami_Mumbai_1993-04-01_IDesireTree.mp3</t>
  </si>
  <si>
    <t>1993-037_Lord_Ramachandra%27s_Devotees_Lecture_-_Radhanath_Swami_Mumbai_1993-04-01_IDesireTree.mp3</t>
  </si>
  <si>
    <t>1993-158_Lord_Rama%27s_Pastimes_SB_09-11-20_-_Radhanath_Swami_Mumbai_1993-10-24_IDesireTree.mp3</t>
  </si>
  <si>
    <t>1995-114_Pastimes_Of_Lord_Rama_SB_09-10-23_-_Radhanath_Swami_Mumbai_1995-10-03_IDesireTree.mp3</t>
  </si>
  <si>
    <t>1996-066_Teachings_Of_Lord_Rama_Lectures_-_Radhanath_Swami_Mumbai_1996-03-30_IDesireTree.mp3</t>
  </si>
  <si>
    <t>1996-068_Pastimes_Of_Lord_Rama_SB_09-10-02_-_Radhanath_Swami_Mumbai_1996-03-29_IDesireTree.mp3</t>
  </si>
  <si>
    <t>1999-023_Lecture_Ram_Lila_-_Radhanath_Swami_Mumbai_1999-03-25_IDesireTree.mp3</t>
  </si>
  <si>
    <t>2003-069_Sri_Ramacandra_Vijayotsava_Sunday_Feast_-_Radhanath_Swami_Mumbai_2003-10-05_IDesireTree.mp3</t>
  </si>
  <si>
    <t>1989-059_True_Parented_Love_SB_07-10-18_-_Radhanath_Swami_Mumbai_1989-09-30_IDesireTree.mp3</t>
  </si>
  <si>
    <t>1989-068_God_Is_Love_Lecture_-_Radhanath_Swami_Mumbai_1989-10-15_IDesireTree.mp3</t>
  </si>
  <si>
    <t>1990-074_Perfect_Love_Lecture_-_Radhanath_Swami_Mumbai_1990-08-28_IDesireTree.mp3</t>
  </si>
  <si>
    <t>1991-023_Surrender_To_His_Love_And_Mercy_Lecture_-_Radhanath_Swami_Mumbai_1991-02-27_IDesireTree.mp3</t>
  </si>
  <si>
    <t>1991-071_Unmotivated_Love_For_God_SB_09-13-09_-_Radhanath_Swami_Mumbai_1991-05-30_IDesireTree.mp3</t>
  </si>
  <si>
    <t>1992-051_Misdirected_Love_SB_10-07-32_-_Radhanath_Swami_Mumbai_1992-04-04_IDesireTree.mp3</t>
  </si>
  <si>
    <t>1992-072_Developing_Affection_SB_10_13-31-32_-_Radhanath_Swami_Mumbai_1992-08-15_IDesireTree.mp3</t>
  </si>
  <si>
    <t>1992-102_Developing_Love_Lecture_-_Radhanath_Swami_Mumbai_1992-08-29_IDesireTree.mp3</t>
  </si>
  <si>
    <t>1992-107_Love_Of_God_Ht_-_Lecture_-_Radhanath_Swami_Palghar_1992-09-22_IDesireTree.mp3</t>
  </si>
  <si>
    <t>1992-163_Developing_Love_Lecture_-_Radhanath_Swami_Mumbai_1992-12-30_IDesireTree.mp3</t>
  </si>
  <si>
    <t>1993-020_Valentines_Day_Lecture_-_Radhanath_Swami_Mumbai_1993-02-14_IDesireTree.mp3</t>
  </si>
  <si>
    <t>1993-097_Selfless_Love_For_Others_SB_10-33-26-27_-_Radhanath_Swami_Mumbai_1993-05-24_IDesireTree.mp3</t>
  </si>
  <si>
    <t>1993-124_Showing_Love_For_Each_Other_Lecture_-_Radhanath_Swami_Mumbai_1993-06-20_IDesireTree.mp3</t>
  </si>
  <si>
    <t>1997-127_Burden_Of_Love_SB_03-03-14_-_Radhanath_Swami_Mumbai_1997-10-16_IDesireTree.mp3</t>
  </si>
  <si>
    <t>1998-075_Real_Affection_SB_03-09-42_-_Radhanath_Swami_Mumbai_1998-07-26_IDesireTree.mp3</t>
  </si>
  <si>
    <t>1999-021_Dying-_Giving_Our_Lives_for_Krishna_BG_-_Radhanath_Swami_Mumbai_1999-03-14_IDesireTree.mp3</t>
  </si>
  <si>
    <t>1999-036_Soul_Searching_For_Krsna%27s_Love_Lecture_-_Radhanath_Swami_Mumbai_1999-07-03_IDesireTree.mp3</t>
  </si>
  <si>
    <t>2002-021_Motherly_Love_Knows_No_Bounds_SB_04-09-51-52_-_Radhanath_Swami_Mumbai_2002-01-27_IDesireTree.mp3</t>
  </si>
  <si>
    <t>2002-112_We_Want_To_Welcome_That_Wealth_Of_Love_Lecture_-_Radhanath_Swami_Mumbai_2002-11-23_IDesireTree.mp3</t>
  </si>
  <si>
    <t>2002-113_Lord_Conquered_By_Devotees_Love_Lecture_-_Radhanath_Swami_Mumbai_2002-11-23_IDesireTree.mp3</t>
  </si>
  <si>
    <t>2002-116_The_Power_Of_Love_Prerna_Lecture_-_Radhanath_Swami_Mumbai_2002-11-29_IDesireTree.mp3</t>
  </si>
  <si>
    <t>2003-075_Supreme_Love_of_the_Vrajavasis_Sunday_Feast_-_Radhanath_Swami_Mumbai_2003-10-19_IDesireTree.mp3</t>
  </si>
  <si>
    <t>2003-080_The_Nature_of_Prabhupada%27s_Love_Lecture_-_Radhanath_Swami_New_Vrindavan_2003-10-29_IDesireTree.mp3</t>
  </si>
  <si>
    <t>01.Balancing_Grhastha_Life_With_Spiritual_Life_-_Mumbai_12-03-04_IDesireTree.mp3</t>
  </si>
  <si>
    <t>02.Marriage_Address_-_Krishna_Kaniya_Pr_%26_Anjali_Mataji_-_07-02-06_IDesireTree.mp3</t>
  </si>
  <si>
    <t>03.Attachment_to_Krsna_in_Marriage_Life_-_09-12-2000_Mumbai_IDesireTree.mp3</t>
  </si>
  <si>
    <t>04.Centre_Marriage_Life_Around_Krsna_-_Radhanath_Swami_Mumbai_1996-04-25_Mumbai_IDesireTree.mp3</t>
  </si>
  <si>
    <t>05.Ideal_Grhastha_Ashram_-_Radhanath_Swami_Mumbai_2005-03-28_IDesireTree.mp3</t>
  </si>
  <si>
    <t>06.Grihasta_Life_Means_Sacrifice_for_Krishna_BG-03-28_-_Colonge_24-11-00_IDesireTree.mp3</t>
  </si>
  <si>
    <t>07.Thorns_And_Pebbles_on_the_Path_of_Grhastha_Ashram_SB-05-14-18_-_01-10-05_IDesireTree.MP3</t>
  </si>
  <si>
    <t>08.SB-06-19-18_Sincere_Husband_And_Chaste_Wife_Advance_Together_-_07-10-13_IDesireTree.mp3</t>
  </si>
  <si>
    <t>09.Resolving_Conflicts_in_Grhastha_Ashram_SB-05-14-19_-_Mumbai_02-10-05_IDesireTree.MP3</t>
  </si>
  <si>
    <t>1996-017_Loving_Exchanges_Ht_-_Radhanath_Swami_Q%26A_Belgaum_1996-01-11_IDesireTree.mp3</t>
  </si>
  <si>
    <t>1991-043_Lecture_To_College_Students_Lecture_-_Radhanath_Swami_Mumbai_1991-05-04_IDesireTree.mp3</t>
  </si>
  <si>
    <t>1996-022_What_Is_Real_Education_Lecture_-_Radhanath_Swami_Mumbai_1996-01-20_IDesireTree.mp3</t>
  </si>
  <si>
    <t>1991-005_To_Be_In_The_World_But_Not_Of_It_SB_09-01-01-08_-_Radhanath_Swami_Mumbai_1991-01-26_IDesireTree.mp3</t>
  </si>
  <si>
    <t>1993-096_Worst_Prison_House_SB_02-01-09_-_Radhanath_Swami_Mumbai_1993-05-24_IDesireTree.mp3</t>
  </si>
  <si>
    <t>1993-153_We_Are_Homeless_Creature_SB-10_47_04_-_Radhanath_Swami_Mumbai_1993-10-21_IDesireTree.mp3</t>
  </si>
  <si>
    <t>1993-156_Sinking_In_Material_Ocean_SB-01_03_22_-_Radhanath_Swami_Mumbai_1993-10-23_IDesireTree.mp3</t>
  </si>
  <si>
    <t>1994-064_Material_World_On_Blazing_Fire_SB_01-03-38-39_-_Radhanath_Swami_Mumbai_1994-05-05_IDesireTree.mp3</t>
  </si>
  <si>
    <t>1994-091_Nature_Of_Material_Existence_BG_18-25_-_Radhanath_Swami_Mumbai_1994-05-14_IDesireTree.mp3</t>
  </si>
  <si>
    <t>1995-107_Materialistic_People_Material_Desire_SB_01-13-27_-_Radhanath_Swami_Mumbai_1995-09-23_IDesireTree.mp3</t>
  </si>
  <si>
    <t>1995-117_Nature_Of_Material_Pleasure_BG_02-57_-_Radhanath_Swami_Mumbai_1995-10-07_IDesireTree.mp3</t>
  </si>
  <si>
    <t>1996-104_Forest_of_Material_Enjoyment_SB_05-14-19_-_Radhanath_Swami_Mumbai_1996-06_IDesireTree.mp3</t>
  </si>
  <si>
    <t>1997-016_Materialists_are_like_Rats_SB_04-24-66_-_Radhanath_Swami_Pune_1997-01-17_IDesireTree.mp3</t>
  </si>
  <si>
    <t>1997-063_Material_Distress_BG_04-38_-_Radhanath_Swami_Mumbai_1997-04-19_IDesireTree.mp3</t>
  </si>
  <si>
    <t>1997-067_Perverted_Reflection_SB_02-09-17_-_Radhanath_Swami_Mumbai_1997-04-24_IDesireTree.mp3</t>
  </si>
  <si>
    <t>1999-037_Danger_at_Every_Step_BG_-_Radhanath_Swami_Mumbai_1999-07-04_IDesireTree.mp3</t>
  </si>
  <si>
    <t>2000-020_Futility_of_Material_Pleasure_SB_03-25-13_-_Radhanath_Swami_Mumbai_2000-02-05_IDesireTree.mp3</t>
  </si>
  <si>
    <t>1990-054_Maya_comes_in_Disguise_SB_-_Radhanath_Swami_NV_1990-06-20_IDesireTree.mp3</t>
  </si>
  <si>
    <t>1990-082_Nothing_Is_Ours_Lecture_-_Radhanath_Swami_Mumbai_1990-09-29_IDesireTree.mp3</t>
  </si>
  <si>
    <t>1991-033_The_Pitfall_Of_Maya_SB_09-06-39-46_-_Radhanath_Swami_Mumbai_1991-03-09_IDesireTree.mp3</t>
  </si>
  <si>
    <t>1991-121_Relative_Truth_Is_Maya_Lecture_-_Radhanath_Swami_Mumbai_1991-11-23_IDesireTree.mp3</t>
  </si>
  <si>
    <t>1991-123_Maya_Redefined_Lecture_-_Radhanath_Swami_Mumbai_1991-11-25_IDesireTree.mp3</t>
  </si>
  <si>
    <t>1992-049_Cutting_The_Material_Roots_SB-17_27-30_Mumbai_-_29-03-92_-_IDesireTree.mp3</t>
  </si>
  <si>
    <t>1992-087_Power_Of_Maya_SB_10-13-42_-_Radhanath_Swami_Mumbai_1992-08-24_IDesireTree.mp3</t>
  </si>
  <si>
    <t>1993-077_Tricks_of_Maya_SB_10-27-21-23_-_Radhanath_Swami_Mumbai_1993-05-04_IDesireTree.mp3</t>
  </si>
  <si>
    <t>1994-184_Go_Beyond_The_Three_Modes_BG_14-05_-_Radhanath_Swami_Mumbai_1994-10-09_IDesireTree.mp3</t>
  </si>
  <si>
    <t>1999-064_Maya_Seizes_an_Offender_SB_06-09-43_-_Radhanath_Swami_Mumbai_1999-12-27_IDesireTree.mp3</t>
  </si>
  <si>
    <t>2000-006_Beware_of_Maya%27s_Hijackers_Lecture_-_Radhanath_Swami_Mumbai_2000-01-12_IDesireTree.mp3</t>
  </si>
  <si>
    <t>1989-048_Merciful_Like_Ganga_Jamuna_SB_07-10-36-38_-_Radhanath_Swami_Mumbai_1989-09-24_IDesireTree.mp3</t>
  </si>
  <si>
    <t>1989-070_Without_Mercy_Of_Lord_We_Are_Hopeless_BG_08-15_-_Radhanath_Swami_Mumbai_1989-10-19_IDesireTree.mp3</t>
  </si>
  <si>
    <t>1991-151_Causeless_Mercy_SB_10-03-15-17_-_Radhanath_Swami_Mumbai_1991-12-26_IDesireTree.mp3</t>
  </si>
  <si>
    <t>1992-099_Without_Mercy_Nothing_Is_Possible_SB_10-14-02_-_Radhanath_Swami_Mumbai_1992-09-11_IDesireTree.mp3</t>
  </si>
  <si>
    <t>1992-118_Lord%27s_Special_Mercy_SB_10-14-08_-_Radhanath_Swami_Mumbai_1992-09-16_IDesireTree.mp3</t>
  </si>
  <si>
    <t>1993-031_Accept_Lord_Krishna%27s_Mercy_SB_10-25-11-13_-_Radhanath_Swami_Mumbai_1993-03-27_IDesireTree.mp3</t>
  </si>
  <si>
    <t>1993-115_Thank_for_Lord_Krsna%27s_Mercy_SB_01-08-38-39_-_Radhanath_Swami_Mumbai_1993-06-12_IDesireTree.mp3</t>
  </si>
  <si>
    <t>1993-143_Empowerment_Through_Mercy_SB_10-46-16_-_Radhanath_Swami_Mumbai_1993-10-05_IDesireTree.mp3</t>
  </si>
  <si>
    <t>1995-042_We_Are_Completely_Dependent_On_Your_Mercy_SB_01-08-37_-_Radhanath_Swami_Allahabad_1995-02-03.mp3</t>
  </si>
  <si>
    <t>1997-062_Ocean_of_Mercy_Lecture_-_Radhanath_Swami_Mumbai_1997-04-14_IDesireTree.mp3</t>
  </si>
  <si>
    <t>1998-037_Krishna%27s_Mercy_is_Required_SB_03-06-09_-_Radhanath_Swami_Mumbai_1998-02-15_IDesireTree.mp3</t>
  </si>
  <si>
    <t>1999-055_Lords_Mercy_to_Cross_this_Material_World_BG_07-14_-_Radhanath_Swami_Kurukshetra_1999-11-26_IDesireTree.mp3</t>
  </si>
  <si>
    <t>2000-099_Depending_Fully_upon_krsnas_Mercy_BG_03-30_-_Radhanath_Swami_Mumbai_2000-12-09_IDesireTree.mp3</t>
  </si>
  <si>
    <t>2003-026_We_should_depend_only_on_the_mercy_of_Krsna_SB_Class_-_Radhanath_Swami_Mumbai_2003-04-06_IDesireTree.mp3</t>
  </si>
  <si>
    <t>2003-047_Lord_Krishna%27s_Various_Forms_of_Mercy_SB_04-24-50_-_Radhanath_Swami_Mumbai_2003-08-17_IDesireTree.mp3</t>
  </si>
  <si>
    <t>1989-040_Stop_Trusting_Your_Mind_Lecture_-_Radhanath_Swami_Mumbai_1989-09-01_IDesireTree.mp3</t>
  </si>
  <si>
    <t>1989-060_Controlling_The_Mind_BG_06-05_-_Radhanath_Swami_Mumbai_1989-10-01_IDesireTree.mp3</t>
  </si>
  <si>
    <t>1991-115_Watch_Those_Thoughts_Of_The_Mind_SB_10-01-47_-_Radhanath_Swami_Mumbai_1991-11-02_IDesireTree.mp3</t>
  </si>
  <si>
    <t>1991-150_Mind-_Friend_And_Enemy_BG_06-26_-_Radhanath_Swami_Mumbai_1991-12-15_IDesireTree.mp3</t>
  </si>
  <si>
    <t>1996-119_Dualities_Of_Mind_SB_07-08-09_-_Radhanath_Swami_Mumbai_1996-09-10_IDesireTree.mp3</t>
  </si>
  <si>
    <t>1996-148_Make_Mind_Your_Friend_Ht_-_BG_06-05_-_Radhanath_Swami_Kolhapur_1996-10-03_IDesireTree.mp3</t>
  </si>
  <si>
    <t>1998-020_Spiritual_Life_Means_to_Control_Mind_BG_06-36_-_Radhanath_Swami_Mumbai_1998-01-27_IDesireTree.mp3</t>
  </si>
  <si>
    <t>1998-032_Training_Our_Mind_Lecture_-_Radhanath_Swami_Mumbai_1998-02-10_IDesireTree.mp3</t>
  </si>
  <si>
    <t>1998-040_Cunning_Mind_SB_05-11-17_-_Radhanath_Swami_Mumbai_1998-02-24_IDesireTree.mp3</t>
  </si>
  <si>
    <t>1998-043_Just_Neglect_Your_Mind_SB_05_-_Radhanath_Swami_Mumbai_1998-03-01_IDesireTree.mp3</t>
  </si>
  <si>
    <t>1998-054_Mind_the_Real_Cause_of_Suffering_BG_12-18-19_-_Radhanath_Swami_Mumbai_1998-03-29_IDesireTree.mp3</t>
  </si>
  <si>
    <t>1998-059_Cleansing_the_Mirror_of_Mind_SB_05-14-05_-_Radhanath_Swami_Mayapur_1998-04-12_IDesireTree.mp3</t>
  </si>
  <si>
    <t>2000-034_Real_Control_of_Mind_BG_06_-_Radhanath_Swami_Mumbai_IDesireTree.mp3</t>
  </si>
  <si>
    <t>2002-099_Converting_the_mind_SB_04-10-08_-_Radhanath_Swami_Mumbai_2002-10-01_IDesireTree.mp3</t>
  </si>
  <si>
    <t>1998-044_Overcoming_the_Three_Modes_BG_13-24_-_Radhanath_Swami_Mumbai_1998-03-03_IDesireTree.mp3</t>
  </si>
  <si>
    <t>1991-126_Nectar_Of_Instruction_NOI_01-02_-_Radhanath_Swami_Mumbai_1991-11-27_IDesireTree.mp3</t>
  </si>
  <si>
    <t>1992-128_Controlling_The_Tongue_Lecture_-_Radhanath_Swami_Mumbai_1992-11-24_IDesireTree.mp3</t>
  </si>
  <si>
    <t>1993-042_Pitfalls_on_the_path_Lecture_-_Radhanath_Swami_Mumbai_1993-04-06_IDesireTree.mp3</t>
  </si>
  <si>
    <t>1994-067_Overcoming_Difficulties_SB_07-09-43_-_Radhanath_Swami_Mumbai_1994-05-06_IDesireTree.mp3</t>
  </si>
  <si>
    <t>1994-085_Fire_Of_Tribulation_SB_10-58-05_-_Radhanath_Swami_Mumbai_1994-05-13_IDesireTree.mp3</t>
  </si>
  <si>
    <t>1997-021_Never_Expect_Any_Glory_Lecture_-_Radhanath_Swami_Mumbai_1997-01-23_IDesireTree.mp3</t>
  </si>
  <si>
    <t>1994-019_Fools_Are_Attached_To_Result_SB_06-12-07_-_Radhanath_Swami_Mumbai_1994-01-25_IDesireTree.mp3</t>
  </si>
  <si>
    <t>1997-013_Fruitive_Workers_are_Misers_Ht_-_BG_02_-_Radhanath_Swami_Mumbai_IDesireTree.mp3</t>
  </si>
  <si>
    <t>1997-040_Perform_Your_Duty_BG_03-08_-_Radhanath_Swami_Mumbai_1997-02-13_IDesireTree.mp3</t>
  </si>
  <si>
    <t>1997-060_The_Art_of_Working_Ht_-_BG_02-48-50_-_Radhanath_Swami_Mumbai_1997-04-12_IDesireTree.mp3</t>
  </si>
  <si>
    <t>2002-029_Beauty_Of_Old_Age_SB_04-09-67_-_Radhanath_Swami_Mumbai_2002-02-03_IDesireTree.mp3</t>
  </si>
  <si>
    <t>1989-073_Do_Not_Believe_In_This_World_Lecture_-_Radhanath_Swami_Mumbai_1989-10-21_IDesireTree.mp3</t>
  </si>
  <si>
    <t>1992-155_Peace_Formula_BG_05-17_-_Radhanath_Swami_Mumbai_1992-12-26_IDesireTree.mp3</t>
  </si>
  <si>
    <t>1993-074_Attaining_Peace_By_Spiritual_Quest_BG_03-12_-_Radhanath_Swami_Mumbai_1993-05-02_IDesireTree.mp3</t>
  </si>
  <si>
    <t>2002-011_Real_Solution_For_World_Peace_Juhu_Rath_Yatra_Lecture_-_Radhanath_Swami_Mumbai_2002-01-12_IDesireTree.mp3</t>
  </si>
  <si>
    <t>1991-128_Impersonalism_Lamblasted_Lecture_-_Radhanath_Swami_Mumbai_1991-11-04_IDesireTree.mp3</t>
  </si>
  <si>
    <t>1992-012_How_To_Defeat_Mayavadis_Lecture_-_Radhanath_Swami_Mumbai_1992-01-10_IDesireTree.mp3</t>
  </si>
  <si>
    <t>1993-162_Defeating_Impersonalism_CC_ML-01_-_Radhanath_Swami_Mumbai_1993-10-29_IDesireTree.mp3</t>
  </si>
  <si>
    <t>1996-049_Faults_Of_Impersonalism_Lecture_-_Radhanath_Swami_Mumbai_1996-03-06_IDesireTree.mp3</t>
  </si>
  <si>
    <t>1989-078_Self_Management_-_BG_06_-_Radhanath_Swami_Mumbai_1989-10-25_IDesireTree.mp3</t>
  </si>
  <si>
    <t>1993-038_The_Art_Of_Living_SB_09-10-08_-_Radhanath_Swami_Mumbai_1993-04-02_IDesireTree.mp3</t>
  </si>
  <si>
    <t>1993-180_Most_Of_Us_Are_Uncivilized_SB_01-05-12_-_Radhanath_Swami_Mumbai_1993-12-12_IDesireTree.mp3</t>
  </si>
  <si>
    <t>1991-019_Being_Pious_BG-07-28_-_Radhnath_Swami_Mumbai_1991-02-13_IDesireTree.mp3</t>
  </si>
  <si>
    <t>1991-045_Being_Pious_BG_07-28_-_Radhnath_Swami_Mumbai_1991-05-10_IDesireTree.mp3</t>
  </si>
  <si>
    <t>1992-034_Prayers_By_Advaita_Acharya_CC_AL-02_-_Radhnath_Swami_Mumbai_1992-02-20_IDesireTree.mp3</t>
  </si>
  <si>
    <t>1992-139_Prayers_Of_Vaishnavas_Never_Go_In_Vain_SB_10_16_60-64_-_Radhnath_Swami_Mumbai_1992-12-12_IDesireTree.mp3</t>
  </si>
  <si>
    <t>1998-045_Praying-_The_Way_Lord_Brahma_Did_SB-03_09_40_-_Radhnath_Swami_Mumbai_1998-03-04_DesireTree.mp3</t>
  </si>
  <si>
    <t>2000-083_Lalashmayi_Prarthana-_I_Sun_Feast_-_Radhnath_Swami_Mumbai_2000-10-29-IDesireTree.mp3</t>
  </si>
  <si>
    <t>2000-084_Lalashmayi_Prarthana-_II_Sun_Feast_-_Radhnath_Swami_Mumbai_1992-10-29_IDesireTree.mp3</t>
  </si>
  <si>
    <t>1991-160_Philosophy_First-_Pastimes_Later_-_Radhanath_Swami_Mumbai_1991-12-30_IDesireTree.mp3</t>
  </si>
  <si>
    <t>1992-012_How_To_Defeat_Mayavadis_-_Radhanath_Swami_Mumbai_1992-01-10_IDesireTree.mp3</t>
  </si>
  <si>
    <t>1993-040_Power_Of_Preacher_BG-04_15_-_Radhanath_Swami_Mumbai_1993-04-04_IDesireTree.mp3</t>
  </si>
  <si>
    <t>1993-069_Attracting_Our_Youth_Lecture_-_Radhanath_Swami_Mumbai_1993-04-29_IDesireTree.mp3</t>
  </si>
  <si>
    <t>1993-159_The_Greatest_Preaching_-_Radhanath_Swami_Mumbai_1993-10-25_IDesireTree.mp3</t>
  </si>
  <si>
    <t>1995-014_Talk_With_J_J_Medical_Students_-_Radhanath_Swami_Mumbai_1995-01-11.mp3</t>
  </si>
  <si>
    <t>1998-092_Preach_Only_When_You_Receive_the_Order_-_Radhanath_Swami_Mumbai_1997-09-28_IDesireTree.mp3</t>
  </si>
  <si>
    <t>1995-007_Arrival_Lecture_Lecture_-_Radhanath_Swami_Mumbai_1995-01-06.mp3</t>
  </si>
  <si>
    <t>1995-008_Centennial_Address_Lecture_-_Radhanath_Swami_Mumbai_1995-01-06_95.mp3</t>
  </si>
  <si>
    <t>1995-022_Arrival_Address_Ht_-_Lecture_-_Radhanath_Swami_Belgaum_1995-01-15.mp3</t>
  </si>
  <si>
    <t>1995-056_Lecture_To_Students_BG-04_23_-_Radhanath_Swami_Mumbai_1995-03-09.mp3</t>
  </si>
  <si>
    <t>1995-079_Arrival_Lecture_-_Radhanath_Swami_Mumbai_1995-08-09_IDesireTree.mp3</t>
  </si>
  <si>
    <t>1995-131_Arrival_Lecture__Radhanath_Swami_Mumbai_1995-12-16_IDesireTree.mp3</t>
  </si>
  <si>
    <t>1996-004_Arrival_Lecture_-_Radhanath_Swami_Pune_1996-01-03.mp3</t>
  </si>
  <si>
    <t>1996-027_Arrival_Lecture_-_Radhanath_Swami_Pune_1996-01-25_IDesireTree.mp3</t>
  </si>
  <si>
    <t>1996-030_Departure_Lecture_-_Radhanath_Swami_Pune_1996-01-27_IDesireTree.mp3</t>
  </si>
  <si>
    <t>1996-146_Arrival_Lecture_-_Radhanath_Swami_Belgaum_1996-09-30_IDesireTree.mp3</t>
  </si>
  <si>
    <t>1996-169_Departure_Meeting_-_Radhanath_Swami_Mumbai_1996-11-04_IDesireTree.mp3</t>
  </si>
  <si>
    <t>1996-171_Arrival_Lecture_SB-02_06_35_-_Radhanath_Swami_Mumbai_1996-12-19_IDesireTree.mp3</t>
  </si>
  <si>
    <t>1997-027_Arrival_Lecture_-_Radhanath_Swami_Pune_1997-30-01_IDesireTree.mp3</t>
  </si>
  <si>
    <t>1997-030_Departure_Lecture_-_Radhanath_Swami_Pune_1997-02-02_IDesireTree.mp3</t>
  </si>
  <si>
    <t>1997-069_Bangalore_Temple_Opening_Lecture_-_Radhanath_Swami_Bangalore_1997-04-30_IDesireTree.mp3</t>
  </si>
  <si>
    <t>1997-086__Lecture_Bhaktivedanta_Manor_-_Radhanath_Swami_London_1997-08-12_IDesireTree.mp3</t>
  </si>
  <si>
    <t>1997-110_Message_To_The_Congregation_Devotees_Lecture_-_Radhanath_Swami_Mumbai_1997-09-27_IDesireTree.mp3</t>
  </si>
  <si>
    <t>1998-009_Arrival_Address_Lecture_-_Radhanath_Swami_Pune_1998-01-23_IDesireTree.mp3</t>
  </si>
  <si>
    <t>1998-083_Arrival_Address_Lecture_-_Radhanath_Swami_Mumbai_1998-09-18_IDesireTree.mp3</t>
  </si>
  <si>
    <t>2000-028_Arrival_Address_Lecture_-_Radhanath_Swami_Pune_2000-02-10_IDesireTree.mp3</t>
  </si>
  <si>
    <t>2000-040_Condolence_Message_Mrs_Dalal_Lecture_-_Radhanath_Swami_Mumbai_2000-03-16_IDesireTree.mp3</t>
  </si>
  <si>
    <t>2001-047_Arrival_Lec_Lecture_-_Radhanath_Swami_Mumbai_2001-10-31_IDesireTree.mp3</t>
  </si>
  <si>
    <t>2002-100_Arrival_Address_Lecture_-_Radhanath_Swami_Mumbai_2002-10-02_IDesireTree.mp3</t>
  </si>
  <si>
    <t>1993-017_To_Purify_Our_Heart_SB-01_02_08_-_Radhanath_Swami_Mumbai_1993-01-17_IDesireTree.mp3</t>
  </si>
  <si>
    <t>1993-051_Purification_Means_SB-10_26_13_-_Radhanath_Swami_Mumbai_1993-04-13_IDesireTree.mp3</t>
  </si>
  <si>
    <t>1993-062_Prestige_To_Be_Purified_SB-10_27_01_-_Radhanath_Swami_Mumbai_1993-04-20_IDesireTree.mp3</t>
  </si>
  <si>
    <t>1993-065_Purifying_Ourselves_Lecture_-_Radhanath_Swami_Mumbai_1993-04-23_IDesireTree.mp3</t>
  </si>
  <si>
    <t>1994-119_First_Purify_Ourselves_Lecture_-_Radhanath_Swami_Mumbai_1994-08-28_IDesireTree.mp3</t>
  </si>
  <si>
    <t>1996-075_Purify_Our_Heart_BG-03_20_-_Radhanath_Swami_Pune_1996-04-09_IDesireTree.mp3</t>
  </si>
  <si>
    <t>2001-072_Getting_Purified_On_New_Years_Eve_Lecture_-_Radhanath_Swami_Mumbai_2001-12-31_IDesireTree.mp3</t>
  </si>
  <si>
    <t>2003-004_Surpassing_Material_Conditioning_Sunday_feast_-_Radhanath_Swami_Pune_2003-01-05_IDesireTree.mp3</t>
  </si>
  <si>
    <t>1989-075_Spiritual_Life_Means_To_Give_Q%26A_-_Radhanath_Swami_Mumbai1989-10-30_IDesireTree.mp3</t>
  </si>
  <si>
    <t>1990-045_Transcendental_Q%26A_-_Radhanath_Swami_Mumbai_1990-04-26_IDesireTree.mp3</t>
  </si>
  <si>
    <t>1990-094_Questions_And_Answers_Lecture_-_Radhanath_Swami_Mumbai_1990-10-19_IDesireTree.mp3</t>
  </si>
  <si>
    <t>1991-028_Questions_And_Answers_Lecture_-_Radhanath_Swami_Pune_1991-03-02_IDesireTree.mp3</t>
  </si>
  <si>
    <t>1991-064_Questions_And_Answers_Q%26A_-_Radhanath_Swami_Mumbai_1991-06-08_IDesireTree.mp3</t>
  </si>
  <si>
    <t>1992-006_Questions_And_Answers_Q%26A_-_Radhanath_Swami_Pune_1992-01-05_IDesireTree.mp3</t>
  </si>
  <si>
    <t>1992-035_Questions_And_Answer_Q%26A_-_Radhanath_Swami_Mumbai_1992-02-01_IDesireTree.mp3</t>
  </si>
  <si>
    <t>1993-114_Question_%26_Answers_Q%26A_-_Radhanath_Swami_Mumbai_1993-06-11_IDesireTree.mp3</t>
  </si>
  <si>
    <t>1993-171_Question_And_Answer_Q%26A_-_Radhanath_Swami_Mumbai_1993-12-02_IDesireTree.mp3</t>
  </si>
  <si>
    <t>1994-002_Question_And_Answer_Q%26A%20_-_Radhanath_Swami_Mayapur_1994-01-02_IDesireTree.mp3</t>
  </si>
  <si>
    <t>1994-010_Question_And_Answer_Q%26A_-_Radhanath_Swami_Mumbai_1994-01-16_IDesireTree.mp3</t>
  </si>
  <si>
    <t>1994-018_Questions_And_Answers_Q%26A_-_Radhanath_Swami_Pune_1994-01-21_IDesireTree.mp3</t>
  </si>
  <si>
    <t>1994-045_Question_And_Answer_Q%26A_-_Radhanath_Swami_Mumbai_1994-02-25_IDesireTree.mp3</t>
  </si>
  <si>
    <t>1994-088_Question_And_Answer_Q%26A_-_Radhanath_Swami_Mumbai_1994-05-13_IDesireTree.mp3</t>
  </si>
  <si>
    <t>1994-204_Question_And_Answer_Q%26A_-_Radhanath_Swami_Mumbai_1994-10-21_IDesireTree.mp3</t>
  </si>
  <si>
    <t>1995-019_Question_%26_Answere_Q_%26_A_-_Radhanath_Swami_Pune_1995-01-13_IDesireTree.mp3</t>
  </si>
  <si>
    <t>1995-036_Question_%26_Answer_Q%26A_-_Radhanath_Swami_Pune_1995-01-27_IDesireTree.mp3</t>
  </si>
  <si>
    <t>1995-077_Question_And_Answer_Q%26A_-_Radhanath_Swami_Massorie_1995-04-06_IDesireTree.mp3</t>
  </si>
  <si>
    <t>1995-110_Question_And_Answers_Q%26A_-_Radhanath_Swami_Mumbai_1995-09-30_IDesireTree.mp3</t>
  </si>
  <si>
    <t>1995-125_Question_And_Answers_Q%26A_-_Radhanath_Swami_Jaipur_1995-10-24_IDesireTree.mp3</t>
  </si>
  <si>
    <t>1996-028_Question_And_Answer_Q%26A_-_Radhanath_Swami_Pune_1996-01-25_IDesireTree.mp3</t>
  </si>
  <si>
    <t>1996-096_Question_And_Answer_Q%26A_-_Radhanath_Swami_Mumbai_1996-04-24_IDesireTree.mp3</t>
  </si>
  <si>
    <t>1997-029_Question_And_Answer_Q%26A_-_Radhanath_Swami_Pune_1997-02-02_IDesireTree.mp3</t>
  </si>
  <si>
    <t>1998-010_Questions_%26_Answers_Q%26A_-_Radhanath_Swami_Pune_1998-01-23_IDesireTree.mp3</t>
  </si>
  <si>
    <t>1999-014_Questions_%26_Answers_Q%26A_-_Radhanath_Swami_Pune_1999-02-27_IDesireTree.mp3</t>
  </si>
  <si>
    <t>2000-009_Questions_%26_Answers_Q%26A_-_Radhanath_Swami_Udipi_2000-01-18_IDesireTree.mp3</t>
  </si>
  <si>
    <t>2000-031_Questions_%26_Answers-_I_Q%26A_-_Radhanath_Swami_Pune_2000-02-13_Part_1_IDesireTree.mp3</t>
  </si>
  <si>
    <t>2000-032_Questions_%26_Answers_Q%26A_-_Radhanath_Swami_Pune_2000-02-13_Part_2_IDesireTree.mp3</t>
  </si>
  <si>
    <t>2000-038_Questions_%26_Answers_Q%26A_-_Radhanath_Swami_Mumbai_2000-03-05_IDesireTree.mp3</t>
  </si>
  <si>
    <t>2002-017_Q_and_A_With_Belgaum_Devotees_Q%26A_-_Radhanath_Swami_Belgaum_2002-01-21_IDesireTree.mp3</t>
  </si>
  <si>
    <t>2003-029_Perfect_Questions_Perfect_Answers_Lecture_-_Radhanath_Swami_Mumbai_1993-04-08_IDesireTree.mp3</t>
  </si>
  <si>
    <t>1993-150_Supreme_Morality_Of_Gopis_SB-10_46_04-06_-_Radhanath_Swami_Mumbai_1993-10-17_IDesireTree.mp3</t>
  </si>
  <si>
    <t>1993-164_Renunciation_Of_The_Gopies_Lecture_-_Radhanath_Swami_Mumbai_1993-10-30_IDesireTree.mp3</t>
  </si>
  <si>
    <t>1993-166_Learning_Through_The_Gopies_SB-10_47_38-39_-_Radhanath_Swami_Mumbai_1993-10-31_IDesireTree.mp3</t>
  </si>
  <si>
    <t>1995-103_Gopis_Are_Supreme_Devotees_BG-12_20_-_Radhanath_Swami_Mumbai_1995-09-03_IDesireTree.mp3</t>
  </si>
  <si>
    <t>1994-146_Glories_Of_Radharani_Lecture_-_Radhanath_Swami_Mumbai_1994-09-12_IDesireTree.mp3</t>
  </si>
  <si>
    <t>1996-134_Radhastami_Lecture_-_Radhanath_Swami_Mumbai_1996-09-20_IDesireTree.mp3</t>
  </si>
  <si>
    <t>1991-050_Real_Vrindavan_SB-09_11_19_-_Radhanath_Swami_Mumbai_1991-05-21_IDesireTree.mp3</t>
  </si>
  <si>
    <t>1991-078_Perceiving_Vrindavan_Lecture_-_Radhanath_Swami_Mumbai_1991-10-14_IDesireTree.mp3</t>
  </si>
  <si>
    <t>1992-019_The_Rasas_In_Goloka_CC-01_02_-_Radhanath_Swami_Mumbai_1992-01-30_IDesireTree.mp3</t>
  </si>
  <si>
    <t>1992-147_Vrajabasi_Spirits_SB-10_18_01-07_-_Radhanath_Swami_Mumbai_1992-12-20_IDesireTree.mp3</t>
  </si>
  <si>
    <t>1993-046_Lord_Balaram_visit_vrindavan_SB_class_-_Radhanath_Swami_Mumbai_1993-04-10_IDesireTree.mp3</t>
  </si>
  <si>
    <t>1997-018_Love_of_Brajbasis_SB-02_07_27_-_Radhanath_Swami_Khandala_1997-01-18_IDesireTree.mp3</t>
  </si>
  <si>
    <t>1989-030_The_Meaning_Of_Religion_BG-04_07-09_-_Radhanath_Swami_Mumbai_1989-08-22_IDesireTree.mp3</t>
  </si>
  <si>
    <t>1989-069_Bhagavad_Gita_Rejects_Piety_BG-02_45_-_Radhanath_Swami_Mumbai_1989-10-18_IDesireTree.mp3</t>
  </si>
  <si>
    <t>1991-027_True_Principles_Of_Religion_Lecture_-_Radhanath_Swami_Mumbai_1991-03-02_IDesireTree.mp3</t>
  </si>
  <si>
    <t>1991-077_Brahman_By_Quality_And_Not_By_Birth_SB-10_01_13_-_Radhanath_Swami_Mumbai_1991-10-14_IDesireTree.mp3</t>
  </si>
  <si>
    <t>1991-139_Pondering_About_Dharma_Lecture_-_Radhanath_Swami_Mumbai_1991-12-01_IDesireTree.mp3</t>
  </si>
  <si>
    <t>1991-146_Kaitava_Dharma_Lecture_-_Radhanath_Swami_Mumbai_1991-12-13_IDesireTree.mp3</t>
  </si>
  <si>
    <t>1994-212_Protector_Of_Real_Religion_BG-04_3_-_Radhanath_Swami_Mumbai_1994-12-22_IDesireTree.mp3</t>
  </si>
  <si>
    <t>1995-055_Real_Religion_Krishna_Consciouness_SB-01_08_35_-_Radhanath_Swami_Mumbai_1995-03-09.mp3</t>
  </si>
  <si>
    <t>1996-041_Four_Principle_of_Religion_SB-01_17_25_-_Radhanath_Swami_Mumbai_1996-02-29_IDesireTree.mp3</t>
  </si>
  <si>
    <t>1989-052_Real_Opulence_Is_Renunciation_SB-07_11_16_-_Radhanath_Swami_Mumbai_1989-09-26_IDesireTree.mp3</t>
  </si>
  <si>
    <t>1990-004_Perfection_Of_Renunciation_BG-18_46_-_Radhanath_Swami_Mumbai_1990-01-07_IDesireTree.mp3</t>
  </si>
  <si>
    <t>1990-031_The_Real_Vairagya_SB-07_14_46_-_Radhanath_Swami_Mumbai_1990-03-21_IDesireTree.mp3</t>
  </si>
  <si>
    <t>1991-013_Perfect_Renunciation_SB-09_04_27_-_Radhanath_Swami_Mumbai_1991-02-05_IDesireTree.mp3</t>
  </si>
  <si>
    <t>1991-030_Renunciation_is_to_give_SB-09_05_26_-_Radhanath_Swami_Mumbai_1991-03-06_IDesireTree.mp3</t>
  </si>
  <si>
    <t>1992-141_What_Do_You_have_To_Renounce_SB-10_16_65-67_-_Radhanath_Swami_Mumbai_1992-12-13_IDesireTree.mp3</t>
  </si>
  <si>
    <t>1993-057_To_Be_Detached_SB-03_29_70-11_-_Radhanath_Swami_Mumbai_1993-04-17_IDesireTree.mp3</t>
  </si>
  <si>
    <t>1993-091_Knowledge_And_Renunciation_SB-03_27_21_-_Radhanath_Swami_Mumbai_1993-05-21_IDesireTree.mp3</t>
  </si>
  <si>
    <t>1993-098_Nothing_Is_Ours_BG-02_24_-_Radhanath_Swami_Mumbai_1993-05-25_IDesireTree.mp3</t>
  </si>
  <si>
    <t>1993-100_Highest_Form_Of_Renunciation_SB-10_29_14_-_Radhanath_Swami_Mumbai_1993-05-27_IDesireTree.mp3</t>
  </si>
  <si>
    <t>1993-164_Renunciation_Of_The_Gopies_Lecture_Mumbai_1993-10-30_IDesireTree.mp3</t>
  </si>
  <si>
    <t>1993-193_Essence_Of_True_Renunciation_BG-18_01_-_Radhanath_Swami_Mayapur_1993-12-28IDesireTree.mp3</t>
  </si>
  <si>
    <t>1994-145_Renunciation_Of_Sukhdev_Goswami_SB-01_04_05%20_-_Radhanath_Swami_Mumbai_1994-09-11_IDesireTree.mp3</t>
  </si>
  <si>
    <t>1998-074_What_is_Real_Renunciation_Lecture_-_Radhanath_Swami_Mumbai1998-07-21_IDesireTree.mp3</t>
  </si>
  <si>
    <t>1993-129_Responsibility_Of_Human_Life_SB-03_25_13_-_Radhanath_Swami_1993-9-24_IDesireTree.mp3</t>
  </si>
  <si>
    <t>1993-152_Dutiful_People_BG-03_22_-_Radhanath_Swami_Mumbai_1993-10-18_IDesireTree.mp3</t>
  </si>
  <si>
    <t>1997-052_What_Is_Responsibility_SB-02_08_21_-_Radhanath_Swami_Mumbai_1997-03-13_IDesireTree.mp3</t>
  </si>
  <si>
    <t>1999-032_Every_Power_Brings_Tremendous_Responsibilities_SB-04_04_27_Mumbai_-_20-06-99_IDesireTree.mp3</t>
  </si>
  <si>
    <t>2002-048_Devotee_Should_Be_Duty_Bound_SB-04_12_16_-_Radhanath_Swami_Mumbai_2002-04-07_IDesireTree.mp3</t>
  </si>
  <si>
    <t>1992-031_Sacrifice_CC_AL-02_-_Radhanath_Swami_Mumbai_1992-02-17_IDesireTree.mp3</t>
  </si>
  <si>
    <t>1992-121_Real_Sacrifice_SB-10_40_06-12_-_Radhanath_Swami_Mumbai_1992-10-04_IDesireTree.mp3</t>
  </si>
  <si>
    <t>1994-041_Pleasing_Guru_By_Sacrifice_SB-03_28_17_-_Radhanath_Swami_Mumbai_1994-02-22_IDesireTree.mp3</t>
  </si>
  <si>
    <t>2002-110_Sacrifice_For_The_Welfare_Of_Others_SB-02_06_28_-_Radhanath_Swami_Mumbai_2002-10-24_IDesireTree.mp3</t>
  </si>
  <si>
    <t>1991-076_What_Is_Sadhu_SB-05_01_17_-_Radhanath_Swami_Mumbai_1991-10-13_IDesireTree.mp3</t>
  </si>
  <si>
    <t>1991-092_Quality_Of_A_Mahatma_BG-09_14_-_Radhanath_Swami_Mumbai_1991-10-20_IDesireTree.mp3</t>
  </si>
  <si>
    <t>1992-046_A_Moment%27s_Association_SB-07_13_42_-_Radhanath_Swami_Mumbai_1992-03-27_IDesireTree.mp3</t>
  </si>
  <si>
    <t>2001-040_Saniyas_Initiation_Lecture_-_Radhanath_Swami_Moscow_2001-08-04_IDesireTree.mp3</t>
  </si>
  <si>
    <t>1989-086_Evolution_SB-07_13_25_-_Radhanath_Swami_Mumbai_1989-12-28_IDesireTree.mp3</t>
  </si>
  <si>
    <t>1996-003_Science_And_Spirituality_Lecture_-_Radhanath_Swami_Pune_2001-02-01.mp3</t>
  </si>
  <si>
    <t>1989-021_Honesty_Among_Thieves_Lecture_-_Radhanath_Swami_Mumbai_1989-07-23_IDesireTree.mp3</t>
  </si>
  <si>
    <t>1994-108_Uncovering_The_Soul_SB-01_03_31_-_Radhanath_Swami_Mumbai_1994-08-24_IDesireTree.mp3</t>
  </si>
  <si>
    <t>1997-042_Realise_Your_Identity_Ht_-_BG-05-12_-_Radhanath_Swami_Mumbai_1997-02-15_IDesireTree.mp3</t>
  </si>
  <si>
    <t>1997-119_Identify_Yourself_Properly_SB-04-29-60_-_Radhanath_Swami_Pune_-_07-10-97_IDesireTree.mp3</t>
  </si>
  <si>
    <t>1998-096_Identify_Yourself_Properly_SB-03-02-29_-_Radhanath_Swami_Mumbai_1997-10-07_IDesireTree.mp3</t>
  </si>
  <si>
    <t>2001-023_Durlabha_Manav_Janma_Lecture_-_Radhanath_Swami_Mumbai_2001-04-22_IDesireTree.mp3</t>
  </si>
  <si>
    <t>2003-020_Deeply_Value_the_Rare_Human_Life_Lecture_-_Radhanath_Swami_Mumbai_2003-03-23_IDesireTree.mp3</t>
  </si>
  <si>
    <t>1989-078_Self_Management_-_BG-06_06_-_Radhanath_Swami_Mumbai_1989-10-25_IDesireTree.mp3</t>
  </si>
  <si>
    <t>1989-083_Krishnizing_The_Senses_BG-10_36_-_Radhanath_Swami_Mumbai_1989-12-26_IDesireTree.mp3</t>
  </si>
  <si>
    <t>1992-013_Controlling_Senses_Lectire_-_Radhanath_Swami_Mumbai_1992-01-11_IDesireTree.mp3</t>
  </si>
  <si>
    <t>1993-049_Between_Senses_And_Soul_BG-13_29_-_Radhanath_Swami_Mumbai_1993-04-11_IDesireTree.mp3</t>
  </si>
  <si>
    <t>1993-147_Controlling_Senses_Through_Service_SB-10_46_30-31_-_Radhanath_Swami_Mumbai_1993-10-11_IDesireTree.mp3</t>
  </si>
  <si>
    <t>1998-025_Tapasya-_Purpose_of_Human_Existence_SB-03_09_17_-_Radhanath_Swami_Mumbai_1998-02-04_IDesireTree.mp3</t>
  </si>
  <si>
    <t>1998-051_Senses_Make_us_Miserable_SB-03_07_-_Radhanath_Swami_Mumbai_1998-03-22_IDesireTree.mp3</t>
  </si>
  <si>
    <t>1991-103_Attachment_For_Sense_Enjoyment_SB-10_01_35_-_Radhanath_Swami_Mumbai_1991-10-28_IDesireTree.mp3</t>
  </si>
  <si>
    <t>1990-081_Seperation_BG-02_66_-_Radhanath_Swami_Mumbai_1990-09-17_IDesireTree.mp3</t>
  </si>
  <si>
    <t>1989-047_Servant_Of_Krishna_BG-02_44_-_Radhanath_Swami_Mumbai_1989-09-24_IDesireTree.mp3</t>
  </si>
  <si>
    <t>1989-089_No_Realization_Without_Service_BG-09_14_-_Radhanath_Swami_Mumbai_1989-12-30_IDesireTree.mp3</t>
  </si>
  <si>
    <t>1990-001_Servant_Of_Servant_Lecture_-_Radhanath_Swami_Mumbai_1990-01-02_IDesireTree.mp3</t>
  </si>
  <si>
    <t>1990-005_A_Leaf_a_Flower_A_fruit_-_Radhanath_Swami_IDesireTree.mp3</t>
  </si>
  <si>
    <t>1990-079_Comitting_To_This_Great_Mission_SB-08_07_24_-_Radhanath_Swami_Mumbai_1990-09-05_IDesireTree.mp3</t>
  </si>
  <si>
    <t>1990-096_Aspiring_For_Nothing_But_Service_BG-10_01_-_Radhanath_Swami_Mumbai_1990-10-21_IDesireTree.mp3</t>
  </si>
  <si>
    <t>1991-011_Being_A_Humble_Servant_SB-09_04_24_-_Radhanath_Swami_Mumbai_1991-02-01_IDesireTree.mp3</t>
  </si>
  <si>
    <t>1992-027_No_Expectation_In_Service_SB-10_05_01-02_-_Radhanath_Swami_Mumbai_1992-02-14_IDesireTree.mp3</t>
  </si>
  <si>
    <t>1992-044_Becoming_Servant_Of_Servant_SB-01_02_16_-_Radhanath_Swami_Mumbai1992-03-15_IDesireTree.mp3</t>
  </si>
  <si>
    <t>1992-080_Importance_Of_Serving_Devotees_Lecture_-_Radhanath_Swami_Mumbai_1992-08-30_IDesireTree.mp3</t>
  </si>
  <si>
    <t>1992-115_Humble_Servant_Attitude_SB-10_14_56_-_Radhanath_Swami_Mumbai_1992-09-04_IDesireTree.mp3</t>
  </si>
  <si>
    <t>1993-022_Humble_Service_Attitude_SB-03_15_33_-_Radhanath_Swami_Vrindavan_1993-03-19_IDesireTree.mp3</t>
  </si>
  <si>
    <t>1994-020_Even_Krishna_Aspires_To_Be_Servant_Lecture_-_Radhanath_Swami_Mumbai_1994-01-30_IDesireTree.mp3</t>
  </si>
  <si>
    <t>1994-210_Serve_Without_Expectation_BG-02_49_-_Radhanath_Swami_Mumbai_1994-12-20_IDesireTree.mp3</t>
  </si>
  <si>
    <t>1995-039_Servant_Of_Servant_SB-09_04_63_-_Radhanath_Swami_Pune_2001-01-29_IDesireTree.mp3</t>
  </si>
  <si>
    <t>1995-108_Aspiring_For_Service_BG-02-52_-_Radhanath_Swami_Mumbai_1995-09-24_IDesireTree.mp3</t>
  </si>
  <si>
    <t>1997-032_What_Is_Service_SB-02_07_42_-_Radhanath_Swami_Mumbai_1997-02-08_IDesireTree.mp3</t>
  </si>
  <si>
    <t>1997-043_Acharyas_Emphasise_Service_SB-02_07_50_-_Radhanath_Swami_Mumbai_1997-02-16_IDesireTree.mp3</t>
  </si>
  <si>
    <t>1997-140_Becoming_Servant_of_the_Servant_SB-03_04_18_-_Radhanath_Swami_Mumbai_1997-11-18_IDesireTree.mp3</t>
  </si>
  <si>
    <t>1998-038_Put_Your_Heart_in_Doing_Service_BG-09_13_-_Radhanath_Swami_Mumbai_1998-02-15_IDesireTree.mp3</t>
  </si>
  <si>
    <t>1998-057_To_Live_Without_Service_is_Impossible_Lecture_-_Radhanath_Swami_Mumbai_1998-04-03_IDesireTree.mp3</t>
  </si>
  <si>
    <t>1998-062_Sincere_Desire_to_Serve_-_Please_Krishna__-_Radhanath_Swami_1998-05-05_IDesireTree.mp3</t>
  </si>
  <si>
    <t>2002-006_Nature_of_spiritual_Anxiety_SB_04_09_22_-_Radhanath_Swami_Mumbai_2002-01-06_IDesireTree.mp3</t>
  </si>
  <si>
    <t>1992-048_Making_Life_Simple_BG-08_15_-_Radhanath_Swami_Mumbai_1992-03-28_IDesireTree.mp3</t>
  </si>
  <si>
    <t>1998-100_Becoming_Expert_With_Simplicity_SB-10_04_05_-_Radhanath_Swami_Mumbai_1998-11-05_IDesireTree.mp3</t>
  </si>
  <si>
    <t>1997-087_Becoming_Sincere_SB_03-01-40_-_Radhanath_Swami_Mumbai_1997-08-23_IDesireTree.mp3</t>
  </si>
  <si>
    <t>1989-012_The_Correct_Anchorage_BG-08_28_-_Radhanath_Swami_Mumbai_1989-07-09_IDesireTree.mp3</t>
  </si>
  <si>
    <t>1994-155_Think_Of_Krishna_BG-07_01_-_Radhanath_Swami_Mumbai_1994-20-09-94_IDesireTree.mp3</t>
  </si>
  <si>
    <t>1989-001_India-_The_Land_Of_Dharma_Lecture_-_Radhanath_Swami_Mumbai_1989-01-13_IDesireTree.mp3</t>
  </si>
  <si>
    <t>1989-024_Responsible_Citizens_Lecture_-_Radhanath_Swami_Mumbai_1989-07-31_IDesireTree.mp3</t>
  </si>
  <si>
    <t>1991-032_What_Is_Civilisation_BG_04-09_-_Radhanath_Swami_Mumbai_1991-03-09_IDesireTree.mp3</t>
  </si>
  <si>
    <t>1991-047_Bandaged_Society_SB_05-12-02_-_Radhanath_Swami_Mumbai_1991-05-12_IDesireTree.mp3</t>
  </si>
  <si>
    <t>1991-091_Harmony_With_Mother_Earth_SB-10_01_17_-_Radhanath_Swami_Mumbai_1991-10-18_IDesireTree.mp3</t>
  </si>
  <si>
    <t>1991-145_The_Duty_Of_Indians_SB-10-02-19_-_Radhanath_Swami_Mumbai_1991-11-28_IDesireTree.mp3</t>
  </si>
  <si>
    <t>1992-156_Living_In_Harmony_With_Nature_SB-10-20-1-5_-_Radhanath_Swami_Mumbai_1992-12-27_IDesireTree.mp3</t>
  </si>
  <si>
    <t>1993-086_Crazy_Human_Society_SB_01-03-39_-_Radhanath_Swami_Mumbai_1993-09-05-93_IDesireTree.mp3</t>
  </si>
  <si>
    <t>1994-205_What_Is_Civilization_SB-01-05-16_Mumbai_-_22-10-94_IDesireTree.mp3</t>
  </si>
  <si>
    <t>1996-168_Precarious_Condition_Of_Indians_SB_02-05-15_Mumbai_-_03-11-96_IDesireTree.mp3</t>
  </si>
  <si>
    <t>1997-113_Preparing_For_The_21_Century_Lecture_-_Radhanath_Swami_Mumbai_1997-10-02_IDesireTree.mp3</t>
  </si>
  <si>
    <t>1998-097_Complexity_of_Modern_Civilization_Lecture_Pune_1998-10-07_IDesireTree.mp3</t>
  </si>
  <si>
    <t>2000-016_LNHO-A_Real_Example_of_True_Indians_Lecture_-_Radhanath_Swami_Mumbai_2000-01-26_IDesireTree.mp3</t>
  </si>
  <si>
    <t>2002-013_Preaching_History_of_Russia_Lecture_-_Radhanath_Swami_Mumbai_2002-01-13_IDesireTree.mp3</t>
  </si>
  <si>
    <t>2003-001_What_Exactly_is_Non_Violence_SB_02-07-37_-_Radhanath_Swami_Mumbai_2003-01-02_IDesireTree.mp3</t>
  </si>
  <si>
    <t>1989-044_Obey_Your_Spiritual_Master_Q%26A_-_Radhanath_Swami_Mumbai_1989-09-22_IDesireTree.mp3</t>
  </si>
  <si>
    <t>1990-063_Beg_For_Guru_Maharaj_SB_08-06-26-28_Mumbai_1990-08-16_IDesireTree.mp3</t>
  </si>
  <si>
    <t>1991-022_Pleasing_The_Spiritual_Master_BG_01-29_Mumbai_1991-02-24_IDesireTree.mp3</t>
  </si>
  <si>
    <t>1991-113_Under_One_Master_Lecture_-_Radhanath_Swami_Mumbai_1991-11-01_IDesireTree.mp3</t>
  </si>
  <si>
    <t>1991-114_Oneness_In_Guru_Lecture_-_Radhanath_Swami_Mumbai_1991-11-02_IDesireTree.mp3</t>
  </si>
  <si>
    <t>1991-141_Approaching_The_Guru_Lecture_-_Radhanath_Swami_Mumbai_1991-12-02_IDesireTree.mp3</t>
  </si>
  <si>
    <t>1992-066_Submissive_Approach_To_Guru_BG_02-45_-_Radhanath_Swami_1992-06-09_IDesireTree.mp3</t>
  </si>
  <si>
    <t>1992-086_Spiritual_Chastisement_BG_02-11_-_Radhanath_Swami_Mumbai_1992-08-23_IDesireTree.mp3</t>
  </si>
  <si>
    <t>1990-095_Spiritual_Life_-_As_It_Is_SB_08-10-01-06_-_Radhanath_Swami_Mumbai_1990-10-20_IDesireTree.mp3</t>
  </si>
  <si>
    <t>1991-015_Eternal_Joy_Of_Soul_SB_09-04-46-47_-_Radhanath_Swami_Mumbai_1991-02-09_IDesireTree.mp3</t>
  </si>
  <si>
    <t>1992-126_Spiritual_Emotion_SB_10-16-16_-_Radhanath_Swami_Mumbai_1992-11-23_IDesireTree.mp3</t>
  </si>
  <si>
    <t>1992-144_Spiritual_Warfare_SB_10-17-21-22_-_Radhanath_Swami_Mumbai_1992-12-18_IDesireTree.mp3</t>
  </si>
  <si>
    <t>1995-105_Mahamaya_And_Yogamaya_BG-13-31-32_-_Radhanath_Swami_Mumbai_1995-09-15_IDesireTree.mp3</t>
  </si>
  <si>
    <t>1996-090_Fight_In_Spiritual_Life_Lecture_-_Radhanath_Swami_Mumbai_1996-04-21_IDesireTree.mp3</t>
  </si>
  <si>
    <t>1997-059_Trancendence_of_Vaikuntha_SB_02-09-10_-_Radhanath_Swami_Mumbai_1997-04-12_IDesireTree.mp3</t>
  </si>
  <si>
    <t>1989-090_Simply_For_Devotees_Pleasure_BG_12-02_-_Radhanath_Swami_Mumbai_1989-12-31_IDesireTree.mp3</t>
  </si>
  <si>
    <t>1991-074_Hearing_Is_Beginning_SB_10-01-08_-_Radhanath_Swami_Mumbai_1991-10-12_IDesireTree.mp3</t>
  </si>
  <si>
    <t>1991-080_Importance_Of_Krishna_Katha_SB_10-01-15_-_Radhanath_Swami_Mumbai_1991-10-16_IDesireTree.mp3</t>
  </si>
  <si>
    <t>1991-100_Relish_His_Messages_SB_10-01-48_-_Radhanath_Swami_Mumbai_1991-11-03_IDesireTree.mp3</t>
  </si>
  <si>
    <t>1992-136_Hearing_Means_To_Put_Into_Action_SB_10-16-56-57_-_Radhanath_Swami_Mumbai_1992-12-10_IDesireTree.mp3</t>
  </si>
  <si>
    <t>1992-153_Kill_The_Demon_Of_Doubt_SB_10-18-28-32_-_Radhanath_Swami_Mumbai_1991-12-25_IDesireTree.mp3</t>
  </si>
  <si>
    <t>1993-060_Hearing_And_Absorbing_BG_07-01-03_-_Radhanath_Swami_Mumbai_1993-04-18_IDesireTree.mp3</t>
  </si>
  <si>
    <t>1994-105_Hearing_Is_Necessary_Everyday_SB_01-03-29_-_Radhanath_Swami_Mumbai_1994-08-22_IDesireTree.mp3</t>
  </si>
  <si>
    <t>1994-142_Eagerness_To_Hear_SB_01-04-03_-_Radhanath_Swami_Mumbai_1994-09-09_IDesireTree.mp3</t>
  </si>
  <si>
    <t>1996-131_Hear_from_Guru_BG_07-01_-_Radhanath_Swami_Mumbai_1996-09-16_IDesireTree.mp3</t>
  </si>
  <si>
    <t>1996-173_Surrender_By_Hearing_And_Chanting_SB_02-06-38_-_Radhanath_Swami_Mumbai_1996-12-22_IDesireTree.mp3</t>
  </si>
  <si>
    <t>1999-031_Benefits_of_Hearing_Srimad_Bhagavatam_SB_03-19-38_-_Radhanath_Swami_Mumbai_1999-06-20_IDesireTree.mp3</t>
  </si>
  <si>
    <t>1989-034_Your%27s_Ever_Well_Wisher_Lecture_-_Radhanath_Swami_Mumbai_1989-08-25_IDesireTree.mp3</t>
  </si>
  <si>
    <t>1990-062_Prabhupad_Lecture_-_Radhanath_Swami_Mumbai_1990-08-15_IDesireTree.mp3</t>
  </si>
  <si>
    <t>1991-118_Diaappearance_of_prabhupada_Lecture_-_Radhanath_Swami_Mumbai_1991-11-10_IDesireTree.mp3</t>
  </si>
  <si>
    <t>1994-124_Offering_To_Srila_Prabhupada_-_Radhanath_Swami_Mumbai_1994-08-30_IDesireTree.mp3</t>
  </si>
  <si>
    <t>1995-064_Prabhupada_Pastimes_Lecture_-_Radhanath_Swami_Mumbai_1995-03-18.mp3</t>
  </si>
  <si>
    <t>1995-067_Prabhupada_Night_Lecture_-_Radhanath_Swami_Mumbai_1995-03-23.mp3</t>
  </si>
  <si>
    <t>1995-070_Glorification_Of_Srila_Prabhupada_Lecture_-_Radhanath_Swami_Kurukshetra_1995-03-26.mp3</t>
  </si>
  <si>
    <t>1995-089_Offring_To_Srila_Prabhupada_Lecture_-_Radhanath_Swami_Mumbai_1995-08-19_IDesireTree.mp3</t>
  </si>
  <si>
    <t>1995-091_Glories_Of_Srila_Prabhupada_Lecture_-_Radhanath_Swami_Mumbai_1995-08-20_IDesireTree.mp3</t>
  </si>
  <si>
    <t>1995-127_Offering_To_Srila_Prabhupad_Ht_-_Lecture_-_Radhanath_Swami_Mumbai_1995-10-25_IDesireTree.mp3</t>
  </si>
  <si>
    <t>1996-016_Prabhupada_Premanjali_MT_-_Lecture_-_Radhanath_Swami_Belgaum_1996-01-10_IDesireTree.mp3</t>
  </si>
  <si>
    <t>1996-106_Glories_Of_Srila_Prabhupada_Lecture_-_Radhanath_Swami_Mumbai_1996-08-04_IDesireTree.mp3</t>
  </si>
  <si>
    <t>1996-120_Glories_Of_Srila_Prabhupada_Lecture_-_Radhanath_Swami_Mumbai_1996-09-04_IDesireTree.mp3</t>
  </si>
  <si>
    <t>1996-125_Offering_To_Srila_Prabhupada_Lecture_-_Radhanath_Swami_Mumbai_1996-09-06_IDesireTree.mp3</t>
  </si>
  <si>
    <t>1996-126_Causeless_Mercy_Of_Srila_Prabhupada_BG_02-70_-_Radhanath_Swami_Mumbai_1996-09-07_IDesireTree.mp3</t>
  </si>
  <si>
    <t>1996-130_Pastimes_Of_Srila_Prabhupada_Lecture_-_Radhanath_Swami_Mumbai_1996-09-15_IDesireTree.mp3</t>
  </si>
  <si>
    <t>1997-050_Srila_Prabhupada_Lecture_-_Radhanath_Swami_Mumbai_1997-02-23_IDesireTree.mp3</t>
  </si>
  <si>
    <t>1997-072_Prabhupada_Nectar_Lecture_-_Radhanath_Swami_Mumbai_1997-05-05_IDesireTree.mp3</t>
  </si>
  <si>
    <t>1997-090_Offering_To_Srila_Prabhupada_Lecture_-_Radhanath_Swami_Mumbai_1997-08-28_IDesireTree.mp3</t>
  </si>
  <si>
    <t>1997-104_How_I_Meet_Srila_Prabhupada_Lecture_-_Radhanath_Swami_St_IDesireTree.mp3</t>
  </si>
  <si>
    <t>1998-063_Srila_Prabhupada_Pastimes_Lecture_-_Radhanath_Swami_Mumbai_1998-05-07_IDesireTree.mp3</t>
  </si>
  <si>
    <t>1998-082_Reading_Prabhupada_Lilamrita_Lecture_-_Radhanath_Swami_Mumbai_1998-09-16_IDesireTree.mp3</t>
  </si>
  <si>
    <t>1999-034_Srila_Prabhupada_Lilamrita_Reading_Lecture_-_Radhanath_Swami_Mumbai_1999-06-24_IDesireTree.mp3</t>
  </si>
  <si>
    <t>2001-029_Become_Loyal_To_Srila_Prabhupad_lecture_-_Radhanath_Swami_Mumbai_2001-07-08_IDesireTree.mp3</t>
  </si>
  <si>
    <t>2001-035_Remember_Srila_Prabhupada_Lecture_-_Radhanath_Swami_Moscow_2001-07-30_IDesireTree.mp3</t>
  </si>
  <si>
    <t>2003-011_Srila_Prabhupada_Memories_Lecture_-_Radhanath_Swami_Mumbai_2003-01-19_IDesireTree.mp3</t>
  </si>
  <si>
    <t>2003-078_Offering_to_Srila_Prabhupad_Lecture_-_Radhanath_Swami_New_Vrindavan_2003-10-28_IDesireTree.mp3</t>
  </si>
  <si>
    <t>2003-079_Lilamrta_Lecture_-_Radhanath_Swami_New_Vrindavan_2003-10-29_IDesireTree.mp3</t>
  </si>
  <si>
    <t>1991-079_Pure_Bhagavat_Philosophy_SB_10-01-14_-_Radhanath_Swami_Mumbai_1991-10-15_IDesireTree.mp3</t>
  </si>
  <si>
    <t>1992-018_Reading_The_Bhagvatam_SB_10-04-20_-_Radhanath_Swami_Mumbai_1992-01-30_IDesireTree.mp3</t>
  </si>
  <si>
    <t>1997-049_Glories_of_Srimad_Bhagavatam_SB_02-08-02_-_Radhanath_Swami_Mumbai_1997-02-23_IDesireTree.mp3</t>
  </si>
  <si>
    <t>1997-076_Chatusshloki_Bhagavatam_SB_02-09-35-36_-_Radhanath_Swami_Mumbai_1997-05-14_IDesireTree.mp3</t>
  </si>
  <si>
    <t>1997-132_Right_Approach_To_Bhagavatam_SB_05-04-08_-_Radhanath_Swami_Mayapur_1997-10-27_IDesireTree.mp3</t>
  </si>
  <si>
    <t>1991-063_Obedience_To_Guru_Parampara_CC_AL_01-02_-_Radhanath_Swami_Mumbai_1991-06-08_IDesireTree.mp3</t>
  </si>
  <si>
    <t>1997-047_Become_Submissive_SB_02-08-01_-_Radhanath_Swami_Mumbai_1997-02-22_IDesireTree.mp3</t>
  </si>
  <si>
    <t>1998-092_Preach_Only_When_You_Receive_the_Order_Lecture_-_Radhanath_Swami_Mumbai_1997-09-28_IDesireTree.mp3</t>
  </si>
  <si>
    <t>1989-004_Unfortunates_Are_Fortunates_SB_07-15-68_-_Radhanath_Swami_Mumbai_-_29-03-89_IDesireTree.mp3</t>
  </si>
  <si>
    <t>1992-088_Real_Cause_Of_Suffering_SB_11-23-42-43_-_Radhanath_Swami_Mumbai_1992-08-24_IDesireTree.mp3</t>
  </si>
  <si>
    <t>1995-071_Material_Life_Means_Suffering_HT_-_BG_06-40_-_Radhanath_Swami_Kurukshetra_1995-03-27.mp3</t>
  </si>
  <si>
    <t>1998-096_Identify_Yourself_Properly_SB_03-02-29_-_Radhanath_Swami_Mumbai_1997-10-07_IDesireTree.mp3</t>
  </si>
  <si>
    <t>1990-051_What_Surrender_Means_SB-08_02_31-32_-_Radhanath_Swami_Mumbai_1990-05-20_IDesireTree.mp3</t>
  </si>
  <si>
    <t>1990-077_Surrendering_Everything_Lecture_-_Radhanath_Swami_Mumbai_1990-09-02_IDesireTree.mp3</t>
  </si>
  <si>
    <t>1992-124_The_Gift_Of_Surrendering_BG_18-78_-_Radhanath_Swami_Mumbai_1992-11-21_IDesireTree.mp3</t>
  </si>
  <si>
    <t>1992-140_Only_Surrender_SB_02-04-21_-_Radhanath_Swami_Mumbai_1992-12-13_IDesireTree.mp3</t>
  </si>
  <si>
    <t>1993-190_Dhritarashtra_Surrenders_SB_10-49-29-31_-_Radhanath_Swami_Mumbai_1993-12-20_IDesireTree.mp3</t>
  </si>
  <si>
    <t>1994-022_Krishna_Protects_Those_Who_Surrender_BG_09-22_-_Radhanath_Swami_Kurukshetra_1994-02-08_IDesireTree.mp3</t>
  </si>
  <si>
    <t>1994-039_Surrender-_By_Realisation_Lecture_-_Radhanath_Swami_Mumbai_1994-02-21_IDesireTree.mp3</t>
  </si>
  <si>
    <t>1994-054_Surrendering_Everything_SB_08-18-23-25_-_Radhanath_Swami_Mumbai_1994-03-25_IDesireTree.mp3</t>
  </si>
  <si>
    <t>1994-082_Importance_Of_Surrender_SB_07-01-07_-_Radhanath_Swami_Mumbai_1994-05-12_IDesireTree.mp3</t>
  </si>
  <si>
    <t>1994-137_Surrender_To_the_Order_SB_01-03-42_-_Radhanath_Swami_Mumbai_1994-09-04_IDesireTree.mp3</t>
  </si>
  <si>
    <t>1997-034_Surrender_To_The_Surrendered_SB_02-07-43-45_-_Radhanath_Swami_Mumbai_1997-02-09_IDesireTree.mp3</t>
  </si>
  <si>
    <t>2001-064_Make_Your_Desire_One_With_Krsna_SB_Class_-_Radhanath_Swami_Mumbai_2001-12-22_IDesireTree.mp3</t>
  </si>
  <si>
    <t>2002-034_Fearlessly_Surrender_Our_Lives_To_Krsna_SB_01-19-15_-_Radhanath_Swami_Mumbai_2002-02-14_IDesireTree.mp3</t>
  </si>
  <si>
    <t>1989-002_Constructive_Work_Lecture_-_Radhanath_Swami_Mumbai_1989-01-20_IDesireTree.mp3</t>
  </si>
  <si>
    <t>1992-024_Unified_In_Guru%27s_Service_BG_10-09_-_Radhanath_Swami_Mumbai_1992-02-12_IDesireTree.mp3</t>
  </si>
  <si>
    <t>1993-050_Time_And_Tide_Wait_For_None_Lecture_-_Radhanath_Swami_Mumbai_1993-04-13_new_IDesireTree.mp3</t>
  </si>
  <si>
    <t>1993-140_This_Is_The_Time_SB_01-06-35_-_Radhanath_Swami_Mumbai_1993-19-02_IDesireTree.mp3</t>
  </si>
  <si>
    <t>1994-176_Time_Devours_Everything_BG_11-32-33_-_Radhanath_Swami_Mumbai_1994-10-04_IDesireTree.mp3</t>
  </si>
  <si>
    <t>1995-120_Krishna_In_Form_Of_Kala_SB_01-13-49_-_Radhanath_Swami_Mumbai_1995-10-12_IDesireTree.mp3</t>
  </si>
  <si>
    <t>1996-011_Don%27t_Waste_Valuable_Time_SB_01-16-6_-_Radhanath_Swami_Mumbai_1996-01-07_IDesireTree.mp3</t>
  </si>
  <si>
    <t>2003-048_Tolerating_the_Porvoking_Situation_Sunday_Feast_-_Radhanath_Swami_Mumbai_2003-08-17_IDesireTree.mp3</t>
  </si>
  <si>
    <t>1994-101_Talks_With_Padharpur_Camp_Volunteers_Lecture_-_Radhanath_Swami_Mumbai_1994-08-07_IDesireTree.mp3</t>
  </si>
  <si>
    <t>1989-083_Krishnizing_The_Senses_BG_10-36_-_Radhanath_Swami_Mumbai_1989-12-26_IDesireTree.mp3</t>
  </si>
  <si>
    <t>1995-085_What_Is_Yukta_Vairagya_BG_03-06_-_Radhanath_Swami_Mumbai_1995-08-13_IDesireTree.mp3</t>
  </si>
  <si>
    <t>2003-002_Utilising_Human_Body_Lecture_-_Radhanath_Swami_Mumbai_2003-01-03_IDesireTree.mp3</t>
  </si>
  <si>
    <t>1990-080_Vaishnava_Activities-_Incomprehensible_SB_08-07-23_-_Radhanath_Swami_Mumbai_1990-09-06_IDesireTree.mp3</t>
  </si>
  <si>
    <t>1991-037_Why_Vaishnavas_Appear_To_Be_Defeated_SB_09-10-12_-_Radhanath_Swami_Mumbai_1991-04-29_IDesireTree.mp3</t>
  </si>
  <si>
    <t>1991-077_Brahman_By_Quality_And_Not_By_Birth_SB_10-01-13_-_Radhanath_Swami_Mumbai_1991-10-14_IDesireTree.mp3</t>
  </si>
  <si>
    <t>1992-023_Vaishnavism_%26_Sannyas_CC_AL-02_-_Radhanath_Swami_Mumbai_1992-02-12_IDesireTree.mp3</t>
  </si>
  <si>
    <t>1992-076_Vaishnava_Is_Selfless_SB_10-08-07-09_-_Radhanath_Swami_Mumbai_1992-04-10_IDesireTree.mp3</t>
  </si>
  <si>
    <t>1997-117_Even_An_Elephant_Can_Become_A_Vaishnava_BG_03-02_-_Radhanath_Swami_Mumbai_1997-10-05_IDesireTree.mp3</t>
  </si>
  <si>
    <t>2001-025_Living_By_The_Principle_Die_To_Live_SB_04-04-24_-_Radhanath_Swami_Mumbai_2001-06-17_IDesireTree.mp3</t>
  </si>
  <si>
    <t>2002-012_True_Substance_Of_Vaishnava_SB_04_-_Radhanath_Swami_IDesireTree.mp3</t>
  </si>
  <si>
    <t>1990-078_Gravity_Of_Offence_SB_08-07-22_-_Radhanath_Swami_Mumbai_1990-09-03_IDesireTree.mp3</t>
  </si>
  <si>
    <t>1991-085_The_Dangers_of_Vaishnava_Aparadha_Lecture_-_Radhanath_Swami_NV_1991-07-18_IDesireTree.mp3</t>
  </si>
  <si>
    <t>1992-143_Beware_Of_Mad_Elephant_Offence_SB_10-17-12_-_Radhanath_Swami_Mumbai_1992-12-17_IDesireTree.mp3</t>
  </si>
  <si>
    <t>1994-180_Criticism_Ruins_Spiritual_Life_Lecture_-_Radhanath_Swami_Mumbai_1994-10-07_IDesireTree.mp3</t>
  </si>
  <si>
    <t>1995-047_Don%27t_Judge_Vaishnavas_By_Material_Bodies_BG_15-08_-_Radhanath_Swami_Mumbai_1995-02-11.mp3</t>
  </si>
  <si>
    <t>1997-020_Never_Offend_Devotees_SB_04-30-08_-_Radhanath_Swami_Mumbai_1997-01-23_IDesireTree.mp3</t>
  </si>
  <si>
    <t>1989-011_An_Empty_Husk_Lecture_-_Radhanathh_Swami_Mumbai1_989-07-08_IDesireTree.mp3</t>
  </si>
  <si>
    <t>1992-093_Vaishnava_Etiquette_Lecture_-_Radhanath_Swami_Mumbai_1992-08-27_IDesireTree.mp3</t>
  </si>
  <si>
    <t>1991-137_Perfection_Of_Varnashram_Dharma_BG_04-13_-_Radhanath_Swami_Mumbai_1991-11-30_IDesireTree.mp3</t>
  </si>
  <si>
    <t>1996-057_One%27s_Ashram_Is_Not_Important_SB_10-02-10_-_Radhanath_Swami_Mumbai_1996-06-17_IDesireTree.mp3</t>
  </si>
  <si>
    <t>1996-087_Varnashram_System_Means_Acting_Together_SB_01-18-32_-_Radhanath_Swami_Mumbai_1996-04-20_IDesireTree.mp3</t>
  </si>
  <si>
    <t>1998-042_Duties_in_Real_Varnashram_System_BG_03-06-32_-_Radhanath_Swami_Mumbai_1998-03-01_IDesireTree.mp3</t>
  </si>
  <si>
    <t>1990-010_The_Essence_Of_Vedas_BNP_03-08-126_-_Radhanath_Swami_Pune_1990-01-19_IDesireTree.mp3</t>
  </si>
  <si>
    <t>1993-144_Scriptures_Are_The_Eternal_Absolute_Truth_SB_10-08-47_-_Radhanath_Swami_Mumbai_1993-10-08_IDesireTree.mp3</t>
  </si>
  <si>
    <t>1994-174_Essence_Of_The_Vedas_SB_01-04-13_-_Radhanath_Swami_Mumbai_1994-10-02_IDesireTree.mp3</t>
  </si>
  <si>
    <t>1997-138_Eye_Of_Scriptures_Lecture_-_Radhanath_Swami_Mumbai_1997-11-16_IDesireTree.mp3</t>
  </si>
  <si>
    <t>1989-001_India-The_Land_Of_Dharma_Lecture_-_Radhanath_Swami_Mumbai_1989-01-13_IDesireTree.mp3</t>
  </si>
  <si>
    <t>1993-099_The_Wealth_Of_Indian_Culture_SB_05-05-05_-_Radhanath_Swami_Mumbai_1993-05-27_IDesireTree.mp3</t>
  </si>
  <si>
    <t>1993-108_Greatness_Of_Vedic_Culture_SB_01-02-25_-_Radhanath_Swami_Mumbai_1993-06-06_IDesireTree.mp3</t>
  </si>
  <si>
    <t>1994-196_What_Are_Samskaras_Ht_-_Lecture_-_Radhanath_Swami_Mumbai_1994-10-16_IDesireTree.mp3</t>
  </si>
  <si>
    <t>1996-038_Importance_Of_Cows_And_Bulls_SB_01-17-20_-_Radhanath_Swami_Mumbai_1996-02-25_IDesireTree.mp3</t>
  </si>
  <si>
    <t>2003-008_The_Culture_of_how_to_Respect_Others_SB_04-21-14_-_Radhanath_Swami_Mumbai_2003-01-12_IDesireTree.mp3</t>
  </si>
  <si>
    <t>1996-031_Vyas_Puja_Lecture_-_Radhanath_Swami_Pune_1996-01-27_IDesireTree.mp3</t>
  </si>
  <si>
    <t>1996-107_Vyas_Puja_Offering_Lecture_-_Radhanath_Swami_Mumbai_1996-04-08_IDesireTree.mp3</t>
  </si>
  <si>
    <t>1996-121_Vyas_Puja_Offering_Lecture_-_Radhanath_Swami_Mumbai_1996-04-09_IDesireTree.mp3</t>
  </si>
  <si>
    <t>1996-125_Offering_To_Srila_Prabhupada_Lecture_-_Radhanath_Swami_Mumbai_1996-06-09_IDesireTree.mp3</t>
  </si>
  <si>
    <t>2000-058_Vyas_Puja_Offering_Lecture_-_Radhanath_Swami_Mumbai_2000-08-24_IDesireTree.mp3</t>
  </si>
  <si>
    <t>2001-059_Vyas_Puja_Add_Lecture_-_Radhanath_Swami_Mumbai_2001-12-13_IDesireTree.mp3</t>
  </si>
  <si>
    <t>2002-120_Vyas_Puja_Address_Lecture_-_Radhanath_Swami_Mumbai_2002-03-13_IDesireTree.mp3</t>
  </si>
  <si>
    <t>2003-051_Vyas_Puja_Offering_Lecture_-_Radhanath_Swami_Mumbai_2006-08-21_IDesireTree.mp3</t>
  </si>
  <si>
    <t>2003-104_Vyas_Puja_Address_Lecture_-_Radhanath_Swami_Mumbai_-_2003-12-12_IDesireTree.mp3</t>
  </si>
  <si>
    <t>Mayapur_Yatra_1997_01_Childhood_Pastimes_of_Nimai_with_Sacinandana_Swami_Radhanath_Swami_.mp3</t>
  </si>
  <si>
    <t>Mayapur_Yatra_1997_02_Radhanath_Swami_Pastimes_at_Srivas_Angan.mp3</t>
  </si>
  <si>
    <t>Mayapur_Yatra_1997_03_Pastimes_at_the_House_of_Nandan_Acharya_Radhanath_Swami.mp3</t>
  </si>
  <si>
    <t>Mayapur_Yatra_1997_04_House_of_Murari_Gupta_with_Sacinandana_Swami_Radhanath_Swami.mp3</t>
  </si>
  <si>
    <t>Mayapur_Yatra_1997_05_Pastimes_at_the_House_of_Chandrashekhar_Acharya_Radhanath_Swami.mp3</t>
  </si>
  <si>
    <t>Mayapur_Yatra_1997_07_-_Story_of_Simantadvipa_%26_Sridhar_Kolovecha_with_Jananivas_Pr_Radhanath_Swami_.mp3</t>
  </si>
  <si>
    <t>Mayapur_Yatra_1997_08_-_Pastimes_of_Lord_Jagannath_Jananivas_Prabhu_Pankajanghri_Pr_Radhanath_Swami_.mp3</t>
  </si>
  <si>
    <t>Mayapur_Yatra_1997_09_-_Deliverance_of_Chand_Kazi_Radhanath_Swami.mp3</t>
  </si>
  <si>
    <t>Mayapur_Yatra_1997_10_-_Pastimes_at_Surabhi_Kunj_Radhanath_Swami.mp3</t>
  </si>
  <si>
    <t>Mayapur_Yatra_1997_11_-_Glories_of_Srila_Bhaktivinod_Thakur_with_Sacinandana_Swami_Radhanath_Swami.mp3</t>
  </si>
  <si>
    <t>Mayapur_Yatra_1997_13_Glorification_of_Vrindavan_Das_Thakur_Vasudev_Dutt_Sacinandana_Swami_Radhanath_Swami.mp3</t>
  </si>
  <si>
    <t>Mayapur_Yatra_1997_14_Pastimes_at_Vidyanagar_Champahati_Radhanath_Swami.mp3</t>
  </si>
  <si>
    <t>Mayapur_Yatra_1997_15_Glorification_of_Vishnu_Priya_Devi_Radhanath_Swami_Sacinandana_Swami.mp3</t>
  </si>
  <si>
    <t>Mayapur_Yatra_1997_16_Pastimes_at_Ramkeli.mp3</t>
  </si>
  <si>
    <t>Mayapur_Yatra_1997_17_Govardhan_Lila_Radhanath_Swami_Giriraj_Swami_Sacinandana_Swami.mp3</t>
  </si>
  <si>
    <t>Mayapur_Yatra_1997_18_Pastimes_at_Kanainatashala_Radhanath_Swami.mp3</t>
  </si>
  <si>
    <t>Mayapur_Yatra_1997_19_Glorification_of%20Govardhan%20Hill%20Radhanath%20Swami.mp3</t>
  </si>
  <si>
    <t>Mayapur_Yatra_1997_20_Childhood_Pastimes_of_Nitai_Radhanath_Swami.mp3</t>
  </si>
  <si>
    <t>Mayapur_Yatra_1997_21_Life_of_Nityananda_Prabhu_Radhanath_Swami_Giriraj_Swami_Sacinandana_Swam.mp3</t>
  </si>
  <si>
    <t>Mayapur_Yatra_1997_22_Pastimes_at_Jajigrama_Radhanath_Swami.mp3</t>
  </si>
  <si>
    <t>Mayapur_Yatra_1997_23_Pastimes_at_%20Srikhanda_Radhanath_Swami.mp3</t>
  </si>
  <si>
    <t>Mayapur_Yatra_1997_24_Pastimes_at_Raghava_Pandit%27s_House_Panihati_Radhanath_Swami.mp3</t>
  </si>
  <si>
    <t>Mayapur_Yatra_1997_25_Lecture_in_Kardaha_Radhanath_Swami.mp3</t>
  </si>
  <si>
    <t>Vrindavan_Yatra_1998_01_-_Kalia%20ghat_-_Radhanath_Swami.mp3</t>
  </si>
  <si>
    <t>Vrindavan_Yatra_1998_02_-_Various_Temples_Of_Vrindavan-01_-_Radhanath_Swami.mp3</t>
  </si>
  <si>
    <t>Vrindavan_Yatra_1998_03_-_Various_Temples_Of_Vrindavan-02_-_Radhanath_Swami.mp3</t>
  </si>
  <si>
    <t>Vrindavan_Yatra_1998_04_-_Raval_Dauji%20Temple_-_Radhanath_Swami.mp3</t>
  </si>
  <si>
    <t>Vrindavan_Yatra_1998_05_-_Govardhan_Parikrama-01_-_Radhanath_Swami.mp3</t>
  </si>
  <si>
    <t>Vrindavan_Yatra_1998_06_-_Govardhan_Parikrama-02_-_Radhanath_Swami.mp3</t>
  </si>
  <si>
    <t>Vrindavan_Yatra_1998_07_-_Radhakund_-_Radhanath_Swami.mp3</t>
  </si>
  <si>
    <t>Vrindavan_Yatra_1998_08_-_Bandiravan_-_Radhanath_Swami.mp3</t>
  </si>
  <si>
    <t>Vrindavan_Yatra_1998_09_-_Kamyavana_-_Radhanath_Swami.mp3</t>
  </si>
  <si>
    <t>Vrindavan_Yatra_1998_10_-_Barsana-01_-_Radhanath_Swami.mp3</t>
  </si>
  <si>
    <t>Vrindavan_Yatra_1998_11_-_Barsana-02_-_Radhanath_Swami.mp3</t>
  </si>
  <si>
    <t>Vrindavan_Yatra_1998_12_-_Barsana-03_-_Radhanath_Swami.mp3</t>
  </si>
  <si>
    <t>Vrindavan_Yatra_1998_13_-_Nand_Gaon_-_Radhanath_Swami.mp3</t>
  </si>
  <si>
    <t>Vrindavan_Yatra_1998_14_-_Pavan_Sarovar_-_Radhanath_Swami.mp3</t>
  </si>
  <si>
    <t>Vrindavan_Yatra_1998_15_-_Terakadamba_-_Radhanath_Swami.mp3</t>
  </si>
  <si>
    <t>Vrindavan_Yatra_1998_16_-_Talvan_Madhuban_-_Radhanath_Swami.mp3</t>
  </si>
  <si>
    <t>Naimisharanya_Yatra_-_Eve_Lecture_-_Radhanath_Swami_1999_Gupta_Kunda.mp3</t>
  </si>
  <si>
    <t>Naimisharanya_Yatra_-_kirtan_-_Radhanath_Swami_1999_Gupta_Kunda.mp3</t>
  </si>
  <si>
    <t>Naimisharanya_Yatra_-_kirtan_-_Radhanath_Swami_1999_Naimisharanya.mp3</t>
  </si>
  <si>
    <t>Naimisharanya_Yatra_-_kirtan_and_Lecture_-_Radhanath_Swami_1999_Naimisharanya.mp3</t>
  </si>
  <si>
    <t>Naimisharanya_Yatra_-_Lecture_01_-_Radhanath_Swami_1999_Gupta_Kunda.mp3</t>
  </si>
  <si>
    <t>Naimisharanya_Yatra_-_Lecture_01_-_Radhanath_Swami_1999_Nandigram.mp3</t>
  </si>
  <si>
    <t>Naimisharanya_Yatra_-_Lecture_02_-_Radhanath_Swami_1999_Gupta_Kunda.mp3</t>
  </si>
  <si>
    <t>Naimisharanya_Yatra_-_Lecture_02_-_Radhanath_Swami_1999_Naimisharanya.mp3</t>
  </si>
  <si>
    <t>Essence_Of_Srimad_Bhagavatam_-_Radhanath_Swami_Naimisharanya.mp3</t>
  </si>
  <si>
    <t>Kirtan_%26_Lecture_-_Radhanath_Swami_Naimisharanya.mp3</t>
  </si>
  <si>
    <t>Naimisharanya_Yatra_-_kirtan_Radhanath_Swami_1999_Gupta_Kunda.mp3</t>
  </si>
  <si>
    <t>Naimisharanya_Yatra_Eve_Lecture_Radhanath_Swami_1999_Gupta_Kunda.mp3</t>
  </si>
  <si>
    <t>Naimisharanya_Yatra_kirtan_and_Lecture-_Radhanath_Swami_1999_Naimisharanya.mp3</t>
  </si>
  <si>
    <t>Naimisharanya_Yatra_Lecture_01_Radhanath_Swami_1999_Nandigram.mp3</t>
  </si>
  <si>
    <t>Naimisharanya_Yatra_Lecture_02-_Radhanath_Swami_1999_Gupta_Kunda.mp3</t>
  </si>
  <si>
    <t>Naimisharanya_Yatra_Lecture_02_Radhanath_Swami_1999_Naimisharanya.mp3</t>
  </si>
  <si>
    <t>Naimisharanya_Yatra_Radhanath_Swami_1999.mp3</t>
  </si>
  <si>
    <t>Naimisharanya_Yatra_Radhanath_Swami_Lecture_01_1999_Gupta_Kunda.mp3</t>
  </si>
  <si>
    <t>South_India_Yatra_Radhanath_Swami_1999_Part-01.mp3</t>
  </si>
  <si>
    <t>South_India_Yatra_Radhanath_Swami_1999_Part-02.mp3</t>
  </si>
  <si>
    <t>South_India_Yatra_Radhanath_Swami_1999_Part-03.mp3</t>
  </si>
  <si>
    <t>South_India_Yatra_Radhanath_Swami_1999_Part-04.mp3</t>
  </si>
  <si>
    <t>South_India_Yatra_Radhanath_Swami_1999_Part-05.mp3</t>
  </si>
  <si>
    <t>South_India_Yatra_Radhanath_Swami_1999_Part-06.mp3</t>
  </si>
  <si>
    <t>South_India_Yatra_Radhanath_Swami_1999_Part-07.mp3</t>
  </si>
  <si>
    <t>South_India_Yatra_Radhanath_Swami_1999_Part-08.mp3</t>
  </si>
  <si>
    <t>South_India_Yatra_Radhanath_Swami_1999_Part-09.mp3</t>
  </si>
  <si>
    <t>South_India_Yatra_Radhanath_Swami_1999_Part-10.mp3</t>
  </si>
  <si>
    <t>South_India_Yatra_Radhanath_Swami_1999_Part-11.mp3</t>
  </si>
  <si>
    <t>Mayapur_Yatra_2000_-_Inaugural_Lecture_at_Prabhupad_Samadhi_-_Radhanath_Swami.mp3</t>
  </si>
  <si>
    <t>Mayapur_Yatra_2000_-_Introduction_of_Shankarshan_Prabhu_-_Radhanath_Swami.mp3</t>
  </si>
  <si>
    <t>Mayapur_Yatra_2000_-_Kirtan_and_Glorification_of_Bhakti_Vinod_Thakur_-_Radhanath_Swami.mp3</t>
  </si>
  <si>
    <t>Mayapur_Yatra_2000_-_Lecture_at_Agradweep_-_Radhanath_Swami.mp3</t>
  </si>
  <si>
    <t>Mayapur_Yatra_2000_-_Lecture_at_Antardweep_and_Yogapith_-_Radhanath_Swami.mp3</t>
  </si>
  <si>
    <t>Mayapur_Yatra_2000_-_Lecture_at_Belpukura_-_Radhanath_Swami.mp3</t>
  </si>
  <si>
    <t>Mayapur_Yatra_2000_-_Lecture_at_Chandrashekhar_Bhavan_-_Radhanath_Swami.mp3</t>
  </si>
  <si>
    <t>Mayapur_Yatra_2000_-_Lecture_at_Ekachakra_-_Radhanath_Swami.mp3</t>
  </si>
  <si>
    <t>Mayapur_Yatra_2000_-_Lecture_at_Jagannath_Das_Babaji_Samadhi_Mandir_-_Radhanath_Swami.mp3</t>
  </si>
  <si>
    <t>Mayapur_Yatra_2000_-_Lecture_at_Jagannath_Temple_-_Radhe_Shyam_Prabhhu.mp3</t>
  </si>
  <si>
    <t>Mayapur_Yatra_2000_-_Lecture_at_Koladweep_Glorification_of_Dhameshwar_Mahaprabhu_-_Radhanath_Swami.mp3</t>
  </si>
  <si>
    <t>Mayapur_Yatra_2000_-_Lecture_at_Krsnapura_The_Birth_Place_of_Raghunath_Das_Goswami_-_Radhanath_Swami.mp3</t>
  </si>
  <si>
    <t>Mayapur_Yatra_2000_-_Lecture_at_Kumarahatta_-_Radhanath_Swami.mp3</t>
  </si>
  <si>
    <t>Mayapur_Yatra_2000_-_Lecture_at_Modrumdwip_at_Vrndavandas_Thakur%27s_House_-_Radhanath_Swami.mp3</t>
  </si>
  <si>
    <t>Mayapur_Yatra_2000_-_Lecture_at_Naimisharnya_and_Hamsavahan_-_Radhanath_Swami.mp3</t>
  </si>
  <si>
    <t>Mayapur_Yatra_2000_-_Lecture_at_Phuliya_Gram_-_Radhanath_Swami.mp3</t>
  </si>
  <si>
    <t>Mayapur_Yatra_2000_-_Lecture_at_Samadhi_Mandir_of_Chand_Kazi_-_Radhanath_Swami.mp3</t>
  </si>
  <si>
    <t>Mayapur_Yatra_2000_-_Lecture_at_Saptagram_Glorification_of_uddharan_Dutt_Thakur_-_Radhanath_Swami.mp3</t>
  </si>
  <si>
    <t>Mayapur_Yatra_2000_-_Lecture_at_Shantipur.mp3</t>
  </si>
  <si>
    <t>Mayapur_Yatra_2000_-_Lecture_at_Shivananda_Sen%27s_House_-_Radhanath_Swami.mp3</t>
  </si>
  <si>
    <t>Mayapur_Yatra_2000_-_Lecture_at_Sridhar_Aangan_-_Radhanath_Swami.mp3</t>
  </si>
  <si>
    <t>Mayapur_Yatra_2000_-_Lecture_at_Srivas_Aangan_-_Radhanath_Swami.mp3</t>
  </si>
  <si>
    <t>Mayapur_Yatra_2000_-_Lecture_at_the_house_of_Raghav_Pandit_-_Radhanath_Swami.mp3</t>
  </si>
  <si>
    <t>Mayapur_Yatra_2000_-_Lecture_at_Vidyanagar_-_Radhanath_Swami.mp3</t>
  </si>
  <si>
    <t>Mayapur_Yatra_2000_-_Lecture_at_Vishram_Tal_-_Radhanath_Swami.mp3</t>
  </si>
  <si>
    <t>Mayapur_Yatra_2000_-_Lecture_at_Vishram_Tal_Nityanand_Prabhu%27s_Pastimes_-_Radhanath_Swami.mp3</t>
  </si>
  <si>
    <t>Mayapur_Yatra_2000_-_Lecture_on_Narsinghapally_-_Radhanath_Swami.mp3</t>
  </si>
  <si>
    <t>Mayapur_Yatra_2000_-_SB_Class_at_Mayapur_Chandrodaya_Mandir_-_Radhanath_Swami.mp3</t>
  </si>
  <si>
    <t>Mayapur_Yatra_2000_-_Vasudev_Dutta_Thakur%27s_house_-_Radhanath_Swami.mp3</t>
  </si>
  <si>
    <t>Vrindavan_Yatra_2002_01_Lecture_at_Raval_-_Radhanath_Swami.mp3</t>
  </si>
  <si>
    <t>Vrindavan_Yatra_2002_02_Prabhupada_Memories-01_-_Radhanath_Swami.mp3</t>
  </si>
  <si>
    <t>Vrindavan_Yatra_2002_03_Prabhupada_Memories-02_-_Radhanath_Swami.mp3</t>
  </si>
  <si>
    <t>Vrindavan_Yatra_2002_04_Prabhupada_Memories-03_-_Radhanath_Swami.mp3</t>
  </si>
  <si>
    <t>Vrindavan_Yatra_2002_06_Lecture_at_Brahmanda_Ghat_-_Radhanath_Swami.mp3</t>
  </si>
  <si>
    <t>Vrindavan_Yatra_2002_07_Lecture_at_Gokul-01_-_Radhanath_Swami.mp3</t>
  </si>
  <si>
    <t>Vrindavan_Yatra_2002_08_Lecture_at_Gokul-02_-_Radhanath_Swami.mp3</t>
  </si>
  <si>
    <t>Vrindavan_Yatra_2002_09_Lecture_at_Gokul-03_-_Radhanath_Swami.mp3</t>
  </si>
  <si>
    <t>Vrindavan_Yatra_2002_10_Lecture_at_Sreeji_Temple-01_-_Radhanath_Swami.mp3</t>
  </si>
  <si>
    <t>Vrindavan_Yatra_2002_11_Lecture_at_Sreeji_Temple-02_-_Radhanath_Swami.mp3</t>
  </si>
  <si>
    <t>Vrindavan_Yatra_2002_12_Lecture_at_Kushal_Bihari_Temple_-_Radhanath_Swami.mp3</t>
  </si>
  <si>
    <t>Vrindavan_Yatra_2002_13_-_Lecture_at_Krsna_Kunda_-_Radhanath_Swami.mp3</t>
  </si>
  <si>
    <t>Vrindavan_Yatra_2002_16_-_Lecture_at_Govind_Kunda-01_-_Radhanath_Swami.mp3</t>
  </si>
  <si>
    <t>Vrindavan_Yatra_2002_17_-_Lecture_at_Govind_Kunda-02_-_Radhanath_Swami.mp3</t>
  </si>
  <si>
    <t>Vrindavan_Yatra_2002_18_-_Lecture_at_Govind_Kunda-03_-_Radhanath_Swami.mp3</t>
  </si>
  <si>
    <t>Vrindavan_Yatra_2002_19_-_Lecture_at_Candra_Sarovar_-_Radhanath_Swami.mp3</t>
  </si>
  <si>
    <t>Vrindavan_Yatra_2002_20_-_Lecture_at_Kusum_Sarovar_Govardhan_Parikrama.mp3</t>
  </si>
  <si>
    <t>Vrindavan_Yatra_2002_21_-_Lecture_at_Shyamvan_Govardhan_Parikrama_-_Radhanath_Swami.mp3</t>
  </si>
  <si>
    <t>Vrindavan_Yatra_2002_23_-_Lecture_at_Govind_Kunda_Govardhan_Parikrama_-_Dinbandhu_Prabhu.mp3</t>
  </si>
  <si>
    <t>Vrindavan_Yatra_2002_24_-_Lecture_at_Puchari_Govardhan_Parikrama_-_Dinbandhu_Prabhu.mp3</t>
  </si>
  <si>
    <t>Vrindavan_Yatra_2002_25_-_Lecture_at_Surabhi_Kunda_Govardhan_Parikrama_-_Dinbandhu_Prabhu.mp3</t>
  </si>
  <si>
    <t>Vrindavan_Yatra_2002_26_-_Lecture_at_Uddhava_Kunda_Govardhan_Parikrama_-_Radhanath_Swami.mp3</t>
  </si>
  <si>
    <t>Vrindavan_Yatra_2002_27_-_Govardhan_Parikrama_Concluding_Speech_-_Radhanath_Swami.mp3</t>
  </si>
  <si>
    <t>Vrindavan_Yatra_2002_29_-_Lecture_at_Maan_Sarovar_-_Radhanath_Swami.mp3</t>
  </si>
  <si>
    <t>Vrindavan_Yatra_2002_31_-_Lecture_at_Bilvavana_-_Radhanath_Swami.mp3</t>
  </si>
  <si>
    <t>Vrindavan_Yatra_2002_32_-_Lecture_at_Surya_Kunda_Radhanath_Swami.mp3</t>
  </si>
  <si>
    <t>Vrindavan_Yatra_2002_33_-_Lecture_at_Surya_Kunda_-_Sacinanada_Swami.mp3</t>
  </si>
  <si>
    <t>Vrindavan_Yatra_2002_34_-_Lecture_at_Surya_Kunda_-_Dinbandhu_Prabhu.mp3</t>
  </si>
  <si>
    <t>Vrindavan_Yatra_2002_35_-_Lecture_at_Kusum_Sarova_-_Radhanath_Swamir.mp3</t>
  </si>
  <si>
    <t>Vrindavan_Yatra_2002_36_-_Lecture_at_Ter_Kadam-01_-_Radhanath_Swami.mp3</t>
  </si>
  <si>
    <t>Vrindavan_Yatra_2002_37_-_Lecture_at_Ter_Kadam-02_-_Radhanath_Swami.mp3</t>
  </si>
  <si>
    <t>Vrindavan_Yatra_2002_38_-_Lecture_at_Ter_Kadam-03_-_Birju_Babaji.mp3</t>
  </si>
  <si>
    <t>Vrindavan_Yatra_2002_39_-_Lecture_at_Pawan_Sarovar_-_Radhanath_Swami.mp3</t>
  </si>
  <si>
    <t>Vrindavan_Yatra_2002_40_-_Lecture_at_Vrinda_Kunda_-_Radhanath_Swami_and_Bhagavat_Prasad_Prabhu.mp3</t>
  </si>
  <si>
    <t>Vrindavan_Yatra_2002_41_-_Lecture_at_Uddhava_Kyari_-_Radhanath_Swami.mp3</t>
  </si>
  <si>
    <t>Vrindavan_Yatra_2002_42_-_Lecture_at_Kaliya_Ghat_-_Radhanath_Swami.mp3</t>
  </si>
  <si>
    <t>Vrindavan_Yatra_2002_43_-_Lecture_at_Radha_Damodar_Temple_-_Radhanath_Swami.mp3</t>
  </si>
  <si>
    <t>Vrindavan_Yatra_2002_45_-_Prabhupada_Memories_-_Narayani_Mataj_-_Radhanath_Swami.mp3</t>
  </si>
  <si>
    <t>Vrindavan_Yatra_2002_46_-_Lecture_at_Radha_Govindji_Temple_-_Radhanath_Swami.mp3</t>
  </si>
  <si>
    <t>Vrindavan_Yatra_2002_47_-_Lecture_at_Vamsi_Vata_-_Radhanath_Swami.mp3</t>
  </si>
  <si>
    <t>Vrindavan_Yatra_2002_48_-_Talk_at_Yajna_Sthali_-_Radhanath_Swami.mp3</t>
  </si>
  <si>
    <t>Vrindavan_Yatra_2002_50_-_Lecture_at_Akrura_Ghat-02_-_Purnacandra_Prabhu_and_Radhanath_Swami.mp3</t>
  </si>
  <si>
    <t>Mayapur_Yatra_2003_01_-_Lecture_at_Yogapitha_Day-01_Jayapataka%20Swami.mp3</t>
  </si>
  <si>
    <t>Mayapur_Yatra_2003_02_-_Lecture_at_Yogapitha_Day-01_Radhanath_Swami.mp3</t>
  </si>
  <si>
    <t>Mayapur_Yatra_2003_03_-_Lecture_at_Gada_Garden_Day-01_Radhanath_Swami.mp3</t>
  </si>
  <si>
    <t>Mayapur_Yatra_2003_04_-_Lecture_at_Jagannath_Das_Babaji%27s_Samadhi_Day-02_Jayapataka_Swami.mp3</t>
  </si>
  <si>
    <t>Mayapur_Yatra_2003_05_-_Lecture_at_Dhameshwar_Mahaprabhu_Day-02_Jayapataka_Swami.mp3</t>
  </si>
  <si>
    <t>Mayapur_Yatra_2003_06_-_Lecture_at_Gada_Garden_Day-02_Radhanath_Swami.mp3</t>
  </si>
  <si>
    <t>Mayapur_Yatra_2003_07_-_Lecture_at_Bhaktivinod_Thakur%27s_House_Day-03_Jayapataka_Swami.mp3</t>
  </si>
  <si>
    <t>Mayapur_Yatra_2003_08_-_Lecture_at_Bhaktivinod_Thakur%27s_House_Day-03_Radhanath_Swami.mp3</t>
  </si>
  <si>
    <t>Mayapur_Yatra_2003_09_-_Lecture_at_Bhaktivinod%20Thakur%27s%20House%28Day%203%29%20Radhanath%20Swami.mp3</t>
  </si>
  <si>
    <t>Mayapur_Yatra_2003_10_-_Lecture_at_Gaur_Doha_Day-03_Radhanath_Swami.mp3</t>
  </si>
  <si>
    <t>Mayapur_Yatra_2003_11_-_Lecture_at_Aam_Ghat_Day-03_Radhanath_Swami.mp3</t>
  </si>
  <si>
    <t>Mayapur_Yatra_2003_12_-_Lecture_at_Hari_Hara_Kshetra_Day-03_Radhanath_Swami.mp3</t>
  </si>
  <si>
    <t>Mayapur_Yatra_2003_13_-_Childhood_Pastimes_of_Nimai-1_Day-04_Radhanath_Swami.mp3</t>
  </si>
  <si>
    <t>Mayapur_Yatra_2003_14_-_Childhood_Pastimes_of_Nimai-2_Day-04_Radhanath_Swami.mp3</t>
  </si>
  <si>
    <t>Mayapur_Yatra_2003_15_-_Childhood_Pastimes_of_Nimai-3_Day-04_Radhanath_Swami.mp3</t>
  </si>
  <si>
    <t>Mayapur_Yatra_2003_16_-_Childhood_Pastimes_of_Nimai-4_Day-04_Radhanath_Swami.mp3</t>
  </si>
  <si>
    <t>Mayapur_Yatra_2003_17_-_Lecture_at_Gada_Garden-1_Day-04_Radhanath_Swami.mp3</t>
  </si>
  <si>
    <t>Mayapur_Yatra_2003_18_-_Lecture_at_Gada_Garden-2_Day-04_Radhanath_Swami.mp3</t>
  </si>
  <si>
    <t>Mayapur_Yatra_2003_19_-_Deliverance_of_Jagai_%26_Madhai-1_Day-05_Radhanath_Swami.mp3</t>
  </si>
  <si>
    <t>Mayapur_Yatra_2003_20_-_Deliverance_of_Jagai_%26_Madhai-2_Day-05_Radhanath_Swami.mp3</t>
  </si>
  <si>
    <t>Mayapur_Yatra_2003_21_-_Deliverance_of_Jagai_%26_Madhai-2_Day-05_Radhanath_Swami.mp3</t>
  </si>
  <si>
    <t>Mayapur_Yatra_2003_23_-_Lecture_at_Srikhanda-1_Day-05_Radhanath_Swami.mp3</t>
  </si>
  <si>
    <t>Mayapur_Yatra_2003_24_-_Lecture_at_Srikhanda-2_Day-05_Radhanath_Swami.mp3</t>
  </si>
  <si>
    <t>Mayapur_Yatra_2003_25_-_Lecture_at_Srikhanda_Day-05_Ramesh_Chandra_Goswamiji.mp3</t>
  </si>
  <si>
    <t>Mayapur_Yatra_2003_26_-_Lecture_at_Gaudiya_Math_Day-06_Jananivas_Prabhu.mp3</t>
  </si>
  <si>
    <t>Mayapur_Yatra_2003_27_-_Lecture_at_Gaudiya_Math_Day-06_Krishnananda_Prabhu.mp3</t>
  </si>
  <si>
    <t>Mayapur_Yatra_2003_28_-_Lecture_at_Gaudiya_Math_Day-06_Govinda_Prabhu.mp3</t>
  </si>
  <si>
    <t>Mayapur_Yatra_2003_29_-_Lecture_at_Gaudiya_Math_Day-06_Radha_Gopinath_Prabhu.mp3</t>
  </si>
  <si>
    <t>Mayapur_Yatra_2003_30_-_Lecture_at_Gaudiya_Math_Day-06_Pankajanghri_Prabhu.mp3</t>
  </si>
  <si>
    <t>Mayapur_Yatra_2003_31_-_Lecture_at_Srivas_Angan-1_Day-06_Radhanath_Swami.mp3</t>
  </si>
  <si>
    <t>Mayapur_Yatra_2003_32_-_Lecture_at_Srivas_Angan-2_Day-06_Radhanath_Swami.mp3</t>
  </si>
  <si>
    <t>Mayapur_Yatra_2003_33_-_Lecture_at_Srivas_Angan-3_Day-06_Radhanath_Swami.mp3</t>
  </si>
  <si>
    <t>Mayapur_Yatra_2003_34_-_Lecture_at_Srivas_Angan-4_Day-06_Radhanath_Swami.mp3</t>
  </si>
  <si>
    <t>Mayapur_Yatra_2003_35_-_Lecture_at_Candrodaya_Mandir-1_Day-07_Radhanath_Swami.mp3</t>
  </si>
  <si>
    <t>Mayapur_Yatra_2003_36_-_Lecture_at_Candrodaya_Mandir-1_Day-07_Radhanath_Swami.mp3</t>
  </si>
  <si>
    <t>Mayapur_Yatra_2003_37_-_Lecture_at_Candrodaya_Mandir-2_Day-07_Radhanath_Swami.mp3</t>
  </si>
  <si>
    <t>Mayapur_Yatra_2003_38_-_Lecture_at_Gada_Garden_Day-07_Ramesh_Chandra_Goswamiji.mp3</t>
  </si>
  <si>
    <t>Mayapur_Yatra_2003_39_-_Srimad_Bhagavatam_Class-01_-_2001-02-20_Day-08_Radhanath_Swami.mp3</t>
  </si>
  <si>
    <t>Mayapur_Yatra_2003_40_-_Srimad_Bhagavatam_Class-02_-_2001-02-10_Day-08_Radhanath_Swami.mp3</t>
  </si>
  <si>
    <t>Mayapur_Yatra_2003_41_-_Lecture_at_Jagannath_Temple-01_Day-08_Radhanath_Swami_Jananivas_Pr_Pankajanghri_Pr.mp3</t>
  </si>
  <si>
    <t>Mayapur_Yatra_2003_42_-_Lecture_at_Jagannath_Temple-02_Day-08_Jananivas_Prabhu_%26_Pankajanghri_Prabhu.mp3</t>
  </si>
  <si>
    <t>Mayapur_Yatra_2003_43_-_Lecture_at_Sridhar_Aangan_Day-08_Radhanath_Swami.mp3</t>
  </si>
  <si>
    <t>Mayapur_Yatra_2003_44_-_Lecture_at_Chand_Kazi_Samadhi_Day-08_Radhanath_Swami.mp3</t>
  </si>
  <si>
    <t>Mayapur_Yatra_2003_45_-_Lecture_at_Mamgacchi_Day-09_Bhakti_Caru_Swami.mp3</t>
  </si>
  <si>
    <t>Mayapur_Yatra_2003_46_-_Lecture_at_Mamgacchi_Day-09_Radhanath_Swami.mp3</t>
  </si>
  <si>
    <t>Mayapur_Yatra_2003_47_-_Lecture_at_Mamgacchi_Day-09_Bhakti_Caru_Swami.mp3</t>
  </si>
  <si>
    <t>Mayapur_Yatra_2003_48_-_Lecture_at_Sarang_Thakur%27s_House_Day-09_Krishnananda_Prabhu.mp3</t>
  </si>
  <si>
    <t>Mayapur_Yatra_2003_49_-_Lecture_at_Vidyanagar_Day-09_Krishnananda_Prabhu.mp3</t>
  </si>
  <si>
    <t>Mayapur_Yatra_2003_51_-_Lecture_at_Bankim_Rai_Day-10_Radhanath_Swami.mp3</t>
  </si>
  <si>
    <t>Mayapur_Yatra_2003_52_-_Lecture_at_Kadamba_Kanini_Day-10_Radhanath_Swami.mp3</t>
  </si>
  <si>
    <t>Mayapur_Yatra_2003_53_-_Lecture_at_Ekchakra-1_Day-10_Radhanath_Swami.mp3</t>
  </si>
  <si>
    <t>Mayapur_Yatra_2003_54_-_Lecture_at_Ekchakra-2_Day-10_Radhanath_Swami.mp3</t>
  </si>
  <si>
    <t>Mayapur_Yatra_2003_55_-_Lecture_at_Ekchakra-3_Day-10_Radhanath_Swami.mp3</t>
  </si>
  <si>
    <t>Mayapur_Yatra_2003_56_-_Lecture_at_Murari_Gupta%27s_House-1_Day-11_Krishnananda_Prabhu.mp3</t>
  </si>
  <si>
    <t>Mayapur_Yatra_2003_57_-_Lecture_at_Murari_Gupta%27s_House-2_Day-11_Radhanath_Swami.mp3</t>
  </si>
  <si>
    <t>Mayapur_Yatra_2003_58_-_Lecture_at_Gada_Garden-1_Day-11_Radhanath_Swami.mp3</t>
  </si>
  <si>
    <t>Mayapur_Yatra_2003_59_-_Lecture_at_Gada_Garden-2_Day-11_Radhanath_Swami.mp3</t>
  </si>
  <si>
    <t>Mayapur_Yatra_2003_60_-_Lecture_at_Phulia-1_Day-12_Radhanath_Swami.mp3</t>
  </si>
  <si>
    <t>Mayapur_Yatra_2003_61_-_Lecture_at_Phulia-2_Day-12_-_Radhanath_Swami.mp3</t>
  </si>
  <si>
    <t>Mayapur_Yatra_2003_62_-_Lecture_at_Ambika_Kalna_Day-12_Radhanath_Swami.mp3</t>
  </si>
  <si>
    <t>Mayapur_Yatra_2003_63_-_Lecture_at_Shantipur-1_Day-12_Radhanath_Swami.mp3</t>
  </si>
  <si>
    <t>Mayapur_Yatra_2003_64_-_Lecture_at_Shantipur-2_Day-12_Radhanath_Swami.mp3</t>
  </si>
  <si>
    <t>Bangladesh_2004_01_-_Lecture_at_Benapole_-_HH_Radhanath_Swami.mp3</t>
  </si>
  <si>
    <t>Bangladesh_2004_02_-_Lecture_at_Benapole_-_HH_Indradyumna_Swami.mp3</t>
  </si>
  <si>
    <t>Bangladesh_2004_03_-_Lecture_at_Chittagoan_-_HH_Radhanath_Swami.mp3</t>
  </si>
  <si>
    <t>Bangladesh_2004_04_-_Lecture_at_Chittagoan_-_HH_Radhanath_Swami.mp3</t>
  </si>
  <si>
    <t>Bangladesh_2004_05_-_Lecture_at_Kheturi_Part-01_-_HH_Radhanath_Swami.mp3</t>
  </si>
  <si>
    <t>Bangladesh_2004_06_-_Lecture_at_Kheturi_Part-02_-_HH_Radhanath_Swami.mp3</t>
  </si>
  <si>
    <t>Bangladesh_2004_07_-_Lecture_at_Kheturi_Part-03_-_HH_Radhanath_Swami.mp3</t>
  </si>
  <si>
    <t>Bangladesh_2004_08_-_Lecture_at_Kheturi_Part-04_-_HH_Radhanath_Swami.mp3</t>
  </si>
  <si>
    <t>Bangladesh_2004_09_-_Lecture_at_Kheturi_Part-05_-_HH_Radhanath_Swami.mp3</t>
  </si>
  <si>
    <t>Bangladesh_2004_10_-_Ei_Baro_Karuna_Karo_-_HH_Radhanath_Swami_-_Jessore.mp3</t>
  </si>
  <si>
    <t>Bangladesh_2004_11_-_Hari_Hari_Bifale_Janama_-_HH_Radhanath_Swami_Kheturi.mp3</t>
  </si>
  <si>
    <t>Bangladesh_2004_12_-_Sad_Goswamiastakam_-_HH_Radhanath_Swami_Jessore.mp3</t>
  </si>
  <si>
    <t>Bangladesh_2004_13_-_Sri_Krsna_Caitanya_Prabhu_-_HH_Radhanath_Swami_Chittagaon.mp3</t>
  </si>
  <si>
    <t>Bangladesh_2004_14_-_Sri_Rupa_Manjari_Pada_-_HH_Radhanath_Swami_Jessore.mp3</t>
  </si>
  <si>
    <t>Bangladesh_2004_15_-_Kirtan_-_HH_Indradyumna_Swami.mp3</t>
  </si>
  <si>
    <t>Bangladesh_2004_16_-_Lecture_at_Chittagoan_-_HH_Indradyumna_Swami.mp3</t>
  </si>
  <si>
    <t>Bangladesh_2004_17_-_Kirtan_-_HH_Indradyumana_Swami_Jessore.mp3</t>
  </si>
  <si>
    <t>Bangladesh_2004_18_-_Talks_by_devotees_-_Srihatta.mp3</t>
  </si>
  <si>
    <t>01%20Day%203%20Memories%20of%20Srila%20Prabhupada%20in%20London-%20III.mp3</t>
  </si>
  <si>
    <t>02%20Day%203%20Memories%20of%20Srila%20Prabhupada%20in%20London-%20IV.mp3</t>
  </si>
  <si>
    <t>03%20Day%203%20Memories%20of%20Srila%20Prabhupada%20in%20London-%20V.mp3</t>
  </si>
  <si>
    <t>Pune_Yatra_2004_01_-_Arrival_Address_-_Radhanath_Swami.mp3</t>
  </si>
  <si>
    <t>Pune_Yatra_2004_11_-_Srimad_Bhagavatam_-_Radhanath_Maharaj.mp3</t>
  </si>
  <si>
    <t>Pune_Yatra_2004_12_-_Memories_of_Srila_Prabhupada_in_India-01_-_Gurudas_Pr_Shyamsundar_Pr_Malati_Mataji.mp3</t>
  </si>
  <si>
    <t>Pune_Yatra_2004_15_-_Concluding_Speech-02_-_HG_Malati_Mataji_HG_Yadubar_Pr_HG_Vishakha_Mataji_HH_Radhanath_Sw.mp3</t>
  </si>
  <si>
    <t>Y04PU01_Arrival_Address_Radhanath_Swami.mp3</t>
  </si>
  <si>
    <t>Y04PU03%20_Memories_of_Srila_Prabhupada_in_San_Francisco_1_Gurudas_Prabhu_Shyamsundar_Prabhu_Malati_Mataji.mp3</t>
  </si>
  <si>
    <t>Y04PU04%20_Memories_of_Srila_Prabhupada_in_San_Francisco_2_Gurudas_Prabhu_Shyamsundar_Prabhu_Malati_Mataji.mp3</t>
  </si>
  <si>
    <t>Y04PU05%20_Memories_of_Srila_Prabhupada_in_San_Francisco_3_Gurudas_Prabhu_Shyamsundar_Prabhu_Malati_Mataji.mp3</t>
  </si>
  <si>
    <t>Y04PU06_Memories_of_Srila_Prabhupada_in_London-2_Gurudas_Prabhu_Shyamsundar_Prabhu_Malati_Mataji.mp3</t>
  </si>
  <si>
    <t>Y04PU08_Memories_of_Srila_Prabhupada_in_London-3_Gurudas_Prabhu_Shyamsundar_Prabhu_Malati_Mataji.mp3</t>
  </si>
  <si>
    <t>Y04PU09_Memories_of_Srila_Prabhupada_in_London-4_Gurudas_Prabhu_Shyamsundar_Prabhu_Malati_Mataji.mp3</t>
  </si>
  <si>
    <t>Y04PU10_Memories_of_Srila_Prabhupada_in_London-5_Gurudas_Prabhu_Shyamsundar_Prabhu_Malati_Mataji.mp3</t>
  </si>
  <si>
    <t>Y04PU11_Srimad_Bhagavatam_Radhanath_Maharaj.mp3</t>
  </si>
  <si>
    <t>Y04PU12_Memories_of_Srila_Prabhupada_in_India-1_Gurudas_Pr_Shyamsundar_Pr_Malati_Mataji.mp3</t>
  </si>
  <si>
    <t>05_-_Vrindavan_Yatra_2004_-_Kirtan_-_Radhanath_Swami_-_ISKCON_Chowpatty.mp3</t>
  </si>
  <si>
    <t>06_-_Vrindavan_Yatra_2004_-_Krishna%27s_Pastimes_at_Sringara_Vata_-_Radhanath_Swami_-_ISKCON_Chowpatty.mp3</t>
  </si>
  <si>
    <t>07_-_Vrindavan_Yatra_2004_-_Keshi%27s_Pride_and_Yamuna%27s_Mercy_-_Radhanath_Swami_-_ISKCON_Chowpatty.mp3</t>
  </si>
  <si>
    <t>10_-_Vrindavan_Yatra_2004_-_Being_Conscious_of_the_Holy_Dhama_-_Radhanath_Swami_-_ISKCON_Chowpatty.mp3</t>
  </si>
  <si>
    <t>12_-_Vrindavan_Yatra_2004_-_Wonderful_Pastimes_of_Varsana_-_Radhanath_Swami_-_ISKCON_Chowpatty.mp3</t>
  </si>
  <si>
    <t>14_-_Vrindavan_Yatra_2004_-_Surrendering_with_Sincere_Prayers_-_Radhanath_Swami_-_ISKCON_Chowpatty.mp3</t>
  </si>
  <si>
    <t>15_-_Vrindavan_Yatra_2004_-_Sri_Rupa_Manjari_Pada_-_Radhanath_Swami_-_ISKCON_Chowpatty.mp3</t>
  </si>
  <si>
    <t>16_-_Vrindavan_Yatra_2004_-_Divine_Pastimes_of_the_Goswamis_-_Radhanath_Swami_-_ISKCON_Chowpatty.mp3</t>
  </si>
  <si>
    <t>17_-_Vrindavan_Yatra_2004_-_The_Seven_Main_Temples_of_Vrindavan_-_Radhanath_Swami_-_ISKCON_Chowpatty.mp3</t>
  </si>
  <si>
    <t>18_-_Vrindavan_Yatra_2004_-_Vamsivata_Kirtan_-_Radhanath_Swami_-_ISKCON_Chowpatty.mp3</t>
  </si>
  <si>
    <t>19_-_Vrindavan_Yatra_2004_-_Pastimes_at_Gokula_Mahavana_-_Radhanath_Swami_-_ISKCON_Chowpatty.mp3</t>
  </si>
  <si>
    <t>21_-_Vrindavan_Yatra_2004_-_Prayers_to_Begin_Govardhana_Parikrama_-_Radhanath_Swami_-_ISKCON_Chowpatty.mp3</t>
  </si>
  <si>
    <t>22_-_Vrindavan_Yatra_2004_-_The_Shyamantaka_Jewel_-_Radhanath_Swami_-_ISKCON_Chowpatty.mp3</t>
  </si>
  <si>
    <t>23_-_Vrindavan_Yatra_2004_-_The_Lilas_of_Manasi_Ganga_-_Radhanath_Swami_-_ISKCON_Chowpatty.mp3</t>
  </si>
  <si>
    <t>24_-_Vrindavan_Yatra_2004_-_Tax_Collection_Pastimes_-_Radhanath_Swami_-_ISKCON_Chowpatty.mp3</t>
  </si>
  <si>
    <t>25_-_Vrindavan_Yatra_2004_-_Taking_the_Prasadam_of_Srila_Prabhupada_-_Radhanath_Swami_-_ISKCON_Chowpatty.mp3</t>
  </si>
  <si>
    <t>26_-_Vrindavan_Yatra_2004_-_Krishna-The_King_of_Vraja_-_Radhanath_Swami_-_ISKCON_Chowpatty.mp3</t>
  </si>
  <si>
    <t>27_-_Vrindavan_Yatra_2004_-_Melting_Lords_Melting_Hearts_-_Radhanath_Swami_-_ISKCON_Chowpatty.mp3</t>
  </si>
  <si>
    <t>28_-_Vrindavan_Yatra_2004_-_The_Power_of_Forgiveness_-_Radhanath_Swami_-_ISKCON_Chowpatty.mp3</t>
  </si>
  <si>
    <t>29_-_Vrindavan_Yatra_2004_-_The_Lifting_of_Govardhana_Hill_-_Radhanath_Swami_-_ISKCON_Chowpatty.mp3</t>
  </si>
  <si>
    <t>30_-_Vrindavan_Yatra_2004_-_Serving_the_Mission_of_Srila_Prabhupada_-_Radhanath_Swami_-_ISKCON_Chowpatty.mp3</t>
  </si>
  <si>
    <t>31_-_Vrindavan_Yatra_2004_-_The_Mood_of_Uddhava_in_Vrindavan_-_Radhanath_Swami_-_ISKCON_Chowpatty.mp3</t>
  </si>
  <si>
    <t>32_-_Vrindavan_Yatra_2004_-_Sri_Mukta_Carita-The_Pearl_Pastime_-_Radhanath_Swami_-_ISKCON_Chowpatty.mp3</t>
  </si>
  <si>
    <t>33_-_Vrindavan_Yatra_2004_-_The_Identity_of_a_Devotee_-_Radhanath_Swami_-_ISKCON_Chowpatty.mp3</t>
  </si>
  <si>
    <t>34_-_Vrindavan_Yatra_2004_-_Parikrama_Completion_Prayers_-_Radhanath_Swami_-_ISKCON_Chowpatty.mp3</t>
  </si>
  <si>
    <t>35_-_Vrindavan_Yatra_2004_-_Gay_Goracand_Jiver_Tore_-_Radhanath_Swami_-_ISKCON_Chowpatty.mp3</t>
  </si>
  <si>
    <t>36_-_Vrindavan_Yatra_2004_-_Rupa_Goswami%27s_Beautiful_Bhajan_Kutir_-_Radhanath_Swami_-_ISKCON_Chowpatty.mp3</t>
  </si>
  <si>
    <t>37_-_Vrindavan_Yatra_2004_-_Brahma-Vimohana_Lila_-_Radhanath_Swami_-_ISKCON_Chowpatty.mp3</t>
  </si>
  <si>
    <t>38_-_Vrindavan_Yatra_2004_-_The_Wonderful_Lilas_at_Ter_Kadamba_-_Radhanath_Swami_-_ISKCON_Chowpatty.mp3</t>
  </si>
  <si>
    <t>39_-_Vrindavan_Yatra_2004_-_Giving_Krishna_Tilll_the_Last_Breath_-_Radhanath_Swami_-_ISKCON_Chowpatty.mp3</t>
  </si>
  <si>
    <t>40_-_Vrindavan_Yatra_2004_-_The_Braja_Lila_Planning_Commission_-_Radhanath_Swami_-_ISKCON_Chowpatty.mp3</t>
  </si>
  <si>
    <t>42_-_Vrindavan_Yatra_2004_-_The_Sacred_Lake_of_Nandagaon_-_Radhanath_Swami_-_ISKCON_Chowpatty.mp3</t>
  </si>
  <si>
    <t>43_-_Vrindavan_Yatra_2004_-_The_Mood_of_Entering_Vrindavan_-_Radhanath_Swami_-_ISKCON_Chowpatty.mp3</t>
  </si>
  <si>
    <t>44_-_Vrindavan_Yatra_2004_-_Vande_Krishna_Nanda_Kumara_-_Radhanath_Swami_-_ISKCON_Chowpatty.mp3</t>
  </si>
  <si>
    <t>45_-_Vrindavan_Yatra_2004_-_Ami_Yamuna_Puline_-_Radhanath_Swami_-_ISKCON_Chowpatty.mp3</t>
  </si>
  <si>
    <t>46_-_Vrindavan_Yatra_2004_-_Kirtan_at_Nandagaon_-_Radhanath_Swami_-_ISKCON_Chowpatty.mp3</t>
  </si>
  <si>
    <t>47_-_Vrindavan_Yatra_2004_-_Kirtan_at_Radha_Kunda_-_Radhanath_Swami_-_ISKCON_Chowpatty.mp3</t>
  </si>
  <si>
    <t>48_-_Vrindavan_Yatra_2004_-_The_Marriage_of_Radha_and_Krishna_-_Radhanath_Swami_-_ISKCON_Chowpatty.mp3</t>
  </si>
  <si>
    <t>49_-_Vrindavan_Yatra_2004_-_The_Glories_of_Radha_Kunda_-_Radhanath_Swami_-_ISKCON_Chowpatty.mp3</t>
  </si>
  <si>
    <t>50_-_Vrindavan_Yatra_2004_-_The_Killing_of_Pralambasura_-_Radhanath_Swami_-_ISKCON_Chowpatty.mp3</t>
  </si>
  <si>
    <t>51_-_Vrindavan_Yatra_2004_-_Repairing_the_Weak_Heart_-_Radhanath_Swami_-_ISKCON_Chowpatty.mp3</t>
  </si>
  <si>
    <t>52_-_Vrindavan_Yatra_2004_-_Trancendental_Youth_Tie_the_Knot_-_Radhanath_Swami_-_ISKCON_Chowpatty.mp3</t>
  </si>
  <si>
    <t>53_-_Vrindavan_Yatra_2004_-_Bathing_with_Strong_Faith_-_Radhanath_Swami_-_ISKCON_Chowpatty.mp3</t>
  </si>
  <si>
    <t>54_-_Vrindavan_Yatra_2004_-_Dancing_in_Small_Circles_Kirtan_-_Radhanath_Swami_-_ISKCON_Chowpatty.mp3</t>
  </si>
  <si>
    <t>55_-_Vrindavan_Yatra_2004_-_Lokanath_Goswami%27s_Simple_Nature_-_Radhanath_Swami_-_ISKCON_Chowpatty.mp3</t>
  </si>
  <si>
    <t>56_-_Vrindavan_Yatra_2004_-_The_Glories_of_Devamrta_Prabhu_-_Radhanath_Swami_-_ISKCON_Chowpatty.mp3</t>
  </si>
  <si>
    <t>57_-_Vrindavan_Yatra_2004_-_The_Deceptive_Mentality_of_Bakasura_-_Radhanath_Swami_-_ISKCON_Chowpatty.mp3</t>
  </si>
  <si>
    <t>58_-_Vrindavan_Yatra_2004_-_Your_day_in_Vrindavan_-_Radhanath_Swami_-_ISKCON_Chowpatty.mp3</t>
  </si>
  <si>
    <t>59_-_Vrindavan_Yatra_2004_-_Lalita_Sakhi%27s_Schemes_-_Radhanath_Swami_-_ISKCON_Chowpatty.mp3</t>
  </si>
  <si>
    <t>60_-_Vrindavan_Yatra_2004_-_The_Mood_of_a_Selfless_Servant_-_Radhanath_Swami_-_ISKCON_Chowpatty.mp3</t>
  </si>
  <si>
    <t>61_-_Vrindavan_Yatra_2004_-_Kirtan_at_Radha_Gopijanavallabha_Mandir_-_Radhanath_Swami_-_ISKCON_Chowpatty.mp3</t>
  </si>
  <si>
    <t>62_-_Vrindavan_Yatra_2004_-_Qualifications_to_Enter_the_Holy_Dhama_-_Radhanath_Swami_-_ISKCON_Chowpatty.mp3</t>
  </si>
  <si>
    <t>64_-_Vrindavan_Yatra_2004_-_The_Lilas_of_Lalita_Sakhi_-_Radhanath_Swami_-_ISKCON_Chowpatty.mp3</t>
  </si>
  <si>
    <t>67_-_Vrindavan_Yatra_2004_-_Compassion_of_Srimati_Radharani_-_Radhanath_Swami_-_ISKCON_Chowpatty.mp3</t>
  </si>
  <si>
    <t>68_-_Vrindavan_Yatra_2004_-_The_Greatest_Moment_of_Need_-_Radhanath_Swami_-_ISKCON_Chowpatty.mp3</t>
  </si>
  <si>
    <t>69_-_Vrindavan_Yatra_2004_-_Intoxicated_State_of_Prema_-_Radhanath_Swami_-_ISKCON_Chowpatty.mp3</t>
  </si>
  <si>
    <t>70_-_Vrindavan_Yatra_2004_-_Our_Hero_Balarama_-_Radhanath_Swami_-_ISKCON_Chowpatty.mp3</t>
  </si>
  <si>
    <t>71_-_Vrindavan_Yatra_2004_-_The_Glories_of_Lord_Balarama_-_Radhanath_Swami_-_ISKCON_Chowpatty.mp3</t>
  </si>
  <si>
    <t>72_-_Vrindavan_Yatra_2004_-_Gay_Goracand_Jiver_Tore_-_Radhanath_Swami_-_ISKCON_Chowpatty.mp3</t>
  </si>
  <si>
    <t>73_-_Vrindavan_Yatra_2004_-_Brahma-Vimohana_Lila_-_Radhanath_Swami_-_ISKCON_Chowpatty.mp3</t>
  </si>
  <si>
    <t>74_-_Vrindavan_Yatra_2004_-_Giving_Krishna_Tilll_the_Last_Breath_-_Radhanath_Swami_-_ISKCON_Chowpatty.mp3</t>
  </si>
  <si>
    <t>76_-_Vrindavan_Yatra_2004_-_The_Mood_of_Entering_Vrindavan_-_Radhanath_Swami_-_ISKCON_Chowpatty.mp3</t>
  </si>
  <si>
    <t>77_-_Vrindavan_Yatra_2004_-_Ami_Yamuna_Puline_-_Radhanath_Swami_-_ISKCON_Chowpatty.mp3</t>
  </si>
  <si>
    <t>78_-_Vrindavan_Yatra_2004_-_The_Marriage_of_Radha_and_Krishna_-_Radhanath_Swami_-_ISKCON_Chowpatty.mp3</t>
  </si>
  <si>
    <t>79_-_Vrindavan_Yatra_2004_-_The_Killing_of_Pralambasura_-_Radhanath_Swami_-_ISKCON_Chowpatty.mp3</t>
  </si>
  <si>
    <t>80_-_Vrindavan_Yatra_2004_-_Trancendental_Youth_Tie_the_Knot_-_Radhanath_Swami_-_ISKCON_Chowpatty.mp3</t>
  </si>
  <si>
    <t>81_-_Vrindavan_Yatra_2004_-_Dancing_in_Small_Circles_Kirtan_-_Radhanath_Swami_-_ISKCON_Chowpatty.mp3</t>
  </si>
  <si>
    <t>82_-_Vrindavan_Yatra_2004_-_The_Glories_of_Devamrta_Prabhu_-_Radhanath_Swami_-_ISKCON_Chowpatty.mp3</t>
  </si>
  <si>
    <t>83_-_Vrindavan_Yatra_2004_-_Your_day_in_Vrindavan_-_Radhanath_Swami_-_ISKCON_Chowpatty.mp3</t>
  </si>
  <si>
    <t>84_-_Vrindavan_Yatra_2004_-_The_Mood_of_a_Selfless_Servant_-_Radhanath_Swami_-_ISKCON_Chowpatty.mp3</t>
  </si>
  <si>
    <t>85_-_Vrindavan_Yatra_2004_-_Kirtan_at_Radha_Gopijanavallabha_Mandir_-_Radhanath_Swami_-_ISKCON_Chowpatty.mp3</t>
  </si>
  <si>
    <t>SIY_Tirupati_01_-_Mangalacharana_-_Radhanath_Swami.mp3</t>
  </si>
  <si>
    <t>SIY_Tirupati_02_-_Establishing_the_Spirit_of_Yatra_-_Radhanath_Swami.mp3</t>
  </si>
  <si>
    <t>SIY_Tirupati_03_-_Lord_Srinivas%27s_Separation_For_Lakshmi_Devi_-_Radhanath_Swami.mp3</t>
  </si>
  <si>
    <t>SIY_Tirupati_04_-_Vedavati_The_Emblem_of_Chastity_and_Patience_-_Radhanath_Swami.mp3</t>
  </si>
  <si>
    <t>SIY_Tirupati_05_-_Behaviour_of_An_Ideal_Disciple_-_Radhanath_Swami.mp3</t>
  </si>
  <si>
    <t>SIY_Tirupati_06_-_Qualities_of_a_True_Vaisnava_-_Radhanath_Swami.mp3</t>
  </si>
  <si>
    <t>SIY_Kanchipuram_04_-_Ramanuja_Accepts_Sannyas_-_Radhanath_Swami.mp3</t>
  </si>
  <si>
    <t>SIY_Kanchipuram_06_-_Ramanuja%27s_pastimes_-_Radhanath_Swami.mp3</t>
  </si>
  <si>
    <t>SIY_Kanchipuram_09_-_Glorious_Departure_of_Quresh_-_Radhanath_Swami.mp3</t>
  </si>
  <si>
    <t>SIY_Sri_Rangam_02_-_History_of_the_Sri_Rangam_Temple_-_Radhanath_Swami.mp3</t>
  </si>
  <si>
    <t>SIY_Sri_Rangam_03_-_Keeping_the_Spirit_of_the_Parampara_Alive_-_Radhanath_Swami.mp3</t>
  </si>
  <si>
    <t>SIY_Sri_Rangam_04_-_Mahaprabhu_Begins_his_South_India_Tour_-_Radhanath_Swami.mp3</t>
  </si>
  <si>
    <t>SIY_Sri_Rangam_05_-_Mahaprabhu_Delivers_Vasudeva_the_Leper_-_Radhanath_Swami.mp3</t>
  </si>
  <si>
    <t>SIY_Sri_Rangam_08_-_Glorification_of_Gaudiya_Sampradaya_-_Radhanath_Swami.mp3</t>
  </si>
  <si>
    <t>SIY_Sri_Rangam_13_-_Kirtan_at_Sri_Rangam_Temple-04_-_Radhanath_Swami.mp3</t>
  </si>
  <si>
    <t>SIY_Rameshwaram_02_-_%20Mighty_Hanuman%27s_Mighty_Deeds_-_Radhanath_Swami.mp3</t>
  </si>
  <si>
    <t>SIY_Rameshwaram_03_-_Vibhishana%27s_Advice_to_Ravana%27s_Plot_-_Radhanath_Swami.mp3</t>
  </si>
  <si>
    <t>SIY_Rameshwaram_04_-_Vibhishana_Surrenders_To_Lord_Rama_-_Radhanath_Swami.mp3</t>
  </si>
  <si>
    <t>SIY_Rameshwaram_05_-_Sacrifice_of_Lord_Laksman_-_Radhanath_Swami.mp3</t>
  </si>
  <si>
    <t>SIY_Rameshwaram_06_-_Glories_of_King_Kulashekar_and_Andal_Alwar_-_Radhanath_Swami.mp3</t>
  </si>
  <si>
    <t>SIY_Madurai_01_-_Significance_of_Darbha_Shayana_-_Radhanath_Swami.mp3</t>
  </si>
  <si>
    <t>SIY_Madurai_02_-_Realizations_at_Rshabh_Hill_-_Rameshchand_Goswami_Nityodita_Prabhu.mp3</t>
  </si>
  <si>
    <t>SIY_Madurai_03_-_Realizations_of_-_Radhanath_Swami.mp3</t>
  </si>
  <si>
    <t>SIY_Madurai_04_-_Realizations_of_HG_Shyamasundar_Prabhu.mp3</t>
  </si>
  <si>
    <t>SIY_Madurai_05_-_Realizations_of_HG_Tribhangananda_Prabhu.mp3</t>
  </si>
  <si>
    <t>SIY_Madurai_06_-_Realizations_of_HG_Yadavacarya_Prabhu.mp3</t>
  </si>
  <si>
    <t>SIY_Madurai_07_-_Realizations_of_HG_Amohamoha_Mataji.mp3</t>
  </si>
  <si>
    <t>SIY_Madurai_08_-_Realizations_of_HG_Nartaki_Mataji.mp3</t>
  </si>
  <si>
    <t>Pune_yatra_2005_01_-_Inaugural_Class_Day-01_-_Radhanath_Swami.mp3</t>
  </si>
  <si>
    <t>Pune_yatra_2005_02_-_Inaugural_Class_Day-01_-_Srila_Prabhupada%27s_various_Disciple.mp3</t>
  </si>
  <si>
    <t>Pune_yatra_2005_03_-_Seeing_Krishna_Day-02_-_Devamrita_Swami.mp3</t>
  </si>
  <si>
    <t>Pune_yatra_2005_04_-_Questions_and_Answers_Day-02_-_Srila_Prabhupada%27s_Various_Disciple.mp3</t>
  </si>
  <si>
    <t>Pune_yatra_2005_07_-_Lecture_Day-03_-_Bhakti_Charu_Swami.mp3</t>
  </si>
  <si>
    <t>Pune_yatra_2005_08_-_Questions_and_Answers_Day-03_Srila_Prabhupada%27s_Various_Disciple.mp3</t>
  </si>
  <si>
    <t>Pune_yatra_2005_09_-_Association_of_Devotees_Day-04_-_Niranjana_Swami.mp3</t>
  </si>
  <si>
    <t>Pune_yatra_2005_10_-_Lecture_Day-04_-_Lokanath_Swami.mp3</t>
  </si>
  <si>
    <t>Pune_yatra_2005_11_-_Concluding_Speech_Day-04_-_Srila_Prabhupada%27s_Various_Disciple.mp3</t>
  </si>
  <si>
    <t>Pune_yatra_2005_12_-_Concluding_Speech_Day-04_-_Radhanath_Swami.mp3</t>
  </si>
  <si>
    <t>Mayapur_Yatra_2007-11-05_Birth_and_Childhood_pastimes_of_Nimai_Radhanath_Swami.MP3</t>
  </si>
  <si>
    <t>Mayapur_Yatra_2007-11-05_Jagannath_Pastime_Simanta_Dwipa_Radhanath_Swami.MP3</t>
  </si>
  <si>
    <t>Mayapur_Yatra_2007-11-05_SB_Class_CC_Conclusion_Srila_Prabhupada_Giriraj_Swami.MP3</t>
  </si>
  <si>
    <t>Mayapur_Yatra_2007-11-06_Mahaprakasha_Lila_Mayapur_Iskcon_Radhanath_Swami.MP3</t>
  </si>
  <si>
    <t>Mayapur_Yatra_2007-11-07_Chand_Kazi_Kolevech_Sridhar_Srivas_Son_Dying_lila_Radhanath_Swami.MP3</t>
  </si>
  <si>
    <t>Mayapur_Yatra_2007-11-08_Bhakta_Sesa_prabhu_Madhyam_Dvip_Naimasaranya.MP3</t>
  </si>
  <si>
    <t>Mayapur_Yatra_2007-11-08_Jagai_Madhai_Radhanath_Swami.MP3</t>
  </si>
  <si>
    <t>Mayapur_Yatra_2007-11-08_Madhyam_Dvip_Radhanath_Swami.MP3</t>
  </si>
  <si>
    <t>Mayapur_Yatra_2007-11-09_Kumar-Huta_Birth_Place_Iswar_Puri_Radhanath_Swami.MP3</t>
  </si>
  <si>
    <t>Mayapur_Yatra_2007-11-12_Nityananda_Katha_Radhanath_Swami_Mayapur_Iskcon.MP3</t>
  </si>
  <si>
    <t>Mayapur_Yatra_2007-11-12_SB_03_09_08_Indradyumna_Swami.MP3</t>
  </si>
  <si>
    <t>Mayapur_Yatra_2007-11-13_Bhakti_Purushottam_Swami_Mayapur_Iskcon.MP3</t>
  </si>
  <si>
    <t>Mayapur_Yatra_2007-11-13_Srila_Prabhupada_Jayapataka_Swami.MP3</t>
  </si>
  <si>
    <t>Mayapur_Yatra_2007-11-13_Srila_Prabhupada_Katha_Indradyumna_Swami%2C%20UmaS%2CBhavaP%2CVayaP.MP3</t>
  </si>
  <si>
    <t>Mayapur_Yatra_2007-11-13_Srila_Prabhupada_Katha_PankajP_JanP_AnuttaP_MalatiM.MP3</t>
  </si>
  <si>
    <t>Mayapur_Yatra_2007-11-14_Srila_Prabhupada_Memories_Bhavananada_Prabhu.MP3</t>
  </si>
  <si>
    <t>Mayapur_Yatra_2007-11-14_Srila_Prabhupada_Memories_Giriraj_Swami.MP3</t>
  </si>
  <si>
    <t>Mayapur_Yatra_2007-11-14_Srila_Prabhupada_Memories_Grahila_Prabhu.MP3</t>
  </si>
  <si>
    <t>Mayapur_Yatra_2007-11-14_Srila_Prabhupada_Memories_Kulshekhara_Prabhu.MP3</t>
  </si>
  <si>
    <t>Mayapur_Yatra_2007-11-14_Srila_Prabhupada_Offerings_Hrishikesh_Prabhu%20Ambrish%20Prabhu.MP3</t>
  </si>
  <si>
    <t>Mayapur_Yatra_2007-11-14_Srila_Prabhupada_Offerings_Indradyumna_Swami.MP3</t>
  </si>
  <si>
    <t>Mayapur_Yatra_2007-11-14_Srila_Prabhupada_Offerings_Jayapataka_Swami.MP3</t>
  </si>
  <si>
    <t>Mayapur_Yatra_2007-11-14_Srila_Prabhupada_Offerings_Malati_Mataji.MP3</t>
  </si>
  <si>
    <t>Mayapur_Yatra_2007-11-14_Srila_Prabhupada_Offerings_Nartaki_Mataji.MP3</t>
  </si>
  <si>
    <t>Mayapur_Yatra_2007-11-14_Srila_Prabhupada_Offerings_Nityodita_Prabhu.MP3</t>
  </si>
  <si>
    <t>Mayapur_Yatra_2007-11-14_Srila_Prabhupada_Offerings_Radhanath_Swami.MP3</t>
  </si>
  <si>
    <t>Mayapur_Yatra_2007-11-14_Srila_Prabhupada_Offerings_Rohinipriya_Mataji.MP3</t>
  </si>
  <si>
    <t>Mayapur_Yatra_2007-11-14_Srila_Prabhupada_Offerings_Sri_Raga_Prabhu.MP3</t>
  </si>
  <si>
    <t>Mayapur_Yatra_2007-11-14_Srila_Prabhupada_Offerings_Umapati_Swami.MP3</t>
  </si>
  <si>
    <t>Mayapur_Yatra_2007-11-15_Jayapataka_Swami_Radhanath_Swami_Modrum_Dwip_Mamgacchi.MP3</t>
  </si>
  <si>
    <t>Mayapur_Yatra_2007-11-15_Lord_Nityananda_Radhanath_Swami_Mayapur_Iskcon.MP3</t>
  </si>
  <si>
    <t>Mayapur_Yatra_2007-11-16_Govinda_Prabhu%20Krishnananda_Prabhu_Caitanya_Math.MP3</t>
  </si>
  <si>
    <t>Mayapur_Yatra_2007-11-16_SB_03_09_11_Indradyumna_Swami.MP3</t>
  </si>
  <si>
    <t>Pune_Yatra_01_Pastimes_of_Advaita_Acharya_Radhanath_Swami_2007-01-25.mp3</t>
  </si>
  <si>
    <t>Pune_Yatra_02_Gaur_Arati_%26_Kirtan_Gaurvani_Prabhu_2007-01-25.mp3</t>
  </si>
  <si>
    <t>Pune_Yatra_03_Kirtan_Sivram_Prabhu_2007-01-26.mp3</t>
  </si>
  <si>
    <t>Pune_Yatra_04_Parama_Koruna_Bhajan_Swaroop_Damodar_Prabhu_2007-01-26.mp3</t>
  </si>
  <si>
    <t>Pune_Yatra_05_Hey_Govinda_Hey_Gopal_Bhajan_Swaroop_Damodar_Prabhu_2007-01-26.mp3</t>
  </si>
  <si>
    <t>Pune_Yatra_06_Glories_of_Bhismadev_Radhanath_Swami_2007-01-26.mp3</t>
  </si>
  <si>
    <t>Pune_Yatra_07_Welcome_Address_Appreciation_2007-01-26.mp3</t>
  </si>
  <si>
    <t>Pune_Yatra_08_Gaur_Arat_iEvening_Kirtan_Gaurvani_Prabhu_2007-01-26.mp3</t>
  </si>
  <si>
    <t>Pune_Yatra_09_Narsimha_Arati_Pankajangahi_Prabhu_2007-01-26.mp3</t>
  </si>
  <si>
    <t>Pune_Yatra_10_Sripad_Madhvacarya_Radhanath_Swami_2007-01-27.mp3</t>
  </si>
  <si>
    <t>Pune_Yatra_11_Mayapur_Experience_Realization_Jananivas_Prabhu_%26_Pankajanghari_Prabhu_2007-01-27.mp3</t>
  </si>
  <si>
    <t>Pune_Yatra_12_Realizations_Chandramouli_Swami_2007-01-27.mp3</t>
  </si>
  <si>
    <t>Pune_Yatra_13_Question_%26_Answers_Radhanath_Swami_Chandramouli_Swami_Jananivas_Prabhu_Pankajanghari_Prabhu.mp3</t>
  </si>
  <si>
    <t>Pune_Yatra_14_Kirtan_Gaurvani_Prabhu_2007-01-27.mp3</t>
  </si>
  <si>
    <t>Pune_Yatra_15_Question_%26_Answers_Radhanath_Swami_Chandramouli_Swami_Jananivas_Prabhu_Pankajanghari_Prabhu.mp3</t>
  </si>
  <si>
    <t>Pune_Yatra_16_Glorifying_Bhakti_Swaroop_Damoda_rSwami_Radhanath_Swami_2007-01-28.mp3</t>
  </si>
  <si>
    <t>Pune_Yatra_17_Concluding_Lecture_All_Speakers_2007-01-28.mp3</t>
  </si>
  <si>
    <t>Yatra_Pune_2008-01-24_01_Inaugural_Kirtan_Radhanath_Swami.mp3</t>
  </si>
  <si>
    <t>Yatra_Pune_2008-01-24_02_Inaugural_Lecture_For_Pune_Yatra_Radhanath_Swami.mp3</t>
  </si>
  <si>
    <t>Yatra_Pune_2008-01-25_03_Do_Not_Become_A_Prisoner_Of_Success_SB-06-11-24-26_Radhanath_Swami.mp3</t>
  </si>
  <si>
    <t>Yatra_Pune_2008-01-25_04_Q%26A_Session_Radhanath_Swami_Chandramauli_Swami_Mahamuni_Pr_Soma_Pr.mp3</t>
  </si>
  <si>
    <t>Yatra_Pune_2008-01-26_05_Absorbing_Oneself_In_Hari_Katha_%26_Hari_Kirtan_SB-10-01-13_Radhanath_Swami.mp3</t>
  </si>
  <si>
    <t>Yatra_Pune_2008-01-26_06_Prayers_Of_Lord_Caitanya_Chandramauli_Swami.mp3</t>
  </si>
  <si>
    <t>Yatra_Pune_2008-01-26_07_Questions_%26_Answers_Session_Radhanath_Swami_Chandramauli_Swami.mp3</t>
  </si>
  <si>
    <t>Yatra_Pune_2008-01-27_08_No_Mercy-No_Understanding_SB-01-08-29_Radhanath_Swami.mp3</t>
  </si>
  <si>
    <t>Yatra_Pune_2008-01-27_09_Questions_%26_Answers_Session_Chandramauli_Swami_Radhanath_Swami.mp3</t>
  </si>
  <si>
    <t>Yatra_Pune_2008-01-27_10_Closing_Session_Of_Pune_Yatra_Radhanath_Swami_Candramauli_Swami_Mahamuni_Pr.mp3</t>
  </si>
  <si>
    <t>01_-_Vrindavan_Yatra_2008_-_Mood_In_The_Spiritual_World_Temples_Of_Vrindavan_Part-01_-_Radhanath_Swami.mp3</t>
  </si>
  <si>
    <t>02_-_Vrindavan_Yatra_2008_-_Mood_In_The_Spiritual_World_Temples_Of_Vrindavan_Part-02_-_Radhanath_Swami.mp3</t>
  </si>
  <si>
    <t>03_-_Vrindavan_Yatra_2008_-_Mood_In_The_Spiritual_World_Temples_Of_Vrindavan_Part-03_-_Radhanath_Swami.mp3</t>
  </si>
  <si>
    <t>04_-_Vrindavan_Yatra_2008_-_Krsna%27s_Pastimes_In_Mahavan_Killing_Of_Putana_-_Radhanath_Swami.mp3</t>
  </si>
  <si>
    <t>05_-_Vrindavan_Yatra_2008_-_Krsna%27s_Pastimes_In_Mahavan_Killing_Of_Sakatasura_-_Radhanath_Swami.mp3</t>
  </si>
  <si>
    <t>07_-_Vrindavan_Yatra_2008_-_Govardhan_Pastimes_Part-01_-_Radhanath_Swami.mp3</t>
  </si>
  <si>
    <t>08_-_Vrindavan_Yatra_2008_-_Govardhan_Pastimes_Part-02_-_Radhanath_Swami.mp3</t>
  </si>
  <si>
    <t>09_-_Vrindavan_Yatra_2008_-_Pastime_of_Krishna_at_Bramhand_Kund_-_Radhanath_Swami.mp3</t>
  </si>
  <si>
    <t>10_-_Vrindavan_Yatra_2008_-_Pastime_of_Krishna_at_Gokul_-_Radhanath_Swami.mp3</t>
  </si>
  <si>
    <t>11_-_Vrindavan_Yatra_2008_-_Significance_Of_Mana_Sarovar_-_Radhanath_Swami.mp3</t>
  </si>
  <si>
    <t>12_-_Vrindavan_Yatra_2008_-_Brahma_Vimohan_Lila_Part-01_-_Radhanath_Swami.mp3</t>
  </si>
  <si>
    <t>13_-_Vrindavan_Yatra_2008_-_Brahma_Vimohan_Lila_Part-02_-_Radhanath_Swami.mp3</t>
  </si>
  <si>
    <t>14_-_Vrindavan_Yatra_2008_-_Govardhan_Parikrama_Through_Sound_Vibration_Part-01_-_Radhanath_Swami.mp3</t>
  </si>
  <si>
    <t>15_-_Vrindavan_Yatra_2008_-_Govardhan_Parikrama_Through_Sound_Vibration_Part-02_-_Radhanath_Swami.mp3</t>
  </si>
  <si>
    <t>16_-_Vrindavan_Yatra_2008_-_Delivarance_Of_DhenukasurArishtasura_Part-01_-_Radhanath_Swami.mp3</t>
  </si>
  <si>
    <t>17_-_Vrindavan_Yatra_2008_-_Delivarance_Of_DhenukasurArishtasura_Part-02_-_Radhanath_Swami.mp3</t>
  </si>
  <si>
    <t>18_-_Vrindavan_Yatra_2008_-_Searching_For_Krishna_-_HH-Sachinandan_Swami.mp3</t>
  </si>
  <si>
    <t>19_-_Vrindavan_Yatra_2008_-_Begging_For_the_Love_of_Krishna_-_HH-Radhanath_Swami_at.mp3</t>
  </si>
  <si>
    <t>20_-_Vrindavan_Yatra_2008_-_Radha_%26_Krishna_Pastimes_-_HH-Sachinandan_Swami_at_Maan.mp3</t>
  </si>
  <si>
    <t>21_-_Vrindavan_Yatra_2008_-_Expression_of_The_Love_From_the_Heart_-_HH-Radhanath_Swami.mp3</t>
  </si>
  <si>
    <t>22_-_Vrindavan_Yatra_2008_-_Krishna_Talking_with_Birds_%26_Animals_-_HH-Sachinanadan_Swami.mp3</t>
  </si>
  <si>
    <t>23_-_Vrindavan_Yatra_2008_-_Krishna%E2%80%99s_pastimes_in_Nandagram_-_HG-Deena_Bandhu_Dasa.mp3</t>
  </si>
  <si>
    <t>24_-_Vrindavan_Yatra_2008_-_Concluding_Lecture_-_HG-Govind_Das.mp3</t>
  </si>
  <si>
    <t>25_-_Vrindavan_Yatra_2008_-_Concluding_Lecture_-_HG-Radha_Gopinath_Das.mp3</t>
  </si>
  <si>
    <t>26_-_Vrindavan_Yatra_2008_-_Concluding_Lecture_-_HH-Radhanath_Swami.mp3</t>
  </si>
  <si>
    <t>27_-_Vrindavan_Yatra_2008_-_Hare_Krishna_HH-Radhanath_Swami.mp3</t>
  </si>
  <si>
    <t>2009-10-07_-_Damodarastakam_Flute_-_Radhanath_Swami_ISKCON_Chowpatty.MP3</t>
  </si>
  <si>
    <t>2009-10-08_-_Damodarastakam_Flute_%26_Tabla_-_Radhanath_Swami_ISKCON_Chowpatty.MP3</t>
  </si>
  <si>
    <t>2009-10-09_-_Damodarastakam_Flute_%26_Mridanga_-_Radhanath_Swami_ISKCON_Chowpatty.MP3</t>
  </si>
  <si>
    <t>2009-10-17_-_Glories_of_Navadwipa_Dhama_-_Jayapataka_Swamii_-_ISKCON_Mayapur.mp3</t>
  </si>
  <si>
    <t>2009-10-17_-_Inaugral_Lecture-Mood_In_The_Yatra_-_Radhanath_Swami_ISKCON_Mayapur.mp3</t>
  </si>
  <si>
    <t>2009-10-17_-_Inviting%20Jaya%20Pataka%20Swami_%20Radhanath_Swami.mp3</t>
  </si>
  <si>
    <t>2009-10-17_-_Kirtan_1_-_Radhanath_Swami_ISKCON_Chowpatty.mp3</t>
  </si>
  <si>
    <t>2009-10-17_-_Kirtan_2_-_Radhanath_Swami_ISKCON_Chowpatty.mp3</t>
  </si>
  <si>
    <t>2009-10-17_-_Significance_Of_Diwali_-_Radhanath_Swamii_-_ISKCON_Mayapur.mp3</t>
  </si>
  <si>
    <t>2009-10-18_-_Bhajan_Parama_karuna_-_Radhanath_Swami_ISKCON_Mayapur.mp3</t>
  </si>
  <si>
    <t>2009-10-18_-_Gaura_Leela_-_Radhanath_Swami%2CJayapataka_Swami_ISKCON_Mayapur.mp3</t>
  </si>
  <si>
    <t>2009-10-19_-_Damodar_Ashtakam_-_Naru_Gopal_Prabhu.mp3</t>
  </si>
  <si>
    <t>2009-10-19_-_Indra%C2%B4s_Reaction_To_Goverdhan_Puja_-_Radhanath_Swami_ISKCON_Mayapur.mp3</t>
  </si>
  <si>
    <t>2009-10-19_-_SB-10-24-35_Krsna_Worships_Sri_Goverdhan_-_Radhanath_Swami_-_ISKCON_Mayapur.mp3</t>
  </si>
  <si>
    <t>2009-10-20_-_Childhood_Pastimes_Of_Nimai_-_Radhanath_Swami_-_ISKCON_Mayapur.mp3</t>
  </si>
  <si>
    <t>2009-10-20_-_Damodar_Ashtakam_-_Radhanath_Swami.mp3</t>
  </si>
  <si>
    <t>2009-10-20_-_HK_Kirtan_-_Radhanath_Swami.mp3</t>
  </si>
  <si>
    <t>2009-10-21_-_Jaya_Jaya_Jagannath_-_Radhanath_Swami.mp3</t>
  </si>
  <si>
    <t>2009-10-21_-_Setting_The_Scene_For_Lord_Caitanya%27s_Sanyasa_-_Radhanath_Swami.mp3</t>
  </si>
  <si>
    <t>2009-10-22_-_Gurudev_Kripa_Bindu_Diya_-_Murari_Hari_Prabhu_ISKCON_Mayapur.mp3</t>
  </si>
  <si>
    <t>2009-10-22_-_HK_Kirtan_%26_Je_Anilo_Prema_Dhana_-_Radhanath_Swami_ISKCON_Mayapur.mp3</t>
  </si>
  <si>
    <t>2009-10-22_-_HK_Kirtan_-_Murari_Hari_Prabhu.mp3</t>
  </si>
  <si>
    <t>2009-10-22_-_HK_Kirtan_-_Murari_Hari_Prabhu_ISKCON_Mayapur.mp3</t>
  </si>
  <si>
    <t>2009-10-22_-_Offerings_To_Srila_Prabhupada-1_-_Prabhupada_Disciples_ISKCON_Mayapur.mp3</t>
  </si>
  <si>
    <t>2009-10-22_-_Offerings_To_Srila_Prabhupada-3_-_Prabhupada_Disciples_ISKCON_Mayapur.mp3</t>
  </si>
  <si>
    <t>2009-10-22_-_Offerings_To_Srila_Prabhupada_-_Prabhupada_Disciples_ISKCON_Mayapur.mp3</t>
  </si>
  <si>
    <t>2009-10-22_-_Offerings_To_Srila_Prabhupada_-_Umapati_Swami_ISKCON_Mayapur.mp3</t>
  </si>
  <si>
    <t>2009-10-22_-_Ohe_Vaishnava_Thakur_-_Murari_Hari_Prabhu_ISKCON_Mayapur.mp3</t>
  </si>
  <si>
    <t>2009-10-23_-_Sanyasa_Ceremony_Of_Mahaprabhu_-_Radhanath_Swami_ISKCON_Mayapur.mp3</t>
  </si>
  <si>
    <t>2009-10-23_-_Yadi_Gaur_Na_Hoite_-_Radhanath_Swami_ISKCON_Mayapur.mp3</t>
  </si>
  <si>
    <t>2009-10-24_-_Kali_Kukkur_-_Radhanath_Swami_ISKCON_Mayapur.mp3</t>
  </si>
  <si>
    <t>2009-10-24_-_Reunion_Of_Devotees_With_Lord_Caitanya_After_Sannyasa_ISKCON_Mayapur.mp3</t>
  </si>
  <si>
    <t>2009-10-25_-_Jayo_Jayo_Jagannath_Sacira_Nandana_-_Radhanath_Swami_ISKCON_Mayapur.mp3</t>
  </si>
  <si>
    <t>2009-10-25_-_Lord_Caitanya_Returns_To_Navadvip_-_Radhanath_Swami_ISKCON_Mayapur.mp3</t>
  </si>
  <si>
    <t>2009-10-26_-_Accessing_Lord_Caitanya%27s_Mercy_Through_Lord_Nityanand_-_Radhanath_Swami_ISKCON_Mayapur.mp3</t>
  </si>
  <si>
    <t>2009-10-26_-_Akaroda_Paramananda_Nityanand_Ram_-_Radhanath_Swami_ISKCON_Mayapur.mp3</t>
  </si>
  <si>
    <t>2009-10-26_-_Dhana_Mora_Nityanand_-_Radhanath_Swami_ISKCON_Mayapur.mp3</t>
  </si>
  <si>
    <t>2009-10-26_-_Doyal_Nitai_Caitanya_Bole_-_Radhanath_Swami_ISKCON_Mayapur.mp3</t>
  </si>
  <si>
    <t>2009-10-26_-_HK_Kirtan_-_Radhanath_Swami_ISKCON_Mayapur.mp3</t>
  </si>
  <si>
    <t>2009-10-26_-_Nadiya_Godruma_Nityanand_Mahajan_-_Radhanath_Swami_ISKCON_Mayapur.mp3</t>
  </si>
  <si>
    <t>2009-10-27_-_Concluding_Session_-_Radhanath_Swami_%26_Mayapur_Devotees_ISKCON_Mayapur.mp3</t>
  </si>
  <si>
    <t>2009-10-27_-_Damodarastakam_%26_HK_Kirtan_-_Radhanath_Swami.MP3</t>
  </si>
  <si>
    <t>2009-10-27_-_Gauranga_Bolite_Habe_-_Radhanath_Swami_ISKCON_Mayapur.mp3</t>
  </si>
  <si>
    <t>2009-10-27_-_Maan_Leela_Of_Radha_Maan_Bihari_-_Susheel_Goswami_ISKCON_Mayapur%28Hindi%29.mp3</t>
  </si>
  <si>
    <t>2009-01-23_Welcome_Address_-_Radhanath_Sw_Chandramauli_Sw_Bhakti_Vishrambha_Madhav_Sw_SukhaHava_Mataji.mp3</t>
  </si>
  <si>
    <t>2009-01-24_Eve%20Lecture_-_Jaya_Pataka_Swami.mp3</t>
  </si>
  <si>
    <t>2009-01-24_SB-2-3-22_Duty_Of_Householders_To_Worship_Deities_-_Radhanath_Swami.mp3</t>
  </si>
  <si>
    <t>2009-01-25_Glories_Of_Narottam_Das_Thakur_-_Jaya_Pataka_Swami.mp3</t>
  </si>
  <si>
    <t>2009-01-25_SB-5-13-25_Mundane_Philanthropy_Versus_Spiritual_Compassion_-_Radhanath_Swami.mp3</t>
  </si>
  <si>
    <t>2009-01-26_SB-5-13-23_Jada_Bharata-Extra_Cautious_In_His_Dealings_-_Radhanath_Swami.mp3</t>
  </si>
  <si>
    <t>2011-10-22_Receiving_the_grace_of_Sri_Vrindavan_Dham_-_Radhanath_Swami_Vrindavan.mp3</t>
  </si>
  <si>
    <t>2011-10-23_Pastimes_of_Vaisnava_Acharyas_-_Dwarkadish_Prabhu_Govardhana.mp3</t>
  </si>
  <si>
    <t>2011-10-23_Reinstallation_of_Sri_Sri_Radha_Govindadji_-_Radhanath_Swami_Vrindavan.MP3</t>
  </si>
  <si>
    <t>2011-10-24_Gopal_Bhatt_Goswami_meets_Lord_chaitanya_-_Radhanath_Swami_Vrindavan.mp3</t>
  </si>
  <si>
    <t>2011-10-24_Jaya_Balaram_Drama_-_ISKCON_Pune_Devotees_Vrindavan.mp3</t>
  </si>
  <si>
    <t>2011-10-24_Pastimes_of_Krishna_Balaram_and_Akrura_-_Bhakti_Rasamrita_Swami_Vrindavan.mp3</t>
  </si>
  <si>
    <t>2011-10-24_Publishing_of_Sri_Chaitanya_Charitamrita_-_Giriraj_Swami_Vrindavan.mp3</t>
  </si>
  <si>
    <t>2011-10-25_Pastimes_of_Radha_and_Krishna_-_Krishnanand_Prabhu_Vrindavan.mp3</t>
  </si>
  <si>
    <t>2011-10-25_Srila_Jiva_Goswami_Seeks_shelter_of_Srila_Rupa_and_Sanatana_-_Radhanath_Swami_Vrindavan.MP3</t>
  </si>
  <si>
    <t>2011-10-26_Krishna%27s_Childhood_Pastimes_at_Gokul_Mahavan_-_Radhanath_Swami_Vrindavan.MP3</t>
  </si>
  <si>
    <t>2011-10-26_Pastimes_of_Srimati_Radharani_-_Rohini_Priya_Prabhu_Vrindavan.mp3</t>
  </si>
  <si>
    <t>2011-10-26_Pastimes_of_Yashoda_and_Damodar_-_Govinda_Prabhu_Vrindavan.mp3</t>
  </si>
  <si>
    <t>2011-10-27_Brajvasis_Perform_Govardhanpuja_-_Radhanath_Swami_Vrindavan.MP3</t>
  </si>
  <si>
    <t>2011-10-27_Pastimes_of_Bramha_-_Radha_Gopinath_Prabhu_Vrindavan.mp3</t>
  </si>
  <si>
    <t>2011-10-27_Sri_Giriraj_-_Embodiment_of_Servitorship_-_Giriraj_Swami_Vrindavan.MP3</t>
  </si>
  <si>
    <t>2011-10-28_Killing_of_Aghasura_and_Brahma_Vimohan_Lila_-_Radhanath_Swami_Vrindavan.MP3</t>
  </si>
  <si>
    <t>2011-10-28_Pastimes_of_Krishna_and_Balaram_-_Gaur_Gopal_Prabhu_Vrindavan.mp3</t>
  </si>
  <si>
    <t>2011-10-29_Imbibe_Srila_Prabhupadas_Missionary_Spirit_-_Vaisesika_Prabhu_Govardhan.MP3</t>
  </si>
  <si>
    <t>2011-10-29_Pleasing_Krishna_by_pleasing_His_Devotees_-_Radhanath_Swami_Govardhan.MP3</t>
  </si>
  <si>
    <t>2011-10-30_Morning_Offerings_to_Srila_Prabhupada_-_Various_Devotees_Govardhan.MP3</t>
  </si>
  <si>
    <t>2011-10-30_Offering_to_Srila_Prabhupada_-_Dhanurdhar_Swami_Govardhan.mp3</t>
  </si>
  <si>
    <t>2011-10-30_Offering_to_Srila_Prabhupada_-_Jayadvaita_Swami_Govardhan.mp3</t>
  </si>
  <si>
    <t>2011-10-30_Offering_to_Srila_Prabhupada_-_Kavichandra_Swami_Govardhan.MP3</t>
  </si>
  <si>
    <t>2011-10-30_Offering_to_Srila_Prabhupada_-_Srutakirti_Prabhu_and_Sachinanadana_Swami_Govardhan.MP3</t>
  </si>
  <si>
    <t>2011-11-01_Chanting_with_Affection_-_Sachinanadana_Swami_Govardhan.MP3</t>
  </si>
  <si>
    <t>2011-11-01_Proper_mood_for_Yatra_and_Animals_of_Vraja_are_Special_Souls_-_Malati_Mataji.mp3</t>
  </si>
  <si>
    <t>2011-11-01_Srila_Prabhupada_Katha_-_Radhanath_Swami_Govardhan.mp3</t>
  </si>
  <si>
    <t>2011-11-02_Glories_of_Govardhan_Parikrama_-_Radhanath_Swami_Govardhan.MP3</t>
  </si>
  <si>
    <t>2011-11-03_Glories_of_Govardhan_-_Giriraj_Swami_Govardhan.MP3</t>
  </si>
  <si>
    <t>2011-11-03_Glories_of_Govardhan_Parikrama_Part-01_-_Radhanath_Swami_Govardhan.MP3</t>
  </si>
  <si>
    <t>2011-11-04_Glories_of_Govardhan_Parikrama_Part-02_-_Radhanath_Swami_and_Others_Govardhan.MP3</t>
  </si>
  <si>
    <t>2012-11-13_Srila_Prabhupada%27s_Vision_about_Sri_Mayapur_Dham_-_Radhanath_Swami_ISKCON_Chowpatty.mp3</t>
  </si>
  <si>
    <t>2012-11-14_Invaluable_Lessons_from_Sri_Govardhana_Lila_-_Radhanath_Swami_ISKCON_Chowpatty.mp3</t>
  </si>
  <si>
    <t>2012-11-14_The_Divine_Nine_Islands_of_Sri_Navadvipa_Dham_-_Bhakti_Purushottam_Swami_ISKCON_Chowpatty.mp3</t>
  </si>
  <si>
    <t>2012-11-15_Appearance_of_the_Lord_Gaur_Chandra_-_Radhanath_Swami_ISKCON_Chowpatty.mp3</t>
  </si>
  <si>
    <t>2012-11-16_Enchanting_Pastimes_of_Child_Nimai-01_-_Radhanath_Swami_ISKCON_Chowpatty.mp3</t>
  </si>
  <si>
    <t>2012-11-17_Disappearance_Day_of_Srila_Prabhupada-01_-_SP_Disciples_ISKCON_Chowpatty.mp3</t>
  </si>
  <si>
    <t>2012-11-17_Disappearance_Day_of_Srila_Prabhupada-02_-_SP_Disciples_ISKCON_Chowpatty.mp3</t>
  </si>
  <si>
    <t>2012-11-18_Enchanting_Pastimes_of_Child_Nimai-02_-_Radhanath_Swami_ISKCON_Chowpatty.mp3</t>
  </si>
  <si>
    <t>2012-11-19_Nimai_Pandita_Charms-The_Inhabitants_of_Navadvipa_-_Radhanath_Swami_ISKCON_Chowpatty.mp3</t>
  </si>
  <si>
    <t>2012-11-20_The_Beginning_of_the_Sankirtan_Movement_-_Radhanath_Swami_ISKCON_Chowpatty.mp3</t>
  </si>
  <si>
    <t>2012-11-21_Lecture_At_Goshala-On_Occassion_of_Gopashtami_-_Radhanath_Swami_ISKCON_Chowpatty.mp3</t>
  </si>
  <si>
    <t>2012-11-21_Lord_Caitanya%27s_Mahaprakash_Lila_at_Srivas_Angan-01_-_Radhanath_Swami_ISKCON_Chowpatty.mp3</t>
  </si>
  <si>
    <t>2012-11-21_Receving_the_Divine_Grace_of_Lord_Caitanya_-_Jayapataka_Swami_ISKCON_Chowpatty.mp3</t>
  </si>
  <si>
    <t>2012-11-22_Caitanya_Lila_-_Jaypataka_Swami_ISKCON_Chowpatty.mp3</t>
  </si>
  <si>
    <t>2012-11-22_Lord_Caitanya%27s_Mahaprakash_Lila_at_Srivas_Angan-02_-_Radhanath_Swami_ISKCON_Chowpatty.mp3</t>
  </si>
  <si>
    <t>2012-11-23_Lecture_at_Ekachakra_Dham-Glories_of_Lord_Nityananda_-_Radhanath_Swami_ISKCON_Chowpatty.mp3</t>
  </si>
  <si>
    <t>2013-10-31_Vrindavan_Yatra_2013_-_The_Exalted_Position_of_Gopis_-_Radhanath_Swami_Vrindavan.mp3</t>
  </si>
  <si>
    <t>2013-11-01_Vrindavan_Yatra_2013_-_Brahma_Vimohan_Lila_Part_01_-_Radhanath_Swami_Vrindavan.mp3</t>
  </si>
  <si>
    <t>2013-11-01_Vrindavan_Yatra_2013_-_Brahma_Vimohan_Lila_Part_02_-_Radhanath_Swami_Vrindavan.mp3</t>
  </si>
  <si>
    <t>2013-11-03_Vrindavan_Yatra_2013_-_Conquered_by_his_devotees_Love_Day_06_-_Radhanath_Swami_Vrindavan.mp3</t>
  </si>
  <si>
    <t>2013-11-04_Vrindavan_Yatra_2013_-_Glories_of_Govardhan_Day_07_-_Radhanath_Swami_Vrindavan.mp3</t>
  </si>
  <si>
    <t>2013-11-05_Vrindavan_Yatra_2013_-_Good_fortune_of_Brijbasis_Day_08_-_Radhanath_Swami_Vrindavan.mp3</t>
  </si>
  <si>
    <t>2013-11-06_Vrindavan_Yatra_2013_-_Govardhan_Lilas_Day_09_-_Radhanath_Swami_Vrindavan.mp3</t>
  </si>
  <si>
    <t>2013-11-07_Vrindavan_Yatra_2013_-_Offerings_to_Srila_%20Prabhupada_-_Bhakti_Charu_Swami_Vrindavan.mp3</t>
  </si>
  <si>
    <t>2013-11-07_Vrindavan_Yatra_2013_-_Offerings_to_Srila_Prabhupada_-_Arjun_Pr_Vrindavan.mp3</t>
  </si>
  <si>
    <t>2013-11-07_Vrindavan_Yatra_2013_-_Offerings_to_Srila_Prabhupada_-_Bhurijana_Pr_Vrindavan.mp3</t>
  </si>
  <si>
    <t>2013-11-07_Vrindavan_Yatra_2013_-_Offerings_to_Srila_Prabhupada_-_Dhanurdhar_Swami_Vrindavan.mp3</t>
  </si>
  <si>
    <t>2013-11-07_Vrindavan_Yatra_2013_-_Offerings_to_Srila_Prabhupada_-_Radhanath_Swami_Vrindavan.mp3</t>
  </si>
  <si>
    <t>2013-11-07_Vrindavan_Yatra_2013_-_Offerings_to_Srila_Prabhupada_-_Sacinandana_Sw_Vrindavan.mp3</t>
  </si>
  <si>
    <t>2013-11-09_Vrindavan_Yatra_2013_-_Concluding_Session_-_Srila_Prabhupada_Disciples_Vrindavan.mp3</t>
  </si>
  <si>
    <t>2013-11-09_Vrindavan_Yatra_2013_-_Pastimes_In_And_Around_Govardhan_-_Radhanath_Swami_Vrindavan.mp3</t>
  </si>
  <si>
    <t>2013-11-09_Vrindavan_Yatra_2013_-_Question_and_Answer_Session_-_Senior_Devotees_Vrindavan.mp3</t>
  </si>
  <si>
    <t>2013-11-09_Vrindavan_Yatra_2013_-_What_is_the_Goal_of_Human_Life_-_Shyamananda_Pr_Vrindavan.mp3</t>
  </si>
  <si>
    <t>2013-11-09_Vrindavan_Yatra_2013_-_Why_Visit_a_Dham_-_Radha_Gopinath_Pr_Vrindavan.mp3</t>
  </si>
  <si>
    <t>06_-_2014-10-24_South_India_Yatra_2014_-_Govardhana_Puja%20_Day_03%28Evening%29_-_Radhanath_Swami.mp3</t>
  </si>
  <si>
    <t>08_-_2014-10-27_South_India_Yatra_2014_-_Srila_Prabhupada_Disappearance_Day_05_-_Radhanath_Swami_Udupi.mp3</t>
  </si>
  <si>
    <t>10_-_2014-10-29_South_India_Yatra_2014_-_What_Pleases_Krishna_Day_06_-_Radhanath_Swami_Udupi.mp3</t>
  </si>
  <si>
    <t>2015-11-12_Vrindavan_Kartik_Yatra_2015_-_Govardhana_Lila_Day_05_-_Radhanath_Swami_Vrindavan.mp3</t>
  </si>
  <si>
    <t>2015-11-17_Vrindavan_Kartik_Yatra_2015_-_Govardhan_Puja_Day_09_-_Radhanath_Swami_Vrindavan.mp3</t>
  </si>
  <si>
    <t>2015-11-17_Vrindavan_Kartik_Yatra_2015_-_Serving_Lord_Krishna_Day_10_-_Radhanath_Swami_Vrindavan.mp3</t>
  </si>
  <si>
    <t>01_-_2017_Mayapur_Kartik_Yatra_-_Rain_Kirtan_-_Radhanath_Swami.mp3</t>
  </si>
  <si>
    <t>02_-_2017_Mayapur_Kartik_Yatra_-_Day-01-Inaugration_and_Setting_the_mood_for_Yatra_-_Radhanath_Swami.mp3</t>
  </si>
  <si>
    <t>03_-_2017_Mayapur_Kartik_Yatra_-_Day-02-Sweet_Childhood_Pastimes_of_Nimai_and_Krishna_-_Radhanath_Swami.mp3</t>
  </si>
  <si>
    <t>04_-_2017_Mayapur_Kartik_Yatra_-_Day-03-Marriage_Pastimes_of_Nimai_Pandit_-_Jayapataka_Swami.mp3</t>
  </si>
  <si>
    <t>05_-_2017_Mayapur_Kartik_Yatra_-_Day-03-Pastimes_of_Visvambhar_-_Radhanath_Swami.mp3</t>
  </si>
  <si>
    <t>06_-_2017_Mayapur_Kartik_Yatra_-_Day-04-Pastimes_of_Nimai_in_Nadia_-_Jayapataka_Swami.mp3</t>
  </si>
  <si>
    <t>07_-_2017_Mayapur_Kartik_Yatra_-_Day-04-Pastimes_of_Nimai_Pandit_-_Radhanath_Swami.mp3</t>
  </si>
  <si>
    <t>08_-_2017_Mayapur_Kartik_Yatra_-_Day-05_Vyasa_Puja_offering_by_Bhakti_Purushottam_Swami.mp3</t>
  </si>
  <si>
    <t>08_-_2017_Mayapur_Kartik_Yatra_-_Day-05_Vyasa_Puja_offering_by_Chandramauli_Swami.mp3</t>
  </si>
  <si>
    <t>08_-_2017_Mayapur_Kartik_Yatra_-_Day-05_Vyasa_Puja_offering_by_Jananivas_Prabhu.mp3</t>
  </si>
  <si>
    <t>08_-_2017_Mayapur_Kartik_Yatra_-_Day-05_Vyasa_Puja_offering_by_Mandakini_Mataji.mp3</t>
  </si>
  <si>
    <t>08_-_2017_Mayapur_Kartik_Yatra_-_Day-05_Vyasa_Puja_offering_by_Nartaki_Mataji.mp3</t>
  </si>
  <si>
    <t>08_-_2017_Mayapur_Kartik_Yatra_-_Day-05_Vyasa_Puja_offering_by_Niranjana_Swami.mp3</t>
  </si>
  <si>
    <t>08_-_2017_Mayapur_Kartik_Yatra_-_Day-05_Vyasa_Puja_offering_by_Pankajanghri_Prabhu.mp3</t>
  </si>
  <si>
    <t>08_-_2017_Mayapur_Kartik_Yatra_-_Day-05_Vyasa_Puja_offering_by_Radha_Gopinath_Prabhu.mp3</t>
  </si>
  <si>
    <t>08_-_2017_Mayapur_Kartik_Yatra_-_Day-05_Vyasa_Puja_offering_by_Radheshyam_Prabhu.mp3</t>
  </si>
  <si>
    <t>08_-_2017_Mayapur_Kartik_Yatra_-_Day-05_Vyasa_Puja_offering_by_Sesha_Prabhu.mp3</t>
  </si>
  <si>
    <t>08_-_2017_Mayapur_Kartik_Yatra_-_Day-05_Vyasa_Puja_offering_by_Shauri_Prabhu.mp3</t>
  </si>
  <si>
    <t>08_-_2017_Mayapur_Kartik_Yatra_-_Day-05_Vyasa_Puja_offering_by_Sivarama_Swami.mp3</t>
  </si>
  <si>
    <t>08_-_2017_Mayapur_Kartik_Yatra_-_Day-05_Vyasa_Puja_offering_by_Various_Devotees.mp3</t>
  </si>
  <si>
    <t>09_-_2017_Mayapur_Kartik_Yatra_-_Day-06-Lord_Chaitanya_inaugrating_Sankirtan_Movement_-_Radhanath_Swami.mp3</t>
  </si>
  <si>
    <t>10_-_2017_Mayapur_Kartik_Yatra_-_Day-07-Lord_Chaitanya%27s_meeting_Nityananda_Prabhu_-_Radhanath_Swami.mp3</t>
  </si>
  <si>
    <t>11_-_2017_Mayapur_Kartik_Yatra_-_Day-08_Class_-_Radhanath_Swami.mp3</t>
  </si>
  <si>
    <t>12_-_2017_Mayapur_Kartik_Yatra_-_Day-09_Class_-_Radhanath_Swami.mp3</t>
  </si>
  <si>
    <t>2018_Jagannath_Puri_Kartik_Yatra_-_Day-01_-_2018-11-07_Radhanath_Swami.mp3</t>
  </si>
  <si>
    <t>2018_Jagannath_Puri_Kartik_Yatra_-_Day-02_Part-01_-_2018-11-08_Radhanath_Swami.mp3</t>
  </si>
  <si>
    <t>2018_Jagannath_Puri_Kartik_Yatra_-_Day-02_Part-02_-_2018-11-08_Radhanath_Swami.mp3</t>
  </si>
  <si>
    <t>2018_Jagannath_Puri_Kartik_Yatra_-_Day-03_-_2018-11-09_Radhanath_Swami.mp3</t>
  </si>
  <si>
    <t>2018_Jagannath_Puri_Kartik_Yatra_-_Day-04_-_2018-11-10_Radhanath_Swami.mp3</t>
  </si>
  <si>
    <t>2018_Jagannath_Puri_Kartik_Yatra_-_Day-05_-_2018-11-11_Radhanath_Swami.mp3</t>
  </si>
  <si>
    <t>2018_Jagannath_Puri_Kartik_Yatra_-_Day-06_-_2018-11-12_Radhanath_Swami.mp3</t>
  </si>
  <si>
    <t>2018_Jagannath_Puri_Kartik_Yatra_-_Day-07_-_2018-11-13_Radhanath_Swami.mp3</t>
  </si>
  <si>
    <t>2018_Jagannath_Puri_Kartik_Yatra_-_Day-08_-_2018-11-14_Radhanath_Swami.mp3</t>
  </si>
  <si>
    <t>01_-_2019_Vrindavan_Kartik_Yatra_-_Spirit_of_Gratitude_Day-01_-_2019-10-27_Radhanath_Swami.mp3</t>
  </si>
  <si>
    <t>02_-_2019_Vrindavan_Kartik_Yatra_-_Damodar_Lila_Day-02_-_2019-10-28_Radhanath_Swami.mp3</t>
  </si>
  <si>
    <t>03_-_2019_Vrindavan_Kartik_Yatra_-_Govardhan_Lila_Day-03_-_2019-10-29_Radhanath_Swami.mp3</t>
  </si>
  <si>
    <t>04_-_2019_Vrindavan_Kartik_Yatra_-_Brahma_Vimohana_Lila_Day-04_-_2019-10-30_Radhanath_Swami.mp3</t>
  </si>
  <si>
    <t>06_-_2019_Vrindavan_Kartik_Yatra_-_Subduing_Kaliya_Day-06_-_2019-11-01_Radhanath_Swami.mp3</t>
  </si>
  <si>
    <t>2023_Jagannath_Puri_Kartik_Yatra_-_Day-01_-_2023-11_Radhanath_Swami.mp3</t>
  </si>
  <si>
    <t>2023_Jagannath_Puri_Kartik_Yatra_-_Day-02_-_2023-11_Radhanath_Swami.mp3</t>
  </si>
  <si>
    <t>2023_Jagannath_Puri_Kartik_Yatra_-_Day-03_-_2023-11_Radhanath_Swami.mp3</t>
  </si>
  <si>
    <t>2023_Jagannath_Puri_Kartik_Yatra_-_Day-05_-_2023-11_Radhanath_Swami.mp3</t>
  </si>
  <si>
    <t>2023_Jagannath_Puri_Kartik_Yatra_-_Day-06_-_2023-11_Radhanath_Swami.mp3</t>
  </si>
  <si>
    <t>2024_Mayapur_Dham_Kartik_Yatra_-_Day-01_-_2024-10_Radhanath_Swami.mp3</t>
  </si>
  <si>
    <t>2024_Mayapur_Dham_Kartik_Yatra_-_Day-02_-_2024-10_Radhanath_Swami.mp3</t>
  </si>
  <si>
    <t>2024_Mayapur_Dham_Kartik_Yatra_-_Day-03_-_2024-10_Radhanath_Swami.mp3</t>
  </si>
  <si>
    <t>2024_Mayapur_Dham_Kartik_Yatra_-_Day-04_-_2024-10_Radhanath_Swami.mp3</t>
  </si>
  <si>
    <t>2024_Mayapur_Dham_Kartik_Yatra_-_Day-05_-_2024-10_Radhanath_Swami.mp3</t>
  </si>
  <si>
    <t>2024_Mayapur_Dham_Kartik_Yatra_-_Day-06_-_2024-10_Radhanath_Swami.mp3</t>
  </si>
  <si>
    <t>2024_Mayapur_Dham_Kartik_Yatra_-_Srila_Prabhupada_Disappearance_Day_-_2024-11_Senior_Devotees.mp3</t>
  </si>
  <si>
    <t>Dwaraka_-_Beyt_Dwarka_-_Radhanath_Swami.mp3</t>
  </si>
  <si>
    <t>Dwaraka_-_Geeta_Mandir_-_Radhanath_Swami.mp3</t>
  </si>
  <si>
    <t>Dwaraka_-_Gopi_Talao_Ghat_-_Radhanath_Swami.mp3</t>
  </si>
  <si>
    <t>Dwaraka_-_Nageshwar_Madhav_Temple_-_Radhanath_Swami.mp3</t>
  </si>
  <si>
    <t>Dwaraka_-_Ranchod_Rai_Temple_-_Radhanath_Swami.mp3</t>
  </si>
  <si>
    <t>Dwaraka_-_Somnath_mandir_-_Radhanath_Swami.mp3</t>
  </si>
  <si>
    <t>Dwaraka_-_Sudama_Kutir_-_Radhanath_Swami.mp3</t>
  </si>
  <si>
    <t>Dwaraka_-_Sudama_Temple_-_Radhanath_Swami.mp3</t>
  </si>
  <si>
    <t>Jagannath_Puri_Yatra_1994_01_-_Jagannath_Temple_simha_dwara_-_Radhanath_Swami.mp3</t>
  </si>
  <si>
    <t>Jagannath_Puri_Yatra_1994_02_-_Jagannath_Temple_Southern_Gate_-_Radhanath_Swami.mp3</t>
  </si>
  <si>
    <t>Jagannath_Puri_Yatra_1994_03_-_Jagannath_Temple_Nouthern_Gate_-_Radhanath_Swami.mp3</t>
  </si>
  <si>
    <t>Jagannath_Puri_Yatra_1994_04_-_Sarvabhauma_Bhattacharya%27s_House_-_Radhanath_Swami.mp3</t>
  </si>
  <si>
    <t>Jagannath_Puri_Yatra_1994_05_-_Gaudiya_Math-house_of_Bhaktivinod_Thakur_-_Radhanath_Swami.mp3</t>
  </si>
  <si>
    <t>Jagannath_Puri_Yatra_1994_06_-_Gambhira-house_of_kashi_mishra_-_Radhanath_Swami.mp3</t>
  </si>
  <si>
    <t>Jagannath_Puri_Yatra_1994_07_-_Tota_Gopinath_-_Radhanath_Swami.mp3</t>
  </si>
  <si>
    <t>Jagannath_Puri_Yatra_1994_08_-_Srila_haridas_thakur_Samadhi_Mandir_-_Radhanath_Swami.mp3</t>
  </si>
  <si>
    <t>Jagannath_Puri_Yatra_1994_09_-_Bedi_Hanuman_Temple_-_Radhanath_Swami.mp3</t>
  </si>
  <si>
    <t>Jagannath_Puri_Yatra_1994_10_-_Chakra_tirtha_-_Radhanath_Swami.mp3</t>
  </si>
  <si>
    <t>Jagannath_Puri_Yatra_1994_11_-_Paramananda_puri_well_-_Radhanath_Swami.mp3</t>
  </si>
  <si>
    <t>Jagannath_Puri_Yatra_1994_13_-_Route_of_Ratha_Yatra-Jagannath_Gardens_Narendra_Sarovar.mp3</t>
  </si>
  <si>
    <t>Jagannath_Puri_Yatra_1994_14_-_Narasimha_arati_-_Radhanath_Swami.mp3</t>
  </si>
  <si>
    <t>Jagannath_Puri_Yatra_1994_15_-_Sakshi_Gopal_Temple_-_Radhanath_Swami.mp3</t>
  </si>
  <si>
    <t>Jagannath_Puri_Yatra_1994_16_-_Radhanath_Swami_Kirtan.mp3</t>
  </si>
  <si>
    <t>Jagannath_Puri_Yatra_1998_-_Atharanala_-_Radhanath_Swami.mp3</t>
  </si>
  <si>
    <t>Jagannath_Puri_Yatra_1998_-_Bedi_Hanuman_-_Radhanath_Swami.mp3</t>
  </si>
  <si>
    <t>Jagannath_Puri_Yatra_1998_-_Bindu_Sarovar-bhuvaneshwar_-_Radhanath_Swami.mp3</t>
  </si>
  <si>
    <t>Jagannath_Puri_Yatra_1998_-_Chataka_Parvat_-_Radhanath_Swami.mp3</t>
  </si>
  <si>
    <t>Jagannath_Puri_Yatra_1998_-_Danda_Bhanga_Nadi-Kamalapur_-_Radhanath_Swami.mp3</t>
  </si>
  <si>
    <t>Jagannath_Puri_Yatra_1998_-_Gambhira_-_Radhanath_Swami.mp3</t>
  </si>
  <si>
    <t>Jagannath_Puri_Yatra_1998_-_Gundicha_Temple_-_Radhanath_Swami.mp3</t>
  </si>
  <si>
    <t>Jagannath_Puri_Yatra_1998_-_House_of_Bhaktivinode_thakur_-_Radhanath_Swami.mp3</t>
  </si>
  <si>
    <t>Jagannath_Puri_Yatra_1998_-_House_Of_Sarvabhuma_Bhattacharya_-_Radhanath_Swami.mp3</t>
  </si>
  <si>
    <t>Jagannath_Puri_Yatra_1998_-_Indradyumna_sarovar_-_Radhanath_Swami.mp3</t>
  </si>
  <si>
    <t>Jagannath_Puri_Yatra_1998_-_Jagannath_temple_-_Radhanath_Swami.mp3</t>
  </si>
  <si>
    <t>Jagannath_Puri_Yatra_1998_-_Jagannath_Vallabh_Garden-1_-_Radhanath_Swami.mp3</t>
  </si>
  <si>
    <t>Jagannath_Puri_Yatra_1998_-_Jagannath_Vallabh_Garden-2_-_Radhanath_Swami.mp3</t>
  </si>
  <si>
    <t>Jagannath_Puri_Yatra_1998_-_Krsna_Caitanya_math-Bhakti_Vallabh_Puri_Maharaj_-_Radhanath_Swami.mp3</t>
  </si>
  <si>
    <t>Jagannath_Puri_Yatra_1998_-_Ksira_Chor_Gopinath-Remuna_-_Radhanath_Swami.mp3</t>
  </si>
  <si>
    <t>Jagannath_Puri_Yatra_1998_-_Narendra_Sarovar_-_Radhanath_Swami.mp3</t>
  </si>
  <si>
    <t>Jagannath_Puri_Yatra_1998_-_Paramananda_puri_well_-_Radhanath_Swami.mp3</t>
  </si>
  <si>
    <t>Jagannath_Puri_Yatra_1998_-_Parikrama_Of_jagannath_Temple_-_Radhanath_Swami.mp3</t>
  </si>
  <si>
    <t>Jagannath_Puri_Yatra_1998_-_Siddha_bakul_-_Radhanath_Swami.mp3</t>
  </si>
  <si>
    <t>Jagannath_Puri_Yatra_1998_-_Srila_Raghunath_Das_Goswami_took_spoiled_prasad.mp3</t>
  </si>
  <si>
    <t>Jagannath_Puri_Yatra_1998_-_Tota_Gopinath_-_Radhanath_Swami.mp3</t>
  </si>
  <si>
    <t>Jagannath_Puri_Yatra_1999_01_-_Siddha_bakul_-_Radhanath_Swami.mp3</t>
  </si>
  <si>
    <t>Jagannath_Puri_Yatra_1999_02_-_Gaudiya_Math_-_Radhanath_Swami.mp3</t>
  </si>
  <si>
    <t>Jagannath_Puri_Yatra_1999_03_-_Gambhira_-_Radhanath_Swami.mp3</t>
  </si>
  <si>
    <t>Jagannath_Puri_Yatra_1999_04_-_Tota_Gopinath_-_Radhanath_Swami.mp3</t>
  </si>
  <si>
    <t>Jagannath_Puri_Yatra_1999_05_-_Alarnath_-_Radhanath_Swami.mp3</t>
  </si>
  <si>
    <t>Jagannath_Puri_Yatra_2001_01_-_Lec_At_Kalyan_Mandapa_-_Radhanath_Swami.mp3</t>
  </si>
  <si>
    <t>Jagannath_Puri_Yatra_2001_02_-_Lec_At_Kalyan_Mandapa_-_Radhanath_Swami.mp3</t>
  </si>
  <si>
    <t>Jagannath_Puri_Yatra_2001_03_-_Lec_At_Kalyan_Mandapa_-_Radhanath_Swami.mp3</t>
  </si>
  <si>
    <t>Jaganath_Puri_Yatra_2006_01_-_Appearance_of_Lord_Jagannath_-_Radhanath_Swami.mp3</t>
  </si>
  <si>
    <t>Jaganath_Puri_Yatra_2006_02_-_The_Simha_Guru_Jananivas_Prabhu_Devamrita_Swami_-_Radhanath_Swami.mp3</t>
  </si>
  <si>
    <t>Jaganath_Puri_Yatra_2006_03_-_Begging_Humility_from_Haridas_Thakur_Indradyumna_Swami.mp3</t>
  </si>
  <si>
    <t>Jaganath_Puri_Yatra_2006_04_-_Chanting_in_the_Footsteps_of_Haridas_Thakur_Sacinandan_Swami.mp3</t>
  </si>
  <si>
    <t>Jaganath_Puri_Yatra_2006_05_-_Life_%26_Teachings_of_Srila_Haridas_Thakur_-_Radhanath_Swami.mp3</t>
  </si>
  <si>
    <t>Jaganath_Puri_Yatra_2006_06_-_The_Blazing_Fear_of_Separation_from_Lord_Caitanya_Devamrita_Swami.mp3</t>
  </si>
  <si>
    <t>Jaganath_Puri_Yatra_2006_07_-_Humility_%26_Tolerance_of_Gadadhar_Pandit_Chandramouli_Swami.mp3</t>
  </si>
  <si>
    <t>Jaganath_Puri_Yatra_2006_08_-_The_Glories_of_Gadadhar_Pandit_-_Radhanath_Swami.mp3</t>
  </si>
  <si>
    <t>Jaganath_Puri_Yatra_2006_09_-_Spiritual_Emotions_of_Lord_Caitanya_Mahaprabhu_Pankajangari_Prabhu.mp3</t>
  </si>
  <si>
    <t>Jaganath_Puri_Yatra_2006_10_-_Lord_Caitanya%27s_Pastimes_at_Gambira_-_Radhanath_Swami.mp3</t>
  </si>
  <si>
    <t>Jaganath_Puri_Yatra_2006_11_-_Yatra_Realizations_Sacinandan_Swami.mp3</t>
  </si>
  <si>
    <t>Jaganath_Puri_Yatra_2006_12_-_Yatra_Realizations_Jananivas_Prabhu.mp3</t>
  </si>
  <si>
    <t>Jaganath_Puri_Yatra_2006_13_-_Yatra_Realizations_Chandramouli_Swami.mp3</t>
  </si>
  <si>
    <t>Jaganath_Puri_Yatra_2006_14_-_Yatra_Realizations_-_Radhanath_Swami.mp3</t>
  </si>
  <si>
    <t>Jagannath_Puri_Yatra_2013-07-07_-_Hare_Krishna_Kirtan_-_Radhanath_Swami.mp3</t>
  </si>
  <si>
    <t>Jagannath_Puri_Yatra_2013-09-09_-_The_Process_of_Rath_Yatra_%28Morning_Lecture%29_-_Radhanath_Swami.mp3</t>
  </si>
  <si>
    <t>Jaipur_Yatra_01_-_Pastimes_of_Radha_Govinda_-_Radhanath_Swami.mp3</t>
  </si>
  <si>
    <t>Jaipur_Yatra_02_-_Pastimes_of_Radha_Gopinath_-_Radhanath_Swami.mp3</t>
  </si>
  <si>
    <t>Jaipur_Yatra_03_-_Pastimes_of_Radha_Vinoda_-_Radhanath_Swami.mp3</t>
  </si>
  <si>
    <t>Jaipur_Yatra_04_-_Pastimes_of_Radha_Damodar_-_Radhanath_Swami.mp3</t>
  </si>
  <si>
    <t>Jaipur_Yatra_05_-_Pastimes_of_Radha_Madan_Mohan_-_Radhanath_Swami.mp3</t>
  </si>
  <si>
    <t>Jaipur_Yatra_06_-_Glorification_of_Jaydev_Goswami_-_Radhanath_Swami.mp3</t>
  </si>
  <si>
    <t>Jaipur_Yatra_07_-_Baldev_Vidyabhushan_defeating_Mayavadis_-_Radhanath_Swami.mp3</t>
  </si>
  <si>
    <t>Jaipur_Yatra_08_-_Radha_Krsna_Gati_-_Radhanath_Swami.mp3</t>
  </si>
  <si>
    <t>Kurukshetra_Yatra_1994_01_-_Jyotisar-Place_where_BG_was_spoken_-_Radhanath_Swami.mp3</t>
  </si>
  <si>
    <t>Kurukshetra_Yatra_1994_02_-_Bana_Shaiya-Place_where_Bhisma_Lay_on_Arrows_-_Radhanath_Swami.mp3</t>
  </si>
  <si>
    <t>Kurukshetra_Yatra_1994_03_-_Surya_kund-Place_where_Duryodhan_was_killed_-_Radhanath_Swami.mp3</t>
  </si>
  <si>
    <t>Kurukshetra_Yatra_1994_04_-_Amin-Place_Where_Abhimanyu_Was_Killed_-_Radhanath_Swami.mp3</t>
  </si>
  <si>
    <t>Kurukshetra_Yatra_1995_01_-_Bhishma_Kund_-_Radhanath_Swami.mp3</t>
  </si>
  <si>
    <t>Kurukshetra_Yatra_1995_02_-_Sannihit_Sarovar_-_Radhanath_Swami.mp3</t>
  </si>
  <si>
    <t>Kurukshetra_Yatra_1995_03_-_Bhadra_kali_mandir_-_Radhanath_Swami.mp3</t>
  </si>
  <si>
    <t>Kurukshetra_Yatra_1995_04_-_Jyoti_sar_-_Radhanath_Swami.mp3</t>
  </si>
  <si>
    <t>Nashik_Yatra_1995_01_-_Tapovan_-_Radhanath_Swami.mp3</t>
  </si>
  <si>
    <t>Nashik_Yatra_1995_02_-_Confluence_of_river_Godavari_%26_Kapila_-_Radhanath_Swami.mp3</t>
  </si>
  <si>
    <t>Nashik_Yatra_1995_03_-_Place_where_Sita_devi_was_kidnapped_-_Radhanath_Swami.mp3</t>
  </si>
  <si>
    <t>Nashik_Yatra_1995_04_-_Sita_cave_-_Radhanath_Swami.mp3</t>
  </si>
  <si>
    <t>Nashik_Yatra_1995_05_-_Rama_Kunda_%26_Kapoleshwar_Mahadev_-_Radhanath_Swami.mp3</t>
  </si>
  <si>
    <t>Nashik_Yatra_1995_06_-_Triambakeswar_%26_Brahmagiri_-_Radhanath_Swami.mp3</t>
  </si>
  <si>
    <t>Nashik_Yatra_1998_01_-_Raam_Kund_-_Radhanath_Swami.mp3</t>
  </si>
  <si>
    <t>Nashik_Yatra_1998_02_-_Kalaram_Mandir_-_About%20Panchavati.mp3</t>
  </si>
  <si>
    <t>Nashik_Yatra_1998_03_-_Sita_Haran_-_Radhanath_Swami.mp3</t>
  </si>
  <si>
    <t>Nashik_Yatra_1998_04_-_Tapovan_-_Radhanath_Swami.mp3</t>
  </si>
  <si>
    <t>Nashik_Yatra_1998_05_-_Trambakeshwar_%26_Kusbarth_Tirth_-_Radhanath_Swami.mp3</t>
  </si>
  <si>
    <t>Nashik_Yatra_1998_06_-_Sundarnaryan_Temple.mp3</t>
  </si>
  <si>
    <t>Nashik_Yatra_1998_07_-_Jatayu_Tirth_-_Radhanath_Swami.mp3</t>
  </si>
  <si>
    <t>Nilachala_Yatra_-_Glories_of_Haridas_Thakur_-_Radhanath_Swami.mp3</t>
  </si>
  <si>
    <t>Nilachala_Yatra_-_Glorifying_A_Ray_of_Vishnu_-_Radhanath_Swami.mp3</t>
  </si>
  <si>
    <t>Nilachala_Yatra_-_Lord_Performing_Pastimes_at_Kamalpur_and_Attarnala_-_Radhanath_Swami.mp3</t>
  </si>
  <si>
    <t>Nilachala_Yatra_-_Pastimes_at_Chataka_parvat_-_Radhanath_Swami.mp3</t>
  </si>
  <si>
    <t>Nilachala_Yatra_-_Pastimes_at_Indradumna_Sarovar_-_Radhanath_Swami.mp3</t>
  </si>
  <si>
    <t>Nilachala_Yatra_-_Pastimes_at_Jagannath_Vallabh_Garden_%26_Gundicha_Temple_-_Radhanath_Swami.mp3</t>
  </si>
  <si>
    <t>Nilachala_Yatra_-_Pastimes_at_Narendra_Sarovar_-_Radhanath_Swami.mp3</t>
  </si>
  <si>
    <t>Nilachala_Yatra_-_Pastimes_at_the_House_of_Sarvabhauma_Bhattacarya_-_Radhanath_Swami.mp3</t>
  </si>
  <si>
    <t>Nilachala_Yatra_-_Renunciation_of_Raghunath_das_Goswami_-_Radhanath_Swami.mp3</t>
  </si>
  <si>
    <t>Nilachala_Yatra_-_Stories_of_Lord_Jagannath_-_Radhanath_Swami.mp3</t>
  </si>
  <si>
    <t>Nilachala_Yatra_-_Story_of_Bhuvaneswar_Mahadev_-_Radhanath_Swami.mp3</t>
  </si>
  <si>
    <t>Nilachala_Yatra_-_Story_of_Kshir_Chor_Gopinath_-_Radhanath_Swami.mp3</t>
  </si>
  <si>
    <t>Nilachala_Yatra_-_The_Residence_of_Lord_Chaitanya_-_Gambhira_-_Radhanath_Swami.mp3</t>
  </si>
  <si>
    <t>Nilachala_Yatra_-_Totagopinath_-_Radhanath_Swami.mp3</t>
  </si>
  <si>
    <t>Gaura_Lila_01_-_Lord_Caitanya%27s_Mercy_On_Various_Devotees_-_Radhanath_Swami.mp3</t>
  </si>
  <si>
    <t>Gaura_Lila_01_-_Lord_Caitanya_taking_Sannyas_-_Radhanath_Swami.mp3</t>
  </si>
  <si>
    <t>Gaura_Lila_01_-_Lord_Nityananda_Delivers_Jagai_and_Madhai_-_Radhanath_Swami.mp3</t>
  </si>
  <si>
    <t>Gaura_Lila_01_-_Nimai%27s_Appearance_and_Early_Childhood_Pastimes_-_Radhanath_Swami.mp3</t>
  </si>
  <si>
    <t>Gaura_Lila_01_-_Nimai_Pandit_Becomes_a_Devotee-01_-_Radhanath_Swami.mp3</t>
  </si>
  <si>
    <t>Gaura_Lila_01_-_Nimai_Pandit_Becomes_a_Devotee-02_-_Radhanath_Swami.mp3</t>
  </si>
  <si>
    <t>Gaura_Lila_01_-_Nimai_Pandit_the_Expert_Logician_-_Radhanath_Swami.mp3</t>
  </si>
  <si>
    <t>Gaura_Lila_01_-_Story_of_Chand_Kazi_and_Sridhar_Kolavecha_-_Radhanath_Swami.mp3</t>
  </si>
  <si>
    <t>Gaura_Lila_01_-_The_Beginning_of_the_Sankirtan_Movement_-_Radhanath_Swami.mp3</t>
  </si>
  <si>
    <t>Gaura_Lila_01_-_The_Mahaprakash_Lila-01_-_Radhanath_Swami.mp3</t>
  </si>
  <si>
    <t>Gaura_Lila_01_-_The_Mahaprakash_Lila-02_-_Radhanath_Swami.mp3</t>
  </si>
  <si>
    <t>Gaura_Lila-02_-_Deliverance_of_Sarvabhauma_Bhattacarya_-_Radhanath_Swami.mp3</t>
  </si>
  <si>
    <t>Gaura_Lila-02_-_Lord_Caitanya%27s_Meeting_with_Ramananda_Raya_-_Radhanath_Swami.mp3</t>
  </si>
  <si>
    <t>Gaura_Lila-02_-_Lord_Caitanya_on_His_Way_to_Jagannath_Puri_-_Radhanath_Swami.mp3</t>
  </si>
  <si>
    <t>Gaura_Lila-02_-_Lord_Caitanya_travels_to_Various_Places_-_Radhanath_Swami.mp3</t>
  </si>
  <si>
    <t>Gaura_Lila-02_-_Lord_Caitanya_Visits_Kurmakshetra_and_Simhachalam_-_Radhanath_Swami.mp3</t>
  </si>
  <si>
    <t>Gaura_Lila-02_-_Story_of_Ksira_Cora_Gopinatha_and_Sakshi_Gopal_-_Radhanath_Swami.mp3</t>
  </si>
  <si>
    <t>Gaura_Lila-03_-_Glories_of_Haridas_Thakur_and_Sanatana_Goswami_-_Radhanath_Swami.mp3</t>
  </si>
  <si>
    <t>Gaura_Lila-03_-_Glorification_of_Rupa_Goswami_-_Radhanath_Swami.mp3</t>
  </si>
  <si>
    <t>Gaura_Lila-03_-_Lord_Caitanya%27s_Pastimes_at_Jagannath_Puri_l_-_Radhanath_Swami.mp3</t>
  </si>
  <si>
    <t>Gaura_Lila-03_-_Lord_Caitanya%27s_Pastimes_at_Jagannath_Puri_ll_-_Radhanath_Swami.mp3</t>
  </si>
  <si>
    <t>Gaura_Lila-03_-_Lord_Caitanya_Empowers_Sanatana_Goswami_-_Radhanath_Swami.mp3</t>
  </si>
  <si>
    <t>Gaura_Lila-03_-_Lord_Caitanya_Performing_Pastimes_with_Various_Devotees_-_Radhanath_Swami.mp3</t>
  </si>
  <si>
    <t>Gaura_Lila-03_-_The_Lord%27s_Pastimes_on_His_Way_back_to_Puri_-_Radhanath_Swami.mp3</t>
  </si>
  <si>
    <t>Gaura_Lila-03_-_The_Lord_Showers_His_Mercy_on_Various_Devotees_-_Radhanath_Swami.mp3</t>
  </si>
  <si>
    <t>Hindi_BG_02-47_-_Jivan_ka_lakshya_-_1989-02-17_Mumbai_-_Radhanath_Swami.mp3</t>
  </si>
  <si>
    <t>Hindi_BG_09-33_-_Rachnatmak_Karya_-_1989-01-20_-_Radhanath_Swami_Mumbai.mp3</t>
  </si>
  <si>
    <t>2013-02-06_SB_01-02-06_Hindi_Translation_-_Radhanath_Swami_Barsana.mp3</t>
  </si>
  <si>
    <t>Hindi_SB_07-15-68_-_Durbhagyashali_bhagyashali_hain_-_Radhanath_Swami_1989-03-29_Mumbai.mp3</t>
  </si>
  <si>
    <t>Hindi_SB_08-01-01-02_-_Bhakta_jadugar_se_prabhavit_nahi_hote_89-04-18_Mumbai.mp3</t>
  </si>
  <si>
    <t>2010_South_India_Yatra_Lecture_Hindi_Translation_01_-_By_Krishnananda_Prabhu.mp3</t>
  </si>
  <si>
    <t>2010_South_India_Yatra_Lecture_Hindi_Translation_02_-_By_Krishnananda_Prabhu.mp3</t>
  </si>
  <si>
    <t>2010_South_India_Yatra_Lecture_Hindi_Translation_03_-_By_Krishnananda_Prabhu.mp3</t>
  </si>
  <si>
    <t>2010_South_India_Yatra_Lecture_Hindi_Translation_04_-_By_Krishnananda_Prabhu.mp3</t>
  </si>
  <si>
    <t>2010_South_India_Yatra_Lecture_Hindi_Translation_05_-_By_Krishnananda_Prabhu.mp3</t>
  </si>
  <si>
    <t>2010_South_India_Yatra_Lecture_Hindi_Translation_06_-_By_Krishnananda_Prabhu.mp3</t>
  </si>
  <si>
    <t>2010_South_India_Yatra_Lecture_Hindi_Translation_07_-_By_Krishnananda_Prabhu.mp3</t>
  </si>
  <si>
    <t>2010_South_India_Yatra_Lecture_Hindi_Translation_08_-_By_Krishnananda_Prabhu.mp3</t>
  </si>
  <si>
    <t>2010_South_India_Yatra_Lecture_Hindi_Translation_09_-_By_Krishnananda_Prabhu.mp3</t>
  </si>
  <si>
    <t>2010_South_India_Yatra_Lecture_Hindi_Translation_10_-_By_Krishnananda_Prabhu.mp3</t>
  </si>
  <si>
    <t>Vrindavan_Yatra_2011_-_Hare_Krishna_Kirtan_-_2011-10-27_Radhanath_Swami.mp3</t>
  </si>
  <si>
    <t>Vrindavan_Yatra_2011_-_Hare_Krishna_Kirtan_-_2011-10-28_Radhanath_Swami.mp3</t>
  </si>
  <si>
    <t>Vrindavan_Yatra_2011_-_Jaya_Yashoda_Jaya_Gopa_Gana_-_Gaur_Gopal_Pr_-_2011-10-26.mp3</t>
  </si>
  <si>
    <t>Vrindavan_Yatra_2011_-_Je_Anilo_Prema_Dhana_-_2011-10-30_Radhanath_Swami.mp3</t>
  </si>
  <si>
    <t>Vrindavan_Yatra_2011_Hindi_Translation_-_Brajvasisyo_ne_Govardhan_puja_kiya_-_2011-10-27_RNS.mp3</t>
  </si>
  <si>
    <t>Vrindavan_Yatra_2011_Hindi_Translation_-_Gokul_Mahavan_me_Krishna_ki_Bal_Lilaye_-_2011-10-26_RNS.mp3</t>
  </si>
  <si>
    <t>Vrindavan_Yatra_2011_Hindi_Translation_-_Govardhan_ka_Gungan_-_2011-11-03_Giriraj_Swami.mp3</t>
  </si>
  <si>
    <t>Vrindavan_Yatra_2011_Hindi_Translation_-_Govardhan_Parikrama_ka_Mahtava_-_2011-11-02_RNS.mp3</t>
  </si>
  <si>
    <t>Vrindavan_Yatra_2011_Hindi_Translation_-_Govardhan_Parikrama_ka_Mahtava_Part-01_-_2011-11-03_RNS.mp3</t>
  </si>
  <si>
    <t>Vrndavan_Yatra_2011_Hindi_Translation_-_Sri_Vrindavan_Dham_ki_Kripa_Prapt_karna_-_2011-10-22_RNS.mp3</t>
  </si>
  <si>
    <t>VY_2011_Hindi_Translation_-_Aghasura_ka_vadh_aur_Brahma_Vimohan_Lila_-_2011-10-28_RNS.mp3</t>
  </si>
  <si>
    <t>VY_2011_Hindi_Translation_-_Evening_Offerings_to_Srila_Prabhupada_-_2011-10-30_Devotees.mp3</t>
  </si>
  <si>
    <t>VY_2011_Hindi_Translation_-_Morning_Offerings_to_Srila_Prabhupada_-_2011-10-30_Devotees.mp3</t>
  </si>
  <si>
    <t>VY_2011_Hindi_Translation_-_Sri_Giriraj-Haridas_Varya_Sarvottam_Sevak_-_2011-10-27_Giriraj_Sw.mp3</t>
  </si>
  <si>
    <t>VY_2011_HT_-_Bhakto_ko_Prasanna_karne_se_Krsna_prasanna_hote_hai_-_11-10-29_RNS_and_Vaisesika_Pr.mp3</t>
  </si>
  <si>
    <t>VY_2011_HT_-_Sri_Sri_Radha_Govindadji_and_Sri_Sri_Madanmohanji_ki_Punarsthapna_-_2011-10-23_RNS.mp3</t>
  </si>
  <si>
    <t>VY_2011_HT_-_Srila_Jiva_Goswami_ne_Srila_Rupa_and_Sanatana_ka_sharan_liya_-_2011-10-25_RNS.mp3</t>
  </si>
  <si>
    <t>VY_2011_HT_-_Yatra_ka_Sahi_Bhav_aur_Vraja_ke_Pashu_vishesh_atma_hai_-_2011-11-01_MM.mp3</t>
  </si>
  <si>
    <t>VY_2011_HT_-_Yatra_ka_Sahi_Bhav_aur_Vraja_ke_Pashu_vishesh_atma_hai_-_2011-11-01_RNS.mp3</t>
  </si>
  <si>
    <t>2014-02-04_Various_Hindi_Translation_-_Sacred_Path_of_Grhastha_Ashram_-_Radhanath_Swami_Mumbai.mp3</t>
  </si>
  <si>
    <t>2014-03-08_SB_10-40-04-05_Hindi_Translation_-_Separation_From_Krishna_-_Radhanath_Swami_ISKCON_Chowpatty.mp3</t>
  </si>
  <si>
    <t>1999_Day-01_Part-01_-_Brihad_Bhagvatmrita_Introduction_-_Radhanath_Swami.mp3</t>
  </si>
  <si>
    <t>1999_Day-01_Part-02_-_Brihad_Bhagvatmrita_Narada_Muni_is_looking_great_bhakta_-_Radhanath_Swami.mp3</t>
  </si>
  <si>
    <t>1999_Day-02_Part-01_-_Brihad_Bhagvatmrita_Brahmaloka_-_Radhanath_Swami.mp3</t>
  </si>
  <si>
    <t>1999_Day-02_Part-02_-_Brihad_Bhagvatmrita_Shivaloka_-_Radhanath_Swami.mp3</t>
  </si>
  <si>
    <t>1999_Day-03_Part-01_-_Brihad_Bhagvatmrita_Meeting_with_Prahlada_-_Radhanath_Swami.mp3</t>
  </si>
  <si>
    <t>1999_Day-03_Part-02_-_Brihad_Bhagvatmrita_History_of_Hanuman_-_Radhanath_Swami.mp3</t>
  </si>
  <si>
    <t>1999_Day-04_Part-01_-_Brihad_Bhagvatmrita_The_importance_of_hearing_-_Radhanath_Swami.mp3</t>
  </si>
  <si>
    <t>1999_Day-04_Part-02_-_Brihad_Bhagvatmrita_Meeting_with_Hanuman_-_Radhanath_Swami.mp3</t>
  </si>
  <si>
    <t>1999_Day-04_Part-03_-_Brihad_Bhagvatmrita_Hanuman_glorifies_the_Pandavas_-_Radhanath_Swami.mp3</t>
  </si>
  <si>
    <t>1999_Day-05_Part-01_-_Brihad_Bhagvatmrita_Description_of_Fame_Pandavas_-_Radhanath_Swami.mp3</t>
  </si>
  <si>
    <t>1999_Day-06_Part-01_-_Brihad_Bhagvatmrita_About_Sanatana_Goswami_-_Radhanath_Swami.mp3</t>
  </si>
  <si>
    <t>1999_Day-06_Part-02_-_Brihad_Bhagvatmrita_Message_from_the_audience_-_Radhanath_Swami.mp3</t>
  </si>
  <si>
    <t>1999_Day-06_Part-03_-_Brihad_Bhagvatmrita_Fame_and_fortune_Yadavov_-_Radhanath_Swami.mp3</t>
  </si>
  <si>
    <t>1999_Day-06_Part-04_-_Brihad_Bhagvatmrita_Glory_Vrad%C5%BEa_yours_-_Radhanath_Swami.mp3</t>
  </si>
  <si>
    <t>1999_Day-06_Part-05_-_Brihad_Bhagvatmrita_Glory_Uddhava_-_Radhanath_Swami.mp3</t>
  </si>
  <si>
    <t>Srila_Gopala_Bhatta_Goswami_%26_Ramachandra_Kaviraj_-_Radhanath_Swami_Vrindavan.mp3</t>
  </si>
  <si>
    <t>Srila_Jiva_Goswami_-_Radhanath_Swami_Vrindavan.mp3</t>
  </si>
  <si>
    <t>Srila_Raghunatha_Bhatta_Goswami_-_Radhanath_Swami_Vrindavan.mp3</t>
  </si>
  <si>
    <t>Srila_Raghunatha_das_Goswami_-_Radhanath_Swami_Vrindavan.mp3</t>
  </si>
  <si>
    <t>Srila_Rupa_Goswami_Part-01_-_Radhanath_Swami_Vrindavan.mp3</t>
  </si>
  <si>
    <t>Srila_Rupa_Goswami_Part-02_-_Radhanath_Swami.mp3</t>
  </si>
  <si>
    <t>Srila_Sanatana_das_Goswami_-_Radhanath_Swami.mp3</t>
  </si>
  <si>
    <t>2009-10-17_Glory_Navadwip_Dham_-_Radhanath_Sw.mp3</t>
  </si>
  <si>
    <t>2009-10-17_Glory_Navadwip_Dham_-_Radhanath_Swami.mp3</t>
  </si>
  <si>
    <t>2009-10-17_Introductory_lecture_-_Radhanath_Sw.mp3</t>
  </si>
  <si>
    <t>2009-10-17_Introductory_lecture_-_Radhanath_Swami.mp3</t>
  </si>
  <si>
    <t>2009-10-17_Invite_EU_-_Jayapataka_Sw.mp3</t>
  </si>
  <si>
    <t>2009-10-17_Invite_EU_-_Jayapataka_Swami.mp3</t>
  </si>
  <si>
    <t>2009-10-17_Significance_of_Diwali_-_Radhanath_Sw.mp3</t>
  </si>
  <si>
    <t>2009-10-17_Significance_of_Diwali_-_Radhanath_Swami.mp3</t>
  </si>
  <si>
    <t>2009-10-18_Gaura_Lila_-_Radhanath_Sw.mp3</t>
  </si>
  <si>
    <t>2009-10-18_Gaura_Lila_-_Radhanath_Swami.mp3</t>
  </si>
  <si>
    <t>2009-10-19_SB_10-24-35_Sri_Krishna_worships_Govardhana_-_Radhanath_Sw.mp3</t>
  </si>
  <si>
    <t>2009-10-19_SB_10-24-35_Sri_Krishna_worships_Govardhana_-_Radhanath_Swami.mp3</t>
  </si>
  <si>
    <t>2009-10-19_The_reaction_of_Indra_on_Govardhan_Puja_-_Radhanath_Sw.mp3</t>
  </si>
  <si>
    <t>2009-10-19_The_reaction_of_Indra_on_Govardhan_Puja_-_Radhanath_Swami.mp3</t>
  </si>
  <si>
    <t>2009-10-20_Kids_Games_Nimai_-_Radhanath_Sw.mp3</t>
  </si>
  <si>
    <t>2009-10-20_Kids_Games_Nimai_-_Radhanath_Swami.mp3</t>
  </si>
  <si>
    <t>2009-10-21_Preparing_to_take_sannyasa_-_Radhanath_Sw.mp3</t>
  </si>
  <si>
    <t>2009-10-21_Preparing_to_take_sannyasa_-_Radhanath_Swami.mp3</t>
  </si>
  <si>
    <t>2009-10-22_Offering_to_Srila_Prabhupada_EU_-_Bodhayan_Maharaj.mp3</t>
  </si>
  <si>
    <t>2009-10-22_Offering_to_Srila_Prabhupada_EU_-_Radhanath_Sw.mp3</t>
  </si>
  <si>
    <t>2009-10-22_Offering_to_Srila_Prabhupada_EU_-_Radhanath_Swami.mp3</t>
  </si>
  <si>
    <t>2009-10-23_Sannyasa_ceremony_Mahaprabhu_-_Radhanath_Sw.mp3</t>
  </si>
  <si>
    <t>2009-10-23_Sannyasa_ceremony_Mahaprabhu_-_Radhanath_Swami.mp3</t>
  </si>
  <si>
    <t>2009-10-24_The_Reunification_of_the_devotees_with_Lord_Caitanya_-_Radhanath_Sw.mp3</t>
  </si>
  <si>
    <t>2009-10-24_The_Reunification_of_the_devotees_with_Lord_Caitanya_-_Radhanath_Swami.mp3</t>
  </si>
  <si>
    <t>2009-10-25_Lord_Caitanya_returned_to_Navadwipa_-_Radhanath_Sw.mp3</t>
  </si>
  <si>
    <t>2009-10-25_Lord_Caitanya_returned_to_Navadwipa_-_Radhanath_Swami.mp3</t>
  </si>
  <si>
    <t>2009-10-26_Adoption_of_Mercy_of_Lord_Chaitanya_by_Lord_Nityananda_-_Radhanath_Sw.mp3</t>
  </si>
  <si>
    <t>2009-10-26_Adoption_of_Mercy_of_Lord_Chaitanya_by_Lord_Nityananda_-_Radhanath_Swami.mp3</t>
  </si>
  <si>
    <t>2009-10-27_Closing_Yatra_-_Radhanath_Sw.mp3</t>
  </si>
  <si>
    <t>2009-10-27_Closing_Yatra_-_Radhanath_Swami.mp3</t>
  </si>
  <si>
    <t>1997_Day-01_Part-01_Start_of_Yatra_-_Radhanath_Swami_Mayapur.mp3</t>
  </si>
  <si>
    <t>1997_Day-01_Part-02_Appearence_of_Lord_Gauranga_-_Radhanath_Swami_Mayapur.mp3</t>
  </si>
  <si>
    <t>1997_Day-01_Part-03_%20Lilas_of_Nimai_-_Sacinandana_Swami_Mayapur.mp3</t>
  </si>
  <si>
    <t>1997_Day-01_Part-04_Lilas_-_Gopiparanadhana_Prabhu_Mayapur.mp3</t>
  </si>
  <si>
    <t>1997_Day-01_Part-05_Lilas_in_Yogapith_-_Radhanath_Swami_Mayapur.mp3</t>
  </si>
  <si>
    <t>1997_Day-02_Part-01_Kirtans_in_Srivas_Angam_-_Radhanath_Swami_Mayapur.mp3</t>
  </si>
  <si>
    <t>1997_Day-02_Part-02_Mahaprakas_01_-_Radhanath_Swami_Mayapur.mp3</t>
  </si>
  <si>
    <t>1997_Day-02_Part-02_Mahaprakas_01_Radhanath_swami_Mayapur.mp3</t>
  </si>
  <si>
    <t>1997_Day-02_Part-03_Mahaprakas_02_-_Radhanath_Swami_Mayapur.mp3</t>
  </si>
  <si>
    <t>1997_Day-02_Part-03_Mahaprakas_02_Radhanath_swami_Mayapur.mp3</t>
  </si>
  <si>
    <t>1997_Day-03_Part-01_Nandana_acarya_-_Radhanath_Swami_Mayapur.mp3</t>
  </si>
  <si>
    <t>1997_Day-03Part-01_Nandana_acarya_Radhanath_swami_Mayapur.mp3</t>
  </si>
  <si>
    <t>1997_Day-04_Part-01_Murari_gupta_-_Radhanath_Swami_Mayapur.mp3</t>
  </si>
  <si>
    <t>1997_Day-04_Part-01_Murari_gupta_Radhanath_swami_Mayapur.mp3</t>
  </si>
  <si>
    <t>1997_Day-04_Part-02_Glory_of_Mayapur_dhamas_Sacinandana_Radhanath_swami_Mayapur.mp3</t>
  </si>
  <si>
    <t>1997_Day-04_Part-03_Murari_Gupta_-_Radhanath_Swami_Mayapur.mp3</t>
  </si>
  <si>
    <t>1997_Day-04_Part-03_Murari_Gupta_Radhanath_swami_Mayapur.mp3</t>
  </si>
  <si>
    <t>1997_Day-06_Part-01_Samadhi_mandir_of_BSST_Sacinandana_swami_Mayapur.mp3</t>
  </si>
  <si>
    <t>1997_Day-07_Part-01_Simantadvip_-_Radhanath_Swami_Mayapur.mp3</t>
  </si>
  <si>
    <t>1997_Day-07_Part-02_Kolaveca_Sridhara_-_Radhanath_Swami_Mayapur.mp3</t>
  </si>
  <si>
    <t>1997_Day-07_Part-03_Kolaveca_Sridhara_-_Jananivas_Prabhu_Mayapur.mp3</t>
  </si>
  <si>
    <t>1997_Day-08_Part-01_Jagannatha_Appearence_-_Jananivas_Prabhu_Mayapur.mp3</t>
  </si>
  <si>
    <t>1997_Day-08_Part-01_Jagannatha_appearence_Jana_Nivas_Pr_Mayapur.mp3</t>
  </si>
  <si>
    <t>1997_Day-09_Part-01_Cand_Kazi_Radhanath_swami_Mayapur.mp3</t>
  </si>
  <si>
    <t>1997_Day-09_Part-01_Chand_Kazi_-_Radhanath_Swami_Mayapur.mp3</t>
  </si>
  <si>
    <t>1997_Day-10_Part-01_Surabhi_kunda_-_Radhanath_Swami_Mayapur.mp3</t>
  </si>
  <si>
    <t>1997_Day-10_Part-01_Surabhi_kunj_Radhanath_swami_Mayapur.mp3</t>
  </si>
  <si>
    <t>1997_Day-11_Part-01_Bhaktivinoda_Thakur%27s_House_-_Sacinandana_Swami_Mayapur.mp3</t>
  </si>
  <si>
    <t>1997_Day-11_Part-01_Bhaktivinoda_Thakur_House_Sacinandana_swami_Mayapur.mp3</t>
  </si>
  <si>
    <t>1997_Day-11_Part-02_Bhaktivinoda_Thakur%27s_House_-_Radhanath_Swami_Mayapur.mp3</t>
  </si>
  <si>
    <t>1997_Day-11_Part-02_Bhaktivinoda_Thakur_House_Radhanath_swami_Mayapur.mp3</t>
  </si>
  <si>
    <t>1997_Day-12_Part-01_Suvarna_vihar_-_Sacinandana_Swami_Mayapur.mp3</t>
  </si>
  <si>
    <t>1997_Day-12_Part-01_Suvarna_vihar_Sacinandana_swami_Mayapur.mp3</t>
  </si>
  <si>
    <t>1997_Day-12_Part-02_Amghat_-_Radhanath_Swami_Mayapur.mp3</t>
  </si>
  <si>
    <t>1997_Day-12_Part-02_Amghat_Radhanath_swami_Mayapur.mp3</t>
  </si>
  <si>
    <t>1997_Day-12_Part-03_Harihara_Ksetra_-_Radhanath_Swami_Mayapur.mp3</t>
  </si>
  <si>
    <t>1997_Day-12_Part-03_Harihara_ksetra_Radhanath_swami_Mayapur.mp3</t>
  </si>
  <si>
    <t>1997_Day-12_Part-04_Bhaja_Gauranga_-_Radhanaath_Swami_Mayapur.mp3</t>
  </si>
  <si>
    <t>1997_Day-12_Part-04_Bhaja_Gauranga_Radhanaath_swami_Mayapur.mp3</t>
  </si>
  <si>
    <t>1997_Day-13_Part-01_Mamgaci_-_Radhanath_Swami_Mayapur.mp3</t>
  </si>
  <si>
    <t>1997_Day-13_Part-01_Mamgaci_Radhanath_swami_Mayapur.mp3</t>
  </si>
  <si>
    <t>1997_Day-13_Part-02_Vasudeva_0datta_-_Radhanath_Swami_Mayapur.mp3</t>
  </si>
  <si>
    <t>1997_Day-13_Part-03_Destroy_of_Ego_-_Sacinandana_Swami_Mayapur.mp3</t>
  </si>
  <si>
    <t>1997_Day-14_Part-01_Saranga_Murari_-_Radhanath_Swami_Mayapur.mp3</t>
  </si>
  <si>
    <t>1997_Day-14_Part-01_Saranga_Murari_radhanath_swami_Mayapur.mp3</t>
  </si>
  <si>
    <t>1997_Day-14_Part-02_Vidyanagar_-_Radhanath_Swami_Mayapur.mp3</t>
  </si>
  <si>
    <t>1997_Day-14_Part-02_Vidyanagar_Radhanath_swami_Mayapur.mp3</t>
  </si>
  <si>
    <t>1997_Day-14_Part-03_Glories_of_Sri_Caitanya_Mahaprabhu_-_Mayapur.mp3</t>
  </si>
  <si>
    <t>1997_Day-14_Part-03_Prabhu_Glories_of_Sri_Caitanya_Mayapur.mp3</t>
  </si>
  <si>
    <t>1997_Day-14_Part-04_Campahati_-_Radhanath_Swami_Mayapur.mp3</t>
  </si>
  <si>
    <t>1997_Day-14_Part-04_Campahati_Radhanath_swami_Mayapur.mp3</t>
  </si>
  <si>
    <t>1997_Day-15_Part-01_Vishnupriya_Devi_-_Radhanath_Swami_Mayapur.mp3</t>
  </si>
  <si>
    <t>1997_Day-15_Part-01_Visnupriya_devi_Radhanath_swami_Mayapur.mp3</t>
  </si>
  <si>
    <t>1997_Day-15_Part-02_Praudha_Maya_-_Sacinandana_Swami_Mayapur.mp3</t>
  </si>
  <si>
    <t>1997_Day-15_Part-02_Praudha_maya_Sacinandana_swami_Mayapur.mp3</t>
  </si>
  <si>
    <t>1997_Day-15_Part-03_Govinda_Jaya_Jaya_-_Radhanath_Swami_Mayapur.mp3</t>
  </si>
  <si>
    <t>1997_Day-15_Part-03_Govinda_Jaya_Jaya_Radhanath_swami_Mayapur.mp3</t>
  </si>
  <si>
    <t>1997_Day-01_Part-01_Ramakeli_-_Radhanath_Swami_Mayapur.mp3</t>
  </si>
  <si>
    <t>1997_Day-01_Part-02_Bhajans_-_Radhanath_Swami_Mayapur.mp3</t>
  </si>
  <si>
    <t>1997_Day-01_Part-02_Bhajans_Radhanath_swami_Mayapur.mp3</t>
  </si>
  <si>
    <t>1997_Day-01_Part-03_Prabhu_Sanatana_Goswami_Mayapur.mp3</t>
  </si>
  <si>
    <t>1997_Day-01_Part-03_Sanatana_Goswami_-_Radhanath_Swami_Mayapur.mp3</t>
  </si>
  <si>
    <t>1997_Day-02_Part-01_Govardhana_kirtan_-_Radhanath_Swami_Mayapur.mp3</t>
  </si>
  <si>
    <t>1997_Day-02_Part-01_Govardhana_kirtan_Radhanath_swami_Mayapur.mp3</t>
  </si>
  <si>
    <t>1997_Day-02_Part-01_Govardhana_lila_-_Radhanath_Swami_Mayapur.mp3</t>
  </si>
  <si>
    <t>1997_Day-02_Part-01_Govardhana_lila_Radhanath_swami_Mayapur.mp3</t>
  </si>
  <si>
    <t>1997_Day-02_Part-02_Govardhana_lila_-_Radhanath_Swami_Mayapur.mp3</t>
  </si>
  <si>
    <t>1997_Day-02_Part-02_Govardhana_lila_Radhanath_swami_Mayapur.mp3</t>
  </si>
  <si>
    <t>1997_Day-03_Part-01_kirtan_in_Kanainatshala_-_Sacinandana_Swami_Mayapur.mp3</t>
  </si>
  <si>
    <t>1997_Day-03_Part-01_kirtan_in_Kanainatshala_Sacinandana_swami_Mayapur.mp3</t>
  </si>
  <si>
    <t>1997_Day-03_Part-02_Kanainatshala_-_Radhanath_Swami_Mayapur.mp3</t>
  </si>
  <si>
    <t>1997_Day-03_Part-02_Kanainatshala_Radhanath_swami_Mayapur.mp3</t>
  </si>
  <si>
    <t>1997_Day-04_Part-02_Govardhan_-_Radhanath_Swami_Mayapur.mp3</t>
  </si>
  <si>
    <t>1997_Day-04_Part-02_Govardhan_Radhanath_swami_Mayapur.mp3</t>
  </si>
  <si>
    <t>1997_Day-05_Part-01_Games_Nitai_-_Radhanath_Swami_Mayapur.mp3</t>
  </si>
  <si>
    <t>1997_Day-05_Part-01_Games_Nitai_Radhanath_swami_Mayapur.mp3</t>
  </si>
  <si>
    <t>1997_Day-05_Part-02_Games_Nitai_-_Radhanath_Swami_Mayapur.mp3</t>
  </si>
  <si>
    <t>1997_Day-05_Part-02_Games_Nitai_Radhanath_swami_Mayapur.mp3</t>
  </si>
  <si>
    <t>1997_Day-06_Part-01_Life_Nityananda_-_Radhanath_Swami_Mayapur.mp3</t>
  </si>
  <si>
    <t>1997_Day-06_Part-01_Life_Nityananda_Radhanath_swami_Mayapur.mp3</t>
  </si>
  <si>
    <t>1997_Day-06_Part-02_Exemption_Dzhagaya_and_Madhaya_Sacinandana_swami_Mayapur.mp3</t>
  </si>
  <si>
    <t>1997_Day-06_Part-02_Exemption_Jaghai_and_Madhai_-_Sacinandana_Swami_Mayapur.mp3</t>
  </si>
  <si>
    <t>1997_Day-06_Part-03_Nityananda_Rama_kirtan_-_Sacinandana_Swami_Mayapur.mp3</t>
  </si>
  <si>
    <t>1997_Day-06_Part-03_Nityananda_Rama_kirtan_Sacinandana_swami_Mayapur.mp3</t>
  </si>
  <si>
    <t>1997_Day-06_Part-04_The_Mercy_of_Nityananda_-_Sacinandana_Swami_Mayapur.mp3</t>
  </si>
  <si>
    <t>1997_Day-06_Part-04_The_mercy_of_Nityananda_Sacinandana_swami_Mayapur.mp3</t>
  </si>
  <si>
    <t>1997_Day-06_Part-05_Games_Nityananda_Radhanath_swami_Mayapur.mp3</t>
  </si>
  <si>
    <t>1997_Day-06_Part-05_Games_of_Nityananda_-_Radhanath_Swami_Mayapur.mp3</t>
  </si>
  <si>
    <t>1997_Day-06_Part-06_Nitai_Pada_Kamala_kirtan_-_Radhanath_Swami_Mayapur.mp3</t>
  </si>
  <si>
    <t>1997_Day-06_Part-06_Nitay_Pada_kamala_kirtan_Radhanath_swami_Mayapur.mp3</t>
  </si>
  <si>
    <t>1997_Day-07_Part-01_Jajigram_-_Radhanath_Swami_Mayapur.mp3</t>
  </si>
  <si>
    <t>1997_Day-07_Part-01_Jajigram_Radhanath_swami_Mayapur.mp3</t>
  </si>
  <si>
    <t>1997_Day-08_Part-01_Srikhanta_-_Radhanath_Swami_Mayapur.mp3</t>
  </si>
  <si>
    <t>1997_Day-08_Part-01_Srikhanta_Radhanath_swami_Mayapur.mp3</t>
  </si>
  <si>
    <t>1997_Day-09_Part-01_Raghava_Pandit_-_Radhanath_Swami_Mayapur.mp3</t>
  </si>
  <si>
    <t>1997_Day-09_Part-01_Raghava_Pandit_Radhanath_swami_Mayapur.mp3</t>
  </si>
  <si>
    <t>1997_Day-09_Part-02_Kirtan_-_Radhanath_Swami_Mayapur.mp3</t>
  </si>
  <si>
    <t>1997_Day-09_Part-02_kirtan_Radhanath_swami_Mayapur.mp3</t>
  </si>
  <si>
    <t>1997_Day-09_Part-03_Panihati_Gram_-_Radhanath_Swami_Mayapur.mp3</t>
  </si>
  <si>
    <t>1997_Day-09_Part-03_Panihati_Gram_Radhanath_swami_Mayapur.mp3</t>
  </si>
  <si>
    <t>1997_Day-10_Part-01_Kardaha_-_Radhanath_Swami_Mayapur.mp3</t>
  </si>
  <si>
    <t>1997_Day-10_Part-01_Kardaha_Radhanath_swami_Mayapur.mp3</t>
  </si>
  <si>
    <t>1997_Day-10_Part-02_Radhanath_Swami_Mayapur.mp3</t>
  </si>
  <si>
    <t>1998_Day-01_Instructions_before_Parikrama_-_Radhanath_Swami_Jagannath_Puri.mp3</t>
  </si>
  <si>
    <t>1998_Day-02_History_Bhuvaneshvara_-_Radhanath_Swami_Jagannath_Puri.mp3</t>
  </si>
  <si>
    <t>1998_Day-03_Game_of_the_Lord_in_Kamalpure_and_Attaranale_-_Radhanath_Swami_Jagannath_Puri.mp3</t>
  </si>
  <si>
    <t>1998_Day-04_Game_of_the_Lord_in_Attaranale_continued_-_Radhanath_Swami_Jagannath_Puri.mp3</t>
  </si>
  <si>
    <t>1998_Day-05_The_Path_of_Lord_Caitanya_in_Jagannath_Puri_-_Radhanath_Swami_Jagannath_Puri.mp3</t>
  </si>
  <si>
    <t>1998_Day-06_Lord_Chaitanya_and_Sarvabhauma_Bhattacharya_-_Radhanath_Swami_Jagannath_Puri.mp3</t>
  </si>
  <si>
    <t>1998_Day-07_Game_of_the_Lord_on_Narendra_Sarovar_-_Radhanath_Swami_Jagannath_Puri.mp3</t>
  </si>
  <si>
    <t>1998_Day-08_Glory_Raghunatha_dasa_Goswami_-_Radhanath_Swami_Jagannath_Puri.mp3</t>
  </si>
  <si>
    <t>1998_Day-09_Part-01_Sri_Chaitanya_in_Gambier_-_Radhanath_Swami_Jagannath_Puri.mp3</t>
  </si>
  <si>
    <t>1998_Day-09_Part-02_Sri_Chaitanya_in_Gambier_-_Radhanath_Swami_Jagannath_Puri.mp3</t>
  </si>
  <si>
    <t>1998_Day-10_Pit_Paramananda_Puri_-_Radhanath_Swami_Jagannath_Puri.mp3</t>
  </si>
  <si>
    <t>1998_Day-11_Chatak_Parvati_-_Radhanath_Swami_Jagannath_Puri.mp3</t>
  </si>
  <si>
    <t>1998_Day-12_Part-01_Tota_Gopinath_Mandir_-_Radhanath_Swami_Jagannath_Puri.mp3</t>
  </si>
  <si>
    <t>1998_Day-12_Part-02_Tota_Gopinath_Mandir_-_Radhanath_Swami_Jagannath_Puri.mp3</t>
  </si>
  <si>
    <t>1998_Day-12_Part-03_Nimai_takes_sannyasi_-_Radhanath_Swami_Jagannath_Puri.mp3</t>
  </si>
  <si>
    <t>1998_Day-13_Part-01_Glory_to_Srila_Haridas_Thakur_-_Radhanath_Swami_Jagannath_Puri.mp3</t>
  </si>
  <si>
    <t>1998_Day-13_Part-02_Glory_to_Srila_Haridas_Thakur_-_Radhanath_Swami_Jagannath_Puri.mp3</t>
  </si>
  <si>
    <t>1998_Day-13_Part-03_Haridas_Thakur_-_Radhanath_Swami_Jagannath_Puri.mp3</t>
  </si>
  <si>
    <t>1998_Day-14_Proslvlenie_Bhaktisiddhanta_Saraswati_-_Radhanath_Swami_Jagannath_Puri.mp3</t>
  </si>
  <si>
    <t>1998_Day-15_Lord_Chaitanya_in_ecstasy_-_Radhanath_Swami_Jagannath_Puri.mp3</t>
  </si>
  <si>
    <t>1998_Day-16_History_of_Lord_Jagannath_-_Radhanath_Swami_Jagannath_Puri.mp3</t>
  </si>
  <si>
    <t>1998_Day-17_History_Indradumn_Maharaj_-_Radhanath_Swami_Jagannath_Puri.mp3</t>
  </si>
  <si>
    <t>1998_Day-18_Games_of_Lord_Jagannath_-_Radhanath_Swami_Jagannath_Puri.mp3</t>
  </si>
  <si>
    <t>1998_Day-19_Jagannatha_Vallabha_Garden_-_Radhanath_Swami_Jagannath_Puri.mp3</t>
  </si>
  <si>
    <t>1998_Day-20_Games_at_Jagannath_Rath_Yatra_-_Radhanath_Swami_Jagannath_Puri.mp3</t>
  </si>
  <si>
    <t>1998_Day-21_Purification_Gundicha_Radhanath_swami_Jagannath_Puri.mp3</t>
  </si>
  <si>
    <t>1998_Day-22_Games_at_Lake_Indradyumna_Sarovar_-_Radhanath_Swami_Jagannath_Puri.mp3</t>
  </si>
  <si>
    <t>1998_Day-23_Background_to_the_Deity_in_Remune_-_Radhanath_Swami_Jagannath_Puri.mp3</t>
  </si>
  <si>
    <t>1998_Day-24_History_Kshira_Chor_Gopinath_-_Radhanath_Swami_Jagannath_Puri.mp3</t>
  </si>
  <si>
    <t>1998_Day-25_The_story_of_the_deities%20Gopinath_-_Radhanath_Swami_Jagannath_Puri.mp3</t>
  </si>
  <si>
    <t>1995_Day-01_Part-01_Govinda_ji_Radhanath_Swami_Jaipur.mp3</t>
  </si>
  <si>
    <t>1995_Day-01_Part-02_Govinda_ji_Giriraj_Swami_Jaipur.mp3</t>
  </si>
  <si>
    <t>1995_Day-02_Part-01_Jaya_Radhe_Jaya_Krishna_Radhanath_Swami_Jaipur.mp3</t>
  </si>
  <si>
    <t>1995_Day-02_Part-02_Gopinatha_Radhanath_Swami_Jaipur.mp3</t>
  </si>
  <si>
    <t>1995_Day-02_Part-03_Madhu_Pandit%27s_Darsan_Jayadvaita_Swami_Jaipur.mp3</t>
  </si>
  <si>
    <t>1995_Day-02_Part-04_Vaisnava_aparadha_Giriraj_Swami_Jaipur.mp3</t>
  </si>
  <si>
    <t>1995_Day-03_Part-01_Jaya_Radha_Vinoda_kirtan_Radhanath_Swami_Jaipur.mp3</t>
  </si>
  <si>
    <t>1995_Day-03_Part-02_Sri_Sri_Radha_Vinoda_Radhanath_Swami_Jaipur.mp3</t>
  </si>
  <si>
    <t>1995_Day-04_Part-01_Jaya_Radha_Damodar_kirtan_Radhanath_Swami_Jaipur.mp3</t>
  </si>
  <si>
    <t>1995_Day-04_Part-02_Pastimes_of_Radha_Damodar_Radhanath_Swami_jaipur.mp3</t>
  </si>
  <si>
    <t>1995_Day-04_Part-03_Pastimes_of_Radha_Damodar_Giriraj_Swami_Jaipur.mp3</t>
  </si>
  <si>
    <t>1995_Day-04_Part-04_Damodarastaka_Kirtan_Radhanath_Swami%20.mp3</t>
  </si>
  <si>
    <t>1995_Day-05_Part-01_Madana_Mohanji_radhanath_Swami_Jaipur.mp3</t>
  </si>
  <si>
    <t>1995_Day-06_Part-01_Jaya_Radha_Madhava_Radhanath_Swami_Jaipur.mp3</t>
  </si>
  <si>
    <t>1995_Day-06_Part-02_Jayadeva_Gosvami_Radhanath_Swami_Jaipur.mp3</t>
  </si>
  <si>
    <t>1995_Day-06_Part-03_Jayadeva_Gosvami_Giriraj_Swami_Jaipur.mp3</t>
  </si>
  <si>
    <t>1995_Day-07_Part-01_Baladeva_Vidyabhusana_Radhanath_Swami_Jaipur.mp3</t>
  </si>
  <si>
    <t>1995_Day-08_Part-01_Jaya_Radha_Krishna_Giti_Radhanath_Swami_Jaipur.mp3</t>
  </si>
  <si>
    <t>1995_Day-8_Part-2_Jaya_Radha_Krishna_Giti_cont_Radhanath_Swami_Jaipur.mp3</t>
  </si>
  <si>
    <t>1999_Day-01_Part-01_Kurma_ksetra_Radhanath_Swami_1999-06-02_South_India.mp3</t>
  </si>
  <si>
    <t>1999_Day-02_Part-01_Simhacalam_Radhanath_Swami_1999-06-03_South_India.mp3</t>
  </si>
  <si>
    <t>1999_Day-03_part-01_Kabur_Radhanath_Swami_1999-06-04_South_India.mp3</t>
  </si>
  <si>
    <t>1999_Day-03_Part-02_Kabur_Radhanath_Swami_1999-06-04_South_India.mp3</t>
  </si>
  <si>
    <t>1999_Day-04_Part-01_Mangalagiri_Radhanath_Swami_1999-06-05_South_India.mp3</t>
  </si>
  <si>
    <t>1999_Day-05_Part-01_Ahovalam_Glories_of_Prahlada_Radhanath_Swami_1999-06-07_South_India.mp3</t>
  </si>
  <si>
    <t>1999_Day-06_Part-01_Ahovalam_Radhanath_Swami_1999-06-09_South_India.mp3</t>
  </si>
  <si>
    <t>1999_Day-07_Part-01_Ahovalam_Radhanath_Swami_1999-06-09_South_India.mp3</t>
  </si>
  <si>
    <t>1999_Day-08_Part-01_Tirupati_Radhanath_Swami_1999-06-11_South_India.mp3</t>
  </si>
  <si>
    <t>1999_Day-08_Part-02_Tirupati_Radhanath_Swami_1999-06-11_South_India.mp3</t>
  </si>
  <si>
    <t>1999_01_Nandagram_Radhanath_Swami_-_1999-11-10.mp3</t>
  </si>
  <si>
    <t>1999_01_Varshana_Radhanath_Swami_-_1999-11-07.mp3</t>
  </si>
  <si>
    <t>1999_01_Vrindavan_Radhanath_Swami_1999-11-06.mp3</t>
  </si>
  <si>
    <t>1999_02_Nandagram_Talavan_Radhanath_Swami_-_1999-11-10.mp3</t>
  </si>
  <si>
    <t>1999_02_Varshana_Radhanath_Swami_-_1999-11-07.mp3</t>
  </si>
  <si>
    <t>1999_02_Vrindavan_Radhanath_Swami_-_1999-11-06.mp3</t>
  </si>
  <si>
    <t>1999_03_Varshana_Radhanath_Swami_-_1999-11-07.mp3</t>
  </si>
  <si>
    <t>1999_03_Vrindavan_Radhanath_Swami_-_1999-11-06.mp3</t>
  </si>
  <si>
    <t>1999_Brahma_lila_vimohana_Radhanath_swami_-_1999.11.xx.mp3</t>
  </si>
  <si>
    <t>1999_Govardhana_Radhanath_Swami_-_1999-11-08.mp3</t>
  </si>
  <si>
    <t>1999_Radha_Kunda_Radhanath_Swami_-_1999-11-11.mp3</t>
  </si>
  <si>
    <t>2002_%26_2004_Day-02_Part-01_Kaliya_ghat_continue_-_Radhanath_Swami.mp3</t>
  </si>
  <si>
    <t>2002_%26_2004_Day-02_Part-02_Madana_Mohan_deity_-_Radhanath_Swami.mp3</t>
  </si>
  <si>
    <t>2002_%26_2004_Day-02_Part-03_Akrura_ghat_Imli_tal_-_Radhanath_Swami.mp3</t>
  </si>
  <si>
    <t>2002_%26_2004_Day-02_Part-04_Nityananda_Shringara_vat_Chir_ghat_-_Radhanath_Swami.mp3</t>
  </si>
  <si>
    <t>2002_%26_2004_Day-02_Part-07_Kaliya_in_Heart_-_Jana_Nivas_Prabhu.mp3</t>
  </si>
  <si>
    <t>2002_%26_2004_Day-03_Part-01_Srila_Prabhupada_in_Radha_Domodara_-_Radhanath_Swami.mp3</t>
  </si>
  <si>
    <t>2002_%26_2004_Day-04_Part-01_Varsana_-_Prabhu.mp3</t>
  </si>
  <si>
    <t>2002_%26_2004_Day-04_Part-02_Krishna_Lila_-_Radhanath_Swami_Varsana.mp3</t>
  </si>
  <si>
    <t>2002_%26_2004_Day-07_Part-01_Brahma_Vimohan_Lila_-_Radhanath_Swami.mp3</t>
  </si>
  <si>
    <t>2002_%26_2004_Day-07_Part-02_Brahma_became_Haridas_-_Radhanath_Swami.mp3</t>
  </si>
  <si>
    <t>2002_%26_2004_Day-07_Part-03_Bhajan_from_Gitavali_Sri_Nama_05_-_Radhanath_Swami.mp3</t>
  </si>
  <si>
    <t>2002_%26_2004_Day-08_Part-01_Raval_-_Radhanath_Swami.mp3</t>
  </si>
  <si>
    <t>2002_%26_2004_Day-08_Part-02_-_Krishna_Kshetra_Prabhu_Raval.mp3</t>
  </si>
  <si>
    <t>2002_%26_2004_Day-08_Part-03_Raval_-_Jananivas_Prabhu.mp3</t>
  </si>
  <si>
    <t>2002_%26_2004_Day-08_Part-04_Raval_History_of_Radharani_-_Radhanath_Swami.mp3</t>
  </si>
  <si>
    <t>2002_%26_2004_Day-09_Part-01_Gokula_Damodara_Lila_-_Dina_Bandhu_Prabhu.mp3</t>
  </si>
  <si>
    <t>2002_%26_2004_Day-10_Part-01_Bhandiravan_Krishna_Lilas_-_Radhanath_Swami.mp3</t>
  </si>
  <si>
    <t>2002_%26_2004_Day-11_Part-01_PS_a_great_devotee_of_Radharani_-_Dina_Bandhu_Prabhu.mp3</t>
  </si>
  <si>
    <t>2002_%26_2004_Day-11_Part-02_Bhajans_-_Nanda_Ke_Ananda_Bhayo_-_Dina_Bandhu_Prabhu.mp3</t>
  </si>
  <si>
    <t>2002_%26_2004_Day-12_Part-01_History_of_Govardhan_-_Radhanath_Swami.mp3</t>
  </si>
  <si>
    <t>2002_%26_2004_Day-12_Part-03_From_Gokul_in_Vrindavan_-_Dina_Bandhu_Prabhu.mp3</t>
  </si>
  <si>
    <t>2002_%26_2004_Day-12_Part-04_Sanatana_GoSw_to_Manasi_Ganga_-_Radhanath_Swami.mp3</t>
  </si>
  <si>
    <t>2002_%26_2004_Day-12_Part-05_Dan_Ghat_Dana_Kelly_Lila_-_Radhanath_Swami.mp3</t>
  </si>
  <si>
    <t>2002_%26_2004_Day-12_Part-06_On_nivartna_Kund_Radha_Krishna_lila_-_Radhanath_Swami.mp3</t>
  </si>
  <si>
    <t>2002_%26_2004_Day-12_Part-07_Gour_Kunda_How_to_save_Abhimanyu_-_Radhanath_Swami.mp3</t>
  </si>
  <si>
    <t>2002_%26_2004_Day-12_Partr-09_Instructions_-_Radhanath_Swami.mp3</t>
  </si>
  <si>
    <t>2002_%26_2004_Day-13_Part-01_Nandagram_Eternal_home_of_Krishna_-_Radhanath_Swami.mp3</t>
  </si>
  <si>
    <t>2002_%26_2004_Day-13_Part-04_Sing_and_dance_-_Radhanath_Swami.mp3</t>
  </si>
  <si>
    <t>2002_%26_2004_Day-14_Part-01_Gaura_Krishna_lila_-_Radhanath_Sw_Radha_Kunda.mp3</t>
  </si>
  <si>
    <t>2002_%26_2004_Day-14_Part-02_About_Dr_Raghunatha_GoSw_-_Radhanath_Sw_Radha_Kunda.mp3</t>
  </si>
  <si>
    <t>2002_%26_2004_Day-14_Part-04_ISKCON_at_Radha_Kunda_-_Radhanath_Sw.mp3</t>
  </si>
  <si>
    <t>2002_%26_2004_Day-14_Part-04_ISKCON_at_Radha_Kunda_-_Radhanath_Swami.mp3</t>
  </si>
  <si>
    <t>2002_%26_2004_Day-15_Part-02_History_deities_Madan_Mohan_-_Radhanath_Swami_Karoli.mp3</t>
  </si>
  <si>
    <t>2002_%26_2004_Day-15_Part-02_Organizational_issues_please_-_Radhanath_Swami_Karoli.mp3</t>
  </si>
  <si>
    <t>2002_%26_2004_Day-16_Part-01_Kirtan_in_the_temple_of_Radha_Damodara_-_Radhanath_Sw.mp3</t>
  </si>
  <si>
    <t>2002_%26_2004_Day-17_Part-02_History_deities_Gopinath_-_Radhanath_Swami_Jaipur.mp3</t>
  </si>
  <si>
    <t>2002_%26_2004_Day-17_Part-02_History_deities_Govindaji_-_Radhanath_Swami_Jaipur.mp3</t>
  </si>
  <si>
    <t>2002_%26_2004_Day-17_Part-04_Deities_Radha_Vrindavan_Chandra_-_Radhanath_Sw_Jaipur.mp3</t>
  </si>
  <si>
    <t>2002_%26_2004_Day-17_Part-05_About_Lokanatha_GoSw_-_Radhanath_Swami_Jaipur.mp3</t>
  </si>
  <si>
    <t>2002_%26_2004_Day-17_Part-06_Srila_Prabhupada_in_Jaipur_-_Malati_Mataji_Jaipur.mp3</t>
  </si>
  <si>
    <t>2002_%26_2004_Day-17_Part-07_ISKCON_it_Abhideya_-_Jana_Nivas_Prabhu.mp3</t>
  </si>
  <si>
    <t>2002_%26_2004_Day-17_Part-08_Thanks_and_wishes_-_Radhanath_Swami.mp3</t>
  </si>
  <si>
    <t>2002_%26_2004_Day_Part-01-01_Raman_Reti_-_Prabhu.mp3</t>
  </si>
  <si>
    <t>2002_%26_2004_Day_Part-01-02_Sri_Caitanya_in_Vrindavan_-_Radhanath_Swami.mp3</t>
  </si>
  <si>
    <t>1997-12-02_Seminars_-_Serves_Vaisnavas-01_-_Radhanath_Swami.mp3</t>
  </si>
  <si>
    <t>1997-12-03_Seminars_-_Serves_Vaisnavas-02_-_Radhanath_Swami.mp3</t>
  </si>
  <si>
    <t>1997-12-04_Seminars_-_Serves_Vaisnavas-03_-_Radhanath_Swami.mp3</t>
  </si>
  <si>
    <t>1997_2_Evening_lecture_Radhanath_Swami_-_1997-09-13_Moscow.mp3</t>
  </si>
  <si>
    <t>1997_BG_08-20_Radhanth_Swami_-_1997-09-19_Moscow.mp3</t>
  </si>
  <si>
    <t>1997_BG_11-03_-_Radhanath_Swami_-_1997-09-12_Moscow.mp3</t>
  </si>
  <si>
    <t>1997_BG_18-64_Radhanath_Swami_1997-12-03_Moscow.mp3</t>
  </si>
  <si>
    <t>1997_BG_18-68_Radhanath_Swami_1997-12-04_Moscow.mp3</t>
  </si>
  <si>
    <t>1997_Lecture_in_St._Petersburg_Radhanath_Swami_-_1997-09-17_Moscow.mp3</t>
  </si>
  <si>
    <t>1997_SB-04-12-05_Radhanath_Swami_-_1997-09-13_Moscow.mp3</t>
  </si>
  <si>
    <t>1997_SB_03-28-42_Radhanath_Swami_-_1997-09-18_%28St.Petersburg%29_Moscow.mp3</t>
  </si>
  <si>
    <t>1997_SB_04-12-07_Radhanath_Swami_-_1997-09-15_Moscow.mp3</t>
  </si>
  <si>
    <t>1997_SB_04-12-08_Radhanath_Swami_1997-09-16_Moscow.mp3</t>
  </si>
  <si>
    <t>1997_SB_04-13-38_Radhanath_Swami_-_1997-12-02_Moscow.mp3</t>
  </si>
  <si>
    <t>1997_SB_04-13-39_Radhanath_Swami_1997-12-03_Moscow.mp3</t>
  </si>
  <si>
    <t>1997_SB_04-13-40_Radhanath_Swami_1997-12-04_Moscow.mp3</t>
  </si>
  <si>
    <t>1997_SB_05-11-06_Radhanath_Swami_Kiev.mp3</t>
  </si>
  <si>
    <t>1997_Seminars_-_Hari_Katha-01_-_Radhanath_Swami_Kiev.mp3</t>
  </si>
  <si>
    <t>1997_Seminars_-_Hari_Katha-02_-_Radhanath_Swami_Kiev.mp3</t>
  </si>
  <si>
    <t>1997_Seminars_-_Hari_Katha-03_-_Radhanath_Swami_Kiev.mp3</t>
  </si>
  <si>
    <t>1997_Vamana_Dvadasi_%28Sukharevo%29_Radhanath_Swami_1997-09-14_Moscow.mp3</t>
  </si>
  <si>
    <t>1998_%20Q_%26_A_Radhanath_Swami_-_1998-09-10_Kiev.mp3</t>
  </si>
  <si>
    <t>1998_BG_08-07_Radhanath_Swami_-_1998-08-27_Moscow.mp3</t>
  </si>
  <si>
    <t>1998_CC_Madhya_15-111_Radhanath_Swami_-_1998-08-29_%28St.Petersburg%29_Moscow.mp3</t>
  </si>
  <si>
    <t>1998_Curator_lecture_Radhanath_Swami_-_1998-09-07_Kiev.mp3</t>
  </si>
  <si>
    <t>1998_Evening_lecture_Radhanath_Swami_-_1998-09-11_Kiev.mp3</t>
  </si>
  <si>
    <t>1998_First_meeting_Radhanath_Swami_-_1998-09-06_Kiev.mp3</t>
  </si>
  <si>
    <t>1998_Haridasa_Thakura_Tirobhava_01_Radhaanath_Swami_-_1998-09-05_Moscow.mp3</t>
  </si>
  <si>
    <t>1998_Haridasa_Thakura_Tirobhava_02_Radhanath_Swami_-_1998-09-05_Moscow.mp3</t>
  </si>
  <si>
    <t>1998_Lecture_in_St._Petersburg_Radhanath_Swami_-_1998-08-28_Moscow.mp3</t>
  </si>
  <si>
    <t>1998_Q_%26_A_with_%20temple_presidents_Radhanath_Swami_-_1998-09-11_Kiev.mp3</t>
  </si>
  <si>
    <t>1998_Realisations_with_my_Parents_Radhanath_Swami_-_1998-12-02_Mumbai.mp3</t>
  </si>
  <si>
    <t>1998_SB_03-13-01_Let_nothing_be_done_mechanically_-_1998-09-26_Radhanath_Swami_Mumbai.mp3</t>
  </si>
  <si>
    <t>1998_SB_04-22-50_Radhanath_Swami_-_1998-09-01_Moscow.mp3</t>
  </si>
  <si>
    <t>1998_SB_05-11-04_Radhanath_Swami_-_1998-09-07_Kiev.mp3</t>
  </si>
  <si>
    <t>1998_SB_05-11-06_Radhanath_Swami_-_1998-09-09_Kiev.mp3</t>
  </si>
  <si>
    <t>1998_SB_08-18-01_Vamana_%20Dvadasi_Radhanath_Swami_01_1998-09-03_Moscow.mp3</t>
  </si>
  <si>
    <t>1998_SB_08-18-01_Vamana_Dvadasi_02_Radhanath-Swami_1998-09-03_Moscow.mp3</t>
  </si>
  <si>
    <t>1998_Story_about_Himself_Part-02_Radhanath_Swami_-_1998-09-10_Kiev.mp3</t>
  </si>
  <si>
    <t>1999_BG_12-02_Radhanath_Swami_-_1999-07-28_Moscow.mp3</t>
  </si>
  <si>
    <t>1999_Darshan_Radhanath_Swami_-_1999-07-30_Moscow.mp3</t>
  </si>
  <si>
    <t>1999_Darshan_Radhanath_Swami_-_1999-08-01_Moscow.mp3</t>
  </si>
  <si>
    <t>1999_Moscow_Ratha_yatra_Radhanath_Swami_-_1999-07-31_Moscow.mp3</t>
  </si>
  <si>
    <t>1999_Moscow_Sunday_Program_Radhanath_Swami_-_1999-08-01_Moscow.mp3</t>
  </si>
  <si>
    <t>1999_Q%26A_01_Radhanath_Swami_-_1999-07-23_Odessa.mp3</t>
  </si>
  <si>
    <t>1999_Q%26A_02_Radhanath_Swami_-_1999-07-24_Odessa.mp3</t>
  </si>
  <si>
    <t>1999_Q%26A_03_Radhanath_Swami_-_1999-07-25_Odessa.mp3</t>
  </si>
  <si>
    <t>1999_Q%26A_04_Radhanath_Swami_-_1999-07-26_Odessa.mp3</t>
  </si>
  <si>
    <t>1999_Sanatana_Goswami_Radhanath_Swami_-_1999-07-30_Moscow.mp3</t>
  </si>
  <si>
    <t>1999_SB_04-22-20_Radhanath_Swami_-_1999-07-22_Odessa.mp3</t>
  </si>
  <si>
    <t>1999_SB_04-22-25_Radhanath_Swami_-_1999-07-27_Odessa.mp3</t>
  </si>
  <si>
    <t>1999_SB_04-29-11_Radhanth_Swami_-_1999-07-28_Moscow.mp3</t>
  </si>
  <si>
    <t>1999_SB_04-29-13_Radhanath_Swami_-_1999-07-29_Moscow.mp3</t>
  </si>
  <si>
    <t>1999_SB_04-29-13_Radhanath_Swami_-_1999-07-30_Moscow.mp3</t>
  </si>
  <si>
    <t>1999_SB_04-29-14_Radhanath_Swami_-_1999-07-31_Moscow.mp3</t>
  </si>
  <si>
    <t>1999_SB_04-29-15_Radhanatn_Swami_-_1999-08-02_Moscow.mp3</t>
  </si>
  <si>
    <t>1999_SB_05-04-06_Radhanath_Swami_-_1999-07-29_Moscow.mp3</t>
  </si>
  <si>
    <t>2000_Beseda_Radhanath_Swami_-_2000-10-14_Moscow.mp3</t>
  </si>
  <si>
    <t>2000_BG_03-13_Radhanath_Swami_-_2000-10-12_Moscow.mp3</t>
  </si>
  <si>
    <t>2000_Darsan_Before_%20Iniciation_Radhanath_Swami_Ukraine_%28Kiev%29.mp3</t>
  </si>
  <si>
    <t>2000_Darsan_Radhanath_Swami_-_2000-10-24_Ukraine_%28Kiev%29.mp3</t>
  </si>
  <si>
    <t>2000_Darshan_Radhanath_Swami_-_2000-10-15_Moscow.mp3</t>
  </si>
  <si>
    <t>2000_Initiation_%20Lecture-%28Dnepropetrovsk%29_Radhanath_Swami_-_2000-10-21_Ukraine.mp3</t>
  </si>
  <si>
    <t>2000_Narottam_Das_Thakur_01_Radhanath_Swami_-_2000-10-17_Moscow.mp3</t>
  </si>
  <si>
    <t>2000_Narottam_Das_Thakur_02_Radhanath_Swami_-_2000-10-17_Moscow.mp3</t>
  </si>
  <si>
    <t>2000_NRS_%26_RNS_before_Iniciation_Radhanath_Swami_-_2000-10-18_Moscow.mp3</t>
  </si>
  <si>
    <t>2000_Oskorblenie_Predannogo_Radhanath_Swami_2000-10-14_Moscow.mp3</t>
  </si>
  <si>
    <t>2000_SB_05-14-01_Radhanath_Swami_-_2000-10-13_Moscow.mp3</t>
  </si>
  <si>
    <t>2000_SB_05-14-02_Radhanath_Swami_-_2000-10-14_Moscow.mp3</t>
  </si>
  <si>
    <t>2000_SB_05-14-04_Radhanath_Swami_-_2000-10-16_Moscow.mp3</t>
  </si>
  <si>
    <t>2000_SB_Radhanath_Swami_-_2000-10-28_Ukraine_%28Kiev%29.mp3</t>
  </si>
  <si>
    <t>2000_Sunday_Lecture_Radhanath_Swami_-_2000-10-15_Moscow.mp3</t>
  </si>
  <si>
    <t>2001_01_Rupa_Goswami_Radhanath_Swami_-_2001-07-31_Moscow.mp3</t>
  </si>
  <si>
    <t>2001_02_Rupa_Goswami_Radhanath_Swami_-_2001-07-31_Moscow.mp3</t>
  </si>
  <si>
    <t>2001_03_Rupa_Goswami_Radhanath_Swami_-_2001-08-01_Moscow.mp3</t>
  </si>
  <si>
    <t>2001_Badarik_ashram_Radhanath_Swami_-_2001-xx-xx_Moscow.mp3</t>
  </si>
  <si>
    <t>2001_Darsan_%20Radhanath_Swami_-_2001-08-01_Moscow.mp3</t>
  </si>
  <si>
    <t>2001_Darsan_%20Radhanath_Swami_-_2001-08-05_Moscow.mp3</t>
  </si>
  <si>
    <t>2001_Evening_Lecture_Radhanath_Swami_-_2001-08-06_Kiev.mp3</t>
  </si>
  <si>
    <t>2001_Evening_Lecture_Radhanath_Swami_-_2001-08-07_Kiev.mp3</t>
  </si>
  <si>
    <t>2001_Evening_Lecture_Radhanath_Swami_-_2001-08-08_Kiev.mp3</t>
  </si>
  <si>
    <t>2001_Introduction_Radhanath_Swami_-_2001-08-06_Kiev.mp3</t>
  </si>
  <si>
    <t>2001_Recollections_of_New_Vrindavan_and_silk_Rasdhanath_Swami_New_Vrindavan.mp3</t>
  </si>
  <si>
    <t>2001_Relief_fund_Garuda_Radhanath_Swami_-_2001-08-03_Moscow.mp3</t>
  </si>
  <si>
    <t>2001_Rememberance_of_Srila_Prabhupada_Radhanath_Swami_-_2001-07-30_Moscow.mp3</t>
  </si>
  <si>
    <t>2001_Sannyasa_Initiation_Radhanath_Swami_-_2001-08-04_Moscow.mp3</t>
  </si>
  <si>
    <t>2001_SB_06-01-44_Radhanath_Swami_-_2001-07-30_Moscow.mp3</t>
  </si>
  <si>
    <t>2001_SB_06-01-47_Radhanath_Swami_-_2001-08-05_Moscow.mp3</t>
  </si>
  <si>
    <t>2001_SB_07-04-31_Narasimha_Caturdasi_Radhanath_Swami_-_2001-05-06_New_Vrindavan.mp3</t>
  </si>
  <si>
    <t>2001_SB_07-09-19_Radhanath_Swami_-_2001-08-08_Kiev.mp3</t>
  </si>
  <si>
    <t>2001_SB_07-09-20_Radhanath_Swami_-_2001-08-09_Kiev.mp3</t>
  </si>
  <si>
    <t>2002-02-23_SB_01-13-10_Simplicity_-_Radhanth_Swami_Pune.mp3</t>
  </si>
  <si>
    <t>2002-02-24_Various_-_Titiksha_Patience_-_Radhanath_Swami_Pune.mp3</t>
  </si>
  <si>
    <t>2002-02-25_Various_-_Humility_-_Radhanath_Swami_Pune.mp3</t>
  </si>
  <si>
    <t>2002_-_Meeting_in_Sridhars_house_Radhanath_Swami_Moscow.mp3</t>
  </si>
  <si>
    <t>2002_Darsan_01_Radhanath_Swami_-_2002-09-26_Moscow.mp3</t>
  </si>
  <si>
    <t>2002_Darsan_02_Radhanath_Swami_-_2002-09-27_Moscow.mp3</t>
  </si>
  <si>
    <t>2002_Darsan_03_Radhanath_Swami_-_2002-09-28_Moscow.mp3</t>
  </si>
  <si>
    <t>2002_Darsan_04_Radhanath_Swami_-_2002-09-30_Moscow.mp3</t>
  </si>
  <si>
    <t>2002_Darsan_Radhanath_Swami_-_2002-10-02_Kiev.mp3</t>
  </si>
  <si>
    <t>2002_Darsan_Radhanath_Swami_-_2002-10-03_Kiev.mp3</t>
  </si>
  <si>
    <t>2002_Darsan_Radhanath_Swami_-_2002-10-04_Kiev.mp3</t>
  </si>
  <si>
    <t>2002_Darshan_with_students_Radhanath_Swami_-_2002-10-08_Divnomorsk.mp3</t>
  </si>
  <si>
    <t>2002_End_of_the_Lecture_Radhanath_Swami_-_2002-10-07_Divnomorsk.mp3</t>
  </si>
  <si>
    <t>2002_Evening_Lecture_Radahanath_Swami_-_2002-09-28_Moscow.mp3</t>
  </si>
  <si>
    <t>2002_Evening_Lecture_Radahanath_Swami_-_2002-09-30_Moscow.mp3</t>
  </si>
  <si>
    <t>2002_Evening_Lecture_Radhanath_Swami_-_2002-10-01_Kiev.mp3</t>
  </si>
  <si>
    <t>2002_Initiation_Radhanath_Swami_-_2002-09-30_Moscow.mp3</t>
  </si>
  <si>
    <t>2002_Lecture_Radhanath_Swami_-_2002-10-05_Divnomorsk.mp3</t>
  </si>
  <si>
    <t>2002_Lecture_Srila_Prabhupada_in_America_Radhanath_Swami_-_2002-10-06_Divnomorsk.mp3</t>
  </si>
  <si>
    <t>2002_Lecture_Srila_Prabhupada_in_America_Radhanath_Swami_-_2002-10-07_Divnomorsk.mp3</t>
  </si>
  <si>
    <t>2002_SB_03-25-20_Radhanath_Swami_-_2002-09-26_Moscow.mp3</t>
  </si>
  <si>
    <t>2002_SB_03-25-21_Radhanath_Swami_-_2002-09-27_Moscow.mp3</t>
  </si>
  <si>
    <t>2002_SB_03-25-22_Radhanath_Swami_-_2002-09-28_Moscow.mp3</t>
  </si>
  <si>
    <t>2002_SB_03-25-23_Radhanath_Swami_-_2002-09-29_Moscow.mp3</t>
  </si>
  <si>
    <t>2002_SB_03-25-24_Radhanath_Swami_-_2002-09-30_Moscow.mp3</t>
  </si>
  <si>
    <t>2002_SB_03-25-25_Radhanath_Swami_-_2002-10-03_Kiev.mp3</t>
  </si>
  <si>
    <t>2002_SB_03-25-26_Radhanath_Swami_-_2002-10-04_Kiev.mp3</t>
  </si>
  <si>
    <t>2002_SB_08-07-24_Radhanath_Swami_-_2002-10-02_Kiev.mp3</t>
  </si>
  <si>
    <t>2003-10-17_Various_-_About_the_temple_in_Moscow_-_Radhanath_Swami_Moscow.MP3</t>
  </si>
  <si>
    <t>2003_BG_02-60_Radhanath_Swami_-_2003-10-14_Moscow.mp3</t>
  </si>
  <si>
    <t>2003_Darsan_Damodara_lila_Radhanath_Swami_-_2003-10-13_Moscow.MP3</t>
  </si>
  <si>
    <t>2003_Glorification_Ambarisa_prabhu_Radhanath_Swami_-_2003-10-17_Moscow.mp3</t>
  </si>
  <si>
    <t>2003_Lecture_on_iniciation_Radhanath_Swami_-_2003-10-17_Moscow.mp3</t>
  </si>
  <si>
    <t>2003_Narottama_das_Thakur_Radhanath_Swami_-_2003-10-15_Moscow.mp3</t>
  </si>
  <si>
    <t>2003_NRS_%26_RNS_Q_%26_A_Radhanath_Swami_-_2003-10-16_Moscow.mp3</t>
  </si>
  <si>
    <t>2003_SB_07-09-38_Predicting_the_arrival_of_Sri_Caitanya_Radhanath_Swami_-_2003-10-14_Moscow.mp3</t>
  </si>
  <si>
    <t>2003_SB_07-09-39_Radhanath_Swami_-_2003-10-15_Moscow.mp3</t>
  </si>
  <si>
    <t>2003_SB_07-09-40_Radhanath_Swami_-_2003-10-16_Moscow.MP3</t>
  </si>
  <si>
    <t>2003_SB_07-09-41_Compassion_for_Prahlada_and_Sri_Chaitanya_Radhanath_swami_-_2003-10-17_Moscow.MP3</t>
  </si>
  <si>
    <t>2004-11-22_-_Ghana_Shyam_Baba%27s_story_-_Radhanath_Swami.mp3</t>
  </si>
  <si>
    <t>2004_-_Darshan_Radhanath_Swami_2004-10-03_Divnomorsk.mp3</t>
  </si>
  <si>
    <t>2004_01_Lecture_in_Moscow_Radhanath_Swami_-_2004-10-07.mp3</t>
  </si>
  <si>
    <t>2004_01_Leela_Krishna_in_Vrindavan_Radhanath_Swami_-_2004-10-05_Divnomorsk.mp3</t>
  </si>
  <si>
    <t>2004_02_Lecture_about_the_importance_of_SK_Radhanath_Swami_-_2004-10-07_Moscow.mp3</t>
  </si>
  <si>
    <t>2004_02_Story_of_a_meeting_with_Srila_Prabhupada_in_Vrindavan_Radhanath_Swami_-_2004-10-05_Divnomorsk.mp3</t>
  </si>
  <si>
    <t>2004_Before_Nam_yagey_Radhanath_Swami_-_2004-10-05_Divnomorsk.mp3</t>
  </si>
  <si>
    <t>2004_BG_03-31_The_history_of_the_airport_Radhanath_Swami_-_2004-10-08_Moscow.mp3</t>
  </si>
  <si>
    <t>2004_Bhaktivinoda_Thakura_Radhanath_Swami_-_2004-09-26_Kiev.mp3</t>
  </si>
  <si>
    <t>2004_Darshan_01_Appreciate_family_Vaishnava_Radhanath_Swami_-_2004-09-27_Kiev.mp3</t>
  </si>
  <si>
    <t>2004_Darshan_01_History_and_Qureshi_and_Raghunatha_Radhanath_Swami_-_2004-10-04_Divnomorsk.mp3</t>
  </si>
  <si>
    <t>2004_Darshan_02_Continuation_of_answers_Radhanath_Swami_-_2004-09-27_Kiev.mp3</t>
  </si>
  <si>
    <t>2004_Darshan_02_The_answer_to_the_question_Navin_Ave_N_Radhanath_Swami_-_2004-10-04_Divnomorsk.mp3</t>
  </si>
  <si>
    <t>2004_Darshan_Great_blind_Vaishnavas_Radhanath_Swami_-_2004-10-02_Divnomorsk.mp3</t>
  </si>
  <si>
    <t>2004_Glory_to_Srila_Prabhupada_Radhanath_Swami_-_2004-10-04_Divnomorsk.mp3</t>
  </si>
  <si>
    <t>2004_Krishna_lila_in_vrindavan_Radhanath_Swami_-_2004-10-01_Divnomorsk.mp3</t>
  </si>
  <si>
    <t>2004_LDC_talks_about_the_qualities_of_PHC_Radhanath_Swami_-_2004-09-26_Kiev.mp3</t>
  </si>
  <si>
    <t>2004_Lecture_at_the_initiation_Radhanath_Swami_-_2004-10-08_Moscow.mp3</t>
  </si>
  <si>
    <t>2004_Lecture_before_initiating_Radhanath_Swami_-_2004-09-28_Kiev.mp3</t>
  </si>
  <si>
    <t>2004_Leela_Krishna_and_Yashoda_Radhanath_Swami_-_2004-10-02_Divnomorsk.mp3</t>
  </si>
  <si>
    <t>2004_Lila_of_Krishna_Gopi_and_Yashoda_Radhanath_Swami_-_2004-10-03_Divnomorsk.mp3</t>
  </si>
  <si>
    <t>2004_O_Lord_Caitanya_Radhanath_Swami_-_2004-10-10_Moscow.mp3</t>
  </si>
  <si>
    <t>2004_SB_01-04-06_History_Sukadeva_Goswami_Radhanath_Swami_-_2004-10-09_Moscow.mp3</t>
  </si>
  <si>
    <t>2004_SB_01-04-07_Radhanath_Swami_-_2004-10-10_Moscow.mp3</t>
  </si>
  <si>
    <t>2004_SB_10-03-13_KAMS_Vasudeva_and_Devaki_Radhanath_Swami_-_2004-09-25_Kiev.mp3</t>
  </si>
  <si>
    <t>2004_SB_10-03-14_The_birth_of_Krishna_and_Vrindavan_Radhanath_Swami_-_2004-09-26_Kiev.mp3</t>
  </si>
  <si>
    <t>2004_SB_10-03-15_Let_Krishna_notice_you_Radhanath_Swami_-_2004-09-27_Kiev.mp3</t>
  </si>
  <si>
    <t>2004_SB_10-03-18_Radhanath_Swami_-_2004-09-28_Kiev.mp3</t>
  </si>
  <si>
    <t>2004_Sivananda_of_the_Seine_Radhanath_Swami_-_2004-09-27_Kiev.mp3</t>
  </si>
  <si>
    <t>2004_Sunday_feasts_Radhanath_Swami%20_-_2004-09-26_Kiev.mp3</t>
  </si>
  <si>
    <t>2004_The_importance_of_forgiving_%20slushaniya_Radhanath_Swami_-_2004-09-30_Divnomorsk_Umenie.mp3</t>
  </si>
  <si>
    <t>2004_Vamana_Dvadasi_Radhanath_Swami_-_2004-09-25_Kiev.mp3</t>
  </si>
  <si>
    <t>2005_Appearance_Day_of_Lord_Balaram_Radhanath_Swami_-_2005-08-19_Kiev.mp3</t>
  </si>
  <si>
    <t>2005_Appearance_of_Srila_Prabhupada_Radhanath_Swami_-_2005-08-28_Moscow.mp3</t>
  </si>
  <si>
    <t>2005_Before_Janmashtami_Radhanath_Swami_-_2005-08-26_Moscow.mp3</t>
  </si>
  <si>
    <t>2005_Darshan_Radhanath_Swami_-_2005-08-22_Kiev.mp3</t>
  </si>
  <si>
    <t>2005_Devotees_gives_up_many_things_Radhanath_Swami_-_2005-08-29_Moscow.mp3</t>
  </si>
  <si>
    <t>2005_Evening_Lecture_Radhanath_Swami_-_2005-08-17_Kiev.mp3</t>
  </si>
  <si>
    <t>2005_Evening_Lecture_Radhanath_Swami_-_2005-08-25_Moscow.mp3</t>
  </si>
  <si>
    <t>2005_Initiation_Lecture_Radhanath_Swami_-_2005-08-22_Kiev.mp3</t>
  </si>
  <si>
    <t>2005_Janmashtami_Radhanath_Swami_-_2005-08-27_Moscow.mp3</t>
  </si>
  <si>
    <t>2005_Lecture_%20before_%20Departure_Radhanath_Swami_-_2005-08-23_Kiev.mp3</t>
  </si>
  <si>
    <t>2005_Recollection_of_Bhakti_Tirtha_Swami_Radhanth_Swami_-_2005-08-24_Moscow.mp3</t>
  </si>
  <si>
    <t>2005_SB_10-13-50_Radhanath_Swami_-_2005-08-18_Kiev.mp3</t>
  </si>
  <si>
    <t>2005_SB_10-13-51_Radhanath_Swami_-_2005-08-20_Kiev.mp3</t>
  </si>
  <si>
    <t>2005_SB_10-13-52_Radhanath_Swami_-_2005-08-22_Kiev.mp3</t>
  </si>
  <si>
    <t>2005_Speech_before_evening_Kirtan_Radhanath_Swami_-_2005-08-21_Kiev.mp3</t>
  </si>
  <si>
    <t>2005_Sukharava_Radhanath_Swami_-_2005-08-30_Moscow.mp3</t>
  </si>
  <si>
    <t>2005_Sunday_Feast_Program_after_Kirtan_Radhanath_Swami_-_2005-08-21_Kiev.mp3</t>
  </si>
  <si>
    <t>2005_Sunday_Feast_Program_Radhanath_Swami_-_2005-08-21_Kiev.mp3</t>
  </si>
  <si>
    <t>2006_Gaura_Poornima_evening_Radhanath_Swami_Chowpatty.MP3</t>
  </si>
  <si>
    <t>2006_Gaura_Poornima_Radhanath_Swami_Chowpatty.MP3</t>
  </si>
  <si>
    <t>2006_Gaura_purnima_evening_Radhanath_swami_Chowpatty.MP3</t>
  </si>
  <si>
    <t>2006_Gaura_purnima_Radhanath_swami_Chowpatty.MP3</t>
  </si>
  <si>
    <t>2006_March_Radhanath_Swami_Chowpatty.MP3</t>
  </si>
  <si>
    <t>2006_SB_05-21_Radhanth_Swami_Chowpatty.MP3</t>
  </si>
  <si>
    <t>2006_Sunday_Program_Radhanath_Swami_Chowpatty.MP3</t>
  </si>
  <si>
    <t>2008_01_General_darshan_Radhanath_Swami_-_2008-05-01_Kiev.mp3</t>
  </si>
  <si>
    <t>2008_01_Opening_Ceremony_Radhanath_Swami_-_2008-01-24_Pune_Yatra.mp3</t>
  </si>
  <si>
    <t>2008_02_Lecture_LDC_-_Radhanath_Swami_-_2008-05-01_Kiev.mp3</t>
  </si>
  <si>
    <t>2008_02_Opening_Ceremony_Radhanath_Swami_-_2008-01-24_Pune_Yatra.mp3</t>
  </si>
  <si>
    <t>2008_Close_Radhanath_Swami_-_2008-01-26_Pune_Yatra.mp3</t>
  </si>
  <si>
    <t>2008_Devotional_Service_Radhanath_Swami_-_2008-01-26_Pune_Yatra.mp3</t>
  </si>
  <si>
    <t>2008_Evening_lecture_NRS_RNS_Radhanath_Swami_-_2008-04-25_Moscow.mp3</t>
  </si>
  <si>
    <t>2008_Evening_Lecture_Radhanath_Swami_-_2008-04-24_Moscow.mp3</t>
  </si>
  <si>
    <t>2008_Evening_Lecture_Radhanath_Swami_-_2008-04-30_Kiev.mp3</t>
  </si>
  <si>
    <t>2008_Iniciation_Radhanath_Swami_-_2008-04-27_Moscow.MP3</t>
  </si>
  <si>
    <t>2008_Initiation_Radhanath_Swami_-_2008-05-05_Kiev.mp3</t>
  </si>
  <si>
    <t>2008_Lecture_%20NRS_-_Radhanath_Swami_-_2008-04-27_Moscow.mp3</t>
  </si>
  <si>
    <t>2008_Lecture_LDC_-_Radhanath_Swami_-_2008-05-02_Kiev.mp3</t>
  </si>
  <si>
    <t>2008_Lecture_Radhanath_Swami_-_2008-04-26_Moscow.mp3</t>
  </si>
  <si>
    <t>2008_Lecture_Radhanath_Swami_-_2008-04-28_Moscow.mp3</t>
  </si>
  <si>
    <t>2008_Lecture_Radhanath_Swami_-_2008-04-29_Moscow.mp3</t>
  </si>
  <si>
    <t>2008_Radhanath_Swami_-_2008-04-25_Yurlovo.mp3</t>
  </si>
  <si>
    <t>2008_SB_06-11-24-26_Do_not_become_a_prisoner_of_success_Radhanath_Swami%20_-_2008-01-25_Pune_Yatra.mp3</t>
  </si>
  <si>
    <t>2008_SB_10-01-13_Radhanath_Swami%20_-_2008-01-26_.mp3</t>
  </si>
  <si>
    <t>2008_Sunday_Lecture_Radhanath_Swami_-_2008-05-04_Kiev.mp3</t>
  </si>
  <si>
    <t>2013-09-29_SB_01-18-13_Russian_Translation_-_Radhanath_Swami.mp3</t>
  </si>
  <si>
    <t>The_Journey_Home_-_Prology_-_Radhanath_Swami.mp3</t>
  </si>
  <si>
    <t>The_Journey_Home_-_Journey_to_the_East_Chapter-01_-_Radhanath_Swami.mp3</t>
  </si>
  <si>
    <t>The_Journey_Home_-_Journey_to_the_East_Chapter-02_-_Radhanath_Swami.mp3</t>
  </si>
  <si>
    <t>The_Journey_Home_-_Journey_to_the_East_Chapter-03_-_Radhanath_Swami.mp3</t>
  </si>
  <si>
    <t>The_Journey_Home_-_Journey_to_the_East_Chapter-04_-_Radhanath_Swami.mp3</t>
  </si>
  <si>
    <t>The_Journey_Home_-_Journey_to_the_East_Chapter-05_-_Radhanath_Swami.mp3</t>
  </si>
  <si>
    <t>The_Journey_Home_-_Journey_to_the_East_Chapter-06_-_Radhanath_Swami.mp3</t>
  </si>
  <si>
    <t>The_Journey_Home_-_Journey_to_the_East_Chapter-07_-_Radhanath_Swami.mp3</t>
  </si>
  <si>
    <t>The_Journey_Home_-_Journey_to_the_East_Chapter-08_-_Radhanath_Swami.mp3</t>
  </si>
  <si>
    <t>The_Journey_Home_-_Journey_to_the_East_Chapter-09_-_Radhanath_Swami.mp3</t>
  </si>
  <si>
    <t>The_Journey_Home_-_Journey_to_the_East_Chapter-10_-_Radhanath_Swami.mp3</t>
  </si>
  <si>
    <t>The_Journey_Home_-_Journey_to_the_East_Chapter-11_-_Radhanath_Swami.mp3</t>
  </si>
  <si>
    <t>The_Journey_Home_-_Journey_to_the_East_Chapter-12_-_Radhanath_Swami.mp3</t>
  </si>
  <si>
    <t>The_Journey_Home_-_Mother_India_Chapter-01_-_Radhanath_Swami.mp3</t>
  </si>
  <si>
    <t>The_Journey_Home_-_Mother_India_Chapter-02_-_Radhanath_Swami.mp3</t>
  </si>
  <si>
    <t>The_Journey_Home_-_Mother_India_Chapter-03_-_Radhanath_Swami.mp3</t>
  </si>
  <si>
    <t>The_Journey_Home_-_Mother_India_Chapter-04_-_Radhanath_Swami.mp3</t>
  </si>
  <si>
    <t>The_Journey_Home_-_Mother_India_Chapter-05_-_Radhanath_Swami.mp3</t>
  </si>
  <si>
    <t>The_Journey_Home_-_Mother_India_Chapter-06_-_Radhanath_Swami.mp3</t>
  </si>
  <si>
    <t>The_Journey_Home_-_Mother_India_Chapter-07_-_Radhanath_Swami.mp3</t>
  </si>
  <si>
    <t>The_Journey_Home_-_Mother_India_Chapter-08_-_Radhanath_Swami.mp3</t>
  </si>
  <si>
    <t>The_Journey_Home_-_Himalayan_Pilgrimage_Chapter-01_-_Radhanath_Swami.mp3</t>
  </si>
  <si>
    <t>The_Journey_Home_-_Himalayan_Pilgrimage_Chapter-02_-_Radhanath_Swami.mp3</t>
  </si>
  <si>
    <t>The_Journey_Home_-_Himalayan_Pilgrimage_Chapter-03_-_Radhanath_Swami.mp3</t>
  </si>
  <si>
    <t>The_Journey_Home_-_Himalayan_Pilgrimage_Chapter-04_-_Radhanath_Swami.mp3</t>
  </si>
  <si>
    <t>The_Journey_Home_-_Himalayan_Pilgrimage_Chapter-05_-_Radhanath_Swami.mp3</t>
  </si>
  <si>
    <t>The_Journey_Home_-_Himalayan_Pilgrimage_Chapter-06_-_Radhanath_Swami.mp3</t>
  </si>
  <si>
    <t>The_Journey_Home_-_Himalayan_Pilgrimage_Chapter-07_-_Radhanath_Swami.mp3</t>
  </si>
  <si>
    <t>The_Journey_Home_-_Himalayan_Pilgrimage_Chapter-08_-_Radhanath_Swami.mp3</t>
  </si>
  <si>
    <t>The_Journey_Home_-_Himalayan_Pilgrimage_Chapter-09_-_Radhanath_Swami.mp3</t>
  </si>
  <si>
    <t>The_Journey_Home_-_Forest_of_Grace_Chapter-01_-_Radhanath_Swami.mp3</t>
  </si>
  <si>
    <t>The_Journey_Home_-_Forest_of_Grace_Chapter-02_-_Radhanath_Swami.mp3</t>
  </si>
  <si>
    <t>The_Journey_Home_-_Forest_of_Grace_Chapter-03_-_Radhanath_Swami.mp3</t>
  </si>
  <si>
    <t>The_Journey_Home_-_Forest_of_Grace_Chapter-04_-_Radhanath_Swami.mp3</t>
  </si>
  <si>
    <t>The_Journey_Home_-_Forest_of_Grace_Chapter-05_-_Radhanath_Swami.mp3</t>
  </si>
  <si>
    <t>The_Journey_Home_-_Forest_of_Grace_Chapter-06_-_Radhanath_Swami.mp3</t>
  </si>
  <si>
    <t>The_Journey_Home_-_Forest_of_Grace_Chapter-07_-_Radhanath_Swami.mp3</t>
  </si>
  <si>
    <t>The_Journey_Home_-_Forest_of_Grace_Chapter-08_-_Radhanath_Swami.mp3</t>
  </si>
  <si>
    <t>The_Journey_Home_-_Forest_of_Grace_Chapter-09_-_Radhanath_Swami.mp3</t>
  </si>
  <si>
    <t>The_Journey_Home_-_Forest_of_Grace_Chapter-10_-_Radhanath_Swami.mp3</t>
  </si>
  <si>
    <t>The_Journey_Home_-_Forest_of_Grace_Chapter-11_-_Radhanath_Swami.mp3</t>
  </si>
  <si>
    <t>The_Journey_Home_-_Forest_of_Grace_Chapter-12_-_Radhanath_Swami.mp3</t>
  </si>
  <si>
    <t>The_Journey_Home_-_Forest_of_Grace_Chapter-13_-_Radhanath_Swami.mp3</t>
  </si>
  <si>
    <t>The_Journey_Home_-_Forest_of_Grace_Chapter-14_-_Radhanath_Swami.mp3</t>
  </si>
  <si>
    <t>The_Journey_Home_-_Afterword_-_Radhanath_Swami.mp3</t>
  </si>
  <si>
    <t>The_Journey_Home_-_Authors_Note_-_Radhanath_Swami.mp3</t>
  </si>
  <si>
    <t>2012-02-22_Bhajans_-_Kirtan_Mela_2012_-_Hare_Krishna_Kirtan_Day-01_-_Radhanath_Swami_ISKCON_Mayapur.mp3</t>
  </si>
  <si>
    <t>2013-02-06_Bhajans_-_Hare_Krishna_Kirtan_-_Radhanath_Swami_Barsana.mp3</t>
  </si>
  <si>
    <t>2013-03-11_Bhajans_-_Kirtan_Mela_2013_Hare_Krishna_Kirtan_Day-01_-_Radhanath_Swami_ISKCON_Mayapur.mp3</t>
  </si>
  <si>
    <t>2013-12-31_Bhajans_-_Hare_Krishna_Kirtan_-_Radhanath_Swami_ISKCON_Chowpatty.mp3</t>
  </si>
  <si>
    <t>2014-02-28_Kirtan_Mela_2014_-_Hare_Krishna_Kirtan_Day-01_-_Radhanath_Swami_ISKCON_Mayapur.mp3</t>
  </si>
  <si>
    <t>2014-05-15_Bhajans_-_Hare_Krishna_Kirtan_-_Radhanath_Swami.mp3</t>
  </si>
  <si>
    <t>2014-07-01_Bhajans_-_Hare_Krishna_Kirtan_-_Radhanath_Swami_Govardha_Eco_Village.mp3</t>
  </si>
  <si>
    <t>2014-07-19_Bhajans_-_Hare_Krishna_Kirtan_-_Radhanath_Swami_TBC.mp3</t>
  </si>
  <si>
    <t>2014-08-04_Bhajans_-_Hare_Krishna_Kirtan_-_Radhanath_Swami.mp3</t>
  </si>
  <si>
    <t>2014-08-15_Bhajans_-_Hare_Krishna_Kirtan_-_Radhanath_Swami_Bhakti_Center.mp3</t>
  </si>
  <si>
    <t>2014-08-17_Bhajans_-_Hare_Krishna_Kirtan_-_Radhanath_Swami_Bhakti_Center.mp3</t>
  </si>
  <si>
    <t>2015-02-16_Bhajans_-_Kirtan_Mela_2015-Hare_Krishna_Kirtan_Day-01_-_Radhanath_Swami_ISKCON_Mayapur.mp3</t>
  </si>
  <si>
    <t>IDT_001-Hare_Krishna_-_Radhanath_Swami.mp3</t>
  </si>
  <si>
    <t>IDT_002-Hare_Krishna_-_Radhanath_Swami.mp3</t>
  </si>
  <si>
    <t>IDT_003-Hare_Krishna_-_Radhanath_Swami.MP3</t>
  </si>
  <si>
    <t>IDT_004-Hare_Krishna_-_Radhanath_Swami.mp3</t>
  </si>
  <si>
    <t>IDT_005-Hare_Krishna_-_Radhanath_Swami.MP3</t>
  </si>
  <si>
    <t>IDT_006-Hare_Krishna_-_Radhanath_Swami.MP3</t>
  </si>
  <si>
    <t>IDT_007-Hare_Krishna_-_Radhanath_Swami.MP3</t>
  </si>
  <si>
    <t>IDT_008-Hare_Krishna_-_Radhanath_Swami.MP3</t>
  </si>
  <si>
    <t>IDT_009-Hare_Krishna_-_Radhanath_Swami.MP3</t>
  </si>
  <si>
    <t>IDT_010-Hare_Krishna_-_Radhanath_Swami.MP3</t>
  </si>
  <si>
    <t>IDT_011-Hare_Krishna_-_Radhanath_Swami.MP3</t>
  </si>
  <si>
    <t>IDT_012-Hare_Krishna_-_Radhanath_Swami.MP3</t>
  </si>
  <si>
    <t>IDT_013-Hare_Krishna_-_Radhanath_Swami.MP3</t>
  </si>
  <si>
    <t>IDT_014-Hare_Krishna_-_Radhanath_Swami.MP3</t>
  </si>
  <si>
    <t>IDT_015-Hare_Krishna_-_Radhanath_Swami.MP3</t>
  </si>
  <si>
    <t>IDT_016-Hare_Krishna_-_Radhanath_Swami.MP3</t>
  </si>
  <si>
    <t>IDT_017-Hare_Krishna_-_Radhanath_Swami.MP3</t>
  </si>
  <si>
    <t>IDT_018-Hare_Krishna_-_Radhanath_Swami.MP3</t>
  </si>
  <si>
    <t>IDT_019-Hare_Krishna_-_Radhanath_Swami.MP3</t>
  </si>
  <si>
    <t>IDT_020-Hare_Krishna_-_Radhanath_Swami.MP3</t>
  </si>
  <si>
    <t>IDT_021-Hare_Krishna_-_Radhanath_Swami.MP3</t>
  </si>
  <si>
    <t>IDT_022-Hare_Krishna_-_Radhanath_Swami.MP3</t>
  </si>
  <si>
    <t>IDT_023-Hare_Krishna_-_Radhanath_Swami.MP3</t>
  </si>
  <si>
    <t>IDT_024-Hare_Krishna_-_Radhanath_Swami.MP3</t>
  </si>
  <si>
    <t>IDT_025-Hare_Krishna_-_Radhanath_Swami.mp3</t>
  </si>
  <si>
    <t>IDT_026-Hare_Krishna_-_Radhanath_Swami.mp3</t>
  </si>
  <si>
    <t>IDT_027-Hare_Krishna_-_Radhanath_Swami.MP3</t>
  </si>
  <si>
    <t>IDT_028-Hare_Krishna_-_Radhanath_Swami%20.mp3</t>
  </si>
  <si>
    <t>IDT_029-Hare_Krishna_-_Radhanath_Swami.mp3</t>
  </si>
  <si>
    <t>IDT_030-Hare_Krishna_-_Radhanath_Swami.mp3</t>
  </si>
  <si>
    <t>IDT_031-Hare_Krishna_-_Radhanath_Swami.mp3</t>
  </si>
  <si>
    <t>IDT_032-Hare_Krishna_-_Radhanath_Swami.MP3</t>
  </si>
  <si>
    <t>IDT_033-Hare_Krishna_-_Radhanath_Swami.mp3</t>
  </si>
  <si>
    <t>IDT_033-Hare_Krishna_-_Radhanath_Swamii.mp3</t>
  </si>
  <si>
    <t>IDT_034-Hare_Krishna_-_Radhanath_Swami.mp3</t>
  </si>
  <si>
    <t>IDT_035-Hare_Krishna_-_Radhanath_Swami.MP3</t>
  </si>
  <si>
    <t>IDT_036-Hare_Krishna_-_Radhanath_Swami.MP3</t>
  </si>
  <si>
    <t>IDT_037-Hare_Krishna_-_Radhanath_Swami.MP3</t>
  </si>
  <si>
    <t>IDT_038-Hare_Krishna_-_Radhanath_Swami.MP3</t>
  </si>
  <si>
    <t>IDT_039-Hare_Krishna_-_Radhanath_Swami.MP3</t>
  </si>
  <si>
    <t>IDT_040-Hare_Krishna_-_Radhanath_Swami.MP3</t>
  </si>
  <si>
    <t>IDT_041-Hare_Krishna_-_Radhanath_Swami.MP3</t>
  </si>
  <si>
    <t>IDT_042-Hare_Krishna_-_Radhanath_Swami.MP3</t>
  </si>
  <si>
    <t>IDT_043-Hare_Krishna_-_Radhanath_Swami.MP3</t>
  </si>
  <si>
    <t>IDT_044-Hare_Krishna_-_Radhanath_Swami.MP3</t>
  </si>
  <si>
    <t>IDT_045-Hare_Krishna_-_Radhanath_Swami.MP3</t>
  </si>
  <si>
    <t>IDT_046-Hare_Krishna_-_Radhanath_Swami.MP3</t>
  </si>
  <si>
    <t>IDT_047-Hare_Krishna_-_Radhanath_Swami.MP3</t>
  </si>
  <si>
    <t>IDT_048-Hare_Krishna_-_Radhanath_Swami.MP3</t>
  </si>
  <si>
    <t>IDT_049-Hare_Krishna_-_Radhanath_Swami.mp3</t>
  </si>
  <si>
    <t>IDT_050-Hare_Krishna_-_Radhanath_Swami.mp3</t>
  </si>
  <si>
    <t>IDT_051-Hare_Krishna_-_Radhanath_Swami.mp3</t>
  </si>
  <si>
    <t>IDT_052-Hare_Krishna_-_Radhanath_Swami.mp3</t>
  </si>
  <si>
    <t>IDT_053-Hare_Krishna_-_Radhanath_Swami.mp3</t>
  </si>
  <si>
    <t>IDT_054-Hare_Krishna_-_Radhanath_Swami.mp3</t>
  </si>
  <si>
    <t>IDT_055-Hare_Krishna_-_Radhanath_Swami.mp3</t>
  </si>
  <si>
    <t>IDT_056-Hare_Krishna_-_Radhanath_Swami.mp3</t>
  </si>
  <si>
    <t>IDT_057-Hare_Krishna_-_Radhanath_Swami.mp3</t>
  </si>
  <si>
    <t>IDT_058-Hare_Krishna_-_Radhanath_Swami.mp3</t>
  </si>
  <si>
    <t>IDT_059-Hare_Krishna_-_Radhanath_Swami.mp3</t>
  </si>
  <si>
    <t>IDT_060-Hare_Krishna_-_Radhanath_Swami.mp3</t>
  </si>
  <si>
    <t>IDT_061-Hare_Krishna_-_Radhanath_Swami.mp3</t>
  </si>
  <si>
    <t>IDT_062-Hare_Krishna_-_Radhanath_Swami.mp3</t>
  </si>
  <si>
    <t>IDT_063-Hare_Krishna_-_Radhanath_Swami.mp3</t>
  </si>
  <si>
    <t>IDT_064-Hare_Krishna_-_Radhanath_Swami.mp3</t>
  </si>
  <si>
    <t>IDT_065-Hare_Krishna_-_Radhanath_Swami.mp3</t>
  </si>
  <si>
    <t>IDT_066-Hare_Krishna_-_Radhanath_Swami.MP3</t>
  </si>
  <si>
    <t>IDT_067-Hare_Krishna_-_Radhanath_Swami.MP3</t>
  </si>
  <si>
    <t>IDT_068-Hare_Krishna_-_Radhanath_Swami.mp3</t>
  </si>
  <si>
    <t>IDT_069-Hare_Krishna_-_Radhanath_Swami.mp3</t>
  </si>
  <si>
    <t>IDT_070-Hare_Krishna_-_Radhanath_Swami.mp3</t>
  </si>
  <si>
    <t>IDT_071-Hare_Krishna_-_Radhanath_Swami.mp3</t>
  </si>
  <si>
    <t>IDT_071-Hare_Krishna_-_Radhanath_Swami_Brooklyn.mp3</t>
  </si>
  <si>
    <t>IDT_072-Hare_Krishna_-_Radhanath_Swami.mp3</t>
  </si>
  <si>
    <t>IDT_073-Hare_Krishna_-_Radhanath_Swami.mp3</t>
  </si>
  <si>
    <t>IDT_074-Hare_Krishna_-_Radhanath_Swami.mp3</t>
  </si>
  <si>
    <t>IDT_075-Hare_Krishna_-_Radhanath_Swami.mp3</t>
  </si>
  <si>
    <t>IDT_076-Hare_Krishna_-_Radhanath_Swami.mp3</t>
  </si>
  <si>
    <t>IDT_077-Hare_Krishna_-_Radhanath_Swami.mp3</t>
  </si>
  <si>
    <t>IDT_078-Hare_Krishna_-_Radhanath_Swami.mp3</t>
  </si>
  <si>
    <t>IDT_079-Hare_Krishna_-_Radhanath_Swami.mp3</t>
  </si>
  <si>
    <t>IDT_080-Hare_Krishna_-_Radhanath_Swami_Cross_Maidan.mp3</t>
  </si>
  <si>
    <t>IDT_081-Hare_Krishna_-_Radhanath_Swami.mp3</t>
  </si>
  <si>
    <t>IDT_082-Hare_Krishna_-_Radhanath_Swami_Tirupati.mp3</t>
  </si>
  <si>
    <t>IDT_083-Hare_Krishna_-_Radhanath_Swami.mp3</t>
  </si>
  <si>
    <t>IDT_084-Hare_Krishna_-_Radhanath_Swami.mp3</t>
  </si>
  <si>
    <t>IDT_085-Hare_Krishna_-_Radhanath_Swami.mp3</t>
  </si>
  <si>
    <t>IDT_086-Hare_Krishna_-_2011-10-25_Radhanath_Swami_Vrindavan.MP3</t>
  </si>
  <si>
    <t>IDT_087-Hare_Krishna_-_2011-10-26_Radhanath_Swami_Vrindavan.MP3</t>
  </si>
  <si>
    <t>IDT_088-Hare_Krishna_-_2011-10-27_Radhanath_Swami_Vrindavan.MP3</t>
  </si>
  <si>
    <t>IDT_089-Hare_Krishna_-_2011-10-28_Radhanath_Swami_Vrindavan.MP3</t>
  </si>
  <si>
    <t>IDT_090-Hare_Krishna_-_2011-10-29_Radhanath_Swami_Govardhan.MP3</t>
  </si>
  <si>
    <t>IDT_091-Hare_Krishna_-_1997-12-04_Radhanath_Swami.mp3</t>
  </si>
  <si>
    <t>IDT_092-Hare_Krishna_-_2010-06-24_Radhanath_Swami.mp3</t>
  </si>
  <si>
    <t>IDT_093-Hare_Krishna_-_2010-06-25_Radhanath_Swami.mp3</t>
  </si>
  <si>
    <t>IDT_095-Hare_Krishna_-_2010-06-28_Radhanath_Swami.mp3</t>
  </si>
  <si>
    <t>IDT_096-Hare_Krishna_-_2009-09-25_Radhanath_Swami_Mumbai.MP3</t>
  </si>
  <si>
    <t>IDT_097-Hare_Krishna_-_Radhanath_Swami.mp3</t>
  </si>
  <si>
    <t>IDT_098-Hare_Krishna_-_Radhanath_Swami.mp3</t>
  </si>
  <si>
    <t>IDT_099-Hare_Krishna_Sunday_Feast_Kirtan_-_2012-01-15_Radhanath_Swami_ISKCON_Chowpatty.mp3</t>
  </si>
  <si>
    <t>IDT_100-Hare_Krishna_Pushya_Abhishek_Kirtan_-_2012-01-28_Radhanath_Swami_ISKCON_Chowpatty.mp3</t>
  </si>
  <si>
    <t>IDT_101-Hare_Krishna_-_Radhanath_Swami.mp3</t>
  </si>
  <si>
    <t>IDT_102-Hare_Krishna_-_Radhanath_Swami.mp3</t>
  </si>
  <si>
    <t>IDT_102-Jaya_Radhe_Jaye_Radhe_Radhe_-_2012-02-01_Radhanath_Swami_Barsana.mp3</t>
  </si>
  <si>
    <t>IDT_103-Hare_Krishna_Kirtan_-_Radhanath_Swami_-_2008.mp3</t>
  </si>
  <si>
    <t>IDT_104-Hare_Krishna_Kirtan_-_Radhanath_Swami_-_2008.mp3</t>
  </si>
  <si>
    <t>IDT_105-Hare_Krishna_-_Radhanath_Swami.mp3</t>
  </si>
  <si>
    <t>IDT_106-Hare_Krishna_-_Radhanath_Swami.mp3</t>
  </si>
  <si>
    <t>IDT_107-Hare_Krishna_-_Radhanath_Swami.mp3</t>
  </si>
  <si>
    <t>IDT_108-Hare_Krishna_Kirtan_-_Radhanath_Sw_-_2010_New_York.mp3</t>
  </si>
  <si>
    <t>IDT_109_Hare_Krishna_Kirtan_Mela_Day-01_-_2012-02-22_Radhanath_Swami_ISKCON_Mayapur.mp3</t>
  </si>
  <si>
    <t>IDT_110_-_Hare_Krishna_Kirtan_-_Radhanath_Swami_2013-09-17.mp3</t>
  </si>
  <si>
    <t>IDT_111_-_Hare_Krishna_Kirtan_-_2013-02-06_Radhanath_Swami_Barsana.mp3</t>
  </si>
  <si>
    <t>IDT_112_-_Kirtan_Mela_2013_Hare_Krishna_Kirtan_Day-01_-_2013-03-11_Radhanath_Swami_ISKCON_Mayapur.mp3</t>
  </si>
  <si>
    <t>IDT_113_-_Sadhu_Sanga_2013-Hare_Krishna_Kirtan_-_2013-09-24_Radhanath_Swami.mp3</t>
  </si>
  <si>
    <t>IDT_114_-_Sadhu_Sanga_2013-Hare_Krishna_Kirtan_01_-_2013-09-26_-_Radhanath_Swami.mp3</t>
  </si>
  <si>
    <t>IDT_115_-_Sadhu_Sanga_2013-Hare_Krishna_Kirtan_02_-_2013-09-26_Radhanath_Swami.mp3</t>
  </si>
  <si>
    <t>IDT_116-Hare_Krishna_-_Radhanath_Swami.mp3</t>
  </si>
  <si>
    <t>IDT_117-Hare_Krishna_-_Radhanath_Swami.mp3</t>
  </si>
  <si>
    <t>IDT_118-Hare_Krishna_-_Radhanath_Swami.mp3</t>
  </si>
  <si>
    <t>IDT_119-Hare_Krishna_-_Radhanath_Swami.mp3</t>
  </si>
  <si>
    <t>IDT_120-Hare_Krishna_-_Radhanath_Swami.mp3</t>
  </si>
  <si>
    <t>IDT_121-Hare_Krishna_-_Radhanath_Swami.mp3</t>
  </si>
  <si>
    <t>IDT_94-Hare_Krishna_Kirtan_-_2010-06-28_Radhanath_Swami.mp3</t>
  </si>
  <si>
    <t>Kirtan_-_Radhanath_Swami.mp3</t>
  </si>
  <si>
    <t>2014-08-17_Bhajans_-_Vande_Krishna_Nanda_Kumara_-_Radhanath_Swami_Bhakti_Center.mp3</t>
  </si>
  <si>
    <t>Bhajans_-_Narsimha_Arti_-_Radhanath_Swami_ISKCON_Brooklyn.mp3</t>
  </si>
  <si>
    <t>IDT_102-Jaya_Radhe_Jaye_Radhe_Radhe_-_2012-02-01_Barsana.mp3</t>
  </si>
  <si>
    <t>IDT_Bhajans_-_Akrodha_Paramananda_Nityananda_Rai_-_Radhanath_Swami.mp3</t>
  </si>
  <si>
    <t>IDT_Bhajans_-_Ami_Jamuna_Puline_-_Radhanath_Swami.mp3</t>
  </si>
  <si>
    <t>IDT_Bhajans_-_Boro_Krpa_Koile_Krsna_-_Sung_by_HH_Radhanath_Swami_IDT_-_Radhanath_Swami.mp3</t>
  </si>
  <si>
    <t>IDT_Bhajans_-_Boro_Sukher_Khabor_Gai_-_Radhanath_Swami.mp3</t>
  </si>
  <si>
    <t>IDT_Bhajans_-_Damodarastakam-01_-_Radhanath_Swami.MP3</t>
  </si>
  <si>
    <t>IDT_Bhajans_-_Damodarastakam-02_-_Radhanath_Swami.mp3</t>
  </si>
  <si>
    <t>IDT_Bhajans_-_Damodarastakam-03_-_Radhanath_Swami.mp3</t>
  </si>
  <si>
    <t>IDT_Bhajans_-_Damodarastakam_-_2001_Radhanath_Sw_Vrindavan.mp3</t>
  </si>
  <si>
    <t>IDT_Bhajans_-_Damodarastakam_-_2011-10-26_Radhanath_Swami_Vrindavan.MP3</t>
  </si>
  <si>
    <t>IDT_Bhajans_-_Damodarastakam_-_Radhanath_Swami_2007-10-27.mp3</t>
  </si>
  <si>
    <t>IDT_Bhajans_-_Damodarastakam_-_Radhanath_Swami_2007-10-28.mp3</t>
  </si>
  <si>
    <t>IDT_Bhajans_-_Dashavatara_Stotra_-_Radhanath_Swami.mp3</t>
  </si>
  <si>
    <t>IDT_Bhajans_-_Doyal_Nitai_Caitanya_Bole_-_Radhanath_Swami.mp3</t>
  </si>
  <si>
    <t>IDT_Bhajans_-_Durlabh_Manava_Janma_-_Radhanath_Swami.mp3</t>
  </si>
  <si>
    <t>IDT_Bhajans_-_Durlabha_Manava_Janma_-_Radhanath_Swami.mp3</t>
  </si>
  <si>
    <t>IDT_Bhajans_-_Ekhona_Bujhinu-01_-_Radhanath_Swami.mp3</t>
  </si>
  <si>
    <t>IDT_Bhajans_-_Gaur_Purnima_Bhajan_Sachisutashtakam_-_Radhanath_Swami_-_2011-03-19_ISKCON_Chowpatty.mp3</t>
  </si>
  <si>
    <t>IDT_Bhajans_-_Gauranga_Bolite_Habe-01_-_Radhanath_Swami.mp3</t>
  </si>
  <si>
    <t>IDT_Bhajans_-_Gauranga_Bolite_Habe-02_-_Radhanath_Swami.mp3</t>
  </si>
  <si>
    <t>IDT_Bhajans_-_Gauranga_Bolite_Habe-03_-_Radhanath_Swami.mp3</t>
  </si>
  <si>
    <t>IDT_Bhajans_-_Gauranga_Bolite_Habe_-_Radhanath_Swami_-_2008-03-23.mp3</t>
  </si>
  <si>
    <t>IDT_Bhajans_-_Gauranga_Tumi_More-01_-_Radhanath_Swami.mp3</t>
  </si>
  <si>
    <t>IDT_Bhajans_-_Gauranga_Tumi_More-02_-_Radhanath_Swami.mp3</t>
  </si>
  <si>
    <t>IDT_Bhajans_-_Gay_Gaur_Madhur_Sware_-_Radhanath_Swami.mp3</t>
  </si>
  <si>
    <t>IDT_Bhajans_-_Gopinath-01_-_Radhanath_Swami.mp3</t>
  </si>
  <si>
    <t>IDT_Bhajans_-_Gopinath-02_-_Radhanath_Swami.mp3</t>
  </si>
  <si>
    <t>IDT_Bhajans_-_Gopinath-03_-_Radhanath_Swami.mp3</t>
  </si>
  <si>
    <t>IDT_Bhajans_-_Govind_Hari_Gopal_Hari_-_Radhanath_Swami.mp3</t>
  </si>
  <si>
    <t>IDT_Bhajans_-_Hari_He_Doyala_Mora_-_Radhanath_Swami.mp3</t>
  </si>
  <si>
    <t>IDT_Bhajans_-_Jay_Jay_Radhe_Jay_Jay_Shyam_-_Radhanath_Swami.mp3</t>
  </si>
  <si>
    <t>IDT_Bhajans_-_Jay_Radhe_Jay_Radhe_Radhe_-_Radhanath_Swami_Hyderabad_2011-03-28.mp3</t>
  </si>
  <si>
    <t>IDT_Bhajans_-_Jaya_Jaya_Jagannath-01_-_Radhanath_Swami.mp3</t>
  </si>
  <si>
    <t>IDT_Bhajans_-_Jaya_Jaya_Jagannath-02_-_Radhanath_Swami.mp3</t>
  </si>
  <si>
    <t>IDT_Bhajans_-_Jaya_Jaya_Jagannath-03_-_Radhanath_Swami.mp3</t>
  </si>
  <si>
    <t>IDT_Bhajans_-_Jaya_Jaya_Radha_Krishna_Yugal_Milan-01_-_Radhanath_Swami.mp3</t>
  </si>
  <si>
    <t>IDT_Bhajans_-_Jaya_Jaya_Radha_Krishna_Yugal_Milan-02_-_Radhanath_Swami.mp3</t>
  </si>
  <si>
    <t>IDT_Bhajans_-_Jaya_Radha_Govind_Radhe_-_Radhanath_Swami.mp3</t>
  </si>
  <si>
    <t>IDT_Bhajans_-_Jaya_Radha_Madhava-01_-_Radhanath_Swami.mp3</t>
  </si>
  <si>
    <t>IDT_Bhajans_-_Jaya_Radha_Madhava-02_-_Radhanath_Swami.mp3</t>
  </si>
  <si>
    <t>IDT_Bhajans_-_Jaya_Radha_Madhava_-_1997_Radhanath_Sw.mp3</t>
  </si>
  <si>
    <t>IDT_Bhajans_-_Jaya_Radha_Madhava_-_2010-06-24_-_Radhanath_Swami.mp3</t>
  </si>
  <si>
    <t>IDT_Bhajans_-_Jaya_Radha_Madhava_-_2010-06-28_Radhanath_Swami.mp3</t>
  </si>
  <si>
    <t>IDT_Bhajans_-_Jaya_Radha_Madhava_-_Radhanath_Swami_ISKCON_Secunderabad_30-03-2011.mp3</t>
  </si>
  <si>
    <t>IDT_Bhajans_-_Jaya_Radha_Madhava_at_-_Radhanath_Swami_ISKCON_Hyderabad_-_2011-03-29.mp3</t>
  </si>
  <si>
    <t>IDT_Bhajans_-_Jaya_Radhe_Jaya_Krishna-01_-_Radhanath_Swami.mp3</t>
  </si>
  <si>
    <t>IDT_Bhajans_-_Jaya_Radhe_Jaya_Krishna-02_-_Radhanath_Swami.mp3</t>
  </si>
  <si>
    <t>IDT_Bhajans_-_Jaya_Radhey_Jaya_Radhey_Radhey_-_Radhanath_Swami_-_2005-10-01.mp3</t>
  </si>
  <si>
    <t>IDT_Bhajans_-_Je_Anilo_Prema_Dhana_-_Radhanath_Swami.mp3</t>
  </si>
  <si>
    <t>IDT_Bhajans_-_Je_Anilo_Premadhan_-_2011-10-30_Radhanath_Swami_Govardhan.MP3</t>
  </si>
  <si>
    <t>IDT_Bhajans_-_Kadacit_Kalindi_Tata_Vipina-01_-_Radhanath_Swami.mp3</t>
  </si>
  <si>
    <t>IDT_Bhajans_-_Kadacit_Kalindi_Tata_Vipina-02_-_Radhanath_Swami.mp3</t>
  </si>
  <si>
    <t>IDT_Bhajans_-_Kali_Kukkur_Kadan_-_Radhanath_Swami.mp3</t>
  </si>
  <si>
    <t>IDT_Bhajans_-_Kali_Kukkura_-_2009_Radhanath_Sw_Mayapur.mp3</t>
  </si>
  <si>
    <t>IDT_Bhajans_-_Nadiya_Godrume_Nityanand_Mahajan_-_Radhanath_Swami.mp3</t>
  </si>
  <si>
    <t>IDT_Bhajans_-_Nadiya_Godrume_Nityanand_Mahajana_-_Radhanath_Swami.mp3</t>
  </si>
  <si>
    <t>IDT_Bhajans_-_Nadiya_Godrume_Nityananda_Mahajan_-_2009_Radhanath_Sw_Mayapur.mp3</t>
  </si>
  <si>
    <t>IDT_Bhajans_-_Param_Karuna_Nityananda_Trayodashi_Festivals_-_2012-02-05_Radhanath_Swami_ISKCON_Kolkata.mp3</t>
  </si>
  <si>
    <t>IDT_Bhajans_-_Radha_Krishna_Praan_Mora_-_Radhanath_Swami.mp3</t>
  </si>
  <si>
    <t>IDT_Bhajans_-_Radhanath_Sw_Bhajans_-_Ami_jamuna_puline_kadamba-kanane_-_Radhanath_Swami.mp3</t>
  </si>
  <si>
    <t>IDT_Bhajans_-_Radhe_Jaya_Jaya_Madhava_Dayite_-_Radhanath_Swami.mp3</t>
  </si>
  <si>
    <t>IDT_Bhajans_-_Radhe_Radhe_Govinda_Govinda_Radhe_-_Radhanath_Swami.mp3</t>
  </si>
  <si>
    <t>IDT_Bhajans_-_Sachisutastakam_-_Radhanath_Swami_-_2012-03-08_ISKCON_Chowpatty.mp3</t>
  </si>
  <si>
    <t>IDT_Bhajans_-_Sri_Krishna_Caitanya_Doya_Koro_More_-_Radhanath_Swami.mp3</t>
  </si>
  <si>
    <t>IDT_Bhajans_-_Sri_Sacisuta_Astakam_-_Radhanath_Swami.mp3</t>
  </si>
  <si>
    <t>IDT_Bhajans_-_Sundara_Kundala_Naina_Visala-01_-_Radhanath_Swami.mp3</t>
  </si>
  <si>
    <t>IDT_Bhajans_-_Vande_Krishna_Nanda_-_Radhanath_Swami.mp3</t>
  </si>
  <si>
    <t>IDT_Bhajans_-_Vande_Krsna_Nanda_Kumara_-_Radhanath_Swami.mp3</t>
  </si>
  <si>
    <t>IDT_Bhajans_-_Yashomati_Nandan_-_Radhanath_Swami.mp3</t>
  </si>
  <si>
    <t>IDT_Bhajans_-_Yashomati_Nandana_-_Radhanath_Swami.mp3</t>
  </si>
  <si>
    <t>IDT_Bhajans_-_Yashomatnandan_-_Radhanath_Swami.mp3</t>
  </si>
  <si>
    <t>Jagannathashtakam_-_Radhanath_Swami.mp3</t>
  </si>
  <si>
    <t>Jaya_Jaya_Jagannatha_Sacira_Nandan_-_Radhanath_Swami.mp3</t>
  </si>
  <si>
    <t>Jaya_Radha_Madhava_-_Radhanath_Swami.mp3</t>
  </si>
  <si>
    <t>Jaya_Radhe_Jaya_Krishna_Jaya_Vrindavana_-_Radhanath_Swami.mp3</t>
  </si>
  <si>
    <t>Narasimha_Arati_-_Radhanath_Swami.mp3</t>
  </si>
  <si>
    <t>Parama_Karuna_-_Radhanath_Swami.mp3</t>
  </si>
  <si>
    <t>Mangalacharana Prayers</t>
  </si>
  <si>
    <t>https://audio.iskcondesiretree.com/05_-_ISKCON_Chowpatty/00_-_Bhajans/04_-_Bhajans_by_Jai_Sachinanadana_%20Prabhu/01%20-%20Pranama%20Mantras/IDT_-_Mangalacharana_Prayers_-_By_Jai_Sachinanadana_Pr.mp3</t>
  </si>
  <si>
    <t>Akarodha Paramananada</t>
  </si>
  <si>
    <t>https://audio.iskcondesiretree.com/05_-_ISKCON_Chowpatty/00_-_Bhajans/04_-_Bhajans_by_Jai_Sachinanadana_%20Prabhu/06%20-%20Songs%20by%20Locana%20Das%20Thakura/IDT_-_Akarodha_Paramananada_-_By_Jai_Sachinanadana_Pr.mp3</t>
  </si>
  <si>
    <t>Avatara Sara Gaura Avatara</t>
  </si>
  <si>
    <t>https://audio.iskcondesiretree.com/05_-_ISKCON_Chowpatty/00_-_Bhajans/04_-_Bhajans_by_Jai_Sachinanadana_%20Prabhu/06%20-%20Songs%20by%20Locana%20Das%20Thakura/IDT_-_Avatara_Sara_Gaura_Avatara_-_By_Jai_Sachinanadana_Pr.mp3</t>
  </si>
  <si>
    <t>Nitai Guna Mani Amara</t>
  </si>
  <si>
    <t>https://audio.iskcondesiretree.com/05_-_ISKCON_Chowpatty/00_-_Bhajans/04_-_Bhajans_by_Jai_Sachinanadana_%20Prabhu/06%20-%20Songs%20by%20Locana%20Das%20Thakura/IDT_-_Nitai_Guna_Mani_Amara_-_By_Jai_Sachinanadana_Pr.mp3</t>
  </si>
  <si>
    <t>Parama Karuna</t>
  </si>
  <si>
    <t>https://audio.iskcondesiretree.com/05_-_ISKCON_Chowpatty/00_-_Bhajans/04_-_Bhajans_by_Jai_Sachinanadana_%20Prabhu/06%20-%20Songs%20by%20Locana%20Das%20Thakura/IDT_-_Parama_Karuna_-_By_Jai_Sachinanadana_Pr.mp3</t>
  </si>
  <si>
    <t>Jayati Te'dhikam</t>
  </si>
  <si>
    <t>https://audio.iskcondesiretree.com/05_-_ISKCON_Chowpatty/00_-_Bhajans/04_-_Bhajans_by_Jai_Sachinanadana_%20Prabhu/08%20-%20Songs%20by%20Krsna%20Dvaipayana%20Vyasa/IDT_-_Jayati_Te%27dhikam_-_By_Jai_Sachinanadana_Pr.mp3</t>
  </si>
  <si>
    <t>Namamisvaram Saccidananda Rupam</t>
  </si>
  <si>
    <t>https://audio.iskcondesiretree.com/05_-_ISKCON_Chowpatty/00_-_Bhajans/04_-_Bhajans_by_Jai_Sachinanadana_%20Prabhu/08%20-%20Songs%20by%20Krsna%20Dvaipayana%20Vyasa/IDT_-_Namamisvaram_Saccidananda_Rupam_-_By_Jai_Sachinanadana_Pr.mp3</t>
  </si>
  <si>
    <t>Vrnadavana Vasi Jata Vaishnavera Gana</t>
  </si>
  <si>
    <t>https://audio.iskcondesiretree.com/05_-_ISKCON_Chowpatty/00_-_Bhajans/04_-_Bhajans_by_Jai_Sachinanadana_%20Prabhu/20%20-%20Songs%20by%20Devakinandana%20Das%20Thakura/IDT_-_Vrnadavana_Vasi_Jata_Vaishnavera_Gana_-_By_Jai_Sachinanadana_Pr.mp3</t>
  </si>
  <si>
    <t>Ambudanjanendra Nila</t>
  </si>
  <si>
    <t>https://audio.iskcondesiretree.com/05_-_ISKCON_Chowpatty/00_-_Bhajans/04_-_Bhajans_by_Jai_Sachinanadana_%20Prabhu/12%20-%20Songs%20by%20Krsna%20Dasa%20Kaviraja/IDT_-_Ambudanjanendra_Nila_-_By_Jai_Sachinanadana_Pr.mp3</t>
  </si>
  <si>
    <t>Jaya Radha Girivara Dhari</t>
  </si>
  <si>
    <t>https://audio.iskcondesiretree.com/05_-_ISKCON_Chowpatty/00_-_Bhajans/04_-_Bhajans_by_Jai_Sachinanadana_%20Prabhu/12%20-%20Songs%20by%20Krsna%20Dasa%20Kaviraja/IDT_-_Jaya_Radha_Girivara_Dhari_-_By_Jai_Sachinanadana_Pr.mp3</t>
  </si>
  <si>
    <t>Jaya Radhe Jaya Krsna</t>
  </si>
  <si>
    <t>https://audio.iskcondesiretree.com/05_-_ISKCON_Chowpatty/00_-_Bhajans/04_-_Bhajans_by_Jai_Sachinanadana_%20Prabhu/12%20-%20Songs%20by%20Krsna%20Dasa%20Kaviraja/IDT_-_Jaya_Radhe_Jaya_Krsna_-_By_Jai_Sachinanadana_Pr.mp3</t>
  </si>
  <si>
    <t>Krsna Krsna Krsna He</t>
  </si>
  <si>
    <t>https://audio.iskcondesiretree.com/05_-_ISKCON_Chowpatty/00_-_Bhajans/04_-_Bhajans_by_Jai_Sachinanadana_%20Prabhu/12%20-%20Songs%20by%20Krsna%20Dasa%20Kaviraja/IDT_-_Krsna_Krsna_Krsna_He_-_By_Jai_Sachinanadana_Pr.mp3</t>
  </si>
  <si>
    <t>Kumkumakta Kancanabja</t>
  </si>
  <si>
    <t>https://audio.iskcondesiretree.com/05_-_ISKCON_Chowpatty/00_-_Bhajans/04_-_Bhajans_by_Jai_Sachinanadana_%20Prabhu/12%20-%20Songs%20by%20Krsna%20Dasa%20Kaviraja/IDT_-_Kumkumakta_Kancanabja_-_By_Jai_Sachinanadana_Pr.mp3</t>
  </si>
  <si>
    <t>Gaura Arati</t>
  </si>
  <si>
    <t>https://audio.iskcondesiretree.com/05_-_ISKCON_Chowpatty/00_-_Bhajans/04_-_Bhajans_by_Jai_Sachinanadana_%20Prabhu/02%20-%20Temple%20Program%20Prayers/IDT_-_Gaura_Arati_-_By_Jai_Sachinanadana_Pr.mp3</t>
  </si>
  <si>
    <t>Guru Puja</t>
  </si>
  <si>
    <t>https://audio.iskcondesiretree.com/05_-_ISKCON_Chowpatty/00_-_Bhajans/04_-_Bhajans_by_Jai_Sachinanadana_%20Prabhu/02%20-%20Temple%20Program%20Prayers/IDT_-_Guru_Puja_-_By_Jai_Sachinanadana_Pr.mp3</t>
  </si>
  <si>
    <t>Jaya Narasimha Sri Narasimha</t>
  </si>
  <si>
    <t>https://audio.iskcondesiretree.com/05_-_ISKCON_Chowpatty/00_-_Bhajans/04_-_Bhajans_by_Jai_Sachinanadana_%20Prabhu/02%20-%20Temple%20Program%20Prayers/IDT_-_Jaya_Narasimha_Sri_Narasimha_-_By_Jai_Sachinanadana_Pr.mp3</t>
  </si>
  <si>
    <t>Jaya Radha Madhav</t>
  </si>
  <si>
    <t>https://audio.iskcondesiretree.com/05_-_ISKCON_Chowpatty/00_-_Bhajans/04_-_Bhajans_by_Jai_Sachinanadana_%20Prabhu/02%20-%20Temple%20Program%20Prayers/IDT_-_Jaya_Radha_Madhav_-_By_Jai_Sachinanadana_Pr.mp3</t>
  </si>
  <si>
    <t>Narasimha Arati</t>
  </si>
  <si>
    <t>https://audio.iskcondesiretree.com/05_-_ISKCON_Chowpatty/00_-_Bhajans/04_-_Bhajans_by_Jai_Sachinanadana_%20Prabhu/02%20-%20Temple%20Program%20Prayers/IDT_-_Narasimha_Arati_-_By_Jai_Sachinanadana_Pr.mp3</t>
  </si>
  <si>
    <t>Prasadam Prayers</t>
  </si>
  <si>
    <t>https://audio.iskcondesiretree.com/05_-_ISKCON_Chowpatty/00_-_Bhajans/04_-_Bhajans_by_Jai_Sachinanadana_%20Prabhu/02%20-%20Temple%20Program%20Prayers/IDT_-_Prasadam_Prayers_-_By_Jai_Sachinanadana_Pr.mp3</t>
  </si>
  <si>
    <t>Samsara Davanala</t>
  </si>
  <si>
    <t>https://audio.iskcondesiretree.com/05_-_ISKCON_Chowpatty/00_-_Bhajans/04_-_Bhajans_by_Jai_Sachinanadana_%20Prabhu/02%20-%20Temple%20Program%20Prayers/IDT_-_Samsara_Davanala_-_By_Jai_Sachinanadana_Pr.mp3</t>
  </si>
  <si>
    <t>Sri Brahma Samhita</t>
  </si>
  <si>
    <t>https://audio.iskcondesiretree.com/05_-_ISKCON_Chowpatty/00_-_Bhajans/04_-_Bhajans_by_Jai_Sachinanadana_%20Prabhu/02%20-%20Temple%20Program%20Prayers/IDT_-_Sri_Brahma_Samhita_-_By_Jai_Sachinanadana_Pr.mp3</t>
  </si>
  <si>
    <t>Sri Sikshashtakam</t>
  </si>
  <si>
    <t>https://audio.iskcondesiretree.com/05_-_ISKCON_Chowpatty/00_-_Bhajans/04_-_Bhajans_by_Jai_Sachinanadana_%20Prabhu/02%20-%20Temple%20Program%20Prayers/IDT_-_Sri_Sikshashtakam_-_By_Jai_Sachinanadana_Pr.mp3</t>
  </si>
  <si>
    <t>Sri Tulasi Arati</t>
  </si>
  <si>
    <t>https://audio.iskcondesiretree.com/05_-_ISKCON_Chowpatty/00_-_Bhajans/04_-_Bhajans_by_Jai_Sachinanadana_%20Prabhu/02%20-%20Temple%20Program%20Prayers/IDT_-_Sri_Tulasi_Arati_-_By_Jai_Sachinanadana_Pr.mp3</t>
  </si>
  <si>
    <t>Gauranga Tumi More</t>
  </si>
  <si>
    <t>https://audio.iskcondesiretree.com/05_-_ISKCON_Chowpatty/00_-_Bhajans/04_-_Bhajans_by_Jai_Sachinanadana_%20Prabhu/10%20-%20Songs%20by%20Vasudeva%20Ghosh/IDT_-_Gauranga_Tumi_More_-_By_Jai_Sachinanadana_Pr.mp3</t>
  </si>
  <si>
    <t>Jaya Jaya Jagannatha</t>
  </si>
  <si>
    <t>https://audio.iskcondesiretree.com/05_-_ISKCON_Chowpatty/00_-_Bhajans/04_-_Bhajans_by_Jai_Sachinanadana_%20Prabhu/10%20-%20Songs%20by%20Vasudeva%20Ghosh/IDT_-_Jaya_Jaya_Jagannatha_-_By_Jai_Sachinanadana_Pr.mp3</t>
  </si>
  <si>
    <t>Yadi Gaura Na Hoito</t>
  </si>
  <si>
    <t>https://audio.iskcondesiretree.com/05_-_ISKCON_Chowpatty/00_-_Bhajans/04_-_Bhajans_by_Jai_Sachinanadana_%20Prabhu/10%20-%20Songs%20by%20Vasudeva%20Ghosh/IDT_-_Yadi_Gaura_Na_Hoito_-_By_Jai_Sachinanadana_Pr.mp3</t>
  </si>
  <si>
    <t>Amara Jivana</t>
  </si>
  <si>
    <t>https://audio.iskcondesiretree.com/05_-_ISKCON_Chowpatty/00_-_Bhajans/04_-_Bhajans_by_Jai_Sachinanadana_%20Prabhu/03%20-%20Songs%20by%20Bhaktivinoda%20Thakura/IDT_-_Amara_Jivana_-_By_Jai_Sachinanadana_Pr.mp3</t>
  </si>
  <si>
    <t>Ami Jamuna Puline</t>
  </si>
  <si>
    <t>https://audio.iskcondesiretree.com/05_-_ISKCON_Chowpatty/00_-_Bhajans/04_-_Bhajans_by_Jai_Sachinanadana_%20Prabhu/03%20-%20Songs%20by%20Bhaktivinoda%20Thakura/IDT_-_Ami_Jamuna_Puline_-_By_Jai_Sachinanadana_Pr.mp3</t>
  </si>
  <si>
    <t>Ami To Durjana Ati</t>
  </si>
  <si>
    <t>https://audio.iskcondesiretree.com/05_-_ISKCON_Chowpatty/00_-_Bhajans/04_-_Bhajans_by_Jai_Sachinanadana_%20Prabhu/03%20-%20Songs%20by%20Bhaktivinoda%20Thakura/IDT_-_Ami_To_Durjana_Ati_-_By_Jai_Sachinanadana_Pr.mp3</t>
  </si>
  <si>
    <t>Anadi Karama Phale</t>
  </si>
  <si>
    <t>https://audio.iskcondesiretree.com/05_-_ISKCON_Chowpatty/00_-_Bhajans/04_-_Bhajans_by_Jai_Sachinanadana_%20Prabhu/03%20-%20Songs%20by%20Bhaktivinoda%20Thakura/IDT_-_Anadi_Karama_Phale_-_By_Jai_Sachinanadana_Pr.mp3</t>
  </si>
  <si>
    <t>Ar Keno Maya Jale</t>
  </si>
  <si>
    <t>https://audio.iskcondesiretree.com/05_-_ISKCON_Chowpatty/00_-_Bhajans/04_-_Bhajans_by_Jai_Sachinanadana_%20Prabhu/03%20-%20Songs%20by%20Bhaktivinoda%20Thakura/IDT_-_Ar_Keno_Maya_Jale_-_By_Jai_Sachinanadana_Pr.mp3</t>
  </si>
  <si>
    <t>Asalo Katha Bolte Ki</t>
  </si>
  <si>
    <t>https://audio.iskcondesiretree.com/05_-_ISKCON_Chowpatty/00_-_Bhajans/04_-_Bhajans_by_Jai_Sachinanadana_%20Prabhu/03%20-%20Songs%20by%20Bhaktivinoda%20Thakura/IDT_-_Asalo_Katha_Bolte_Ki_-_By_Jai_Sachinanadana_Pr.mp3</t>
  </si>
  <si>
    <t>Atma Nivedana Tuya Pade</t>
  </si>
  <si>
    <t>https://audio.iskcondesiretree.com/05_-_ISKCON_Chowpatty/00_-_Bhajans/04_-_Bhajans_by_Jai_Sachinanadana_%20Prabhu/03%20-%20Songs%20by%20Bhaktivinoda%20Thakura/IDT_-_Atma_Nivedana_Tuya_Pade_-_By_Jai_Sachinanadana_Pr.mp3</t>
  </si>
  <si>
    <t>Bhaja Bhakata Vatsala</t>
  </si>
  <si>
    <t>https://audio.iskcondesiretree.com/05_-_ISKCON_Chowpatty/00_-_Bhajans/04_-_Bhajans_by_Jai_Sachinanadana_%20Prabhu/03%20-%20Songs%20by%20Bhaktivinoda%20Thakura/IDT_-_Bhaja_Bhakata_Vatsala_-_By_Jai_Sachinanadana_Pr.mp3</t>
  </si>
  <si>
    <t>Bhaja Re Bhaja Re Amar</t>
  </si>
  <si>
    <t>https://audio.iskcondesiretree.com/05_-_ISKCON_Chowpatty/00_-_Bhajans/04_-_Bhajans_by_Jai_Sachinanadana_%20Prabhu/03%20-%20Songs%20by%20Bhaktivinoda%20Thakura/IDT_-_Bhaja_Re_Bhaja_Re_Amar_-_By_Jai_Sachinanadana_Pr.mp3</t>
  </si>
  <si>
    <t>Bhale Gaura Gadadhare Arati Nihari</t>
  </si>
  <si>
    <t>https://audio.iskcondesiretree.com/05_-_ISKCON_Chowpatty/00_-_Bhajans/04_-_Bhajans_by_Jai_Sachinanadana_%20Prabhu/03%20-%20Songs%20by%20Bhaktivinoda%20Thakura/IDT_-_Bhale_Gaura_Gadadhare_Arati_Nihari_-_By_Jai_Sachinanadana_Pr.mp3</t>
  </si>
  <si>
    <t>Bhuliya Tomare</t>
  </si>
  <si>
    <t>https://audio.iskcondesiretree.com/05_-_ISKCON_Chowpatty/00_-_Bhajans/04_-_Bhajans_by_Jai_Sachinanadana_%20Prabhu/03%20-%20Songs%20by%20Bhaktivinoda%20Thakura/IDT_-_Bhuliya_Tomare_-_By_Jai_Sachinanadana_Pr.mp3</t>
  </si>
  <si>
    <t>Bolo Hari Bolo</t>
  </si>
  <si>
    <t>https://audio.iskcondesiretree.com/05_-_ISKCON_Chowpatty/00_-_Bhajans/04_-_Bhajans_by_Jai_Sachinanadana_%20Prabhu/03%20-%20Songs%20by%20Bhaktivinoda%20Thakura/IDT_-_Bolo_Hari_Bolo_-_By_Jai_Sachinanadana_Pr.mp3</t>
  </si>
  <si>
    <t>Boro Sukhera Khabor Gaye</t>
  </si>
  <si>
    <t>https://audio.iskcondesiretree.com/05_-_ISKCON_Chowpatty/00_-_Bhajans/04_-_Bhajans_by_Jai_Sachinanadana_%20Prabhu/03%20-%20Songs%20by%20Bhaktivinoda%20Thakura/IDT_-_Boro_Sukhera_Khabor_Gaye_-_By_Jai_Sachinanadana_Pr.mp3</t>
  </si>
  <si>
    <t>Doyala Nitai Caitanya</t>
  </si>
  <si>
    <t>https://audio.iskcondesiretree.com/05_-_ISKCON_Chowpatty/00_-_Bhajans/04_-_Bhajans_by_Jai_Sachinanadana_%20Prabhu/03%20-%20Songs%20by%20Bhaktivinoda%20Thakura/IDT_-_Doyala_Nitai_Caitanya_-_By_Jai_Sachinanadana_Pr.mp3</t>
  </si>
  <si>
    <t>Durlabha Manava Janma</t>
  </si>
  <si>
    <t>https://audio.iskcondesiretree.com/05_-_ISKCON_Chowpatty/00_-_Bhajans/04_-_Bhajans_by_Jai_Sachinanadana_%20Prabhu/03%20-%20Songs%20by%20Bhaktivinoda%20Thakura/IDT_-_Durlabha_Manava_Janma_-_By_Jai_Sachinanadana_Pr.mp3</t>
  </si>
  <si>
    <t>Ekhona Bhujinu Prabhu</t>
  </si>
  <si>
    <t>https://audio.iskcondesiretree.com/05_-_ISKCON_Chowpatty/00_-_Bhajans/04_-_Bhajans_by_Jai_Sachinanadana_%20Prabhu/03%20-%20Songs%20by%20Bhaktivinoda%20Thakura/IDT_-_Ekhona_Bhujinu_Prabhu_-_By_Jai_Sachinanadana_Pr.mp3</t>
  </si>
  <si>
    <t>Emona Durmati</t>
  </si>
  <si>
    <t>https://audio.iskcondesiretree.com/05_-_ISKCON_Chowpatty/00_-_Bhajans/04_-_Bhajans_by_Jai_Sachinanadana_%20Prabhu/03%20-%20Songs%20by%20Bhaktivinoda%20Thakura/IDT_-_Emona_Durmati_-_By_Jai_Sachinanadana_Pr.mp3</t>
  </si>
  <si>
    <t>Gaya Gaura Madhura Sware</t>
  </si>
  <si>
    <t>https://audio.iskcondesiretree.com/05_-_ISKCON_Chowpatty/00_-_Bhajans/04_-_Bhajans_by_Jai_Sachinanadana_%20Prabhu/03%20-%20Songs%20by%20Bhaktivinoda%20Thakura/IDT_-_Gaya_Gaura_Madhura_Sware_-_By_Jai_Sachinanadana_Pr.mp3</t>
  </si>
  <si>
    <t>Gaya Gaurachand Jive Tare</t>
  </si>
  <si>
    <t>https://audio.iskcondesiretree.com/05_-_ISKCON_Chowpatty/00_-_Bhajans/04_-_Bhajans_by_Jai_Sachinanadana_%20Prabhu/03%20-%20Songs%20by%20Bhaktivinoda%20Thakura/IDT_-_Gaya_Gaurachand_Jive_Tare_-_By_Jai_Sachinanadana_Pr.mp3</t>
  </si>
  <si>
    <t>Gopinatha</t>
  </si>
  <si>
    <t>https://audio.iskcondesiretree.com/05_-_ISKCON_Chowpatty/00_-_Bhajans/04_-_Bhajans_by_Jai_Sachinanadana_%20Prabhu/03%20-%20Songs%20by%20Bhaktivinoda%20Thakura/IDT_-_Gopinatha_-_By_Jai_Sachinanadana_Pr.mp3</t>
  </si>
  <si>
    <t>Gurudev Boro Kripa Kori</t>
  </si>
  <si>
    <t>https://audio.iskcondesiretree.com/05_-_ISKCON_Chowpatty/00_-_Bhajans/04_-_Bhajans_by_Jai_Sachinanadana_%20Prabhu/03%20-%20Songs%20by%20Bhaktivinoda%20Thakura/IDT_-_Gurudev_Boro_Kripa_Kori_-_By_Jai_Sachinanadana_Pr.mp3</t>
  </si>
  <si>
    <t>Gurudev Kripa Bindu Diya</t>
  </si>
  <si>
    <t>https://audio.iskcondesiretree.com/05_-_ISKCON_Chowpatty/00_-_Bhajans/04_-_Bhajans_by_Jai_Sachinanadana_%20Prabhu/03%20-%20Songs%20by%20Bhaktivinoda%20Thakura/IDT_-_Gurudev_Kripa_Bindu_Diya_-_By_Jai_Sachinanadana_Pr.mp3</t>
  </si>
  <si>
    <t>Gurudeva Vraja Vane</t>
  </si>
  <si>
    <t>https://audio.iskcondesiretree.com/05_-_ISKCON_Chowpatty/00_-_Bhajans/04_-_Bhajans_by_Jai_Sachinanadana_%20Prabhu/03%20-%20Songs%20by%20Bhaktivinoda%20Thakura/IDT_-_Gurudeva_Vraja_Vane_-_By_Jai_Sachinanadana_Pr.mp3</t>
  </si>
  <si>
    <t>Hari Bolo Hari Bolo</t>
  </si>
  <si>
    <t>https://audio.iskcondesiretree.com/05_-_ISKCON_Chowpatty/00_-_Bhajans/04_-_Bhajans_by_Jai_Sachinanadana_%20Prabhu/03%20-%20Songs%20by%20Bhaktivinoda%20Thakura/IDT_-_Hari_Bolo_Hari_Bolo_-_By_Jai_Sachinanadana_Pr.mp3</t>
  </si>
  <si>
    <t>Hari Hari Kabe Mora Habe Heno Dina</t>
  </si>
  <si>
    <t>https://audio.iskcondesiretree.com/05_-_ISKCON_Chowpatty/00_-_Bhajans/04_-_Bhajans_by_Jai_Sachinanadana_%20Prabhu/03%20-%20Songs%20by%20Bhaktivinoda%20Thakura/IDT_-_Hari_Hari_Kabe_Mora_Habe_Heno_Dina_-_By_Jai_Sachinanadana_Pr.mp3</t>
  </si>
  <si>
    <t>Jaya Jaya Radha Krsna Yugala Milan</t>
  </si>
  <si>
    <t>https://audio.iskcondesiretree.com/05_-_ISKCON_Chowpatty/00_-_Bhajans/04_-_Bhajans_by_Jai_Sachinanadana_%20Prabhu/03%20-%20Songs%20by%20Bhaktivinoda%20Thakura/IDT_-_Jaya_Jaya_Radha_Krsna_Yugala_Milan_-_By_Jai_Sachinanadana_Pr.mp3</t>
  </si>
  <si>
    <t>Jiva Jago</t>
  </si>
  <si>
    <t>https://audio.iskcondesiretree.com/05_-_ISKCON_Chowpatty/00_-_Bhajans/04_-_Bhajans_by_Jai_Sachinanadana_%20Prabhu/03%20-%20Songs%20by%20Bhaktivinoda%20Thakura/IDT_-_Jiva_Jago_-_By_Jai_Sachinanadana_Pr.mp3</t>
  </si>
  <si>
    <t>Kabe Gaura Vane</t>
  </si>
  <si>
    <t>https://audio.iskcondesiretree.com/05_-_ISKCON_Chowpatty/00_-_Bhajans/04_-_Bhajans_by_Jai_Sachinanadana_%20Prabhu/03%20-%20Songs%20by%20Bhaktivinoda%20Thakura/IDT_-_Kabe_Gaura_Vane_-_By_Jai_Sachinanadana_Pr.mp3</t>
  </si>
  <si>
    <t>Kabe Habe Bolo</t>
  </si>
  <si>
    <t>https://audio.iskcondesiretree.com/05_-_ISKCON_Chowpatty/00_-_Bhajans/04_-_Bhajans_by_Jai_Sachinanadana_%20Prabhu/03%20-%20Songs%20by%20Bhaktivinoda%20Thakura/IDT_-_Kabe_Habe_Bolo_-_By_Jai_Sachinanadana_Pr.mp3</t>
  </si>
  <si>
    <t>Kabe Habe Heno Dasha Mora</t>
  </si>
  <si>
    <t>https://audio.iskcondesiretree.com/05_-_ISKCON_Chowpatty/00_-_Bhajans/04_-_Bhajans_by_Jai_Sachinanadana_%20Prabhu/03%20-%20Songs%20by%20Bhaktivinoda%20Thakura/IDT_-_Kabe_Habe_Heno_Dasha_Mora_-_By_Jai_Sachinanadana_Pr.mp3</t>
  </si>
  <si>
    <t>Kabe Moi Vaishnava Cinibo Hari Hari</t>
  </si>
  <si>
    <t>https://audio.iskcondesiretree.com/05_-_ISKCON_Chowpatty/00_-_Bhajans/04_-_Bhajans_by_Jai_Sachinanadana_%20Prabhu/03%20-%20Songs%20by%20Bhaktivinoda%20Thakura/IDT_-_Kabe_Moi_Vaishnava_Cinibo_Hari_Hari_-_By_Jai_Sachinanadana_Pr.mp3</t>
  </si>
  <si>
    <t>Kabe Sri Caitanya More</t>
  </si>
  <si>
    <t>https://audio.iskcondesiretree.com/05_-_ISKCON_Chowpatty/00_-_Bhajans/04_-_Bhajans_by_Jai_Sachinanadana_%20Prabhu/03%20-%20Songs%20by%20Bhaktivinoda%20Thakura/IDT_-_Kabe_Sri_Caitanya_More_-_By_Jai_Sachinanadana_Pr.mp3</t>
  </si>
  <si>
    <t>Kali Kukura Kadan</t>
  </si>
  <si>
    <t>https://audio.iskcondesiretree.com/05_-_ISKCON_Chowpatty/00_-_Bhajans/04_-_Bhajans_by_Jai_Sachinanadana_%20Prabhu/03%20-%20Songs%20by%20Bhaktivinoda%20Thakura/IDT_-_Kali_Kukura_Kadan_-_By_Jai_Sachinanadana_Pr.mp3</t>
  </si>
  <si>
    <t>Keno Hare Krsna Naam</t>
  </si>
  <si>
    <t>https://audio.iskcondesiretree.com/05_-_ISKCON_Chowpatty/00_-_Bhajans/04_-_Bhajans_by_Jai_Sachinanadana_%20Prabhu/03%20-%20Songs%20by%20Bhaktivinoda%20Thakura/IDT_-_Keno_Hare_Krsna_Naam_-_By_Jai_Sachinanadana_Pr.mp3</t>
  </si>
  <si>
    <t>Keshava! Tuwa Jagata Vichitra</t>
  </si>
  <si>
    <t>https://audio.iskcondesiretree.com/05_-_ISKCON_Chowpatty/00_-_Bhajans/04_-_Bhajans_by_Jai_Sachinanadana_%20Prabhu/03%20-%20Songs%20by%20Bhaktivinoda%20Thakura/IDT_-_Keshava%21_Tuwa_Jagata_Vichitra_-_By_Jai_Sachinanadana_Pr.mp3</t>
  </si>
  <si>
    <t>Ki Jani Ki Bale</t>
  </si>
  <si>
    <t>https://audio.iskcondesiretree.com/05_-_ISKCON_Chowpatty/00_-_Bhajans/04_-_Bhajans_by_Jai_Sachinanadana_%20Prabhu/03%20-%20Songs%20by%20Bhaktivinoda%20Thakura/IDT_-_Ki_Jani_Ki_Bale_-_By_Jai_Sachinanadana_Pr.mp3</t>
  </si>
  <si>
    <t>Kripa Koro Vaishnava Thakura</t>
  </si>
  <si>
    <t>https://audio.iskcondesiretree.com/05_-_ISKCON_Chowpatty/00_-_Bhajans/04_-_Bhajans_by_Jai_Sachinanadana_%20Prabhu/03%20-%20Songs%20by%20Bhaktivinoda%20Thakura/IDT_-_Kripa_Koro_Vaishnava_Thakura_-_By_Jai_Sachinanadana_Pr.mp3</t>
  </si>
  <si>
    <t>Mama Mana Mandire</t>
  </si>
  <si>
    <t>https://audio.iskcondesiretree.com/05_-_ISKCON_Chowpatty/00_-_Bhajans/04_-_Bhajans_by_Jai_Sachinanadana_%20Prabhu/03%20-%20Songs%20by%20Bhaktivinoda%20Thakura/IDT_-_Mama_Mana_Mandire_-_By_Jai_Sachinanadana_Pr.mp3</t>
  </si>
  <si>
    <t>Manasa Deho Geho</t>
  </si>
  <si>
    <t>https://audio.iskcondesiretree.com/05_-_ISKCON_Chowpatty/00_-_Bhajans/04_-_Bhajans_by_Jai_Sachinanadana_%20Prabhu/03%20-%20Songs%20by%20Bhaktivinoda%20Thakura/IDT_-_Manasa_Deho_Geho_-_By_Jai_Sachinanadana_Pr.mp3</t>
  </si>
  <si>
    <t>Nadiya Godrume</t>
  </si>
  <si>
    <t>https://audio.iskcondesiretree.com/05_-_ISKCON_Chowpatty/00_-_Bhajans/04_-_Bhajans_by_Jai_Sachinanadana_%20Prabhu/03%20-%20Songs%20by%20Bhaktivinoda%20Thakura/IDT_-_Nadiya_Godrume_-_By_Jai_Sachinanadana_Pr.mp3</t>
  </si>
  <si>
    <t>Narada Muni Bajaye Vina</t>
  </si>
  <si>
    <t>https://audio.iskcondesiretree.com/05_-_ISKCON_Chowpatty/00_-_Bhajans/04_-_Bhajans_by_Jai_Sachinanadana_%20Prabhu/03%20-%20Songs%20by%20Bhaktivinoda%20Thakura/IDT_-_Narada_Muni_Bajaye_Vina_-_By_Jai_Sachinanadana_Pr.mp3</t>
  </si>
  <si>
    <t>Nija Karma Dosha Phale</t>
  </si>
  <si>
    <t>https://audio.iskcondesiretree.com/05_-_ISKCON_Chowpatty/00_-_Bhajans/04_-_Bhajans_by_Jai_Sachinanadana_%20Prabhu/03%20-%20Songs%20by%20Bhaktivinoda%20Thakura/IDT_-_Nija_Karma_Dosha_Phale_-_By_Jai_Sachinanadana_Pr.mp3</t>
  </si>
  <si>
    <t>Nitai Nam Hate O Ke Jabire Bhai</t>
  </si>
  <si>
    <t>https://audio.iskcondesiretree.com/05_-_ISKCON_Chowpatty/00_-_Bhajans/04_-_Bhajans_by_Jai_Sachinanadana_%20Prabhu/03%20-%20Songs%20by%20Bhaktivinoda%20Thakura/IDT_-_Nitai_Nam_Hate_O_Ke_Jabire_Bhai_-_By_Jai_Sachinanadana_Pr.mp3</t>
  </si>
  <si>
    <t>Ohe! Vaishnava Thakura</t>
  </si>
  <si>
    <t>https://audio.iskcondesiretree.com/05_-_ISKCON_Chowpatty/00_-_Bhajans/04_-_Bhajans_by_Jai_Sachinanadana_%20Prabhu/03%20-%20Songs%20by%20Bhaktivinoda%20Thakura/IDT_-_Ohe%21_Vaishnava_Thakura_-_By_Jai_Sachinanadana_Pr.mp3</t>
  </si>
  <si>
    <t>Ore Mana! Bhalo Nahi Lage Ei Samsara</t>
  </si>
  <si>
    <t>https://audio.iskcondesiretree.com/05_-_ISKCON_Chowpatty/00_-_Bhajans/04_-_Bhajans_by_Jai_Sachinanadana_%20Prabhu/03%20-%20Songs%20by%20Bhaktivinoda%20Thakura/IDT_-_Ore_Mana%21_Bhalo_Nahi_Lage_Ei_Samsara_-_By_Jai_Sachinanadana_Pr.mp3</t>
  </si>
  <si>
    <t>Prabhu Tava Pada Yuge</t>
  </si>
  <si>
    <t>https://audio.iskcondesiretree.com/05_-_ISKCON_Chowpatty/00_-_Bhajans/04_-_Bhajans_by_Jai_Sachinanadana_%20Prabhu/03%20-%20Songs%20by%20Bhaktivinoda%20Thakura/IDT_-_Prabhu_Tava_Pada_Yuge_-_By_Jai_Sachinanadana_Pr.mp3</t>
  </si>
  <si>
    <t>Prapanche Poriya Agati</t>
  </si>
  <si>
    <t>https://audio.iskcondesiretree.com/05_-_ISKCON_Chowpatty/00_-_Bhajans/04_-_Bhajans_by_Jai_Sachinanadana_%20Prabhu/03%20-%20Songs%20by%20Bhaktivinoda%20Thakura/IDT_-_Prapanche_Poriya_Agati_-_By_Jai_Sachinanadana_Pr.mp3</t>
  </si>
  <si>
    <t>Radha Krsna Bol Bol</t>
  </si>
  <si>
    <t>https://audio.iskcondesiretree.com/05_-_ISKCON_Chowpatty/00_-_Bhajans/04_-_Bhajans_by_Jai_Sachinanadana_%20Prabhu/03%20-%20Songs%20by%20Bhaktivinoda%20Thakura/IDT_-_Radha_Krsna_Bol_Bol_-_By_Jai_Sachinanadana_Pr.mp3</t>
  </si>
  <si>
    <t>Radha Kunda Tata</t>
  </si>
  <si>
    <t>https://audio.iskcondesiretree.com/05_-_ISKCON_Chowpatty/00_-_Bhajans/04_-_Bhajans_by_Jai_Sachinanadana_%20Prabhu/03%20-%20Songs%20by%20Bhaktivinoda%20Thakura/IDT_-_Radha_Kunda_Tata_-_By_Jai_Sachinanadana_Pr.mp3</t>
  </si>
  <si>
    <t>Sarvasva Tomara Carane</t>
  </si>
  <si>
    <t>https://audio.iskcondesiretree.com/05_-_ISKCON_Chowpatty/00_-_Bhajans/04_-_Bhajans_by_Jai_Sachinanadana_%20Prabhu/03%20-%20Songs%20by%20Bhaktivinoda%20Thakura/IDT_-_Sarvasva_Tomara_Carane_-_By_Jai_Sachinanadana_Pr.mp3</t>
  </si>
  <si>
    <t>Sri Krsna Caitanya Prabhu Jive Doya Kori</t>
  </si>
  <si>
    <t>https://audio.iskcondesiretree.com/05_-_ISKCON_Chowpatty/00_-_Bhajans/04_-_Bhajans_by_Jai_Sachinanadana_%20Prabhu/03%20-%20Songs%20by%20Bhaktivinoda%20Thakura/IDT_-_Sri_Krsna_Caitanya_Prabhu_Jive_Doya_Kori_-_By_Jai_Sachinanadana_Pr.mp3</t>
  </si>
  <si>
    <t>Sri Krsna Sankirtane Jadi Manasa Tohara</t>
  </si>
  <si>
    <t>https://audio.iskcondesiretree.com/05_-_ISKCON_Chowpatty/00_-_Bhajans/04_-_Bhajans_by_Jai_Sachinanadana_%20Prabhu/03%20-%20Songs%20by%20Bhaktivinoda%20Thakura/IDT_-_Sri_Krsna_Sankirtane_Jadi_Manasa_Tohara_-_By_Jai_Sachinanadana_Pr.mp3</t>
  </si>
  <si>
    <t>Suddha Bakata Carana</t>
  </si>
  <si>
    <t>https://audio.iskcondesiretree.com/05_-_ISKCON_Chowpatty/00_-_Bhajans/04_-_Bhajans_by_Jai_Sachinanadana_%20Prabhu/03%20-%20Songs%20by%20Bhaktivinoda%20Thakura/IDT_-_Suddha_Bakata_Carana_-_By_Jai_Sachinanadana_Pr.mp3</t>
  </si>
  <si>
    <t>Tumi Sarvesvaresvara</t>
  </si>
  <si>
    <t>https://audio.iskcondesiretree.com/05_-_ISKCON_Chowpatty/00_-_Bhajans/04_-_Bhajans_by_Jai_Sachinanadana_%20Prabhu/03%20-%20Songs%20by%20Bhaktivinoda%20Thakura/IDT_-_Tumi_Sarvesvaresvara_-_By_Jai_Sachinanadana_Pr.mp3</t>
  </si>
  <si>
    <t>Udilo Aruna</t>
  </si>
  <si>
    <t>https://audio.iskcondesiretree.com/05_-_ISKCON_Chowpatty/00_-_Bhajans/04_-_Bhajans_by_Jai_Sachinanadana_%20Prabhu/03%20-%20Songs%20by%20Bhaktivinoda%20Thakura/IDT_-_Udilo_Aruna_-_By_Jai_Sachinanadana_Pr.mp3</t>
  </si>
  <si>
    <t>Vibhavari Sesa</t>
  </si>
  <si>
    <t>https://audio.iskcondesiretree.com/05_-_ISKCON_Chowpatty/00_-_Bhajans/04_-_Bhajans_by_Jai_Sachinanadana_%20Prabhu/03%20-%20Songs%20by%20Bhaktivinoda%20Thakura/IDT_-_Vibhavari_Sesa_-_By_Jai_Sachinanadana_Pr.mp3</t>
  </si>
  <si>
    <t>Vidyara Vilase</t>
  </si>
  <si>
    <t>https://audio.iskcondesiretree.com/05_-_ISKCON_Chowpatty/00_-_Bhajans/04_-_Bhajans_by_Jai_Sachinanadana_%20Prabhu/03%20-%20Songs%20by%20Bhaktivinoda%20Thakura/IDT_-_Vidyara_Vilase_-_By_Jai_Sachinanadana_Pr.mp3</t>
  </si>
  <si>
    <t>Yadi Te Hari Pada Saroja Sudha</t>
  </si>
  <si>
    <t>https://audio.iskcondesiretree.com/05_-_ISKCON_Chowpatty/00_-_Bhajans/04_-_Bhajans_by_Jai_Sachinanadana_%20Prabhu/03%20-%20Songs%20by%20Bhaktivinoda%20Thakura/IDT_-_Yadi_Te_Hari_Pada_Saroja_Sudha_-_By_Jai_Sachinanadana_Pr.mp3</t>
  </si>
  <si>
    <t>Yasomati Nandana</t>
  </si>
  <si>
    <t>https://audio.iskcondesiretree.com/05_-_ISKCON_Chowpatty/00_-_Bhajans/04_-_Bhajans_by_Jai_Sachinanadana_%20Prabhu/03%20-%20Songs%20by%20Bhaktivinoda%20Thakura/IDT_-_Yasomati_Nandana_-_By_Jai_Sachinanadana_Pr.mp3</t>
  </si>
  <si>
    <t>Are Bhai Bhaja Mora Gauranga</t>
  </si>
  <si>
    <t>https://audio.iskcondesiretree.com/05_-_ISKCON_Chowpatty/00_-_Bhajans/04_-_Bhajans_by_Jai_Sachinanadana_%20Prabhu/04%20-%20Songs%20by%20Narottama%20Das%20Thakura/IDT_-_Are_Bhai_Bhaja_Mora_Gauranga_-_By_Jai_Sachinanadana_Pr.mp3</t>
  </si>
  <si>
    <t>Dhana Mora Nityananda</t>
  </si>
  <si>
    <t>https://audio.iskcondesiretree.com/05_-_ISKCON_Chowpatty/00_-_Bhajans/04_-_Bhajans_by_Jai_Sachinanadana_%20Prabhu/04%20-%20Songs%20by%20Narottama%20Das%20Thakura/IDT_-_Dhana_Mora_Nityananda_-_By_Jai_Sachinanadana_Pr.mp3</t>
  </si>
  <si>
    <t>Ei Boro Koruna Koro</t>
  </si>
  <si>
    <t>https://audio.iskcondesiretree.com/05_-_ISKCON_Chowpatty/00_-_Bhajans/04_-_Bhajans_by_Jai_Sachinanadana_%20Prabhu/04%20-%20Songs%20by%20Narottama%20Das%20Thakura/IDT_-_Ei_Boro_Koruna_Koro_-_By_Jai_Sachinanadana_Pr.mp3</t>
  </si>
  <si>
    <t>Gaura Pahun</t>
  </si>
  <si>
    <t>https://audio.iskcondesiretree.com/05_-_ISKCON_Chowpatty/00_-_Bhajans/04_-_Bhajans_by_Jai_Sachinanadana_%20Prabhu/04%20-%20Songs%20by%20Narottama%20Das%20Thakura/IDT_-_Gaura_Pahun_-_By_Jai_Sachinanadana_Pr.mp3</t>
  </si>
  <si>
    <t>Gauranga Bolite Habe</t>
  </si>
  <si>
    <t>https://audio.iskcondesiretree.com/05_-_ISKCON_Chowpatty/00_-_Bhajans/04_-_Bhajans_by_Jai_Sachinanadana_%20Prabhu/04%20-%20Songs%20by%20Narottama%20Das%20Thakura/IDT_-_Gauranga_Bolite_Habe_-_By_Jai_Sachinanadana_Pr.mp3</t>
  </si>
  <si>
    <t>Gauranga Koruna Koro</t>
  </si>
  <si>
    <t>https://audio.iskcondesiretree.com/05_-_ISKCON_Chowpatty/00_-_Bhajans/04_-_Bhajans_by_Jai_Sachinanadana_%20Prabhu/04%20-%20Songs%20by%20Narottama%20Das%20Thakura/IDT_-_Gauranga_Koruna_Koro_-_By_Jai_Sachinanadana_Pr.mp3</t>
  </si>
  <si>
    <t>Gaurangera Duti Pada</t>
  </si>
  <si>
    <t>https://audio.iskcondesiretree.com/05_-_ISKCON_Chowpatty/00_-_Bhajans/04_-_Bhajans_by_Jai_Sachinanadana_%20Prabhu/04%20-%20Songs%20by%20Narottama%20Das%20Thakura/IDT_-_Gaurangera_Duti_Pada_-_By_Jai_Sachinanadana_Pr.mp3</t>
  </si>
  <si>
    <t>Hari Haraya Namah</t>
  </si>
  <si>
    <t>https://audio.iskcondesiretree.com/05_-_ISKCON_Chowpatty/00_-_Bhajans/04_-_Bhajans_by_Jai_Sachinanadana_%20Prabhu/04%20-%20Songs%20by%20Narottama%20Das%20Thakura/IDT_-_Hari_Haraya_Namah_-_By_Jai_Sachinanadana_Pr.mp3</t>
  </si>
  <si>
    <t>Hari Hari Bifale Janama</t>
  </si>
  <si>
    <t>https://audio.iskcondesiretree.com/05_-_ISKCON_Chowpatty/00_-_Bhajans/04_-_Bhajans_by_Jai_Sachinanadana_%20Prabhu/04%20-%20Songs%20by%20Narottama%20Das%20Thakura/IDT_-_Hari_Hari_Bifale_Janama_-_By_Jai_Sachinanadana_Pr.mp3</t>
  </si>
  <si>
    <t>Hari Hari Kabe Mora</t>
  </si>
  <si>
    <t>https://audio.iskcondesiretree.com/05_-_ISKCON_Chowpatty/00_-_Bhajans/04_-_Bhajans_by_Jai_Sachinanadana_%20Prabhu/04%20-%20Songs%20by%20Narottama%20Das%20Thakura/IDT_-_Hari_Hari_Kabe_Mora_-_By_Jai_Sachinanadana_Pr.mp3</t>
  </si>
  <si>
    <t>Jaya Jaya Sri Krsna Caitanya Nityananda</t>
  </si>
  <si>
    <t>https://audio.iskcondesiretree.com/05_-_ISKCON_Chowpatty/00_-_Bhajans/04_-_Bhajans_by_Jai_Sachinanadana_%20Prabhu/04%20-%20Songs%20by%20Narottama%20Das%20Thakura/IDT_-_Jaya_Jaya_Sri_Krsna_Caitanya_Nityananda_-_By_Jai_Sachinanadana_Pr.mp3</t>
  </si>
  <si>
    <t>Je Anilo Prema Dhana</t>
  </si>
  <si>
    <t>https://audio.iskcondesiretree.com/05_-_ISKCON_Chowpatty/00_-_Bhajans/04_-_Bhajans_by_Jai_Sachinanadana_%20Prabhu/04%20-%20Songs%20by%20Narottama%20Das%20Thakura/IDT_-_Je_Anilo_Prema_Dhana_-_By_Jai_Sachinanadana_Pr.mp3</t>
  </si>
  <si>
    <t>Ki Rupe Paibo Seba</t>
  </si>
  <si>
    <t>https://audio.iskcondesiretree.com/05_-_ISKCON_Chowpatty/00_-_Bhajans/04_-_Bhajans_by_Jai_Sachinanadana_%20Prabhu/04%20-%20Songs%20by%20Narottama%20Das%20Thakura/IDT_-_Ki_Rupe_Paibo_Seba_-_By_Jai_Sachinanadana_Pr.mp3</t>
  </si>
  <si>
    <t>Kusumita Vrindavane</t>
  </si>
  <si>
    <t>https://audio.iskcondesiretree.com/05_-_ISKCON_Chowpatty/00_-_Bhajans/04_-_Bhajans_by_Jai_Sachinanadana_%20Prabhu/04%20-%20Songs%20by%20Narottama%20Das%20Thakura/IDT_-_Kusumita_Vrindavane_-_By_Jai_Sachinanadana_Pr.mp3</t>
  </si>
  <si>
    <t>Nitai Pada Kamala</t>
  </si>
  <si>
    <t>https://audio.iskcondesiretree.com/05_-_ISKCON_Chowpatty/00_-_Bhajans/04_-_Bhajans_by_Jai_Sachinanadana_%20Prabhu/04%20-%20Songs%20by%20Narottama%20Das%20Thakura/IDT_-_Nitai_Pada_Kamala_-_By_Jai_Sachinanadana_Pr.mp3</t>
  </si>
  <si>
    <t>Radha Krsna Prana Mora</t>
  </si>
  <si>
    <t>https://audio.iskcondesiretree.com/05_-_ISKCON_Chowpatty/00_-_Bhajans/04_-_Bhajans_by_Jai_Sachinanadana_%20Prabhu/04%20-%20Songs%20by%20Narottama%20Das%20Thakura/IDT_-_Radha_Krsna_Prana_Mora_-_By_Jai_Sachinanadana_Pr.mp3</t>
  </si>
  <si>
    <t>Sri Krsna Caitanya Prabhu</t>
  </si>
  <si>
    <t>https://audio.iskcondesiretree.com/05_-_ISKCON_Chowpatty/00_-_Bhajans/04_-_Bhajans_by_Jai_Sachinanadana_%20Prabhu/04%20-%20Songs%20by%20Narottama%20Das%20Thakura/IDT_-_Sri_Krsna_Caitanya_Prabhu_-_By_Jai_Sachinanadana_Pr.mp3</t>
  </si>
  <si>
    <t>Sri Rupa Manajari Pada</t>
  </si>
  <si>
    <t>https://audio.iskcondesiretree.com/05_-_ISKCON_Chowpatty/00_-_Bhajans/04_-_Bhajans_by_Jai_Sachinanadana_%20Prabhu/04%20-%20Songs%20by%20Narottama%20Das%20Thakura/IDT_-_Sri_Rupa_Manajari_Pada_-_By_Jai_Sachinanadana_Pr.mp3</t>
  </si>
  <si>
    <t>Suniyache Sadhu Mukhe</t>
  </si>
  <si>
    <t>https://audio.iskcondesiretree.com/05_-_ISKCON_Chowpatty/00_-_Bhajans/04_-_Bhajans_by_Jai_Sachinanadana_%20Prabhu/04%20-%20Songs%20by%20Narottama%20Das%20Thakura/IDT_-_Suniyache_Sadhu_Mukhe_-_By_Jai_Sachinanadana_Pr.mp3</t>
  </si>
  <si>
    <t>Thakura Vaishnava Gana</t>
  </si>
  <si>
    <t>https://audio.iskcondesiretree.com/05_-_ISKCON_Chowpatty/00_-_Bhajans/04_-_Bhajans_by_Jai_Sachinanadana_%20Prabhu/04%20-%20Songs%20by%20Narottama%20Das%20Thakura/IDT_-_Thakura_Vaishnava_Gana_-_By_Jai_Sachinanadana_Pr.mp3</t>
  </si>
  <si>
    <t>Thakura Vaishnava Pada</t>
  </si>
  <si>
    <t>https://audio.iskcondesiretree.com/05_-_ISKCON_Chowpatty/00_-_Bhajans/04_-_Bhajans_by_Jai_Sachinanadana_%20Prabhu/04%20-%20Songs%20by%20Narottama%20Das%20Thakura/IDT_-_Thakura_Vaishnava_Pada_-_By_Jai_Sachinanadana_Pr.mp3</t>
  </si>
  <si>
    <t>Vrndavana Ramya Sthana</t>
  </si>
  <si>
    <t>https://audio.iskcondesiretree.com/05_-_ISKCON_Chowpatty/00_-_Bhajans/04_-_Bhajans_by_Jai_Sachinanadana_%20Prabhu/04%20-%20Songs%20by%20Narottama%20Das%20Thakura/IDT_-_Vrndavana_Ramya_Sthana_-_By_Jai_Sachinanadana_Pr.mp3</t>
  </si>
  <si>
    <t>Dushta Mana Tumi Kisera Vaishnava</t>
  </si>
  <si>
    <t>https://audio.iskcondesiretree.com/05_-_ISKCON_Chowpatty/00_-_Bhajans/04_-_Bhajans_by_Jai_Sachinanadana_%20Prabhu/07%20-%20Songs%20by%20Bhaktisiddhanta%20Saraswati%20Thakur/IDT_-_Dushta_Mana_Tumi_Kisera_Vaishnava_-_By_Jai_Sachinanadana_Pr.mp3</t>
  </si>
  <si>
    <t>Krsna Hoite Catur Mukha</t>
  </si>
  <si>
    <t>https://audio.iskcondesiretree.com/05_-_ISKCON_Chowpatty/00_-_Bhajans/04_-_Bhajans_by_Jai_Sachinanadana_%20Prabhu/07%20-%20Songs%20by%20Bhaktisiddhanta%20Saraswati%20Thakur/IDT_-_Krsna_Hoite_Catur_Mukha_-_By_Jai_Sachinanadana_Pr.mp3</t>
  </si>
  <si>
    <t>Bhratur Antakasya Pattane</t>
  </si>
  <si>
    <t>https://audio.iskcondesiretree.com/05_-_ISKCON_Chowpatty/00_-_Bhajans/04_-_Bhajans_by_Jai_Sachinanadana_%20Prabhu/11%20-%20Songs%20by%20Rupa%20Goswami/IDT_-_Bhratur_Antakasya_Pattane_-_By_Jai_Sachinanadana_Pr.mp3</t>
  </si>
  <si>
    <t>Krsna Deva Bhavantam Vande</t>
  </si>
  <si>
    <t>https://audio.iskcondesiretree.com/05_-_ISKCON_Chowpatty/00_-_Bhajans/04_-_Bhajans_by_Jai_Sachinanadana_%20Prabhu/11%20-%20Songs%20by%20Rupa%20Goswami/IDT_-_Krsna_Deva_Bhavantam_Vande_-_By_Jai_Sachinanadana_Pr.mp3</t>
  </si>
  <si>
    <t>Radhe Jaya Jaya Madhava Dayite</t>
  </si>
  <si>
    <t>https://audio.iskcondesiretree.com/05_-_ISKCON_Chowpatty/00_-_Bhajans/04_-_Bhajans_by_Jai_Sachinanadana_%20Prabhu/11%20-%20Songs%20by%20Rupa%20Goswami/IDT_-_Radhe_Jaya_Jaya_Madhava_Dayite_-_By_Jai_Sachinanadana_Pr.mp3</t>
  </si>
  <si>
    <t>Sakhe Kalaya Gauram Udaram</t>
  </si>
  <si>
    <t>https://audio.iskcondesiretree.com/05_-_ISKCON_Chowpatty/00_-_Bhajans/04_-_Bhajans_by_Jai_Sachinanadana_%20Prabhu/11%20-%20Songs%20by%20Rupa%20Goswami/IDT_-_Sakhe_Kalaya_Gauram_Udaram_-_By_Jai_Sachinanadana_Pr.mp3</t>
  </si>
  <si>
    <t>Sri Sadgoswami Ashtakam</t>
  </si>
  <si>
    <t>https://audio.iskcondesiretree.com/05_-_ISKCON_Chowpatty/00_-_Bhajans/04_-_Bhajans_by_Jai_Sachinanadana_%20Prabhu/18%20-%20Songs%20by%20Srinivasa%20Acarya/IDT_-_Sri_Sadgoswami_Ashtakam_-_By_Jai_Sachinanadana_Pr.mp3</t>
  </si>
  <si>
    <t>Bhaja Hu Re Mana</t>
  </si>
  <si>
    <t>https://audio.iskcondesiretree.com/05_-_ISKCON_Chowpatty/00_-_Bhajans/04_-_Bhajans_by_Jai_Sachinanadana_%20Prabhu/19%20-%20Songs%20by%20Govinda%20Das%20Kaviraja/IDT_-_Bhaja_Hu_Re_Mana_-_By_Jai_Sachinanadana_Pr.mp3</t>
  </si>
  <si>
    <t>Hunkara Garjanadi (Sri Advaitashtakam)</t>
  </si>
  <si>
    <t>https://audio.iskcondesiretree.com/05_-_ISKCON_Chowpatty/00_-_Bhajans/04_-_Bhajans_by_Jai_Sachinanadana_%20Prabhu/15%20-%20Songs%20by%20Sarvabhauma%20Bhattacarya/IDT_-_Hunkara_Garjanadi_%28Sri_Advaitashtakam%29_-_By_Jai_Sachinanadana_Pr.mp3</t>
  </si>
  <si>
    <t>Nava Gaura Varam</t>
  </si>
  <si>
    <t>https://audio.iskcondesiretree.com/05_-_ISKCON_Chowpatty/00_-_Bhajans/04_-_Bhajans_by_Jai_Sachinanadana_%20Prabhu/15%20-%20Songs%20by%20Sarvabhauma%20Bhattacarya/IDT_-_Nava_Gaura_Varam_-_By_Jai_Sachinanadana_Pr.mp3</t>
  </si>
  <si>
    <t>Ujjvala Varana</t>
  </si>
  <si>
    <t>https://audio.iskcondesiretree.com/05_-_ISKCON_Chowpatty/00_-_Bhajans/04_-_Bhajans_by_Jai_Sachinanadana_%20Prabhu/15%20-%20Songs%20by%20Sarvabhauma%20Bhattacarya/IDT_-_Ujjvala_Varana_-_By_Jai_Sachinanadana_Pr.mp3</t>
  </si>
  <si>
    <t>Vraje Prasiddham Navanita Cauram</t>
  </si>
  <si>
    <t>https://audio.iskcondesiretree.com/05_-_ISKCON_Chowpatty/00_-_Bhajans/04_-_Bhajans_by_Jai_Sachinanadana_%20Prabhu/22%20-%20Songs%20by%20Bilvamangala%20Thakura/IDT_-_Vraje_Prasiddham_Navanita_Cauram_-_By_Jai_Sachinanadana_Pr.mp3</t>
  </si>
  <si>
    <t>Boro Kripa Koile Krsna</t>
  </si>
  <si>
    <t>https://audio.iskcondesiretree.com/05_-_ISKCON_Chowpatty/00_-_Bhajans/04_-_Bhajans_by_Jai_Sachinanadana_%20Prabhu/05%20-%20Songs%20by%20A%20C%20Bhaktivedanta%20Swami%20Prabhupada/IDT_-_Boro_Kripa_Koile_Krsna_-_By_Jai_Sachinanadana_Pr.mp3</t>
  </si>
  <si>
    <t>Krsna Taba Punya Habe Bhai</t>
  </si>
  <si>
    <t>https://audio.iskcondesiretree.com/05_-_ISKCON_Chowpatty/00_-_Bhajans/04_-_Bhajans_by_Jai_Sachinanadana_%20Prabhu/05%20-%20Songs%20by%20A%20C%20Bhaktivedanta%20Swami%20Prabhupada/IDT_-_Krsna_Taba_Punya_Habe_Bhai_-_By_Jai_Sachinanadana_Pr.mp3</t>
  </si>
  <si>
    <t>He Govinda He Gopal</t>
  </si>
  <si>
    <t>https://audio.iskcondesiretree.com/05_-_ISKCON_Chowpatty/00_-_Bhajans/04_-_Bhajans_by_Jai_Sachinanadana_%20Prabhu/13%20-%20Songs%20by%20Jayadeva%20Goswami/IDT_-_He_Govinda_He_Gopal_-_By_Jai_Sachinanadana_Pr.mp3</t>
  </si>
  <si>
    <t>Pralayapayodhi Jale</t>
  </si>
  <si>
    <t>https://audio.iskcondesiretree.com/05_-_ISKCON_Chowpatty/00_-_Bhajans/04_-_Bhajans_by_Jai_Sachinanadana_%20Prabhu/13%20-%20Songs%20by%20Jayadeva%20Goswami/IDT_-_Pralayapayodhi_Jale_-_By_Jai_Sachinanadana_Pr.mp3</t>
  </si>
  <si>
    <t>Srita Kamala Kuca Mandala</t>
  </si>
  <si>
    <t>https://audio.iskcondesiretree.com/05_-_ISKCON_Chowpatty/00_-_Bhajans/04_-_Bhajans_by_Jai_Sachinanadana_%20Prabhu/13%20-%20Songs%20by%20Jayadeva%20Goswami/IDT_-_Srita_Kamala_Kuca_Mandala_-_By_Jai_Sachinanadana_Pr.mp3</t>
  </si>
  <si>
    <t>Madana Mohana Tanu</t>
  </si>
  <si>
    <t>https://audio.iskcondesiretree.com/05_-_ISKCON_Chowpatty/00_-_Bhajans/04_-_Bhajans_by_Jai_Sachinanadana_%20Prabhu/16%20-%20Songs%20by%20Vrndavana%20Das%20Thakura/IDT_-_Madana_Mohana_Tanu_-_By_Jai_Sachinanadana_Pr.mp3</t>
  </si>
  <si>
    <t>Sri Hari Vasare Hari Kirtana Vidhana</t>
  </si>
  <si>
    <t>https://audio.iskcondesiretree.com/05_-_ISKCON_Chowpatty/00_-_Bhajans/04_-_Bhajans_by_Jai_Sachinanadana_%20Prabhu/16%20-%20Songs%20by%20Vrndavana%20Das%20Thakura/IDT_-_Sri_Hari_Vasare_Hari_Kirtana_Vidhana_-_By_Jai_Sachinanadana_Pr.mp3</t>
  </si>
  <si>
    <t>Krsna Prema Mayi Radha</t>
  </si>
  <si>
    <t>https://audio.iskcondesiretree.com/05_-_ISKCON_Chowpatty/00_-_Bhajans/04_-_Bhajans_by_Jai_Sachinanadana_%20Prabhu/14%20-%20Songs%20by%20Jiva%20Goswami/IDT_-_Krsna_Prema_Mayi_Radha_-_By_Jai_Sachinanadana_Pr.mp3</t>
  </si>
  <si>
    <t>Gurau Goshte Goshtalayisu</t>
  </si>
  <si>
    <t>https://audio.iskcondesiretree.com/05_-_ISKCON_Chowpatty/00_-_Bhajans/04_-_Bhajans_by_Jai_Sachinanadana_%20Prabhu/17%20-%20Songs%20by%20Raghunatha%20Dasa%20Goswami/IDT_-_Gurau_Goshte_Goshtalayisu_-_By_Jai_Sachinanadana_Pr.mp3</t>
  </si>
  <si>
    <t>Nija Pati Bhuja Danda</t>
  </si>
  <si>
    <t>https://audio.iskcondesiretree.com/05_-_ISKCON_Chowpatty/00_-_Bhajans/04_-_Bhajans_by_Jai_Sachinanadana_%20Prabhu/17%20-%20Songs%20by%20Raghunatha%20Dasa%20Goswami/IDT_-_Nija_Pati_Bhuja_Danda_-_By_Jai_Sachinanadana_Pr.mp3</t>
  </si>
  <si>
    <t>Devi Suresvari Bhagavati Gange</t>
  </si>
  <si>
    <t>https://audio.iskcondesiretree.com/05_-_ISKCON_Chowpatty/00_-_Bhajans/04_-_Bhajans_by_Jai_Sachinanadana_%20Prabhu/21%20-%20Songs%20by%20Adi%20Sankaracarya/IDT_-_Devi_Suresvari_Bhagavati_Gange_-_By_Jai_Sachinanadana_Pr.mp3</t>
  </si>
  <si>
    <t>Kadacit Kalindi Tata</t>
  </si>
  <si>
    <t>https://audio.iskcondesiretree.com/05_-_ISKCON_Chowpatty/00_-_Bhajans/04_-_Bhajans_by_Jai_Sachinanadana_%20Prabhu/21%20-%20Songs%20by%20Adi%20Sankaracarya/IDT_-_Kadacit_Kalindi_Tata_-_By_Jai_Sachinanadana_Pr.mp3</t>
  </si>
  <si>
    <t>Gangeya Campeya</t>
  </si>
  <si>
    <t>https://audio.iskcondesiretree.com/05_-_ISKCON_Chowpatty/00_-_Bhajans/04_-_Bhajans_by_Jai_Sachinanadana_%20Prabhu/09%20-%20Songs%20by%20Visvanatha%20Cakravarti%20Thakura/IDT_-_Gangeya_Campeya_-_By_Jai_Sachinanadana_Pr.mp3</t>
  </si>
  <si>
    <t>Na Yoga Siddhir Na Mamastu Moksham</t>
  </si>
  <si>
    <t>https://audio.iskcondesiretree.com/05_-_ISKCON_Chowpatty/00_-_Bhajans/04_-_Bhajans_by_Jai_Sachinanadana_%20Prabhu/09%20-%20Songs%20by%20Visvanatha%20Cakravarti%20Thakura/IDT_-_Na_Yoga_Siddhir_Na_Mamastu_Moksham_-_By_Jai_Sachinanadana_Pr.mp3</t>
  </si>
  <si>
    <t>BG 15-07 - 09-05-10.mp3</t>
  </si>
  <si>
    <t>https://audio.iskcondesiretree.com/02_-_ISKCON_Swamis/ISKCON_Swamis_-_A_to_C/His_Holiness_Bhakti_Rasamrita_Swami/English_Lectures/Bhagavad_Gita/Chapter-15/BRasamritaSw_BG_15-07_-_09-05-10.mp3.mp3</t>
  </si>
  <si>
    <t>BG 15-15</t>
  </si>
  <si>
    <t>https://audio.iskcondesiretree.com/02_-_ISKCON_Swamis/ISKCON_Swamis_-_A_to_C/His_Holiness_Bhakti_Rasamrita_Swami/English_Lectures/Bhagavad_Gita/Chapter-15/BRasamritaSw_BG_15-15.mp3</t>
  </si>
  <si>
    <t>BG 15-16</t>
  </si>
  <si>
    <t>https://audio.iskcondesiretree.com/02_-_ISKCON_Swamis/ISKCON_Swamis_-_A_to_C/His_Holiness_Bhakti_Rasamrita_Swami/English_Lectures/Bhagavad_Gita/Chapter-15/BRasamritaSw_BG_15-16.mp3</t>
  </si>
  <si>
    <t>BG 15-18 - 2003-09-18</t>
  </si>
  <si>
    <t>https://audio.iskcondesiretree.com/02_-_ISKCON_Swamis/ISKCON_Swamis_-_A_to_C/His_Holiness_Bhakti_Rasamrita_Swami/English_Lectures/Bhagavad_Gita/Chapter-15/BRasamritaSw_BG_15-18_-_2003-09-18.mp3</t>
  </si>
  <si>
    <t>BG 15-20 - Gita Jayanti Class - 2020-12-25 Belgaum</t>
  </si>
  <si>
    <t>https://audio.iskcondesiretree.com/02_-_ISKCON_Swamis/ISKCON_Swamis_-_A_to_C/His_Holiness_Bhakti_Rasamrita_Swami/English_Lectures/Bhagavad_Gita/Chapter-15/BRasamritaSw_BG_15-20_-_Gita_Jayanti_Class_-_2020-12-25_Belgaum.mp3</t>
  </si>
  <si>
    <t>BG 11-15-17</t>
  </si>
  <si>
    <t>https://audio.iskcondesiretree.com/02_-_ISKCON_Swamis/ISKCON_Swamis_-_A_to_C/His_Holiness_Bhakti_Rasamrita_Swami/English_Lectures/Bhagavad_Gita/Chapter-11/BRasamritaSw_BG_11-15-17.mp3</t>
  </si>
  <si>
    <t>BG 11-37</t>
  </si>
  <si>
    <t>https://audio.iskcondesiretree.com/02_-_ISKCON_Swamis/ISKCON_Swamis_-_A_to_C/His_Holiness_Bhakti_Rasamrita_Swami/English_Lectures/Bhagavad_Gita/Chapter-11/BRasamritaSw_BG_11-37.mp3</t>
  </si>
  <si>
    <t>BG 11-55 - 2014-04-26 Kellyvelly</t>
  </si>
  <si>
    <t>https://audio.iskcondesiretree.com/02_-_ISKCON_Swamis/ISKCON_Swamis_-_A_to_C/His_Holiness_Bhakti_Rasamrita_Swami/English_Lectures/Bhagavad_Gita/Chapter-11/BRasamritaSw_BG_11-55_-_2014-04-26_Kellyvelly.mp3</t>
  </si>
  <si>
    <t>BG 18-65 - 2011-10-15 ISKCON Vrindavan</t>
  </si>
  <si>
    <t>https://audio.iskcondesiretree.com/02_-_ISKCON_Swamis/ISKCON_Swamis_-_A_to_C/His_Holiness_Bhakti_Rasamrita_Swami/English_Lectures/Bhagavad_Gita/Chapter-18/BRasamritaSw_BG_18-65_-_2011-10-15_ISKCON_Vrindavan.mp3</t>
  </si>
  <si>
    <t>BG 18-66</t>
  </si>
  <si>
    <t>https://audio.iskcondesiretree.com/02_-_ISKCON_Swamis/ISKCON_Swamis_-_A_to_C/His_Holiness_Bhakti_Rasamrita_Swami/English_Lectures/Bhagavad_Gita/Chapter-18/BRasamritaSw_BG_18-66.mp3</t>
  </si>
  <si>
    <t>BG 18-66 - Part-01 - 03-03-05</t>
  </si>
  <si>
    <t>https://audio.iskcondesiretree.com/02_-_ISKCON_Swamis/ISKCON_Swamis_-_A_to_C/His_Holiness_Bhakti_Rasamrita_Swami/English_Lectures/Bhagavad_Gita/Chapter-18/BRasamritaSw_BG_18-66_-_Part-01_-_03-03-05.mp3</t>
  </si>
  <si>
    <t>BG 18-66 - Part-02 - 03-03-05</t>
  </si>
  <si>
    <t>https://audio.iskcondesiretree.com/02_-_ISKCON_Swamis/ISKCON_Swamis_-_A_to_C/His_Holiness_Bhakti_Rasamrita_Swami/English_Lectures/Bhagavad_Gita/Chapter-18/BRasamritaSw_BG_18-66_-_Part-02_-_03-03-05.mp3</t>
  </si>
  <si>
    <t>BG 06-01-04</t>
  </si>
  <si>
    <t>https://audio.iskcondesiretree.com/02_-_ISKCON_Swamis/ISKCON_Swamis_-_A_to_C/His_Holiness_Bhakti_Rasamrita_Swami/English_Lectures/Bhagavad_Gita/Chapter-06/BRasamritaSw_BG_06-01-04.mp3</t>
  </si>
  <si>
    <t>BG 06-05-06</t>
  </si>
  <si>
    <t>https://audio.iskcondesiretree.com/02_-_ISKCON_Swamis/ISKCON_Swamis_-_A_to_C/His_Holiness_Bhakti_Rasamrita_Swami/English_Lectures/Bhagavad_Gita/Chapter-06/BRasamritaSw_BG_06-05-06.mp3</t>
  </si>
  <si>
    <t>BG 06-07-08</t>
  </si>
  <si>
    <t>https://audio.iskcondesiretree.com/02_-_ISKCON_Swamis/ISKCON_Swamis_-_A_to_C/His_Holiness_Bhakti_Rasamrita_Swami/English_Lectures/Bhagavad_Gita/Chapter-06/BRasamritaSw_BG_06-07-08.mp3</t>
  </si>
  <si>
    <t>BG 06-07</t>
  </si>
  <si>
    <t>https://audio.iskcondesiretree.com/02_-_ISKCON_Swamis/ISKCON_Swamis_-_A_to_C/His_Holiness_Bhakti_Rasamrita_Swami/English_Lectures/Bhagavad_Gita/Chapter-06/BRasamritaSw_BG_06-07.mp3</t>
  </si>
  <si>
    <t>BG 06-18</t>
  </si>
  <si>
    <t>https://audio.iskcondesiretree.com/02_-_ISKCON_Swamis/ISKCON_Swamis_-_A_to_C/His_Holiness_Bhakti_Rasamrita_Swami/English_Lectures/Bhagavad_Gita/Chapter-06/BRasamritaSw_BG_06-18.mp3</t>
  </si>
  <si>
    <t>BG 06-32</t>
  </si>
  <si>
    <t>https://audio.iskcondesiretree.com/02_-_ISKCON_Swamis/ISKCON_Swamis_-_A_to_C/His_Holiness_Bhakti_Rasamrita_Swami/English_Lectures/Bhagavad_Gita/Chapter-06/BRasamritaSw_BG_06-32.mp3</t>
  </si>
  <si>
    <t>BG 06-41-42</t>
  </si>
  <si>
    <t>https://audio.iskcondesiretree.com/02_-_ISKCON_Swamis/ISKCON_Swamis_-_A_to_C/His_Holiness_Bhakti_Rasamrita_Swami/English_Lectures/Bhagavad_Gita/Chapter-06/BRasamritaSw_BG_06-41-42.mp3</t>
  </si>
  <si>
    <t>BG 06-43</t>
  </si>
  <si>
    <t>https://audio.iskcondesiretree.com/02_-_ISKCON_Swamis/ISKCON_Swamis_-_A_to_C/His_Holiness_Bhakti_Rasamrita_Swami/English_Lectures/Bhagavad_Gita/Chapter-06/BRasamritaSw_BG_06-43.mp3</t>
  </si>
  <si>
    <t>BG 09-03 - Sunday Feast Lecture - 2011-04-03 Chandigarh</t>
  </si>
  <si>
    <t>https://audio.iskcondesiretree.com/02_-_ISKCON_Swamis/ISKCON_Swamis_-_A_to_C/His_Holiness_Bhakti_Rasamrita_Swami/English_Lectures/Bhagavad_Gita/Chapter-09/BRasamritaSw_BG_09-03_-_Sunday_Feast_Lecture_-_2011-04-03_Chandigarh.mp3</t>
  </si>
  <si>
    <t>BG 09-10</t>
  </si>
  <si>
    <t>https://audio.iskcondesiretree.com/02_-_ISKCON_Swamis/ISKCON_Swamis_-_A_to_C/His_Holiness_Bhakti_Rasamrita_Swami/English_Lectures/Bhagavad_Gita/Chapter-09/BRasamritaSw_BG_09-10.mp3</t>
  </si>
  <si>
    <t>BG 09-14</t>
  </si>
  <si>
    <t>https://audio.iskcondesiretree.com/02_-_ISKCON_Swamis/ISKCON_Swamis_-_A_to_C/His_Holiness_Bhakti_Rasamrita_Swami/English_Lectures/Bhagavad_Gita/Chapter-09/BRasamritaSw_BG_09-14.mp3</t>
  </si>
  <si>
    <t>BG 09-22</t>
  </si>
  <si>
    <t>https://audio.iskcondesiretree.com/02_-_ISKCON_Swamis/ISKCON_Swamis_-_A_to_C/His_Holiness_Bhakti_Rasamrita_Swami/English_Lectures/Bhagavad_Gita/Chapter-09/BRasamritaSw_BG_09-22.mp3</t>
  </si>
  <si>
    <t>BG 09-26</t>
  </si>
  <si>
    <t>https://audio.iskcondesiretree.com/02_-_ISKCON_Swamis/ISKCON_Swamis_-_A_to_C/His_Holiness_Bhakti_Rasamrita_Swami/English_Lectures/Bhagavad_Gita/Chapter-09/BRasamritaSw_BG_09-26.mp3</t>
  </si>
  <si>
    <t>BG 09-30-31 - Don't Fear</t>
  </si>
  <si>
    <t>https://audio.iskcondesiretree.com/02_-_ISKCON_Swamis/ISKCON_Swamis_-_A_to_C/His_Holiness_Bhakti_Rasamrita_Swami/English_Lectures/Bhagavad_Gita/Chapter-09/BRasamritaSw_BG_09-30-31_-_Don%27t_Fear.mp3</t>
  </si>
  <si>
    <t>BG 09-33 - 2020-05-23</t>
  </si>
  <si>
    <t>https://audio.iskcondesiretree.com/02_-_ISKCON_Swamis/ISKCON_Swamis_-_A_to_C/His_Holiness_Bhakti_Rasamrita_Swami/English_Lectures/Bhagavad_Gita/Chapter-09/BRasamritaSw_BG_09-33_-_2020-05-23.mp3</t>
  </si>
  <si>
    <t>BG 09-34 - 08-11-15</t>
  </si>
  <si>
    <t>https://audio.iskcondesiretree.com/02_-_ISKCON_Swamis/ISKCON_Swamis_-_A_to_C/His_Holiness_Bhakti_Rasamrita_Swami/English_Lectures/Bhagavad_Gita/Chapter-09/BRasamritaSw_BG_09-34_-_08-11-15.mp3</t>
  </si>
  <si>
    <t>BG 09 - Recitation of Chapter-09 - 2020-12-25 Belgaum</t>
  </si>
  <si>
    <t>https://audio.iskcondesiretree.com/02_-_ISKCON_Swamis/ISKCON_Swamis_-_A_to_C/His_Holiness_Bhakti_Rasamrita_Swami/English_Lectures/Bhagavad_Gita/Chapter-09/BRasamritaSw_BG_09_-_Recitation_of_Chapter-09_-_2020-12-25_Belgaum.mp3</t>
  </si>
  <si>
    <t>BG 16-05</t>
  </si>
  <si>
    <t>https://audio.iskcondesiretree.com/02_-_ISKCON_Swamis/ISKCON_Swamis_-_A_to_C/His_Holiness_Bhakti_Rasamrita_Swami/English_Lectures/Bhagavad_Gita/Chapter-16/BRasamritaSw_BG_16-05.mp3</t>
  </si>
  <si>
    <t>BG 16-13-15 - 2020-05-09</t>
  </si>
  <si>
    <t>https://audio.iskcondesiretree.com/02_-_ISKCON_Swamis/ISKCON_Swamis_-_A_to_C/His_Holiness_Bhakti_Rasamrita_Swami/English_Lectures/Bhagavad_Gita/Chapter-16/BRasamritaSw_BG_16-13-15_-_2020-05-09.mp3</t>
  </si>
  <si>
    <t>BG 10-04-05</t>
  </si>
  <si>
    <t>https://audio.iskcondesiretree.com/02_-_ISKCON_Swamis/ISKCON_Swamis_-_A_to_C/His_Holiness_Bhakti_Rasamrita_Swami/English_Lectures/Bhagavad_Gita/Chapter-10/BRasamritaSw_BG_10-04-05.mp3</t>
  </si>
  <si>
    <t>BG 10-08</t>
  </si>
  <si>
    <t>https://audio.iskcondesiretree.com/02_-_ISKCON_Swamis/ISKCON_Swamis_-_A_to_C/His_Holiness_Bhakti_Rasamrita_Swami/English_Lectures/Bhagavad_Gita/Chapter-10/BRasamritaSw_BG_10-08.mp3</t>
  </si>
  <si>
    <t>BG 10-23</t>
  </si>
  <si>
    <t>https://audio.iskcondesiretree.com/02_-_ISKCON_Swamis/ISKCON_Swamis_-_A_to_C/His_Holiness_Bhakti_Rasamrita_Swami/English_Lectures/Bhagavad_Gita/Chapter-10/BRasamritaSw_BG_10-23.mp3</t>
  </si>
  <si>
    <t>BG 10-33 - The Opulences of Lord Krishna - 2008-12-19 ISKCON Vrindavan</t>
  </si>
  <si>
    <t>https://audio.iskcondesiretree.com/02_-_ISKCON_Swamis/ISKCON_Swamis_-_A_to_C/His_Holiness_Bhakti_Rasamrita_Swami/English_Lectures/Bhagavad_Gita/Chapter-10/BRasamritaSw_BG_10-33_-_The_Opulences_of_Lord_Krishna_-_2008-12-19_ISKCON_Vrindavan.mp3</t>
  </si>
  <si>
    <t>BG 10.33</t>
  </si>
  <si>
    <t>https://audio.iskcondesiretree.com/02_-_ISKCON_Swamis/ISKCON_Swamis_-_A_to_C/His_Holiness_Bhakti_Rasamrita_Swami/English_Lectures/Bhagavad_Gita/Chapter-10/BRasamritaSw_BG_10.33.mp3</t>
  </si>
  <si>
    <t>BG - Lecture 08 - 03-03-06</t>
  </si>
  <si>
    <t>https://audio.iskcondesiretree.com/02_-_ISKCON_Swamis/ISKCON_Swamis_-_A_to_C/His_Holiness_Bhakti_Rasamrita_Swami/English_Lectures/Bhagavad_Gita/More/BRasamritaSw_BG_-_Lecture_08_-_03-03-06.mp3</t>
  </si>
  <si>
    <t>BG - Lecture 09 - 03-03-07</t>
  </si>
  <si>
    <t>https://audio.iskcondesiretree.com/02_-_ISKCON_Swamis/ISKCON_Swamis_-_A_to_C/His_Holiness_Bhakti_Rasamrita_Swami/English_Lectures/Bhagavad_Gita/More/BRasamritaSw_BG_-_Lecture_09_-_03-03-07.mp3</t>
  </si>
  <si>
    <t>BG 01-39-40 - 2009-09-20</t>
  </si>
  <si>
    <t>https://audio.iskcondesiretree.com/02_-_ISKCON_Swamis/ISKCON_Swamis_-_A_to_C/His_Holiness_Bhakti_Rasamrita_Swami/English_Lectures/Bhagavad_Gita/More/BRasamritaSw_BG_01-39-40_-_2009-09-20.mp3</t>
  </si>
  <si>
    <t>BG 15-06 - 2009-05-01</t>
  </si>
  <si>
    <t>https://audio.iskcondesiretree.com/02_-_ISKCON_Swamis/ISKCON_Swamis_-_A_to_C/His_Holiness_Bhakti_Rasamrita_Swami/English_Lectures/Bhagavad_Gita/More/BRasamritaSw_BG_15-06_-_2009-05-01.mp3</t>
  </si>
  <si>
    <t>BG Bhagvat Gita Class</t>
  </si>
  <si>
    <t>https://audio.iskcondesiretree.com/02_-_ISKCON_Swamis/ISKCON_Swamis_-_A_to_C/His_Holiness_Bhakti_Rasamrita_Swami/English_Lectures/Bhagavad_Gita/More/BRasamritaSw_BG_Bhagvat_Gita_Class.mp3</t>
  </si>
  <si>
    <t>BG Bhagvat Gita Lecture - 09-09-26</t>
  </si>
  <si>
    <t>https://audio.iskcondesiretree.com/02_-_ISKCON_Swamis/ISKCON_Swamis_-_A_to_C/His_Holiness_Bhakti_Rasamrita_Swami/English_Lectures/Bhagavad_Gita/More/BRasamritaSw_BG_Bhagvat_Gita_Lecture_-_09-09-26.mp3</t>
  </si>
  <si>
    <t>BG Class</t>
  </si>
  <si>
    <t>https://audio.iskcondesiretree.com/02_-_ISKCON_Swamis/ISKCON_Swamis_-_A_to_C/His_Holiness_Bhakti_Rasamrita_Swami/English_Lectures/Bhagavad_Gita/More/BRasamritaSw_BG_Class.mp3</t>
  </si>
  <si>
    <t>BG Lecture</t>
  </si>
  <si>
    <t>https://audio.iskcondesiretree.com/02_-_ISKCON_Swamis/ISKCON_Swamis_-_A_to_C/His_Holiness_Bhakti_Rasamrita_Swami/English_Lectures/Bhagavad_Gita/More/BRasamritaSw_BG_Lecture.mp3</t>
  </si>
  <si>
    <t>BG 08-02</t>
  </si>
  <si>
    <t>https://audio.iskcondesiretree.com/02_-_ISKCON_Swamis/ISKCON_Swamis_-_A_to_C/His_Holiness_Bhakti_Rasamrita_Swami/English_Lectures/Bhagavad_Gita/Chapter-08/BRasamritaSw_BG_08-02.mp3</t>
  </si>
  <si>
    <t>BG 08-06 - Moscow</t>
  </si>
  <si>
    <t>https://audio.iskcondesiretree.com/02_-_ISKCON_Swamis/ISKCON_Swamis_-_A_to_C/His_Holiness_Bhakti_Rasamrita_Swami/English_Lectures/Bhagavad_Gita/Chapter-08/BRasamritaSw_BG_08-06_-_Moscow.mp3</t>
  </si>
  <si>
    <t>BG 08-15</t>
  </si>
  <si>
    <t>https://audio.iskcondesiretree.com/02_-_ISKCON_Swamis/ISKCON_Swamis_-_A_to_C/His_Holiness_Bhakti_Rasamrita_Swami/English_Lectures/Bhagavad_Gita/Chapter-08/BRasamritaSw_BG_08-15.mp3</t>
  </si>
  <si>
    <t>BG 03-01-05</t>
  </si>
  <si>
    <t>https://audio.iskcondesiretree.com/02_-_ISKCON_Swamis/ISKCON_Swamis_-_A_to_C/His_Holiness_Bhakti_Rasamrita_Swami/English_Lectures/Bhagavad_Gita/Chapter-03/BRasamritaSw_BG_03-01-05.mp3</t>
  </si>
  <si>
    <t>BG 03-05-06</t>
  </si>
  <si>
    <t>https://audio.iskcondesiretree.com/02_-_ISKCON_Swamis/ISKCON_Swamis_-_A_to_C/His_Holiness_Bhakti_Rasamrita_Swami/English_Lectures/Bhagavad_Gita/Chapter-03/BRasamritaSw_BG_03-05-06.mp3</t>
  </si>
  <si>
    <t>BG 03-06 - 2015 Mangaluru</t>
  </si>
  <si>
    <t>https://audio.iskcondesiretree.com/02_-_ISKCON_Swamis/ISKCON_Swamis_-_A_to_C/His_Holiness_Bhakti_Rasamrita_Swami/English_Lectures/Bhagavad_Gita/Chapter-03/BRasamritaSw_BG_03-06_-_2015_Mangaluru.mp3</t>
  </si>
  <si>
    <t>BG 03-07-09</t>
  </si>
  <si>
    <t>https://audio.iskcondesiretree.com/02_-_ISKCON_Swamis/ISKCON_Swamis_-_A_to_C/His_Holiness_Bhakti_Rasamrita_Swami/English_Lectures/Bhagavad_Gita/Chapter-03/BRasamritaSw_BG_03-07-09.mp3</t>
  </si>
  <si>
    <t>BG 03-11-12</t>
  </si>
  <si>
    <t>https://audio.iskcondesiretree.com/02_-_ISKCON_Swamis/ISKCON_Swamis_-_A_to_C/His_Holiness_Bhakti_Rasamrita_Swami/English_Lectures/Bhagavad_Gita/Chapter-03/BRasamritaSw_BG_03-11-12.mp3</t>
  </si>
  <si>
    <t>BG 03-12 - 2014 ISKCON Vrindavan</t>
  </si>
  <si>
    <t>https://audio.iskcondesiretree.com/02_-_ISKCON_Swamis/ISKCON_Swamis_-_A_to_C/His_Holiness_Bhakti_Rasamrita_Swami/English_Lectures/Bhagavad_Gita/Chapter-03/BRasamritaSw_BG_03-12_-_2014_ISKCON_Vrindavan.mp3</t>
  </si>
  <si>
    <t>BG 03-13</t>
  </si>
  <si>
    <t>https://audio.iskcondesiretree.com/02_-_ISKCON_Swamis/ISKCON_Swamis_-_A_to_C/His_Holiness_Bhakti_Rasamrita_Swami/English_Lectures/Bhagavad_Gita/Chapter-03/BRasamritaSw_BG_03-13.mp3</t>
  </si>
  <si>
    <t>BG 03-14</t>
  </si>
  <si>
    <t>https://audio.iskcondesiretree.com/02_-_ISKCON_Swamis/ISKCON_Swamis_-_A_to_C/His_Holiness_Bhakti_Rasamrita_Swami/English_Lectures/Bhagavad_Gita/Chapter-03/BRasamritaSw_BG_03-14.mp3</t>
  </si>
  <si>
    <t>BG 03-16-18</t>
  </si>
  <si>
    <t>https://audio.iskcondesiretree.com/02_-_ISKCON_Swamis/ISKCON_Swamis_-_A_to_C/His_Holiness_Bhakti_Rasamrita_Swami/English_Lectures/Bhagavad_Gita/Chapter-03/BRasamritaSw_BG_03-16-18.mp3</t>
  </si>
  <si>
    <t>BG 03-19-21</t>
  </si>
  <si>
    <t>https://audio.iskcondesiretree.com/02_-_ISKCON_Swamis/ISKCON_Swamis_-_A_to_C/His_Holiness_Bhakti_Rasamrita_Swami/English_Lectures/Bhagavad_Gita/Chapter-03/BRasamritaSw_BG_03-19-21.mp3</t>
  </si>
  <si>
    <t>BG 03-19</t>
  </si>
  <si>
    <t>https://audio.iskcondesiretree.com/02_-_ISKCON_Swamis/ISKCON_Swamis_-_A_to_C/His_Holiness_Bhakti_Rasamrita_Swami/English_Lectures/Bhagavad_Gita/Chapter-03/BRasamritaSw_BG_03-19.mp3</t>
  </si>
  <si>
    <t>BG 03-20</t>
  </si>
  <si>
    <t>https://audio.iskcondesiretree.com/02_-_ISKCON_Swamis/ISKCON_Swamis_-_A_to_C/His_Holiness_Bhakti_Rasamrita_Swami/English_Lectures/Bhagavad_Gita/Chapter-03/BRasamritaSw_BG_03-20.mp3</t>
  </si>
  <si>
    <t>BG 03-21</t>
  </si>
  <si>
    <t>https://audio.iskcondesiretree.com/02_-_ISKCON_Swamis/ISKCON_Swamis_-_A_to_C/His_Holiness_Bhakti_Rasamrita_Swami/English_Lectures/Bhagavad_Gita/Chapter-03/BRasamritaSw_BG_03-21.mp3</t>
  </si>
  <si>
    <t>BG 03-22-23</t>
  </si>
  <si>
    <t>https://audio.iskcondesiretree.com/02_-_ISKCON_Swamis/ISKCON_Swamis_-_A_to_C/His_Holiness_Bhakti_Rasamrita_Swami/English_Lectures/Bhagavad_Gita/Chapter-03/BRasamritaSw_BG_03-22-23.mp3</t>
  </si>
  <si>
    <t>BG 03-23-28</t>
  </si>
  <si>
    <t>https://audio.iskcondesiretree.com/02_-_ISKCON_Swamis/ISKCON_Swamis_-_A_to_C/His_Holiness_Bhakti_Rasamrita_Swami/English_Lectures/Bhagavad_Gita/Chapter-03/BRasamritaSw_BG_03-23-28.mp3</t>
  </si>
  <si>
    <t>BG 03-24</t>
  </si>
  <si>
    <t>https://audio.iskcondesiretree.com/02_-_ISKCON_Swamis/ISKCON_Swamis_-_A_to_C/His_Holiness_Bhakti_Rasamrita_Swami/English_Lectures/Bhagavad_Gita/Chapter-03/BRasamritaSw_BG_03-24.mp3</t>
  </si>
  <si>
    <t>BG 03-25-26</t>
  </si>
  <si>
    <t>https://audio.iskcondesiretree.com/02_-_ISKCON_Swamis/ISKCON_Swamis_-_A_to_C/His_Holiness_Bhakti_Rasamrita_Swami/English_Lectures/Bhagavad_Gita/Chapter-03/BRasamritaSw_BG_03-25-26.mp3</t>
  </si>
  <si>
    <t>BG 03-27</t>
  </si>
  <si>
    <t>https://audio.iskcondesiretree.com/02_-_ISKCON_Swamis/ISKCON_Swamis_-_A_to_C/His_Holiness_Bhakti_Rasamrita_Swami/English_Lectures/Bhagavad_Gita/Chapter-03/BRasamritaSw_BG_03-27.mp3</t>
  </si>
  <si>
    <t>BG 03-29</t>
  </si>
  <si>
    <t>https://audio.iskcondesiretree.com/02_-_ISKCON_Swamis/ISKCON_Swamis_-_A_to_C/His_Holiness_Bhakti_Rasamrita_Swami/English_Lectures/Bhagavad_Gita/Chapter-03/BRasamritaSw_BG_03-29.mp3</t>
  </si>
  <si>
    <t>BG 03-34</t>
  </si>
  <si>
    <t>https://audio.iskcondesiretree.com/02_-_ISKCON_Swamis/ISKCON_Swamis_-_A_to_C/His_Holiness_Bhakti_Rasamrita_Swami/English_Lectures/Bhagavad_Gita/Chapter-03/BRasamritaSw_BG_03-34.mp3</t>
  </si>
  <si>
    <t>BG 03-38-39</t>
  </si>
  <si>
    <t>https://audio.iskcondesiretree.com/02_-_ISKCON_Swamis/ISKCON_Swamis_-_A_to_C/His_Holiness_Bhakti_Rasamrita_Swami/English_Lectures/Bhagavad_Gita/Chapter-03/BRasamritaSw_BG_03-38-39.mp3</t>
  </si>
  <si>
    <t>BG 03-38</t>
  </si>
  <si>
    <t>https://audio.iskcondesiretree.com/02_-_ISKCON_Swamis/ISKCON_Swamis_-_A_to_C/His_Holiness_Bhakti_Rasamrita_Swami/English_Lectures/Bhagavad_Gita/Chapter-03/BRasamritaSw_BG_03-38.mp3</t>
  </si>
  <si>
    <t>BG 03-39-41</t>
  </si>
  <si>
    <t>https://audio.iskcondesiretree.com/02_-_ISKCON_Swamis/ISKCON_Swamis_-_A_to_C/His_Holiness_Bhakti_Rasamrita_Swami/English_Lectures/Bhagavad_Gita/Chapter-03/BRasamritaSw_BG_03-39-41.mp3</t>
  </si>
  <si>
    <t>BG 02-01-03</t>
  </si>
  <si>
    <t>https://audio.iskcondesiretree.com/02_-_ISKCON_Swamis/ISKCON_Swamis_-_A_to_C/His_Holiness_Bhakti_Rasamrita_Swami/English_Lectures/Bhagavad_Gita/Chapter-02/BRasamritaSw_BG_02-01-03.mp3</t>
  </si>
  <si>
    <t>BG 02-04-05 - 2009-09-26</t>
  </si>
  <si>
    <t>https://audio.iskcondesiretree.com/02_-_ISKCON_Swamis/ISKCON_Swamis_-_A_to_C/His_Holiness_Bhakti_Rasamrita_Swami/English_Lectures/Bhagavad_Gita/Chapter-02/BRasamritaSw_BG_02-04-05_-_2009-09-26.mp3</t>
  </si>
  <si>
    <t>BG 02-07-10</t>
  </si>
  <si>
    <t>https://audio.iskcondesiretree.com/02_-_ISKCON_Swamis/ISKCON_Swamis_-_A_to_C/His_Holiness_Bhakti_Rasamrita_Swami/English_Lectures/Bhagavad_Gita/Chapter-02/BRasamritaSw_BG_02-07-10.mp3</t>
  </si>
  <si>
    <t>BG 02-07</t>
  </si>
  <si>
    <t>https://audio.iskcondesiretree.com/02_-_ISKCON_Swamis/ISKCON_Swamis_-_A_to_C/His_Holiness_Bhakti_Rasamrita_Swami/English_Lectures/Bhagavad_Gita/Chapter-02/BRasamritaSw_BG_02-07.mp3</t>
  </si>
  <si>
    <t>BG 02-11-12</t>
  </si>
  <si>
    <t>https://audio.iskcondesiretree.com/02_-_ISKCON_Swamis/ISKCON_Swamis_-_A_to_C/His_Holiness_Bhakti_Rasamrita_Swami/English_Lectures/Bhagavad_Gita/Chapter-02/BRasamritaSw_BG_02-11-12.mp3</t>
  </si>
  <si>
    <t>BG 02-12-13</t>
  </si>
  <si>
    <t>https://audio.iskcondesiretree.com/02_-_ISKCON_Swamis/ISKCON_Swamis_-_A_to_C/His_Holiness_Bhakti_Rasamrita_Swami/English_Lectures/Bhagavad_Gita/Chapter-02/BRasamritaSw_BG_02-12-13.mp3</t>
  </si>
  <si>
    <t>BG 02-13</t>
  </si>
  <si>
    <t>https://audio.iskcondesiretree.com/02_-_ISKCON_Swamis/ISKCON_Swamis_-_A_to_C/His_Holiness_Bhakti_Rasamrita_Swami/English_Lectures/Bhagavad_Gita/Chapter-02/BRasamritaSw_BG_02-13.mp3</t>
  </si>
  <si>
    <t>BG 02-14</t>
  </si>
  <si>
    <t>https://audio.iskcondesiretree.com/02_-_ISKCON_Swamis/ISKCON_Swamis_-_A_to_C/His_Holiness_Bhakti_Rasamrita_Swami/English_Lectures/Bhagavad_Gita/Chapter-02/BRasamritaSw_BG_02-14.mp3</t>
  </si>
  <si>
    <t>BG 02-17</t>
  </si>
  <si>
    <t>https://audio.iskcondesiretree.com/02_-_ISKCON_Swamis/ISKCON_Swamis_-_A_to_C/His_Holiness_Bhakti_Rasamrita_Swami/English_Lectures/Bhagavad_Gita/Chapter-02/BRasamritaSw_BG_02-17.mp3</t>
  </si>
  <si>
    <t>BG 02-19-21</t>
  </si>
  <si>
    <t>https://audio.iskcondesiretree.com/02_-_ISKCON_Swamis/ISKCON_Swamis_-_A_to_C/His_Holiness_Bhakti_Rasamrita_Swami/English_Lectures/Bhagavad_Gita/Chapter-02/BRasamritaSw_BG_02-19-21.mp3</t>
  </si>
  <si>
    <t>BG 02-26-30</t>
  </si>
  <si>
    <t>https://audio.iskcondesiretree.com/02_-_ISKCON_Swamis/ISKCON_Swamis_-_A_to_C/His_Holiness_Bhakti_Rasamrita_Swami/English_Lectures/Bhagavad_Gita/Chapter-02/BRasamritaSw_BG_02-26-30.mp3</t>
  </si>
  <si>
    <t>BG 02-27-28</t>
  </si>
  <si>
    <t>https://audio.iskcondesiretree.com/02_-_ISKCON_Swamis/ISKCON_Swamis_-_A_to_C/His_Holiness_Bhakti_Rasamrita_Swami/English_Lectures/Bhagavad_Gita/Chapter-02/BRasamritaSw_BG_02-27-28.mp3</t>
  </si>
  <si>
    <t>BG 02-29 - 2017-07-28</t>
  </si>
  <si>
    <t>https://audio.iskcondesiretree.com/02_-_ISKCON_Swamis/ISKCON_Swamis_-_A_to_C/His_Holiness_Bhakti_Rasamrita_Swami/English_Lectures/Bhagavad_Gita/Chapter-02/BRasamritaSw_BG_02-29_-_2017-07-28.mp3</t>
  </si>
  <si>
    <t>BG 02-31-34</t>
  </si>
  <si>
    <t>https://audio.iskcondesiretree.com/02_-_ISKCON_Swamis/ISKCON_Swamis_-_A_to_C/His_Holiness_Bhakti_Rasamrita_Swami/English_Lectures/Bhagavad_Gita/Chapter-02/BRasamritaSw_BG_02-31-34.mp3</t>
  </si>
  <si>
    <t>BG 02-33</t>
  </si>
  <si>
    <t>https://audio.iskcondesiretree.com/02_-_ISKCON_Swamis/ISKCON_Swamis_-_A_to_C/His_Holiness_Bhakti_Rasamrita_Swami/English_Lectures/Bhagavad_Gita/Chapter-02/BRasamritaSw_BG_02-33.mp3</t>
  </si>
  <si>
    <t>BG 02-47-50</t>
  </si>
  <si>
    <t>https://audio.iskcondesiretree.com/02_-_ISKCON_Swamis/ISKCON_Swamis_-_A_to_C/His_Holiness_Bhakti_Rasamrita_Swami/English_Lectures/Bhagavad_Gita/Chapter-02/BRasamritaSw_BG_02-47-50.mp3</t>
  </si>
  <si>
    <t>BG 02-54-57</t>
  </si>
  <si>
    <t>https://audio.iskcondesiretree.com/02_-_ISKCON_Swamis/ISKCON_Swamis_-_A_to_C/His_Holiness_Bhakti_Rasamrita_Swami/English_Lectures/Bhagavad_Gita/Chapter-02/BRasamritaSw_BG_02-54-57.mp3</t>
  </si>
  <si>
    <t>BG 02-55 - 2015-07-04 ISKCON Melbourne</t>
  </si>
  <si>
    <t>https://audio.iskcondesiretree.com/02_-_ISKCON_Swamis/ISKCON_Swamis_-_A_to_C/His_Holiness_Bhakti_Rasamrita_Swami/English_Lectures/Bhagavad_Gita/Chapter-02/BRasamritaSw_BG_02-55_-_2015-07-04_ISKCON_Melbourne.mp3</t>
  </si>
  <si>
    <t>BG 02-58-60</t>
  </si>
  <si>
    <t>https://audio.iskcondesiretree.com/02_-_ISKCON_Swamis/ISKCON_Swamis_-_A_to_C/His_Holiness_Bhakti_Rasamrita_Swami/English_Lectures/Bhagavad_Gita/Chapter-02/BRasamritaSw_BG_02-58-60.mp3</t>
  </si>
  <si>
    <t>BG 02-67-70</t>
  </si>
  <si>
    <t>https://audio.iskcondesiretree.com/02_-_ISKCON_Swamis/ISKCON_Swamis_-_A_to_C/His_Holiness_Bhakti_Rasamrita_Swami/English_Lectures/Bhagavad_Gita/Chapter-02/BRasamritaSw_BG_02-67-70.mp3</t>
  </si>
  <si>
    <t>BG 02-69 - Glories of Morning Program - 2015-07-11 ISKCON Melbourne</t>
  </si>
  <si>
    <t>https://audio.iskcondesiretree.com/02_-_ISKCON_Swamis/ISKCON_Swamis_-_A_to_C/His_Holiness_Bhakti_Rasamrita_Swami/English_Lectures/Bhagavad_Gita/Chapter-02/BRasamritaSw_BG_02-69_-_Glories_of_Morning_Program_-_2015-07-11_ISKCON_Melbourne.mp3</t>
  </si>
  <si>
    <t>BG 02-71-72</t>
  </si>
  <si>
    <t>https://audio.iskcondesiretree.com/02_-_ISKCON_Swamis/ISKCON_Swamis_-_A_to_C/His_Holiness_Bhakti_Rasamrita_Swami/English_Lectures/Bhagavad_Gita/Chapter-02/BRasamritaSw_BG_02-71-72.mp3</t>
  </si>
  <si>
    <t>BG 05-01</t>
  </si>
  <si>
    <t>https://audio.iskcondesiretree.com/02_-_ISKCON_Swamis/ISKCON_Swamis_-_A_to_C/His_Holiness_Bhakti_Rasamrita_Swami/English_Lectures/Bhagavad_Gita/Chapter-05/BRasamritaSw_BG_05-01.mp3</t>
  </si>
  <si>
    <t>BG 05-05-07</t>
  </si>
  <si>
    <t>https://audio.iskcondesiretree.com/02_-_ISKCON_Swamis/ISKCON_Swamis_-_A_to_C/His_Holiness_Bhakti_Rasamrita_Swami/English_Lectures/Bhagavad_Gita/Chapter-05/BRasamritaSw_BG_05-05-07.mp3</t>
  </si>
  <si>
    <t>BG 05-08-09</t>
  </si>
  <si>
    <t>https://audio.iskcondesiretree.com/02_-_ISKCON_Swamis/ISKCON_Swamis_-_A_to_C/His_Holiness_Bhakti_Rasamrita_Swami/English_Lectures/Bhagavad_Gita/Chapter-05/BRasamritaSw_BG_05-08-09.mp3</t>
  </si>
  <si>
    <t>BG 05-10-11</t>
  </si>
  <si>
    <t>https://audio.iskcondesiretree.com/02_-_ISKCON_Swamis/ISKCON_Swamis_-_A_to_C/His_Holiness_Bhakti_Rasamrita_Swami/English_Lectures/Bhagavad_Gita/Chapter-05/BRasamritaSw_BG_05-10-11.mp3</t>
  </si>
  <si>
    <t>BG 05-10</t>
  </si>
  <si>
    <t>https://audio.iskcondesiretree.com/02_-_ISKCON_Swamis/ISKCON_Swamis_-_A_to_C/His_Holiness_Bhakti_Rasamrita_Swami/English_Lectures/Bhagavad_Gita/Chapter-05/BRasamritaSw_BG_05-10.mp3</t>
  </si>
  <si>
    <t>BG 05-12-13</t>
  </si>
  <si>
    <t>https://audio.iskcondesiretree.com/02_-_ISKCON_Swamis/ISKCON_Swamis_-_A_to_C/His_Holiness_Bhakti_Rasamrita_Swami/English_Lectures/Bhagavad_Gita/Chapter-05/BRasamritaSw_BG_05-12-13.mp3</t>
  </si>
  <si>
    <t>BG 05-14</t>
  </si>
  <si>
    <t>https://audio.iskcondesiretree.com/02_-_ISKCON_Swamis/ISKCON_Swamis_-_A_to_C/His_Holiness_Bhakti_Rasamrita_Swami/English_Lectures/Bhagavad_Gita/Chapter-05/BRasamritaSw_BG_05-14.mp3</t>
  </si>
  <si>
    <t>BG 05-16-18</t>
  </si>
  <si>
    <t>https://audio.iskcondesiretree.com/02_-_ISKCON_Swamis/ISKCON_Swamis_-_A_to_C/His_Holiness_Bhakti_Rasamrita_Swami/English_Lectures/Bhagavad_Gita/Chapter-05/BRasamritaSw_BG_05-16-18.mp3</t>
  </si>
  <si>
    <t>BG 05-19</t>
  </si>
  <si>
    <t>https://audio.iskcondesiretree.com/02_-_ISKCON_Swamis/ISKCON_Swamis_-_A_to_C/His_Holiness_Bhakti_Rasamrita_Swami/English_Lectures/Bhagavad_Gita/Chapter-05/BRasamritaSw_BG_05-19.mp3</t>
  </si>
  <si>
    <t>BG 05-20-21</t>
  </si>
  <si>
    <t>https://audio.iskcondesiretree.com/02_-_ISKCON_Swamis/ISKCON_Swamis_-_A_to_C/His_Holiness_Bhakti_Rasamrita_Swami/English_Lectures/Bhagavad_Gita/Chapter-05/BRasamritaSw_BG_05-20-21.mp3</t>
  </si>
  <si>
    <t>BG 05-22</t>
  </si>
  <si>
    <t>https://audio.iskcondesiretree.com/02_-_ISKCON_Swamis/ISKCON_Swamis_-_A_to_C/His_Holiness_Bhakti_Rasamrita_Swami/English_Lectures/Bhagavad_Gita/Chapter-05/BRasamritaSw_BG_05-22.mp3</t>
  </si>
  <si>
    <t>BG 05-23-24</t>
  </si>
  <si>
    <t>https://audio.iskcondesiretree.com/02_-_ISKCON_Swamis/ISKCON_Swamis_-_A_to_C/His_Holiness_Bhakti_Rasamrita_Swami/English_Lectures/Bhagavad_Gita/Chapter-05/BRasamritaSw_BG_05-23-24.mp3</t>
  </si>
  <si>
    <t>BG 05-25-26</t>
  </si>
  <si>
    <t>https://audio.iskcondesiretree.com/02_-_ISKCON_Swamis/ISKCON_Swamis_-_A_to_C/His_Holiness_Bhakti_Rasamrita_Swami/English_Lectures/Bhagavad_Gita/Chapter-05/BRasamritaSw_BG_05-25-26.mp3</t>
  </si>
  <si>
    <t>BG 05-26</t>
  </si>
  <si>
    <t>https://audio.iskcondesiretree.com/02_-_ISKCON_Swamis/ISKCON_Swamis_-_A_to_C/His_Holiness_Bhakti_Rasamrita_Swami/English_Lectures/Bhagavad_Gita/Chapter-05/BRasamritaSw_BG_05-26.mp3</t>
  </si>
  <si>
    <t>BG 05-29</t>
  </si>
  <si>
    <t>https://audio.iskcondesiretree.com/02_-_ISKCON_Swamis/ISKCON_Swamis_-_A_to_C/His_Holiness_Bhakti_Rasamrita_Swami/English_Lectures/Bhagavad_Gita/Chapter-05/BRasamritaSw_BG_05-29.mp3</t>
  </si>
  <si>
    <t>BG 05-29 Peace Formula</t>
  </si>
  <si>
    <t>https://audio.iskcondesiretree.com/02_-_ISKCON_Swamis/ISKCON_Swamis_-_A_to_C/His_Holiness_Bhakti_Rasamrita_Swami/English_Lectures/Bhagavad_Gita/Chapter-05/BRasamritaSw_BG_05-29_Peace_Formula.mp3</t>
  </si>
  <si>
    <t>BG 12-08</t>
  </si>
  <si>
    <t>https://audio.iskcondesiretree.com/02_-_ISKCON_Swamis/ISKCON_Swamis_-_A_to_C/His_Holiness_Bhakti_Rasamrita_Swami/English_Lectures/Bhagavad_Gita/Chapter-12/BRasamritaSw_BG_12-08.mp3</t>
  </si>
  <si>
    <t>BG 12-20 - 2003-09-19</t>
  </si>
  <si>
    <t>https://audio.iskcondesiretree.com/02_-_ISKCON_Swamis/ISKCON_Swamis_-_A_to_C/His_Holiness_Bhakti_Rasamrita_Swami/English_Lectures/Bhagavad_Gita/Chapter-12/BRasamritaSw_BG_12-20_-_2003-09-19.mp3</t>
  </si>
  <si>
    <t>BG 13-08 - Part-01 - 2015-07-05 ISKCON Melbourne</t>
  </si>
  <si>
    <t>https://audio.iskcondesiretree.com/02_-_ISKCON_Swamis/ISKCON_Swamis_-_A_to_C/His_Holiness_Bhakti_Rasamrita_Swami/English_Lectures/Bhagavad_Gita/Chapter-13/BRasamritaSw_BG_13-08_-_Part-01_-_2015-07-05_ISKCON_Melbourne.mp3</t>
  </si>
  <si>
    <t>BG 13-08 - Part-02 - 2015-07-05 ISKCON Melbourne</t>
  </si>
  <si>
    <t>https://audio.iskcondesiretree.com/02_-_ISKCON_Swamis/ISKCON_Swamis_-_A_to_C/His_Holiness_Bhakti_Rasamrita_Swami/English_Lectures/Bhagavad_Gita/Chapter-13/BRasamritaSw_BG_13-08_-_Part-02_-_2015-07-05_ISKCON_Melbourne.mp3</t>
  </si>
  <si>
    <t>BG 04-01</t>
  </si>
  <si>
    <t>https://audio.iskcondesiretree.com/02_-_ISKCON_Swamis/ISKCON_Swamis_-_A_to_C/His_Holiness_Bhakti_Rasamrita_Swami/English_Lectures/Bhagavad_Gita/Chapter-04/BRasamritaSw_BG_04-01.mp3</t>
  </si>
  <si>
    <t>BG 04-04</t>
  </si>
  <si>
    <t>https://audio.iskcondesiretree.com/02_-_ISKCON_Swamis/ISKCON_Swamis_-_A_to_C/His_Holiness_Bhakti_Rasamrita_Swami/English_Lectures/Bhagavad_Gita/Chapter-04/BRasamritaSw_BG_04-04.mp3</t>
  </si>
  <si>
    <t>BG 04-06</t>
  </si>
  <si>
    <t>https://audio.iskcondesiretree.com/02_-_ISKCON_Swamis/ISKCON_Swamis_-_A_to_C/His_Holiness_Bhakti_Rasamrita_Swami/English_Lectures/Bhagavad_Gita/Chapter-04/BRasamritaSw_BG_04-06.mp3</t>
  </si>
  <si>
    <t>BG 04-10-12</t>
  </si>
  <si>
    <t>https://audio.iskcondesiretree.com/02_-_ISKCON_Swamis/ISKCON_Swamis_-_A_to_C/His_Holiness_Bhakti_Rasamrita_Swami/English_Lectures/Bhagavad_Gita/Chapter-04/BRasamritaSw_BG_04-10-12.mp3</t>
  </si>
  <si>
    <t>BG 04-13-15</t>
  </si>
  <si>
    <t>https://audio.iskcondesiretree.com/02_-_ISKCON_Swamis/ISKCON_Swamis_-_A_to_C/His_Holiness_Bhakti_Rasamrita_Swami/English_Lectures/Bhagavad_Gita/Chapter-04/BRasamritaSw_BG_04-13-15.mp3</t>
  </si>
  <si>
    <t>BG 04-13 Part-01</t>
  </si>
  <si>
    <t>https://audio.iskcondesiretree.com/02_-_ISKCON_Swamis/ISKCON_Swamis_-_A_to_C/His_Holiness_Bhakti_Rasamrita_Swami/English_Lectures/Bhagavad_Gita/Chapter-04/BRasamritaSw_BG_04-13_Part-01.mp3</t>
  </si>
  <si>
    <t>BG 04-13 Part-02</t>
  </si>
  <si>
    <t>https://audio.iskcondesiretree.com/02_-_ISKCON_Swamis/ISKCON_Swamis_-_A_to_C/His_Holiness_Bhakti_Rasamrita_Swami/English_Lectures/Bhagavad_Gita/Chapter-04/BRasamritaSw_BG_04-13_Part-02.mp3</t>
  </si>
  <si>
    <t>BG 04-13 Part-03</t>
  </si>
  <si>
    <t>https://audio.iskcondesiretree.com/02_-_ISKCON_Swamis/ISKCON_Swamis_-_A_to_C/His_Holiness_Bhakti_Rasamrita_Swami/English_Lectures/Bhagavad_Gita/Chapter-04/BRasamritaSw_BG_04-13_Part-03.mp3</t>
  </si>
  <si>
    <t>BG 04-16-17</t>
  </si>
  <si>
    <t>https://audio.iskcondesiretree.com/02_-_ISKCON_Swamis/ISKCON_Swamis_-_A_to_C/His_Holiness_Bhakti_Rasamrita_Swami/English_Lectures/Bhagavad_Gita/Chapter-04/BRasamritaSw_BG_04-16-17.mp3</t>
  </si>
  <si>
    <t>BG 04-18-20</t>
  </si>
  <si>
    <t>https://audio.iskcondesiretree.com/02_-_ISKCON_Swamis/ISKCON_Swamis_-_A_to_C/His_Holiness_Bhakti_Rasamrita_Swami/English_Lectures/Bhagavad_Gita/Chapter-04/BRasamritaSw_BG_04-18-20.mp3</t>
  </si>
  <si>
    <t>BG 04-23-28</t>
  </si>
  <si>
    <t>https://audio.iskcondesiretree.com/02_-_ISKCON_Swamis/ISKCON_Swamis_-_A_to_C/His_Holiness_Bhakti_Rasamrita_Swami/English_Lectures/Bhagavad_Gita/Chapter-04/BRasamritaSw_BG_04-23-28.mp3</t>
  </si>
  <si>
    <t>BG 04-27-28 - 2010-04-16 ISKCON Vrindavan</t>
  </si>
  <si>
    <t>https://audio.iskcondesiretree.com/02_-_ISKCON_Swamis/ISKCON_Swamis_-_A_to_C/His_Holiness_Bhakti_Rasamrita_Swami/English_Lectures/Bhagavad_Gita/Chapter-04/BRasamritaSw_BG_04-27-28_-_2010-04-16_ISKCON_Vrindavan.mp3</t>
  </si>
  <si>
    <t>BG 04-27 - 2010-04-16 ISKCON Vrindavan</t>
  </si>
  <si>
    <t>https://audio.iskcondesiretree.com/02_-_ISKCON_Swamis/ISKCON_Swamis_-_A_to_C/His_Holiness_Bhakti_Rasamrita_Swami/English_Lectures/Bhagavad_Gita/Chapter-04/BRasamritaSw_BG_04-27_-_2010-04-16_ISKCON_Vrindavan.mp3</t>
  </si>
  <si>
    <t>BG 04-30-31</t>
  </si>
  <si>
    <t>https://audio.iskcondesiretree.com/02_-_ISKCON_Swamis/ISKCON_Swamis_-_A_to_C/His_Holiness_Bhakti_Rasamrita_Swami/English_Lectures/Bhagavad_Gita/Chapter-04/BRasamritaSw_BG_04-30-31.mp3</t>
  </si>
  <si>
    <t>BG 04-30-33</t>
  </si>
  <si>
    <t>https://audio.iskcondesiretree.com/02_-_ISKCON_Swamis/ISKCON_Swamis_-_A_to_C/His_Holiness_Bhakti_Rasamrita_Swami/English_Lectures/Bhagavad_Gita/Chapter-04/BRasamritaSw_BG_04-30-33.mp3</t>
  </si>
  <si>
    <t>BG 04-33</t>
  </si>
  <si>
    <t>https://audio.iskcondesiretree.com/02_-_ISKCON_Swamis/ISKCON_Swamis_-_A_to_C/His_Holiness_Bhakti_Rasamrita_Swami/English_Lectures/Bhagavad_Gita/Chapter-04/BRasamritaSw_BG_04-33.mp3</t>
  </si>
  <si>
    <t>BG 04-34</t>
  </si>
  <si>
    <t>https://audio.iskcondesiretree.com/02_-_ISKCON_Swamis/ISKCON_Swamis_-_A_to_C/His_Holiness_Bhakti_Rasamrita_Swami/English_Lectures/Bhagavad_Gita/Chapter-04/BRasamritaSw_BG_04-34.mp3</t>
  </si>
  <si>
    <t>BG 04-34 Part-01</t>
  </si>
  <si>
    <t>https://audio.iskcondesiretree.com/02_-_ISKCON_Swamis/ISKCON_Swamis_-_A_to_C/His_Holiness_Bhakti_Rasamrita_Swami/English_Lectures/Bhagavad_Gita/Chapter-04/BRasamritaSw_BG_04-34_Part-01.mp3</t>
  </si>
  <si>
    <t>BG 04-34 Part-02</t>
  </si>
  <si>
    <t>https://audio.iskcondesiretree.com/02_-_ISKCON_Swamis/ISKCON_Swamis_-_A_to_C/His_Holiness_Bhakti_Rasamrita_Swami/English_Lectures/Bhagavad_Gita/Chapter-04/BRasamritaSw_BG_04-34_Part-02.mp3</t>
  </si>
  <si>
    <t>BG 04-34 Part-03</t>
  </si>
  <si>
    <t>https://audio.iskcondesiretree.com/02_-_ISKCON_Swamis/ISKCON_Swamis_-_A_to_C/His_Holiness_Bhakti_Rasamrita_Swami/English_Lectures/Bhagavad_Gita/Chapter-04/BRasamritaSw_BG_04-34_Part-03.mp3</t>
  </si>
  <si>
    <t>BG 04-34 Part-04</t>
  </si>
  <si>
    <t>https://audio.iskcondesiretree.com/02_-_ISKCON_Swamis/ISKCON_Swamis_-_A_to_C/His_Holiness_Bhakti_Rasamrita_Swami/English_Lectures/Bhagavad_Gita/Chapter-04/BRasamritaSw_BG_04-34_Part-04.mp3</t>
  </si>
  <si>
    <t>BG 04-40</t>
  </si>
  <si>
    <t>https://audio.iskcondesiretree.com/02_-_ISKCON_Swamis/ISKCON_Swamis_-_A_to_C/His_Holiness_Bhakti_Rasamrita_Swami/English_Lectures/Bhagavad_Gita/Chapter-04/BRasamritaSw_BG_04-40.mp3</t>
  </si>
  <si>
    <t>BG 04-41-42</t>
  </si>
  <si>
    <t>https://audio.iskcondesiretree.com/02_-_ISKCON_Swamis/ISKCON_Swamis_-_A_to_C/His_Holiness_Bhakti_Rasamrita_Swami/English_Lectures/Bhagavad_Gita/Chapter-04/BRasamritaSw_BG_04-41-42.mp3</t>
  </si>
  <si>
    <t>BG 04-43</t>
  </si>
  <si>
    <t>https://audio.iskcondesiretree.com/02_-_ISKCON_Swamis/ISKCON_Swamis_-_A_to_C/His_Holiness_Bhakti_Rasamrita_Swami/English_Lectures/Bhagavad_Gita/Chapter-04/BRasamritaSw_BG_04-43.mp3</t>
  </si>
  <si>
    <t>BG 07-07</t>
  </si>
  <si>
    <t>https://audio.iskcondesiretree.com/02_-_ISKCON_Swamis/ISKCON_Swamis_-_A_to_C/His_Holiness_Bhakti_Rasamrita_Swami/English_Lectures/Bhagavad_Gita/Chapter-07/BRasamritaSw_BG_07-07.mp3</t>
  </si>
  <si>
    <t>BG 07-12-13</t>
  </si>
  <si>
    <t>https://audio.iskcondesiretree.com/02_-_ISKCON_Swamis/ISKCON_Swamis_-_A_to_C/His_Holiness_Bhakti_Rasamrita_Swami/English_Lectures/Bhagavad_Gita/Chapter-07/BRasamritaSw_BG_07-12-13.mp3</t>
  </si>
  <si>
    <t>BG 07-13 - 2003-09-19</t>
  </si>
  <si>
    <t>https://audio.iskcondesiretree.com/02_-_ISKCON_Swamis/ISKCON_Swamis_-_A_to_C/His_Holiness_Bhakti_Rasamrita_Swami/English_Lectures/Bhagavad_Gita/Chapter-07/BRasamritaSw_BG_07-13_-_2003-09-19.mp3</t>
  </si>
  <si>
    <t>BG 07-23-25</t>
  </si>
  <si>
    <t>https://audio.iskcondesiretree.com/02_-_ISKCON_Swamis/ISKCON_Swamis_-_A_to_C/His_Holiness_Bhakti_Rasamrita_Swami/English_Lectures/Bhagavad_Gita/Chapter-07/BRasamritaSw_BG_07-23-25.mp3</t>
  </si>
  <si>
    <t>BG 07-26</t>
  </si>
  <si>
    <t>https://audio.iskcondesiretree.com/02_-_ISKCON_Swamis/ISKCON_Swamis_-_A_to_C/His_Holiness_Bhakti_Rasamrita_Swami/English_Lectures/Bhagavad_Gita/Chapter-07/BRasamritaSw_BG_07-26.mp3</t>
  </si>
  <si>
    <t>BG 01-01-08</t>
  </si>
  <si>
    <t>https://audio.iskcondesiretree.com/02_-_ISKCON_Swamis/ISKCON_Swamis_-_A_to_C/His_Holiness_Bhakti_Rasamrita_Swami/English_Lectures/Bhagavad_Gita/Chapter-01/BRasamritaSw_BG_01-01-08.mp3</t>
  </si>
  <si>
    <t>BG 01-09-15</t>
  </si>
  <si>
    <t>https://audio.iskcondesiretree.com/02_-_ISKCON_Swamis/ISKCON_Swamis_-_A_to_C/His_Holiness_Bhakti_Rasamrita_Swami/English_Lectures/Bhagavad_Gita/Chapter-01/BRasamritaSw_BG_01-09-15.mp3</t>
  </si>
  <si>
    <t>BG 01-15-20</t>
  </si>
  <si>
    <t>https://audio.iskcondesiretree.com/02_-_ISKCON_Swamis/ISKCON_Swamis_-_A_to_C/His_Holiness_Bhakti_Rasamrita_Swami/English_Lectures/Bhagavad_Gita/Chapter-01/BRasamritaSw_BG_01-15-20.mp3</t>
  </si>
  <si>
    <t>BG 01-21-26</t>
  </si>
  <si>
    <t>https://audio.iskcondesiretree.com/02_-_ISKCON_Swamis/ISKCON_Swamis_-_A_to_C/His_Holiness_Bhakti_Rasamrita_Swami/English_Lectures/Bhagavad_Gita/Chapter-01/BRasamritaSw_BG_01-21-26.mp3</t>
  </si>
  <si>
    <t>BG 01-27-30</t>
  </si>
  <si>
    <t>https://audio.iskcondesiretree.com/02_-_ISKCON_Swamis/ISKCON_Swamis_-_A_to_C/His_Holiness_Bhakti_Rasamrita_Swami/English_Lectures/Bhagavad_Gita/Chapter-01/BRasamritaSw_BG_01-27-30.mp3</t>
  </si>
  <si>
    <t>BG 01-31-35</t>
  </si>
  <si>
    <t>https://audio.iskcondesiretree.com/02_-_ISKCON_Swamis/ISKCON_Swamis_-_A_to_C/His_Holiness_Bhakti_Rasamrita_Swami/English_Lectures/Bhagavad_Gita/Chapter-01/BRasamritaSw_BG_01-31-35.mp3</t>
  </si>
  <si>
    <t>BG 01-36-38</t>
  </si>
  <si>
    <t>https://audio.iskcondesiretree.com/02_-_ISKCON_Swamis/ISKCON_Swamis_-_A_to_C/His_Holiness_Bhakti_Rasamrita_Swami/English_Lectures/Bhagavad_Gita/Chapter-01/BRasamritaSw_BG_01-36-38.mp3</t>
  </si>
  <si>
    <t>BG 01-39-41</t>
  </si>
  <si>
    <t>https://audio.iskcondesiretree.com/02_-_ISKCON_Swamis/ISKCON_Swamis_-_A_to_C/His_Holiness_Bhakti_Rasamrita_Swami/English_Lectures/Bhagavad_Gita/Chapter-01/BRasamritaSw_BG_01-39-41.mp3</t>
  </si>
  <si>
    <t>BG 01-39-45</t>
  </si>
  <si>
    <t>https://audio.iskcondesiretree.com/02_-_ISKCON_Swamis/ISKCON_Swamis_-_A_to_C/His_Holiness_Bhakti_Rasamrita_Swami/English_Lectures/Bhagavad_Gita/Chapter-01/BRasamritaSw_BG_01-39-45.mp3</t>
  </si>
  <si>
    <t>BG 01-41</t>
  </si>
  <si>
    <t>https://audio.iskcondesiretree.com/02_-_ISKCON_Swamis/ISKCON_Swamis_-_A_to_C/His_Holiness_Bhakti_Rasamrita_Swami/English_Lectures/Bhagavad_Gita/Chapter-01/BRasamritaSw_BG_01-41.mp3</t>
  </si>
  <si>
    <t>BG 01-42-46</t>
  </si>
  <si>
    <t>https://audio.iskcondesiretree.com/02_-_ISKCON_Swamis/ISKCON_Swamis_-_A_to_C/His_Holiness_Bhakti_Rasamrita_Swami/English_Lectures/Bhagavad_Gita/Chapter-01/BRasamritaSw_BG_01-42-46.mp3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</si>
</sst>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1"/>
      <color rgb="FF000000"/>
      <name val="Arial"/>
      <family val="2"/>
    </font>
    <font>
      <u/>
      <sz val="11"/>
      <color rgb="FF000000"/>
      <name val="&quot;Aptos Narrow&quot;"/>
    </font>
    <font>
      <u/>
      <sz val="11"/>
      <color rgb="FF0000FF"/>
      <name val="&quot;Aptos Narrow&quot;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"/>
      <name val="Aptos Narrow"/>
      <family val="2"/>
    </font>
    <font>
      <u/>
      <sz val="11"/>
      <color rgb="FF0000FF"/>
      <name val="Aptos Narrow"/>
      <family val="2"/>
    </font>
    <font>
      <u/>
      <sz val="11"/>
      <color rgb="FF1155CC"/>
      <name val="&quot;Aptos Narrow&quot;, sans-serif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2" borderId="0" xfId="0" applyFont="1" applyFill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" fillId="0" borderId="3" xfId="0" applyFont="1" applyBorder="1" applyAlignment="1">
      <alignment horizont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udio.iskcondesiretree.com/01_-_Srila_Prabhupada/01_-_Lectures/01_-_English/02_-_Month_wise/04_-_April/05/Bg_04-16_BOM_1974-04-05_Today%27s_Education.mp3" TargetMode="External"/><Relationship Id="rId3182" Type="http://schemas.openxmlformats.org/officeDocument/2006/relationships/hyperlink" Target="https://audio.iskcondesiretree.com/01_-_Srila_Prabhupada/01_-_Lectures/01_-_English/02_-_Month_wise/05_-_May/15/Walk_1975-05-15_MW-PERTH.MP3" TargetMode="External"/><Relationship Id="rId4233" Type="http://schemas.openxmlformats.org/officeDocument/2006/relationships/hyperlink" Target="https://audio.iskcondesiretree.com/01_-_Srila_Prabhupada/01_-_Lectures/01_-_English/02_-_Month_wise/02_-_Feburary/12/SB-07-09-05_1976-02-12_SB-MAYAPUR.MP3" TargetMode="External"/><Relationship Id="rId3999" Type="http://schemas.openxmlformats.org/officeDocument/2006/relationships/hyperlink" Target="https://audio.iskcondesiretree.com/01_-_Srila_Prabhupada/01_-_Lectures/01_-_English/01_-_Topic_wise/Morning_Walk/SP_Morning_Walk_-_Bombay_1975-11-17_Dressed_Animals-Educated_Dogs.mp3" TargetMode="External"/><Relationship Id="rId4300" Type="http://schemas.openxmlformats.org/officeDocument/2006/relationships/hyperlink" Target="https://audio.iskcondesiretree.com/01_-_Srila_Prabhupada/01_-_Lectures/01_-_English/02_-_Month_wise/02_-_Feburary/29/SB_7-09-22_MAY_1976-02-29_It_Is_Not_Alright.mp3" TargetMode="External"/><Relationship Id="rId170" Type="http://schemas.openxmlformats.org/officeDocument/2006/relationships/hyperlink" Target="https://audio.iskcondesiretree.com/01_-_Srila_Prabhupada/01_-_Lectures/01_-_English/01_-_Topic_wise/Chaitanya_Charitamrita/Madhya_Lila/SP_CC_M_20-254_New_York_1966-12-17_Krishna%27s_Spiritual_%26_Material_World.mp3" TargetMode="External"/><Relationship Id="rId6058" Type="http://schemas.openxmlformats.org/officeDocument/2006/relationships/hyperlink" Target="https://audio.iskcondesiretree.com/01_-_Srila_Prabhupada/01_-_Lectures/01_-_English/01_-_Topic_wise/Krishna_Book/SP_Krsna_Book_Dict_10_-_The_Deliverance_of_Nalakuvera.mp3" TargetMode="External"/><Relationship Id="rId5074" Type="http://schemas.openxmlformats.org/officeDocument/2006/relationships/hyperlink" Target="https://audio.iskcondesiretree.com/01_-_Srila_Prabhupada/01_-_Lectures/01_-_English/01_-_Topic_wise/Room_Conversation/SP_Room_Conversation_Tehran_1976-08-09_The_%27Good_of_Humanity%27.mp3" TargetMode="External"/><Relationship Id="rId6125" Type="http://schemas.openxmlformats.org/officeDocument/2006/relationships/hyperlink" Target="https://audio.iskcondesiretree.com/01_-_Srila_Prabhupada/01_-_Lectures/01_-_English/01_-_Topic_wise/Stories/SP_Story_01_Introduction.mp3" TargetMode="External"/><Relationship Id="rId987" Type="http://schemas.openxmlformats.org/officeDocument/2006/relationships/hyperlink" Target="https://audio.iskcondesiretree.com/01_-_Srila_Prabhupada/01_-_Lectures/01_-_English/01_-_Topic_wise/Srimad_Bhagavatam/Canto-01/SP_SB_1-08-42_Los_Angeles_1973-05-04_How_Not_to_Be_in_the_Material_World.mp3" TargetMode="External"/><Relationship Id="rId2668" Type="http://schemas.openxmlformats.org/officeDocument/2006/relationships/hyperlink" Target="https://audio.iskcondesiretree.com/01_-_Srila_Prabhupada/01_-_Lectures/01_-_English/02_-_Month_wise/01_-_January/03/Conv_1975-01-03_R1-BOMBAY.MP3" TargetMode="External"/><Relationship Id="rId3719" Type="http://schemas.openxmlformats.org/officeDocument/2006/relationships/hyperlink" Target="https://audio.iskcondesiretree.com/01_-_Srila_Prabhupada/01_-_Lectures/01_-_English/01_-_Topic_wise/Srimad_Bhagavatam/Canto-06/SP_SB_6-01-68_Vrindavan_1975-09-04_Don%27t_Infect_Yourself_with--etc.mp3" TargetMode="External"/><Relationship Id="rId4090" Type="http://schemas.openxmlformats.org/officeDocument/2006/relationships/hyperlink" Target="https://audio.iskcondesiretree.com/01_-_Srila_Prabhupada/01_-_Lectures/01_-_English/02_-_Month_wise/12_-_December/14/Conv_1975-12-14_R1-DELHI.MP3" TargetMode="External"/><Relationship Id="rId1684" Type="http://schemas.openxmlformats.org/officeDocument/2006/relationships/hyperlink" Target="https://audio.iskcondesiretree.com/01_-_Srila_Prabhupada/01_-_Lectures/01_-_English/01_-_Topic_wise/Chaitanya_Charitamrita/Adi_Lila/SP_CC_A_07-05_Mayapur_1974-03-07_Krishna_Is_the_Ocean_of_Pleasure.mp3" TargetMode="External"/><Relationship Id="rId2735" Type="http://schemas.openxmlformats.org/officeDocument/2006/relationships/hyperlink" Target="https://audio.iskcondesiretree.com/01_-_Srila_Prabhupada/01_-_Lectures/01_-_English/02_-_Month_wise/01_-_January/27/Conv_1975-01-27_R1-TOKYO.MP3" TargetMode="External"/><Relationship Id="rId5141" Type="http://schemas.openxmlformats.org/officeDocument/2006/relationships/hyperlink" Target="https://audio.iskcondesiretree.com/01_-_Srila_Prabhupada/01_-_Lectures/01_-_English/02_-_Month_wise/08_-_August/21/Conv_1976-08-21_R2-HYDERABAD.MP3" TargetMode="External"/><Relationship Id="rId707" Type="http://schemas.openxmlformats.org/officeDocument/2006/relationships/hyperlink" Target="https://audio.iskcondesiretree.com/01_-_Srila_Prabhupada/01_-_Lectures/01_-_English/02_-_Month_wise/09_-_September/28/SB_1-03-23_LA_1972-09-28_What_Is_Actual_Happiness.mp3" TargetMode="External"/><Relationship Id="rId1337" Type="http://schemas.openxmlformats.org/officeDocument/2006/relationships/hyperlink" Target="https://audio.iskcondesiretree.com/01_-_Srila_Prabhupada/01_-_Lectures/01_-_English/01_-_Topic_wise/Bhagavad_Gita/Chapter-15/SP_BG_15-01_Bombay_1973-10-28_See_Spiritual_Identity_Everywhere.mp3" TargetMode="External"/><Relationship Id="rId1751" Type="http://schemas.openxmlformats.org/officeDocument/2006/relationships/hyperlink" Target="https://audio.iskcondesiretree.com/01_-_Srila_Prabhupada/01_-_Lectures/01_-_English/02_-_Month_wise/03_-_March/24/Bg-04-04_1974-03-24_BG-BOMBAY.MP3" TargetMode="External"/><Relationship Id="rId2802" Type="http://schemas.openxmlformats.org/officeDocument/2006/relationships/hyperlink" Target="https://audio.iskcondesiretree.com/01_-_Srila_Prabhupada/01_-_Lectures/01_-_English/02_-_Month_wise/02_-_Feburary/14/Conv_1975-02-14_QA-MEXICO%20CITY.MP3" TargetMode="External"/><Relationship Id="rId5958" Type="http://schemas.openxmlformats.org/officeDocument/2006/relationships/hyperlink" Target="https://audio.iskcondesiretree.com/01_-_Srila_Prabhupada/01_-_Lectures/01_-_English/02_-_Month_wise/10_-_October/18/Conv_1977-10-18_R3-VRNDAVAN.MP3" TargetMode="External"/><Relationship Id="rId43" Type="http://schemas.openxmlformats.org/officeDocument/2006/relationships/hyperlink" Target="https://audio.iskcondesiretree.com/01_-_Srila_Prabhupada/01_-_Lectures/01_-_English/02_-_Month_wise/05_-_May/30/Bg_03-21_NY_1966-05-30_How_to_Become_An_Ideal_Person.mp3" TargetMode="External"/><Relationship Id="rId1404" Type="http://schemas.openxmlformats.org/officeDocument/2006/relationships/hyperlink" Target="https://audio.iskcondesiretree.com/01_-_Srila_Prabhupada/01_-_Lectures/01_-_English/02_-_Month_wise/12_-_December/07/SB_1-15-29_LA_1973-12-07_Becoming_Anxiety-Less.mp3" TargetMode="External"/><Relationship Id="rId3576" Type="http://schemas.openxmlformats.org/officeDocument/2006/relationships/hyperlink" Target="https://audio.iskcondesiretree.com/01_-_Srila_Prabhupada/01_-_Lectures/01_-_English/01_-_Topic_wise/Srimad_Bhagavatam/Canto-06/SP_SB_6-1-42_Los_Angeles_1975-07-23.MP3" TargetMode="External"/><Relationship Id="rId4627" Type="http://schemas.openxmlformats.org/officeDocument/2006/relationships/hyperlink" Target="https://audio.iskcondesiretree.com/01_-_Srila_Prabhupada/01_-_Lectures/01_-_English/02_-_Month_wise/05_-_May/20/Conv_1976-05-20_R2-HONOLULU.MP3" TargetMode="External"/><Relationship Id="rId4974" Type="http://schemas.openxmlformats.org/officeDocument/2006/relationships/hyperlink" Target="https://audio.iskcondesiretree.com/01_-_Srila_Prabhupada/01_-_Lectures/01_-_English/02_-_Month_wise/07_-_July/14/Walk_1976-07-14_MW-NEW%20YORK.MP3" TargetMode="External"/><Relationship Id="rId497" Type="http://schemas.openxmlformats.org/officeDocument/2006/relationships/hyperlink" Target="https://audio.iskcondesiretree.com/01_-_Srila_Prabhupada/01_-_Lectures/01_-_English/02_-_Month_wise/02_-_Feburary/20/Lect_LA_1970-02-20_Initiation_Sannyasa--The_Spiritual_etc.mp3" TargetMode="External"/><Relationship Id="rId2178" Type="http://schemas.openxmlformats.org/officeDocument/2006/relationships/hyperlink" Target="https://audio.iskcondesiretree.com/01_-_Srila_Prabhupada/01_-_Lectures/01_-_English/02_-_Month_wise/06_-_June/21/Walk_1974-06-21_MW-GERMANY.MP3" TargetMode="External"/><Relationship Id="rId3229" Type="http://schemas.openxmlformats.org/officeDocument/2006/relationships/hyperlink" Target="https://audio.iskcondesiretree.com/01_-_Srila_Prabhupada/01_-_Lectures/01_-_English/02_-_Month_wise/05_-_May/22/Conv_1975-05-22_R1-MELBOURNE.MP3" TargetMode="External"/><Relationship Id="rId3990" Type="http://schemas.openxmlformats.org/officeDocument/2006/relationships/hyperlink" Target="https://audio.iskcondesiretree.com/01_-_Srila_Prabhupada/01_-_Lectures/01_-_English/02_-_Month_wise/11_-_November/15/Lecture%E2%80%93Hindi_1975-11-15_LE-BOMBAY.MP3" TargetMode="External"/><Relationship Id="rId1194" Type="http://schemas.openxmlformats.org/officeDocument/2006/relationships/hyperlink" Target="https://audio.iskcondesiretree.com/01_-_Srila_Prabhupada/01_-_Lectures/01_-_English/01_-_Topic_wise/Bhagavad_Gita/Chapter-02/SP_BG_02-15_London_1973-08-21_Don%27t_Cheat_Others.mp3" TargetMode="External"/><Relationship Id="rId2592" Type="http://schemas.openxmlformats.org/officeDocument/2006/relationships/hyperlink" Target="https://audio.iskcondesiretree.com/01_-_Srila_Prabhupada/01_-_Lectures/01_-_English/02_-_Month_wise/12_-_December/08/SB-03-25-39%E2%80%9340_1974-12-08_SB-BOMBAY.MP3" TargetMode="External"/><Relationship Id="rId3643" Type="http://schemas.openxmlformats.org/officeDocument/2006/relationships/hyperlink" Target="https://audio.iskcondesiretree.com/01_-_Srila_Prabhupada/01_-_Lectures/01_-_English/02_-_Month_wise/08_-_August/05/SB-06-01-52_1975-08-05_SB-DETROIT.MP3" TargetMode="External"/><Relationship Id="rId217" Type="http://schemas.openxmlformats.org/officeDocument/2006/relationships/hyperlink" Target="https://audio.iskcondesiretree.com/01_-_Srila_Prabhupada/01_-_Lectures/01_-_English/02_-_Month_wise/01_-_January/16/Cc_M_22-031_NY_1967-01-16_Krishna_Is_Sunshine_Maya_Is_Darkness.mp3" TargetMode="External"/><Relationship Id="rId564" Type="http://schemas.openxmlformats.org/officeDocument/2006/relationships/hyperlink" Target="https://audio.iskcondesiretree.com/01_-_Srila_Prabhupada/01_-_Lectures/01_-_English/01_-_Topic_wise/Various/SP_Lecture_Calcutta_1972-02-24_The_Origin_Was_A_Chunk--We_Are--etc.mp3" TargetMode="External"/><Relationship Id="rId2245" Type="http://schemas.openxmlformats.org/officeDocument/2006/relationships/hyperlink" Target="https://audio.iskcondesiretree.com/01_-_Srila_Prabhupada/01_-_Lectures/01_-_English/02_-_Month_wise/07_-_July/04/SB-01-08-18_1974-07-04_SB-CHICAGO.MP3" TargetMode="External"/><Relationship Id="rId3710" Type="http://schemas.openxmlformats.org/officeDocument/2006/relationships/hyperlink" Target="https://audio.iskcondesiretree.com/01_-_Srila_Prabhupada/01_-_Lectures/01_-_English/01_-_Topic_wise/Srimad_Bhagavatam/Canto-06/SP_SB_6-01-66_Vrindavan_1975-09-02_How_to_Degrade_Yourself.mp3" TargetMode="External"/><Relationship Id="rId631" Type="http://schemas.openxmlformats.org/officeDocument/2006/relationships/hyperlink" Target="https://audio.iskcondesiretree.com/01_-_Srila_Prabhupada/01_-_Lectures/01_-_English/01_-_Topic_wise/Various/SP_Lecture_San_Diego_1972-06-30_Initiation--Svaha_for_Krishna_or_for_Maya.mp3" TargetMode="External"/><Relationship Id="rId1261" Type="http://schemas.openxmlformats.org/officeDocument/2006/relationships/hyperlink" Target="https://audio.iskcondesiretree.com/01_-_Srila_Prabhupada/01_-_Lectures/01_-_English/01_-_Topic_wise/Various/SP_Lecture_Stockholm_1973-09-07_To_Students_Classless_Society_Impossible.mp3" TargetMode="External"/><Relationship Id="rId2312" Type="http://schemas.openxmlformats.org/officeDocument/2006/relationships/hyperlink" Target="https://audio.iskcondesiretree.com/01_-_Srila_Prabhupada/01_-_Lectures/01_-_English/02_-_Month_wise/04_-_April/SB-01-05-23_1974-08-04_SB-VRNDAVAN.MP3" TargetMode="External"/><Relationship Id="rId5468" Type="http://schemas.openxmlformats.org/officeDocument/2006/relationships/hyperlink" Target="https://audio.iskcondesiretree.com/01_-_Srila_Prabhupada/01_-_Lectures/01_-_English/02_-_Month_wise/11_-_November/30/SB-05-06-08_1976-11-30_SB-VRNDAVAN.MP3" TargetMode="External"/><Relationship Id="rId5882" Type="http://schemas.openxmlformats.org/officeDocument/2006/relationships/hyperlink" Target="https://audio.iskcondesiretree.com/01_-_Srila_Prabhupada/01_-_Lectures/01_-_English/02_-_Month_wise/06_-_June/21/Conv_1977-06-21_R1-VRNDAVAN.MP3" TargetMode="External"/><Relationship Id="rId4484" Type="http://schemas.openxmlformats.org/officeDocument/2006/relationships/hyperlink" Target="https://audio.iskcondesiretree.com/01_-_Srila_Prabhupada/01_-_Lectures/01_-_English/02_-_Month_wise/04_-_April/16/SB-07-12-05_1976-04-16_SB-BOMBAY.MP3" TargetMode="External"/><Relationship Id="rId5535" Type="http://schemas.openxmlformats.org/officeDocument/2006/relationships/hyperlink" Target="https://audio.iskcondesiretree.com/01_-_Srila_Prabhupada/01_-_Lectures/01_-_English/02_-_Month_wise/12_-_December/28/Conv_1976-12-28_R1-BOMBAY.MP3" TargetMode="External"/><Relationship Id="rId3086" Type="http://schemas.openxmlformats.org/officeDocument/2006/relationships/hyperlink" Target="https://audio.iskcondesiretree.com/01_-_Srila_Prabhupada/01_-_Lectures/01_-_English/02_-_Month_wise/04_-_April/11/SB_5-05-02_HYD_1975-04-11_Don%27t_Kill_Yourself.mp3" TargetMode="External"/><Relationship Id="rId4137" Type="http://schemas.openxmlformats.org/officeDocument/2006/relationships/hyperlink" Target="https://audio.iskcondesiretree.com/01_-_Srila_Prabhupada/01_-_Lectures/01_-_English/02_-_Month_wise/12_-_December/27/Bg-07-07_1975-12-27_BG-SANAND.MP3" TargetMode="External"/><Relationship Id="rId4551" Type="http://schemas.openxmlformats.org/officeDocument/2006/relationships/hyperlink" Target="https://audio.iskcondesiretree.com/01_-_Srila_Prabhupada/01_-_Lectures/01_-_English/02_-_Month_wise/04_-_April/30/Conv_1976-04-30_R1-FIJI.MP3" TargetMode="External"/><Relationship Id="rId3153" Type="http://schemas.openxmlformats.org/officeDocument/2006/relationships/hyperlink" Target="https://audio.iskcondesiretree.com/01_-_Srila_Prabhupada/01_-_Lectures/01_-_English/02_-_Month_wise/05_-_May/08/MW_PER_1975-05-08_Enlightened_Egoism.mp3" TargetMode="External"/><Relationship Id="rId4204" Type="http://schemas.openxmlformats.org/officeDocument/2006/relationships/hyperlink" Target="https://audio.iskcondesiretree.com/01_-_Srila_Prabhupada/01_-_Lectures/01_-_English/02_-_Month_wise/02_-_Feburary/03/Walk_1976-02-03_MW-MAYAPUR.MP3" TargetMode="External"/><Relationship Id="rId5602" Type="http://schemas.openxmlformats.org/officeDocument/2006/relationships/hyperlink" Target="https://audio.iskcondesiretree.com/01_-_Srila_Prabhupada/01_-_Lectures/01_-_English/02_-_Month_wise/01_-_January/19/Conv_1977-01-19_R2-BHUBANESWAR.MP3" TargetMode="External"/><Relationship Id="rId141" Type="http://schemas.openxmlformats.org/officeDocument/2006/relationships/hyperlink" Target="https://audio.iskcondesiretree.com/01_-_Srila_Prabhupada/01_-_Lectures/01_-_English/02_-_Month_wise/12_-_December/01/Cc_M_20-144_NY_1966-12-01_Central_Point_of_Attraction_is_Krsna.mp3" TargetMode="External"/><Relationship Id="rId3220" Type="http://schemas.openxmlformats.org/officeDocument/2006/relationships/hyperlink" Target="https://audio.iskcondesiretree.com/01_-_Srila_Prabhupada/01_-_Lectures/01_-_English/02_-_Month_wise/05_-_May/21/RC_MEL_1975-05-21_Director_of_Research_Vox_etc.mp3" TargetMode="External"/><Relationship Id="rId6029" Type="http://schemas.openxmlformats.org/officeDocument/2006/relationships/hyperlink" Target="https://audio.iskcondesiretree.com/01_-_Srila_Prabhupada/01_-_Lectures/01_-_English/01_-_Topic_wise/Bhagavad_Gita/More/SP_BG_00-04_Los_Angeles_1968-23-11_Intro_to_Bhagavad_Gita--etc.mp3" TargetMode="External"/><Relationship Id="rId7" Type="http://schemas.openxmlformats.org/officeDocument/2006/relationships/hyperlink" Target="https://audio.iskcondesiretree.com/01_-_Srila_Prabhupada/01_-_Lectures/01_-_English/01_-_Topic_wise/Bhagavad_Gita/Chapter-02/SP_BG_02-07-11_New_York_1966-03-02-The_Unavoidable_Battle--etc.mp3" TargetMode="External"/><Relationship Id="rId2986" Type="http://schemas.openxmlformats.org/officeDocument/2006/relationships/hyperlink" Target="https://audio.iskcondesiretree.com/01_-_Srila_Prabhupada/01_-_Lectures/01_-_English/01_-_Topic_wise/Morning_Walk/SP_Morning_Walk_-_Mayapur_1975-03-25.MP3" TargetMode="External"/><Relationship Id="rId5392" Type="http://schemas.openxmlformats.org/officeDocument/2006/relationships/hyperlink" Target="https://audio.iskcondesiretree.com/01_-_Srila_Prabhupada/01_-_Lectures/01_-_English/01_-_Topic_wise/Srimad_Bhagavatam/Canto-05/SP_SB_5-05-19_Vrindavan_1976-11-07_Spiritual_Eye_Surgery.mp3" TargetMode="External"/><Relationship Id="rId958" Type="http://schemas.openxmlformats.org/officeDocument/2006/relationships/hyperlink" Target="https://audio.iskcondesiretree.com/01_-_Srila_Prabhupada/01_-_Lectures/01_-_English/02_-_Month_wise/04_-_April/19/SB_1-08-27_LA_1973-04-19_Predominator_to_Predominated.mp3" TargetMode="External"/><Relationship Id="rId1588" Type="http://schemas.openxmlformats.org/officeDocument/2006/relationships/hyperlink" Target="https://audio.iskcondesiretree.com/01_-_Srila_Prabhupada/01_-_Lectures/01_-_English/02_-_Month_wise/02_-_Feburary/06/Conv_1974-02-06_R1-VRNDAVAN.MP3" TargetMode="External"/><Relationship Id="rId2639" Type="http://schemas.openxmlformats.org/officeDocument/2006/relationships/hyperlink" Target="https://audio.iskcondesiretree.com/01_-_Srila_Prabhupada/01_-_Lectures/01_-_English/01_-_Topic_wise/Srimad_Bhagavatam/Canto-03/SP_SB_3-26-15_Bombay_1974-12-24_Maya_Is_Krishna%27s.mp3" TargetMode="External"/><Relationship Id="rId5045" Type="http://schemas.openxmlformats.org/officeDocument/2006/relationships/hyperlink" Target="https://audio.iskcondesiretree.com/01_-_Srila_Prabhupada/01_-_Lectures/01_-_English/02_-_Month_wise/08_-_August/02/Lecture_1976-08-02_LE-NEW%20MAYAPUR.MP3" TargetMode="External"/><Relationship Id="rId1655" Type="http://schemas.openxmlformats.org/officeDocument/2006/relationships/hyperlink" Target="https://audio.iskcondesiretree.com/01_-_Srila_Prabhupada/01_-_Lectures/01_-_English/01_-_Topic_wise/Bhagavad_Gita/Chapter-15/SP_BG_15-01_Calcutta_1974-02-26_The_Purpose_of_Vedic_Study.mp3" TargetMode="External"/><Relationship Id="rId2706" Type="http://schemas.openxmlformats.org/officeDocument/2006/relationships/hyperlink" Target="https://audio.iskcondesiretree.com/01_-_Srila_Prabhupada/01_-_Lectures/01_-_English/02_-_Month_wise/01_-_January/17/SB_3-26-42_BOM_1975-01-17_Universal_Mixer_%26_Taste_Maker.mp3" TargetMode="External"/><Relationship Id="rId4061" Type="http://schemas.openxmlformats.org/officeDocument/2006/relationships/hyperlink" Target="https://audio.iskcondesiretree.com/01_-_Srila_Prabhupada/01_-_Lectures/01_-_English/02_-_Month_wise/12_-_December/07/SB_7-06-05_VRN_1975-12-07_Polished_Pig-ism.mp3" TargetMode="External"/><Relationship Id="rId5112" Type="http://schemas.openxmlformats.org/officeDocument/2006/relationships/hyperlink" Target="https://audio.iskcondesiretree.com/01_-_Srila_Prabhupada/01_-_Lectures/01_-_English/02_-_Month_wise/08_-_August/14/RC_BOM_1976-08-14_Spreading_Krishna%27s_Instructions.mp3" TargetMode="External"/><Relationship Id="rId1308" Type="http://schemas.openxmlformats.org/officeDocument/2006/relationships/hyperlink" Target="https://audio.iskcondesiretree.com/01_-_Srila_Prabhupada/01_-_Lectures/01_-_English/02_-_Month_wise/10_-_October/06/Bg_13-13_BOM_1973-10-06_Clutches_of_Birth_and_Death.mp3" TargetMode="External"/><Relationship Id="rId1722" Type="http://schemas.openxmlformats.org/officeDocument/2006/relationships/hyperlink" Target="https://audio.iskcondesiretree.com/01_-_Srila_Prabhupada/01_-_Lectures/01_-_English/02_-_Month_wise/03_-_March/16/Walk_1974-03-16_MW-VRNDAVAN.MP3" TargetMode="External"/><Relationship Id="rId4878" Type="http://schemas.openxmlformats.org/officeDocument/2006/relationships/hyperlink" Target="https://audio.iskcondesiretree.com/01_-_Srila_Prabhupada/01_-_Lectures/01_-_English/02_-_Month_wise/07_-_July/02/RC_WDC_1976-07-02_Prabhupada_Respecting_Prasadam_We_etc.mp3" TargetMode="External"/><Relationship Id="rId5929" Type="http://schemas.openxmlformats.org/officeDocument/2006/relationships/hyperlink" Target="https://audio.iskcondesiretree.com/01_-_Srila_Prabhupada/01_-_Lectures/01_-_English/02_-_Month_wise/10_-_October/02/Conv_1977-10-02_R1-VRNDAVAN.MP3" TargetMode="External"/><Relationship Id="rId14" Type="http://schemas.openxmlformats.org/officeDocument/2006/relationships/hyperlink" Target="https://audio.iskcondesiretree.com/01_-_Srila_Prabhupada/01_-_Lectures/01_-_English/02_-_Month_wise/03_-_March/09/Bg_02-12_NY_1966-03-09_God_Is_Individual_Person.mp3" TargetMode="External"/><Relationship Id="rId3894" Type="http://schemas.openxmlformats.org/officeDocument/2006/relationships/hyperlink" Target="https://audio.iskcondesiretree.com/01_-_Srila_Prabhupada/01_-_Lectures/01_-_English/02_-_Month_wise/10_-_October/19/Bg_04-13_JOH_1975-10-19_Sunday_Feast-Cat_and_Dog_Society.mp3" TargetMode="External"/><Relationship Id="rId4945" Type="http://schemas.openxmlformats.org/officeDocument/2006/relationships/hyperlink" Target="https://audio.iskcondesiretree.com/01_-_Srila_Prabhupada/01_-_Lectures/01_-_English/01_-_Topic_wise/Room_Conversation/SP_Room_Conversation_New_York_1976-07-11_Animal_Killers_Will_Never_Understand_God.mp3" TargetMode="External"/><Relationship Id="rId2496" Type="http://schemas.openxmlformats.org/officeDocument/2006/relationships/hyperlink" Target="https://audio.iskcondesiretree.com/01_-_Srila_Prabhupada/01_-_Lectures/01_-_English/02_-_Month_wise/11_-_November/05/SB_3-25-05_BOM_1974-11-05_An_Independent_Woman_etc.mp3" TargetMode="External"/><Relationship Id="rId3547" Type="http://schemas.openxmlformats.org/officeDocument/2006/relationships/hyperlink" Target="https://audio.iskcondesiretree.com/01_-_Srila_Prabhupada/01_-_Lectures/01_-_English/01_-_Topic_wise/Srimad_Bhagavatam/Canto-06/SP_SB_6-01-33_San_Francisco_1975-07-18_Catching_the_Tail_of_a_Dog.mp3" TargetMode="External"/><Relationship Id="rId3961" Type="http://schemas.openxmlformats.org/officeDocument/2006/relationships/hyperlink" Target="https://audio.iskcondesiretree.com/01_-_Srila_Prabhupada/01_-_Lectures/01_-_English/02_-_Month_wise/11_-_November/04/Walk_1975-11-04_MW-BOMBAY.MP3" TargetMode="External"/><Relationship Id="rId468" Type="http://schemas.openxmlformats.org/officeDocument/2006/relationships/hyperlink" Target="https://audio.iskcondesiretree.com/01_-_Srila_Prabhupada/01_-_Lectures/01_-_English/01_-_Topic_wise/Arrival_Address/SP_Arrival_London_1969-09-11_I_Teach_What_You_Have_Forgotten.mp3" TargetMode="External"/><Relationship Id="rId882" Type="http://schemas.openxmlformats.org/officeDocument/2006/relationships/hyperlink" Target="https://audio.iskcondesiretree.com/01_-_Srila_Prabhupada/01_-_Lectures/01_-_English/01_-_Topic_wise/Nectar_Of_Devotion/SP_NOD_Pg-13_Bombay_1973-01-01_-_What_Devotees_Want_and_Don%27t_Want.mp3" TargetMode="External"/><Relationship Id="rId1098" Type="http://schemas.openxmlformats.org/officeDocument/2006/relationships/hyperlink" Target="https://audio.iskcondesiretree.com/01_-_Srila_Prabhupada/01_-_Lectures/01_-_English/02_-_Month_wise/07_-_July/19/Bg_01-23_LON_1973-07-19_How_to_Enjoy_Real_Bliss.mp3" TargetMode="External"/><Relationship Id="rId2149" Type="http://schemas.openxmlformats.org/officeDocument/2006/relationships/hyperlink" Target="https://audio.iskcondesiretree.com/01_-_Srila_Prabhupada/01_-_Lectures/01_-_English/01_-_Topic_wise/Bhagavad_Gita/Chapter-02/SP_BG_02-01_Germany_1974-06-16_Who_Is_Krishna.mp3" TargetMode="External"/><Relationship Id="rId2563" Type="http://schemas.openxmlformats.org/officeDocument/2006/relationships/hyperlink" Target="https://audio.iskcondesiretree.com/01_-_Srila_Prabhupada/01_-_Lectures/01_-_English/02_-_Month_wise/11_-_November/28/SB_3-25-28_BOM_1974-11-28_You_Must_Go_to_a_Guru.mp3" TargetMode="External"/><Relationship Id="rId3614" Type="http://schemas.openxmlformats.org/officeDocument/2006/relationships/hyperlink" Target="https://audio.iskcondesiretree.com/01_-_Srila_Prabhupada/01_-_Lectures/01_-_English/02_-_Month_wise/07_-_July/30/SB_6-01-48_DAL_1975-07-30_Part_and_Parcel_of_Krishna.mp3" TargetMode="External"/><Relationship Id="rId6020" Type="http://schemas.openxmlformats.org/officeDocument/2006/relationships/hyperlink" Target="https://audio.iskcondesiretree.com/01_-_Srila_Prabhupada/01_-_Lectures/01_-_English/02_-_Month_wise/11_-_November/12/Conv_1977-11-12_R1-VRNDAVAN.MP3" TargetMode="External"/><Relationship Id="rId535" Type="http://schemas.openxmlformats.org/officeDocument/2006/relationships/hyperlink" Target="https://audio.iskcondesiretree.com/01_-_Srila_Prabhupada/01_-_Lectures/01_-_English/02_-_Month_wise/06_-_June/27/Fest_SF_1971-06-27_Ratha-yatra-Do_Not_Think_There_is_etc.mp3" TargetMode="External"/><Relationship Id="rId1165" Type="http://schemas.openxmlformats.org/officeDocument/2006/relationships/hyperlink" Target="https://audio.iskcondesiretree.com/01_-_Srila_Prabhupada/01_-_Lectures/01_-_English/02_-_Month_wise/08_-_August/11/Bg_13-03_PAR_1973-08-11_Krishna%27s_Definition_of_Knowledge.mp3" TargetMode="External"/><Relationship Id="rId2216" Type="http://schemas.openxmlformats.org/officeDocument/2006/relationships/hyperlink" Target="https://audio.iskcondesiretree.com/01_-_Srila_Prabhupada/01_-_Lectures/01_-_English/02_-_Month_wise/06_-_June/29/Conv_1974-06-29_R1-MELBOURNE.MP3" TargetMode="External"/><Relationship Id="rId2630" Type="http://schemas.openxmlformats.org/officeDocument/2006/relationships/hyperlink" Target="https://audio.iskcondesiretree.com/01_-_Srila_Prabhupada/01_-_Lectures/01_-_English/01_-_Topic_wise/Srimad_Bhagavatam/Canto-03/SP_SB_3-26-09_Bombay_1974-12-21_Controlled_Enjoyer.mp3" TargetMode="External"/><Relationship Id="rId5786" Type="http://schemas.openxmlformats.org/officeDocument/2006/relationships/hyperlink" Target="https://audio.iskcondesiretree.com/01_-_Srila_Prabhupada/01_-_Lectures/01_-_English/02_-_Month_wise/04_-_April/01/Lecture_1977-04-01_LE-BOMBAY.MP3" TargetMode="External"/><Relationship Id="rId602" Type="http://schemas.openxmlformats.org/officeDocument/2006/relationships/hyperlink" Target="https://audio.iskcondesiretree.com/01_-_Srila_Prabhupada/01_-_Lectures/01_-_English/02_-_Month_wise/06_-_June/13/SB_2-03-19_LA_1972-06-13_Doghouse_or_Igloo-_Home_Sweet_Home.mp3" TargetMode="External"/><Relationship Id="rId1232" Type="http://schemas.openxmlformats.org/officeDocument/2006/relationships/hyperlink" Target="https://audio.iskcondesiretree.com/01_-_Srila_Prabhupada/01_-_Lectures/01_-_English/02_-_Month_wise/08_-_August/30/MW_LON_1973-08-30_With_Schoolmaster-Keeping_People_in_Darkness.mp3" TargetMode="External"/><Relationship Id="rId4388" Type="http://schemas.openxmlformats.org/officeDocument/2006/relationships/hyperlink" Target="https://audio.iskcondesiretree.com/01_-_Srila_Prabhupada/01_-_Lectures/01_-_English/02_-_Month_wise/03_-_March/19/Walk_1976-03-19_MW-MAYAPUR.MP3" TargetMode="External"/><Relationship Id="rId5439" Type="http://schemas.openxmlformats.org/officeDocument/2006/relationships/hyperlink" Target="https://audio.iskcondesiretree.com/01_-_Srila_Prabhupada/01_-_Lectures/01_-_English/01_-_Topic_wise/Srimad_Bhagavatam/Canto-05/SP_SB_5-05-33_Vrindavan_1976-11-20_Ask_Rascal_Incarnations--etc.mp3" TargetMode="External"/><Relationship Id="rId5853" Type="http://schemas.openxmlformats.org/officeDocument/2006/relationships/hyperlink" Target="https://audio.iskcondesiretree.com/01_-_Srila_Prabhupada/01_-_Lectures/01_-_English/02_-_Month_wise/05_-_May/17/Arrival_1977-05-17_AR-VRNDAVAN.MP3" TargetMode="External"/><Relationship Id="rId3057" Type="http://schemas.openxmlformats.org/officeDocument/2006/relationships/hyperlink" Target="https://audio.iskcondesiretree.com/01_-_Srila_Prabhupada/01_-_Lectures/01_-_English/02_-_Month_wise/04_-_April/05/Walk_1975-04-05_MW-MAYAPUR.MP3" TargetMode="External"/><Relationship Id="rId4108" Type="http://schemas.openxmlformats.org/officeDocument/2006/relationships/hyperlink" Target="https://audio.iskcondesiretree.com/01_-_Srila_Prabhupada/01_-_Lectures/01_-_English/02_-_Month_wise/12_-_December/20/Bg_07-01_BOM_1975-12-20_The_Real_Thing.mp3" TargetMode="External"/><Relationship Id="rId4455" Type="http://schemas.openxmlformats.org/officeDocument/2006/relationships/hyperlink" Target="https://audio.iskcondesiretree.com/01_-_Srila_Prabhupada/01_-_Lectures/01_-_English/02_-_Month_wise/04_-_April/09/Walk_1976-04-09_MW-VRNDAVAN.MP3" TargetMode="External"/><Relationship Id="rId5506" Type="http://schemas.openxmlformats.org/officeDocument/2006/relationships/hyperlink" Target="https://audio.iskcondesiretree.com/01_-_Srila_Prabhupada/01_-_Lectures/01_-_English/01_-_Topic_wise/Bhagavad_Gita/Chapter-16/SP_BG_16-08_Hyderabad_1976-12-16_Deliver_Your_Neighborhood.mp3" TargetMode="External"/><Relationship Id="rId5920" Type="http://schemas.openxmlformats.org/officeDocument/2006/relationships/hyperlink" Target="https://audio.iskcondesiretree.com/01_-_Srila_Prabhupada/01_-_Lectures/01_-_English/02_-_Month_wise/07_-_July/19/Conv_1977-07-19_R2-VRNDAVAN.MP3" TargetMode="External"/><Relationship Id="rId3471" Type="http://schemas.openxmlformats.org/officeDocument/2006/relationships/hyperlink" Target="https://audio.iskcondesiretree.com/01_-_Srila_Prabhupada/01_-_Lectures/01_-_English/02_-_Month_wise/07_-_July/09/Interv_CHI_1975-07-09_Press-A_Higher_Philosophy.mp3" TargetMode="External"/><Relationship Id="rId4522" Type="http://schemas.openxmlformats.org/officeDocument/2006/relationships/hyperlink" Target="https://audio.iskcondesiretree.com/01_-_Srila_Prabhupada/01_-_Lectures/01_-_English/01_-_Topic_wise/Room_Conversation/SP_Room_Conversation_Melbourne_1976-04-23_Cleanse_the_Core_of_the_Heart.mp3" TargetMode="External"/><Relationship Id="rId392" Type="http://schemas.openxmlformats.org/officeDocument/2006/relationships/hyperlink" Target="https://audio.iskcondesiretree.com/01_-_Srila_Prabhupada/01_-_Lectures/01_-_English/01_-_Topic_wise/Various/SP_Lecture_New_York_1969-04-09_Practical_Renunciation.mp3" TargetMode="External"/><Relationship Id="rId2073" Type="http://schemas.openxmlformats.org/officeDocument/2006/relationships/hyperlink" Target="https://audio.iskcondesiretree.com/01_-_Srila_Prabhupada/01_-_Lectures/01_-_English/02_-_Month_wise/06_-_June/07/Bg_08-01_GEN_1974-06-07_Women_Should_Give_Birth_Soon.mp3" TargetMode="External"/><Relationship Id="rId3124" Type="http://schemas.openxmlformats.org/officeDocument/2006/relationships/hyperlink" Target="https://audio.iskcondesiretree.com/01_-_Srila_Prabhupada/01_-_Lectures/01_-_English/01_-_Topic_wise/Room_Conversation/SP_Room_Conversation_Vrindavan_1975-04-19.MP3" TargetMode="External"/><Relationship Id="rId2140" Type="http://schemas.openxmlformats.org/officeDocument/2006/relationships/hyperlink" Target="https://audio.iskcondesiretree.com/01_-_Srila_Prabhupada/01_-_Lectures/01_-_English/01_-_Topic_wise/Room_Conversation/SP_Room_Conversation_Paris_1974-06-15_About_Kali-yuga_In_the--etc.mp3" TargetMode="External"/><Relationship Id="rId5296" Type="http://schemas.openxmlformats.org/officeDocument/2006/relationships/hyperlink" Target="https://audio.iskcondesiretree.com/01_-_Srila_Prabhupada/01_-_Lectures/01_-_English/02_-_Month_wise/10_-_October/03/SB-01-07-43_1976-10-03_SB-VRNDAVAN.MP3" TargetMode="External"/><Relationship Id="rId112" Type="http://schemas.openxmlformats.org/officeDocument/2006/relationships/hyperlink" Target="https://audio.iskcondesiretree.com/01_-_Srila_Prabhupada/01_-_Lectures/01_-_English/01_-_Topic_wise/Chaitanya_Charitamrita/Madhya_Lila/SP_CC_M_20-100_New_York_1966-11-22_Sadhu_Inquires_for_the_Sake--etc.mp3" TargetMode="External"/><Relationship Id="rId5363" Type="http://schemas.openxmlformats.org/officeDocument/2006/relationships/hyperlink" Target="https://audio.iskcondesiretree.com/01_-_Srila_Prabhupada/01_-_Lectures/01_-_English/01_-_Topic_wise/Srimad_Bhagavatam/Canto-05/SP_SB_5-05-10_Vrindavan_1976-11-01_Simple_Living.mp3" TargetMode="External"/><Relationship Id="rId2957" Type="http://schemas.openxmlformats.org/officeDocument/2006/relationships/hyperlink" Target="https://audio.iskcondesiretree.com/01_-_Srila_Prabhupada/01_-_Lectures/01_-_English/02_-_Month_wise/03_-_March/13/SB_1-10-03_TEH_1975-03-13_Monarchy_%26_Maha-Mantra-Perfect.mp3" TargetMode="External"/><Relationship Id="rId5016" Type="http://schemas.openxmlformats.org/officeDocument/2006/relationships/hyperlink" Target="https://audio.iskcondesiretree.com/01_-_Srila_Prabhupada/01_-_Lectures/01_-_English/02_-_Month_wise/07_-_July/25/Bg_13-03_LON_1976-07-25_Controllers-Junior_and_Senior.mp3" TargetMode="External"/><Relationship Id="rId929" Type="http://schemas.openxmlformats.org/officeDocument/2006/relationships/hyperlink" Target="https://audio.iskcondesiretree.com/01_-_Srila_Prabhupada/01_-_Lectures/02_-_Bengali/1973-03-13_Lecture_-_Calcutta.mp3" TargetMode="External"/><Relationship Id="rId1559" Type="http://schemas.openxmlformats.org/officeDocument/2006/relationships/hyperlink" Target="https://audio.iskcondesiretree.com/01_-_Srila_Prabhupada/01_-_Lectures/01_-_English/02_-_Month_wise/01_-_January/21/SB_1-16-25_HAW_1974-01-21_Finding_Happiness.mp3" TargetMode="External"/><Relationship Id="rId1973" Type="http://schemas.openxmlformats.org/officeDocument/2006/relationships/hyperlink" Target="https://audio.iskcondesiretree.com/01_-_Srila_Prabhupada/01_-_Lectures/01_-_English/01_-_Topic_wise/Room_Conversation/SP_Room_Conversation_Rome_1974-05-24_Secretary_to_the_Pope--Love_for--etc.mp3" TargetMode="External"/><Relationship Id="rId4032" Type="http://schemas.openxmlformats.org/officeDocument/2006/relationships/hyperlink" Target="https://audio.iskcondesiretree.com/01_-_Srila_Prabhupada/01_-_Lectures/01_-_English/01_-_Topic_wise/Morning_Walk/SP_Morning_Walk_-_Delhi_1975-11-29_Lions_Are_Better_than_Marxists.mp3" TargetMode="External"/><Relationship Id="rId5430" Type="http://schemas.openxmlformats.org/officeDocument/2006/relationships/hyperlink" Target="https://audio.iskcondesiretree.com/01_-_Srila_Prabhupada/01_-_Lectures/01_-_English/02_-_Month_wise/11_-_November/16/SB_5-05-29_VRN_1976-11-16_Peace_Impossible.mp3" TargetMode="External"/><Relationship Id="rId1626" Type="http://schemas.openxmlformats.org/officeDocument/2006/relationships/hyperlink" Target="https://audio.iskcondesiretree.com/01_-_Srila_Prabhupada/01_-_Lectures/01_-_English/01_-_Topic_wise/Morning_Walk/SP_Morning_Walk_-_Bombay_1974-02-19.mp3" TargetMode="External"/><Relationship Id="rId3798" Type="http://schemas.openxmlformats.org/officeDocument/2006/relationships/hyperlink" Target="https://audio.iskcondesiretree.com/01_-_Srila_Prabhupada/01_-_Lectures/01_-_English/02_-_Month_wise/10_-_October/01/Arr_MAU_1975-10-01_This_Body_Is_a_Bag.mp3" TargetMode="External"/><Relationship Id="rId4849" Type="http://schemas.openxmlformats.org/officeDocument/2006/relationships/hyperlink" Target="https://audio.iskcondesiretree.com/01_-_Srila_Prabhupada/01_-_Lectures/01_-_English/02_-_Month_wise/06_-_June/28/Conv_1976-06-28_R2-NEW%20VRINDAVAN.MP3" TargetMode="External"/><Relationship Id="rId3865" Type="http://schemas.openxmlformats.org/officeDocument/2006/relationships/hyperlink" Target="https://audio.iskcondesiretree.com/01_-_Srila_Prabhupada/01_-_Lectures/01_-_English/02_-_Month_wise/10_-_October/14/Conv_1975-10-14_R1-JOHANNESBURG.MP3" TargetMode="External"/><Relationship Id="rId4916" Type="http://schemas.openxmlformats.org/officeDocument/2006/relationships/hyperlink" Target="https://audio.iskcondesiretree.com/01_-_Srila_Prabhupada/01_-_Lectures/01_-_English/01_-_Topic_wise/Room_Conversation/SP_Room_Conversation_Washington_DC_1976-07-07_Prof--Rascals_Know_Everything_Except_God.mp3" TargetMode="External"/><Relationship Id="rId786" Type="http://schemas.openxmlformats.org/officeDocument/2006/relationships/hyperlink" Target="https://audio.iskcondesiretree.com/01_-_Srila_Prabhupada/01_-_Lectures/01_-_English/02_-_Month_wise/11_-_November/05/NOD_10_VRN_1972-11-05_The_Complete_Science_of_Bhakti-Yoga.mp3" TargetMode="External"/><Relationship Id="rId2467" Type="http://schemas.openxmlformats.org/officeDocument/2006/relationships/hyperlink" Target="https://audio.iskcondesiretree.com/01_-_Srila_Prabhupada/01_-_Lectures/01_-_English/01_-_Topic_wise/Srimad_Bhagavatam/Canto-01/SP_SB_1-08-45_Mayapur_1974-10-25_Krishna_Wants_to_Be_Controlled.mp3" TargetMode="External"/><Relationship Id="rId3518" Type="http://schemas.openxmlformats.org/officeDocument/2006/relationships/hyperlink" Target="https://audio.iskcondesiretree.com/01_-_Srila_Prabhupada/01_-_Lectures/01_-_English/02_-_Month_wise/07_-_July/13/Interv_PHI_1975-07-13_Press-Phi._Enquirer-Women%27s_etc.mp3" TargetMode="External"/><Relationship Id="rId439" Type="http://schemas.openxmlformats.org/officeDocument/2006/relationships/hyperlink" Target="https://audio.iskcondesiretree.com/01_-_Srila_Prabhupada/01_-_Lectures/01_-_English/02_-_Month_wise/06_-_June/04/Lect_NV_1969-06-04_Initiation-This_World_Is_Hong_Kong_Flu.mp3" TargetMode="External"/><Relationship Id="rId1069" Type="http://schemas.openxmlformats.org/officeDocument/2006/relationships/hyperlink" Target="https://audio.iskcondesiretree.com/01_-_Srila_Prabhupada/01_-_Lectures/01_-_English/02_-_Month_wise/07_-_July/10/Bg_01-04_LON_1973-07-10_Everything_Even_etc.mp3" TargetMode="External"/><Relationship Id="rId1483" Type="http://schemas.openxmlformats.org/officeDocument/2006/relationships/hyperlink" Target="https://audio.iskcondesiretree.com/01_-_Srila_Prabhupada/01_-_Lectures/01_-_English/02_-_Month_wise/01_-_January/04/SB_1-16-07_LA_1974-01-04_Inevitable_Death_and_a_Way_Out.mp3" TargetMode="External"/><Relationship Id="rId2881" Type="http://schemas.openxmlformats.org/officeDocument/2006/relationships/hyperlink" Target="https://audio.iskcondesiretree.com/01_-_Srila_Prabhupada/01_-_Lectures/01_-_English/02_-_Month_wise/03_-_March/01/MW_ATL_1975-03-01_Don%27t_Speculate-Hear.mp3" TargetMode="External"/><Relationship Id="rId3932" Type="http://schemas.openxmlformats.org/officeDocument/2006/relationships/hyperlink" Target="https://audio.iskcondesiretree.com/01_-_Srila_Prabhupada/01_-_Lectures/01_-_English/02_-_Month_wise/10_-_October/29/Conv_1975-10-29_R1-NAIROBI.MP3" TargetMode="External"/><Relationship Id="rId506" Type="http://schemas.openxmlformats.org/officeDocument/2006/relationships/hyperlink" Target="https://audio.iskcondesiretree.com/01_-_Srila_Prabhupada/01_-_Lectures/01_-_English/01_-_Topic_wise/Isopanishad/SP_Isopanisad_00_Los_Angeles_1970-05-02_Matter_Has_No_Power.mp3" TargetMode="External"/><Relationship Id="rId853" Type="http://schemas.openxmlformats.org/officeDocument/2006/relationships/hyperlink" Target="https://audio.iskcondesiretree.com/01_-_Srila_Prabhupada/01_-_Lectures/01_-_English/02_-_Month_wise/12_-_December/06/Bg_02-01_AHM_1972-12-06_Krishna_Gave_Bhagavad-gita_to_etc.mp3" TargetMode="External"/><Relationship Id="rId1136" Type="http://schemas.openxmlformats.org/officeDocument/2006/relationships/hyperlink" Target="https://audio.iskcondesiretree.com/01_-_Srila_Prabhupada/01_-_Lectures/01_-_English/01_-_Topic_wise/Bhagavad_Gita/Chapter-01/SP_BG_01-44_London_1973-07-31_Only_Rascal_Says_Krishna_Is_Immoral.mp3" TargetMode="External"/><Relationship Id="rId2534" Type="http://schemas.openxmlformats.org/officeDocument/2006/relationships/hyperlink" Target="https://audio.iskcondesiretree.com/01_-_Srila_Prabhupada/01_-_Lectures/01_-_English/02_-_Month_wise/11_-_November/19/SB-03-25-19_1974-11-19_SB-BOMBAY.MP3" TargetMode="External"/><Relationship Id="rId920" Type="http://schemas.openxmlformats.org/officeDocument/2006/relationships/hyperlink" Target="https://audio.iskcondesiretree.com/01_-_Srila_Prabhupada/01_-_Lectures/01_-_English/02_-_Month_wise/01_-_January/31/Lect_CAL_1973-01-31_At_Indo-American_etc.mp3" TargetMode="External"/><Relationship Id="rId1550" Type="http://schemas.openxmlformats.org/officeDocument/2006/relationships/hyperlink" Target="https://audio.iskcondesiretree.com/01_-_Srila_Prabhupada/01_-_Lectures/01_-_English/02_-_Month_wise/01_-_January/19/Walk_1974-01-19_MW-HONOLULU.MP3" TargetMode="External"/><Relationship Id="rId2601" Type="http://schemas.openxmlformats.org/officeDocument/2006/relationships/hyperlink" Target="https://audio.iskcondesiretree.com/01_-_Srila_Prabhupada/01_-_Lectures/01_-_English/02_-_Month_wise/12_-_December/11/SB-03-25-43_1974-12-11_SB-BOMBAY.MP3" TargetMode="External"/><Relationship Id="rId5757" Type="http://schemas.openxmlformats.org/officeDocument/2006/relationships/hyperlink" Target="https://audio.iskcondesiretree.com/01_-_Srila_Prabhupada/01_-_Lectures/01_-_English/01_-_Topic_wise/Room_Conversation/SP_Room_Conversation_Bombay_1977-03-23_Krishna_Culture.mp3" TargetMode="External"/><Relationship Id="rId1203" Type="http://schemas.openxmlformats.org/officeDocument/2006/relationships/hyperlink" Target="https://audio.iskcondesiretree.com/01_-_Srila_Prabhupada/01_-_Lectures/01_-_English/02_-_Month_wise/08_-_August/21/Fest_LON_1973-08-21_Janmastami.mp3" TargetMode="External"/><Relationship Id="rId4359" Type="http://schemas.openxmlformats.org/officeDocument/2006/relationships/hyperlink" Target="https://audio.iskcondesiretree.com/01_-_Srila_Prabhupada/01_-_Lectures/01_-_English/01_-_Topic_wise/Srimad_Bhagavatam/Canto-07/SP_SB_7-09-37_Mayapur_1976-03-15_Faith_Vs._Fact.mp3" TargetMode="External"/><Relationship Id="rId4773" Type="http://schemas.openxmlformats.org/officeDocument/2006/relationships/hyperlink" Target="https://audio.iskcondesiretree.com/01_-_Srila_Prabhupada/01_-_Lectures/01_-_English/01_-_Topic_wise/Srimad_Bhagavatam/Canto-07/SP_SB_7-06-02_Toronto_1976-06-18_Innermost_Benefit_from_the--etc.mp3" TargetMode="External"/><Relationship Id="rId5824" Type="http://schemas.openxmlformats.org/officeDocument/2006/relationships/hyperlink" Target="https://audio.iskcondesiretree.com/01_-_Srila_Prabhupada/01_-_Lectures/01_-_English/02_-_Month_wise/04_-_April/25/RC_BOM_1977-04-25_Go_to_the_Dogs_or_the_Gita.mp3" TargetMode="External"/><Relationship Id="rId3375" Type="http://schemas.openxmlformats.org/officeDocument/2006/relationships/hyperlink" Target="https://audio.iskcondesiretree.com/01_-_Srila_Prabhupada/01_-_Lectures/01_-_English/02_-_Month_wise/06_-_June/26/Conv_1975-06-26_R1-LOS%20ANGELES.MP3" TargetMode="External"/><Relationship Id="rId4426" Type="http://schemas.openxmlformats.org/officeDocument/2006/relationships/hyperlink" Target="https://audio.iskcondesiretree.com/01_-_Srila_Prabhupada/01_-_Lectures/01_-_English/02_-_Month_wise/04_-_April/04/Conv_1976-04-04_R1-VRNDAVAN.MP3" TargetMode="External"/><Relationship Id="rId4840" Type="http://schemas.openxmlformats.org/officeDocument/2006/relationships/hyperlink" Target="https://audio.iskcondesiretree.com/01_-_Srila_Prabhupada/01_-_Lectures/01_-_English/01_-_Topic_wise/Room_Conversation/SP_Room_Conversation_New_Vrindavan_1976-06-28_Bhavans_Journal-1_Society_Going_to_the_Dogs.mp3" TargetMode="External"/><Relationship Id="rId296" Type="http://schemas.openxmlformats.org/officeDocument/2006/relationships/hyperlink" Target="https://audio.iskcondesiretree.com/01_-_Srila_Prabhupada/01_-_Lectures/01_-_English/01_-_Topic_wise/Festivals/SP_Festivals_Los_Angeles_1968-11-18_Bhajan%2C_Lect%2C_Kirtan_on_Six_Goswamis.mp3" TargetMode="External"/><Relationship Id="rId2391" Type="http://schemas.openxmlformats.org/officeDocument/2006/relationships/hyperlink" Target="https://audio.iskcondesiretree.com/01_-_Srila_Prabhupada/01_-_Lectures/01_-_English/02_-_Month_wise/09_-_September/27/SB-01-02-19_1974-09-27_SB-CALCUTTA.MP3" TargetMode="External"/><Relationship Id="rId3028" Type="http://schemas.openxmlformats.org/officeDocument/2006/relationships/hyperlink" Target="https://audio.iskcondesiretree.com/01_-_Srila_Prabhupada/01_-_Lectures/01_-_English/02_-_Month_wise/04_-_April/01/RC_MAY_1975-04-01_Theologian_Speculators.mp3" TargetMode="External"/><Relationship Id="rId3442" Type="http://schemas.openxmlformats.org/officeDocument/2006/relationships/hyperlink" Target="https://audio.iskcondesiretree.com/01_-_Srila_Prabhupada/01_-_Lectures/01_-_English/02_-_Month_wise/07_-_July/05/MW_CHI_1975-07-05_The_Rarest_Books_in_the_World.mp3" TargetMode="External"/><Relationship Id="rId363" Type="http://schemas.openxmlformats.org/officeDocument/2006/relationships/hyperlink" Target="https://audio.iskcondesiretree.com/01_-_Srila_Prabhupada/01_-_Lectures/01_-_English/01_-_Topic_wise/Various/SP_Lecture_Los_Angeles_1969-02-09_Guaranteed_Relief.mp3" TargetMode="External"/><Relationship Id="rId2044" Type="http://schemas.openxmlformats.org/officeDocument/2006/relationships/hyperlink" Target="https://audio.iskcondesiretree.com/01_-_Srila_Prabhupada/01_-_Lectures/01_-_English/01_-_Topic_wise/Room_Conversation/SP_Room_Conversation_Geneva_1974-06-04_Biochemist--Scientific_and_Spiritual-Unite.mp3" TargetMode="External"/><Relationship Id="rId430" Type="http://schemas.openxmlformats.org/officeDocument/2006/relationships/hyperlink" Target="https://audio.iskcondesiretree.com/01_-_Srila_Prabhupada/01_-_Lectures/01_-_English/01_-_Topic_wise/Room_Conversation/SP_Room_Conversation_Columbus_1969-05-14_Allen_Ginsberg--The_Senses_Come_to--etc.mp3" TargetMode="External"/><Relationship Id="rId1060" Type="http://schemas.openxmlformats.org/officeDocument/2006/relationships/hyperlink" Target="https://audio.iskcondesiretree.com/01_-_Srila_Prabhupada/01_-_Lectures/01_-_English/01_-_Topic_wise/Room_Conversation/SP_Room_Conversation_London_1973-07-09_Act_According_to_Krishna%27s_Whims.mp3" TargetMode="External"/><Relationship Id="rId2111" Type="http://schemas.openxmlformats.org/officeDocument/2006/relationships/hyperlink" Target="https://audio.iskcondesiretree.com/01_-_Srila_Prabhupada/01_-_Lectures/01_-_English/02_-_Month_wise/06_-_June/12/RC_PAR_1974-06-12_French_Poet--Flies_Want_to_Enjoy_the_Fire.mp3" TargetMode="External"/><Relationship Id="rId5267" Type="http://schemas.openxmlformats.org/officeDocument/2006/relationships/hyperlink" Target="https://audio.iskcondesiretree.com/01_-_Srila_Prabhupada/01_-_Lectures/01_-_English/02_-_Month_wise/09_-_September/26/SB-01-07-30%E2%80%9331_1976-09-26_SB-VRNDAVAN.MP3" TargetMode="External"/><Relationship Id="rId5681" Type="http://schemas.openxmlformats.org/officeDocument/2006/relationships/hyperlink" Target="https://audio.iskcondesiretree.com/01_-_Srila_Prabhupada/01_-_Lectures/01_-_English/02_-_Month_wise/02_-_Feburary/04/Arr_CAL_1977-02-04_The_Fight_Against_Atheism.mp3" TargetMode="External"/><Relationship Id="rId1877" Type="http://schemas.openxmlformats.org/officeDocument/2006/relationships/hyperlink" Target="https://audio.iskcondesiretree.com/01_-_Srila_Prabhupada/01_-_Lectures/01_-_English/01_-_Topic_wise/Bhagavad_Gita/Chapter-04/SP_BG_04-27_Bombay_1974-04-16_Learning_to_Satisfy_the_Right_Senses.mp3" TargetMode="External"/><Relationship Id="rId2928" Type="http://schemas.openxmlformats.org/officeDocument/2006/relationships/hyperlink" Target="https://audio.iskcondesiretree.com/01_-_Srila_Prabhupada/01_-_Lectures/01_-_English/01_-_Topic_wise/Bhagavad_Gita/Chapter-07/SP_BG_07-01_London_1975-03-09_Attachment_to_the_Supreme.mp3" TargetMode="External"/><Relationship Id="rId4283" Type="http://schemas.openxmlformats.org/officeDocument/2006/relationships/hyperlink" Target="https://audio.iskcondesiretree.com/01_-_Srila_Prabhupada/01_-_Lectures/01_-_English/02_-_Month_wise/02_-_Feburary/25/Walk_1976-02-25_MW-MAYAPUR.MP3" TargetMode="External"/><Relationship Id="rId5334" Type="http://schemas.openxmlformats.org/officeDocument/2006/relationships/hyperlink" Target="https://audio.iskcondesiretree.com/01_-_Srila_Prabhupada/01_-_Lectures/01_-_English/02_-_Month_wise/10_-_October/16/Bg-09-03%E2%80%93Hindi_1976-10-16_BG-CHANDIGARH.MP3" TargetMode="External"/><Relationship Id="rId1944" Type="http://schemas.openxmlformats.org/officeDocument/2006/relationships/hyperlink" Target="https://audio.iskcondesiretree.com/01_-_Srila_Prabhupada/01_-_Lectures/01_-_English/02_-_Month_wise/04_-_April/29/Walk_1974-04-29_MW-HYDERABAD.MP3" TargetMode="External"/><Relationship Id="rId4350" Type="http://schemas.openxmlformats.org/officeDocument/2006/relationships/hyperlink" Target="https://audio.iskcondesiretree.com/01_-_Srila_Prabhupada/01_-_Lectures/01_-_English/02_-_Month_wise/03_-_March/12/SB-07-09-34_1976-03-12_SB-MAYAPUR.MP3" TargetMode="External"/><Relationship Id="rId5401" Type="http://schemas.openxmlformats.org/officeDocument/2006/relationships/hyperlink" Target="https://audio.iskcondesiretree.com/01_-_Srila_Prabhupada/01_-_Lectures/01_-_English/01_-_Topic_wise/Srimad_Bhagavatam/Canto-05/SP_SB_5-05-23_Vrindavan_1976-11-10_Culture-Brahminical_or_Animal.mp3" TargetMode="External"/><Relationship Id="rId4003" Type="http://schemas.openxmlformats.org/officeDocument/2006/relationships/hyperlink" Target="https://audio.iskcondesiretree.com/01_-_Srila_Prabhupada/01_-_Lectures/01_-_English/02_-_Month_wise/11_-_November/17/Walk_1975-11-17_MW-BOMBAY.MP3" TargetMode="External"/><Relationship Id="rId6175" Type="http://schemas.openxmlformats.org/officeDocument/2006/relationships/hyperlink" Target="https://audio.iskcondesiretree.com/01_-_Srila_Prabhupada/01_-_Lectures/03_-_Hindi/SP_Hindi_03_Lectures_%26_Conversations.mp3" TargetMode="External"/><Relationship Id="rId3769" Type="http://schemas.openxmlformats.org/officeDocument/2006/relationships/hyperlink" Target="https://audio.iskcondesiretree.com/01_-_Srila_Prabhupada/01_-_Lectures/01_-_English/01_-_Topic_wise/Morning_Walk/SP_Morning_Walk_-_Vrindavan_1975-09-18.MP3" TargetMode="External"/><Relationship Id="rId5191" Type="http://schemas.openxmlformats.org/officeDocument/2006/relationships/hyperlink" Target="https://audio.iskcondesiretree.com/01_-_Srila_Prabhupada/01_-_Lectures/01_-_English/02_-_Month_wise/09_-_September/06/Conv_1976-09-06_G1-VRNDAVAN.MP3" TargetMode="External"/><Relationship Id="rId2785" Type="http://schemas.openxmlformats.org/officeDocument/2006/relationships/hyperlink" Target="https://audio.iskcondesiretree.com/01_-_Srila_Prabhupada/01_-_Lectures/01_-_English/02_-_Month_wise/02_-_Feburary/11/Arr_MEX_1975-02-11_No_Sex_Life_in_the_Spirit_Soul.mp3" TargetMode="External"/><Relationship Id="rId3836" Type="http://schemas.openxmlformats.org/officeDocument/2006/relationships/hyperlink" Target="https://audio.iskcondesiretree.com/01_-_Srila_Prabhupada/01_-_Lectures/01_-_English/02_-_Month_wise/10_-_October/08/Conv_1975-10-08_R1-DURBAN.MP3" TargetMode="External"/><Relationship Id="rId757" Type="http://schemas.openxmlformats.org/officeDocument/2006/relationships/hyperlink" Target="https://audio.iskcondesiretree.com/01_-_Srila_Prabhupada/01_-_Lectures/01_-_English/01_-_Topic_wise/Srimad_Bhagavatam/Canto-01/SP_SB_1-02-18_Vrindavan_1972-10-29_All_That_Is_Troublesome_to--etc.mp3" TargetMode="External"/><Relationship Id="rId1387" Type="http://schemas.openxmlformats.org/officeDocument/2006/relationships/hyperlink" Target="https://audio.iskcondesiretree.com/01_-_Srila_Prabhupada/01_-_Lectures/01_-_English/01_-_Topic_wise/Morning_Walk/SP_Morning_Walk_-_Los_Angeles_1973-12-04_Sincere_Atheist-Honest_Thief.mp3" TargetMode="External"/><Relationship Id="rId2438" Type="http://schemas.openxmlformats.org/officeDocument/2006/relationships/hyperlink" Target="https://audio.iskcondesiretree.com/01_-_Srila_Prabhupada/01_-_Lectures/01_-_English/01_-_Topic_wise/Srimad_Bhagavatam/Canto-01/SP_SB_1-08-34_Mayapur_1974-10-14_Relief_from_Unbearable_Burdens.mp3" TargetMode="External"/><Relationship Id="rId2852" Type="http://schemas.openxmlformats.org/officeDocument/2006/relationships/hyperlink" Target="https://audio.iskcondesiretree.com/01_-_Srila_Prabhupada/01_-_Lectures/01_-_English/02_-_Month_wise/02_-_Feburary/25/Arr_MIA_1975-02-25_Real_Success_is_to_Get_Out_of_the_etc.mp3" TargetMode="External"/><Relationship Id="rId3903" Type="http://schemas.openxmlformats.org/officeDocument/2006/relationships/hyperlink" Target="https://audio.iskcondesiretree.com/01_-_Srila_Prabhupada/01_-_Lectures/01_-_English/01_-_Topic_wise/Room_Conversation/SP_Room_Conversation_Johannesburg_1975-10-21_Border_Between_Matter_%26_Spirit.mp3" TargetMode="External"/><Relationship Id="rId93" Type="http://schemas.openxmlformats.org/officeDocument/2006/relationships/hyperlink" Target="https://audio.iskcondesiretree.com/01_-_Srila_Prabhupada/01_-_Lectures/01_-_English/02_-_Month_wise/11_-_November/04/Fest_NY_1966-11-04_Govardhana_Puja.mp3" TargetMode="External"/><Relationship Id="rId824" Type="http://schemas.openxmlformats.org/officeDocument/2006/relationships/hyperlink" Target="https://audio.iskcondesiretree.com/01_-_Srila_Prabhupada/01_-_Lectures/01_-_English/01_-_Topic_wise/Bhagavad_Gita/Chapter-02/SP_BG_02-13_Hyderabad_1972-11-18_We_Are_All_Servants.mp3" TargetMode="External"/><Relationship Id="rId1454" Type="http://schemas.openxmlformats.org/officeDocument/2006/relationships/hyperlink" Target="https://audio.iskcondesiretree.com/01_-_Srila_Prabhupada/01_-_Lectures/01_-_English/02_-_Month_wise/12_-_December/24/SB_1-15-46_LA_1973-12-24_Predictions_for_Age_of_Quarrel.mp3" TargetMode="External"/><Relationship Id="rId2505" Type="http://schemas.openxmlformats.org/officeDocument/2006/relationships/hyperlink" Target="https://audio.iskcondesiretree.com/01_-_Srila_Prabhupada/01_-_Lectures/01_-_English/02_-_Month_wise/11_-_November/09/SB_3-25-09_BOM_1974-11-09_Advanced_Equals_Ass.mp3" TargetMode="External"/><Relationship Id="rId1107" Type="http://schemas.openxmlformats.org/officeDocument/2006/relationships/hyperlink" Target="https://audio.iskcondesiretree.com/01_-_Srila_Prabhupada/01_-_Lectures/01_-_English/01_-_Topic_wise/Room_Conversation/SP_Room_Conversation_London_1973-07-22_Dr_Arnold_Toynbee--etc.mp3" TargetMode="External"/><Relationship Id="rId1521" Type="http://schemas.openxmlformats.org/officeDocument/2006/relationships/hyperlink" Target="https://audio.iskcondesiretree.com/01_-_Srila_Prabhupada/01_-_Lectures/01_-_English/02_-_Month_wise/01_-_January/12/SB-01-16-17_1974-01-12_SB-LOS_ANGELES.MP3" TargetMode="External"/><Relationship Id="rId4677" Type="http://schemas.openxmlformats.org/officeDocument/2006/relationships/hyperlink" Target="https://audio.iskcondesiretree.com/01_-_Srila_Prabhupada/01_-_Lectures/01_-_English/02_-_Month_wise/06_-_June/02/SB-06-01-34%E2%80%9336_1976-06-02_SB-LOS%20ANGELES.MP3" TargetMode="External"/><Relationship Id="rId5728" Type="http://schemas.openxmlformats.org/officeDocument/2006/relationships/hyperlink" Target="https://audio.iskcondesiretree.com/01_-_Srila_Prabhupada/01_-_Lectures/01_-_English/02_-_Month_wise/02_-_Feburary/25/Conv_1977-02-25_R1-MAYAPUR.MP3" TargetMode="External"/><Relationship Id="rId3279" Type="http://schemas.openxmlformats.org/officeDocument/2006/relationships/hyperlink" Target="https://audio.iskcondesiretree.com/01_-_Srila_Prabhupada/01_-_Lectures/01_-_English/01_-_Topic_wise/Morning_Walk/SP_Morning_Walk_-_Honolulu_1975-06-11.MP3" TargetMode="External"/><Relationship Id="rId3693" Type="http://schemas.openxmlformats.org/officeDocument/2006/relationships/hyperlink" Target="https://audio.iskcondesiretree.com/01_-_Srila_Prabhupada/01_-_Lectures/01_-_English/02_-_Month_wise/08_-_August/28/Walk_1975-08-28_MW-VRNDAVAN.MP3" TargetMode="External"/><Relationship Id="rId2295" Type="http://schemas.openxmlformats.org/officeDocument/2006/relationships/hyperlink" Target="https://audio.iskcondesiretree.com/01_-_Srila_Prabhupada/01_-_Lectures/01_-_English/02_-_Month_wise/07_-_July/21/SB-01-02-19_1974-07-21_SB-NEW%20VRINDAVAN.MP3" TargetMode="External"/><Relationship Id="rId3346" Type="http://schemas.openxmlformats.org/officeDocument/2006/relationships/hyperlink" Target="https://audio.iskcondesiretree.com/01_-_Srila_Prabhupada/01_-_Lectures/01_-_English/02_-_Month_wise/06_-_June/22/RC_LA_1975-06-22_Dr._Gerson-Happiness_Is_for_the_Devotees.mp3" TargetMode="External"/><Relationship Id="rId4744" Type="http://schemas.openxmlformats.org/officeDocument/2006/relationships/hyperlink" Target="https://audio.iskcondesiretree.com/01_-_Srila_Prabhupada/01_-_Lectures/01_-_English/01_-_Topic_wise/Room_Conversation/SP_Room_Conversation_Detroit_1976-06-14_Animal_Civilization.mp3" TargetMode="External"/><Relationship Id="rId267" Type="http://schemas.openxmlformats.org/officeDocument/2006/relationships/hyperlink" Target="https://audio.iskcondesiretree.com/01_-_Srila_Prabhupada/01_-_Lectures/01_-_English/02_-_Month_wise/09_-_September/27/Lect_SEA_1968-09-27_How_to_Go_from_Misery_to_Mastery.mp3" TargetMode="External"/><Relationship Id="rId3760" Type="http://schemas.openxmlformats.org/officeDocument/2006/relationships/hyperlink" Target="https://audio.iskcondesiretree.com/01_-_Srila_Prabhupada/01_-_Lectures/01_-_English/02_-_Month_wise/09_-_September/15/MW_VRN_1975-09-15_Successful_Suicide-G-Zero-D.mp3" TargetMode="External"/><Relationship Id="rId4811" Type="http://schemas.openxmlformats.org/officeDocument/2006/relationships/hyperlink" Target="https://audio.iskcondesiretree.com/01_-_Srila_Prabhupada/01_-_Lectures/01_-_English/02_-_Month_wise/06_-_June/23/Bg_06-20_NV_1976-06-23_Yoga_System-Precaution_Is_etc.mp3" TargetMode="External"/><Relationship Id="rId681" Type="http://schemas.openxmlformats.org/officeDocument/2006/relationships/hyperlink" Target="https://audio.iskcondesiretree.com/01_-_Srila_Prabhupada/01_-_Lectures/01_-_English/02_-_Month_wise/09_-_September/08/Bg_02-13_PIT_1972-09-08_Hear_from_the_Authority-Krishna.mp3" TargetMode="External"/><Relationship Id="rId2362" Type="http://schemas.openxmlformats.org/officeDocument/2006/relationships/hyperlink" Target="https://audio.iskcondesiretree.com/01_-_Srila_Prabhupada/01_-_Lectures/01_-_English/02_-_Month_wise/08_-_August/15/Bg-07-09_1974-08-15_BG-VRNDAVAN.MP3" TargetMode="External"/><Relationship Id="rId3413" Type="http://schemas.openxmlformats.org/officeDocument/2006/relationships/hyperlink" Target="https://audio.iskcondesiretree.com/01_-_Srila_Prabhupada/01_-_Lectures/01_-_English/02_-_Month_wise/07_-_July/01/SB-06-01-18_1975-07-01_SB-DENVER.MP3" TargetMode="External"/><Relationship Id="rId334" Type="http://schemas.openxmlformats.org/officeDocument/2006/relationships/hyperlink" Target="https://audio.iskcondesiretree.com/01_-_Srila_Prabhupada/01_-_Lectures/01_-_English/01_-_Topic_wise/Various/SP_Lecture_Los_Angeles_1968-12-23_Message_to_London_Temple.mp3" TargetMode="External"/><Relationship Id="rId2015" Type="http://schemas.openxmlformats.org/officeDocument/2006/relationships/hyperlink" Target="https://audio.iskcondesiretree.com/01_-_Srila_Prabhupada/01_-_Lectures/01_-_English/01_-_Topic_wise/Room_Conversation/SP_Room_Conversation_Geneva_1974-05-31_Hatha-yoga_Teacher--Submission--etc.mp3" TargetMode="External"/><Relationship Id="rId5585" Type="http://schemas.openxmlformats.org/officeDocument/2006/relationships/hyperlink" Target="https://audio.iskcondesiretree.com/01_-_Srila_Prabhupada/01_-_Lectures/01_-_English/02_-_Month_wise/01_-_January/09/Conv_1977-01-09_R3-BOMBAY.MP3" TargetMode="External"/><Relationship Id="rId401" Type="http://schemas.openxmlformats.org/officeDocument/2006/relationships/hyperlink" Target="https://audio.iskcondesiretree.com/01_-_Srila_Prabhupada/01_-_Lectures/01_-_English/01_-_Topic_wise/Various/SP_Lecture_New_York_1969-04-17_Krishna_Obliged_Me_to_Come_With--etc.mp3" TargetMode="External"/><Relationship Id="rId1031" Type="http://schemas.openxmlformats.org/officeDocument/2006/relationships/hyperlink" Target="https://audio.iskcondesiretree.com/01_-_Srila_Prabhupada/01_-_Lectures/01_-_English/01_-_Topic_wise/Srimad_Bhagavatam/Canto-01/SP_SB_1-10-01_Mayapur_1973-06-16_Yudhisthira-Perfect_Surrender.mp3" TargetMode="External"/><Relationship Id="rId4187" Type="http://schemas.openxmlformats.org/officeDocument/2006/relationships/hyperlink" Target="https://audio.iskcondesiretree.com/01_-_Srila_Prabhupada/01_-_Lectures/01_-_English/01_-_Topic_wise/Room_Conversation/SP_Room_Conversation_Mayapur_1976-01-16_Science-Dogmatic_Foolishness.mp3" TargetMode="External"/><Relationship Id="rId5238" Type="http://schemas.openxmlformats.org/officeDocument/2006/relationships/hyperlink" Target="https://audio.iskcondesiretree.com/01_-_Srila_Prabhupada/01_-_Lectures/01_-_English/01_-_Topic_wise/Srimad_Bhagavatam/Canto-01/SP_SB_1-07-20_Vrindavan_1976-09-17_Don%27t_Wait_for_Another_Life.mp3" TargetMode="External"/><Relationship Id="rId5652" Type="http://schemas.openxmlformats.org/officeDocument/2006/relationships/hyperlink" Target="https://audio.iskcondesiretree.com/01_-_Srila_Prabhupada/01_-_Lectures/01_-_English/02_-_Month_wise/01_-_January/30/Conv_1977-01-30_R2-BHUBANESWAR.MP3" TargetMode="External"/><Relationship Id="rId4254" Type="http://schemas.openxmlformats.org/officeDocument/2006/relationships/hyperlink" Target="https://audio.iskcondesiretree.com/01_-_Srila_Prabhupada/01_-_Lectures/01_-_English/02_-_Month_wise/02_-_Feburary/19/Walk_1976-02-19_MW-MAYAPUR.MP3" TargetMode="External"/><Relationship Id="rId5305" Type="http://schemas.openxmlformats.org/officeDocument/2006/relationships/hyperlink" Target="https://audio.iskcondesiretree.com/01_-_Srila_Prabhupada/01_-_Lectures/01_-_English/02_-_Month_wise/10_-_October/05/SB_1-07-45_VRN_1976-10-05_Deity_Worship-Not_Idol_Worship.mp3" TargetMode="External"/><Relationship Id="rId1848" Type="http://schemas.openxmlformats.org/officeDocument/2006/relationships/hyperlink" Target="https://audio.iskcondesiretree.com/01_-_Srila_Prabhupada/01_-_Lectures/01_-_English/02_-_Month_wise/04_-_April/09/Bg_04-20_BOM_1974-04-09_Mundane_and_Divine_Dividends.mp3" TargetMode="External"/><Relationship Id="rId3270" Type="http://schemas.openxmlformats.org/officeDocument/2006/relationships/hyperlink" Target="https://audio.iskcondesiretree.com/01_-_Srila_Prabhupada/01_-_Lectures/01_-_English/02_-_Month_wise/06_-_June/07/RC_HAW_1975-06-07_Yogi_Bhajan--Looking_Toward_Unity_of_Men.mp3" TargetMode="External"/><Relationship Id="rId4321" Type="http://schemas.openxmlformats.org/officeDocument/2006/relationships/hyperlink" Target="https://audio.iskcondesiretree.com/01_-_Srila_Prabhupada/01_-_Lectures/01_-_English/02_-_Month_wise/03_-_March/06/SB_7-09-28_MAY_1976-03-06_Serpents_and_Servants.mp3" TargetMode="External"/><Relationship Id="rId191" Type="http://schemas.openxmlformats.org/officeDocument/2006/relationships/hyperlink" Target="https://audio.iskcondesiretree.com/01_-_Srila_Prabhupada/01_-_Lectures/01_-_English/02_-_Month_wise/12_-_December/25/Cc_M_20-337_NY_1966-12-25_One_Good_Quality_in_Kali-Yuga.mp3" TargetMode="External"/><Relationship Id="rId1915" Type="http://schemas.openxmlformats.org/officeDocument/2006/relationships/hyperlink" Target="https://audio.iskcondesiretree.com/01_-_Srila_Prabhupada/01_-_Lectures/01_-_English/02_-_Month_wise/04_-_April/22/SB-01-02-08_1974-04-22_SB-HYDERABAD.MP3" TargetMode="External"/><Relationship Id="rId6079" Type="http://schemas.openxmlformats.org/officeDocument/2006/relationships/hyperlink" Target="https://audio.iskcondesiretree.com/01_-_Srila_Prabhupada/01_-_Lectures/01_-_English/01_-_Topic_wise/Krishna_Book/SP_Krsna_Book_Dict_35_-_Gopis%27_Feelings_of_Separation.mp3" TargetMode="External"/><Relationship Id="rId5095" Type="http://schemas.openxmlformats.org/officeDocument/2006/relationships/hyperlink" Target="https://audio.iskcondesiretree.com/01_-_Srila_Prabhupada/01_-_Lectures/01_-_English/02_-_Month_wise/08_-_August/12/Conv_1976-08-12_R1-TEHRAN.MP3" TargetMode="External"/><Relationship Id="rId2689" Type="http://schemas.openxmlformats.org/officeDocument/2006/relationships/hyperlink" Target="https://audio.iskcondesiretree.com/01_-_Srila_Prabhupada/01_-_Lectures/01_-_English/01_-_Topic_wise/Srimad_Bhagavatam/Canto-03/SP_SB_3-26-34_Bombay_1975-01-11_Passing_Life%27s_Final_Examination.mp3" TargetMode="External"/><Relationship Id="rId6146" Type="http://schemas.openxmlformats.org/officeDocument/2006/relationships/hyperlink" Target="https://audio.iskcondesiretree.com/01_-_Srila_Prabhupada/01_-_Lectures/01_-_English/01_-_Topic_wise/Stories/SP_Story_22_Krsna_breaking_promise.mp3" TargetMode="External"/><Relationship Id="rId2756" Type="http://schemas.openxmlformats.org/officeDocument/2006/relationships/hyperlink" Target="https://audio.iskcondesiretree.com/01_-_Srila_Prabhupada/01_-_Lectures/01_-_English/02_-_Month_wise/02_-_Feburary/03/MW_HAW_1975-02-03_Must_All_Devotees_Live_in_Temple.mp3" TargetMode="External"/><Relationship Id="rId3807" Type="http://schemas.openxmlformats.org/officeDocument/2006/relationships/hyperlink" Target="https://audio.iskcondesiretree.com/01_-_Srila_Prabhupada/01_-_Lectures/01_-_English/02_-_Month_wise/10_-_October/02/Walk_1975-10-02_MW-MAURITIUS.MP3" TargetMode="External"/><Relationship Id="rId5162" Type="http://schemas.openxmlformats.org/officeDocument/2006/relationships/hyperlink" Target="https://audio.iskcondesiretree.com/01_-_Srila_Prabhupada/01_-_Lectures/01_-_English/01_-_Topic_wise/Room_Conversation/SP_Room_Conversation_Hyderabad_1976-08-25_There_Is_An_Eternal_World.mp3" TargetMode="External"/><Relationship Id="rId728" Type="http://schemas.openxmlformats.org/officeDocument/2006/relationships/hyperlink" Target="https://audio.iskcondesiretree.com/01_-_Srila_Prabhupada/01_-_Lectures/01_-_English/01_-_Topic_wise/Nectar_Of_Devotion/SP_NOD_01_Vrindavan_1972-10-20_-_The_Complete_Science_of_Bhakti_Yoga.mp3" TargetMode="External"/><Relationship Id="rId1358" Type="http://schemas.openxmlformats.org/officeDocument/2006/relationships/hyperlink" Target="https://audio.iskcondesiretree.com/01_-_Srila_Prabhupada/01_-_Lectures/01_-_English/02_-_Month_wise/11_-_November/10/Lect_DEL_1973-11-10_At_Pandal-Hog_Happiness_Human_Happiness.mp3" TargetMode="External"/><Relationship Id="rId1772" Type="http://schemas.openxmlformats.org/officeDocument/2006/relationships/hyperlink" Target="https://audio.iskcondesiretree.com/01_-_Srila_Prabhupada/01_-_Lectures/01_-_English/01_-_Topic_wise/Bhagavad_Gita/Chapter-04/SP_BG_04-08_Bombay_1974-03-28_Everyone_is_Trying_to_Become_the_Master.mp3" TargetMode="External"/><Relationship Id="rId2409" Type="http://schemas.openxmlformats.org/officeDocument/2006/relationships/hyperlink" Target="https://audio.iskcondesiretree.com/01_-_Srila_Prabhupada/01_-_Lectures/01_-_English/02_-_Month_wise/10_-_October/03/SB_1-08-23_MAY_1974-10-03_A_Slip_Twixt_the_Cup_and_Lip.mp3" TargetMode="External"/><Relationship Id="rId5979" Type="http://schemas.openxmlformats.org/officeDocument/2006/relationships/hyperlink" Target="https://audio.iskcondesiretree.com/01_-_Srila_Prabhupada/01_-_Lectures/01_-_English/02_-_Month_wise/11_-_November/02/Conv-NewBooks_1977-11-02_R1-VRNDAVAN.MP3" TargetMode="External"/><Relationship Id="rId64" Type="http://schemas.openxmlformats.org/officeDocument/2006/relationships/hyperlink" Target="https://audio.iskcondesiretree.com/01_-_Srila_Prabhupada/01_-_Lectures/01_-_English/02_-_Month_wise/08_-_August/12/Bg_04-24_NY_1966-08-12_Varnasrama_Dharma.mp3" TargetMode="External"/><Relationship Id="rId1425" Type="http://schemas.openxmlformats.org/officeDocument/2006/relationships/hyperlink" Target="https://audio.iskcondesiretree.com/01_-_Srila_Prabhupada/01_-_Lectures/01_-_English/01_-_Topic_wise/Morning_Walk/SP_Morning_Walk_-_Los_Angeles_1973-12-14_Demons_Elected_by_Demons.mp3" TargetMode="External"/><Relationship Id="rId2823" Type="http://schemas.openxmlformats.org/officeDocument/2006/relationships/hyperlink" Target="https://audio.iskcondesiretree.com/01_-_Srila_Prabhupada/01_-_Lectures/01_-_English/02_-_Month_wise/02_-_Feburary/20/SB-01-01-01_1975-02-20_SB-CARACAS.MP3" TargetMode="External"/><Relationship Id="rId4995" Type="http://schemas.openxmlformats.org/officeDocument/2006/relationships/hyperlink" Target="https://audio.iskcondesiretree.com/01_-_Srila_Prabhupada/01_-_Lectures/01_-_English/02_-_Month_wise/07_-_July/18/Conv_1976-07-18_R1-NEW%20YORK.MP3" TargetMode="External"/><Relationship Id="rId2199" Type="http://schemas.openxmlformats.org/officeDocument/2006/relationships/hyperlink" Target="https://audio.iskcondesiretree.com/01_-_Srila_Prabhupada/01_-_Lectures/01_-_English/02_-_Month_wise/06_-_June/27/Bg_03-27_MEL_1974-06-27_At_Town_Hall_Tiger_or_etc.mp3" TargetMode="External"/><Relationship Id="rId3597" Type="http://schemas.openxmlformats.org/officeDocument/2006/relationships/hyperlink" Target="https://audio.iskcondesiretree.com/01_-_Srila_Prabhupada/01_-_Lectures/01_-_English/01_-_Topic_wise/Srimad_Bhagavatam/Canto-06/SP_SB_6-01-46_San_Diego_1975-07-27_Transcending_All_Misery.mp3" TargetMode="External"/><Relationship Id="rId4648" Type="http://schemas.openxmlformats.org/officeDocument/2006/relationships/hyperlink" Target="https://audio.iskcondesiretree.com/01_-_Srila_Prabhupada/01_-_Lectures/01_-_English/01_-_Topic_wise/Srimad_Bhagavatam/Canto-06/SP_SB_6-01-26_Honolulu_1976-05-26_Krishna%27s_Sense_Gratification.mp3" TargetMode="External"/><Relationship Id="rId6070" Type="http://schemas.openxmlformats.org/officeDocument/2006/relationships/hyperlink" Target="https://audio.iskcondesiretree.com/01_-_Srila_Prabhupada/01_-_Lectures/01_-_English/01_-_Topic_wise/Krishna_Book/SP_Krsna_Book_Dict_22_-_Stealing_the_Garments_of_the_Gopis.mp3" TargetMode="External"/><Relationship Id="rId3664" Type="http://schemas.openxmlformats.org/officeDocument/2006/relationships/hyperlink" Target="https://audio.iskcondesiretree.com/01_-_Srila_Prabhupada/01_-_Lectures/01_-_English/02_-_Month_wise/08_-_August/12/Walk_1975-08-12_MW-PARIS.MP3" TargetMode="External"/><Relationship Id="rId4715" Type="http://schemas.openxmlformats.org/officeDocument/2006/relationships/hyperlink" Target="https://audio.iskcondesiretree.com/01_-_Srila_Prabhupada/01_-_Lectures/01_-_English/01_-_Topic_wise/Srimad_Bhagavatam/Canto-06/SP_SB_6-01-43_Los_Angeles_1976-06-09_Better_Without_Disturbance.mp3" TargetMode="External"/><Relationship Id="rId585" Type="http://schemas.openxmlformats.org/officeDocument/2006/relationships/hyperlink" Target="https://audio.iskcondesiretree.com/01_-_Srila_Prabhupada/01_-_Lectures/01_-_English/02_-_Month_wise/05_-_May/27/Lect_LA_1972-05-27_Initiation-This_Foolish_Civilization.mp3" TargetMode="External"/><Relationship Id="rId2266" Type="http://schemas.openxmlformats.org/officeDocument/2006/relationships/hyperlink" Target="https://audio.iskcondesiretree.com/01_-_Srila_Prabhupada/01_-_Lectures/01_-_English/01_-_Topic_wise/Chaitanya_Charitamrita/Adi_Lila/SP_CC_A_12_Los_Angeles_1974-07-12.mp3" TargetMode="External"/><Relationship Id="rId2680" Type="http://schemas.openxmlformats.org/officeDocument/2006/relationships/hyperlink" Target="https://audio.iskcondesiretree.com/01_-_Srila_Prabhupada/01_-_Lectures/01_-_English/01_-_Topic_wise/Srimad_Bhagavatam/Canto-03/SP_SB_3-26-30_Bombay_1975-01-07_We_Should_Have_Firm_Faith.mp3" TargetMode="External"/><Relationship Id="rId3317" Type="http://schemas.openxmlformats.org/officeDocument/2006/relationships/hyperlink" Target="https://audio.iskcondesiretree.com/01_-_Srila_Prabhupada/01_-_Lectures/01_-_English/02_-_Month_wise/06_-_June/17/Walk_1975-06-17_MW-HONOLULU.MP3" TargetMode="External"/><Relationship Id="rId3731" Type="http://schemas.openxmlformats.org/officeDocument/2006/relationships/hyperlink" Target="https://audio.iskcondesiretree.com/01_-_Srila_Prabhupada/01_-_Lectures/01_-_English/02_-_Month_wise/09_-_September/06/SB-06-02-02_1975-09-06_SB-VRNDAVAN.MP3" TargetMode="External"/><Relationship Id="rId238" Type="http://schemas.openxmlformats.org/officeDocument/2006/relationships/hyperlink" Target="https://audio.iskcondesiretree.com/01_-_Srila_Prabhupada/01_-_Lectures/01_-_English/01_-_Topic_wise/Various/SP_Lecture_Montreal_1968-06-11_To_Students_%28young%29--My_and--etc.mp3" TargetMode="External"/><Relationship Id="rId652" Type="http://schemas.openxmlformats.org/officeDocument/2006/relationships/hyperlink" Target="https://audio.iskcondesiretree.com/01_-_Srila_Prabhupada/01_-_Lectures/01_-_English/01_-_Topic_wise/Srimad_Bhagavatam/Canto-01/SP_SB_1-02-18_Los_Angeles_1972-08-21_The_Choice-Krishna_or_Maya.mp3" TargetMode="External"/><Relationship Id="rId1282" Type="http://schemas.openxmlformats.org/officeDocument/2006/relationships/hyperlink" Target="https://audio.iskcondesiretree.com/01_-_Srila_Prabhupada/01_-_Lectures/01_-_English/02_-_Month_wise/09_-_September/12/Bg_02-39_LON_1973-09-12_Supreme_Deceiver_and_Lover.mp3" TargetMode="External"/><Relationship Id="rId2333" Type="http://schemas.openxmlformats.org/officeDocument/2006/relationships/hyperlink" Target="https://audio.iskcondesiretree.com/01_-_Srila_Prabhupada/01_-_Lectures/01_-_English/02_-_Month_wise/08_-_August/09/SB_1-05-28_VRN_1974-08-09_Secret_of_Supreme_Satisfaction.mp3" TargetMode="External"/><Relationship Id="rId5489" Type="http://schemas.openxmlformats.org/officeDocument/2006/relationships/hyperlink" Target="https://audio.iskcondesiretree.com/01_-_Srila_Prabhupada/01_-_Lectures/01_-_English/02_-_Month_wise/12_-_December/10/RC_HYD_1976-12-10_Scientists_Etiquette_Don%27t_Talk_of_God.mp3" TargetMode="External"/><Relationship Id="rId305" Type="http://schemas.openxmlformats.org/officeDocument/2006/relationships/hyperlink" Target="https://audio.iskcondesiretree.com/01_-_Srila_Prabhupada/01_-_Lectures/01_-_English/02_-_Month_wise/11_-_November/29/Bg_02-13_LA_1968-11-29_Staying_Undisturbed_in_Distress.mp3" TargetMode="External"/><Relationship Id="rId2400" Type="http://schemas.openxmlformats.org/officeDocument/2006/relationships/hyperlink" Target="https://audio.iskcondesiretree.com/01_-_Srila_Prabhupada/01_-_Lectures/01_-_English/01_-_Topic_wise/Srimad_Bhagavatam/Canto-01/SP_SB_1-08-20_Mayapur_1974-09-30_To_Be_Understood_by_Anyone.mp3" TargetMode="External"/><Relationship Id="rId5556" Type="http://schemas.openxmlformats.org/officeDocument/2006/relationships/hyperlink" Target="https://audio.iskcondesiretree.com/01_-_Srila_Prabhupada/01_-_Lectures/01_-_English/01_-_Topic_wise/Morning_Walk/SP_Morning_Walk_-_Bombay_1977-01-04_Can_You_Know_You_Are_Liberated.mp3" TargetMode="External"/><Relationship Id="rId1002" Type="http://schemas.openxmlformats.org/officeDocument/2006/relationships/hyperlink" Target="https://audio.iskcondesiretree.com/01_-_Srila_Prabhupada/01_-_Lectures/01_-_English/02_-_Month_wise/05_-_May/12/SB_1-08-50_LA_1973-05-12_When_to_Be_Nonviolent_Violent.mp3" TargetMode="External"/><Relationship Id="rId4158" Type="http://schemas.openxmlformats.org/officeDocument/2006/relationships/hyperlink" Target="https://audio.iskcondesiretree.com/01_-_Srila_Prabhupada/01_-_Lectures/01_-_English/02_-_Month_wise/01_-_January/04/Lecture_1976-01-04_LE-NELLORE.MP3" TargetMode="External"/><Relationship Id="rId5209" Type="http://schemas.openxmlformats.org/officeDocument/2006/relationships/hyperlink" Target="https://audio.iskcondesiretree.com/01_-_Srila_Prabhupada/01_-_Lectures/01_-_English/02_-_Month_wise/09_-_September/09/RC_VRN_1976-09-09_Chastity_Vs_Change-O-Mania.mp3" TargetMode="External"/><Relationship Id="rId5970" Type="http://schemas.openxmlformats.org/officeDocument/2006/relationships/hyperlink" Target="https://audio.iskcondesiretree.com/01_-_Srila_Prabhupada/01_-_Lectures/01_-_English/02_-_Month_wise/10_-_October/27/Dictation-SB-10-13-62_1977-10-27_SB-VRNDAVAN.MP3" TargetMode="External"/><Relationship Id="rId3174" Type="http://schemas.openxmlformats.org/officeDocument/2006/relationships/hyperlink" Target="https://audio.iskcondesiretree.com/01_-_Srila_Prabhupada/01_-_Lectures/01_-_English/02_-_Month_wise/05_-_May/13/Conv_1975-05-13_R2-PERTH.MP3" TargetMode="External"/><Relationship Id="rId4572" Type="http://schemas.openxmlformats.org/officeDocument/2006/relationships/hyperlink" Target="https://audio.iskcondesiretree.com/01_-_Srila_Prabhupada/01_-_Lectures/01_-_English/02_-_Month_wise/05_-_May/06/SB-06-01-02_1976-05-06_SB-HONOLULU.MP3" TargetMode="External"/><Relationship Id="rId5623" Type="http://schemas.openxmlformats.org/officeDocument/2006/relationships/hyperlink" Target="https://audio.iskcondesiretree.com/01_-_Srila_Prabhupada/01_-_Lectures/01_-_English/02_-_Month_wise/01_-_January/23/Lect_BHU_1977-01-23_You_Can_Become_Greatest_Devotee.mp3" TargetMode="External"/><Relationship Id="rId1819" Type="http://schemas.openxmlformats.org/officeDocument/2006/relationships/hyperlink" Target="https://audio.iskcondesiretree.com/01_-_Srila_Prabhupada/01_-_Lectures/01_-_English/02_-_Month_wise/04_-_April/04/Bg-04-15_1974-04-04_BG-BOMBAY.MP3" TargetMode="External"/><Relationship Id="rId4225" Type="http://schemas.openxmlformats.org/officeDocument/2006/relationships/hyperlink" Target="https://audio.iskcondesiretree.com/01_-_Srila_Prabhupada/01_-_Lectures/01_-_English/02_-_Month_wise/02_-_Feburary/10/MW_MAY_1976-02-10_Ten-Handed_Krishna.mp3" TargetMode="External"/><Relationship Id="rId2190" Type="http://schemas.openxmlformats.org/officeDocument/2006/relationships/hyperlink" Target="https://audio.iskcondesiretree.com/01_-_Srila_Prabhupada/01_-_Lectures/01_-_English/01_-_Topic_wise/Bhagavad_Gita/Chapter-13/SP_BG_13-22_Melbourne_1974-06-25_Material_Enjoyment-More_Bodies.mp3" TargetMode="External"/><Relationship Id="rId3241" Type="http://schemas.openxmlformats.org/officeDocument/2006/relationships/hyperlink" Target="https://audio.iskcondesiretree.com/01_-_Srila_Prabhupada/01_-_Lectures/01_-_English/01_-_Topic_wise/Arrival_Address/SP_Arrival_Lecture_Honolulu_1975-05-25.MP3" TargetMode="External"/><Relationship Id="rId162" Type="http://schemas.openxmlformats.org/officeDocument/2006/relationships/hyperlink" Target="https://audio.iskcondesiretree.com/01_-_Srila_Prabhupada/01_-_Lectures/01_-_English/01_-_Topic_wise/Chaitanya_Charitamrita/Madhya_Lila/SP_CC_M_20-164_New_York_1966-12-13_Only_by_Devotion_Can_One--etc.mp3" TargetMode="External"/><Relationship Id="rId979" Type="http://schemas.openxmlformats.org/officeDocument/2006/relationships/hyperlink" Target="https://audio.iskcondesiretree.com/01_-_Srila_Prabhupada/01_-_Lectures/01_-_English/01_-_Topic_wise/Srimad_Bhagavatam/Canto-01/SP_SB_1-08-38_Los_Angeles_1973-04-30_Our_Senses_Belong_to_Krishna.mp3" TargetMode="External"/><Relationship Id="rId5066" Type="http://schemas.openxmlformats.org/officeDocument/2006/relationships/hyperlink" Target="https://audio.iskcondesiretree.com/01_-_Srila_Prabhupada/01_-_Lectures/01_-_English/02_-_Month_wise/08_-_August/05/Conv_1976-08-05_R1-NEW%20MAYAPUR.MP3" TargetMode="External"/><Relationship Id="rId5480" Type="http://schemas.openxmlformats.org/officeDocument/2006/relationships/hyperlink" Target="https://audio.iskcondesiretree.com/01_-_Srila_Prabhupada/01_-_Lectures/01_-_English/01_-_Topic_wise/Festivals/SP_Festivals_Hyderabad_1976-12-10_Bhaktisiddhanta_Disappearance.mp3" TargetMode="External"/><Relationship Id="rId6117" Type="http://schemas.openxmlformats.org/officeDocument/2006/relationships/hyperlink" Target="https://audio.iskcondesiretree.com/01_-_Srila_Prabhupada/01_-_Lectures/01_-_English/01_-_Topic_wise/Krishna_Book/SP_Krsna_Book_Dict_83_-_Draupadi_Meets_Krishna%27s_Queens.mp3" TargetMode="External"/><Relationship Id="rId4082" Type="http://schemas.openxmlformats.org/officeDocument/2006/relationships/hyperlink" Target="https://audio.iskcondesiretree.com/01_-_Srila_Prabhupada/01_-_Lectures/01_-_English/01_-_Topic_wise/Morning_Walk/SP_Morning_Walk_-_Vrindavan_1975-12-12_Our_Gross_and_Subtle_Toys.mp3" TargetMode="External"/><Relationship Id="rId5133" Type="http://schemas.openxmlformats.org/officeDocument/2006/relationships/hyperlink" Target="https://audio.iskcondesiretree.com/01_-_Srila_Prabhupada/01_-_Lectures/01_-_English/02_-_Month_wise/08_-_August/18/SB-01-07-06_1976-08-18_SB-HYDERABAD.MP3" TargetMode="External"/><Relationship Id="rId1676" Type="http://schemas.openxmlformats.org/officeDocument/2006/relationships/hyperlink" Target="https://audio.iskcondesiretree.com/01_-_Srila_Prabhupada/01_-_Lectures/01_-_English/02_-_Month_wise/03_-_March/04/Cc_A_7-04_MAY_1974-03-04_No_Mills_No_etc.mp3" TargetMode="External"/><Relationship Id="rId2727" Type="http://schemas.openxmlformats.org/officeDocument/2006/relationships/hyperlink" Target="https://audio.iskcondesiretree.com/01_-_Srila_Prabhupada/01_-_Lectures/01_-_English/02_-_Month_wise/01_-_January/25/Bg_07-01_HK_1975-01-25_Transfer_Your_Attachment.mp3" TargetMode="External"/><Relationship Id="rId1329" Type="http://schemas.openxmlformats.org/officeDocument/2006/relationships/hyperlink" Target="https://audio.iskcondesiretree.com/01_-_Srila_Prabhupada/01_-_Lectures/01_-_English/01_-_Topic_wise/Bhagavad_Gita/Chapter-13/SP_BG_13-23_Bombay_1973-10-22_How_to_Understand_the_Overseer.mp3" TargetMode="External"/><Relationship Id="rId1743" Type="http://schemas.openxmlformats.org/officeDocument/2006/relationships/hyperlink" Target="https://audio.iskcondesiretree.com/01_-_Srila_Prabhupada/01_-_Lectures/01_-_English/01_-_Topic_wise/Bhagavad_Gita/Chapter-04/SP_BG_04-03_Bombay_1974-03-23_Cheating_Religion_Thrown_Out.mp3" TargetMode="External"/><Relationship Id="rId4899" Type="http://schemas.openxmlformats.org/officeDocument/2006/relationships/hyperlink" Target="https://audio.iskcondesiretree.com/01_-_Srila_Prabhupada/01_-_Lectures/01_-_English/02_-_Month_wise/07_-_July/05/Conv_1976-07-05_R4-WASHINGTON%20DC.MP3" TargetMode="External"/><Relationship Id="rId5200" Type="http://schemas.openxmlformats.org/officeDocument/2006/relationships/hyperlink" Target="https://audio.iskcondesiretree.com/01_-_Srila_Prabhupada/01_-_Lectures/01_-_English/02_-_Month_wise/09_-_September/07/RC_VRN_1976-09-07_Spiritual_Happiness_and_Suicidal_Monkey.mp3" TargetMode="External"/><Relationship Id="rId35" Type="http://schemas.openxmlformats.org/officeDocument/2006/relationships/hyperlink" Target="https://audio.iskcondesiretree.com/01_-_Srila_Prabhupada/01_-_Lectures/01_-_English/02_-_Month_wise/05_-_May/20/Bg_03-08_NY_1966-05-20_Yajna_Means_Work_for_Vishnu.mp3" TargetMode="External"/><Relationship Id="rId1810" Type="http://schemas.openxmlformats.org/officeDocument/2006/relationships/hyperlink" Target="https://audio.iskcondesiretree.com/01_-_Srila_Prabhupada/01_-_Lectures/01_-_English/02_-_Month_wise/04_-_April/02/Walk_1974-04-02_MW-BOMBAY.MP3" TargetMode="External"/><Relationship Id="rId4966" Type="http://schemas.openxmlformats.org/officeDocument/2006/relationships/hyperlink" Target="https://audio.iskcondesiretree.com/01_-_Srila_Prabhupada/01_-_Lectures/01_-_English/02_-_Month_wise/07_-_July/13/Walk_1976-07-13_MW-NEW%20YORK.MP3" TargetMode="External"/><Relationship Id="rId3568" Type="http://schemas.openxmlformats.org/officeDocument/2006/relationships/hyperlink" Target="https://audio.iskcondesiretree.com/01_-_Srila_Prabhupada/01_-_Lectures/01_-_English/02_-_Month_wise/07_-_July/21/Conv_1975-07-21_R1-SAN%20FRANCISCO.MP3" TargetMode="External"/><Relationship Id="rId3982" Type="http://schemas.openxmlformats.org/officeDocument/2006/relationships/hyperlink" Target="https://audio.iskcondesiretree.com/01_-_Srila_Prabhupada/01_-_Lectures/01_-_English/02_-_Month_wise/11_-_November/12/Walk_1975-11-12_MW-BOMBAY.MP3" TargetMode="External"/><Relationship Id="rId4619" Type="http://schemas.openxmlformats.org/officeDocument/2006/relationships/hyperlink" Target="https://audio.iskcondesiretree.com/01_-_Srila_Prabhupada/01_-_Lectures/01_-_English/02_-_Month_wise/05_-_May/18/SB-06-01-18_1976-05-18_SB-HONOLULU.MP3" TargetMode="External"/><Relationship Id="rId489" Type="http://schemas.openxmlformats.org/officeDocument/2006/relationships/hyperlink" Target="https://audio.iskcondesiretree.com/01_-_Srila_Prabhupada/01_-_Lectures/01_-_English/02_-_Month_wise/01_-_January/09/SB_6-01-12_LA_1970-01-09_Vedic_Culture_vs_Industrialism.mp3" TargetMode="External"/><Relationship Id="rId2584" Type="http://schemas.openxmlformats.org/officeDocument/2006/relationships/hyperlink" Target="https://audio.iskcondesiretree.com/01_-_Srila_Prabhupada/01_-_Lectures/01_-_English/02_-_Month_wise/12_-_December/05/SB_3-25-36_BOM_1974-12-05_The_Lord_Is_Charming.mp3" TargetMode="External"/><Relationship Id="rId3635" Type="http://schemas.openxmlformats.org/officeDocument/2006/relationships/hyperlink" Target="https://audio.iskcondesiretree.com/01_-_Srila_Prabhupada/01_-_Lectures/01_-_English/02_-_Month_wise/08_-_August/03/SB_6-01-50_DET_1975-08-03_Live_Happily_and_Go_Back.mp3" TargetMode="External"/><Relationship Id="rId6041" Type="http://schemas.openxmlformats.org/officeDocument/2006/relationships/hyperlink" Target="https://audio.iskcondesiretree.com/01_-_Srila_Prabhupada/01_-_Lectures/01_-_English/01_-_Topic_wise/Bhagavad_Gita_Recitation/SP_BG_Recitation_Chapter-08_-_Sanskrit.mp3" TargetMode="External"/><Relationship Id="rId556" Type="http://schemas.openxmlformats.org/officeDocument/2006/relationships/hyperlink" Target="https://audio.iskcondesiretree.com/01_-_Srila_Prabhupada/01_-_Lectures/01_-_English/01_-_Topic_wise/Srimad_Bhagavatam/Canto-06/SP_SB_6-01-15_London_1971-08-03_Understand_Krishna-Be_Liberated.mp3" TargetMode="External"/><Relationship Id="rId1186" Type="http://schemas.openxmlformats.org/officeDocument/2006/relationships/hyperlink" Target="https://audio.iskcondesiretree.com/01_-_Srila_Prabhupada/01_-_Lectures/01_-_English/01_-_Topic_wise/Bhagavad_Gita/Chapter-02/SP_BG_02-11_London_1973-08-17_You%27re_Talking_Like_a_Learned--etc.mp3" TargetMode="External"/><Relationship Id="rId2237" Type="http://schemas.openxmlformats.org/officeDocument/2006/relationships/hyperlink" Target="https://audio.iskcondesiretree.com/01_-_Srila_Prabhupada/01_-_Lectures/01_-_English/02_-_Month_wise/07_-_July/02/Conv_1974-07-02_R2-MELBOURNE.MP3" TargetMode="External"/><Relationship Id="rId209" Type="http://schemas.openxmlformats.org/officeDocument/2006/relationships/hyperlink" Target="https://audio.iskcondesiretree.com/01_-_Srila_Prabhupada/01_-_Lectures/01_-_English/02_-_Month_wise/01_-_January/04/Cc_M_21-013_NY_1967-01-04_Brahma_and_Indra_Were_Astonished.mp3" TargetMode="External"/><Relationship Id="rId970" Type="http://schemas.openxmlformats.org/officeDocument/2006/relationships/hyperlink" Target="https://audio.iskcondesiretree.com/01_-_Srila_Prabhupada/01_-_Lectures/01_-_English/02_-_Month_wise/04_-_April/25/SB_1-08-33_LA_1973-04-25_Converting_Crows_Into_Swans.mp3" TargetMode="External"/><Relationship Id="rId1253" Type="http://schemas.openxmlformats.org/officeDocument/2006/relationships/hyperlink" Target="https://audio.iskcondesiretree.com/01_-_Srila_Prabhupada/01_-_Lectures/01_-_English/02_-_Month_wise/09_-_September/05/Fest_LON_1973-09-05_Appearance_Day_of_Srimati_Radharani.mp3" TargetMode="External"/><Relationship Id="rId2651" Type="http://schemas.openxmlformats.org/officeDocument/2006/relationships/hyperlink" Target="https://audio.iskcondesiretree.com/01_-_Srila_Prabhupada/01_-_Lectures/01_-_English/01_-_Topic_wise/Srimad_Bhagavatam/Canto-03/SP_SB_3-26-19_Bombay_1974-12-28_This_Society_Needs_Some_Brains.mp3" TargetMode="External"/><Relationship Id="rId3702" Type="http://schemas.openxmlformats.org/officeDocument/2006/relationships/hyperlink" Target="https://audio.iskcondesiretree.com/01_-_Srila_Prabhupada/01_-_Lectures/01_-_English/02_-_Month_wise/08_-_August/30/SB-06-01-63_1975-08-30_SB-VRNDAVAN.MP3" TargetMode="External"/><Relationship Id="rId623" Type="http://schemas.openxmlformats.org/officeDocument/2006/relationships/hyperlink" Target="https://audio.iskcondesiretree.com/01_-_Srila_Prabhupada/01_-_Lectures/01_-_English/02_-_Month_wise/06_-_June/25/SB_2-04-02_LA_1972-06-25_Simply_Negating_Is_No_Good.mp3" TargetMode="External"/><Relationship Id="rId2304" Type="http://schemas.openxmlformats.org/officeDocument/2006/relationships/hyperlink" Target="https://audio.iskcondesiretree.com/01_-_Srila_Prabhupada/01_-_Lectures/01_-_English/01_-_Topic_wise/Srimad_Bhagavatam/Canto-01/SP_SB_1-05-22_Vrindavan_1974-08-03_Show_Your_Knowledge%27s_Origin.mp3" TargetMode="External"/><Relationship Id="rId5874" Type="http://schemas.openxmlformats.org/officeDocument/2006/relationships/hyperlink" Target="https://audio.iskcondesiretree.com/01_-_Srila_Prabhupada/01_-_Lectures/01_-_English/02_-_Month_wise/06_-_June/01/Conv_1977-06-01_DC-VRNDAVAN.MP3" TargetMode="External"/><Relationship Id="rId1320" Type="http://schemas.openxmlformats.org/officeDocument/2006/relationships/hyperlink" Target="https://audio.iskcondesiretree.com/01_-_Srila_Prabhupada/01_-_Lectures/01_-_English/02_-_Month_wise/10_-_October/13/Bg_13-19_BOM_1973-10-13_Object_of_Knowledge.mp3" TargetMode="External"/><Relationship Id="rId4476" Type="http://schemas.openxmlformats.org/officeDocument/2006/relationships/hyperlink" Target="https://audio.iskcondesiretree.com/01_-_Srila_Prabhupada/01_-_Lectures/01_-_English/02_-_Month_wise/04_-_April/14/Walk_1976-04-14_MW-BOMBAY.MP3" TargetMode="External"/><Relationship Id="rId4890" Type="http://schemas.openxmlformats.org/officeDocument/2006/relationships/hyperlink" Target="https://audio.iskcondesiretree.com/01_-_Srila_Prabhupada/01_-_Lectures/01_-_English/02_-_Month_wise/07_-_July/04/Walk_1976-07-04_MW-WASHINGTON%20DC.MP3" TargetMode="External"/><Relationship Id="rId5527" Type="http://schemas.openxmlformats.org/officeDocument/2006/relationships/hyperlink" Target="https://audio.iskcondesiretree.com/01_-_Srila_Prabhupada/01_-_Lectures/01_-_English/02_-_Month_wise/12_-_December/26/Conv_1976-12-26_R1-BOMBAY.MP3" TargetMode="External"/><Relationship Id="rId5941" Type="http://schemas.openxmlformats.org/officeDocument/2006/relationships/hyperlink" Target="https://audio.iskcondesiretree.com/01_-_Srila_Prabhupada/01_-_Lectures/01_-_English/02_-_Month_wise/10_-_October/12/Conv_1977-10-12_R1-VRNDAVAN.MP3" TargetMode="External"/><Relationship Id="rId3078" Type="http://schemas.openxmlformats.org/officeDocument/2006/relationships/hyperlink" Target="https://audio.iskcondesiretree.com/01_-_Srila_Prabhupada/01_-_Lectures/01_-_English/02_-_Month_wise/04_-_April/09/Cc_A_1-16_HYD_1975-04-09_Window_to_the_Spiritual_World.mp3" TargetMode="External"/><Relationship Id="rId3492" Type="http://schemas.openxmlformats.org/officeDocument/2006/relationships/hyperlink" Target="https://audio.iskcondesiretree.com/01_-_Srila_Prabhupada/01_-_Lectures/01_-_English/02_-_Month_wise/07_-_July/11/Arrival_1975-07-11_A2-PHILADELPHIA.MP3" TargetMode="External"/><Relationship Id="rId4129" Type="http://schemas.openxmlformats.org/officeDocument/2006/relationships/hyperlink" Target="https://audio.iskcondesiretree.com/01_-_Srila_Prabhupada/01_-_Lectures/01_-_English/02_-_Month_wise/12_-_December/26/Bg-16-07_1975-12-26_BG-SANAND.MP3" TargetMode="External"/><Relationship Id="rId4543" Type="http://schemas.openxmlformats.org/officeDocument/2006/relationships/hyperlink" Target="https://audio.iskcondesiretree.com/01_-_Srila_Prabhupada/01_-_Lectures/01_-_English/01_-_Topic_wise/Room_Conversation/SP_Room_Conversation_Auckland_1976-04-27_Wildcats_and_Special_Rascals.mp3" TargetMode="External"/><Relationship Id="rId2094" Type="http://schemas.openxmlformats.org/officeDocument/2006/relationships/hyperlink" Target="https://audio.iskcondesiretree.com/01_-_Srila_Prabhupada/01_-_Lectures/01_-_English/02_-_Month_wise/06_-_June/11/Conv_1974-06-11_R1-PARIS.MP3" TargetMode="External"/><Relationship Id="rId3145" Type="http://schemas.openxmlformats.org/officeDocument/2006/relationships/hyperlink" Target="https://audio.iskcondesiretree.com/01_-_Srila_Prabhupada/01_-_Lectures/01_-_English/02_-_Month_wise/04_-_April/28/Walk_1975-04-28_MW-VRNDAVAN.MP3" TargetMode="External"/><Relationship Id="rId4610" Type="http://schemas.openxmlformats.org/officeDocument/2006/relationships/hyperlink" Target="https://audio.iskcondesiretree.com/01_-_Srila_Prabhupada/01_-_Lectures/01_-_English/02_-_Month_wise/05_-_May/15/Walk_1976-05-15_MW-HONOLULU.MP3" TargetMode="External"/><Relationship Id="rId480" Type="http://schemas.openxmlformats.org/officeDocument/2006/relationships/hyperlink" Target="https://audio.iskcondesiretree.com/01_-_Srila_Prabhupada/01_-_Lectures/01_-_English/01_-_Topic_wise/Festivals/SP_Festivals_London_1969-09-18_Radhastami.mp3" TargetMode="External"/><Relationship Id="rId2161" Type="http://schemas.openxmlformats.org/officeDocument/2006/relationships/hyperlink" Target="https://audio.iskcondesiretree.com/01_-_Srila_Prabhupada/01_-_Lectures/01_-_English/01_-_Topic_wise/Room_Conversation/SP_Room_Conversation_Germany_1974-06-19_Prof_Durckheim_1--Outside_the--etc.mp3" TargetMode="External"/><Relationship Id="rId3212" Type="http://schemas.openxmlformats.org/officeDocument/2006/relationships/hyperlink" Target="https://audio.iskcondesiretree.com/01_-_Srila_Prabhupada/01_-_Lectures/01_-_English/02_-_Month_wise/05_-_May/20/Conv_1975-05-20_R1-MELBOURNE.MP3" TargetMode="External"/><Relationship Id="rId133" Type="http://schemas.openxmlformats.org/officeDocument/2006/relationships/hyperlink" Target="https://audio.iskcondesiretree.com/01_-_Srila_Prabhupada/01_-_Lectures/01_-_English/02_-_Month_wise/11_-_November/28/Cc_M_20-137_NY_1966-11-28_I_Am_Attained_By_etc.mp3" TargetMode="External"/><Relationship Id="rId5384" Type="http://schemas.openxmlformats.org/officeDocument/2006/relationships/hyperlink" Target="https://audio.iskcondesiretree.com/01_-_Srila_Prabhupada/01_-_Lectures/01_-_English/02_-_Month_wise/11_-_November/05/Conv_1976-11-05_R1-VRNDAVAN.MP3" TargetMode="External"/><Relationship Id="rId200" Type="http://schemas.openxmlformats.org/officeDocument/2006/relationships/hyperlink" Target="https://audio.iskcondesiretree.com/01_-_Srila_Prabhupada/01_-_Lectures/01_-_English/01_-_Topic_wise/Chaitanya_Charitamrita/Madhya_Lila/SP_CC_M_20-367_New_York_1966-12-31_Chief_Saktyavesa_Avatara.mp3" TargetMode="External"/><Relationship Id="rId2978" Type="http://schemas.openxmlformats.org/officeDocument/2006/relationships/hyperlink" Target="https://audio.iskcondesiretree.com/01_-_Srila_Prabhupada/01_-_Lectures/01_-_English/02_-_Month_wise/03_-_March/21/SB-01-02-06%E2%80%93Hindi_1975-03-21_SB-CALCUTTA.MP3" TargetMode="External"/><Relationship Id="rId5037" Type="http://schemas.openxmlformats.org/officeDocument/2006/relationships/hyperlink" Target="https://audio.iskcondesiretree.com/01_-_Srila_Prabhupada/01_-_Lectures/01_-_English/02_-_Month_wise/07_-_July/31/RC_PAR_1976-07-31_Vedic_Civilization_vs_None.mp3" TargetMode="External"/><Relationship Id="rId1994" Type="http://schemas.openxmlformats.org/officeDocument/2006/relationships/hyperlink" Target="https://audio.iskcondesiretree.com/01_-_Srila_Prabhupada/01_-_Lectures/01_-_English/01_-_Topic_wise/Morning_Walk/SP_Morning_Walk_-_Rome_1974-05-27.mp3" TargetMode="External"/><Relationship Id="rId5451" Type="http://schemas.openxmlformats.org/officeDocument/2006/relationships/hyperlink" Target="https://audio.iskcondesiretree.com/01_-_Srila_Prabhupada/01_-_Lectures/01_-_English/01_-_Topic_wise/Srimad_Bhagavatam/Canto-05/SP_SB_5-06-03_Vrindavan_1976-11-25_Never_Trust_Your_Mind.mp3" TargetMode="External"/><Relationship Id="rId1647" Type="http://schemas.openxmlformats.org/officeDocument/2006/relationships/hyperlink" Target="https://audio.iskcondesiretree.com/01_-_Srila_Prabhupada/01_-_Lectures/01_-_English/02_-_Month_wise/02_-_Feburary/24/Bg-07-09%E2%80%9310_1974-02-24_BG-BOMBAY.MP3" TargetMode="External"/><Relationship Id="rId4053" Type="http://schemas.openxmlformats.org/officeDocument/2006/relationships/hyperlink" Target="https://audio.iskcondesiretree.com/01_-_Srila_Prabhupada/01_-_Lectures/01_-_English/01_-_Topic_wise/Srimad_Bhagavatam/Canto-07/SP_SB_7-06-04_Vrindavan_1975-12-05_How_to_Waste_Your_Life.mp3" TargetMode="External"/><Relationship Id="rId5104" Type="http://schemas.openxmlformats.org/officeDocument/2006/relationships/hyperlink" Target="https://audio.iskcondesiretree.com/01_-_Srila_Prabhupada/01_-_Lectures/01_-_English/01_-_Topic_wise/Morning_Walk/SP_Morning_Walk_-_Bombay_1976-08-14_Cow_Care.mp3" TargetMode="External"/><Relationship Id="rId1714" Type="http://schemas.openxmlformats.org/officeDocument/2006/relationships/hyperlink" Target="https://audio.iskcondesiretree.com/01_-_Srila_Prabhupada/01_-_Lectures/01_-_English/01_-_Topic_wise/Morning_Walk/SP_Morning_Walk_-_Vrindavan_1974-03-16.mp3" TargetMode="External"/><Relationship Id="rId4120" Type="http://schemas.openxmlformats.org/officeDocument/2006/relationships/hyperlink" Target="https://audio.iskcondesiretree.com/01_-_Srila_Prabhupada/01_-_Lectures/01_-_English/02_-_Month_wise/12_-_December/23/Walk_1975-12-23_MW-BOMBAY.MP3" TargetMode="External"/><Relationship Id="rId2488" Type="http://schemas.openxmlformats.org/officeDocument/2006/relationships/hyperlink" Target="https://audio.iskcondesiretree.com/01_-_Srila_Prabhupada/01_-_Lectures/01_-_English/01_-_Topic_wise/Srimad_Bhagavatam/Canto-03/SP_SB_3-25-03_Bombay_1974-11-03_Krishna_Has_Everything.mp3" TargetMode="External"/><Relationship Id="rId3886" Type="http://schemas.openxmlformats.org/officeDocument/2006/relationships/hyperlink" Target="https://audio.iskcondesiretree.com/01_-_Srila_Prabhupada/01_-_Lectures/01_-_English/01_-_Topic_wise/Bhagavad_Gita/Chapter-16/SP_BG_16-06_Durban_1975-10-18_Demons%27_Symptoms.mp3" TargetMode="External"/><Relationship Id="rId4937" Type="http://schemas.openxmlformats.org/officeDocument/2006/relationships/hyperlink" Target="https://audio.iskcondesiretree.com/01_-_Srila_Prabhupada/01_-_Lectures/01_-_English/02_-_Month_wise/07_-_July/09/Arrival_1976-07-09_AD-NEW%20YORK.MP3" TargetMode="External"/><Relationship Id="rId3539" Type="http://schemas.openxmlformats.org/officeDocument/2006/relationships/hyperlink" Target="https://audio.iskcondesiretree.com/01_-_Srila_Prabhupada/01_-_Lectures/01_-_English/02_-_Month_wise/07_-_July/16/Walk_1975-07-16_MW-SAN%20FRANCISCO.MP3" TargetMode="External"/><Relationship Id="rId3953" Type="http://schemas.openxmlformats.org/officeDocument/2006/relationships/hyperlink" Target="https://audio.iskcondesiretree.com/01_-_Srila_Prabhupada/01_-_Lectures/01_-_English/02_-_Month_wise/11_-_November/02/Lecture%E2%80%93Hindi_1975-11-02_LE-BOMBAY.MP3" TargetMode="External"/><Relationship Id="rId6012" Type="http://schemas.openxmlformats.org/officeDocument/2006/relationships/hyperlink" Target="https://audio.iskcondesiretree.com/01_-_Srila_Prabhupada/01_-_Lectures/01_-_English/02_-_Month_wise/11_-_November/09/Conv_1977-11-09_R1-VRNDAVAN.MP3" TargetMode="External"/><Relationship Id="rId874" Type="http://schemas.openxmlformats.org/officeDocument/2006/relationships/hyperlink" Target="https://audio.iskcondesiretree.com/01_-_Srila_Prabhupada/01_-_Lectures/01_-_English/01_-_Topic_wise/Nectar_Of_Devotion/SP_NOD_Bombay_1972-12-28_-_Surrender_to_Krishna_or_Crocodiles.mp3" TargetMode="External"/><Relationship Id="rId2555" Type="http://schemas.openxmlformats.org/officeDocument/2006/relationships/hyperlink" Target="https://audio.iskcondesiretree.com/01_-_Srila_Prabhupada/01_-_Lectures/01_-_English/01_-_Topic_wise/Srimad_Bhagavatam/Canto-03/SP_SB_3-25-26_Bombay_1974-11-26_Krishna_Gratification.mp3" TargetMode="External"/><Relationship Id="rId3606" Type="http://schemas.openxmlformats.org/officeDocument/2006/relationships/hyperlink" Target="https://audio.iskcondesiretree.com/01_-_Srila_Prabhupada/01_-_Lectures/01_-_English/01_-_Topic_wise/Morning_Walk/SP_Morning_Walk_-_Dallas_1975-07-29.MP3" TargetMode="External"/><Relationship Id="rId527" Type="http://schemas.openxmlformats.org/officeDocument/2006/relationships/hyperlink" Target="https://audio.iskcondesiretree.com/01_-_Srila_Prabhupada/01_-_Lectures/01_-_English/02_-_Month_wise/03_-_March/18/SB_7-07-19_BOM_1971-03-18_Designations_Demoniac.mp3" TargetMode="External"/><Relationship Id="rId941" Type="http://schemas.openxmlformats.org/officeDocument/2006/relationships/hyperlink" Target="https://audio.iskcondesiretree.com/01_-_Srila_Prabhupada/01_-_Lectures/01_-_English/02_-_Month_wise/04_-_April/13/Arr_LA_1973-04-13_My_Lord%2C_I_Don%27t_Want_Anything_Material.mp3" TargetMode="External"/><Relationship Id="rId1157" Type="http://schemas.openxmlformats.org/officeDocument/2006/relationships/hyperlink" Target="https://audio.iskcondesiretree.com/01_-_Srila_Prabhupada/01_-_Lectures/01_-_English/02_-_Month_wise/08_-_August/09/RC_PAR_1973-08-09_Priest_Cardinal_Danielou-Thou_etc.mp3" TargetMode="External"/><Relationship Id="rId1571" Type="http://schemas.openxmlformats.org/officeDocument/2006/relationships/hyperlink" Target="https://audio.iskcondesiretree.com/01_-_Srila_Prabhupada/01_-_Lectures/01_-_English/02_-_Month_wise/01_-_January/28/Initiations_1974-01-28_IN-HONOLULU.MP3" TargetMode="External"/><Relationship Id="rId2208" Type="http://schemas.openxmlformats.org/officeDocument/2006/relationships/hyperlink" Target="https://audio.iskcondesiretree.com/01_-_Srila_Prabhupada/01_-_Lectures/01_-_English/01_-_Topic_wise/Bhagavad_Gita/Chapter-09/SP_BG_09-01_Melbourne_1974-06-29_Chant_Dance_Eat_Prasadam..._Go_Home.mp3" TargetMode="External"/><Relationship Id="rId2622" Type="http://schemas.openxmlformats.org/officeDocument/2006/relationships/hyperlink" Target="https://audio.iskcondesiretree.com/01_-_Srila_Prabhupada/01_-_Lectures/01_-_English/02_-_Month_wise/12_-_December/18/SB-03-26-06_1974-12-18_SB-BOMBAY.MP3" TargetMode="External"/><Relationship Id="rId5778" Type="http://schemas.openxmlformats.org/officeDocument/2006/relationships/hyperlink" Target="https://audio.iskcondesiretree.com/01_-_Srila_Prabhupada/01_-_Lectures/01_-_English/02_-_Month_wise/03_-_March/29/SB%E2%80%9305-05-03%E2%80%9304_1977-03-29_SB-BOMBAY.MP3" TargetMode="External"/><Relationship Id="rId1224" Type="http://schemas.openxmlformats.org/officeDocument/2006/relationships/hyperlink" Target="https://audio.iskcondesiretree.com/01_-_Srila_Prabhupada/01_-_Lectures/01_-_English/01_-_Topic_wise/Bhagavad_Gita/Chapter-02/SP_BG_02-25_London_1973-08-28_Relieving_Our_Bodily_Burden.mp3" TargetMode="External"/><Relationship Id="rId4794" Type="http://schemas.openxmlformats.org/officeDocument/2006/relationships/hyperlink" Target="https://audio.iskcondesiretree.com/01_-_Srila_Prabhupada/01_-_Lectures/01_-_English/02_-_Month_wise/06_-_June/20/SB_7-06-04_TOR_1976-06-20_Innermost_Benefit_from_the_etc.mp3" TargetMode="External"/><Relationship Id="rId5845" Type="http://schemas.openxmlformats.org/officeDocument/2006/relationships/hyperlink" Target="https://audio.iskcondesiretree.com/01_-_Srila_Prabhupada/01_-_Lectures/01_-_English/02_-_Month_wise/05_-_May/12/RC_HRI_1977-05-12_Every_Village_Neighborhood_Home_etc.mp3" TargetMode="External"/><Relationship Id="rId3396" Type="http://schemas.openxmlformats.org/officeDocument/2006/relationships/hyperlink" Target="https://audio.iskcondesiretree.com/01_-_Srila_Prabhupada/01_-_Lectures/01_-_English/01_-_Topic_wise/Morning_Walk/SP_Morning_Walk_-_Denver_1975-06-29_With_Less_Labor_Back_to_Godhead.mp3" TargetMode="External"/><Relationship Id="rId4447" Type="http://schemas.openxmlformats.org/officeDocument/2006/relationships/hyperlink" Target="https://audio.iskcondesiretree.com/01_-_Srila_Prabhupada/01_-_Lectures/01_-_English/02_-_Month_wise/04_-_April/08/SB-07-09-53_1976-04-08_SB-VRNDAVAN.MP3" TargetMode="External"/><Relationship Id="rId3049" Type="http://schemas.openxmlformats.org/officeDocument/2006/relationships/hyperlink" Target="https://audio.iskcondesiretree.com/01_-_Srila_Prabhupada/01_-_Lectures/01_-_English/02_-_Month_wise/04_-_April/04/Conv_1975-04-04_R1-MAYAPUR.MP3" TargetMode="External"/><Relationship Id="rId3463" Type="http://schemas.openxmlformats.org/officeDocument/2006/relationships/hyperlink" Target="https://audio.iskcondesiretree.com/01_-_Srila_Prabhupada/01_-_Lectures/01_-_English/02_-_Month_wise/07_-_July/08/SB_6-01-24_CHI_1975-07-08_Family_Life.mp3" TargetMode="External"/><Relationship Id="rId4861" Type="http://schemas.openxmlformats.org/officeDocument/2006/relationships/hyperlink" Target="https://audio.iskcondesiretree.com/01_-_Srila_Prabhupada/01_-_Lectures/01_-_English/02_-_Month_wise/06_-_June/29/SB_7-06-15_NV_1976-06-29_The_Problem_of_Family_and_Belly.mp3" TargetMode="External"/><Relationship Id="rId5912" Type="http://schemas.openxmlformats.org/officeDocument/2006/relationships/hyperlink" Target="https://audio.iskcondesiretree.com/01_-_Srila_Prabhupada/01_-_Lectures/01_-_English/02_-_Month_wise/07_-_July/08/Conv_1977-07-08_R2-VRNDAVAN.MP3" TargetMode="External"/><Relationship Id="rId384" Type="http://schemas.openxmlformats.org/officeDocument/2006/relationships/hyperlink" Target="https://audio.iskcondesiretree.com/01_-_Srila_Prabhupada/01_-_Lectures/01_-_English/02_-_Month_wise/03_-_March/05/Fest_HAW_1969-03-05_Day_After_Gaura_Purnima-B.mp3" TargetMode="External"/><Relationship Id="rId2065" Type="http://schemas.openxmlformats.org/officeDocument/2006/relationships/hyperlink" Target="https://audio.iskcondesiretree.com/01_-_Srila_Prabhupada/01_-_Lectures/01_-_English/02_-_Month_wise/06_-_June/06/Bg-13-35_1974-06-06_BG-GENEVA.MP3" TargetMode="External"/><Relationship Id="rId3116" Type="http://schemas.openxmlformats.org/officeDocument/2006/relationships/hyperlink" Target="https://audio.iskcondesiretree.com/01_-_Srila_Prabhupada/01_-_Lectures/01_-_English/01_-_Topic_wise/Morning_Walk/SP_Morning_Walk_-_Vrindavan_1975-04-17.MP3" TargetMode="External"/><Relationship Id="rId4514" Type="http://schemas.openxmlformats.org/officeDocument/2006/relationships/hyperlink" Target="https://audio.iskcondesiretree.com/01_-_Srila_Prabhupada/01_-_Lectures/01_-_English/01_-_Topic_wise/Interview/SP_Interview_Melbourne_1976-04-22_Press--First%2C_Understand_Your_Self.mp3" TargetMode="External"/><Relationship Id="rId1081" Type="http://schemas.openxmlformats.org/officeDocument/2006/relationships/hyperlink" Target="https://audio.iskcondesiretree.com/01_-_Srila_Prabhupada/01_-_Lectures/01_-_English/01_-_Topic_wise/Room_Conversation/SP_Room_Conversation_London_1973-07-12_Schoolmaster--Krishna-More_than_Nirvana.mp3" TargetMode="External"/><Relationship Id="rId3530" Type="http://schemas.openxmlformats.org/officeDocument/2006/relationships/hyperlink" Target="https://audio.iskcondesiretree.com/01_-_Srila_Prabhupada/01_-_Lectures/01_-_English/02_-_Month_wise/07_-_July/15/Arr_SF_1975-07-15_Unflinching_Faith_in_God_%26_Guru.mp3" TargetMode="External"/><Relationship Id="rId451" Type="http://schemas.openxmlformats.org/officeDocument/2006/relationships/hyperlink" Target="https://audio.iskcondesiretree.com/01_-_Srila_Prabhupada/01_-_Lectures/01_-_English/02_-_Month_wise/06_-_June/18/SB_1-05-14_NV_1969-06-18_Abominable_Nonsense_Don%27t_etc.mp3" TargetMode="External"/><Relationship Id="rId2132" Type="http://schemas.openxmlformats.org/officeDocument/2006/relationships/hyperlink" Target="https://audio.iskcondesiretree.com/01_-_Srila_Prabhupada/01_-_Lectures/01_-_English/01_-_Topic_wise/Srimad_Bhagavatam/Canto-02/SP_SB_2-01-06_Paris_1974-06-14_Do_You_Know_How_to_Die.mp3" TargetMode="External"/><Relationship Id="rId5288" Type="http://schemas.openxmlformats.org/officeDocument/2006/relationships/hyperlink" Target="https://audio.iskcondesiretree.com/01_-_Srila_Prabhupada/01_-_Lectures/01_-_English/02_-_Month_wise/10_-_October/01/SB-01-07-40_1976-10-01_SB-VRNDAVAN.MP3" TargetMode="External"/><Relationship Id="rId104" Type="http://schemas.openxmlformats.org/officeDocument/2006/relationships/hyperlink" Target="https://audio.iskcondesiretree.com/01_-_Srila_Prabhupada/01_-_Lectures/01_-_English/01_-_Topic_wise/Bhagavad_Gita/Chapter-08/SP_BG_08-21-22_New_York_1966-11-19_The_Supreme_Abode--Attainable--etc.mp3" TargetMode="External"/><Relationship Id="rId1898" Type="http://schemas.openxmlformats.org/officeDocument/2006/relationships/hyperlink" Target="https://audio.iskcondesiretree.com/01_-_Srila_Prabhupada/01_-_Lectures/01_-_English/02_-_Month_wise/04_-_April/19/Bg_13-03_HYD_1974-04-19_Take_Knowledge_from_Krishna.mp3" TargetMode="External"/><Relationship Id="rId2949" Type="http://schemas.openxmlformats.org/officeDocument/2006/relationships/hyperlink" Target="https://audio.iskcondesiretree.com/01_-_Srila_Prabhupada/01_-_Lectures/01_-_English/01_-_Topic_wise/Room_Conversation/SP_Room_Conversation_Tehran_1975-03-13_Indians--Only_Krishna_Should_Be_Satisfied.mp3" TargetMode="External"/><Relationship Id="rId5355" Type="http://schemas.openxmlformats.org/officeDocument/2006/relationships/hyperlink" Target="https://audio.iskcondesiretree.com/01_-_Srila_Prabhupada/01_-_Lectures/01_-_English/02_-_Month_wise/10_-_October/29/SB_5-05-07_VRN_1976-10-29_Fully_Extended_Self-Interest.mp3" TargetMode="External"/><Relationship Id="rId4371" Type="http://schemas.openxmlformats.org/officeDocument/2006/relationships/hyperlink" Target="https://audio.iskcondesiretree.com/01_-_Srila_Prabhupada/01_-_Lectures/01_-_English/02_-_Month_wise/03_-_March/16/SB_7-09-38_MAY_1976-03-16_Gaura_Purnima--The_Undercover_Avatar.mp3" TargetMode="External"/><Relationship Id="rId5008" Type="http://schemas.openxmlformats.org/officeDocument/2006/relationships/hyperlink" Target="https://audio.iskcondesiretree.com/01_-_Srila_Prabhupada/01_-_Lectures/01_-_English/01_-_Topic_wise/Chaitanya_Charitamrita/Madhya_Lila/SP_CC_M_20-113_London_1976-07-23_Inconceivable_but_Believable.mp3" TargetMode="External"/><Relationship Id="rId5422" Type="http://schemas.openxmlformats.org/officeDocument/2006/relationships/hyperlink" Target="https://audio.iskcondesiretree.com/01_-_Srila_Prabhupada/01_-_Lectures/01_-_English/02_-_Month_wise/11_-_November/14/SB-05-05-27_1976-11-14_SB-VRNDAVAN.MP3" TargetMode="External"/><Relationship Id="rId1965" Type="http://schemas.openxmlformats.org/officeDocument/2006/relationships/hyperlink" Target="https://audio.iskcondesiretree.com/01_-_Srila_Prabhupada/01_-_Lectures/01_-_English/02_-_Month_wise/05_-_May/12/Bg-12-13%E2%80%9314_1974-05-12_BG-BOMBAY.MP3" TargetMode="External"/><Relationship Id="rId4024" Type="http://schemas.openxmlformats.org/officeDocument/2006/relationships/hyperlink" Target="https://audio.iskcondesiretree.com/01_-_Srila_Prabhupada/01_-_Lectures/01_-_English/02_-_Month_wise/11_-_November/24/Walk_1975-11-24_MW-BOMBAY.MP3" TargetMode="External"/><Relationship Id="rId1618" Type="http://schemas.openxmlformats.org/officeDocument/2006/relationships/hyperlink" Target="https://audio.iskcondesiretree.com/01_-_Srila_Prabhupada/01_-_Lectures/01_-_English/02_-_Month_wise/02_-_Feburary/14/Conv_1974-02-14_R1-VRNDAVAN.MP3" TargetMode="External"/><Relationship Id="rId3040" Type="http://schemas.openxmlformats.org/officeDocument/2006/relationships/hyperlink" Target="https://audio.iskcondesiretree.com/01_-_Srila_Prabhupada/01_-_Lectures/01_-_English/02_-_Month_wise/04_-_April/03/CcAdi-01-010_1975-04-03_CC-MAYAPUR.MP3" TargetMode="External"/><Relationship Id="rId6196" Type="http://schemas.openxmlformats.org/officeDocument/2006/relationships/hyperlink" Target="https://audio.iskcondesiretree.com/01_-_Srila_Prabhupada/01_-_Lectures/03_-_Hindi/SP_Hindi_24_Lectures_%26_Conversations.mp3" TargetMode="External"/><Relationship Id="rId3857" Type="http://schemas.openxmlformats.org/officeDocument/2006/relationships/hyperlink" Target="https://audio.iskcondesiretree.com/01_-_Srila_Prabhupada/01_-_Lectures/01_-_English/02_-_Month_wise/10_-_October/13/Conv_1975-10-13_CR-DURBAN.MP3" TargetMode="External"/><Relationship Id="rId4908" Type="http://schemas.openxmlformats.org/officeDocument/2006/relationships/hyperlink" Target="https://audio.iskcondesiretree.com/01_-_Srila_Prabhupada/01_-_Lectures/01_-_English/02_-_Month_wise/07_-_July/06/Conv_1976-07-06_R2-WASHINGTON%20DC.MP3" TargetMode="External"/><Relationship Id="rId778" Type="http://schemas.openxmlformats.org/officeDocument/2006/relationships/hyperlink" Target="https://audio.iskcondesiretree.com/01_-_Srila_Prabhupada/01_-_Lectures/01_-_English/02_-_Month_wise/11_-_November/03/NOD_Lect_VRN_1972-11-03_People_Want_Hodgepodge_Not_etc.mp3" TargetMode="External"/><Relationship Id="rId2459" Type="http://schemas.openxmlformats.org/officeDocument/2006/relationships/hyperlink" Target="https://audio.iskcondesiretree.com/01_-_Srila_Prabhupada/01_-_Lectures/01_-_English/02_-_Month_wise/10_-_October/22/SB-01-08-42_1974-10-22_SB-MAYAPUR.MP3" TargetMode="External"/><Relationship Id="rId2873" Type="http://schemas.openxmlformats.org/officeDocument/2006/relationships/hyperlink" Target="https://audio.iskcondesiretree.com/01_-_Srila_Prabhupada/01_-_Lectures/01_-_English/01_-_Topic_wise/Morning_Walk/SP_Morning_Walk_-_Atlanta_1975-03-01_Don%27t_Speculate-Hear%21.mp3" TargetMode="External"/><Relationship Id="rId3924" Type="http://schemas.openxmlformats.org/officeDocument/2006/relationships/hyperlink" Target="https://audio.iskcondesiretree.com/01_-_Srila_Prabhupada/01_-_Lectures/01_-_English/02_-_Month_wise/10_-_October/28/Bg-07-02_1975-10-28_BG-NAIROBI.MP3" TargetMode="External"/><Relationship Id="rId845" Type="http://schemas.openxmlformats.org/officeDocument/2006/relationships/hyperlink" Target="https://audio.iskcondesiretree.com/01_-_Srila_Prabhupada/01_-_Lectures/01_-_English/01_-_Topic_wise/Bhagavad_Gita/Chapter-02/SP_BG_02-25_Hyderabad_1972-11-29_Transfer_Your_Love_to_Krishna.mp3" TargetMode="External"/><Relationship Id="rId1475" Type="http://schemas.openxmlformats.org/officeDocument/2006/relationships/hyperlink" Target="https://audio.iskcondesiretree.com/01_-_Srila_Prabhupada/01_-_Lectures/01_-_English/01_-_Topic_wise/Morning_Walk/SP_Morning_Walk_-_Los_Angeles_1974-01-03_Cats_Dogs_Camels_Goats_%26_Madmen.mp3" TargetMode="External"/><Relationship Id="rId2526" Type="http://schemas.openxmlformats.org/officeDocument/2006/relationships/hyperlink" Target="https://audio.iskcondesiretree.com/01_-_Srila_Prabhupada/01_-_Lectures/01_-_English/02_-_Month_wise/11_-_November/16/SB_3-25-16_BOM_1974-11-16_Mind_Is_Covered_by_Dirty_Things.mp3" TargetMode="External"/><Relationship Id="rId1128" Type="http://schemas.openxmlformats.org/officeDocument/2006/relationships/hyperlink" Target="https://audio.iskcondesiretree.com/01_-_Srila_Prabhupada/01_-_Lectures/01_-_English/01_-_Topic_wise/Bhagavad_Gita/Chapter-01/SP_BG_01-37-39_London_1973-07-27_The_Way_to_Save_Society.mp3" TargetMode="External"/><Relationship Id="rId1542" Type="http://schemas.openxmlformats.org/officeDocument/2006/relationships/hyperlink" Target="https://audio.iskcondesiretree.com/01_-_Srila_Prabhupada/01_-_Lectures/01_-_English/02_-_Month_wise/01_-_January/18/MW_HAW_1974-01-18_We_Controllers_Are_Getting_Kicked.mp3" TargetMode="External"/><Relationship Id="rId2940" Type="http://schemas.openxmlformats.org/officeDocument/2006/relationships/hyperlink" Target="https://audio.iskcondesiretree.com/01_-_Srila_Prabhupada/01_-_Lectures/01_-_English/02_-_Month_wise/03_-_March/11/Bg_07-03_LON_1975-03-11_Your_Next_Life%2C_Sir-Bow%2C_Wow.mp3" TargetMode="External"/><Relationship Id="rId4698" Type="http://schemas.openxmlformats.org/officeDocument/2006/relationships/hyperlink" Target="https://audio.iskcondesiretree.com/01_-_Srila_Prabhupada/01_-_Lectures/01_-_English/01_-_Topic_wise/Morning_Walk/SP_Morning_Walk_-_Los_Angeles_1976-06-07_Spiritual_Pursuit-_Purifying_or_Putrefying.mp3" TargetMode="External"/><Relationship Id="rId5749" Type="http://schemas.openxmlformats.org/officeDocument/2006/relationships/hyperlink" Target="https://audio.iskcondesiretree.com/01_-_Srila_Prabhupada/01_-_Lectures/01_-_English/01_-_Topic_wise/Srimad_Bhagavatam/Canto-07/SP_SB_7-09-09_Mayapur_1977-03-01_Dedicate_Your_Life_To_Krishna.mp3" TargetMode="External"/><Relationship Id="rId912" Type="http://schemas.openxmlformats.org/officeDocument/2006/relationships/hyperlink" Target="https://audio.iskcondesiretree.com/01_-_Srila_Prabhupada/01_-_Lectures/01_-_English/02_-_Month_wise/01_-_January/29/Lect_CAL_1973-01-29_To_Students--Something_Tangible.mp3" TargetMode="External"/><Relationship Id="rId4765" Type="http://schemas.openxmlformats.org/officeDocument/2006/relationships/hyperlink" Target="https://audio.iskcondesiretree.com/01_-_Srila_Prabhupada/01_-_Lectures/01_-_English/01_-_Topic_wise/Various/SP_Lecture_Toronto_1976-06-17_Initiation--Today_Nobody--etc.mp3" TargetMode="External"/><Relationship Id="rId5816" Type="http://schemas.openxmlformats.org/officeDocument/2006/relationships/hyperlink" Target="https://audio.iskcondesiretree.com/01_-_Srila_Prabhupada/01_-_Lectures/01_-_English/02_-_Month_wise/04_-_April/23/Conv_1977-04-23_R1-BOMBAY.MP3" TargetMode="External"/><Relationship Id="rId288" Type="http://schemas.openxmlformats.org/officeDocument/2006/relationships/hyperlink" Target="https://audio.iskcondesiretree.com/01_-_Srila_Prabhupada/01_-_Lectures/01_-_English/01_-_Topic_wise/Srimad_Bhagavatam/Canto-02/SP_SB_2-01-02_Montreal_1968-10-23_Leer_and_Fear...or_Hear.mp3" TargetMode="External"/><Relationship Id="rId3367" Type="http://schemas.openxmlformats.org/officeDocument/2006/relationships/hyperlink" Target="https://audio.iskcondesiretree.com/01_-_Srila_Prabhupada/01_-_Lectures/01_-_English/02_-_Month_wise/06_-_June/25/RC_LA_1975-06-25_God_Is_As_Sure_As_Death.mp3" TargetMode="External"/><Relationship Id="rId3781" Type="http://schemas.openxmlformats.org/officeDocument/2006/relationships/hyperlink" Target="https://audio.iskcondesiretree.com/01_-_Srila_Prabhupada/01_-_Lectures/01_-_English/02_-_Month_wise/09_-_September/20/SB_6-02-17_VRN_1975-09-20_Don%27t_Try_to_Be_Happy_Here.mp3" TargetMode="External"/><Relationship Id="rId4418" Type="http://schemas.openxmlformats.org/officeDocument/2006/relationships/hyperlink" Target="https://audio.iskcondesiretree.com/01_-_Srila_Prabhupada/01_-_Lectures/01_-_English/02_-_Month_wise/04_-_April/01/SB-07-09-46_1976-04-01_SB-VRNDAVAN.MP3" TargetMode="External"/><Relationship Id="rId4832" Type="http://schemas.openxmlformats.org/officeDocument/2006/relationships/hyperlink" Target="https://audio.iskcondesiretree.com/01_-_Srila_Prabhupada/01_-_Lectures/01_-_English/02_-_Month_wise/06_-_June/26/SB-07-06-10_1976-06-26_SB-NEW%20VRINDAVAN.MP3" TargetMode="External"/><Relationship Id="rId2383" Type="http://schemas.openxmlformats.org/officeDocument/2006/relationships/hyperlink" Target="https://audio.iskcondesiretree.com/01_-_Srila_Prabhupada/01_-_Lectures/01_-_English/02_-_Month_wise/09_-_September/23/Radhastami_1974-09-23_BG-CALCUTTA.MP3" TargetMode="External"/><Relationship Id="rId3434" Type="http://schemas.openxmlformats.org/officeDocument/2006/relationships/hyperlink" Target="https://audio.iskcondesiretree.com/01_-_Srila_Prabhupada/01_-_Lectures/01_-_English/02_-_Month_wise/07_-_July/04/SB_6-01-20_CHI_1975-07-04_Crime-Why_and_What_to_Do.mp3" TargetMode="External"/><Relationship Id="rId355" Type="http://schemas.openxmlformats.org/officeDocument/2006/relationships/hyperlink" Target="https://audio.iskcondesiretree.com/01_-_Srila_Prabhupada/01_-_Lectures/01_-_English/01_-_Topic_wise/Bhagavad_Gita/Chapter-04/SP_BG_04-11-18_Los_Angeles_1969-01-08_Krishna_Belongs_to_Everyone.mp3" TargetMode="External"/><Relationship Id="rId2036" Type="http://schemas.openxmlformats.org/officeDocument/2006/relationships/hyperlink" Target="https://audio.iskcondesiretree.com/01_-_Srila_Prabhupada/01_-_Lectures/01_-_English/02_-_Month_wise/06_-_June/02/SB-01-13-11_1974-06-02_SB-GENEVA.MP3" TargetMode="External"/><Relationship Id="rId2450" Type="http://schemas.openxmlformats.org/officeDocument/2006/relationships/hyperlink" Target="https://audio.iskcondesiretree.com/01_-_Srila_Prabhupada/01_-_Lectures/01_-_English/02_-_Month_wise/10_-_October/19/SB-01-08-39_1974-10-19_SB-MAYAPUR.MP3" TargetMode="External"/><Relationship Id="rId3501" Type="http://schemas.openxmlformats.org/officeDocument/2006/relationships/hyperlink" Target="https://audio.iskcondesiretree.com/01_-_Srila_Prabhupada/01_-_Lectures/01_-_English/01_-_Topic_wise/Morning_Walk/SP_Morning_Walk_-_Philadelphia_1975-07-12_Inductive_Illusion.mp3" TargetMode="External"/><Relationship Id="rId422" Type="http://schemas.openxmlformats.org/officeDocument/2006/relationships/hyperlink" Target="https://audio.iskcondesiretree.com/01_-_Srila_Prabhupada/01_-_Lectures/01_-_English/02_-_Month_wise/05_-_May/11/Addr_COL_1969-05-11_Addr_to_Indian_Association.mp3" TargetMode="External"/><Relationship Id="rId1052" Type="http://schemas.openxmlformats.org/officeDocument/2006/relationships/hyperlink" Target="https://audio.iskcondesiretree.com/01_-_Srila_Prabhupada/01_-_Lectures/01_-_English/02_-_Month_wise/06_-_June/29/Bg_09-10_CAL_1973-06-29_Dead_Heads_and_Supreme_Life.mp3" TargetMode="External"/><Relationship Id="rId2103" Type="http://schemas.openxmlformats.org/officeDocument/2006/relationships/hyperlink" Target="https://audio.iskcondesiretree.com/01_-_Srila_Prabhupada/01_-_Lectures/01_-_English/01_-_Topic_wise/Room_Conversation/SP_Room_Conversation_Paris_1974-06-12_French_Poet--Flies_Want_to_Enjoy_the_Fire.mp3" TargetMode="External"/><Relationship Id="rId5259" Type="http://schemas.openxmlformats.org/officeDocument/2006/relationships/hyperlink" Target="https://audio.iskcondesiretree.com/01_-_Srila_Prabhupada/01_-_Lectures/01_-_English/02_-_Month_wise/09_-_September/24/SB_1-07-27_VRN_1976-09-24_Krishna-Blessing_or_Burden.mp3" TargetMode="External"/><Relationship Id="rId5673" Type="http://schemas.openxmlformats.org/officeDocument/2006/relationships/hyperlink" Target="https://audio.iskcondesiretree.com/01_-_Srila_Prabhupada/01_-_Lectures/01_-_English/02_-_Month_wise/02_-_Feburary/02/RC_BHU_1977-02-02_Svarupa_Damodar--Very_Artificial_Intelligence.mp3" TargetMode="External"/><Relationship Id="rId4275" Type="http://schemas.openxmlformats.org/officeDocument/2006/relationships/hyperlink" Target="https://audio.iskcondesiretree.com/01_-_Srila_Prabhupada/01_-_Lectures/01_-_English/01_-_Topic_wise/Srimad_Bhagavatam/Canto-07/SP_SB_7-09-17_Mayapur_1976-02-24_Crushed_by_the_Wheel_of_Time.mp3" TargetMode="External"/><Relationship Id="rId5326" Type="http://schemas.openxmlformats.org/officeDocument/2006/relationships/hyperlink" Target="https://audio.iskcondesiretree.com/01_-_Srila_Prabhupada/01_-_Lectures/01_-_English/02_-_Month_wise/10_-_October/10/SB-01-02-06%E2%80%93Hindi_1976-10-10_SB-ALIGARH.MP3" TargetMode="External"/><Relationship Id="rId1869" Type="http://schemas.openxmlformats.org/officeDocument/2006/relationships/hyperlink" Target="https://audio.iskcondesiretree.com/01_-_Srila_Prabhupada/01_-_Lectures/01_-_English/02_-_Month_wise/04_-_April/13/Walk_1974-04-13_MW-BOMBAY.MP3" TargetMode="External"/><Relationship Id="rId3291" Type="http://schemas.openxmlformats.org/officeDocument/2006/relationships/hyperlink" Target="https://audio.iskcondesiretree.com/01_-_Srila_Prabhupada/01_-_Lectures/01_-_English/01_-_Topic_wise/Room_Conversation/SP_Room_Converstion_02_Honolulu_1975-06-15.MP3" TargetMode="External"/><Relationship Id="rId5740" Type="http://schemas.openxmlformats.org/officeDocument/2006/relationships/hyperlink" Target="https://audio.iskcondesiretree.com/01_-_Srila_Prabhupada/01_-_Lectures/01_-_English/02_-_Month_wise/02_-_Feburary/27/Conv_1977-02-27_R2-MAYAPUR.MP3" TargetMode="External"/><Relationship Id="rId1936" Type="http://schemas.openxmlformats.org/officeDocument/2006/relationships/hyperlink" Target="https://audio.iskcondesiretree.com/01_-_Srila_Prabhupada/01_-_Lectures/01_-_English/01_-_Topic_wise/Bhagavad_Gita/Chapter-07/SP_BG_07-01_Hyderabad_1974-04-27_Krishna_in_His_Vibration_Form.mp3" TargetMode="External"/><Relationship Id="rId4342" Type="http://schemas.openxmlformats.org/officeDocument/2006/relationships/hyperlink" Target="https://audio.iskcondesiretree.com/01_-_Srila_Prabhupada/01_-_Lectures/01_-_English/01_-_Topic_wise/Srimad_Bhagavatam/Canto-07/SP_SB_7-09-33_Mayapur_1976-03-11_Basic_Principle.mp3" TargetMode="External"/><Relationship Id="rId3011" Type="http://schemas.openxmlformats.org/officeDocument/2006/relationships/hyperlink" Target="https://audio.iskcondesiretree.com/01_-_Srila_Prabhupada/01_-_Lectures/01_-_English/02_-_Month_wise/03_-_March/30/Cc_A_1-06_MAY_1975-03-30_Krishna_Is_Enjoying_Differently.mp3" TargetMode="External"/><Relationship Id="rId6167" Type="http://schemas.openxmlformats.org/officeDocument/2006/relationships/hyperlink" Target="https://audio.iskcondesiretree.com/01_-_Srila_Prabhupada/01_-_Lectures/01_-_English/01_-_Topic_wise/Stories/SP_Story_43_Visvamitra_Muni.mp3" TargetMode="External"/><Relationship Id="rId2777" Type="http://schemas.openxmlformats.org/officeDocument/2006/relationships/hyperlink" Target="https://audio.iskcondesiretree.com/01_-_Srila_Prabhupada/01_-_Lectures/01_-_English/02_-_Month_wise/02_-_Feburary/09/Arrival_1975-02-09_AR-LOS%20ANGELES.MP3" TargetMode="External"/><Relationship Id="rId5183" Type="http://schemas.openxmlformats.org/officeDocument/2006/relationships/hyperlink" Target="https://audio.iskcondesiretree.com/01_-_Srila_Prabhupada/01_-_Lectures/01_-_English/02_-_Month_wise/09_-_September/04/RC_VRN_1976-09-04_Happy_Within_Yourself.mp3" TargetMode="External"/><Relationship Id="rId749" Type="http://schemas.openxmlformats.org/officeDocument/2006/relationships/hyperlink" Target="https://audio.iskcondesiretree.com/01_-_Srila_Prabhupada/01_-_Lectures/01_-_English/01_-_Topic_wise/Srimad_Bhagavatam/Canto-01/SP_SB_1-02-16_Vrindavan_1972-10-27_Developing_Taste_for_the--etc.mp3" TargetMode="External"/><Relationship Id="rId1379" Type="http://schemas.openxmlformats.org/officeDocument/2006/relationships/hyperlink" Target="https://audio.iskcondesiretree.com/01_-_Srila_Prabhupada/01_-_Lectures/01_-_English/01_-_Topic_wise/Morning_Walk/SP_Morning_Walk_-_Los_Angeles_1973-12-02_What_the_Heart_Needs.mp3" TargetMode="External"/><Relationship Id="rId3828" Type="http://schemas.openxmlformats.org/officeDocument/2006/relationships/hyperlink" Target="https://audio.iskcondesiretree.com/01_-_Srila_Prabhupada/01_-_Lectures/01_-_English/02_-_Month_wise/10_-_October/05/SB-01-02-06_1975-10-05_SB-MAURITIUS.MP3" TargetMode="External"/><Relationship Id="rId5250" Type="http://schemas.openxmlformats.org/officeDocument/2006/relationships/hyperlink" Target="https://audio.iskcondesiretree.com/01_-_Srila_Prabhupada/01_-_Lectures/01_-_English/02_-_Month_wise/09_-_September/21/SB_1-07-24_VRN_1976-09-21_This_Material_Life_Has_No_Value.mp3" TargetMode="External"/><Relationship Id="rId1793" Type="http://schemas.openxmlformats.org/officeDocument/2006/relationships/hyperlink" Target="https://audio.iskcondesiretree.com/01_-_Srila_Prabhupada/01_-_Lectures/01_-_English/02_-_Month_wise/03_-_March/31/MW_BOM_1974-03-31_Take_Shelter_of_Eternal_Life.mp3" TargetMode="External"/><Relationship Id="rId2844" Type="http://schemas.openxmlformats.org/officeDocument/2006/relationships/hyperlink" Target="https://audio.iskcondesiretree.com/01_-_Srila_Prabhupada/01_-_Lectures/01_-_English/02_-_Month_wise/02_-_Feburary/23/Walk_1975-02-23_MW-CARACAS.MP3" TargetMode="External"/><Relationship Id="rId85" Type="http://schemas.openxmlformats.org/officeDocument/2006/relationships/hyperlink" Target="https://audio.iskcondesiretree.com/01_-_Srila_Prabhupada/01_-_Lectures/01_-_English/02_-_Month_wise/09_-_September/18/Bg_06-40_NY_1966-09-18_Yoga_System--There_Is_No_Loss_etc.mp3" TargetMode="External"/><Relationship Id="rId816" Type="http://schemas.openxmlformats.org/officeDocument/2006/relationships/hyperlink" Target="https://audio.iskcondesiretree.com/01_-_Srila_Prabhupada/01_-_Lectures/01_-_English/01_-_Topic_wise/Nectar_Of_Devotion/SP_NOD_15_Vrindavan_1972-11-13_-_The_Complete_Science_of_Bhakti_Yoga.mp3" TargetMode="External"/><Relationship Id="rId1446" Type="http://schemas.openxmlformats.org/officeDocument/2006/relationships/hyperlink" Target="https://audio.iskcondesiretree.com/01_-_Srila_Prabhupada/01_-_Lectures/01_-_English/02_-_Month_wise/12_-_December/19/SB_1-15-41_LA_1973-12-19_Aural_Concentration.mp3" TargetMode="External"/><Relationship Id="rId1860" Type="http://schemas.openxmlformats.org/officeDocument/2006/relationships/hyperlink" Target="https://audio.iskcondesiretree.com/01_-_Srila_Prabhupada/01_-_Lectures/01_-_English/01_-_Topic_wise/Bhagavad_Gita/Chapter-04/SP_BG_04-23_Bombay_1974-04-12_Liberation_Guaranteed.mp3" TargetMode="External"/><Relationship Id="rId2911" Type="http://schemas.openxmlformats.org/officeDocument/2006/relationships/hyperlink" Target="https://audio.iskcondesiretree.com/01_-_Srila_Prabhupada/01_-_Lectures/01_-_English/01_-_Topic_wise/Srimad_Bhagavatam/Canto-02/SP_SB_2-02-05_New_York_1975-03-05_How_Shall_I_Be_Maintained.mp3" TargetMode="External"/><Relationship Id="rId1513" Type="http://schemas.openxmlformats.org/officeDocument/2006/relationships/hyperlink" Target="https://audio.iskcondesiretree.com/01_-_Srila_Prabhupada/01_-_Lectures/01_-_English/02_-_Month_wise/01_-_January/10/Walk_1974-01-10_MW-LOS_ANGELES.MP3" TargetMode="External"/><Relationship Id="rId4669" Type="http://schemas.openxmlformats.org/officeDocument/2006/relationships/hyperlink" Target="https://audio.iskcondesiretree.com/01_-_Srila_Prabhupada/01_-_Lectures/01_-_English/01_-_Topic_wise/Srimad_Bhagavatam/Canto-06/SP_SB_6-01-32_Honolulu_1976-05-31_Everything_working--etc.mp3" TargetMode="External"/><Relationship Id="rId3685" Type="http://schemas.openxmlformats.org/officeDocument/2006/relationships/hyperlink" Target="https://audio.iskcondesiretree.com/01_-_Srila_Prabhupada/01_-_Lectures/01_-_English/02_-_Month_wise/08_-_August/26/Bg-07-01%E2%80%93Hindi_1975-08-26_BG-VRNDAVAN.MP3" TargetMode="External"/><Relationship Id="rId4736" Type="http://schemas.openxmlformats.org/officeDocument/2006/relationships/hyperlink" Target="https://audio.iskcondesiretree.com/01_-_Srila_Prabhupada/01_-_Lectures/01_-_English/02_-_Month_wise/06_-_June/10/Initiations_1976-06-12_LOS%20ANGELES.MP3" TargetMode="External"/><Relationship Id="rId6091" Type="http://schemas.openxmlformats.org/officeDocument/2006/relationships/hyperlink" Target="https://audio.iskcondesiretree.com/01_-_Srila_Prabhupada/01_-_Lectures/01_-_English/01_-_Topic_wise/Krishna_Book/SP_Krsna_Book_Dict_47_-_Delivery_of_a_Message_To_the_Gopis.mp3" TargetMode="External"/><Relationship Id="rId2287" Type="http://schemas.openxmlformats.org/officeDocument/2006/relationships/hyperlink" Target="https://audio.iskcondesiretree.com/01_-_Srila_Prabhupada/01_-_Lectures/01_-_English/02_-_Month_wise/07_-_July/14/Walk_1974-07-14_MW-LOS%20ANGELES.MP3" TargetMode="External"/><Relationship Id="rId3338" Type="http://schemas.openxmlformats.org/officeDocument/2006/relationships/hyperlink" Target="https://audio.iskcondesiretree.com/01_-_Srila_Prabhupada/01_-_Lectures/01_-_English/02_-_Month_wise/06_-_June/21/SB-06-01-08_1975-06-21_SB-LOS%20ANGELES.MP3" TargetMode="External"/><Relationship Id="rId3752" Type="http://schemas.openxmlformats.org/officeDocument/2006/relationships/hyperlink" Target="https://audio.iskcondesiretree.com/01_-_Srila_Prabhupada/01_-_Lectures/01_-_English/01_-_Topic_wise/Srimad_Bhagavatam/Canto-06/SP_SB_6-02-11_Vrindavan_1975-09-13_Unalloyed_Peace-How.mp3" TargetMode="External"/><Relationship Id="rId259" Type="http://schemas.openxmlformats.org/officeDocument/2006/relationships/hyperlink" Target="https://audio.iskcondesiretree.com/01_-_Srila_Prabhupada/01_-_Lectures/01_-_English/02_-_Month_wise/08_-_August/30/Fest_MON_1968-08-30_Radhastami.mp3" TargetMode="External"/><Relationship Id="rId673" Type="http://schemas.openxmlformats.org/officeDocument/2006/relationships/hyperlink" Target="https://audio.iskcondesiretree.com/01_-_Srila_Prabhupada/01_-_Lectures/01_-_English/02_-_Month_wise/09_-_September/04/SB_1-02-05_NV_1972-09-04_This_Bhagavatam_Culture_is_etc.mp3" TargetMode="External"/><Relationship Id="rId2354" Type="http://schemas.openxmlformats.org/officeDocument/2006/relationships/hyperlink" Target="https://audio.iskcondesiretree.com/01_-_Srila_Prabhupada/01_-_Lectures/01_-_English/02_-_Month_wise/08_-_August/13/Bg-07-07_1974-08-13_BG-VRNDAVAN.MP3" TargetMode="External"/><Relationship Id="rId3405" Type="http://schemas.openxmlformats.org/officeDocument/2006/relationships/hyperlink" Target="https://audio.iskcondesiretree.com/01_-_Srila_Prabhupada/01_-_Lectures/01_-_English/02_-_Month_wise/06_-_June/30/MW_DEN_1975-06-30_Most_Powerful_Personality.mp3" TargetMode="External"/><Relationship Id="rId4803" Type="http://schemas.openxmlformats.org/officeDocument/2006/relationships/hyperlink" Target="https://audio.iskcondesiretree.com/01_-_Srila_Prabhupada/01_-_Lectures/01_-_English/01_-_Topic_wise/Srimad_Bhagavatam/Canto-07/SP_SB_7-06-06_New_Vrindavan_1976-06-22_Modern_Civilization--No--etc.mp3" TargetMode="External"/><Relationship Id="rId326" Type="http://schemas.openxmlformats.org/officeDocument/2006/relationships/hyperlink" Target="https://audio.iskcondesiretree.com/01_-_Srila_Prabhupada/01_-_Lectures/01_-_English/01_-_Topic_wise/Various/SP_Lecture_Los_Angeles_1968-12-19_Initiation--Avoiding_the_Ten_Offenses.mp3" TargetMode="External"/><Relationship Id="rId1370" Type="http://schemas.openxmlformats.org/officeDocument/2006/relationships/hyperlink" Target="https://audio.iskcondesiretree.com/01_-_Srila_Prabhupada/01_-_Lectures/01_-_English/02_-_Month_wise/11_-_November/18/SB_1-02-12_DEL_1973-11-18_Qualifying_to_Dance_with_Krishna.mp3" TargetMode="External"/><Relationship Id="rId2007" Type="http://schemas.openxmlformats.org/officeDocument/2006/relationships/hyperlink" Target="https://audio.iskcondesiretree.com/01_-_Srila_Prabhupada/01_-_Lectures/01_-_English/01_-_Topic_wise/Morning_Walk/SP_Morning_Walk_-_Geneva_1974-05-30_Free_to_Enjoy.mp3" TargetMode="External"/><Relationship Id="rId740" Type="http://schemas.openxmlformats.org/officeDocument/2006/relationships/hyperlink" Target="https://audio.iskcondesiretree.com/01_-_Srila_Prabhupada/01_-_Lectures/01_-_English/02_-_Month_wise/10_-_October/23/NOD_Lect_VRN_1972-10-23_An_Advanced_Devotee_Never_etc.mp3" TargetMode="External"/><Relationship Id="rId1023" Type="http://schemas.openxmlformats.org/officeDocument/2006/relationships/hyperlink" Target="https://audio.iskcondesiretree.com/01_-_Srila_Prabhupada/01_-_Lectures/01_-_English/01_-_Topic_wise/Srimad_Bhagavatam/Canto-03/SP_SB_3-01-10_Dallas_1973-05-21_Sage_Advice_For_Human_Society.mp3" TargetMode="External"/><Relationship Id="rId2421" Type="http://schemas.openxmlformats.org/officeDocument/2006/relationships/hyperlink" Target="https://audio.iskcondesiretree.com/01_-_Srila_Prabhupada/01_-_Lectures/01_-_English/02_-_Month_wise/10_-_October/08/SB-01-08-28_1974-10-08_SB-MAYAPUR.MP3" TargetMode="External"/><Relationship Id="rId4179" Type="http://schemas.openxmlformats.org/officeDocument/2006/relationships/hyperlink" Target="https://audio.iskcondesiretree.com/01_-_Srila_Prabhupada/01_-_Lectures/01_-_English/02_-_Month_wise/01_-_January/12/SB-05-05-01_Hindi_1976-01-12_SB-BOMBAY.MP3" TargetMode="External"/><Relationship Id="rId5577" Type="http://schemas.openxmlformats.org/officeDocument/2006/relationships/hyperlink" Target="https://audio.iskcondesiretree.com/01_-_Srila_Prabhupada/01_-_Lectures/01_-_English/02_-_Month_wise/01_-_January/08/Conv_1977-01-08_R7-BOMBAY.MP3" TargetMode="External"/><Relationship Id="rId5991" Type="http://schemas.openxmlformats.org/officeDocument/2006/relationships/hyperlink" Target="https://audio.iskcondesiretree.com/01_-_Srila_Prabhupada/01_-_Lectures/01_-_English/02_-_Month_wise/11_-_November/03/Conv_1977-11-03_R5-VRNDAVAN.MP3" TargetMode="External"/><Relationship Id="rId4593" Type="http://schemas.openxmlformats.org/officeDocument/2006/relationships/hyperlink" Target="https://audio.iskcondesiretree.com/01_-_Srila_Prabhupada/01_-_Lectures/01_-_English/02_-_Month_wise/05_-_May/12/Conv_1976-05-12_R1-HONOLULU.MP3" TargetMode="External"/><Relationship Id="rId5644" Type="http://schemas.openxmlformats.org/officeDocument/2006/relationships/hyperlink" Target="https://audio.iskcondesiretree.com/01_-_Srila_Prabhupada/01_-_Lectures/01_-_English/02_-_Month_wise/01_-_January/28/Conv_1977-01-28_R2-BHUBANESWAR.MP3" TargetMode="External"/><Relationship Id="rId3195" Type="http://schemas.openxmlformats.org/officeDocument/2006/relationships/hyperlink" Target="https://audio.iskcondesiretree.com/01_-_Srila_Prabhupada/01_-_Lectures/01_-_English/01_-_Topic_wise/Morning_Walk/SP_Morning_Walk_-_Melbourne_1975-05-19_The_Envious_and_the_Merciful.mp3" TargetMode="External"/><Relationship Id="rId4246" Type="http://schemas.openxmlformats.org/officeDocument/2006/relationships/hyperlink" Target="https://audio.iskcondesiretree.com/01_-_Srila_Prabhupada/01_-_Lectures/01_-_English/02_-_Month_wise/02_-_Feburary/17/SB_7-09-10_MAY_1976-02-17_Every_Dog_Has_His_Pride.mp3" TargetMode="External"/><Relationship Id="rId4660" Type="http://schemas.openxmlformats.org/officeDocument/2006/relationships/hyperlink" Target="https://audio.iskcondesiretree.com/01_-_Srila_Prabhupada/01_-_Lectures/01_-_English/01_-_Topic_wise/Srimad_Bhagavatam/Canto-06/SP_SB_6-01-30_Honolulu_1976-05-29_He%27s_Chanting_Narayana_Take_Him.mp3" TargetMode="External"/><Relationship Id="rId5711" Type="http://schemas.openxmlformats.org/officeDocument/2006/relationships/hyperlink" Target="https://audio.iskcondesiretree.com/01_-_Srila_Prabhupada/01_-_Lectures/01_-_English/01_-_Topic_wise/Srimad_Bhagavatam/Canto-07/SP_SB_7-09-04_Mayapur_1977-02-18_Can_God_Become_Angry.mp3" TargetMode="External"/><Relationship Id="rId3262" Type="http://schemas.openxmlformats.org/officeDocument/2006/relationships/hyperlink" Target="https://audio.iskcondesiretree.com/01_-_Srila_Prabhupada/01_-_Lectures/01_-_English/01_-_Topic_wise/Various/SP_Lecture_Honolulu_1975-06-03_Initiation_of_Ambarisa_Dasa.MP3" TargetMode="External"/><Relationship Id="rId4313" Type="http://schemas.openxmlformats.org/officeDocument/2006/relationships/hyperlink" Target="https://audio.iskcondesiretree.com/01_-_Srila_Prabhupada/01_-_Lectures/01_-_English/02_-_Month_wise/03_-_March/04/SB_7-09-26_MAY_1976-03-04_Krishna%27s_Touch.mp3" TargetMode="External"/><Relationship Id="rId183" Type="http://schemas.openxmlformats.org/officeDocument/2006/relationships/hyperlink" Target="https://audio.iskcondesiretree.com/01_-_Srila_Prabhupada/01_-_Lectures/01_-_English/02_-_Month_wise/12_-_December/21/Cc_M_20-313_NY_1966-12-21_Krishna_Can_See_Everything.mp3" TargetMode="External"/><Relationship Id="rId1907" Type="http://schemas.openxmlformats.org/officeDocument/2006/relationships/hyperlink" Target="https://audio.iskcondesiretree.com/01_-_Srila_Prabhupada/01_-_Lectures/01_-_English/02_-_Month_wise/04_-_April/20/MW_HYD_1974-04-20_You_Have_Not_Seen_God_Liar.mp3" TargetMode="External"/><Relationship Id="rId250" Type="http://schemas.openxmlformats.org/officeDocument/2006/relationships/hyperlink" Target="https://audio.iskcondesiretree.com/01_-_Srila_Prabhupada/01_-_Lectures/01_-_English/01_-_Topic_wise/Srimad_Bhagavatam/Canto-07/SP_SB_7-09-11_Montreal_1968-08-17_Krishna_Is_Begging_Your_Love.mp3" TargetMode="External"/><Relationship Id="rId5087" Type="http://schemas.openxmlformats.org/officeDocument/2006/relationships/hyperlink" Target="https://audio.iskcondesiretree.com/01_-_Srila_Prabhupada/01_-_Lectures/01_-_English/02_-_Month_wise/08_-_August/10/RC_TEH_1976-08-10_Small_Can_Fall-Wise_Can_Rise.mp3" TargetMode="External"/><Relationship Id="rId6138" Type="http://schemas.openxmlformats.org/officeDocument/2006/relationships/hyperlink" Target="https://audio.iskcondesiretree.com/01_-_Srila_Prabhupada/01_-_Lectures/01_-_English/01_-_Topic_wise/Stories/SP_Story_14_Gandhari_Duryodhana_Krsna.mp3" TargetMode="External"/><Relationship Id="rId5154" Type="http://schemas.openxmlformats.org/officeDocument/2006/relationships/hyperlink" Target="https://audio.iskcondesiretree.com/01_-_Srila_Prabhupada/01_-_Lectures/01_-_English/02_-_Month_wise/08_-_August/22/RC_HYD_1976-08-22_Government_Ministers_Government_etc.mp3" TargetMode="External"/><Relationship Id="rId1697" Type="http://schemas.openxmlformats.org/officeDocument/2006/relationships/hyperlink" Target="https://audio.iskcondesiretree.com/01_-_Srila_Prabhupada/01_-_Lectures/01_-_English/02_-_Month_wise/03_-_March/12/Walk_1974-03-12_MW-VRNDAVAN.MP3" TargetMode="External"/><Relationship Id="rId2748" Type="http://schemas.openxmlformats.org/officeDocument/2006/relationships/hyperlink" Target="https://audio.iskcondesiretree.com/01_-_Srila_Prabhupada/01_-_Lectures/01_-_English/02_-_Month_wise/01_-_January/31/Bg_16-05_HAW_1975-01-31_Becoming_a_Dog.mp3" TargetMode="External"/><Relationship Id="rId1764" Type="http://schemas.openxmlformats.org/officeDocument/2006/relationships/hyperlink" Target="https://audio.iskcondesiretree.com/01_-_Srila_Prabhupada/01_-_Lectures/01_-_English/02_-_Month_wise/03_-_March/26/Walk_1974-03-26_MW-BOMBAY.MP3" TargetMode="External"/><Relationship Id="rId2815" Type="http://schemas.openxmlformats.org/officeDocument/2006/relationships/hyperlink" Target="https://audio.iskcondesiretree.com/01_-_Srila_Prabhupada/01_-_Lectures/01_-_English/01_-_Topic_wise/Departure_Address/SP_Departure_Address_1975-02-18_Mexico_City_Spanish_Translator.MP3" TargetMode="External"/><Relationship Id="rId4170" Type="http://schemas.openxmlformats.org/officeDocument/2006/relationships/hyperlink" Target="https://audio.iskcondesiretree.com/01_-_Srila_Prabhupada/01_-_Lectures/01_-_English/02_-_Month_wise/01_-_January/07/SB_6-01-09_NEL_1976-01-07_Devotional_Desire.mp3" TargetMode="External"/><Relationship Id="rId5221" Type="http://schemas.openxmlformats.org/officeDocument/2006/relationships/hyperlink" Target="https://audio.iskcondesiretree.com/01_-_Srila_Prabhupada/01_-_Lectures/01_-_English/01_-_Topic_wise/Srimad_Bhagavatam/Canto-01/SP_SB_1-07-13_Vrindavan_1976-09-12_There_Is_New_Orleans_Training.mp3" TargetMode="External"/><Relationship Id="rId56" Type="http://schemas.openxmlformats.org/officeDocument/2006/relationships/hyperlink" Target="https://audio.iskcondesiretree.com/01_-_Srila_Prabhupada/01_-_Lectures/01_-_English/01_-_Topic_wise/Bhagavad_Gita/Chapter-04/SP_BG_04-14-19_New_York_1966-08-03_Karma-Akarma.mp3" TargetMode="External"/><Relationship Id="rId1417" Type="http://schemas.openxmlformats.org/officeDocument/2006/relationships/hyperlink" Target="https://audio.iskcondesiretree.com/01_-_Srila_Prabhupada/01_-_Lectures/01_-_English/01_-_Topic_wise/Festivals/SP_Festivals_Los_Angeles_1973-12-13_Bhaktisiddhanta_Disappearance.mp3" TargetMode="External"/><Relationship Id="rId1831" Type="http://schemas.openxmlformats.org/officeDocument/2006/relationships/hyperlink" Target="https://audio.iskcondesiretree.com/01_-_Srila_Prabhupada/01_-_Lectures/01_-_English/01_-_Topic_wise/Morning_Walk/SP_Morning_Walk_-_Bombay_1974-04-06.mp3" TargetMode="External"/><Relationship Id="rId4987" Type="http://schemas.openxmlformats.org/officeDocument/2006/relationships/hyperlink" Target="https://audio.iskcondesiretree.com/01_-_Srila_Prabhupada/01_-_Lectures/01_-_English/02_-_Month_wise/07_-_July/17/Cc_M_20-110_NY_1976-07-17_See_Illumination_of_God.mp3" TargetMode="External"/><Relationship Id="rId3589" Type="http://schemas.openxmlformats.org/officeDocument/2006/relationships/hyperlink" Target="https://audio.iskcondesiretree.com/01_-_Srila_Prabhupada/01_-_Lectures/01_-_English/01_-_Topic_wise/Room_Conversation/SP_Room_Conversation_Laguna_Beach_1975-07-26_We_Cannot_Possess_and_Renounce.mp3" TargetMode="External"/><Relationship Id="rId6062" Type="http://schemas.openxmlformats.org/officeDocument/2006/relationships/hyperlink" Target="https://audio.iskcondesiretree.com/01_-_Srila_Prabhupada/01_-_Lectures/01_-_English/01_-_Topic_wise/Krishna_Book/SP_Krsna_Book_Dict_14_-_Prayers_Offered_by_Lord_Brahma.mp3" TargetMode="External"/><Relationship Id="rId577" Type="http://schemas.openxmlformats.org/officeDocument/2006/relationships/hyperlink" Target="https://audio.iskcondesiretree.com/01_-_Srila_Prabhupada/01_-_Lectures/01_-_English/02_-_Month_wise/05_-_May/21/Lect_LA_1972-05-21_Sunday_Feast--The_Higher_Science.mp3" TargetMode="External"/><Relationship Id="rId2258" Type="http://schemas.openxmlformats.org/officeDocument/2006/relationships/hyperlink" Target="https://audio.iskcondesiretree.com/01_-_Srila_Prabhupada/01_-_Lectures/01_-_English/02_-_Month_wise/07_-_July/09/SB_1-16-19_LA_1974-07-09_Everyone_Is_Spirit-Servant.mp3" TargetMode="External"/><Relationship Id="rId3656" Type="http://schemas.openxmlformats.org/officeDocument/2006/relationships/hyperlink" Target="https://audio.iskcondesiretree.com/01_-_Srila_Prabhupada/01_-_Lectures/01_-_English/02_-_Month_wise/08_-_August/11/Arrival_1975-08-11_AR-PARIS.MP3" TargetMode="External"/><Relationship Id="rId4707" Type="http://schemas.openxmlformats.org/officeDocument/2006/relationships/hyperlink" Target="https://audio.iskcondesiretree.com/01_-_Srila_Prabhupada/01_-_Lectures/01_-_English/02_-_Month_wise/06_-_June/08/Conv_1976-06-08_GC-LOS%20ANGELES.MP3" TargetMode="External"/><Relationship Id="rId991" Type="http://schemas.openxmlformats.org/officeDocument/2006/relationships/hyperlink" Target="https://audio.iskcondesiretree.com/01_-_Srila_Prabhupada/01_-_Lectures/01_-_English/02_-_Month_wise/05_-_May/05/MW_LA_1973-05-05_In_the_Ocean_Frogs_are_Conspicuous_etc.mp3" TargetMode="External"/><Relationship Id="rId2672" Type="http://schemas.openxmlformats.org/officeDocument/2006/relationships/hyperlink" Target="https://audio.iskcondesiretree.com/01_-_Srila_Prabhupada/01_-_Lectures/01_-_English/02_-_Month_wise/01_-_January/04/SB-03-26-27_1975-01-04_SB-BOMBAY.MP3" TargetMode="External"/><Relationship Id="rId3309" Type="http://schemas.openxmlformats.org/officeDocument/2006/relationships/hyperlink" Target="https://audio.iskcondesiretree.com/01_-_Srila_Prabhupada/01_-_Lectures/01_-_English/02_-_Month_wise/06_-_June/16/Conv_1975-06-16_R3-HONOLULU.MP3" TargetMode="External"/><Relationship Id="rId3723" Type="http://schemas.openxmlformats.org/officeDocument/2006/relationships/hyperlink" Target="https://audio.iskcondesiretree.com/01_-_Srila_Prabhupada/01_-_Lectures/01_-_English/01_-_Topic_wise/Morning_Walk/SP_Morning_Walk_-_Vrindavan_1975-09-05.MP3" TargetMode="External"/><Relationship Id="rId644" Type="http://schemas.openxmlformats.org/officeDocument/2006/relationships/hyperlink" Target="https://audio.iskcondesiretree.com/01_-_Srila_Prabhupada/01_-_Lectures/01_-_English/01_-_Topic_wise/Srimad_Bhagavatam/Canto-01/SP_SB_1-02-14_Los_Angeles_1972-08-17_Make_Four_Social_Classes.mp3" TargetMode="External"/><Relationship Id="rId1274" Type="http://schemas.openxmlformats.org/officeDocument/2006/relationships/hyperlink" Target="https://audio.iskcondesiretree.com/01_-_Srila_Prabhupada/01_-_Lectures/01_-_English/01_-_Topic_wise/Bhagavad_Gita/Chapter-07/SP_BG_07-01-03_Stockholm_1973-09-10_Nothing_More_to_Be_Known.mp3" TargetMode="External"/><Relationship Id="rId2325" Type="http://schemas.openxmlformats.org/officeDocument/2006/relationships/hyperlink" Target="https://audio.iskcondesiretree.com/01_-_Srila_Prabhupada/01_-_Lectures/01_-_English/02_-_Month_wise/08_-_August/06/Bg_04-14_VRN_1974-08-06_Who_Can_Understand_Krishna.mp3" TargetMode="External"/><Relationship Id="rId5895" Type="http://schemas.openxmlformats.org/officeDocument/2006/relationships/hyperlink" Target="https://audio.iskcondesiretree.com/01_-_Srila_Prabhupada/01_-_Lectures/01_-_English/02_-_Month_wise/06_-_June/30/Conv_1977-06-30_R3-VRNDAVAN.MP3" TargetMode="External"/><Relationship Id="rId711" Type="http://schemas.openxmlformats.org/officeDocument/2006/relationships/hyperlink" Target="https://audio.iskcondesiretree.com/01_-_Srila_Prabhupada/01_-_Lectures/01_-_English/01_-_Topic_wise/Various/SP_Lecture_Laguna_Beach_1972-09-30_Beyond_Mirage_to_the_Real_World.mp3" TargetMode="External"/><Relationship Id="rId1341" Type="http://schemas.openxmlformats.org/officeDocument/2006/relationships/hyperlink" Target="https://audio.iskcondesiretree.com/01_-_Srila_Prabhupada/01_-_Lectures/01_-_English/01_-_Topic_wise/Room_Conversation/SP_Room_Conversation_Delhi_1973-11-01_These_Miseries_Will_Follow_You.mp3" TargetMode="External"/><Relationship Id="rId4497" Type="http://schemas.openxmlformats.org/officeDocument/2006/relationships/hyperlink" Target="https://audio.iskcondesiretree.com/01_-_Srila_Prabhupada/01_-_Lectures/01_-_English/02_-_Month_wise/04_-_April/19/Arrival_1976-04-19_AR-MELBOURNE.MP3" TargetMode="External"/><Relationship Id="rId5548" Type="http://schemas.openxmlformats.org/officeDocument/2006/relationships/hyperlink" Target="https://audio.iskcondesiretree.com/01_-_Srila_Prabhupada/01_-_Lectures/01_-_English/01_-_Topic_wise/Room_Conversation/SP_Room_Conversation_Bombay_1977-01-02_You_Have_Performed_the_Greatest_Miracle.mp3" TargetMode="External"/><Relationship Id="rId5962" Type="http://schemas.openxmlformats.org/officeDocument/2006/relationships/hyperlink" Target="https://audio.iskcondesiretree.com/01_-_Srila_Prabhupada/01_-_Lectures/01_-_English/02_-_Month_wise/10_-_October/21/Conv_1977-10-21_R2-VRNDAVAN.MP3" TargetMode="External"/><Relationship Id="rId3099" Type="http://schemas.openxmlformats.org/officeDocument/2006/relationships/hyperlink" Target="https://audio.iskcondesiretree.com/01_-_Srila_Prabhupada/01_-_Lectures/01_-_English/01_-_Topic_wise/Srimad_Bhagavatam/Canto-05/SP_SB_5-05-02_Hyderabad_1975-04-13_Liberation_Meaning_What.mp3" TargetMode="External"/><Relationship Id="rId4564" Type="http://schemas.openxmlformats.org/officeDocument/2006/relationships/hyperlink" Target="https://audio.iskcondesiretree.com/01_-_Srila_Prabhupada/01_-_Lectures/01_-_English/02_-_Month_wise/05_-_May/03/Walk_1976-05-03_MW-FIJI.MP3" TargetMode="External"/><Relationship Id="rId5615" Type="http://schemas.openxmlformats.org/officeDocument/2006/relationships/hyperlink" Target="https://audio.iskcondesiretree.com/01_-_Srila_Prabhupada/01_-_Lectures/01_-_English/02_-_Month_wise/01_-_January/22/Bg-07-01_1977-01-22_BG-BHUBANESWAR.MP3" TargetMode="External"/><Relationship Id="rId3166" Type="http://schemas.openxmlformats.org/officeDocument/2006/relationships/hyperlink" Target="https://audio.iskcondesiretree.com/01_-_Srila_Prabhupada/01_-_Lectures/01_-_English/02_-_Month_wise/05_-_May/12/Conv_1975-05-12_R1-PERTH.MP3" TargetMode="External"/><Relationship Id="rId3580" Type="http://schemas.openxmlformats.org/officeDocument/2006/relationships/hyperlink" Target="https://audio.iskcondesiretree.com/01_-_Srila_Prabhupada/01_-_Lectures/01_-_English/02_-_Month_wise/07_-_July/24/MW_LA_1975-07-24_Progress_Means_When_You_Conquer_Death.mp3" TargetMode="External"/><Relationship Id="rId4217" Type="http://schemas.openxmlformats.org/officeDocument/2006/relationships/hyperlink" Target="https://audio.iskcondesiretree.com/01_-_Srila_Prabhupada/01_-_Lectures/01_-_English/01_-_Topic_wise/Srimad_Bhagavatam/Canto-07/SP_SB_7-09-01_Mayapur_1976-02-08_Don%27t_Make_Krishna_Unhappy.mp3" TargetMode="External"/><Relationship Id="rId2182" Type="http://schemas.openxmlformats.org/officeDocument/2006/relationships/hyperlink" Target="https://audio.iskcondesiretree.com/01_-_Srila_Prabhupada/01_-_Lectures/01_-_English/01_-_Topic_wise/Various/SP_Lecture_Germany_1974-06-22_Krishna_Hears_Your_Mind.mp3" TargetMode="External"/><Relationship Id="rId3233" Type="http://schemas.openxmlformats.org/officeDocument/2006/relationships/hyperlink" Target="https://audio.iskcondesiretree.com/01_-_Srila_Prabhupada/01_-_Lectures/01_-_English/02_-_Month_wise/05_-_May/22/SB%E2%80%9306-01-01%E2%80%9302_1975-05-22_SB-MELBOURNE.MP3" TargetMode="External"/><Relationship Id="rId4631" Type="http://schemas.openxmlformats.org/officeDocument/2006/relationships/hyperlink" Target="https://audio.iskcondesiretree.com/01_-_Srila_Prabhupada/01_-_Lectures/01_-_English/02_-_Month_wise/05_-_May/21/Conv_1976-05-21_R1-HONOLULU.MP3" TargetMode="External"/><Relationship Id="rId154" Type="http://schemas.openxmlformats.org/officeDocument/2006/relationships/hyperlink" Target="https://audio.iskcondesiretree.com/01_-_Srila_Prabhupada/01_-_Lectures/01_-_English/01_-_Topic_wise/Bhagavad_Gita/Chapter-09/SP_BG_09-22-23_New_York_1966-12-08_God_Is_Open_for_Everyone.mp3" TargetMode="External"/><Relationship Id="rId2999" Type="http://schemas.openxmlformats.org/officeDocument/2006/relationships/hyperlink" Target="https://audio.iskcondesiretree.com/01_-_Srila_Prabhupada/01_-_Lectures/01_-_English/02_-_Month_wise/03_-_March/27/Conv_1975-03-27_R1-MAYAPUR.MP3" TargetMode="External"/><Relationship Id="rId3300" Type="http://schemas.openxmlformats.org/officeDocument/2006/relationships/hyperlink" Target="https://audio.iskcondesiretree.com/01_-_Srila_Prabhupada/01_-_Lectures/01_-_English/02_-_Month_wise/06_-_June/15/SB_6-01-07_HON_1975-06-15_The_Perfect_Sympathizer.mp3" TargetMode="External"/><Relationship Id="rId221" Type="http://schemas.openxmlformats.org/officeDocument/2006/relationships/hyperlink" Target="https://audio.iskcondesiretree.com/01_-_Srila_Prabhupada/01_-_Lectures/01_-_English/02_-_Month_wise/03_-_March/18/Cc_A_Intro_SF_1967-03-18_Introduction.mp3" TargetMode="External"/><Relationship Id="rId5058" Type="http://schemas.openxmlformats.org/officeDocument/2006/relationships/hyperlink" Target="https://audio.iskcondesiretree.com/01_-_Srila_Prabhupada/01_-_Lectures/01_-_English/02_-_Month_wise/08_-_August/03/RC_NM_1976-08-03_Prodigal_Sons_and_Silly_Jackals.mp3" TargetMode="External"/><Relationship Id="rId5472" Type="http://schemas.openxmlformats.org/officeDocument/2006/relationships/hyperlink" Target="https://audio.iskcondesiretree.com/01_-_Srila_Prabhupada/01_-_Lectures/01_-_English/02_-_Month_wise/12_-_December/03/RC_HYD_1976-12-03_Evening_Darshan.mp3" TargetMode="External"/><Relationship Id="rId6109" Type="http://schemas.openxmlformats.org/officeDocument/2006/relationships/hyperlink" Target="https://audio.iskcondesiretree.com/01_-_Srila_Prabhupada/01_-_Lectures/01_-_English/01_-_Topic_wise/Krishna_Book/SP_Krsna_Book_Dict_75_-_Why_Duryodhana_Felt_Insulted.mp3" TargetMode="External"/><Relationship Id="rId1668" Type="http://schemas.openxmlformats.org/officeDocument/2006/relationships/hyperlink" Target="https://audio.iskcondesiretree.com/01_-_Srila_Prabhupada/01_-_Lectures/01_-_English/02_-_Month_wise/03_-_March/02/Walk_1974-03-02_MW-MAYAPUR.MP3" TargetMode="External"/><Relationship Id="rId2719" Type="http://schemas.openxmlformats.org/officeDocument/2006/relationships/hyperlink" Target="https://audio.iskcondesiretree.com/01_-_Srila_Prabhupada/01_-_Lectures/01_-_English/01_-_Topic_wise/Srimad_Bhagavatam/Canto-03/SP_SB_3-26-47_Bombay_1975-01-22_Dead_Sound--Living_Sound.mp3" TargetMode="External"/><Relationship Id="rId4074" Type="http://schemas.openxmlformats.org/officeDocument/2006/relationships/hyperlink" Target="https://audio.iskcondesiretree.com/01_-_Srila_Prabhupada/01_-_Lectures/01_-_English/02_-_Month_wise/12_-_December/10/SB_7-06-08_VRN_1975-12-10_Mad_Attachments_in_a_Bad_Age.mp3" TargetMode="External"/><Relationship Id="rId5125" Type="http://schemas.openxmlformats.org/officeDocument/2006/relationships/hyperlink" Target="https://audio.iskcondesiretree.com/01_-_Srila_Prabhupada/01_-_Lectures/01_-_English/02_-_Month_wise/08_-_August/17/Bg_13-22_HYD_1976-08-17_At_Any_Moment_Kicked_Out.mp3" TargetMode="External"/><Relationship Id="rId3090" Type="http://schemas.openxmlformats.org/officeDocument/2006/relationships/hyperlink" Target="https://audio.iskcondesiretree.com/01_-_Srila_Prabhupada/01_-_Lectures/01_-_English/01_-_Topic_wise/Room_Conversation/SP_Room_Conversation_Hyderabad_1975-04-12_You_Cannot_Preach_Your_Philosophy.mp3" TargetMode="External"/><Relationship Id="rId4141" Type="http://schemas.openxmlformats.org/officeDocument/2006/relationships/hyperlink" Target="https://audio.iskcondesiretree.com/01_-_Srila_Prabhupada/01_-_Lectures/01_-_English/02_-_Month_wise/01_-_January/01/Bg-03-27_1976-01-01-MADRAS.MP3" TargetMode="External"/><Relationship Id="rId1735" Type="http://schemas.openxmlformats.org/officeDocument/2006/relationships/hyperlink" Target="https://audio.iskcondesiretree.com/01_-_Srila_Prabhupada/01_-_Lectures/01_-_English/01_-_Topic_wise/Morning_Walk/SP_Morning_Walk_-_Bombay_1974-03-20.mp3" TargetMode="External"/><Relationship Id="rId27" Type="http://schemas.openxmlformats.org/officeDocument/2006/relationships/hyperlink" Target="https://audio.iskcondesiretree.com/01_-_Srila_Prabhupada/01_-_Lectures/01_-_English/02_-_Month_wise/04_-_April/12/Bg_02-51_NY_1966-04-12_Dovetailing_Yourself_with_the_Supreme.mp3" TargetMode="External"/><Relationship Id="rId1802" Type="http://schemas.openxmlformats.org/officeDocument/2006/relationships/hyperlink" Target="https://audio.iskcondesiretree.com/01_-_Srila_Prabhupada/01_-_Lectures/01_-_English/02_-_Month_wise/04_-_April/01/MW_BOM_1974-04-01_Serve_Krishna_or_Serve_Others.mp3" TargetMode="External"/><Relationship Id="rId4958" Type="http://schemas.openxmlformats.org/officeDocument/2006/relationships/hyperlink" Target="https://audio.iskcondesiretree.com/01_-_Srila_Prabhupada/01_-_Lectures/01_-_English/02_-_Month_wise/07_-_July/12/CcMadhya-20-106_1976-07-12_CC-NEW%20YORK.MP3" TargetMode="External"/><Relationship Id="rId3974" Type="http://schemas.openxmlformats.org/officeDocument/2006/relationships/hyperlink" Target="https://audio.iskcondesiretree.com/01_-_Srila_Prabhupada/01_-_Lectures/01_-_English/01_-_Topic_wise/Morning_Walk/SP_Morning_Walk_-_Bombay_1975-11-11_Advancement_of_Maya.mp3" TargetMode="External"/><Relationship Id="rId895" Type="http://schemas.openxmlformats.org/officeDocument/2006/relationships/hyperlink" Target="https://audio.iskcondesiretree.com/01_-_Srila_Prabhupada/01_-_Lectures/01_-_English/02_-_Month_wise/01_-_January/11/NOD_Pg-19_BOM_1973-01-11_If_You_Don%27t_Serve_God.mp3" TargetMode="External"/><Relationship Id="rId2576" Type="http://schemas.openxmlformats.org/officeDocument/2006/relationships/hyperlink" Target="https://audio.iskcondesiretree.com/01_-_Srila_Prabhupada/01_-_Lectures/01_-_English/01_-_Topic_wise/Srimad_Bhagavatam/Canto-03/SP_SB_3-25-33_Bombay_1974-12-03_How_to_Dissolve_Our_Suffering.mp3" TargetMode="External"/><Relationship Id="rId2990" Type="http://schemas.openxmlformats.org/officeDocument/2006/relationships/hyperlink" Target="https://audio.iskcondesiretree.com/01_-_Srila_Prabhupada/01_-_Lectures/01_-_English/01_-_Topic_wise/Chaitanya_Charitamrita/Adi_Lila/SP_CC_A_01-02_Mayapur_1975-03-26_The_Darkness_Dispellers.mp3" TargetMode="External"/><Relationship Id="rId3627" Type="http://schemas.openxmlformats.org/officeDocument/2006/relationships/hyperlink" Target="https://audio.iskcondesiretree.com/01_-_Srila_Prabhupada/01_-_Lectures/01_-_English/01_-_Topic_wise/Srimad_Bhagavatam/Canto-01/SP_SB_1-02-09_Detroit_1975-08-02_Can_Sugar_Not_be_Sweet.mp3" TargetMode="External"/><Relationship Id="rId6033" Type="http://schemas.openxmlformats.org/officeDocument/2006/relationships/hyperlink" Target="https://audio.iskcondesiretree.com/01_-_Srila_Prabhupada/01_-_Lectures/01_-_English/01_-_Topic_wise/Arrival_Address/SP_Address_Los_Angeles_1970-10-00_Prabhupada_Leaves_US_for_India_via_Japan.mp3" TargetMode="External"/><Relationship Id="rId548" Type="http://schemas.openxmlformats.org/officeDocument/2006/relationships/hyperlink" Target="https://audio.iskcondesiretree.com/01_-_Srila_Prabhupada/01_-_Lectures/01_-_English/01_-_Topic_wise/Srimad_Bhagavatam/Canto-06/SP_SB_6-01-09_New_York_1971-07-24_Heinous_Proposals_-_Heinous_Habits.mp3" TargetMode="External"/><Relationship Id="rId962" Type="http://schemas.openxmlformats.org/officeDocument/2006/relationships/hyperlink" Target="https://audio.iskcondesiretree.com/01_-_Srila_Prabhupada/01_-_Lectures/01_-_English/02_-_Month_wise/04_-_April/21/SB_1-08-29_LA_1973-04-21_Try_to_Satisfy_Krishna.mp3" TargetMode="External"/><Relationship Id="rId1178" Type="http://schemas.openxmlformats.org/officeDocument/2006/relationships/hyperlink" Target="https://audio.iskcondesiretree.com/01_-_Srila_Prabhupada/01_-_Lectures/01_-_English/02_-_Month_wise/08_-_August/13/RC_PAR_1973-08-13_About_Guru_Maharaji_What_to_Do_etc.mp3" TargetMode="External"/><Relationship Id="rId1592" Type="http://schemas.openxmlformats.org/officeDocument/2006/relationships/hyperlink" Target="https://audio.iskcondesiretree.com/01_-_Srila_Prabhupada/01_-_Lectures/01_-_English/02_-_Month_wise/02_-_Feburary/07/Conv_1974-02-07_R1-VRNDAVAN.MP3" TargetMode="External"/><Relationship Id="rId2229" Type="http://schemas.openxmlformats.org/officeDocument/2006/relationships/hyperlink" Target="https://audio.iskcondesiretree.com/01_-_Srila_Prabhupada/01_-_Lectures/01_-_English/02_-_Month_wise/07_-_July/01/Initiations_1974-07-01_IN-MELBOURNE.MP3" TargetMode="External"/><Relationship Id="rId2643" Type="http://schemas.openxmlformats.org/officeDocument/2006/relationships/hyperlink" Target="https://audio.iskcondesiretree.com/01_-_Srila_Prabhupada/01_-_Lectures/01_-_English/02_-_Month_wise/12_-_December/25/SB-03-26-16_1974-12-25_SB-BOMBAY.MP3" TargetMode="External"/><Relationship Id="rId5799" Type="http://schemas.openxmlformats.org/officeDocument/2006/relationships/hyperlink" Target="https://audio.iskcondesiretree.com/01_-_Srila_Prabhupada/01_-_Lectures/01_-_English/02_-_Month_wise/04_-_April/15/Conv_1977-04-15_R1-BOMBAY.MP3" TargetMode="External"/><Relationship Id="rId6100" Type="http://schemas.openxmlformats.org/officeDocument/2006/relationships/hyperlink" Target="https://audio.iskcondesiretree.com/01_-_Srila_Prabhupada/01_-_Lectures/01_-_English/01_-_Topic_wise/Krishna_Book/SP_Krsna_Book_Dict_56_-_The_Story_of_the_Syamantaka_Jewel.mp3" TargetMode="External"/><Relationship Id="rId615" Type="http://schemas.openxmlformats.org/officeDocument/2006/relationships/hyperlink" Target="https://audio.iskcondesiretree.com/01_-_Srila_Prabhupada/01_-_Lectures/01_-_English/02_-_Month_wise/06_-_June/20/SB_2-03-23_LA_1972-06-20_Only_a_Devotee_of_a_Devotee_etc.mp3" TargetMode="External"/><Relationship Id="rId1245" Type="http://schemas.openxmlformats.org/officeDocument/2006/relationships/hyperlink" Target="https://audio.iskcondesiretree.com/01_-_Srila_Prabhupada/01_-_Lectures/01_-_English/02_-_Month_wise/09_-_September/02/RC_LON_1973-09-02_We_Can_Defy_All_the_Rascals.mp3" TargetMode="External"/><Relationship Id="rId1312" Type="http://schemas.openxmlformats.org/officeDocument/2006/relationships/hyperlink" Target="https://audio.iskcondesiretree.com/01_-_Srila_Prabhupada/01_-_Lectures/01_-_English/02_-_Month_wise/10_-_October/09/Bg_13-15_BOM_1973-10-09_God_Has_No_Material_Body.mp3" TargetMode="External"/><Relationship Id="rId2710" Type="http://schemas.openxmlformats.org/officeDocument/2006/relationships/hyperlink" Target="https://audio.iskcondesiretree.com/01_-_Srila_Prabhupada/01_-_Lectures/01_-_English/01_-_Topic_wise/Srimad_Bhagavatam/Canto-03/SP_SB_3-26-44_Bombay_1975-01-19_Pure_Love.mp3" TargetMode="External"/><Relationship Id="rId4468" Type="http://schemas.openxmlformats.org/officeDocument/2006/relationships/hyperlink" Target="https://audio.iskcondesiretree.com/01_-_Srila_Prabhupada/01_-_Lectures/01_-_English/02_-_Month_wise/04_-_April/13/SB_7-12-02_BOM_1976-04-13_Hippie_Population.mp3" TargetMode="External"/><Relationship Id="rId5866" Type="http://schemas.openxmlformats.org/officeDocument/2006/relationships/hyperlink" Target="https://audio.iskcondesiretree.com/01_-_Srila_Prabhupada/01_-_Lectures/01_-_English/02_-_Month_wise/05_-_May/27/Conv_1977-05-27_R2-VRNDAVAN.MP3" TargetMode="External"/><Relationship Id="rId4882" Type="http://schemas.openxmlformats.org/officeDocument/2006/relationships/hyperlink" Target="https://audio.iskcondesiretree.com/01_-_Srila_Prabhupada/01_-_Lectures/01_-_English/02_-_Month_wise/07_-_July/03/LifeComesFromLife_1976-07-03_SS-WASHINGTON%20DC.MP3" TargetMode="External"/><Relationship Id="rId5519" Type="http://schemas.openxmlformats.org/officeDocument/2006/relationships/hyperlink" Target="https://audio.iskcondesiretree.com/01_-_Srila_Prabhupada/01_-_Lectures/01_-_English/02_-_Month_wise/12_-_December/22/Conv_1976-12-22_R2-POONA.MP3" TargetMode="External"/><Relationship Id="rId5933" Type="http://schemas.openxmlformats.org/officeDocument/2006/relationships/hyperlink" Target="https://audio.iskcondesiretree.com/01_-_Srila_Prabhupada/01_-_Lectures/01_-_English/02_-_Month_wise/10_-_October/06/Conv_1977-10-06_R2-VRNDAVAN.MP3" TargetMode="External"/><Relationship Id="rId2086" Type="http://schemas.openxmlformats.org/officeDocument/2006/relationships/hyperlink" Target="https://audio.iskcondesiretree.com/01_-_Srila_Prabhupada/01_-_Lectures/01_-_English/02_-_Month_wise/06_-_June/09/SB_2-01-01_PAR_1974-06-09_Hankering_to_Hear_About_Krishna.mp3" TargetMode="External"/><Relationship Id="rId3484" Type="http://schemas.openxmlformats.org/officeDocument/2006/relationships/hyperlink" Target="https://audio.iskcondesiretree.com/01_-_Srila_Prabhupada/01_-_Lectures/01_-_English/02_-_Month_wise/07_-_July/10/Initiations_1975-07-10_IN-CHICAGO.MP3" TargetMode="External"/><Relationship Id="rId4535" Type="http://schemas.openxmlformats.org/officeDocument/2006/relationships/hyperlink" Target="https://audio.iskcondesiretree.com/01_-_Srila_Prabhupada/01_-_Lectures/01_-_English/01_-_Topic_wise/Bhagavad_Gita/Chapter-09/SP_BG_09-10_Melbourne_1976-04-26_Destination-Lord_of_Destiny.mp3" TargetMode="External"/><Relationship Id="rId3137" Type="http://schemas.openxmlformats.org/officeDocument/2006/relationships/hyperlink" Target="https://audio.iskcondesiretree.com/01_-_Srila_Prabhupada/01_-_Lectures/01_-_English/02_-_Month_wise/04_-_April/23/SB_1-07-06_VRN_1975-04-23_Making_Good_Use_of_the_Useless.mp3" TargetMode="External"/><Relationship Id="rId3551" Type="http://schemas.openxmlformats.org/officeDocument/2006/relationships/hyperlink" Target="https://audio.iskcondesiretree.com/01_-_Srila_Prabhupada/01_-_Lectures/01_-_English/02_-_Month_wise/07_-_July/18/Walk_1975-07-18_MW-SAN%20FRANCISCO.MP3" TargetMode="External"/><Relationship Id="rId4602" Type="http://schemas.openxmlformats.org/officeDocument/2006/relationships/hyperlink" Target="https://audio.iskcondesiretree.com/01_-_Srila_Prabhupada/01_-_Lectures/01_-_English/01_-_Topic_wise/Srimad_Bhagavatam/Canto-06/SP_SB_6-01-13-14_Honolulu_1976-05-14_Sex_and_the_Sober.MP3" TargetMode="External"/><Relationship Id="rId472" Type="http://schemas.openxmlformats.org/officeDocument/2006/relationships/hyperlink" Target="https://audio.iskcondesiretree.com/01_-_Srila_Prabhupada/01_-_Lectures/01_-_English/01_-_Topic_wise/Srimad_Bhagavatam/Canto-05/SP_SB_5-05-01_London_1969-09-12_Depend_On_Krishna.mp3" TargetMode="External"/><Relationship Id="rId2153" Type="http://schemas.openxmlformats.org/officeDocument/2006/relationships/hyperlink" Target="https://audio.iskcondesiretree.com/01_-_Srila_Prabhupada/01_-_Lectures/01_-_English/01_-_Topic_wise/Room_Conversation/SP_Room_Conversation_01_Germany_1974-06-17.mp3" TargetMode="External"/><Relationship Id="rId3204" Type="http://schemas.openxmlformats.org/officeDocument/2006/relationships/hyperlink" Target="https://audio.iskcondesiretree.com/01_-_Srila_Prabhupada/01_-_Lectures/01_-_English/02_-_Month_wise/05_-_May/19/MW_MEL_1975-05-19_The_Envious_and_the_Merciful.mp3" TargetMode="External"/><Relationship Id="rId125" Type="http://schemas.openxmlformats.org/officeDocument/2006/relationships/hyperlink" Target="https://audio.iskcondesiretree.com/01_-_Srila_Prabhupada/01_-_Lectures/01_-_English/02_-_Month_wise/11_-_November/25/Cc_M_20-121_NY_1966-11-25_Vedas%2C_Guru_and_Supersoul.mp3" TargetMode="External"/><Relationship Id="rId2220" Type="http://schemas.openxmlformats.org/officeDocument/2006/relationships/hyperlink" Target="https://audio.iskcondesiretree.com/01_-_Srila_Prabhupada/01_-_Lectures/01_-_English/02_-_Month_wise/06_-_June/29/MW_MEL_1974-06-29_Unlimitedly_Merciful_Lord.mp3" TargetMode="External"/><Relationship Id="rId5376" Type="http://schemas.openxmlformats.org/officeDocument/2006/relationships/hyperlink" Target="https://audio.iskcondesiretree.com/01_-_Srila_Prabhupada/01_-_Lectures/01_-_English/01_-_Topic_wise/Room_Conversation/SP_Room_Conversation_Vrindavan_1976-11-04_Nobody_Is_Satisfied_Income.mp3" TargetMode="External"/><Relationship Id="rId5790" Type="http://schemas.openxmlformats.org/officeDocument/2006/relationships/hyperlink" Target="https://audio.iskcondesiretree.com/01_-_Srila_Prabhupada/01_-_Lectures/01_-_English/02_-_Month_wise/04_-_April/04/RC_BOM_1977-04-04_Unlock_the_Universal_Science.mp3" TargetMode="External"/><Relationship Id="rId4392" Type="http://schemas.openxmlformats.org/officeDocument/2006/relationships/hyperlink" Target="https://audio.iskcondesiretree.com/01_-_Srila_Prabhupada/01_-_Lectures/01_-_English/01_-_Topic_wise/Srimad_Bhagavatam/Canto-07/SP_SB_7-09-42_Mayapur_1976-03-22_Impossible_to_Be_Independent.mp3" TargetMode="External"/><Relationship Id="rId5029" Type="http://schemas.openxmlformats.org/officeDocument/2006/relationships/hyperlink" Target="https://audio.iskcondesiretree.com/01_-_Srila_Prabhupada/01_-_Lectures/01_-_English/02_-_Month_wise/07_-_July/27/Lect_LON_1976-07-27_To_Indian_Community.mp3" TargetMode="External"/><Relationship Id="rId5443" Type="http://schemas.openxmlformats.org/officeDocument/2006/relationships/hyperlink" Target="https://audio.iskcondesiretree.com/01_-_Srila_Prabhupada/01_-_Lectures/01_-_English/02_-_Month_wise/11_-_November/20/SB_5-05-33_VRN_1976-11-20_Ask_Rascal_Incarnations_etc.mp3" TargetMode="External"/><Relationship Id="rId1986" Type="http://schemas.openxmlformats.org/officeDocument/2006/relationships/hyperlink" Target="https://audio.iskcondesiretree.com/01_-_Srila_Prabhupada/01_-_Lectures/01_-_English/01_-_Topic_wise/Morning_Walk/SP_Morning_Walk_-_Rome_1974-05-25.mp3" TargetMode="External"/><Relationship Id="rId4045" Type="http://schemas.openxmlformats.org/officeDocument/2006/relationships/hyperlink" Target="https://audio.iskcondesiretree.com/01_-_Srila_Prabhupada/01_-_Lectures/01_-_English/02_-_Month_wise/12_-_December/03/SB_7-06-02_VRN_1975-12-03_Everyone_Is_Dear_to_Krishna.mp3" TargetMode="External"/><Relationship Id="rId1639" Type="http://schemas.openxmlformats.org/officeDocument/2006/relationships/hyperlink" Target="https://audio.iskcondesiretree.com/01_-_Srila_Prabhupada/01_-_Lectures/01_-_English/02_-_Month_wise/02_-_Feburary/22/Walk_1974-02-22_MW-BOMBAY.MP3" TargetMode="External"/><Relationship Id="rId3061" Type="http://schemas.openxmlformats.org/officeDocument/2006/relationships/hyperlink" Target="https://audio.iskcondesiretree.com/01_-_Srila_Prabhupada/01_-_Lectures/01_-_English/02_-_Month_wise/04_-_April/06/CcAdi-01-013_1975-04-06_CC-MAYAPUR.MP3" TargetMode="External"/><Relationship Id="rId5510" Type="http://schemas.openxmlformats.org/officeDocument/2006/relationships/hyperlink" Target="https://audio.iskcondesiretree.com/01_-_Srila_Prabhupada/01_-_Lectures/01_-_English/02_-_Month_wise/12_-_December/16/PressConf_1976-12-16_PC-HYDERABAD.MP3" TargetMode="External"/><Relationship Id="rId1706" Type="http://schemas.openxmlformats.org/officeDocument/2006/relationships/hyperlink" Target="https://audio.iskcondesiretree.com/01_-_Srila_Prabhupada/01_-_Lectures/01_-_English/02_-_Month_wise/03_-_March/14/Walk_1974-03-14_MW-VRNDAVAN.MP3" TargetMode="External"/><Relationship Id="rId4112" Type="http://schemas.openxmlformats.org/officeDocument/2006/relationships/hyperlink" Target="https://audio.iskcondesiretree.com/01_-_Srila_Prabhupada/01_-_Lectures/01_-_English/01_-_Topic_wise/Festivals/SP_Festivals_Bombay_1975-12-22_Bhaktisiddhanta_Disappearance.mp3" TargetMode="External"/><Relationship Id="rId3878" Type="http://schemas.openxmlformats.org/officeDocument/2006/relationships/hyperlink" Target="https://audio.iskcondesiretree.com/01_-_Srila_Prabhupada/01_-_Lectures/01_-_English/02_-_Month_wise/10_-_October/16/Conv_1975-10-16_R1-JOHANNESBURG.MP3" TargetMode="External"/><Relationship Id="rId4929" Type="http://schemas.openxmlformats.org/officeDocument/2006/relationships/hyperlink" Target="https://audio.iskcondesiretree.com/01_-_Srila_Prabhupada/01_-_Lectures/01_-_English/02_-_Month_wise/07_-_July/08/Cc_M_20-103_WDC_1976-07-08_Survival_of_the_Fittest.mp3" TargetMode="External"/><Relationship Id="rId799" Type="http://schemas.openxmlformats.org/officeDocument/2006/relationships/hyperlink" Target="https://audio.iskcondesiretree.com/01_-_Srila_Prabhupada/01_-_Lectures/01_-_English/02_-_Month_wise/11_-_November/08/SB_1-02-28_VRN_1972-11-08_Kamsa%27s_and_Ravana%27s_Secular_State.mp3" TargetMode="External"/><Relationship Id="rId2894" Type="http://schemas.openxmlformats.org/officeDocument/2006/relationships/hyperlink" Target="https://audio.iskcondesiretree.com/01_-_Srila_Prabhupada/01_-_Lectures/01_-_English/02_-_Month_wise/03_-_March/02/Fest_ATL_1975-03-02_On_the_Appearance_Day_of_Srila_etc.mp3" TargetMode="External"/><Relationship Id="rId866" Type="http://schemas.openxmlformats.org/officeDocument/2006/relationships/hyperlink" Target="https://audio.iskcondesiretree.com/01_-_Srila_Prabhupada/01_-_Lectures/01_-_English/01_-_Topic_wise/Bhagavad_Gita/Chapter-07/SP_BG_07-01_Ahmedabad_1972-12-13_Kanistha_Madhyama_Uttama.mp3" TargetMode="External"/><Relationship Id="rId1496" Type="http://schemas.openxmlformats.org/officeDocument/2006/relationships/hyperlink" Target="https://audio.iskcondesiretree.com/01_-_Srila_Prabhupada/01_-_Lectures/01_-_English/01_-_Topic_wise/Morning_Walk/SP_Morning_Walk_-_Los_Angeles_1974-01-08.mp3" TargetMode="External"/><Relationship Id="rId2547" Type="http://schemas.openxmlformats.org/officeDocument/2006/relationships/hyperlink" Target="https://audio.iskcondesiretree.com/01_-_Srila_Prabhupada/01_-_Lectures/01_-_English/02_-_Month_wise/11_-_November/23/SB-03-25-23_1974-11-23_SB-BOMBAY.MP3" TargetMode="External"/><Relationship Id="rId3945" Type="http://schemas.openxmlformats.org/officeDocument/2006/relationships/hyperlink" Target="https://audio.iskcondesiretree.com/01_-_Srila_Prabhupada/01_-_Lectures/01_-_English/01_-_Topic_wise/Room_Conversation/SP_Room_Conversation_Nairobi_1975-11-01_Lord%27s_Gigantic_Body.mp3" TargetMode="External"/><Relationship Id="rId6004" Type="http://schemas.openxmlformats.org/officeDocument/2006/relationships/hyperlink" Target="https://audio.iskcondesiretree.com/01_-_Srila_Prabhupada/01_-_Lectures/01_-_English/02_-_Month_wise/11_-_November/06/Conv_1977-11-06_R3-VRNDAVAN.MP3" TargetMode="External"/><Relationship Id="rId519" Type="http://schemas.openxmlformats.org/officeDocument/2006/relationships/hyperlink" Target="https://audio.iskcondesiretree.com/01_-_Srila_Prabhupada/01_-_Lectures/01_-_English/02_-_Month_wise/07_-_July/04/Fest_SF_1970-07-04_Gundica_Marjana.mp3" TargetMode="External"/><Relationship Id="rId1149" Type="http://schemas.openxmlformats.org/officeDocument/2006/relationships/hyperlink" Target="https://audio.iskcondesiretree.com/01_-_Srila_Prabhupada/01_-_Lectures/01_-_English/02_-_Month_wise/08_-_August/07/Bg_02-07_LON_1973-08-07_You_Must_Approach_Krishna.mp3" TargetMode="External"/><Relationship Id="rId2961" Type="http://schemas.openxmlformats.org/officeDocument/2006/relationships/hyperlink" Target="https://audio.iskcondesiretree.com/01_-_Srila_Prabhupada/01_-_Lectures/01_-_English/01_-_Topic_wise/Room_Conversation/SP_Room_Conversation_Tehran_1975-03-14_Yoga_Student_and_Other_Guests.MP3" TargetMode="External"/><Relationship Id="rId5020" Type="http://schemas.openxmlformats.org/officeDocument/2006/relationships/hyperlink" Target="https://audio.iskcondesiretree.com/01_-_Srila_Prabhupada/01_-_Lectures/01_-_English/01_-_Topic_wise/Room_Conversation/SP_Room_Conversation_London_1976-07-26_The_Next_Life.mp3" TargetMode="External"/><Relationship Id="rId933" Type="http://schemas.openxmlformats.org/officeDocument/2006/relationships/hyperlink" Target="https://audio.iskcondesiretree.com/01_-_Srila_Prabhupada/01_-_Lectures/01_-_English/01_-_Topic_wise/Bhagavad_Gita/Chapter-04/SP_BG_04-13_New_York_1973-04-08_Sunday_Feast--The_Social_Body--etc.mp3" TargetMode="External"/><Relationship Id="rId1563" Type="http://schemas.openxmlformats.org/officeDocument/2006/relationships/hyperlink" Target="https://audio.iskcondesiretree.com/01_-_Srila_Prabhupada/01_-_Lectures/01_-_English/02_-_Month_wise/01_-_January/22/Walk_1974-01-22_MW-HONOLULU.MP3" TargetMode="External"/><Relationship Id="rId2614" Type="http://schemas.openxmlformats.org/officeDocument/2006/relationships/hyperlink" Target="https://audio.iskcondesiretree.com/01_-_Srila_Prabhupada/01_-_Lectures/01_-_English/02_-_Month_wise/12_-_December/15/SB_3-26-03_BOM_1974-12-15_Our_Knowledge_Is_Not_Knowledge.mp3" TargetMode="External"/><Relationship Id="rId1216" Type="http://schemas.openxmlformats.org/officeDocument/2006/relationships/hyperlink" Target="https://audio.iskcondesiretree.com/01_-_Srila_Prabhupada/01_-_Lectures/01_-_English/01_-_Topic_wise/Bhagavad_Gita/Chapter-02/SP_BG_02-19-20_London_1973-08-25_Dogs_and_Cats_Don%27t_Need_Freud.mp3" TargetMode="External"/><Relationship Id="rId1630" Type="http://schemas.openxmlformats.org/officeDocument/2006/relationships/hyperlink" Target="https://audio.iskcondesiretree.com/01_-_Srila_Prabhupada/01_-_Lectures/01_-_English/01_-_Topic_wise/Bhagavad_Gita/Chapter-07/SP_BG_07-05_Bombay_1974-02-20.mp3" TargetMode="External"/><Relationship Id="rId4786" Type="http://schemas.openxmlformats.org/officeDocument/2006/relationships/hyperlink" Target="https://audio.iskcondesiretree.com/01_-_Srila_Prabhupada/01_-_Lectures/01_-_English/02_-_Month_wise/06_-_June/19/SB-07-06-03_1976-06-19_SB-TORONTO.MP3" TargetMode="External"/><Relationship Id="rId5837" Type="http://schemas.openxmlformats.org/officeDocument/2006/relationships/hyperlink" Target="https://audio.iskcondesiretree.com/01_-_Srila_Prabhupada/01_-_Lectures/01_-_English/01_-_Topic_wise/Room_Conversation/SP_Room_Conversation_Hrisikesh_1977-05-09_Don%27t_Be_a_Dog-Be_a_Guru.mp3" TargetMode="External"/><Relationship Id="rId3388" Type="http://schemas.openxmlformats.org/officeDocument/2006/relationships/hyperlink" Target="https://audio.iskcondesiretree.com/01_-_Srila_Prabhupada/01_-_Lectures/01_-_English/02_-_Month_wise/06_-_June/27/SB-06-01-15_1975-06-27_SB-LOS%20ANGELES.MP3" TargetMode="External"/><Relationship Id="rId4439" Type="http://schemas.openxmlformats.org/officeDocument/2006/relationships/hyperlink" Target="https://audio.iskcondesiretree.com/01_-_Srila_Prabhupada/01_-_Lectures/01_-_English/01_-_Topic_wise/Various/SP_Lecture_Vrindavan_1976-04-07_The_Guru%27s_Business_is_Not_to--etc.mp3" TargetMode="External"/><Relationship Id="rId4853" Type="http://schemas.openxmlformats.org/officeDocument/2006/relationships/hyperlink" Target="https://audio.iskcondesiretree.com/01_-_Srila_Prabhupada/01_-_Lectures/01_-_English/02_-_Month_wise/06_-_June/28/RC_NV_1976-06-28_Bhavans_Journal-4_Sanctity_for_the_Sinful.mp3" TargetMode="External"/><Relationship Id="rId5904" Type="http://schemas.openxmlformats.org/officeDocument/2006/relationships/hyperlink" Target="https://audio.iskcondesiretree.com/01_-_Srila_Prabhupada/01_-_Lectures/01_-_English/02_-_Month_wise/07_-_July/03/DiscussionBhu-mandala_1977-07-03_DC-VRNDAVAN.MP3" TargetMode="External"/><Relationship Id="rId3455" Type="http://schemas.openxmlformats.org/officeDocument/2006/relationships/hyperlink" Target="https://audio.iskcondesiretree.com/01_-_Srila_Prabhupada/01_-_Lectures/01_-_English/01_-_Topic_wise/Srimad_Bhagavatam/Canto-06/SP_SB_6-01-23_Chicago_1975-07-07_Time_and_Tide_Wait_for_New_Orleans_Man.mp3" TargetMode="External"/><Relationship Id="rId4506" Type="http://schemas.openxmlformats.org/officeDocument/2006/relationships/hyperlink" Target="https://audio.iskcondesiretree.com/01_-_Srila_Prabhupada/01_-_Lectures/01_-_English/02_-_Month_wise/04_-_April/20/RC_MEL_1976-04-20_Who_Is_Within_the_Body.mp3" TargetMode="External"/><Relationship Id="rId376" Type="http://schemas.openxmlformats.org/officeDocument/2006/relationships/hyperlink" Target="https://audio.iskcondesiretree.com/01_-_Srila_Prabhupada/01_-_Lectures/01_-_English/02_-_Month_wise/02_-_Feburary/17/Bg_06-16_LA_1969-02-17_Yoga_System--Keep_This_Useless_Body_Fit.mp3" TargetMode="External"/><Relationship Id="rId790" Type="http://schemas.openxmlformats.org/officeDocument/2006/relationships/hyperlink" Target="https://audio.iskcondesiretree.com/01_-_Srila_Prabhupada/01_-_Lectures/01_-_English/02_-_Month_wise/11_-_November/06/NOD_Lect_VRN_1972-11-06_Advantages_of_Taking_to_Krsna_etc.mp3" TargetMode="External"/><Relationship Id="rId2057" Type="http://schemas.openxmlformats.org/officeDocument/2006/relationships/hyperlink" Target="https://audio.iskcondesiretree.com/01_-_Srila_Prabhupada/01_-_Lectures/01_-_English/02_-_Month_wise/06_-_June/05/Conv_1974-06-05_R2-GENEVA.MP3" TargetMode="External"/><Relationship Id="rId2471" Type="http://schemas.openxmlformats.org/officeDocument/2006/relationships/hyperlink" Target="https://audio.iskcondesiretree.com/01_-_Srila_Prabhupada/01_-_Lectures/01_-_English/02_-_Month_wise/10_-_October/26/SB-01-08-46_1974-10-26_SB-MAYAPUR.MP3" TargetMode="External"/><Relationship Id="rId3108" Type="http://schemas.openxmlformats.org/officeDocument/2006/relationships/hyperlink" Target="https://audio.iskcondesiretree.com/01_-_Srila_Prabhupada/01_-_Lectures/01_-_English/02_-_Month_wise/04_-_April/14/Lect_HYD_1975-04-14_Let_Us_Become_Dogs_of_Krishna.mp3" TargetMode="External"/><Relationship Id="rId3522" Type="http://schemas.openxmlformats.org/officeDocument/2006/relationships/hyperlink" Target="https://audio.iskcondesiretree.com/01_-_Srila_Prabhupada/01_-_Lectures/01_-_English/02_-_Month_wise/07_-_July/13/SB_6-01-28_PHI_1975-07-13_Krishna_Is_Very_Tricky.mp3" TargetMode="External"/><Relationship Id="rId4920" Type="http://schemas.openxmlformats.org/officeDocument/2006/relationships/hyperlink" Target="https://audio.iskcondesiretree.com/01_-_Srila_Prabhupada/01_-_Lectures/01_-_English/02_-_Month_wise/07_-_July/07/Conv_1976-07-07_R1-BALTIMORE.MP3" TargetMode="External"/><Relationship Id="rId443" Type="http://schemas.openxmlformats.org/officeDocument/2006/relationships/hyperlink" Target="https://audio.iskcondesiretree.com/01_-_Srila_Prabhupada/01_-_Lectures/01_-_English/02_-_Month_wise/06_-_June/10/SB_1-05-11_NV_1969-06-10_Spiritual_Aesthetics-Swanlike_Men.mp3" TargetMode="External"/><Relationship Id="rId1073" Type="http://schemas.openxmlformats.org/officeDocument/2006/relationships/hyperlink" Target="https://audio.iskcondesiretree.com/01_-_Srila_Prabhupada/01_-_Lectures/01_-_English/01_-_Topic_wise/Room_Conversation/SP_Room_Conversation_London_1973-07-11_Educationists--The_Greatest_Gain.mp3" TargetMode="External"/><Relationship Id="rId2124" Type="http://schemas.openxmlformats.org/officeDocument/2006/relationships/hyperlink" Target="https://audio.iskcondesiretree.com/01_-_Srila_Prabhupada/01_-_Lectures/01_-_English/02_-_Month_wise/06_-_June/13/MW_PAR_1974-06-13_Maya-Everything_Belongs_to_Me.mp3" TargetMode="External"/><Relationship Id="rId1140" Type="http://schemas.openxmlformats.org/officeDocument/2006/relationships/hyperlink" Target="https://audio.iskcondesiretree.com/01_-_Srila_Prabhupada/01_-_Lectures/01_-_English/01_-_Topic_wise/Bhagavad_Gita/Chapter-02/SP_BG_02-02_London_1973-08-03_Becoming_Spiritually_Masterful.mp3" TargetMode="External"/><Relationship Id="rId4296" Type="http://schemas.openxmlformats.org/officeDocument/2006/relationships/hyperlink" Target="https://audio.iskcondesiretree.com/01_-_Srila_Prabhupada/01_-_Lectures/01_-_English/02_-_Month_wise/02_-_Feburary/28/SB_7-09-21_MAY_1976-02-28_Beginning_of_Material_Life.mp3" TargetMode="External"/><Relationship Id="rId5694" Type="http://schemas.openxmlformats.org/officeDocument/2006/relationships/hyperlink" Target="https://audio.iskcondesiretree.com/01_-_Srila_Prabhupada/01_-_Lectures/01_-_English/02_-_Month_wise/02_-_Feburary/11/SB_7-09-04_MAY_1977-02-11_Prahlada--Krishna%27s_etc.mp3" TargetMode="External"/><Relationship Id="rId510" Type="http://schemas.openxmlformats.org/officeDocument/2006/relationships/hyperlink" Target="https://audio.iskcondesiretree.com/01_-_Srila_Prabhupada/01_-_Lectures/01_-_English/01_-_Topic_wise/Isopanishad/SP_Isopanisad_10_Los_Angeles_1970-05-14_The_Senses.mp3" TargetMode="External"/><Relationship Id="rId5347" Type="http://schemas.openxmlformats.org/officeDocument/2006/relationships/hyperlink" Target="https://audio.iskcondesiretree.com/01_-_Srila_Prabhupada/01_-_Lectures/01_-_English/02_-_Month_wise/10_-_October/26/Conv_1976-10-26_R1-VRNDAVAN.MP3" TargetMode="External"/><Relationship Id="rId5761" Type="http://schemas.openxmlformats.org/officeDocument/2006/relationships/hyperlink" Target="https://audio.iskcondesiretree.com/01_-_Srila_Prabhupada/01_-_Lectures/01_-_English/02_-_Month_wise/03_-_March/24/Conv_1977-03-24_R1-BOMBAY.MP3" TargetMode="External"/><Relationship Id="rId1957" Type="http://schemas.openxmlformats.org/officeDocument/2006/relationships/hyperlink" Target="https://audio.iskcondesiretree.com/01_-_Srila_Prabhupada/01_-_Lectures/01_-_English/02_-_Month_wise/05_-_May/05/Walk_1974-05-05_MW-BOMBAY.MP3" TargetMode="External"/><Relationship Id="rId4363" Type="http://schemas.openxmlformats.org/officeDocument/2006/relationships/hyperlink" Target="https://audio.iskcondesiretree.com/01_-_Srila_Prabhupada/01_-_Lectures/01_-_English/01_-_Topic_wise/Morning_Walk/SP_Morning_Walk_-_Mayapur_1976-03-16_What_Is_Next.mp3" TargetMode="External"/><Relationship Id="rId5414" Type="http://schemas.openxmlformats.org/officeDocument/2006/relationships/hyperlink" Target="https://audio.iskcondesiretree.com/01_-_Srila_Prabhupada/01_-_Lectures/01_-_English/02_-_Month_wise/11_-_November/13/Conv_1976-11-13_R1-VRNDAVAN.MP3" TargetMode="External"/><Relationship Id="rId4016" Type="http://schemas.openxmlformats.org/officeDocument/2006/relationships/hyperlink" Target="https://audio.iskcondesiretree.com/01_-_Srila_Prabhupada/01_-_Lectures/01_-_English/01_-_Topic_wise/Morning_Walk/SP_Morning_Walk_-_Bombay_1975-11-21_Aryan_Blood-A_Misnomer.mp3" TargetMode="External"/><Relationship Id="rId4430" Type="http://schemas.openxmlformats.org/officeDocument/2006/relationships/hyperlink" Target="https://audio.iskcondesiretree.com/01_-_Srila_Prabhupada/01_-_Lectures/01_-_English/02_-_Month_wise/04_-_April/05/Conv_1976-04-05_R1-VRNDAVAN.MP3" TargetMode="External"/><Relationship Id="rId3032" Type="http://schemas.openxmlformats.org/officeDocument/2006/relationships/hyperlink" Target="https://audio.iskcondesiretree.com/01_-_Srila_Prabhupada/01_-_Lectures/01_-_English/02_-_Month_wise/04_-_April/02/Cc_A_1-09_MAY_1975-04-02_Big_Chunk_of_Nonsense.mp3" TargetMode="External"/><Relationship Id="rId6188" Type="http://schemas.openxmlformats.org/officeDocument/2006/relationships/hyperlink" Target="https://audio.iskcondesiretree.com/01_-_Srila_Prabhupada/01_-_Lectures/03_-_Hindi/SP_Hindi_16_Lectures_%26_Conversations.mp3" TargetMode="External"/><Relationship Id="rId2798" Type="http://schemas.openxmlformats.org/officeDocument/2006/relationships/hyperlink" Target="https://audio.iskcondesiretree.com/01_-_Srila_Prabhupada/01_-_Lectures/01_-_English/01_-_Topic_wise/Bhagavad_Gita/Chapter-02/SP_BG_02-14_Mexico_City_1975-02-14_Forbearance_to_Cure_the_Body.mp3" TargetMode="External"/><Relationship Id="rId3849" Type="http://schemas.openxmlformats.org/officeDocument/2006/relationships/hyperlink" Target="https://audio.iskcondesiretree.com/01_-_Srila_Prabhupada/01_-_Lectures/01_-_English/02_-_Month_wise/10_-_October/11/Lect_DUR_1975-10-11_Happiness_on_the_Planet_of_Misery.mp3" TargetMode="External"/><Relationship Id="rId5271" Type="http://schemas.openxmlformats.org/officeDocument/2006/relationships/hyperlink" Target="https://audio.iskcondesiretree.com/01_-_Srila_Prabhupada/01_-_Lectures/01_-_English/02_-_Month_wise/09_-_September/27/SB_1-07-32_VRN_1976-09-27_Counteracting_Kali-Yuga.mp3" TargetMode="External"/><Relationship Id="rId2865" Type="http://schemas.openxmlformats.org/officeDocument/2006/relationships/hyperlink" Target="https://audio.iskcondesiretree.com/01_-_Srila_Prabhupada/01_-_Lectures/01_-_English/01_-_Topic_wise/Various/SP_Lecture_Purport_to_Parama_Karuna_1975-02-28_Atlanta.MP3" TargetMode="External"/><Relationship Id="rId3916" Type="http://schemas.openxmlformats.org/officeDocument/2006/relationships/hyperlink" Target="https://audio.iskcondesiretree.com/01_-_Srila_Prabhupada/01_-_Lectures/01_-_English/01_-_Topic_wise/Bhagavad_Gita/Chapter-07/SP_BG_07-01_Nairobi_1975-10-27_Always_Think_of_Krishna.mp3" TargetMode="External"/><Relationship Id="rId837" Type="http://schemas.openxmlformats.org/officeDocument/2006/relationships/hyperlink" Target="https://audio.iskcondesiretree.com/01_-_Srila_Prabhupada/01_-_Lectures/01_-_English/02_-_Month_wise/11_-_November/25/Bg_02-20_HYD_1972-11-25_Birth_and_Death_Caused_by_Maya.mp3" TargetMode="External"/><Relationship Id="rId1467" Type="http://schemas.openxmlformats.org/officeDocument/2006/relationships/hyperlink" Target="https://audio.iskcondesiretree.com/01_-_Srila_Prabhupada/01_-_Lectures/01_-_English/01_-_Topic_wise/Srimad_Bhagavatam/Canto-01/SP_SB_1-16-03_Los_Angeles_1973-12-31_You_Can_See_and_Talk_with_God.mp3" TargetMode="External"/><Relationship Id="rId1881" Type="http://schemas.openxmlformats.org/officeDocument/2006/relationships/hyperlink" Target="https://audio.iskcondesiretree.com/01_-_Srila_Prabhupada/01_-_Lectures/01_-_English/02_-_Month_wise/04_-_April/16/Walk_1974-04-16_MW-BOMBAY.MP3" TargetMode="External"/><Relationship Id="rId2518" Type="http://schemas.openxmlformats.org/officeDocument/2006/relationships/hyperlink" Target="https://audio.iskcondesiretree.com/01_-_Srila_Prabhupada/01_-_Lectures/01_-_English/01_-_Topic_wise/Srimad_Bhagavatam/Canto-03/SP_SB_3-25-14_Bombay_1974-11-14_Relief_from_the_Poison-Fire.mp3" TargetMode="External"/><Relationship Id="rId2932" Type="http://schemas.openxmlformats.org/officeDocument/2006/relationships/hyperlink" Target="https://audio.iskcondesiretree.com/01_-_Srila_Prabhupada/01_-_Lectures/01_-_English/02_-_Month_wise/03_-_March/09/Conv_1975-03-09_R1-LONDON.MP3" TargetMode="External"/><Relationship Id="rId904" Type="http://schemas.openxmlformats.org/officeDocument/2006/relationships/hyperlink" Target="https://audio.iskcondesiretree.com/01_-_Srila_Prabhupada/01_-_Lectures/01_-_English/01_-_Topic_wise/Various/SP_Lecture_Calcutta_1973-01-26_Initiation_Sannyasa--When_I_Went--etc.mp3" TargetMode="External"/><Relationship Id="rId1534" Type="http://schemas.openxmlformats.org/officeDocument/2006/relationships/hyperlink" Target="https://audio.iskcondesiretree.com/01_-_Srila_Prabhupada/01_-_Lectures/01_-_English/02_-_Month_wise/01_-_January/16/SB_1-16-20_HAW_1974-01-16_Bad_Good_and_Truly_Good.mp3" TargetMode="External"/><Relationship Id="rId1601" Type="http://schemas.openxmlformats.org/officeDocument/2006/relationships/hyperlink" Target="https://audio.iskcondesiretree.com/01_-_Srila_Prabhupada/01_-_Lectures/01_-_English/01_-_Topic_wise/Bhagavad_Gita/Chapter-04/SP_BG_04-03_Vrindavan_1974-02-10.mp3" TargetMode="External"/><Relationship Id="rId4757" Type="http://schemas.openxmlformats.org/officeDocument/2006/relationships/hyperlink" Target="https://audio.iskcondesiretree.com/01_-_Srila_Prabhupada/01_-_Lectures/01_-_English/02_-_Month_wise/06_-_June/15/RC_DET_1976-06-15_Priests--Handicapped_By_Mundane_Piety.mp3" TargetMode="External"/><Relationship Id="rId3359" Type="http://schemas.openxmlformats.org/officeDocument/2006/relationships/hyperlink" Target="https://audio.iskcondesiretree.com/01_-_Srila_Prabhupada/01_-_Lectures/01_-_English/01_-_Topic_wise/Room_Conversation/SP_Room_Conversation_Los_Angeles_1975-06-24_Profs--Bird-Brained_Scholarship.mp3" TargetMode="External"/><Relationship Id="rId5808" Type="http://schemas.openxmlformats.org/officeDocument/2006/relationships/hyperlink" Target="https://audio.iskcondesiretree.com/01_-_Srila_Prabhupada/01_-_Lectures/01_-_English/02_-_Month_wise/04_-_April/18/Conv_1977-04-18_R2-BOMBAY.MP3" TargetMode="External"/><Relationship Id="rId694" Type="http://schemas.openxmlformats.org/officeDocument/2006/relationships/hyperlink" Target="https://audio.iskcondesiretree.com/01_-_Srila_Prabhupada/01_-_Lectures/01_-_English/01_-_Topic_wise/Srimad_Bhagavatam/Canto-01/SP_SB_1-03-16_Los_Angeles_1972-09-21_Don%27t_Think_You_Are_All_in_All.mp3" TargetMode="External"/><Relationship Id="rId2375" Type="http://schemas.openxmlformats.org/officeDocument/2006/relationships/hyperlink" Target="https://audio.iskcondesiretree.com/01_-_Srila_Prabhupada/01_-_Lectures/01_-_English/02_-_Month_wise/09_-_September/10/Walk_1974-09-10_MW-VRNDAVAN.MP3" TargetMode="External"/><Relationship Id="rId3773" Type="http://schemas.openxmlformats.org/officeDocument/2006/relationships/hyperlink" Target="https://audio.iskcondesiretree.com/01_-_Srila_Prabhupada/01_-_Lectures/01_-_English/02_-_Month_wise/09_-_September/18/Walk_1975-09-18_MW-VRNDAVAN.MP3" TargetMode="External"/><Relationship Id="rId4824" Type="http://schemas.openxmlformats.org/officeDocument/2006/relationships/hyperlink" Target="https://audio.iskcondesiretree.com/01_-_Srila_Prabhupada/01_-_Lectures/01_-_English/02_-_Month_wise/06_-_June/25/SB-01-05-01-16_1976-06-25_R1-NEW%20VRINDAVAN.MP3" TargetMode="External"/><Relationship Id="rId347" Type="http://schemas.openxmlformats.org/officeDocument/2006/relationships/hyperlink" Target="https://audio.iskcondesiretree.com/01_-_Srila_Prabhupada/01_-_Lectures/01_-_English/01_-_Topic_wise/Bhagavad_Gita/Chapter-04/SP_BG_04-01-06_Los_Angeles_1969-01-03_The_Most_Important_Knowledge.mp3" TargetMode="External"/><Relationship Id="rId2028" Type="http://schemas.openxmlformats.org/officeDocument/2006/relationships/hyperlink" Target="https://audio.iskcondesiretree.com/01_-_Srila_Prabhupada/01_-_Lectures/01_-_English/02_-_Month_wise/06_-_June/01/Bg-04-11_1974-06-01_BG-GENEVA.MP3" TargetMode="External"/><Relationship Id="rId3426" Type="http://schemas.openxmlformats.org/officeDocument/2006/relationships/hyperlink" Target="https://audio.iskcondesiretree.com/01_-_Srila_Prabhupada/01_-_Lectures/01_-_English/02_-_Month_wise/07_-_July/03/Walk_1975-07-03_MW-DENVER.MP3" TargetMode="External"/><Relationship Id="rId3840" Type="http://schemas.openxmlformats.org/officeDocument/2006/relationships/hyperlink" Target="https://audio.iskcondesiretree.com/01_-_Srila_Prabhupada/01_-_Lectures/01_-_English/02_-_Month_wise/10_-_October/09/Bg-07-01_1975-10-09_BG-DURBAN.MP3" TargetMode="External"/><Relationship Id="rId761" Type="http://schemas.openxmlformats.org/officeDocument/2006/relationships/hyperlink" Target="https://audio.iskcondesiretree.com/01_-_Srila_Prabhupada/01_-_Lectures/01_-_English/01_-_Topic_wise/Srimad_Bhagavatam/Canto-01/SP_SB_1-02-19_Vrindavan_1972-10-30_Above_Nature%27s_Modes_to_Happiness.mp3" TargetMode="External"/><Relationship Id="rId1391" Type="http://schemas.openxmlformats.org/officeDocument/2006/relationships/hyperlink" Target="https://audio.iskcondesiretree.com/01_-_Srila_Prabhupada/01_-_Lectures/01_-_English/01_-_Topic_wise/Morning_Walk/SP_Morning_Walk_-_Los_Angeles_1973-12-05_Don%27t_Do_Your_Own_Thing.mp3" TargetMode="External"/><Relationship Id="rId2442" Type="http://schemas.openxmlformats.org/officeDocument/2006/relationships/hyperlink" Target="https://audio.iskcondesiretree.com/01_-_Srila_Prabhupada/01_-_Lectures/01_-_English/02_-_Month_wise/10_-_October/15/Lecture%E2%80%93Bengali_1974-10-15_LE-MAYAPUR.MP3" TargetMode="External"/><Relationship Id="rId5598" Type="http://schemas.openxmlformats.org/officeDocument/2006/relationships/hyperlink" Target="https://audio.iskcondesiretree.com/01_-_Srila_Prabhupada/01_-_Lectures/01_-_English/02_-_Month_wise/01_-_January/16/Conv_1977-01-16_R2-CALCUTTA.MP3" TargetMode="External"/><Relationship Id="rId414" Type="http://schemas.openxmlformats.org/officeDocument/2006/relationships/hyperlink" Target="https://audio.iskcondesiretree.com/01_-_Srila_Prabhupada/01_-_Lectures/01_-_English/02_-_Month_wise/05_-_May/09/Bg_04-01_COL_1969-05-09_Big_Scholars_Can%27t_Get_What_etc.mp3" TargetMode="External"/><Relationship Id="rId1044" Type="http://schemas.openxmlformats.org/officeDocument/2006/relationships/hyperlink" Target="https://audio.iskcondesiretree.com/01_-_Srila_Prabhupada/01_-_Lectures/01_-_English/02_-_Month_wise/06_-_June/22/SB_1-10-07_MAY_1973-06-22_Independence-More_Dependence.mp3" TargetMode="External"/><Relationship Id="rId5665" Type="http://schemas.openxmlformats.org/officeDocument/2006/relationships/hyperlink" Target="https://audio.iskcondesiretree.com/01_-_Srila_Prabhupada/01_-_Lectures/01_-_English/02_-_Month_wise/02_-_Feburary/01/MW_BHU_1977-02-01_Science_Atheists-Blind_Bluffers.mp3" TargetMode="External"/><Relationship Id="rId1111" Type="http://schemas.openxmlformats.org/officeDocument/2006/relationships/hyperlink" Target="https://audio.iskcondesiretree.com/01_-_Srila_Prabhupada/01_-_Lectures/01_-_English/01_-_Topic_wise/Room_Conversation/SP_Room_Conversation_London_1973-07-23_Lord_Brockway--Our_Service_Bring_Suffering.mp3" TargetMode="External"/><Relationship Id="rId4267" Type="http://schemas.openxmlformats.org/officeDocument/2006/relationships/hyperlink" Target="https://audio.iskcondesiretree.com/01_-_Srila_Prabhupada/01_-_Lectures/01_-_English/02_-_Month_wise/02_-_Feburary/21/Walk_1976-02-21_MW-MAYAPUR.MP3" TargetMode="External"/><Relationship Id="rId4681" Type="http://schemas.openxmlformats.org/officeDocument/2006/relationships/hyperlink" Target="https://audio.iskcondesiretree.com/01_-_Srila_Prabhupada/01_-_Lectures/01_-_English/02_-_Month_wise/06_-_June/03/MW_LA_1976-06-03_Death_and_Dreams.mp3" TargetMode="External"/><Relationship Id="rId5318" Type="http://schemas.openxmlformats.org/officeDocument/2006/relationships/hyperlink" Target="https://audio.iskcondesiretree.com/01_-_Srila_Prabhupada/01_-_Lectures/01_-_English/01_-_Topic_wise/Srimad_Bhagavatam/Canto-01/SP_SB_1-02-05_Aligarh_1976-10-09_The_Religion_Above_All_Cheating.mp3" TargetMode="External"/><Relationship Id="rId5732" Type="http://schemas.openxmlformats.org/officeDocument/2006/relationships/hyperlink" Target="https://audio.iskcondesiretree.com/01_-_Srila_Prabhupada/01_-_Lectures/01_-_English/02_-_Month_wise/02_-_Feburary/25/SB_7-09-05_MAY_1977-02-25_Don%27t_Think_God_Has_No_Feeling.mp3" TargetMode="External"/><Relationship Id="rId3283" Type="http://schemas.openxmlformats.org/officeDocument/2006/relationships/hyperlink" Target="https://audio.iskcondesiretree.com/01_-_Srila_Prabhupada/01_-_Lectures/01_-_English/01_-_Topic_wise/Room_Conversation/SP_Room_Converstion_01_Honolulu_1975-06-12.MP3" TargetMode="External"/><Relationship Id="rId4334" Type="http://schemas.openxmlformats.org/officeDocument/2006/relationships/hyperlink" Target="https://audio.iskcondesiretree.com/01_-_Srila_Prabhupada/01_-_Lectures/01_-_English/02_-_Month_wise/03_-_March/09/SB-07-09-31_1976-03-09_SB-MAYAPUR.MP3" TargetMode="External"/><Relationship Id="rId1928" Type="http://schemas.openxmlformats.org/officeDocument/2006/relationships/hyperlink" Target="https://audio.iskcondesiretree.com/01_-_Srila_Prabhupada/01_-_Lectures/01_-_English/02_-_Month_wise/04_-_April/24/Walk_1974-04-24_MW-HYDERABAD.MP3" TargetMode="External"/><Relationship Id="rId3350" Type="http://schemas.openxmlformats.org/officeDocument/2006/relationships/hyperlink" Target="https://audio.iskcondesiretree.com/01_-_Srila_Prabhupada/01_-_Lectures/01_-_English/01_-_Topic_wise/Room_Conversation/SP_Room_Conversation_Los_Angeles_1975-06-23_Philosopher--Bad_Allowed_by_the_All-Good.mp3" TargetMode="External"/><Relationship Id="rId271" Type="http://schemas.openxmlformats.org/officeDocument/2006/relationships/hyperlink" Target="https://audio.iskcondesiretree.com/01_-_Srila_Prabhupada/01_-_Lectures/01_-_English/02_-_Month_wise/10_-_October/02/Lect_SEA_1968-10-02_The_Pulse_of_Universal_Body.mp3" TargetMode="External"/><Relationship Id="rId3003" Type="http://schemas.openxmlformats.org/officeDocument/2006/relationships/hyperlink" Target="https://audio.iskcondesiretree.com/01_-_Srila_Prabhupada/01_-_Lectures/01_-_English/01_-_Topic_wise/Chaitanya_Charitamrita/Adi_Lila/SP_CC_A_01-05_Mayapur_1975-03-29_Science_of_Supreme_Pleasure.mp3" TargetMode="External"/><Relationship Id="rId4401" Type="http://schemas.openxmlformats.org/officeDocument/2006/relationships/hyperlink" Target="https://audio.iskcondesiretree.com/01_-_Srila_Prabhupada/01_-_Lectures/01_-_English/01_-_Topic_wise/Interview/SP_Interview_Delhi_1976-03-25_Press--India-_Overintelligent.mp3" TargetMode="External"/><Relationship Id="rId6159" Type="http://schemas.openxmlformats.org/officeDocument/2006/relationships/hyperlink" Target="https://audio.iskcondesiretree.com/01_-_Srila_Prabhupada/01_-_Lectures/01_-_English/01_-_Topic_wise/Stories/SP_Story_35_Scholar_and_the_boatman.mp3" TargetMode="External"/><Relationship Id="rId2769" Type="http://schemas.openxmlformats.org/officeDocument/2006/relationships/hyperlink" Target="https://audio.iskcondesiretree.com/01_-_Srila_Prabhupada/01_-_Lectures/01_-_English/02_-_Month_wise/02_-_Feburary/07/Bg-16-11%E2%80%9312_1975-02-07_BG-HONOLULU.MP3" TargetMode="External"/><Relationship Id="rId5175" Type="http://schemas.openxmlformats.org/officeDocument/2006/relationships/hyperlink" Target="https://audio.iskcondesiretree.com/01_-_Srila_Prabhupada/01_-_Lectures/01_-_English/01_-_Topic_wise/Arrival_Address/SP_Arrival_Vrindavan_1976-09-03_Understand_God.mp3" TargetMode="External"/><Relationship Id="rId1785" Type="http://schemas.openxmlformats.org/officeDocument/2006/relationships/hyperlink" Target="https://audio.iskcondesiretree.com/01_-_Srila_Prabhupada/01_-_Lectures/01_-_English/02_-_Month_wise/03_-_March/30/Bg-04-10_1974-03-30_BG-BOMBAY.MP3" TargetMode="External"/><Relationship Id="rId2836" Type="http://schemas.openxmlformats.org/officeDocument/2006/relationships/hyperlink" Target="https://audio.iskcondesiretree.com/01_-_Srila_Prabhupada/01_-_Lectures/01_-_English/02_-_Month_wise/02_-_Feburary/22/Conv_1975-02-22_R1-CARACAS.MP3" TargetMode="External"/><Relationship Id="rId4191" Type="http://schemas.openxmlformats.org/officeDocument/2006/relationships/hyperlink" Target="https://audio.iskcondesiretree.com/01_-_Srila_Prabhupada/01_-_Lectures/01_-_English/02_-_Month_wise/01_-_January/17/Walk_1976-01-17_MW-MAYAPUR.MP3" TargetMode="External"/><Relationship Id="rId5242" Type="http://schemas.openxmlformats.org/officeDocument/2006/relationships/hyperlink" Target="https://audio.iskcondesiretree.com/01_-_Srila_Prabhupada/01_-_Lectures/01_-_English/01_-_Topic_wise/Srimad_Bhagavatam/Canto-01/SP_SB_1-07-22_Vrindavan_1976-09-18_Material_Advancement-Suffering.mp3" TargetMode="External"/><Relationship Id="rId77" Type="http://schemas.openxmlformats.org/officeDocument/2006/relationships/hyperlink" Target="https://audio.iskcondesiretree.com/01_-_Srila_Prabhupada/01_-_Lectures/01_-_English/02_-_Month_wise/09_-_September/07/Bg_06-11_NY_1966-09-07_Yoga_System-Chant_the_Holy_etc.mp3" TargetMode="External"/><Relationship Id="rId808" Type="http://schemas.openxmlformats.org/officeDocument/2006/relationships/hyperlink" Target="https://audio.iskcondesiretree.com/01_-_Srila_Prabhupada/01_-_Lectures/01_-_English/01_-_Topic_wise/Nectar_Of_Devotion/SP_NOD_Vrindavan_1972-11-11_-_Engage_All_Beautiful_Women_in-etc.mp3" TargetMode="External"/><Relationship Id="rId1438" Type="http://schemas.openxmlformats.org/officeDocument/2006/relationships/hyperlink" Target="https://audio.iskcondesiretree.com/01_-_Srila_Prabhupada/01_-_Lectures/01_-_English/01_-_Topic_wise/Srimad_Bhagavatam/Canto-01/SP_SB_1-15-39_Los_Angeles_1973-12-17_Retirement_Timely_and_Transcendental.mp3" TargetMode="External"/><Relationship Id="rId1852" Type="http://schemas.openxmlformats.org/officeDocument/2006/relationships/hyperlink" Target="https://audio.iskcondesiretree.com/01_-_Srila_Prabhupada/01_-_Lectures/01_-_English/02_-_Month_wise/04_-_April/10/Bg_04-21_BOM_1974-04-10_A_Life_of_Purity.mp3" TargetMode="External"/><Relationship Id="rId2903" Type="http://schemas.openxmlformats.org/officeDocument/2006/relationships/hyperlink" Target="https://audio.iskcondesiretree.com/01_-_Srila_Prabhupada/01_-_Lectures/01_-_English/02_-_Month_wise/03_-_March/03/SB_3-12-19_DAL_1975-03-03_Entering_Krishna%27s_Family.mp3" TargetMode="External"/><Relationship Id="rId1505" Type="http://schemas.openxmlformats.org/officeDocument/2006/relationships/hyperlink" Target="https://audio.iskcondesiretree.com/01_-_Srila_Prabhupada/01_-_Lectures/01_-_English/02_-_Month_wise/01_-_January/09/SB_1-16-12_LA_1974-01-09_Rogues_and_Rascals_Cause_War.mp3" TargetMode="External"/><Relationship Id="rId6083" Type="http://schemas.openxmlformats.org/officeDocument/2006/relationships/hyperlink" Target="https://audio.iskcondesiretree.com/01_-_Srila_Prabhupada/01_-_Lectures/01_-_English/01_-_Topic_wise/Krishna_Book/SP_Krsna_Book_Dict_39_-_Akrura%27s_Return_Journey.mp3" TargetMode="External"/><Relationship Id="rId3677" Type="http://schemas.openxmlformats.org/officeDocument/2006/relationships/hyperlink" Target="https://audio.iskcondesiretree.com/01_-_Srila_Prabhupada/01_-_Lectures/01_-_English/02_-_Month_wise/08_-_August/19/SB-06-01-58%E2%80%93Hindi_1975-08-19_SB-BOMBAY.MP3" TargetMode="External"/><Relationship Id="rId4728" Type="http://schemas.openxmlformats.org/officeDocument/2006/relationships/hyperlink" Target="https://audio.iskcondesiretree.com/01_-_Srila_Prabhupada/01_-_Lectures/01_-_English/02_-_Month_wise/06_-_June/10/SB-06-01-44_1976-06-10_SB-LOS%20ANGELES.MP3" TargetMode="External"/><Relationship Id="rId598" Type="http://schemas.openxmlformats.org/officeDocument/2006/relationships/hyperlink" Target="https://audio.iskcondesiretree.com/01_-_Srila_Prabhupada/01_-_Lectures/01_-_English/01_-_Topic_wise/Srimad_Bhagavatam/Canto-02/SP_SB_2-03-18-19_Los_Angeles_1972-06-13_Hogs_Dogs_Camels_and_Asses.mp3" TargetMode="External"/><Relationship Id="rId2279" Type="http://schemas.openxmlformats.org/officeDocument/2006/relationships/hyperlink" Target="https://audio.iskcondesiretree.com/01_-_Srila_Prabhupada/01_-_Lectures/01_-_English/02_-_Month_wise/07_-_July/13/SB_1-16-23_LA_1974-07-13_Avatara_for_the_Already_Dead.mp3" TargetMode="External"/><Relationship Id="rId2693" Type="http://schemas.openxmlformats.org/officeDocument/2006/relationships/hyperlink" Target="https://audio.iskcondesiretree.com/01_-_Srila_Prabhupada/01_-_Lectures/01_-_English/02_-_Month_wise/01_-_January/12/SB-03-26-35%E2%80%9336_1975-01-12_SB-BOMBAY.MP3" TargetMode="External"/><Relationship Id="rId3744" Type="http://schemas.openxmlformats.org/officeDocument/2006/relationships/hyperlink" Target="https://audio.iskcondesiretree.com/01_-_Srila_Prabhupada/01_-_Lectures/01_-_English/02_-_Month_wise/09_-_September/09/Walk_1975-09-09_MW-VRNDAVAN.MP3" TargetMode="External"/><Relationship Id="rId6150" Type="http://schemas.openxmlformats.org/officeDocument/2006/relationships/hyperlink" Target="https://audio.iskcondesiretree.com/01_-_Srila_Prabhupada/01_-_Lectures/01_-_English/01_-_Topic_wise/Stories/SP_Story_26_Lady_carrying_sticks_on_head.mp3" TargetMode="External"/><Relationship Id="rId665" Type="http://schemas.openxmlformats.org/officeDocument/2006/relationships/hyperlink" Target="https://audio.iskcondesiretree.com/01_-_Srila_Prabhupada/01_-_Lectures/01_-_English/02_-_Month_wise/08_-_August/27/SB_1-02-24_LA_1972-08-27_How_to_See_the_Absolute_Truth.mp3" TargetMode="External"/><Relationship Id="rId1295" Type="http://schemas.openxmlformats.org/officeDocument/2006/relationships/hyperlink" Target="https://audio.iskcondesiretree.com/01_-_Srila_Prabhupada/01_-_Lectures/01_-_English/01_-_Topic_wise/Bhagavad_Gita/Chapter-13/SP_BG_13-05_Bombay_1973-09-28_The_Process_of_Progress.mp3" TargetMode="External"/><Relationship Id="rId2346" Type="http://schemas.openxmlformats.org/officeDocument/2006/relationships/hyperlink" Target="https://audio.iskcondesiretree.com/01_-_Srila_Prabhupada/01_-_Lectures/01_-_English/02_-_Month_wise/08_-_August/11/SB_1-05-30_VRN_1974-08-11_Mahatma_Speaks_in_Krishna%27s_Favor.mp3" TargetMode="External"/><Relationship Id="rId2760" Type="http://schemas.openxmlformats.org/officeDocument/2006/relationships/hyperlink" Target="https://audio.iskcondesiretree.com/01_-_Srila_Prabhupada/01_-_Lectures/01_-_English/02_-_Month_wise/02_-_Feburary/04/Bg_16-08_HAW_1975-02-04_Who_Is_Demon_and_Who_Is_Divine.mp3" TargetMode="External"/><Relationship Id="rId3811" Type="http://schemas.openxmlformats.org/officeDocument/2006/relationships/hyperlink" Target="https://audio.iskcondesiretree.com/01_-_Srila_Prabhupada/01_-_Lectures/01_-_English/02_-_Month_wise/10_-_October/03/MW_MAU_1975-10-03_The_Great_Ones-All_Rascals.mp3" TargetMode="External"/><Relationship Id="rId318" Type="http://schemas.openxmlformats.org/officeDocument/2006/relationships/hyperlink" Target="https://audio.iskcondesiretree.com/01_-_Srila_Prabhupada/01_-_Lectures/01_-_English/01_-_Topic_wise/Bhagavad_Gita/Chapter-02/SP_BG_02-40-45_Los_Angeles_1968-12-13_Material_vs._Spiritual_Culture.mp3" TargetMode="External"/><Relationship Id="rId732" Type="http://schemas.openxmlformats.org/officeDocument/2006/relationships/hyperlink" Target="https://audio.iskcondesiretree.com/01_-_Srila_Prabhupada/01_-_Lectures/01_-_English/01_-_Topic_wise/Nectar_Of_Devotion/SP_NOD_02_Vrindavan_1972-10-21_-_The_Complete_Science_of_Bhakti_Yoga.mp3" TargetMode="External"/><Relationship Id="rId1362" Type="http://schemas.openxmlformats.org/officeDocument/2006/relationships/hyperlink" Target="https://audio.iskcondesiretree.com/01_-_Srila_Prabhupada/01_-_Lectures/01_-_English/02_-_Month_wise/11_-_November/12/SB_1-02-06_DEL_1973-11-12_Toward_Perfect_Peace_of_Mind.mp3" TargetMode="External"/><Relationship Id="rId2413" Type="http://schemas.openxmlformats.org/officeDocument/2006/relationships/hyperlink" Target="https://audio.iskcondesiretree.com/01_-_Srila_Prabhupada/01_-_Lectures/01_-_English/01_-_Topic_wise/Srimad_Bhagavatam/Canto-01/SP_SB_1-08-25_Vrindavan_1974-10-05_Reincarnation-Very_Risky.mp3" TargetMode="External"/><Relationship Id="rId5569" Type="http://schemas.openxmlformats.org/officeDocument/2006/relationships/hyperlink" Target="https://audio.iskcondesiretree.com/01_-_Srila_Prabhupada/01_-_Lectures/01_-_English/01_-_Topic_wise/Morning_Walk/SP_Morning_Walk_-_Bombay_1977-01-08_About_Kumbha_Mela--Know_and_Do_What--etc.mp3" TargetMode="External"/><Relationship Id="rId1015" Type="http://schemas.openxmlformats.org/officeDocument/2006/relationships/hyperlink" Target="https://audio.iskcondesiretree.com/01_-_Srila_Prabhupada/01_-_Lectures/01_-_English/01_-_Topic_wise/Srimad_Bhagavatam/Canto-01/SP_SB_1-09-02_Los_Angeles_1973-05-16_The_Opulence_of_Krsna_Consciousness.mp3" TargetMode="External"/><Relationship Id="rId4585" Type="http://schemas.openxmlformats.org/officeDocument/2006/relationships/hyperlink" Target="https://audio.iskcondesiretree.com/01_-_Srila_Prabhupada/01_-_Lectures/01_-_English/02_-_Month_wise/05_-_May/10/SB-06-01-09_1976-05-10_SB-HONOLULU.MP3" TargetMode="External"/><Relationship Id="rId5983" Type="http://schemas.openxmlformats.org/officeDocument/2006/relationships/hyperlink" Target="https://audio.iskcondesiretree.com/01_-_Srila_Prabhupada/01_-_Lectures/01_-_English/02_-_Month_wise/11_-_November/02/Conv_1977-11-02_R5-VRNDAVAN.MP3" TargetMode="External"/><Relationship Id="rId3187" Type="http://schemas.openxmlformats.org/officeDocument/2006/relationships/hyperlink" Target="https://audio.iskcondesiretree.com/01_-_Srila_Prabhupada/01_-_Lectures/01_-_English/02_-_Month_wise/05_-_May/16/Conv_1975-05-16_R2-PERTH.MP3" TargetMode="External"/><Relationship Id="rId4238" Type="http://schemas.openxmlformats.org/officeDocument/2006/relationships/hyperlink" Target="https://audio.iskcondesiretree.com/01_-_Srila_Prabhupada/01_-_Lectures/01_-_English/01_-_Topic_wise/Srimad_Bhagavatam/Canto-07/SP_SB_7-09-08_Mayapur_1976-02-15_Hell_Heaven_or_Home--Decide.mp3" TargetMode="External"/><Relationship Id="rId5636" Type="http://schemas.openxmlformats.org/officeDocument/2006/relationships/hyperlink" Target="https://audio.iskcondesiretree.com/01_-_Srila_Prabhupada/01_-_Lectures/01_-_English/02_-_Month_wise/01_-_January/26/Address_1977-01-26_AD-PURI.MP3" TargetMode="External"/><Relationship Id="rId4652" Type="http://schemas.openxmlformats.org/officeDocument/2006/relationships/hyperlink" Target="https://audio.iskcondesiretree.com/01_-_Srila_Prabhupada/01_-_Lectures/01_-_English/01_-_Topic_wise/Srimad_Bhagavatam/Canto-06/SP_SB_6-01-27_Honolulu_1976-05-27_God_Is_Not_Dead-You_Are_Dead.mp3" TargetMode="External"/><Relationship Id="rId5703" Type="http://schemas.openxmlformats.org/officeDocument/2006/relationships/hyperlink" Target="https://audio.iskcondesiretree.com/01_-_Srila_Prabhupada/01_-_Lectures/01_-_English/01_-_Topic_wise/Room_Conversation/SP_Room_Conversation_Mayapur_1977-02-16_The_Secret_of_Safety.mp3" TargetMode="External"/><Relationship Id="rId175" Type="http://schemas.openxmlformats.org/officeDocument/2006/relationships/hyperlink" Target="https://audio.iskcondesiretree.com/01_-_Srila_Prabhupada/01_-_Lectures/01_-_English/01_-_Topic_wise/Chaitanya_Charitamrita/Madhya_Lila/SP_CC_M_20-294_New_York_1966-12-19_Lilavataras--No_End_to_Them.mp3" TargetMode="External"/><Relationship Id="rId3254" Type="http://schemas.openxmlformats.org/officeDocument/2006/relationships/hyperlink" Target="https://audio.iskcondesiretree.com/01_-_Srila_Prabhupada/01_-_Lectures/01_-_English/02_-_Month_wise/05_-_May/29/Walk_1975-05-29_MW-HONOLULU.MP3" TargetMode="External"/><Relationship Id="rId4305" Type="http://schemas.openxmlformats.org/officeDocument/2006/relationships/hyperlink" Target="https://audio.iskcondesiretree.com/01_-_Srila_Prabhupada/01_-_Lectures/01_-_English/02_-_Month_wise/03_-_March/01/Walk_1976-03-01_MW-MAYAPUR.MP3" TargetMode="External"/><Relationship Id="rId2270" Type="http://schemas.openxmlformats.org/officeDocument/2006/relationships/hyperlink" Target="https://audio.iskcondesiretree.com/01_-_Srila_Prabhupada/01_-_Lectures/01_-_English/02_-_Month_wise/07_-_July/12/SB-01-16-22_1974-07-12_SB-LOS%20ANGELES.MP3" TargetMode="External"/><Relationship Id="rId3321" Type="http://schemas.openxmlformats.org/officeDocument/2006/relationships/hyperlink" Target="https://audio.iskcondesiretree.com/01_-_Srila_Prabhupada/01_-_Lectures/01_-_English/02_-_Month_wise/06_-_June/18/Walk_1975-06-18_MW-HONOLULU.MP3" TargetMode="External"/><Relationship Id="rId242" Type="http://schemas.openxmlformats.org/officeDocument/2006/relationships/hyperlink" Target="https://audio.iskcondesiretree.com/01_-_Srila_Prabhupada/01_-_Lectures/01_-_English/01_-_Topic_wise/Srimad_Bhagavatam/Canto-07/SP_SB_7-06-06_Montreal_1968-06-23_Center_Society_on_Spiritual_Profit.mp3" TargetMode="External"/><Relationship Id="rId5079" Type="http://schemas.openxmlformats.org/officeDocument/2006/relationships/hyperlink" Target="https://audio.iskcondesiretree.com/01_-_Srila_Prabhupada/01_-_Lectures/01_-_English/02_-_Month_wise/08_-_August/09/RC_TEH_1976-08-09_Highly_Elevated_Vultures.mp3" TargetMode="External"/><Relationship Id="rId5493" Type="http://schemas.openxmlformats.org/officeDocument/2006/relationships/hyperlink" Target="https://audio.iskcondesiretree.com/01_-_Srila_Prabhupada/01_-_Lectures/01_-_English/01_-_Topic_wise/Bhagavad_Gita/Chapter-02/SP_BG_02-12_Hyderabad_1976-12-12_The_Minister_of_Defense_Has--etc.mp3" TargetMode="External"/><Relationship Id="rId1689" Type="http://schemas.openxmlformats.org/officeDocument/2006/relationships/hyperlink" Target="https://audio.iskcondesiretree.com/01_-_Srila_Prabhupada/01_-_Lectures/01_-_English/01_-_Topic_wise/Chaitanya_Charitamrita/Adi_Lila/SP_CC_A_07-07_Mayapur_1974-03-09_Krishna_Kills_the_Competition.mp3" TargetMode="External"/><Relationship Id="rId4095" Type="http://schemas.openxmlformats.org/officeDocument/2006/relationships/hyperlink" Target="https://audio.iskcondesiretree.com/01_-_Srila_Prabhupada/01_-_Lectures/01_-_English/02_-_Month_wise/12_-_December/16/MW_BOM_1975-12-16_Scholar-Deviation_from_Krishna.mp3" TargetMode="External"/><Relationship Id="rId5146" Type="http://schemas.openxmlformats.org/officeDocument/2006/relationships/hyperlink" Target="https://audio.iskcondesiretree.com/01_-_Srila_Prabhupada/01_-_Lectures/01_-_English/02_-_Month_wise/08_-_August/22/Bg-07-01_1976-08-22_BG-HYDERABAD.MP3" TargetMode="External"/><Relationship Id="rId5560" Type="http://schemas.openxmlformats.org/officeDocument/2006/relationships/hyperlink" Target="https://audio.iskcondesiretree.com/01_-_Srila_Prabhupada/01_-_Lectures/01_-_English/01_-_Topic_wise/Room_Conversation/SP_Room_Conversation_Bombay_1977-01-05_Krishna_Gives_Sincere_Right_Guru.mp3" TargetMode="External"/><Relationship Id="rId4162" Type="http://schemas.openxmlformats.org/officeDocument/2006/relationships/hyperlink" Target="https://audio.iskcondesiretree.com/01_-_Srila_Prabhupada/01_-_Lectures/01_-_English/02_-_Month_wise/01_-_January/05/SB-06-01-06_1976-01-05_SB-NELLORE.MP3" TargetMode="External"/><Relationship Id="rId5213" Type="http://schemas.openxmlformats.org/officeDocument/2006/relationships/hyperlink" Target="https://audio.iskcondesiretree.com/01_-_Srila_Prabhupada/01_-_Lectures/01_-_English/01_-_Topic_wise/Srimad_Bhagavatam/Canto-01/SP_SB_1-07-11_Vrindavan_1976-09-10_When_Madras_Is_Not_Bad.mp3" TargetMode="External"/><Relationship Id="rId1756" Type="http://schemas.openxmlformats.org/officeDocument/2006/relationships/hyperlink" Target="https://audio.iskcondesiretree.com/01_-_Srila_Prabhupada/01_-_Lectures/01_-_English/01_-_Topic_wise/Morning_Walk/SP_Morning_Walk_-_Bombay_1974-03-25.mp3" TargetMode="External"/><Relationship Id="rId2807" Type="http://schemas.openxmlformats.org/officeDocument/2006/relationships/hyperlink" Target="https://audio.iskcondesiretree.com/01_-_Srila_Prabhupada/01_-_Lectures/01_-_English/02_-_Month_wise/02_-_Feburary/15/Conv_1975-02-15_R1-MEXICO%20CITY.MP3" TargetMode="External"/><Relationship Id="rId48" Type="http://schemas.openxmlformats.org/officeDocument/2006/relationships/hyperlink" Target="https://audio.iskcondesiretree.com/01_-_Srila_Prabhupada/01_-_Lectures/01_-_English/01_-_Topic_wise/Bhagavad_Gita/Chapter-04/SP_BG_04-09_New_York_1966-07-25_Take_Assistance_From_A_Person--etc.mp3" TargetMode="External"/><Relationship Id="rId1409" Type="http://schemas.openxmlformats.org/officeDocument/2006/relationships/hyperlink" Target="https://audio.iskcondesiretree.com/01_-_Srila_Prabhupada/01_-_Lectures/01_-_English/02_-_Month_wise/12_-_December/09/RC_LA_1973-12-09_Prof-A_Little_Krishna_Consciousness_etc.mp3" TargetMode="External"/><Relationship Id="rId1823" Type="http://schemas.openxmlformats.org/officeDocument/2006/relationships/hyperlink" Target="https://audio.iskcondesiretree.com/01_-_Srila_Prabhupada/01_-_Lectures/01_-_English/01_-_Topic_wise/Bhagavad_Gita/Chapter-04/SP_BG_04-16_Bombay_1974-04-05_Today%27s_Education.mp3" TargetMode="External"/><Relationship Id="rId4979" Type="http://schemas.openxmlformats.org/officeDocument/2006/relationships/hyperlink" Target="https://audio.iskcondesiretree.com/01_-_Srila_Prabhupada/01_-_Lectures/01_-_English/01_-_Topic_wise/Interview/SP_Interview_New_York_1976-07-16_Press--Associated_Press--The--etc.mp3" TargetMode="External"/><Relationship Id="rId3995" Type="http://schemas.openxmlformats.org/officeDocument/2006/relationships/hyperlink" Target="https://audio.iskcondesiretree.com/01_-_Srila_Prabhupada/01_-_Lectures/01_-_English/02_-_Month_wise/11_-_November/16/Lect_BOM_1975-11-16_The_Covered_Margin_Uncovered.mp3" TargetMode="External"/><Relationship Id="rId2597" Type="http://schemas.openxmlformats.org/officeDocument/2006/relationships/hyperlink" Target="https://audio.iskcondesiretree.com/01_-_Srila_Prabhupada/01_-_Lectures/01_-_English/01_-_Topic_wise/Srimad_Bhagavatam/Canto-03/SP_SB_3-25-42_Bombay_1974-12-10_Don%27t_Take_Krishna_Lightly.mp3" TargetMode="External"/><Relationship Id="rId3648" Type="http://schemas.openxmlformats.org/officeDocument/2006/relationships/hyperlink" Target="https://audio.iskcondesiretree.com/01_-_Srila_Prabhupada/01_-_Lectures/01_-_English/02_-_Month_wise/08_-_August/06/Walk_1975-08-06_MW-DETROIT.MP3" TargetMode="External"/><Relationship Id="rId6054" Type="http://schemas.openxmlformats.org/officeDocument/2006/relationships/hyperlink" Target="https://audio.iskcondesiretree.com/01_-_Srila_Prabhupada/01_-_Lectures/01_-_English/01_-_Topic_wise/Krishna_Book/SP_Krsna_Book_Dict_06_-_Putana_Killed.mp3" TargetMode="External"/><Relationship Id="rId569" Type="http://schemas.openxmlformats.org/officeDocument/2006/relationships/hyperlink" Target="https://audio.iskcondesiretree.com/01_-_Srila_Prabhupada/01_-_Lectures/01_-_English/01_-_Topic_wise/Various/SP_Lecture_Los_Angeles_1972-05-18_Krishna-All_Attractive_Just_Imagine.mp3" TargetMode="External"/><Relationship Id="rId983" Type="http://schemas.openxmlformats.org/officeDocument/2006/relationships/hyperlink" Target="https://audio.iskcondesiretree.com/01_-_Srila_Prabhupada/01_-_Lectures/01_-_English/01_-_Topic_wise/Srimad_Bhagavatam/Canto-01/SP_SB_1-08-40_Los_Angeles_1973-05-02_By_Krishna%27s_Glance_All_Is_OK.mp3" TargetMode="External"/><Relationship Id="rId1199" Type="http://schemas.openxmlformats.org/officeDocument/2006/relationships/hyperlink" Target="https://audio.iskcondesiretree.com/01_-_Srila_Prabhupada/01_-_Lectures/01_-_English/02_-_Month_wise/08_-_August/21/Bg_02-15_LON_1973-08-21_Don%27t_Cheat_Others.mp3" TargetMode="External"/><Relationship Id="rId2664" Type="http://schemas.openxmlformats.org/officeDocument/2006/relationships/hyperlink" Target="https://audio.iskcondesiretree.com/01_-_Srila_Prabhupada/01_-_Lectures/01_-_English/01_-_Topic_wise/Srimad_Bhagavatam/Canto-03/SP_SB_3-26-25_Bombay_1975-01-02_Secret_of_Satisfying_Everyone.mp3" TargetMode="External"/><Relationship Id="rId5070" Type="http://schemas.openxmlformats.org/officeDocument/2006/relationships/hyperlink" Target="https://audio.iskcondesiretree.com/01_-_Srila_Prabhupada/01_-_Lectures/01_-_English/02_-_Month_wise/08_-_August/08/SB-03-22-19_1976-08-08_SB-TEHRAN.MP3" TargetMode="External"/><Relationship Id="rId6121" Type="http://schemas.openxmlformats.org/officeDocument/2006/relationships/hyperlink" Target="https://audio.iskcondesiretree.com/01_-_Srila_Prabhupada/01_-_Lectures/01_-_English/01_-_Topic_wise/Krishna_Book/SP_Krsna_Book_Dict_87_-_Prayers_by_the_Personified_Vedas.mp3" TargetMode="External"/><Relationship Id="rId636" Type="http://schemas.openxmlformats.org/officeDocument/2006/relationships/hyperlink" Target="https://audio.iskcondesiretree.com/01_-_Srila_Prabhupada/01_-_Lectures/01_-_English/02_-_Month_wise/07_-_July/01/Bg_07-01_SD_1972-07-01_Life%27s_Aim_Is_Self-Realization.mp3" TargetMode="External"/><Relationship Id="rId1266" Type="http://schemas.openxmlformats.org/officeDocument/2006/relationships/hyperlink" Target="https://audio.iskcondesiretree.com/01_-_Srila_Prabhupada/01_-_Lectures/01_-_English/01_-_Topic_wise/Bhagavad_Gita/Chapter-07/SP_BG_07-01_Stockholm_1973-09-08_At_University_What_Supreme--etc.mp3" TargetMode="External"/><Relationship Id="rId2317" Type="http://schemas.openxmlformats.org/officeDocument/2006/relationships/hyperlink" Target="https://audio.iskcondesiretree.com/01_-_Srila_Prabhupada/01_-_Lectures/01_-_English/01_-_Topic_wise/Srimad_Bhagavatam/Canto-01/SP_SB_1-05-24_Vrindavan_1974-08-05_Great_Devotee-Great_Discipline.mp3" TargetMode="External"/><Relationship Id="rId3715" Type="http://schemas.openxmlformats.org/officeDocument/2006/relationships/hyperlink" Target="https://audio.iskcondesiretree.com/01_-_Srila_Prabhupada/01_-_Lectures/01_-_English/02_-_Month_wise/09_-_September/03/SB-06-01-67_1975-09-03_SB-VRNDAVAN.MP3" TargetMode="External"/><Relationship Id="rId1680" Type="http://schemas.openxmlformats.org/officeDocument/2006/relationships/hyperlink" Target="https://audio.iskcondesiretree.com/01_-_Srila_Prabhupada/01_-_Lectures/01_-_English/02_-_Month_wise/03_-_March/05/Walk_1974-03-05_MW-MAYAPUR.MP3" TargetMode="External"/><Relationship Id="rId2731" Type="http://schemas.openxmlformats.org/officeDocument/2006/relationships/hyperlink" Target="https://audio.iskcondesiretree.com/01_-_Srila_Prabhupada/01_-_Lectures/01_-_English/01_-_Topic_wise/Bhagavad_Gita/Chapter-16/SP_BG_16-07_Tokyo_1975-01-27_Turning_Asuras_Into_Suras.mp3" TargetMode="External"/><Relationship Id="rId5887" Type="http://schemas.openxmlformats.org/officeDocument/2006/relationships/hyperlink" Target="https://audio.iskcondesiretree.com/01_-_Srila_Prabhupada/01_-_Lectures/01_-_English/02_-_Month_wise/06_-_June/26/Inspection_1977-06-26_GI-VRNDAVAN.MP3" TargetMode="External"/><Relationship Id="rId703" Type="http://schemas.openxmlformats.org/officeDocument/2006/relationships/hyperlink" Target="https://audio.iskcondesiretree.com/01_-_Srila_Prabhupada/01_-_Lectures/01_-_English/02_-_Month_wise/09_-_September/26/SB_1-03-21_LA_1972-09-26_Intelligent_Words_for_This_Age.mp3" TargetMode="External"/><Relationship Id="rId1333" Type="http://schemas.openxmlformats.org/officeDocument/2006/relationships/hyperlink" Target="https://audio.iskcondesiretree.com/01_-_Srila_Prabhupada/01_-_Lectures/01_-_English/01_-_Topic_wise/Bhagavad_Gita/Chapter-13/SP_BG_13-26_Bombay_1973-10-25_Birth_and_Death-_Transcending--etc.mp3" TargetMode="External"/><Relationship Id="rId4489" Type="http://schemas.openxmlformats.org/officeDocument/2006/relationships/hyperlink" Target="https://audio.iskcondesiretree.com/01_-_Srila_Prabhupada/01_-_Lectures/01_-_English/02_-_Month_wise/04_-_April/17/Conv_1976-04-17_R1-BOMBAY.MP3" TargetMode="External"/><Relationship Id="rId5954" Type="http://schemas.openxmlformats.org/officeDocument/2006/relationships/hyperlink" Target="https://audio.iskcondesiretree.com/01_-_Srila_Prabhupada/01_-_Lectures/01_-_English/02_-_Month_wise/10_-_October/17/Conv_1977-10-17_R1-VRNDAVAN.MP3" TargetMode="External"/><Relationship Id="rId1400" Type="http://schemas.openxmlformats.org/officeDocument/2006/relationships/hyperlink" Target="https://audio.iskcondesiretree.com/01_-_Srila_Prabhupada/01_-_Lectures/01_-_English/02_-_Month_wise/12_-_December/06/SB_1-15-28_LA_1973-12-06_Who_to_Meditate_On.mp3" TargetMode="External"/><Relationship Id="rId4556" Type="http://schemas.openxmlformats.org/officeDocument/2006/relationships/hyperlink" Target="https://audio.iskcondesiretree.com/01_-_Srila_Prabhupada/01_-_Lectures/01_-_English/02_-_Month_wise/05_-_May/02/Conv_1976-05-02_R1-FIJI.MP3" TargetMode="External"/><Relationship Id="rId4970" Type="http://schemas.openxmlformats.org/officeDocument/2006/relationships/hyperlink" Target="https://audio.iskcondesiretree.com/01_-_Srila_Prabhupada/01_-_Lectures/01_-_English/02_-_Month_wise/07_-_July/14/Interv_NY_1976-07-14_Press-Newsday_Magazine-In_Any_Language.mp3" TargetMode="External"/><Relationship Id="rId5607" Type="http://schemas.openxmlformats.org/officeDocument/2006/relationships/hyperlink" Target="https://audio.iskcondesiretree.com/01_-_Srila_Prabhupada/01_-_Lectures/01_-_English/02_-_Month_wise/01_-_January/21/Conv_1977-01-21_R1-BHUBANESWAR.MP3" TargetMode="External"/><Relationship Id="rId3158" Type="http://schemas.openxmlformats.org/officeDocument/2006/relationships/hyperlink" Target="https://audio.iskcondesiretree.com/01_-_Srila_Prabhupada/01_-_Lectures/01_-_English/01_-_Topic_wise/Morning_Walk/SP_Morning_Walk_-_Perth_1975-05-10.MP3" TargetMode="External"/><Relationship Id="rId3572" Type="http://schemas.openxmlformats.org/officeDocument/2006/relationships/hyperlink" Target="https://audio.iskcondesiretree.com/01_-_Srila_Prabhupada/01_-_Lectures/01_-_English/02_-_Month_wise/07_-_July/21/SB_6-01-40_SF_1975-07-21_God_Is_Krishna-Satan_Is_Maya.mp3" TargetMode="External"/><Relationship Id="rId4209" Type="http://schemas.openxmlformats.org/officeDocument/2006/relationships/hyperlink" Target="https://audio.iskcondesiretree.com/01_-_Srila_Prabhupada/01_-_Lectures/01_-_English/01_-_Topic_wise/Various/SP_Lecture_Mayapur_1976-02-05_Initiation_Sannyasa--Welfare_to_Others.mp3" TargetMode="External"/><Relationship Id="rId4623" Type="http://schemas.openxmlformats.org/officeDocument/2006/relationships/hyperlink" Target="https://audio.iskcondesiretree.com/01_-_Srila_Prabhupada/01_-_Lectures/01_-_English/02_-_Month_wise/05_-_May/19/SB-06-01-19_1976-05-19_SB-HONOLULU.MP3" TargetMode="External"/><Relationship Id="rId493" Type="http://schemas.openxmlformats.org/officeDocument/2006/relationships/hyperlink" Target="https://audio.iskcondesiretree.com/01_-_Srila_Prabhupada/01_-_Lectures/01_-_English/02_-_Month_wise/02_-_Feburary/18/Fest_LA_1970-02-18_Varaha_Appearance.mp3" TargetMode="External"/><Relationship Id="rId2174" Type="http://schemas.openxmlformats.org/officeDocument/2006/relationships/hyperlink" Target="https://audio.iskcondesiretree.com/01_-_Srila_Prabhupada/01_-_Lectures/01_-_English/01_-_Topic_wise/Bhagavad_Gita/Chapter-02/SP_BG_02-14_Germany_1974-06-21_Our_Real_Business.mp3" TargetMode="External"/><Relationship Id="rId3225" Type="http://schemas.openxmlformats.org/officeDocument/2006/relationships/hyperlink" Target="https://audio.iskcondesiretree.com/01_-_Srila_Prabhupada/01_-_Lectures/01_-_English/01_-_Topic_wise/Room_Conversation/SP_Room_Conversation_Melbourne_1975-05-22_Lawyers--If_One_Doesn%27t_Know_What--etc.mp3" TargetMode="External"/><Relationship Id="rId146" Type="http://schemas.openxmlformats.org/officeDocument/2006/relationships/hyperlink" Target="https://audio.iskcondesiretree.com/01_-_Srila_Prabhupada/01_-_Lectures/01_-_English/01_-_Topic_wise/Bhagavad_Gita/Chapter-09/SP_BG_09-18-19_New_York_1966-12-04_One_Should_Directly_Approach_Krishna.mp3" TargetMode="External"/><Relationship Id="rId560" Type="http://schemas.openxmlformats.org/officeDocument/2006/relationships/hyperlink" Target="https://audio.iskcondesiretree.com/01_-_Srila_Prabhupada/01_-_Lectures/01_-_English/01_-_Topic_wise/Bhagavad_Gita/Chapter-16/SP_BG_16-05_Calcutta_1972-02-23_Some_Way_or_Other_Become--etc.mp3" TargetMode="External"/><Relationship Id="rId1190" Type="http://schemas.openxmlformats.org/officeDocument/2006/relationships/hyperlink" Target="https://audio.iskcondesiretree.com/01_-_Srila_Prabhupada/01_-_Lectures/01_-_English/01_-_Topic_wise/Bhagavad_Gita/Chapter-02/SP_BG_02-13_London_1973-08-19_I_Am_Not_This_Cage.mp3" TargetMode="External"/><Relationship Id="rId2241" Type="http://schemas.openxmlformats.org/officeDocument/2006/relationships/hyperlink" Target="https://audio.iskcondesiretree.com/01_-_Srila_Prabhupada/01_-_Lectures/01_-_English/01_-_Topic_wise/Interview/SP_Interview_Chicago_1974-07-04_Envious_Reporter.mp3" TargetMode="External"/><Relationship Id="rId5397" Type="http://schemas.openxmlformats.org/officeDocument/2006/relationships/hyperlink" Target="https://audio.iskcondesiretree.com/01_-_Srila_Prabhupada/01_-_Lectures/01_-_English/02_-_Month_wise/11_-_November/08/SB_5-05-20_VRN_1976-11-08_Whole_Planet_Belongs_to_Krishna.mp3" TargetMode="External"/><Relationship Id="rId213" Type="http://schemas.openxmlformats.org/officeDocument/2006/relationships/hyperlink" Target="https://audio.iskcondesiretree.com/01_-_Srila_Prabhupada/01_-_Lectures/01_-_English/02_-_Month_wise/01_-_January/10/Cc_M_22-014_NY_1967-01-10_Nitya-baddhas_Nitya-muktas.mp3" TargetMode="External"/><Relationship Id="rId4066" Type="http://schemas.openxmlformats.org/officeDocument/2006/relationships/hyperlink" Target="https://audio.iskcondesiretree.com/01_-_Srila_Prabhupada/01_-_Lectures/01_-_English/01_-_Topic_wise/Srimad_Bhagavatam/Canto-07/SP_SB_7-06-07_Vrindavan_1975-12-09_We%27re_Taking_Death_As_Life.mp3" TargetMode="External"/><Relationship Id="rId5464" Type="http://schemas.openxmlformats.org/officeDocument/2006/relationships/hyperlink" Target="https://audio.iskcondesiretree.com/01_-_Srila_Prabhupada/01_-_Lectures/01_-_English/01_-_Topic_wise/Srimad_Bhagavatam/Canto-05/SP_SB_5-06-07_Vrindavan_1976-11-29_Mayavadis_Think_Krishna_Is_Maya.mp3" TargetMode="External"/><Relationship Id="rId4480" Type="http://schemas.openxmlformats.org/officeDocument/2006/relationships/hyperlink" Target="https://audio.iskcondesiretree.com/01_-_Srila_Prabhupada/01_-_Lectures/01_-_English/02_-_Month_wise/04_-_April/15/SB-07-12-04_1976-04-15_SB-BOMBAY.MP3" TargetMode="External"/><Relationship Id="rId5117" Type="http://schemas.openxmlformats.org/officeDocument/2006/relationships/hyperlink" Target="https://audio.iskcondesiretree.com/01_-_Srila_Prabhupada/01_-_Lectures/01_-_English/02_-_Month_wise/08_-_August/16/Conv_1976-08-16_R1-HYDERABAD.MP3" TargetMode="External"/><Relationship Id="rId5531" Type="http://schemas.openxmlformats.org/officeDocument/2006/relationships/hyperlink" Target="https://audio.iskcondesiretree.com/01_-_Srila_Prabhupada/01_-_Lectures/01_-_English/02_-_Month_wise/12_-_December/27/Conv_1976-12-27_R1-BOMBAY.MP3" TargetMode="External"/><Relationship Id="rId1727" Type="http://schemas.openxmlformats.org/officeDocument/2006/relationships/hyperlink" Target="https://audio.iskcondesiretree.com/01_-_Srila_Prabhupada/01_-_Lectures/01_-_English/02_-_Month_wise/03_-_March/17/SB_2-01-02_VRN_1974-03-17_The_Self-Aware_Command_Respect.mp3" TargetMode="External"/><Relationship Id="rId3082" Type="http://schemas.openxmlformats.org/officeDocument/2006/relationships/hyperlink" Target="https://audio.iskcondesiretree.com/01_-_Srila_Prabhupada/01_-_Lectures/01_-_English/02_-_Month_wise/04_-_April/10/SB-05-05-01_1975-04-10_SB-HYDERABAD.MP3" TargetMode="External"/><Relationship Id="rId4133" Type="http://schemas.openxmlformats.org/officeDocument/2006/relationships/hyperlink" Target="https://audio.iskcondesiretree.com/01_-_Srila_Prabhupada/01_-_Lectures/01_-_English/02_-_Month_wise/12_-_December/26/RC_SAN_1975-12-26_Hampered_Enjoyment.mp3" TargetMode="External"/><Relationship Id="rId19" Type="http://schemas.openxmlformats.org/officeDocument/2006/relationships/hyperlink" Target="https://audio.iskcondesiretree.com/01_-_Srila_Prabhupada/01_-_Lectures/01_-_English/02_-_Month_wise/03_-_March/25/SB_1-02-17_NY_1966-03-25_Krishna_Is_Omnipotent.mp3" TargetMode="External"/><Relationship Id="rId3899" Type="http://schemas.openxmlformats.org/officeDocument/2006/relationships/hyperlink" Target="https://audio.iskcondesiretree.com/01_-_Srila_Prabhupada/01_-_Lectures/01_-_English/02_-_Month_wise/10_-_October/20/SB-05-05-01_1975-10-20_SB-JOHANNESBURG.MP3" TargetMode="External"/><Relationship Id="rId4200" Type="http://schemas.openxmlformats.org/officeDocument/2006/relationships/hyperlink" Target="https://audio.iskcondesiretree.com/01_-_Srila_Prabhupada/01_-_Lectures/01_-_English/02_-_Month_wise/01_-_January/23/Walk_1976-01-23_MW-MAYAPUR.MP3" TargetMode="External"/><Relationship Id="rId3966" Type="http://schemas.openxmlformats.org/officeDocument/2006/relationships/hyperlink" Target="https://audio.iskcondesiretree.com/01_-_Srila_Prabhupada/01_-_Lectures/01_-_English/02_-_Month_wise/11_-_November/08/MW_BOM_1975-11-08_So-Called_Knowledge_Is_Useless.mp3" TargetMode="External"/><Relationship Id="rId6025" Type="http://schemas.openxmlformats.org/officeDocument/2006/relationships/hyperlink" Target="https://audio.iskcondesiretree.com/01_-_Srila_Prabhupada/01_-_Lectures/01_-_English/02_-_Month_wise/11_-_November/14/PrabhupadaVigil_1977-11-14_VG-VRNDAVAN.MP3" TargetMode="External"/><Relationship Id="rId3" Type="http://schemas.openxmlformats.org/officeDocument/2006/relationships/hyperlink" Target="https://audio.iskcondesiretree.com/01_-_Srila_Prabhupada/01_-_Lectures/01_-_English/01_-_Topic_wise/Bhagavad_Gita/More/SP_BG_00-03_New_York_1966-02-19_-20_Intro_3_to_Bhagavad_Gita.mp3" TargetMode="External"/><Relationship Id="rId887" Type="http://schemas.openxmlformats.org/officeDocument/2006/relationships/hyperlink" Target="https://audio.iskcondesiretree.com/01_-_Srila_Prabhupada/01_-_Lectures/01_-_English/02_-_Month_wise/01_-_January/04/NOD_Pg-13_BOM_1973-01-04_Without_KC_There_Cannot_Be_Bliss.mp3" TargetMode="External"/><Relationship Id="rId2568" Type="http://schemas.openxmlformats.org/officeDocument/2006/relationships/hyperlink" Target="https://audio.iskcondesiretree.com/01_-_Srila_Prabhupada/01_-_Lectures/01_-_English/02_-_Month_wise/11_-_November/30/SB-03-25-30_1974-11-30_SB-BOMBAY.MP3" TargetMode="External"/><Relationship Id="rId2982" Type="http://schemas.openxmlformats.org/officeDocument/2006/relationships/hyperlink" Target="https://audio.iskcondesiretree.com/01_-_Srila_Prabhupada/01_-_Lectures/01_-_English/02_-_Month_wise/03_-_March/23/Arrival_1975-03-23_AR-MAYAPUR.MP3" TargetMode="External"/><Relationship Id="rId3619" Type="http://schemas.openxmlformats.org/officeDocument/2006/relationships/hyperlink" Target="https://audio.iskcondesiretree.com/01_-_Srila_Prabhupada/01_-_Lectures/01_-_English/02_-_Month_wise/07_-_July/31/Walk_1975-07-31_MW-DALLAS.MP3" TargetMode="External"/><Relationship Id="rId5041" Type="http://schemas.openxmlformats.org/officeDocument/2006/relationships/hyperlink" Target="https://audio.iskcondesiretree.com/01_-_Srila_Prabhupada/01_-_Lectures/01_-_English/01_-_Topic_wise/Room_Conversation/SP_Room_Conversation_Paris_1976-08-02_Gurukula_Teachers.mp3" TargetMode="External"/><Relationship Id="rId954" Type="http://schemas.openxmlformats.org/officeDocument/2006/relationships/hyperlink" Target="https://audio.iskcondesiretree.com/01_-_Srila_Prabhupada/01_-_Lectures/01_-_English/02_-_Month_wise/04_-_April/18/SB_1-08-26_LA_1973-04-18_Krishna_Conscious_Communism.mp3" TargetMode="External"/><Relationship Id="rId1584" Type="http://schemas.openxmlformats.org/officeDocument/2006/relationships/hyperlink" Target="https://audio.iskcondesiretree.com/01_-_Srila_Prabhupada/01_-_Lectures/01_-_English/02_-_Month_wise/01_-_January/31/Bg-07-01%E2%80%9305_1974-01-31_BG-HONG%20KONG.MP3" TargetMode="External"/><Relationship Id="rId2635" Type="http://schemas.openxmlformats.org/officeDocument/2006/relationships/hyperlink" Target="https://audio.iskcondesiretree.com/01_-_Srila_Prabhupada/01_-_Lectures/01_-_English/02_-_Month_wise/12_-_December/22/SB_3-26-10_BOM_1974-12-22_The_World_not_God_Is_Impersonal.mp3" TargetMode="External"/><Relationship Id="rId607" Type="http://schemas.openxmlformats.org/officeDocument/2006/relationships/hyperlink" Target="https://audio.iskcondesiretree.com/01_-_Srila_Prabhupada/01_-_Lectures/01_-_English/02_-_Month_wise/06_-_June/16/SB_2-03-20_LA_1972-06-16_Ear_Holes_Like_Snake_Holes.mp3" TargetMode="External"/><Relationship Id="rId1237" Type="http://schemas.openxmlformats.org/officeDocument/2006/relationships/hyperlink" Target="https://audio.iskcondesiretree.com/01_-_Srila_Prabhupada/01_-_Lectures/01_-_English/02_-_Month_wise/08_-_August/31/RC_LON_1973-08-31_God_Is_One-Is_Religion_Two.mp3" TargetMode="External"/><Relationship Id="rId1651" Type="http://schemas.openxmlformats.org/officeDocument/2006/relationships/hyperlink" Target="https://audio.iskcondesiretree.com/01_-_Srila_Prabhupada/01_-_Lectures/01_-_English/01_-_Topic_wise/Morning_Walk/SP_Morning_Walk_-_Bombay_1974-02-25.mp3" TargetMode="External"/><Relationship Id="rId2702" Type="http://schemas.openxmlformats.org/officeDocument/2006/relationships/hyperlink" Target="https://audio.iskcondesiretree.com/01_-_Srila_Prabhupada/01_-_Lectures/01_-_English/02_-_Month_wise/01_-_January/16/SB-03-26-41_1975-01-16_SB-BOMBAY.MP3" TargetMode="External"/><Relationship Id="rId5858" Type="http://schemas.openxmlformats.org/officeDocument/2006/relationships/hyperlink" Target="https://audio.iskcondesiretree.com/01_-_Srila_Prabhupada/01_-_Lectures/01_-_English/02_-_Month_wise/05_-_May/22/Conv_1977-05-22_R1-VRNDAVAN.MP3" TargetMode="External"/><Relationship Id="rId1304" Type="http://schemas.openxmlformats.org/officeDocument/2006/relationships/hyperlink" Target="https://audio.iskcondesiretree.com/01_-_Srila_Prabhupada/01_-_Lectures/01_-_English/02_-_Month_wise/10_-_October/04/RC_BOM_1973-10-04_Evolving_Toward_Perfection.mp3" TargetMode="External"/><Relationship Id="rId4874" Type="http://schemas.openxmlformats.org/officeDocument/2006/relationships/hyperlink" Target="https://audio.iskcondesiretree.com/01_-_Srila_Prabhupada/01_-_Lectures/01_-_English/01_-_Topic_wise/Room_Conversation/SP_Room_Conversation_Washington_DC_1976-07-02_Prabhupada_Respecting_Prasadam--We--etc.mp3" TargetMode="External"/><Relationship Id="rId3476" Type="http://schemas.openxmlformats.org/officeDocument/2006/relationships/hyperlink" Target="https://audio.iskcondesiretree.com/01_-_Srila_Prabhupada/01_-_Lectures/01_-_English/02_-_Month_wise/07_-_July/09/RC_CHI_1975-07-09_Can_You_Pass_a_Resolution.mp3" TargetMode="External"/><Relationship Id="rId4527" Type="http://schemas.openxmlformats.org/officeDocument/2006/relationships/hyperlink" Target="https://audio.iskcondesiretree.com/01_-_Srila_Prabhupada/01_-_Lectures/01_-_English/02_-_Month_wise/04_-_April/23/Initiations_1976-04-23_IN-MELBOURNE.MP3" TargetMode="External"/><Relationship Id="rId5925" Type="http://schemas.openxmlformats.org/officeDocument/2006/relationships/hyperlink" Target="https://audio.iskcondesiretree.com/01_-_Srila_Prabhupada/01_-_Lectures/01_-_English/02_-_Month_wise/08_-_August/10/Conv_1977-08-10_R1-VRNDAVAN.MP3" TargetMode="External"/><Relationship Id="rId10" Type="http://schemas.openxmlformats.org/officeDocument/2006/relationships/hyperlink" Target="https://audio.iskcondesiretree.com/01_-_Srila_Prabhupada/01_-_Lectures/01_-_English/02_-_Month_wise/03_-_March/02/Bg_02-07_NY_1966-03-02_Part_3_The_Unavoidable_Battle_etc.mp3" TargetMode="External"/><Relationship Id="rId397" Type="http://schemas.openxmlformats.org/officeDocument/2006/relationships/hyperlink" Target="https://audio.iskcondesiretree.com/01_-_Srila_Prabhupada/01_-_Lectures/01_-_English/01_-_Topic_wise/Various/SP_Lecture_New_York_1969-04-11_One_Who_Does_Not_Understand--etc.mp3" TargetMode="External"/><Relationship Id="rId2078" Type="http://schemas.openxmlformats.org/officeDocument/2006/relationships/hyperlink" Target="https://audio.iskcondesiretree.com/01_-_Srila_Prabhupada/01_-_Lectures/01_-_English/02_-_Month_wise/06_-_June/08/MW_GEN_1974-06-08_The_Meaning_of_Marriage.mp3" TargetMode="External"/><Relationship Id="rId2492" Type="http://schemas.openxmlformats.org/officeDocument/2006/relationships/hyperlink" Target="https://audio.iskcondesiretree.com/01_-_Srila_Prabhupada/01_-_Lectures/01_-_English/02_-_Month_wise/11_-_November/04/SB-03-25-04_1974-11-04_SB-BOMBAY.MP3" TargetMode="External"/><Relationship Id="rId3129" Type="http://schemas.openxmlformats.org/officeDocument/2006/relationships/hyperlink" Target="https://audio.iskcondesiretree.com/01_-_Srila_Prabhupada/01_-_Lectures/01_-_English/02_-_Month_wise/04_-_April/20/CcMadhya-19-053_1975-04-20_SP-VRNDAVAN.MP3" TargetMode="External"/><Relationship Id="rId3890" Type="http://schemas.openxmlformats.org/officeDocument/2006/relationships/hyperlink" Target="https://audio.iskcondesiretree.com/01_-_Srila_Prabhupada/01_-_Lectures/01_-_English/02_-_Month_wise/10_-_October/18/MW_JOH_1975-10-18_Modern_Education_Makes_Asses.mp3" TargetMode="External"/><Relationship Id="rId4941" Type="http://schemas.openxmlformats.org/officeDocument/2006/relationships/hyperlink" Target="https://audio.iskcondesiretree.com/01_-_Srila_Prabhupada/01_-_Lectures/01_-_English/02_-_Month_wise/07_-_July/10/CcMadhya-20-104_1976-07-10_CC-NEW%20YORK.MP3" TargetMode="External"/><Relationship Id="rId464" Type="http://schemas.openxmlformats.org/officeDocument/2006/relationships/hyperlink" Target="https://audio.iskcondesiretree.com/01_-_Srila_Prabhupada/01_-_Lectures/01_-_English/01_-_Topic_wise/Festivals/SP_Festivals_Hamburg_1969-09-05_Vyasa-puja.mp3" TargetMode="External"/><Relationship Id="rId1094" Type="http://schemas.openxmlformats.org/officeDocument/2006/relationships/hyperlink" Target="https://audio.iskcondesiretree.com/01_-_Srila_Prabhupada/01_-_Lectures/01_-_English/01_-_Topic_wise/Bhagavad_Gita/Chapter-01/SP_BG_01-21_London_1973-07-18_Fallible_%26_Infallible_Religion.mp3" TargetMode="External"/><Relationship Id="rId2145" Type="http://schemas.openxmlformats.org/officeDocument/2006/relationships/hyperlink" Target="https://audio.iskcondesiretree.com/01_-_Srila_Prabhupada/01_-_Lectures/01_-_English/02_-_Month_wise/06_-_June/15/RC_PAR_1974-06-15_About_Kali-yuga_In_the_etc.mp3" TargetMode="External"/><Relationship Id="rId3543" Type="http://schemas.openxmlformats.org/officeDocument/2006/relationships/hyperlink" Target="https://audio.iskcondesiretree.com/01_-_Srila_Prabhupada/01_-_Lectures/01_-_English/02_-_Month_wise/07_-_July/17/SB-06-01-32_1975-07-17_SB-SAN%20FRANCISCO.MP3" TargetMode="External"/><Relationship Id="rId117" Type="http://schemas.openxmlformats.org/officeDocument/2006/relationships/hyperlink" Target="https://audio.iskcondesiretree.com/01_-_Srila_Prabhupada/01_-_Lectures/01_-_English/01_-_Topic_wise/Chaitanya_Charitamrita/Madhya_Lila/SP_CC_M_20-118_New_York_1966-11-23_Material_Infection_Equals--etc.mp3" TargetMode="External"/><Relationship Id="rId3610" Type="http://schemas.openxmlformats.org/officeDocument/2006/relationships/hyperlink" Target="https://audio.iskcondesiretree.com/01_-_Srila_Prabhupada/01_-_Lectures/01_-_English/02_-_Month_wise/07_-_July/29/Walk_1975-07-29_MW-DALLAS.MP3" TargetMode="External"/><Relationship Id="rId531" Type="http://schemas.openxmlformats.org/officeDocument/2006/relationships/hyperlink" Target="https://audio.iskcondesiretree.com/01_-_Srila_Prabhupada/01_-_Lectures/01_-_English/02_-_Month_wise/05_-_May/28/Lect_LA_1971-05-28_The_Most_Wonderful_Thing_And_One_etc.mp3" TargetMode="External"/><Relationship Id="rId1161" Type="http://schemas.openxmlformats.org/officeDocument/2006/relationships/hyperlink" Target="https://audio.iskcondesiretree.com/01_-_Srila_Prabhupada/01_-_Lectures/01_-_English/02_-_Month_wise/08_-_August/10/RC_PAR_1973-08-10_Daughter_of_French_Author-Doggish_Knowledge.mp3" TargetMode="External"/><Relationship Id="rId2212" Type="http://schemas.openxmlformats.org/officeDocument/2006/relationships/hyperlink" Target="https://audio.iskcondesiretree.com/01_-_Srila_Prabhupada/01_-_Lectures/01_-_English/01_-_Topic_wise/Room_Conversation/SP_Room_Conversation_Melbourne_1974-06-29_Transcendental_Psychiatry.mp3" TargetMode="External"/><Relationship Id="rId5368" Type="http://schemas.openxmlformats.org/officeDocument/2006/relationships/hyperlink" Target="https://audio.iskcondesiretree.com/01_-_Srila_Prabhupada/01_-_Lectures/01_-_English/02_-_Month_wise/11_-_November/02/SB-05-05-14_1976-11-02_SB-VRNDAVAN.MP3" TargetMode="External"/><Relationship Id="rId5782" Type="http://schemas.openxmlformats.org/officeDocument/2006/relationships/hyperlink" Target="https://audio.iskcondesiretree.com/01_-_Srila_Prabhupada/01_-_Lectures/01_-_English/02_-_Month_wise/03_-_March/31/Conv_1977-03-31_R3-BOMBAY.MP3" TargetMode="External"/><Relationship Id="rId1978" Type="http://schemas.openxmlformats.org/officeDocument/2006/relationships/hyperlink" Target="https://audio.iskcondesiretree.com/01_-_Srila_Prabhupada/01_-_Lectures/01_-_English/02_-_Month_wise/05_-_May/24/MW_ROM_1974-05-24_Relief-Only_for_First-class_Devotees.mp3" TargetMode="External"/><Relationship Id="rId4384" Type="http://schemas.openxmlformats.org/officeDocument/2006/relationships/hyperlink" Target="https://audio.iskcondesiretree.com/01_-_Srila_Prabhupada/01_-_Lectures/01_-_English/02_-_Month_wise/03_-_March/18/Walk_1976-03-18_MW-MAYAPUR.MP3" TargetMode="External"/><Relationship Id="rId5435" Type="http://schemas.openxmlformats.org/officeDocument/2006/relationships/hyperlink" Target="https://audio.iskcondesiretree.com/01_-_Srila_Prabhupada/01_-_Lectures/01_-_English/01_-_Topic_wise/Srimad_Bhagavatam/Canto-05/SP_SB_5-05-32_Vrindavan_1976-11-19_Krishna_Movement_Can%27t_Be_Killed.mp3" TargetMode="External"/><Relationship Id="rId4037" Type="http://schemas.openxmlformats.org/officeDocument/2006/relationships/hyperlink" Target="https://audio.iskcondesiretree.com/01_-_Srila_Prabhupada/01_-_Lectures/01_-_English/02_-_Month_wise/11_-_November/30/Walk_1975-11-30_MW-DELHI.MP3" TargetMode="External"/><Relationship Id="rId4451" Type="http://schemas.openxmlformats.org/officeDocument/2006/relationships/hyperlink" Target="https://audio.iskcondesiretree.com/01_-_Srila_Prabhupada/01_-_Lectures/01_-_English/01_-_Topic_wise/Srimad_Bhagavatam/Canto-07/SP_SB_7-09-54_Vrindavan_1976-04-09_New_Orleans_More_Wanting.mp3" TargetMode="External"/><Relationship Id="rId5502" Type="http://schemas.openxmlformats.org/officeDocument/2006/relationships/hyperlink" Target="https://audio.iskcondesiretree.com/01_-_Srila_Prabhupada/01_-_Lectures/01_-_English/02_-_Month_wise/12_-_December/14/Bg_16-07_HYD_1976-12-14_The_Path_of_No.mp3" TargetMode="External"/><Relationship Id="rId3053" Type="http://schemas.openxmlformats.org/officeDocument/2006/relationships/hyperlink" Target="https://audio.iskcondesiretree.com/01_-_Srila_Prabhupada/01_-_Lectures/01_-_English/01_-_Topic_wise/Chaitanya_Charitamrita/Adi_Lila/SP_CC_A_01-12_Mayapur_1975-04-05_Big_Chunk-Big_Chumps-Big_Controller.mp3" TargetMode="External"/><Relationship Id="rId4104" Type="http://schemas.openxmlformats.org/officeDocument/2006/relationships/hyperlink" Target="https://audio.iskcondesiretree.com/01_-_Srila_Prabhupada/01_-_Lectures/01_-_English/02_-_Month_wise/12_-_December/19/Walk_1975-12-19_MW-BOMBAY.MP3" TargetMode="External"/><Relationship Id="rId3120" Type="http://schemas.openxmlformats.org/officeDocument/2006/relationships/hyperlink" Target="https://audio.iskcondesiretree.com/01_-_Srila_Prabhupada/01_-_Lectures/01_-_English/01_-_Topic_wise/Srimad_Bhagavatam/Canto-01/SP_SB_1-07-06_Vrindavan_1975-04-18_Unwanted_Nonsense-and_Freedom.mp3" TargetMode="External"/><Relationship Id="rId2886" Type="http://schemas.openxmlformats.org/officeDocument/2006/relationships/hyperlink" Target="https://audio.iskcondesiretree.com/01_-_Srila_Prabhupada/01_-_Lectures/01_-_English/01_-_Topic_wise/Festivals/SP_Festivals_Atlanta_1975-03-02_On_the_Appearance_Day_of_Srila--etc.mp3" TargetMode="External"/><Relationship Id="rId3937" Type="http://schemas.openxmlformats.org/officeDocument/2006/relationships/hyperlink" Target="https://audio.iskcondesiretree.com/01_-_Srila_Prabhupada/01_-_Lectures/01_-_English/02_-_Month_wise/10_-_October/29/Walk_1975-10-29_MW-NAIROBI.MP3" TargetMode="External"/><Relationship Id="rId5292" Type="http://schemas.openxmlformats.org/officeDocument/2006/relationships/hyperlink" Target="https://audio.iskcondesiretree.com/01_-_Srila_Prabhupada/01_-_Lectures/01_-_English/02_-_Month_wise/10_-_October/02/SB_1-07-41_VRN_1976-10-02_Servant_of_Servant_of_Servant.mp3" TargetMode="External"/><Relationship Id="rId858" Type="http://schemas.openxmlformats.org/officeDocument/2006/relationships/hyperlink" Target="https://audio.iskcondesiretree.com/01_-_Srila_Prabhupada/01_-_Lectures/01_-_English/01_-_Topic_wise/Bhagavad_Gita/Chapter-18/SP_BG_18-67_Ahmedabad_1972-12-09_What_Will_Max_Muller--etc.mp3" TargetMode="External"/><Relationship Id="rId1488" Type="http://schemas.openxmlformats.org/officeDocument/2006/relationships/hyperlink" Target="https://audio.iskcondesiretree.com/01_-_Srila_Prabhupada/01_-_Lectures/01_-_English/02_-_Month_wise/01_-_January/05/SB_1-16-08_LA_1974-01-05_How_to_Stop_Death.mp3" TargetMode="External"/><Relationship Id="rId2539" Type="http://schemas.openxmlformats.org/officeDocument/2006/relationships/hyperlink" Target="https://audio.iskcondesiretree.com/01_-_Srila_Prabhupada/01_-_Lectures/01_-_English/01_-_Topic_wise/Srimad_Bhagavatam/Canto-03/SP_SB_3-25-21_Bombay_1974-11-21_The_Sadhu%27s_Symptoms.mp3" TargetMode="External"/><Relationship Id="rId2953" Type="http://schemas.openxmlformats.org/officeDocument/2006/relationships/hyperlink" Target="https://audio.iskcondesiretree.com/01_-_Srila_Prabhupada/01_-_Lectures/01_-_English/02_-_Month_wise/03_-_March/13/Conv_1975-03-13_R2-TEHRAN.MP3" TargetMode="External"/><Relationship Id="rId925" Type="http://schemas.openxmlformats.org/officeDocument/2006/relationships/hyperlink" Target="https://audio.iskcondesiretree.com/01_-_Srila_Prabhupada/01_-_Lectures/01_-_English/02_-_Month_wise/02_-_Feburary/20/SB_1-01-19_AUC_1973-02-20_The_Acharya_Knows_How_to_etc.mp3" TargetMode="External"/><Relationship Id="rId1555" Type="http://schemas.openxmlformats.org/officeDocument/2006/relationships/hyperlink" Target="https://audio.iskcondesiretree.com/01_-_Srila_Prabhupada/01_-_Lectures/01_-_English/02_-_Month_wise/01_-_January/20/Walk_1974-01-20_MW-HONOLULU.MP3" TargetMode="External"/><Relationship Id="rId2606" Type="http://schemas.openxmlformats.org/officeDocument/2006/relationships/hyperlink" Target="https://audio.iskcondesiretree.com/01_-_Srila_Prabhupada/01_-_Lectures/01_-_English/01_-_Topic_wise/Srimad_Bhagavatam/Canto-03/SP_SB_3-26-01_Bombay_1974-12-13_Getting_Uncontaminated.mp3" TargetMode="External"/><Relationship Id="rId5012" Type="http://schemas.openxmlformats.org/officeDocument/2006/relationships/hyperlink" Target="https://audio.iskcondesiretree.com/01_-_Srila_Prabhupada/01_-_Lectures/01_-_English/02_-_Month_wise/07_-_July/23/Interv_LON_1976-07-23_Press-Lon._Observer_Sentiment_etc.mp3" TargetMode="External"/><Relationship Id="rId1208" Type="http://schemas.openxmlformats.org/officeDocument/2006/relationships/hyperlink" Target="https://audio.iskcondesiretree.com/01_-_Srila_Prabhupada/01_-_Lectures/01_-_English/02_-_Month_wise/08_-_August/22/Fest_LON_1973-08-22_Vyasa-puja--Thanks_to_the_Original_Guru.mp3" TargetMode="External"/><Relationship Id="rId1622" Type="http://schemas.openxmlformats.org/officeDocument/2006/relationships/hyperlink" Target="https://audio.iskcondesiretree.com/01_-_Srila_Prabhupada/01_-_Lectures/01_-_English/01_-_Topic_wise/Bhagavad_Gita/Chapter-07/SP_BG_07-03_Bombay_1974-02-18_One_in_Many_Million.mp3" TargetMode="External"/><Relationship Id="rId4778" Type="http://schemas.openxmlformats.org/officeDocument/2006/relationships/hyperlink" Target="https://audio.iskcondesiretree.com/01_-_Srila_Prabhupada/01_-_Lectures/01_-_English/02_-_Month_wise/06_-_June/18/MW_TOR_1976-06-18_Dealing_With_the_Envious.mp3" TargetMode="External"/><Relationship Id="rId5829" Type="http://schemas.openxmlformats.org/officeDocument/2006/relationships/hyperlink" Target="https://audio.iskcondesiretree.com/01_-_Srila_Prabhupada/01_-_Lectures/01_-_English/02_-_Month_wise/04_-_April/29/Conv_1977-04-29_R1-BOMBAY.MP3" TargetMode="External"/><Relationship Id="rId3794" Type="http://schemas.openxmlformats.org/officeDocument/2006/relationships/hyperlink" Target="https://audio.iskcondesiretree.com/01_-_Srila_Prabhupada/01_-_Lectures/01_-_English/01_-_Topic_wise/Morning_Walk/SP_Morning_Walk_-_Bombay_1975-09-30.MP3" TargetMode="External"/><Relationship Id="rId4845" Type="http://schemas.openxmlformats.org/officeDocument/2006/relationships/hyperlink" Target="https://audio.iskcondesiretree.com/01_-_Srila_Prabhupada/01_-_Lectures/01_-_English/01_-_Topic_wise/Srimad_Bhagavatam/Canto-07/SP_SB_7-06-14_New_Vrindavan_1976-06-28_The_Problem_of_Family_and_Belly.mp3" TargetMode="External"/><Relationship Id="rId2396" Type="http://schemas.openxmlformats.org/officeDocument/2006/relationships/hyperlink" Target="https://audio.iskcondesiretree.com/01_-_Srila_Prabhupada/01_-_Lectures/01_-_English/01_-_Topic_wise/Srimad_Bhagavatam/Canto-01/SP_SB_1-08-19_Mayapur_1974-09-29_We_Came_Here_to_Pass_Stool.mp3" TargetMode="External"/><Relationship Id="rId3447" Type="http://schemas.openxmlformats.org/officeDocument/2006/relationships/hyperlink" Target="https://audio.iskcondesiretree.com/01_-_Srila_Prabhupada/01_-_Lectures/01_-_English/02_-_Month_wise/07_-_July/05/Walk_1975-07-05_MW-CHICAGO.MP3" TargetMode="External"/><Relationship Id="rId3861" Type="http://schemas.openxmlformats.org/officeDocument/2006/relationships/hyperlink" Target="https://audio.iskcondesiretree.com/01_-_Srila_Prabhupada/01_-_Lectures/01_-_English/01_-_Topic_wise/Morning_Walk/SP_Morning_Walk_-_Johannesburg_1975-10-14_Mischievous_Merit.mp3" TargetMode="External"/><Relationship Id="rId4912" Type="http://schemas.openxmlformats.org/officeDocument/2006/relationships/hyperlink" Target="https://audio.iskcondesiretree.com/01_-_Srila_Prabhupada/01_-_Lectures/01_-_English/02_-_Month_wise/07_-_July/06/Lect_WDC_1976-07-06_At_10th_Anniversary_of_ISKCON_etc.mp3" TargetMode="External"/><Relationship Id="rId368" Type="http://schemas.openxmlformats.org/officeDocument/2006/relationships/hyperlink" Target="https://audio.iskcondesiretree.com/01_-_Srila_Prabhupada/01_-_Lectures/01_-_English/02_-_Month_wise/02_-_Feburary/13/Bg_06-01_LA_1969-02-13_Yoga_System--Everything_Is_Spiritual.mp3" TargetMode="External"/><Relationship Id="rId782" Type="http://schemas.openxmlformats.org/officeDocument/2006/relationships/hyperlink" Target="https://audio.iskcondesiretree.com/01_-_Srila_Prabhupada/01_-_Lectures/01_-_English/02_-_Month_wise/11_-_November/04/NOD_09_VRN_1972-11-04_The_Complete_Science_of_Bhakti-Yoga.mp3" TargetMode="External"/><Relationship Id="rId2049" Type="http://schemas.openxmlformats.org/officeDocument/2006/relationships/hyperlink" Target="https://audio.iskcondesiretree.com/01_-_Srila_Prabhupada/01_-_Lectures/01_-_English/02_-_Month_wise/06_-_June/04/RC_GEN_1974-06-04_Biochemist-Scientific_and_Spiritual-Unite.mp3" TargetMode="External"/><Relationship Id="rId2463" Type="http://schemas.openxmlformats.org/officeDocument/2006/relationships/hyperlink" Target="https://audio.iskcondesiretree.com/01_-_Srila_Prabhupada/01_-_Lectures/01_-_English/02_-_Month_wise/10_-_October/23/SB_1-08-43_MAY_1974-10-23_Enter_Krishna%27s_Family.mp3" TargetMode="External"/><Relationship Id="rId3514" Type="http://schemas.openxmlformats.org/officeDocument/2006/relationships/hyperlink" Target="https://audio.iskcondesiretree.com/01_-_Srila_Prabhupada/01_-_Lectures/01_-_English/01_-_Topic_wise/Srimad_Bhagavatam/Canto-06/SP_SB_6-01-28_Philadelphia_1975-07-13_Krishna_Is_Very_Tricky.mp3" TargetMode="External"/><Relationship Id="rId435" Type="http://schemas.openxmlformats.org/officeDocument/2006/relationships/hyperlink" Target="https://audio.iskcondesiretree.com/01_-_Srila_Prabhupada/01_-_Lectures/01_-_English/02_-_Month_wise/05_-_May/23/SB_1-05-02_NV_1969-05-23_Don%27t_Change_Activities_etc.mp3" TargetMode="External"/><Relationship Id="rId1065" Type="http://schemas.openxmlformats.org/officeDocument/2006/relationships/hyperlink" Target="https://audio.iskcondesiretree.com/01_-_Srila_Prabhupada/01_-_Lectures/01_-_English/02_-_Month_wise/07_-_July/09/RC_LON_1973-07-09_Slaughterhouse_School.mp3" TargetMode="External"/><Relationship Id="rId2116" Type="http://schemas.openxmlformats.org/officeDocument/2006/relationships/hyperlink" Target="https://audio.iskcondesiretree.com/01_-_Srila_Prabhupada/01_-_Lectures/01_-_English/01_-_Topic_wise/Morning_Walk/SP_Morning_Walk_-_Paris_1974-06-13_Maya-Everything_Belongs_to_Me.mp3" TargetMode="External"/><Relationship Id="rId2530" Type="http://schemas.openxmlformats.org/officeDocument/2006/relationships/hyperlink" Target="https://audio.iskcondesiretree.com/01_-_Srila_Prabhupada/01_-_Lectures/01_-_English/01_-_Topic_wise/Srimad_Bhagavatam/Canto-03/SP_SB_3-25-18_Bombay_1974-11-18_Nobody%27s_Servant_but_Krishna%27s.mp3" TargetMode="External"/><Relationship Id="rId5686" Type="http://schemas.openxmlformats.org/officeDocument/2006/relationships/hyperlink" Target="https://audio.iskcondesiretree.com/01_-_Srila_Prabhupada/01_-_Lectures/01_-_English/02_-_Month_wise/02_-_Feburary/07/Arrival_1977-02-07_AR-MAYAPUR.MP3" TargetMode="External"/><Relationship Id="rId502" Type="http://schemas.openxmlformats.org/officeDocument/2006/relationships/hyperlink" Target="https://audio.iskcondesiretree.com/01_-_Srila_Prabhupada/01_-_Lectures/01_-_English/01_-_Topic_wise/Isopanishad/SP_Isopanisad_01_Los_Angeles_1970-04-29_Our_Foolishness.mp3" TargetMode="External"/><Relationship Id="rId1132" Type="http://schemas.openxmlformats.org/officeDocument/2006/relationships/hyperlink" Target="https://audio.iskcondesiretree.com/01_-_Srila_Prabhupada/01_-_Lectures/01_-_English/01_-_Topic_wise/Bhagavad_Gita/Chapter-01/SP_BG_01-41_London_1973-07-29_Relief_from_Today%27s_Hell.mp3" TargetMode="External"/><Relationship Id="rId4288" Type="http://schemas.openxmlformats.org/officeDocument/2006/relationships/hyperlink" Target="https://audio.iskcondesiretree.com/01_-_Srila_Prabhupada/01_-_Lectures/01_-_English/02_-_Month_wise/02_-_Feburary/26/SB_7-09-19_MAY_1976-02-26_Remember_the_Titanic.mp3" TargetMode="External"/><Relationship Id="rId5339" Type="http://schemas.openxmlformats.org/officeDocument/2006/relationships/hyperlink" Target="https://audio.iskcondesiretree.com/01_-_Srila_Prabhupada/01_-_Lectures/01_-_English/02_-_Month_wise/10_-_October/17/Address_1976-10-17_LE-CHANDIGARH.MP3" TargetMode="External"/><Relationship Id="rId4355" Type="http://schemas.openxmlformats.org/officeDocument/2006/relationships/hyperlink" Target="https://audio.iskcondesiretree.com/01_-_Srila_Prabhupada/01_-_Lectures/01_-_English/01_-_Topic_wise/Srimad_Bhagavatam/Canto-07/SP_SB_7-09-36_Mayapur_1976-03-14_Simple_Boy-Real_God.mp3" TargetMode="External"/><Relationship Id="rId5753" Type="http://schemas.openxmlformats.org/officeDocument/2006/relationships/hyperlink" Target="https://audio.iskcondesiretree.com/01_-_Srila_Prabhupada/01_-_Lectures/01_-_English/02_-_Month_wise/03_-_March/01/SB_7-09-09_MAY_1977-03-01_Dedicate_Your_Life_To_Krishna.mp3" TargetMode="External"/><Relationship Id="rId1949" Type="http://schemas.openxmlformats.org/officeDocument/2006/relationships/hyperlink" Target="https://audio.iskcondesiretree.com/01_-_Srila_Prabhupada/01_-_Lectures/01_-_English/01_-_Topic_wise/Morning_Walk/SP_Morning_Walk_-_Bombay_1974-05-03.mp3" TargetMode="External"/><Relationship Id="rId4008" Type="http://schemas.openxmlformats.org/officeDocument/2006/relationships/hyperlink" Target="https://audio.iskcondesiretree.com/01_-_Srila_Prabhupada/01_-_Lectures/01_-_English/02_-_Month_wise/11_-_November/18/MW_BOM_1975-11-18_Bhakta_Is_the_Only_Scientist.mp3" TargetMode="External"/><Relationship Id="rId5406" Type="http://schemas.openxmlformats.org/officeDocument/2006/relationships/hyperlink" Target="https://audio.iskcondesiretree.com/01_-_Srila_Prabhupada/01_-_Lectures/01_-_English/02_-_Month_wise/11_-_November/11/Conv_1976-11-11_R1-VRNDAVAN.MP3" TargetMode="External"/><Relationship Id="rId5820" Type="http://schemas.openxmlformats.org/officeDocument/2006/relationships/hyperlink" Target="https://audio.iskcondesiretree.com/01_-_Srila_Prabhupada/01_-_Lectures/01_-_English/02_-_Month_wise/04_-_April/24/RC_BOM_1977-04-24_Service_to_Man-Service_to_God.mp3" TargetMode="External"/><Relationship Id="rId292" Type="http://schemas.openxmlformats.org/officeDocument/2006/relationships/hyperlink" Target="https://audio.iskcondesiretree.com/01_-_Srila_Prabhupada/01_-_Lectures/01_-_English/01_-_Topic_wise/Various/SP_Lecture_Los_Angeles_1968-11-13_I_Have_Passed_My_Life_Uselessly.mp3" TargetMode="External"/><Relationship Id="rId3371" Type="http://schemas.openxmlformats.org/officeDocument/2006/relationships/hyperlink" Target="https://audio.iskcondesiretree.com/01_-_Srila_Prabhupada/01_-_Lectures/01_-_English/01_-_Topic_wise/Morning_Walk/SP_Morning_Walk_-_Los_Angeles_1975-06-26_Hypnotized_by_Television_or_by_Krishna.mp3" TargetMode="External"/><Relationship Id="rId4422" Type="http://schemas.openxmlformats.org/officeDocument/2006/relationships/hyperlink" Target="https://audio.iskcondesiretree.com/01_-_Srila_Prabhupada/01_-_Lectures/01_-_English/02_-_Month_wise/04_-_April/02/Walk_1976-04-02_MW-VRNDAVAN.MP3" TargetMode="External"/><Relationship Id="rId3024" Type="http://schemas.openxmlformats.org/officeDocument/2006/relationships/hyperlink" Target="https://audio.iskcondesiretree.com/01_-_Srila_Prabhupada/01_-_Lectures/01_-_English/02_-_Month_wise/04_-_April/01/Cc_A_1-08_MAY_1975-04-01_Spread_Krsna_Consciousness_etc.mp3" TargetMode="External"/><Relationship Id="rId2040" Type="http://schemas.openxmlformats.org/officeDocument/2006/relationships/hyperlink" Target="https://audio.iskcondesiretree.com/01_-_Srila_Prabhupada/01_-_Lectures/01_-_English/01_-_Topic_wise/Srimad_Bhagavatam/Canto-01/SP_SB_1-13-12_Geneva_1974-06-03_Dear_Words_for_Dormant_Hearts.mp3" TargetMode="External"/><Relationship Id="rId5196" Type="http://schemas.openxmlformats.org/officeDocument/2006/relationships/hyperlink" Target="https://audio.iskcondesiretree.com/01_-_Srila_Prabhupada/01_-_Lectures/01_-_English/01_-_Topic_wise/Srimad_Bhagavatam/Canto-01/SP_SB_1-07-08_Vrindavan_1976-09-07_Our_Condition-Precarious.mp3" TargetMode="External"/><Relationship Id="rId5263" Type="http://schemas.openxmlformats.org/officeDocument/2006/relationships/hyperlink" Target="https://audio.iskcondesiretree.com/01_-_Srila_Prabhupada/01_-_Lectures/01_-_English/02_-_Month_wise/09_-_September/25/SB_1-07-28_VRN_1976-09-25_Who_Needs_Krishna.mp3" TargetMode="External"/><Relationship Id="rId1459" Type="http://schemas.openxmlformats.org/officeDocument/2006/relationships/hyperlink" Target="https://audio.iskcondesiretree.com/01_-_Srila_Prabhupada/01_-_Lectures/01_-_English/01_-_Topic_wise/Srimad_Bhagavatam/Canto-01/SP_SB_1-15-50_Los_Angeles_1973-12-27_Simply_Depending_On_Krishna.mp3" TargetMode="External"/><Relationship Id="rId2857" Type="http://schemas.openxmlformats.org/officeDocument/2006/relationships/hyperlink" Target="https://audio.iskcondesiretree.com/01_-_Srila_Prabhupada/01_-_Lectures/01_-_English/01_-_Topic_wise/Bhagavad_Gita/Chapter-13/SP_BG_13-03_Miami_1975-02-26_We_Need_to_Satisfy_Our_Lord.mp3" TargetMode="External"/><Relationship Id="rId3908" Type="http://schemas.openxmlformats.org/officeDocument/2006/relationships/hyperlink" Target="https://audio.iskcondesiretree.com/01_-_Srila_Prabhupada/01_-_Lectures/01_-_English/01_-_Topic_wise/Srimad_Bhagavatam/Canto-05/SP_SB_5-05-02_Johannesburg_1975-10-22_Get_Out_of_Material_Disease.mp3" TargetMode="External"/><Relationship Id="rId5330" Type="http://schemas.openxmlformats.org/officeDocument/2006/relationships/hyperlink" Target="https://audio.iskcondesiretree.com/01_-_Srila_Prabhupada/01_-_Lectures/01_-_English/02_-_Month_wise/10_-_October/14/RC_CHA_1976-10-14_Next_Body-Are_You_Not_Afraid.mp3" TargetMode="External"/><Relationship Id="rId98" Type="http://schemas.openxmlformats.org/officeDocument/2006/relationships/hyperlink" Target="https://audio.iskcondesiretree.com/01_-_Srila_Prabhupada/01_-_Lectures/01_-_English/02_-_Month_wise/11_-_November/16/Bg_08-14_NY_1966-11-16_Remember_Krishna_Without_Deviation.mp3" TargetMode="External"/><Relationship Id="rId829" Type="http://schemas.openxmlformats.org/officeDocument/2006/relationships/hyperlink" Target="https://audio.iskcondesiretree.com/01_-_Srila_Prabhupada/01_-_Lectures/01_-_English/02_-_Month_wise/11_-_November/21/Bg_02-15_HYD_1972-11-21_I_Am_Not_This_Dream.mp3" TargetMode="External"/><Relationship Id="rId1873" Type="http://schemas.openxmlformats.org/officeDocument/2006/relationships/hyperlink" Target="https://audio.iskcondesiretree.com/01_-_Srila_Prabhupada/01_-_Lectures/01_-_English/02_-_Month_wise/04_-_April/14/Walk_1974-04-14_MW-BOMBAY.MP3" TargetMode="External"/><Relationship Id="rId2924" Type="http://schemas.openxmlformats.org/officeDocument/2006/relationships/hyperlink" Target="https://audio.iskcondesiretree.com/01_-_Srila_Prabhupada/01_-_Lectures/01_-_English/01_-_Topic_wise/Arrival_Address/SP_Arrival_Lecture_London_1975-03-08.MP3" TargetMode="External"/><Relationship Id="rId1526" Type="http://schemas.openxmlformats.org/officeDocument/2006/relationships/hyperlink" Target="https://audio.iskcondesiretree.com/01_-_Srila_Prabhupada/01_-_Lectures/01_-_English/01_-_Topic_wise/Morning_Walk/SP_Morning_Walk_-_Honolulu_1974-01-15.mp3" TargetMode="External"/><Relationship Id="rId1940" Type="http://schemas.openxmlformats.org/officeDocument/2006/relationships/hyperlink" Target="https://audio.iskcondesiretree.com/01_-_Srila_Prabhupada/01_-_Lectures/01_-_English/02_-_Month_wise/04_-_April/28/Bg-07-02_1974-04-28_BG-HYDERABAD.MP3" TargetMode="External"/><Relationship Id="rId3698" Type="http://schemas.openxmlformats.org/officeDocument/2006/relationships/hyperlink" Target="https://audio.iskcondesiretree.com/01_-_Srila_Prabhupada/01_-_Lectures/01_-_English/02_-_Month_wise/08_-_August/29/SB_6-01-62_VRN_1975-08-29_The_Agitated_Mind.mp3" TargetMode="External"/><Relationship Id="rId4749" Type="http://schemas.openxmlformats.org/officeDocument/2006/relationships/hyperlink" Target="https://audio.iskcondesiretree.com/01_-_Srila_Prabhupada/01_-_Lectures/01_-_English/02_-_Month_wise/06_-_June/14/Walk_1976-06-14_MW-DETROIT.MP3" TargetMode="External"/><Relationship Id="rId3765" Type="http://schemas.openxmlformats.org/officeDocument/2006/relationships/hyperlink" Target="https://audio.iskcondesiretree.com/01_-_Srila_Prabhupada/01_-_Lectures/01_-_English/01_-_Topic_wise/Srimad_Bhagavatam/Canto-06/SP_SB_6-02-14_Vrindavan_1975-09-17_Non-Anxiety-Ask_for_It_by_Name.mp3" TargetMode="External"/><Relationship Id="rId4816" Type="http://schemas.openxmlformats.org/officeDocument/2006/relationships/hyperlink" Target="https://audio.iskcondesiretree.com/01_-_Srila_Prabhupada/01_-_Lectures/01_-_English/02_-_Month_wise/06_-_June/24/Conv_1976-06-24_R1-NEW%20VRINDAVAN.MP3" TargetMode="External"/><Relationship Id="rId6171" Type="http://schemas.openxmlformats.org/officeDocument/2006/relationships/hyperlink" Target="https://audio.iskcondesiretree.com/01_-_Srila_Prabhupada/01_-_Lectures/01_-_English/02_-_Month_wise/10_-_October/07/SB-01-07-49%E2%80%9350_761007SB-VRNDAVAN.MP3" TargetMode="External"/><Relationship Id="rId686" Type="http://schemas.openxmlformats.org/officeDocument/2006/relationships/hyperlink" Target="https://audio.iskcondesiretree.com/01_-_Srila_Prabhupada/01_-_Lectures/01_-_English/01_-_Topic_wise/Srimad_Bhagavatam/Canto-01/SP_SB_1-03-11_Los_Angeles_1972-09-17_How_a_Devotee_Approaches_Krishna.mp3" TargetMode="External"/><Relationship Id="rId2367" Type="http://schemas.openxmlformats.org/officeDocument/2006/relationships/hyperlink" Target="https://audio.iskcondesiretree.com/01_-_Srila_Prabhupada/01_-_Lectures/01_-_English/02_-_Month_wise/08_-_August/16/SB-01-05-35_1974-08-16_SB-VRNDAVAN.MP3" TargetMode="External"/><Relationship Id="rId2781" Type="http://schemas.openxmlformats.org/officeDocument/2006/relationships/hyperlink" Target="https://audio.iskcondesiretree.com/01_-_Srila_Prabhupada/01_-_Lectures/01_-_English/02_-_Month_wise/02_-_Feburary/10/SB_2-08-07_LA_1975-02-10_What_Caused_Our_Coming_Here.mp3" TargetMode="External"/><Relationship Id="rId3418" Type="http://schemas.openxmlformats.org/officeDocument/2006/relationships/hyperlink" Target="https://audio.iskcondesiretree.com/01_-_Srila_Prabhupada/01_-_Lectures/01_-_English/02_-_Month_wise/07_-_July/02/MW_DEN_1975-07-02_Each_Second_a_New_Body.mp3" TargetMode="External"/><Relationship Id="rId339" Type="http://schemas.openxmlformats.org/officeDocument/2006/relationships/hyperlink" Target="https://audio.iskcondesiretree.com/01_-_Srila_Prabhupada/01_-_Lectures/01_-_English/01_-_Topic_wise/Bhagavad_Gita/Chapter-03/SP_BG_03-11-19_Los_Angeles_1968-12-27_There_Is_No_Overpopulation.mp3" TargetMode="External"/><Relationship Id="rId753" Type="http://schemas.openxmlformats.org/officeDocument/2006/relationships/hyperlink" Target="https://audio.iskcondesiretree.com/01_-_Srila_Prabhupada/01_-_Lectures/01_-_English/01_-_Topic_wise/Srimad_Bhagavatam/Canto-01/SP_SB_1-02-17_Vrindavan_1972-10-28_Taking_Help_from_the_Friend--etc.mp3" TargetMode="External"/><Relationship Id="rId1383" Type="http://schemas.openxmlformats.org/officeDocument/2006/relationships/hyperlink" Target="https://audio.iskcondesiretree.com/01_-_Srila_Prabhupada/01_-_Lectures/01_-_English/01_-_Topic_wise/Morning_Walk/SP_Morning_Walk_-_Los_Angeles_1973-12-03_Amino_Asses.mp3" TargetMode="External"/><Relationship Id="rId2434" Type="http://schemas.openxmlformats.org/officeDocument/2006/relationships/hyperlink" Target="https://audio.iskcondesiretree.com/01_-_Srila_Prabhupada/01_-_Lectures/01_-_English/02_-_Month_wise/10_-_October/12/SB_1-08-32_MAY_1974-10-12_Become_Dear_to_Krishna.mp3" TargetMode="External"/><Relationship Id="rId3832" Type="http://schemas.openxmlformats.org/officeDocument/2006/relationships/hyperlink" Target="https://audio.iskcondesiretree.com/01_-_Srila_Prabhupada/01_-_Lectures/01_-_English/01_-_Topic_wise/Various/SP_Lecture_Durban_1975-10-07_At_City_Hall--Sense_Gratification-No_Sense.mp3" TargetMode="External"/><Relationship Id="rId406" Type="http://schemas.openxmlformats.org/officeDocument/2006/relationships/hyperlink" Target="https://audio.iskcondesiretree.com/01_-_Srila_Prabhupada/01_-_Lectures/01_-_English/01_-_Topic_wise/Various/SP_Lecture_Boston_1969-05-01_Krishna_Conscious_-_Very_Kind.mp3" TargetMode="External"/><Relationship Id="rId1036" Type="http://schemas.openxmlformats.org/officeDocument/2006/relationships/hyperlink" Target="https://audio.iskcondesiretree.com/01_-_Srila_Prabhupada/01_-_Lectures/01_-_English/02_-_Month_wise/06_-_June/18/SB_1-10-03_MAY_1973-06-18_God-Conscious_Monarchy.mp3" TargetMode="External"/><Relationship Id="rId820" Type="http://schemas.openxmlformats.org/officeDocument/2006/relationships/hyperlink" Target="https://audio.iskcondesiretree.com/01_-_Srila_Prabhupada/01_-_Lectures/01_-_English/01_-_Topic_wise/Srimad_Bhagavatam/Canto-01/SP_SB_1-03-01_Vrindavan_1972-11-14_Our_Eternal_Position.mp3" TargetMode="External"/><Relationship Id="rId1450" Type="http://schemas.openxmlformats.org/officeDocument/2006/relationships/hyperlink" Target="https://audio.iskcondesiretree.com/01_-_Srila_Prabhupada/01_-_Lectures/01_-_English/02_-_Month_wise/12_-_December/22/SB_1-15-44_LA_1973-12-22_Our_Real_Problem_Isn%27t_Petrol.mp3" TargetMode="External"/><Relationship Id="rId2501" Type="http://schemas.openxmlformats.org/officeDocument/2006/relationships/hyperlink" Target="https://audio.iskcondesiretree.com/01_-_Srila_Prabhupada/01_-_Lectures/01_-_English/02_-_Month_wise/11_-_November/08/SB-03-25-08_1974-11-08_SB-BOMBAY.MP3" TargetMode="External"/><Relationship Id="rId5657" Type="http://schemas.openxmlformats.org/officeDocument/2006/relationships/hyperlink" Target="https://audio.iskcondesiretree.com/01_-_Srila_Prabhupada/01_-_Lectures/01_-_English/02_-_Month_wise/01_-_January/31/Conv_1977-01-31_R1-BHUBANESWAR.MP3" TargetMode="External"/><Relationship Id="rId1103" Type="http://schemas.openxmlformats.org/officeDocument/2006/relationships/hyperlink" Target="https://audio.iskcondesiretree.com/01_-_Srila_Prabhupada/01_-_Lectures/01_-_English/01_-_Topic_wise/Room_Conversation/SP_Room_Conversation_London_1973-07-21_Alastair_Hardy--It_Is_Also_Vedic_Literature.mp3" TargetMode="External"/><Relationship Id="rId4259" Type="http://schemas.openxmlformats.org/officeDocument/2006/relationships/hyperlink" Target="https://audio.iskcondesiretree.com/01_-_Srila_Prabhupada/01_-_Lectures/01_-_English/01_-_Topic_wise/Festivals/SP_Festivals_Mayapur_1976-02-21_Bhaktisiddhanta_Appearance.mp3" TargetMode="External"/><Relationship Id="rId4673" Type="http://schemas.openxmlformats.org/officeDocument/2006/relationships/hyperlink" Target="https://audio.iskcondesiretree.com/01_-_Srila_Prabhupada/01_-_Lectures/01_-_English/02_-_Month_wise/05_-_May/31/Walk_1976-05-31_MW-HONOLULU.MP3" TargetMode="External"/><Relationship Id="rId5724" Type="http://schemas.openxmlformats.org/officeDocument/2006/relationships/hyperlink" Target="https://audio.iskcondesiretree.com/01_-_Srila_Prabhupada/01_-_Lectures/01_-_English/02_-_Month_wise/02_-_Feburary/21/Conv_1977-02-21_R1-MAYAPUR.MP3" TargetMode="External"/><Relationship Id="rId3275" Type="http://schemas.openxmlformats.org/officeDocument/2006/relationships/hyperlink" Target="https://audio.iskcondesiretree.com/01_-_Srila_Prabhupada/01_-_Lectures/01_-_English/02_-_Month_wise/06_-_June/08/SB%E2%80%9306-01-06%E2%80%9307_1975-06-08_SB-HONOLULU.MP3" TargetMode="External"/><Relationship Id="rId4326" Type="http://schemas.openxmlformats.org/officeDocument/2006/relationships/hyperlink" Target="https://audio.iskcondesiretree.com/01_-_Srila_Prabhupada/01_-_Lectures/01_-_English/02_-_Month_wise/03_-_March/07/SB-07-09-29_1976-03-07_SB-MAYAPUR.MP3" TargetMode="External"/><Relationship Id="rId4740" Type="http://schemas.openxmlformats.org/officeDocument/2006/relationships/hyperlink" Target="https://audio.iskcondesiretree.com/01_-_Srila_Prabhupada/01_-_Lectures/01_-_English/02_-_Month_wise/06_-_June/13/Conv_1976-06-13_R1-DETROIT.MP3" TargetMode="External"/><Relationship Id="rId196" Type="http://schemas.openxmlformats.org/officeDocument/2006/relationships/hyperlink" Target="https://audio.iskcondesiretree.com/01_-_Srila_Prabhupada/01_-_Lectures/01_-_English/01_-_Topic_wise/Chaitanya_Charitamrita/Madhya_Lila/SP_CC_M_20-354_New_York_1966-12-28_Symptoms_of_Saintly_Persons.mp3" TargetMode="External"/><Relationship Id="rId2291" Type="http://schemas.openxmlformats.org/officeDocument/2006/relationships/hyperlink" Target="https://audio.iskcondesiretree.com/01_-_Srila_Prabhupada/01_-_Lectures/01_-_English/02_-_Month_wise/07_-_July/18/SB-01-02-17_1974-07-18_SB-NEW%20VRINDAVAN.MP3" TargetMode="External"/><Relationship Id="rId3342" Type="http://schemas.openxmlformats.org/officeDocument/2006/relationships/hyperlink" Target="https://audio.iskcondesiretree.com/01_-_Srila_Prabhupada/01_-_Lectures/01_-_English/01_-_Topic_wise/Room_Conversation/SP_Room_Conversation_Los_Angeles_1975-06-22_Dr_Gerson--Happiness_Is_for_the_Devotees.mp3" TargetMode="External"/><Relationship Id="rId263" Type="http://schemas.openxmlformats.org/officeDocument/2006/relationships/hyperlink" Target="https://audio.iskcondesiretree.com/01_-_Srila_Prabhupada/01_-_Lectures/01_-_English/02_-_Month_wise/09_-_September/11/Bg_07-02_SF_1968-09-11_Ultimate_Understanding_etc.mp3" TargetMode="External"/><Relationship Id="rId330" Type="http://schemas.openxmlformats.org/officeDocument/2006/relationships/hyperlink" Target="https://audio.iskcondesiretree.com/01_-_Srila_Prabhupada/01_-_Lectures/01_-_English/02_-_Month_wise/12_-_December/20/Bg_03-01_LA_1968-12-20_Philosophy_%26_Religion_Combined.mp3" TargetMode="External"/><Relationship Id="rId2011" Type="http://schemas.openxmlformats.org/officeDocument/2006/relationships/hyperlink" Target="https://audio.iskcondesiretree.com/01_-_Srila_Prabhupada/01_-_Lectures/01_-_English/02_-_Month_wise/05_-_May/30/MW_GEN_1974-05-30_Free_to_Enjoy.mp3" TargetMode="External"/><Relationship Id="rId5167" Type="http://schemas.openxmlformats.org/officeDocument/2006/relationships/hyperlink" Target="https://audio.iskcondesiretree.com/01_-_Srila_Prabhupada/01_-_Lectures/01_-_English/02_-_Month_wise/08_-_August/29/SB-05-05-01_1976-08-29_SB-DELHI.MP3" TargetMode="External"/><Relationship Id="rId4183" Type="http://schemas.openxmlformats.org/officeDocument/2006/relationships/hyperlink" Target="https://audio.iskcondesiretree.com/01_-_Srila_Prabhupada/01_-_Lectures/01_-_English/02_-_Month_wise/01_-_January/14/SB-05-05-02_Bengali_1976-01-14_SB-CALCUTTA.MP3" TargetMode="External"/><Relationship Id="rId5581" Type="http://schemas.openxmlformats.org/officeDocument/2006/relationships/hyperlink" Target="https://audio.iskcondesiretree.com/01_-_Srila_Prabhupada/01_-_Lectures/01_-_English/01_-_Topic_wise/Room_Conversation/SP_Room_Conversation_Bombay_1977-01-09_Everyone_is_Trying_to_Become_Krishna.mp3" TargetMode="External"/><Relationship Id="rId1777" Type="http://schemas.openxmlformats.org/officeDocument/2006/relationships/hyperlink" Target="https://audio.iskcondesiretree.com/01_-_Srila_Prabhupada/01_-_Lectures/01_-_English/01_-_Topic_wise/Bhagavad_Gita/Chapter-04/SP_BG_04-09_Bombay_1974-03-29_Cheater_Leaders.mp3" TargetMode="External"/><Relationship Id="rId2828" Type="http://schemas.openxmlformats.org/officeDocument/2006/relationships/hyperlink" Target="https://audio.iskcondesiretree.com/01_-_Srila_Prabhupada/01_-_Lectures/01_-_English/02_-_Month_wise/02_-_Feburary/21/Conv_1975-02-21_R1-CARACAS.MP3" TargetMode="External"/><Relationship Id="rId5234" Type="http://schemas.openxmlformats.org/officeDocument/2006/relationships/hyperlink" Target="https://audio.iskcondesiretree.com/01_-_Srila_Prabhupada/01_-_Lectures/01_-_English/02_-_Month_wise/09_-_September/16/Conv_1976-09-16_R1-VRNDAVAN.MP3" TargetMode="External"/><Relationship Id="rId69" Type="http://schemas.openxmlformats.org/officeDocument/2006/relationships/hyperlink" Target="https://audio.iskcondesiretree.com/01_-_Srila_Prabhupada/01_-_Lectures/01_-_English/02_-_Month_wise/08_-_August/31/Bg_05-22_NY_1966-08-31_Actual_Sense_Pleasure.mp3" TargetMode="External"/><Relationship Id="rId1844" Type="http://schemas.openxmlformats.org/officeDocument/2006/relationships/hyperlink" Target="https://audio.iskcondesiretree.com/01_-_Srila_Prabhupada/01_-_Lectures/01_-_English/02_-_Month_wise/04_-_April/08/MW_BOM_1974-04-08_All_Philosophies_Are_Mayavadi.mp3" TargetMode="External"/><Relationship Id="rId4250" Type="http://schemas.openxmlformats.org/officeDocument/2006/relationships/hyperlink" Target="https://audio.iskcondesiretree.com/01_-_Srila_Prabhupada/01_-_Lectures/01_-_English/02_-_Month_wise/02_-_Feburary/18/Walk_1976-02-18_MW-MAYAPUR.MP3" TargetMode="External"/><Relationship Id="rId5301" Type="http://schemas.openxmlformats.org/officeDocument/2006/relationships/hyperlink" Target="https://audio.iskcondesiretree.com/01_-_Srila_Prabhupada/01_-_Lectures/01_-_English/02_-_Month_wise/10_-_October/04/SB_1-07-44_VRN_1976-10-04_To_Serve_Vaisnava_Is_More.mp3" TargetMode="External"/><Relationship Id="rId1911" Type="http://schemas.openxmlformats.org/officeDocument/2006/relationships/hyperlink" Target="https://audio.iskcondesiretree.com/01_-_Srila_Prabhupada/01_-_Lectures/01_-_English/02_-_Month_wise/04_-_April/21/SB_1-02-07_HYD_1974-04-21_Understand_Your_Position.mp3" TargetMode="External"/><Relationship Id="rId3669" Type="http://schemas.openxmlformats.org/officeDocument/2006/relationships/hyperlink" Target="https://audio.iskcondesiretree.com/01_-_Srila_Prabhupada/01_-_Lectures/01_-_English/02_-_Month_wise/08_-_August/13/Walk_1975-08-13_MW-LONDON.MP3" TargetMode="External"/><Relationship Id="rId6075" Type="http://schemas.openxmlformats.org/officeDocument/2006/relationships/hyperlink" Target="https://audio.iskcondesiretree.com/01_-_Srila_Prabhupada/01_-_Lectures/01_-_English/01_-_Topic_wise/Krishna_Book/SP_Krsna_Book_Dict_27_-_Prayers_by_Indra.mp3" TargetMode="External"/><Relationship Id="rId5091" Type="http://schemas.openxmlformats.org/officeDocument/2006/relationships/hyperlink" Target="https://audio.iskcondesiretree.com/01_-_Srila_Prabhupada/01_-_Lectures/01_-_English/02_-_Month_wise/08_-_August/11/Darshan_1976-08-11_ED-TEHRAN.MP3" TargetMode="External"/><Relationship Id="rId6142" Type="http://schemas.openxmlformats.org/officeDocument/2006/relationships/hyperlink" Target="https://audio.iskcondesiretree.com/01_-_Srila_Prabhupada/01_-_Lectures/01_-_English/01_-_Topic_wise/Stories/SP_Story_18_Stool_and_urine.mp3" TargetMode="External"/><Relationship Id="rId1287" Type="http://schemas.openxmlformats.org/officeDocument/2006/relationships/hyperlink" Target="https://audio.iskcondesiretree.com/01_-_Srila_Prabhupada/01_-_Lectures/01_-_English/01_-_Topic_wise/Bhagavad_Gita/Chapter-13/SP_BG_13-01_Bombay_1973-09-25_Knowing_Self_Bodily_%27Land%27--etc.mp3" TargetMode="External"/><Relationship Id="rId2685" Type="http://schemas.openxmlformats.org/officeDocument/2006/relationships/hyperlink" Target="https://audio.iskcondesiretree.com/01_-_Srila_Prabhupada/01_-_Lectures/01_-_English/02_-_Month_wise/01_-_January/08/SB_3-26-31_BOM_1975-01-08_First-class_Yoga.mp3" TargetMode="External"/><Relationship Id="rId3736" Type="http://schemas.openxmlformats.org/officeDocument/2006/relationships/hyperlink" Target="https://audio.iskcondesiretree.com/01_-_Srila_Prabhupada/01_-_Lectures/01_-_English/02_-_Month_wise/09_-_September/07/SB_6-02-03_VRN_1975-09-07_Save_Your_Dependent.mp3" TargetMode="External"/><Relationship Id="rId657" Type="http://schemas.openxmlformats.org/officeDocument/2006/relationships/hyperlink" Target="https://audio.iskcondesiretree.com/01_-_Srila_Prabhupada/01_-_Lectures/01_-_English/02_-_Month_wise/08_-_August/23/SB_1-02-20_LA_1972-08-23_Spiritual_Life_Is_Scientific.mp3" TargetMode="External"/><Relationship Id="rId2338" Type="http://schemas.openxmlformats.org/officeDocument/2006/relationships/hyperlink" Target="https://audio.iskcondesiretree.com/01_-_Srila_Prabhupada/01_-_Lectures/01_-_English/02_-_Month_wise/08_-_August/10/SB-01-05-29_1974-08-10_SB-VRNDAVAN.MP3" TargetMode="External"/><Relationship Id="rId2752" Type="http://schemas.openxmlformats.org/officeDocument/2006/relationships/hyperlink" Target="https://audio.iskcondesiretree.com/01_-_Srila_Prabhupada/01_-_Lectures/01_-_English/01_-_Topic_wise/Bhagavad_Gita/Chapter-16/SP_BG_16-07_Hawaii_1975-02-03_The_Demonic_Want_Degradation.mp3" TargetMode="External"/><Relationship Id="rId3803" Type="http://schemas.openxmlformats.org/officeDocument/2006/relationships/hyperlink" Target="https://audio.iskcondesiretree.com/01_-_Srila_Prabhupada/01_-_Lectures/01_-_English/01_-_Topic_wise/Srimad_Bhagavatam/Canto-07/SP_SB_7-05-30_Mauritius_1975-10-02_Material_Life.mp3" TargetMode="External"/><Relationship Id="rId724" Type="http://schemas.openxmlformats.org/officeDocument/2006/relationships/hyperlink" Target="https://audio.iskcondesiretree.com/01_-_Srila_Prabhupada/01_-_Lectures/01_-_English/01_-_Topic_wise/Arrival_Address/SP_Address_Los_Angeles_1972-10-06_The_Original_Person--Perfect_Knowledge.mp3" TargetMode="External"/><Relationship Id="rId1354" Type="http://schemas.openxmlformats.org/officeDocument/2006/relationships/hyperlink" Target="https://audio.iskcondesiretree.com/01_-_Srila_Prabhupada/01_-_Lectures/01_-_English/02_-_Month_wise/11_-_November/07/SB_2-01-04_DEL_1973-11-07_The_Anatomy_of_Madness.mp3" TargetMode="External"/><Relationship Id="rId2405" Type="http://schemas.openxmlformats.org/officeDocument/2006/relationships/hyperlink" Target="https://audio.iskcondesiretree.com/01_-_Srila_Prabhupada/01_-_Lectures/01_-_English/02_-_Month_wise/10_-_October/01/SB_1-08-21_MAY_1974-10-01_The_Krishna_Connection.mp3" TargetMode="External"/><Relationship Id="rId5975" Type="http://schemas.openxmlformats.org/officeDocument/2006/relationships/hyperlink" Target="https://audio.iskcondesiretree.com/01_-_Srila_Prabhupada/01_-_Lectures/01_-_English/02_-_Month_wise/10_-_October/30/Conv_1977-10-30_R2-VRNDAVAN.MP3" TargetMode="External"/><Relationship Id="rId60" Type="http://schemas.openxmlformats.org/officeDocument/2006/relationships/hyperlink" Target="https://audio.iskcondesiretree.com/01_-_Srila_Prabhupada/01_-_Lectures/01_-_English/02_-_Month_wise/08_-_August/08/Bg_04-19_NY_1966-08-08_How_to_Satisfy_Krishna.mp3" TargetMode="External"/><Relationship Id="rId1007" Type="http://schemas.openxmlformats.org/officeDocument/2006/relationships/hyperlink" Target="https://audio.iskcondesiretree.com/01_-_Srila_Prabhupada/01_-_Lectures/01_-_English/02_-_Month_wise/05_-_May/13/MW_LA_1973-05-13_Sudras_Hear_from_Scientists.mp3" TargetMode="External"/><Relationship Id="rId1421" Type="http://schemas.openxmlformats.org/officeDocument/2006/relationships/hyperlink" Target="https://audio.iskcondesiretree.com/01_-_Srila_Prabhupada/01_-_Lectures/01_-_English/02_-_Month_wise/12_-_December/13/Fest_LA_1973-12-13_Bhaktisiddhanta_Disappearance.mp3" TargetMode="External"/><Relationship Id="rId4577" Type="http://schemas.openxmlformats.org/officeDocument/2006/relationships/hyperlink" Target="https://audio.iskcondesiretree.com/01_-_Srila_Prabhupada/01_-_Lectures/01_-_English/02_-_Month_wise/05_-_May/07/SB_6-01-06_HON_1976-05-07_Saved_from_Severe_Punishment.mp3" TargetMode="External"/><Relationship Id="rId4991" Type="http://schemas.openxmlformats.org/officeDocument/2006/relationships/hyperlink" Target="https://audio.iskcondesiretree.com/01_-_Srila_Prabhupada/01_-_Lectures/01_-_English/02_-_Month_wise/07_-_July/17/Interview_1976-07-17_IV-NEW%20YORK.MP3" TargetMode="External"/><Relationship Id="rId5628" Type="http://schemas.openxmlformats.org/officeDocument/2006/relationships/hyperlink" Target="https://audio.iskcondesiretree.com/01_-_Srila_Prabhupada/01_-_Lectures/01_-_English/02_-_Month_wise/01_-_January/24/Conv_1977-01-24_R2-BHUBANESWAR.MP3" TargetMode="External"/><Relationship Id="rId3179" Type="http://schemas.openxmlformats.org/officeDocument/2006/relationships/hyperlink" Target="https://audio.iskcondesiretree.com/01_-_Srila_Prabhupada/01_-_Lectures/01_-_English/02_-_Month_wise/05_-_May/14/RC_PER_1975-05-14_Geographer-No_Grain-Will_You_Eat_Money.mp3" TargetMode="External"/><Relationship Id="rId3593" Type="http://schemas.openxmlformats.org/officeDocument/2006/relationships/hyperlink" Target="https://audio.iskcondesiretree.com/01_-_Srila_Prabhupada/01_-_Lectures/01_-_English/02_-_Month_wise/07_-_July/26/SB-06-01-45_1975-07-26_SB-LAGUNA%20BEACH.MP3" TargetMode="External"/><Relationship Id="rId4644" Type="http://schemas.openxmlformats.org/officeDocument/2006/relationships/hyperlink" Target="https://audio.iskcondesiretree.com/01_-_Srila_Prabhupada/01_-_Lectures/01_-_English/01_-_Topic_wise/Srimad_Bhagavatam/Canto-06/SP_SB_6-01-25_Honolulu_1976-05-25_Hiranyakasipu_vs._Prahlada.mp3" TargetMode="External"/><Relationship Id="rId2195" Type="http://schemas.openxmlformats.org/officeDocument/2006/relationships/hyperlink" Target="https://audio.iskcondesiretree.com/01_-_Srila_Prabhupada/01_-_Lectures/01_-_English/02_-_Month_wise/06_-_June/26/SB_2-01-04_MEL_1974-06-26_The_Right_Questions.mp3" TargetMode="External"/><Relationship Id="rId3246" Type="http://schemas.openxmlformats.org/officeDocument/2006/relationships/hyperlink" Target="https://audio.iskcondesiretree.com/01_-_Srila_Prabhupada/01_-_Lectures/01_-_English/02_-_Month_wise/05_-_May/25/Interview_1975-05-25_IV-FIJI.MP3" TargetMode="External"/><Relationship Id="rId167" Type="http://schemas.openxmlformats.org/officeDocument/2006/relationships/hyperlink" Target="https://audio.iskcondesiretree.com/01_-_Srila_Prabhupada/01_-_Lectures/01_-_English/01_-_Topic_wise/Chaitanya_Charitamrita/Madhya_Lila/SP_CC_M_20-245_New_York_1966-12-16_Six_Types_of_Avataras.mp3" TargetMode="External"/><Relationship Id="rId581" Type="http://schemas.openxmlformats.org/officeDocument/2006/relationships/hyperlink" Target="https://audio.iskcondesiretree.com/01_-_Srila_Prabhupada/01_-_Lectures/01_-_English/02_-_Month_wise/05_-_May/26/SB_2-03-09_LA_1972-05-26_If_You_Actually_Want_Freedom_etc.mp3" TargetMode="External"/><Relationship Id="rId2262" Type="http://schemas.openxmlformats.org/officeDocument/2006/relationships/hyperlink" Target="https://audio.iskcondesiretree.com/01_-_Srila_Prabhupada/01_-_Lectures/01_-_English/02_-_Month_wise/07_-_July/10/SB_1-16-20_LA_1974-07-10_Make_Everyone_a_etc.mp3" TargetMode="External"/><Relationship Id="rId3660" Type="http://schemas.openxmlformats.org/officeDocument/2006/relationships/hyperlink" Target="https://audio.iskcondesiretree.com/01_-_Srila_Prabhupada/01_-_Lectures/01_-_English/01_-_Topic_wise/Morning_Walk/SP_Morning_Walk_-_Paris_1975-08-12_Responsible_Jackals.mp3" TargetMode="External"/><Relationship Id="rId4711" Type="http://schemas.openxmlformats.org/officeDocument/2006/relationships/hyperlink" Target="https://audio.iskcondesiretree.com/01_-_Srila_Prabhupada/01_-_Lectures/01_-_English/02_-_Month_wise/06_-_June/08/SB-06-01-42_1976-06-08_SB-LOS%20ANGELES.MP3" TargetMode="External"/><Relationship Id="rId234" Type="http://schemas.openxmlformats.org/officeDocument/2006/relationships/hyperlink" Target="https://audio.iskcondesiretree.com/01_-_Srila_Prabhupada/01_-_Lectures/01_-_English/01_-_Topic_wise/Srimad_Bhagavatam/Canto-01/SP_SB_1-03-01_San_Francisco_1968-03-28_God_Has_New_Orleans_Body_Like_Ours.mp3" TargetMode="External"/><Relationship Id="rId3313" Type="http://schemas.openxmlformats.org/officeDocument/2006/relationships/hyperlink" Target="https://audio.iskcondesiretree.com/01_-_Srila_Prabhupada/01_-_Lectures/01_-_English/01_-_Topic_wise/Room_Conversation/SP_Room_Converstion_01_Honolulu_1975-06-17.MP3" TargetMode="External"/><Relationship Id="rId5485" Type="http://schemas.openxmlformats.org/officeDocument/2006/relationships/hyperlink" Target="https://audio.iskcondesiretree.com/01_-_Srila_Prabhupada/01_-_Lectures/01_-_English/02_-_Month_wise/12_-_December/10/Conv_1976-12-10_R1-HYDERABAD.MP3" TargetMode="External"/><Relationship Id="rId301" Type="http://schemas.openxmlformats.org/officeDocument/2006/relationships/hyperlink" Target="https://audio.iskcondesiretree.com/01_-_Srila_Prabhupada/01_-_Lectures/01_-_English/02_-_Month_wise/11_-_November/25/Bg_02-01_LA_1968-11-25_The_Missing_Self-Understanding.mp3" TargetMode="External"/><Relationship Id="rId4087" Type="http://schemas.openxmlformats.org/officeDocument/2006/relationships/hyperlink" Target="https://audio.iskcondesiretree.com/01_-_Srila_Prabhupada/01_-_Lectures/01_-_English/02_-_Month_wise/12_-_December/12/Walk_1975-12-12_MW-VRNDAVAN.MP3" TargetMode="External"/><Relationship Id="rId5138" Type="http://schemas.openxmlformats.org/officeDocument/2006/relationships/hyperlink" Target="https://audio.iskcondesiretree.com/01_-_Srila_Prabhupada/01_-_Lectures/01_-_English/02_-_Month_wise/08_-_August/19/VyasaPuja_1976-08-19_VP-HYDERABAD.MP3" TargetMode="External"/><Relationship Id="rId5552" Type="http://schemas.openxmlformats.org/officeDocument/2006/relationships/hyperlink" Target="https://audio.iskcondesiretree.com/01_-_Srila_Prabhupada/01_-_Lectures/01_-_English/02_-_Month_wise/01_-_January/02/RC_BOM_1977-01-02_You_Have_Performed_the_Greatest_Miracle.mp3" TargetMode="External"/><Relationship Id="rId1748" Type="http://schemas.openxmlformats.org/officeDocument/2006/relationships/hyperlink" Target="https://audio.iskcondesiretree.com/01_-_Srila_Prabhupada/01_-_Lectures/01_-_English/02_-_Month_wise/03_-_March/23/Walk_1974-03-23_MW-BOMBAY.MP3" TargetMode="External"/><Relationship Id="rId4154" Type="http://schemas.openxmlformats.org/officeDocument/2006/relationships/hyperlink" Target="https://audio.iskcondesiretree.com/01_-_Srila_Prabhupada/01_-_Lectures/01_-_English/02_-_Month_wise/01_-_January/03/Walk_1976-01-03_MW-NELLORE.MP3" TargetMode="External"/><Relationship Id="rId5205" Type="http://schemas.openxmlformats.org/officeDocument/2006/relationships/hyperlink" Target="https://audio.iskcondesiretree.com/01_-_Srila_Prabhupada/01_-_Lectures/01_-_English/01_-_Topic_wise/Room_Conversation/SP_Room_Conversation_Vrindavan_1976-09-09_What_Have_They_Godbrothers_Done.mp3" TargetMode="External"/><Relationship Id="rId3170" Type="http://schemas.openxmlformats.org/officeDocument/2006/relationships/hyperlink" Target="https://audio.iskcondesiretree.com/01_-_Srila_Prabhupada/01_-_Lectures/01_-_English/01_-_Topic_wise/Room_Conversation/SP_Room_Conversation_01_Perth_1975-05-13.MP3" TargetMode="External"/><Relationship Id="rId4221" Type="http://schemas.openxmlformats.org/officeDocument/2006/relationships/hyperlink" Target="https://audio.iskcondesiretree.com/01_-_Srila_Prabhupada/01_-_Lectures/01_-_English/02_-_Month_wise/02_-_Feburary/09/MW_MAY_1976-02-09_Varnashram_Dharma--How_Necessary.mp3" TargetMode="External"/><Relationship Id="rId1815" Type="http://schemas.openxmlformats.org/officeDocument/2006/relationships/hyperlink" Target="https://audio.iskcondesiretree.com/01_-_Srila_Prabhupada/01_-_Lectures/01_-_English/02_-_Month_wise/04_-_April/03/MW_BOM_1974-04-03_Brahman_is_Impersonal_But_etc.mp3" TargetMode="External"/><Relationship Id="rId3987" Type="http://schemas.openxmlformats.org/officeDocument/2006/relationships/hyperlink" Target="https://audio.iskcondesiretree.com/01_-_Srila_Prabhupada/01_-_Lectures/01_-_English/02_-_Month_wise/11_-_November/14/MW_BOM_1975-11-14_Scientific_Know-Nothings.mp3" TargetMode="External"/><Relationship Id="rId6046" Type="http://schemas.openxmlformats.org/officeDocument/2006/relationships/hyperlink" Target="https://audio.iskcondesiretree.com/01_-_Srila_Prabhupada/01_-_Lectures/01_-_English/01_-_Topic_wise/Happening/02-AC_Bhaktivedanta_Swami_-_Address_of_Swami_AC_Bhaktivedanta.mp3" TargetMode="External"/><Relationship Id="rId2589" Type="http://schemas.openxmlformats.org/officeDocument/2006/relationships/hyperlink" Target="https://audio.iskcondesiretree.com/01_-_Srila_Prabhupada/01_-_Lectures/01_-_English/02_-_Month_wise/12_-_December/07/SB-03-25-38_1974-12-07_SB-BOMBAY.MP3" TargetMode="External"/><Relationship Id="rId975" Type="http://schemas.openxmlformats.org/officeDocument/2006/relationships/hyperlink" Target="https://audio.iskcondesiretree.com/01_-_Srila_Prabhupada/01_-_Lectures/01_-_English/02_-_Month_wise/04_-_April/28/MW_LA_1973-04-28_Greedy_Pushy_Scientists.mp3" TargetMode="External"/><Relationship Id="rId2656" Type="http://schemas.openxmlformats.org/officeDocument/2006/relationships/hyperlink" Target="https://audio.iskcondesiretree.com/01_-_Srila_Prabhupada/01_-_Lectures/01_-_English/02_-_Month_wise/12_-_December/29/SB_3-26-20_BOM_1974-12-29_We%27re_All_Asleep.mp3" TargetMode="External"/><Relationship Id="rId3707" Type="http://schemas.openxmlformats.org/officeDocument/2006/relationships/hyperlink" Target="https://audio.iskcondesiretree.com/01_-_Srila_Prabhupada/01_-_Lectures/01_-_English/02_-_Month_wise/09_-_September/01/SB-06-01-64%E2%80%9365_1975-09-01_SB-VRNDAVAN.MP3" TargetMode="External"/><Relationship Id="rId5062" Type="http://schemas.openxmlformats.org/officeDocument/2006/relationships/hyperlink" Target="https://audio.iskcondesiretree.com/01_-_Srila_Prabhupada/01_-_Lectures/01_-_English/02_-_Month_wise/04_-_April/Conv_1976-08-04_EW-NEW%20MAYAPUR.MP3" TargetMode="External"/><Relationship Id="rId6113" Type="http://schemas.openxmlformats.org/officeDocument/2006/relationships/hyperlink" Target="https://audio.iskcondesiretree.com/01_-_Srila_Prabhupada/01_-_Lectures/01_-_English/01_-_Topic_wise/Krishna_Book/SP_Krsna_Book_Dict_79_-_The_Liberation_of_Balvala.mp3" TargetMode="External"/><Relationship Id="rId628" Type="http://schemas.openxmlformats.org/officeDocument/2006/relationships/hyperlink" Target="https://audio.iskcondesiretree.com/01_-_Srila_Prabhupada/01_-_Lectures/01_-_English/01_-_Topic_wise/Room_Conversation/SP_Room_Conversation_Sanand_Diego_1972-06-29_Wherever_You_Go_Your_Fortune_or--etc.mp3" TargetMode="External"/><Relationship Id="rId1258" Type="http://schemas.openxmlformats.org/officeDocument/2006/relationships/hyperlink" Target="https://audio.iskcondesiretree.com/01_-_Srila_Prabhupada/01_-_Lectures/01_-_English/01_-_Topic_wise/Bhagavad_Gita/Chapter-13/SP_BG_13-01-02_Stockholm_1973-09-07_At_University_Nature_the--etc.mp3" TargetMode="External"/><Relationship Id="rId1672" Type="http://schemas.openxmlformats.org/officeDocument/2006/relationships/hyperlink" Target="https://audio.iskcondesiretree.com/01_-_Srila_Prabhupada/01_-_Lectures/01_-_English/02_-_Month_wise/03_-_March/03/CcAdi-07-003_1974-03-03_CC-MAYAPUR.MP3" TargetMode="External"/><Relationship Id="rId2309" Type="http://schemas.openxmlformats.org/officeDocument/2006/relationships/hyperlink" Target="https://audio.iskcondesiretree.com/01_-_Srila_Prabhupada/01_-_Lectures/01_-_English/01_-_Topic_wise/Bhagavad_Gita/Chapter-04/SP_BG_04-12_Vrindavan_1974-08-04_Big_Ambition-Little_Brain.mp3" TargetMode="External"/><Relationship Id="rId2723" Type="http://schemas.openxmlformats.org/officeDocument/2006/relationships/hyperlink" Target="https://audio.iskcondesiretree.com/01_-_Srila_Prabhupada/01_-_Lectures/01_-_English/02_-_Month_wise/01_-_January/23/Bg-16-07%E2%80%9309_1975-01-23_CS-BOMBAY.MP3" TargetMode="External"/><Relationship Id="rId5879" Type="http://schemas.openxmlformats.org/officeDocument/2006/relationships/hyperlink" Target="https://audio.iskcondesiretree.com/01_-_Srila_Prabhupada/01_-_Lectures/01_-_English/02_-_Month_wise/06_-_June/19/Conv_1977-06-19_R2-VRNDAVAN.MP3" TargetMode="External"/><Relationship Id="rId1325" Type="http://schemas.openxmlformats.org/officeDocument/2006/relationships/hyperlink" Target="https://audio.iskcondesiretree.com/01_-_Srila_Prabhupada/01_-_Lectures/01_-_English/01_-_Topic_wise/Various/SP_Lecture_Bombay_1973-10-18_At_Bharati_Vidya_Bhavan.mp3" TargetMode="External"/><Relationship Id="rId3497" Type="http://schemas.openxmlformats.org/officeDocument/2006/relationships/hyperlink" Target="https://audio.iskcondesiretree.com/01_-_Srila_Prabhupada/01_-_Lectures/01_-_English/02_-_Month_wise/07_-_July/11/SB-06-01-26_1975-07-11_SB-CHICAGO.MP3" TargetMode="External"/><Relationship Id="rId4895" Type="http://schemas.openxmlformats.org/officeDocument/2006/relationships/hyperlink" Target="https://audio.iskcondesiretree.com/01_-_Srila_Prabhupada/01_-_Lectures/01_-_English/02_-_Month_wise/07_-_July/05/CcMadhya-20-100_1976-07-05_CC-WASHINGTON%20DC.MP3" TargetMode="External"/><Relationship Id="rId5946" Type="http://schemas.openxmlformats.org/officeDocument/2006/relationships/hyperlink" Target="https://audio.iskcondesiretree.com/01_-_Srila_Prabhupada/01_-_Lectures/01_-_English/02_-_Month_wise/10_-_October/14/Conv_1977-10-14_R2-VRNDAVAN.MP3" TargetMode="External"/><Relationship Id="rId31" Type="http://schemas.openxmlformats.org/officeDocument/2006/relationships/hyperlink" Target="https://audio.iskcondesiretree.com/01_-_Srila_Prabhupada/01_-_Lectures/01_-_English/02_-_Month_wise/04_-_April/19/Bg_02-55_NY_1966-04-19_Engaging_in_Devotional_Service_etc.mp3" TargetMode="External"/><Relationship Id="rId2099" Type="http://schemas.openxmlformats.org/officeDocument/2006/relationships/hyperlink" Target="https://audio.iskcondesiretree.com/01_-_Srila_Prabhupada/01_-_Lectures/01_-_English/02_-_Month_wise/06_-_June/11/SB_2-01-02_PAR_1974-06-11_From_One_Garbage_Body_to_Another.mp3" TargetMode="External"/><Relationship Id="rId4548" Type="http://schemas.openxmlformats.org/officeDocument/2006/relationships/hyperlink" Target="https://audio.iskcondesiretree.com/01_-_Srila_Prabhupada/01_-_Lectures/01_-_English/02_-_Month_wise/04_-_April/27/Interv_AUC_1976-04-27_Press--This_Religion_Is_Yours_Also.mp3" TargetMode="External"/><Relationship Id="rId4962" Type="http://schemas.openxmlformats.org/officeDocument/2006/relationships/hyperlink" Target="https://audio.iskcondesiretree.com/01_-_Srila_Prabhupada/01_-_Lectures/01_-_English/02_-_Month_wise/07_-_July/13/Cc_M_20-107_NY_1976-07-13_Well-Placed_Greed.mp3" TargetMode="External"/><Relationship Id="rId3564" Type="http://schemas.openxmlformats.org/officeDocument/2006/relationships/hyperlink" Target="https://audio.iskcondesiretree.com/01_-_Srila_Prabhupada/01_-_Lectures/01_-_English/01_-_Topic_wise/Morning_Walk/SP_Morning_Walk_-_San_Francisco_1975-07-21_Moon_Rocks_from_Arizona.mp3" TargetMode="External"/><Relationship Id="rId4615" Type="http://schemas.openxmlformats.org/officeDocument/2006/relationships/hyperlink" Target="https://audio.iskcondesiretree.com/01_-_Srila_Prabhupada/01_-_Lectures/01_-_English/02_-_Month_wise/05_-_May/17/SB-06-01-17_1976-05-17_SB-HONOLULU.MP3" TargetMode="External"/><Relationship Id="rId485" Type="http://schemas.openxmlformats.org/officeDocument/2006/relationships/hyperlink" Target="https://audio.iskcondesiretree.com/01_-_Srila_Prabhupada/01_-_Lectures/01_-_English/02_-_Month_wise/12_-_December/09/Fest_LA_1969-12-09_Bhaktisiddhanta_Disappearance.mp3" TargetMode="External"/><Relationship Id="rId2166" Type="http://schemas.openxmlformats.org/officeDocument/2006/relationships/hyperlink" Target="https://audio.iskcondesiretree.com/01_-_Srila_Prabhupada/01_-_Lectures/01_-_English/02_-_Month_wise/06_-_June/19/RC_GER_1974-06-19_Prof_Durckheim_2_Take_the_Name_of_etc.mp3" TargetMode="External"/><Relationship Id="rId2580" Type="http://schemas.openxmlformats.org/officeDocument/2006/relationships/hyperlink" Target="https://audio.iskcondesiretree.com/01_-_Srila_Prabhupada/01_-_Lectures/01_-_English/02_-_Month_wise/12_-_December/04/SB-03-25-35_1974-12-04_SB-BOMBAY.MP3" TargetMode="External"/><Relationship Id="rId3217" Type="http://schemas.openxmlformats.org/officeDocument/2006/relationships/hyperlink" Target="https://audio.iskcondesiretree.com/01_-_Srila_Prabhupada/01_-_Lectures/01_-_English/01_-_Topic_wise/Room_Conversation/SP_Room_Conversation_Melbourne_1975-05-21_Director_of_Research--Vox--etc.mp3" TargetMode="External"/><Relationship Id="rId3631" Type="http://schemas.openxmlformats.org/officeDocument/2006/relationships/hyperlink" Target="https://audio.iskcondesiretree.com/01_-_Srila_Prabhupada/01_-_Lectures/01_-_English/01_-_Topic_wise/Various/SP_Car_Conversation_Detroit_1975-08-03.MP3" TargetMode="External"/><Relationship Id="rId138" Type="http://schemas.openxmlformats.org/officeDocument/2006/relationships/hyperlink" Target="https://audio.iskcondesiretree.com/01_-_Srila_Prabhupada/01_-_Lectures/01_-_English/01_-_Topic_wise/Bhagavad_Gita/Chapter-09/SP_BG_09-15_New_York_1966-12-01_Sravanam_Kirtanam_Vishnu.mp3" TargetMode="External"/><Relationship Id="rId552" Type="http://schemas.openxmlformats.org/officeDocument/2006/relationships/hyperlink" Target="https://audio.iskcondesiretree.com/01_-_Srila_Prabhupada/01_-_Lectures/01_-_English/01_-_Topic_wise/Interview/SP_Interview_Gainesville_1971-07-29_The_Only_Way_to_Love_God_In_This_Age.mp3" TargetMode="External"/><Relationship Id="rId1182" Type="http://schemas.openxmlformats.org/officeDocument/2006/relationships/hyperlink" Target="https://audio.iskcondesiretree.com/01_-_Srila_Prabhupada/01_-_Lectures/01_-_English/01_-_Topic_wise/Bhagavad_Gita/Chapter-02/SP_BG_02-09_London_1973-08-15_Satisfying_the_Senses_and_the_Heart.mp3" TargetMode="External"/><Relationship Id="rId2233" Type="http://schemas.openxmlformats.org/officeDocument/2006/relationships/hyperlink" Target="https://audio.iskcondesiretree.com/01_-_Srila_Prabhupada/01_-_Lectures/01_-_English/01_-_Topic_wise/Room_Conversation/SP_Room_Conversation_Melbourne_1974-07-02_Scientists--Scientist_Who_Made_Your_Brain.mp3" TargetMode="External"/><Relationship Id="rId5389" Type="http://schemas.openxmlformats.org/officeDocument/2006/relationships/hyperlink" Target="https://audio.iskcondesiretree.com/01_-_Srila_Prabhupada/01_-_Lectures/01_-_English/02_-_Month_wise/11_-_November/06/Conv_1976-11-06_R1-VRNDAVAN.MP3" TargetMode="External"/><Relationship Id="rId205" Type="http://schemas.openxmlformats.org/officeDocument/2006/relationships/hyperlink" Target="https://audio.iskcondesiretree.com/01_-_Srila_Prabhupada/01_-_Lectures/01_-_English/02_-_Month_wise/01_-_January/03/Cc_M_21-001_NY_1967-01-03_They_Are_Very_Much_Serious_etc.mp3" TargetMode="External"/><Relationship Id="rId2300" Type="http://schemas.openxmlformats.org/officeDocument/2006/relationships/hyperlink" Target="https://audio.iskcondesiretree.com/01_-_Srila_Prabhupada/01_-_Lectures/01_-_English/01_-_Topic_wise/Bhagavad_Gita/Chapter-04/SP_BG_04-10_Vrindavan_1974-08-02_No_Question_of_Happiness_Here.mp3" TargetMode="External"/><Relationship Id="rId5456" Type="http://schemas.openxmlformats.org/officeDocument/2006/relationships/hyperlink" Target="https://audio.iskcondesiretree.com/01_-_Srila_Prabhupada/01_-_Lectures/01_-_English/02_-_Month_wise/11_-_November/26/SB-05-06-04_1976-11-26_SB-VRNDAVAN.MP3" TargetMode="External"/><Relationship Id="rId1999" Type="http://schemas.openxmlformats.org/officeDocument/2006/relationships/hyperlink" Target="https://audio.iskcondesiretree.com/01_-_Srila_Prabhupada/01_-_Lectures/01_-_English/01_-_Topic_wise/Morning_Walk/SP_Morning_Walk_-_Rome_1974-05-28_Stick_to_Your_Principles--People_Will_Come.mp3" TargetMode="External"/><Relationship Id="rId4058" Type="http://schemas.openxmlformats.org/officeDocument/2006/relationships/hyperlink" Target="https://audio.iskcondesiretree.com/01_-_Srila_Prabhupada/01_-_Lectures/01_-_English/01_-_Topic_wise/Srimad_Bhagavatam/Canto-07/SP_SB_7-06-05_Vrindavan_1975-12-07_Polished_Pig-ism.mp3" TargetMode="External"/><Relationship Id="rId4472" Type="http://schemas.openxmlformats.org/officeDocument/2006/relationships/hyperlink" Target="https://audio.iskcondesiretree.com/01_-_Srila_Prabhupada/01_-_Lectures/01_-_English/02_-_Month_wise/04_-_April/14/Conv_1976-04-14-R1-BOMBAY.MP3" TargetMode="External"/><Relationship Id="rId5109" Type="http://schemas.openxmlformats.org/officeDocument/2006/relationships/hyperlink" Target="https://audio.iskcondesiretree.com/01_-_Srila_Prabhupada/01_-_Lectures/01_-_English/02_-_Month_wise/08_-_August/14/Darshan_1976-08-14_ED-BOMBAY.MP3" TargetMode="External"/><Relationship Id="rId5870" Type="http://schemas.openxmlformats.org/officeDocument/2006/relationships/hyperlink" Target="https://audio.iskcondesiretree.com/01_-_Srila_Prabhupada/01_-_Lectures/01_-_English/02_-_Month_wise/05_-_May/28/PrabhupadaVigil_1977-05-28_VG-VRNDAVAN.MP3" TargetMode="External"/><Relationship Id="rId3074" Type="http://schemas.openxmlformats.org/officeDocument/2006/relationships/hyperlink" Target="https://audio.iskcondesiretree.com/01_-_Srila_Prabhupada/01_-_Lectures/01_-_English/02_-_Month_wise/04_-_April/08/CcAdi-01-015_1975-04-08_CC-MAYAPUR.MP3" TargetMode="External"/><Relationship Id="rId4125" Type="http://schemas.openxmlformats.org/officeDocument/2006/relationships/hyperlink" Target="https://audio.iskcondesiretree.com/01_-_Srila_Prabhupada/01_-_Lectures/01_-_English/02_-_Month_wise/12_-_December/25/Lect_SAN_1975-12-25_Follow_or_Folly.mp3" TargetMode="External"/><Relationship Id="rId5523" Type="http://schemas.openxmlformats.org/officeDocument/2006/relationships/hyperlink" Target="https://audio.iskcondesiretree.com/01_-_Srila_Prabhupada/01_-_Lectures/01_-_English/02_-_Month_wise/12_-_December/25/Conv_1976-12-25_R1-BOMBAY.MP3" TargetMode="External"/><Relationship Id="rId1719" Type="http://schemas.openxmlformats.org/officeDocument/2006/relationships/hyperlink" Target="https://audio.iskcondesiretree.com/01_-_Srila_Prabhupada/01_-_Lectures/01_-_English/02_-_Month_wise/03_-_March/16/Conv_1974-03-16_R2-VRNDAVAN.MP3" TargetMode="External"/><Relationship Id="rId2090" Type="http://schemas.openxmlformats.org/officeDocument/2006/relationships/hyperlink" Target="https://audio.iskcondesiretree.com/01_-_Srila_Prabhupada/01_-_Lectures/01_-_English/01_-_Topic_wise/Morning_Walk/SP_Morning_Walk_-_Paris_1974-06-11_Krishna-Background_of_Courage.mp3" TargetMode="External"/><Relationship Id="rId3141" Type="http://schemas.openxmlformats.org/officeDocument/2006/relationships/hyperlink" Target="https://audio.iskcondesiretree.com/01_-_Srila_Prabhupada/01_-_Lectures/01_-_English/02_-_Month_wise/04_-_April/24/SB_1-07-07_VRN_1975-04-24_Curing_Our_Heart_Disease.mp3" TargetMode="External"/><Relationship Id="rId3958" Type="http://schemas.openxmlformats.org/officeDocument/2006/relationships/hyperlink" Target="https://audio.iskcondesiretree.com/01_-_Srila_Prabhupada/01_-_Lectures/01_-_English/02_-_Month_wise/11_-_November/03/CcMadhya-20-101%E2%80%93104_1975-11-03_CC-BOMBAY.MP3" TargetMode="External"/><Relationship Id="rId879" Type="http://schemas.openxmlformats.org/officeDocument/2006/relationships/hyperlink" Target="https://audio.iskcondesiretree.com/01_-_Srila_Prabhupada/01_-_Lectures/01_-_English/02_-_Month_wise/12_-_December/29/Bg_13-01_BOM_1972-12-29_Bodily_Field_and_the_Tiller.mp3" TargetMode="External"/><Relationship Id="rId5380" Type="http://schemas.openxmlformats.org/officeDocument/2006/relationships/hyperlink" Target="https://audio.iskcondesiretree.com/01_-_Srila_Prabhupada/01_-_Lectures/01_-_English/02_-_Month_wise/11_-_November/04/SB-05-05-16_1976-11-04_SB-VRNDAVAN.MP3" TargetMode="External"/><Relationship Id="rId6017" Type="http://schemas.openxmlformats.org/officeDocument/2006/relationships/hyperlink" Target="https://audio.iskcondesiretree.com/01_-_Srila_Prabhupada/01_-_Lectures/01_-_English/02_-_Month_wise/11_-_November/10/Conv_1977-11-10_R2-VRNDAVAN.MP3" TargetMode="External"/><Relationship Id="rId1576" Type="http://schemas.openxmlformats.org/officeDocument/2006/relationships/hyperlink" Target="https://audio.iskcondesiretree.com/01_-_Srila_Prabhupada/01_-_Lectures/01_-_English/01_-_Topic_wise/Morning_Walk/SP_Morning_Walk_-_Tokyo_1974-01-30.mp3" TargetMode="External"/><Relationship Id="rId2974" Type="http://schemas.openxmlformats.org/officeDocument/2006/relationships/hyperlink" Target="https://audio.iskcondesiretree.com/01_-_Srila_Prabhupada/01_-_Lectures/01_-_English/01_-_Topic_wise/Interview/SP_Interview_Calcutta1975-03-21_Pseudo_Scientists_Deny_Supreme.mp3" TargetMode="External"/><Relationship Id="rId5033" Type="http://schemas.openxmlformats.org/officeDocument/2006/relationships/hyperlink" Target="https://audio.iskcondesiretree.com/01_-_Srila_Prabhupada/01_-_Lectures/01_-_English/01_-_Topic_wise/Room_Conversation/SP_Room_Conversation_Paris_1976-07-31_Vedic_Civilization_vs_None.mp3" TargetMode="External"/><Relationship Id="rId946" Type="http://schemas.openxmlformats.org/officeDocument/2006/relationships/hyperlink" Target="https://audio.iskcondesiretree.com/01_-_Srila_Prabhupada/01_-_Lectures/01_-_English/02_-_Month_wise/04_-_April/14/SB_1-08-22_LA_1973-04-14_If_You_Actually_Love_God_You_etc.mp3" TargetMode="External"/><Relationship Id="rId1229" Type="http://schemas.openxmlformats.org/officeDocument/2006/relationships/hyperlink" Target="https://audio.iskcondesiretree.com/01_-_Srila_Prabhupada/01_-_Lectures/01_-_English/01_-_Topic_wise/Morning_Walk/SP_Morning_Walk_-_London_1973-08-30_With_Schoolmaster--Keeping_People_in_Darkness.mp3" TargetMode="External"/><Relationship Id="rId1990" Type="http://schemas.openxmlformats.org/officeDocument/2006/relationships/hyperlink" Target="https://audio.iskcondesiretree.com/01_-_Srila_Prabhupada/01_-_Lectures/01_-_English/01_-_Topic_wise/Srimad_Bhagavatam/Canto-01/SP_SB_1-02-02_Rome_1974-05-26_The_Supreme_Destination_Is--etc.mp3" TargetMode="External"/><Relationship Id="rId2627" Type="http://schemas.openxmlformats.org/officeDocument/2006/relationships/hyperlink" Target="https://audio.iskcondesiretree.com/01_-_Srila_Prabhupada/01_-_Lectures/01_-_English/01_-_Topic_wise/Srimad_Bhagavatam/Canto-03/SP_SB_3-26-08_Bombay_1974-12-20_The_Enjoyer_Mentality.mp3" TargetMode="External"/><Relationship Id="rId5100" Type="http://schemas.openxmlformats.org/officeDocument/2006/relationships/hyperlink" Target="https://audio.iskcondesiretree.com/01_-_Srila_Prabhupada/01_-_Lectures/01_-_English/02_-_Month_wise/08_-_August/12/RC_TEH_1976-08-12_God_Is_Great-How_Great.mp3" TargetMode="External"/><Relationship Id="rId1643" Type="http://schemas.openxmlformats.org/officeDocument/2006/relationships/hyperlink" Target="https://audio.iskcondesiretree.com/01_-_Srila_Prabhupada/01_-_Lectures/01_-_English/02_-_Month_wise/02_-_Feburary/23/Bg_07-08_BOM_1974-02-23_Try_to_Experience_Krishna.mp3" TargetMode="External"/><Relationship Id="rId4799" Type="http://schemas.openxmlformats.org/officeDocument/2006/relationships/hyperlink" Target="https://audio.iskcondesiretree.com/01_-_Srila_Prabhupada/01_-_Lectures/01_-_English/02_-_Month_wise/06_-_June/21/MW_TOR_1976-06-21_Everyone_Wants_to_Become_Krishna.mp3" TargetMode="External"/><Relationship Id="rId1710" Type="http://schemas.openxmlformats.org/officeDocument/2006/relationships/hyperlink" Target="https://audio.iskcondesiretree.com/01_-_Srila_Prabhupada/01_-_Lectures/01_-_English/02_-_Month_wise/03_-_March/15/CcAdi-07-008_1974-03-15_CC-VRNDAVAN.MP3" TargetMode="External"/><Relationship Id="rId4866" Type="http://schemas.openxmlformats.org/officeDocument/2006/relationships/hyperlink" Target="https://audio.iskcondesiretree.com/01_-_Srila_Prabhupada/01_-_Lectures/01_-_English/02_-_Month_wise/06_-_June/30/SB_7-06-16_NV_1976-06-30_Material_Entrapment.mp3" TargetMode="External"/><Relationship Id="rId5917" Type="http://schemas.openxmlformats.org/officeDocument/2006/relationships/hyperlink" Target="https://audio.iskcondesiretree.com/01_-_Srila_Prabhupada/01_-_Lectures/01_-_English/02_-_Month_wise/07_-_July/17/Conv_1977-07-17_R1-VRNDAVAN.MP3" TargetMode="External"/><Relationship Id="rId3468" Type="http://schemas.openxmlformats.org/officeDocument/2006/relationships/hyperlink" Target="https://audio.iskcondesiretree.com/01_-_Srila_Prabhupada/01_-_Lectures/01_-_English/01_-_Topic_wise/Room_Conversation/SP_Room_Conversation_Chicago_1975-07-09_Can_You_Pass_a_Resolution.mp3" TargetMode="External"/><Relationship Id="rId3882" Type="http://schemas.openxmlformats.org/officeDocument/2006/relationships/hyperlink" Target="https://audio.iskcondesiretree.com/01_-_Srila_Prabhupada/01_-_Lectures/01_-_English/02_-_Month_wise/10_-_October/17/Bg-02-01%E2%80%9311_1975-10-17_BG-JOHANNESBURG.MP3" TargetMode="External"/><Relationship Id="rId4519" Type="http://schemas.openxmlformats.org/officeDocument/2006/relationships/hyperlink" Target="https://audio.iskcondesiretree.com/01_-_Srila_Prabhupada/01_-_Lectures/01_-_English/02_-_Month_wise/04_-_April/22/Conv_1976-04-22_R3-MELBOURNE.MP3" TargetMode="External"/><Relationship Id="rId4933" Type="http://schemas.openxmlformats.org/officeDocument/2006/relationships/hyperlink" Target="https://audio.iskcondesiretree.com/01_-_Srila_Prabhupada/01_-_Lectures/01_-_English/02_-_Month_wise/07_-_July/08/Darshan_1976-07-08_ED-WASHINGTON%20DC.MP3" TargetMode="External"/><Relationship Id="rId389" Type="http://schemas.openxmlformats.org/officeDocument/2006/relationships/hyperlink" Target="https://audio.iskcondesiretree.com/01_-_Srila_Prabhupada/01_-_Lectures/01_-_English/01_-_Topic_wise/Festivals/SP_Festivals_Hawaii_1969-03-27_Rama_Navami.mp3" TargetMode="External"/><Relationship Id="rId2484" Type="http://schemas.openxmlformats.org/officeDocument/2006/relationships/hyperlink" Target="https://audio.iskcondesiretree.com/01_-_Srila_Prabhupada/01_-_Lectures/01_-_English/02_-_Month_wise/11_-_November/01/SB_3-25-01_BOM_1974-11-01_Fire_Is_Fire_Gold_Is_Gold_etc.mp3" TargetMode="External"/><Relationship Id="rId3535" Type="http://schemas.openxmlformats.org/officeDocument/2006/relationships/hyperlink" Target="https://audio.iskcondesiretree.com/01_-_Srila_Prabhupada/01_-_Lectures/01_-_English/02_-_Month_wise/07_-_July/16/MW_SF_1975-07-16_Become_a_Tree_at_the_University.mp3" TargetMode="External"/><Relationship Id="rId456" Type="http://schemas.openxmlformats.org/officeDocument/2006/relationships/hyperlink" Target="https://audio.iskcondesiretree.com/01_-_Srila_Prabhupada/01_-_Lectures/01_-_English/01_-_Topic_wise/Srimad_Bhagavatam/More/SP_SB_Lect_Los_Angeles_1969-07-12_This_Life_Is_Very_Valuable.mp3" TargetMode="External"/><Relationship Id="rId870" Type="http://schemas.openxmlformats.org/officeDocument/2006/relationships/hyperlink" Target="https://audio.iskcondesiretree.com/01_-_Srila_Prabhupada/01_-_Lectures/01_-_English/01_-_Topic_wise/Nectar_Of_Devotion/SP_NOD_Pg-10_Bombay_1972-12-26_-_Transcendental_Morality.mp3" TargetMode="External"/><Relationship Id="rId1086" Type="http://schemas.openxmlformats.org/officeDocument/2006/relationships/hyperlink" Target="https://audio.iskcondesiretree.com/01_-_Srila_Prabhupada/01_-_Lectures/01_-_English/01_-_Topic_wise/Bhagavad_Gita/Chapter-01/SP_BG_01-13_London_1973-07-14_People_Want_to_Be_Cheated.mp3" TargetMode="External"/><Relationship Id="rId2137" Type="http://schemas.openxmlformats.org/officeDocument/2006/relationships/hyperlink" Target="https://audio.iskcondesiretree.com/01_-_Srila_Prabhupada/01_-_Lectures/01_-_English/02_-_Month_wise/06_-_June/14/SB-02-01-06_1974-06-14_SB-PARIS.MP3" TargetMode="External"/><Relationship Id="rId2551" Type="http://schemas.openxmlformats.org/officeDocument/2006/relationships/hyperlink" Target="https://audio.iskcondesiretree.com/01_-_Srila_Prabhupada/01_-_Lectures/01_-_English/02_-_Month_wise/11_-_November/24/SB_3-25-24_BOM_1974-11-24_Association_of_Devotees.mp3" TargetMode="External"/><Relationship Id="rId109" Type="http://schemas.openxmlformats.org/officeDocument/2006/relationships/hyperlink" Target="https://audio.iskcondesiretree.com/01_-_Srila_Prabhupada/01_-_Lectures/01_-_English/02_-_Month_wise/11_-_November/21/Bg_08-28_NY_1966-11-21_This_Knowledge_Is_the_King_of_etc.mp3" TargetMode="External"/><Relationship Id="rId523" Type="http://schemas.openxmlformats.org/officeDocument/2006/relationships/hyperlink" Target="https://audio.iskcondesiretree.com/01_-_Srila_Prabhupada/01_-_Lectures/01_-_English/02_-_Month_wise/02_-_Feburary/15/Fest_GOR_1971-02-15_Bhaktisiddhanta_Appearance_PM.mp3" TargetMode="External"/><Relationship Id="rId1153" Type="http://schemas.openxmlformats.org/officeDocument/2006/relationships/hyperlink" Target="https://audio.iskcondesiretree.com/01_-_Srila_Prabhupada/01_-_Lectures/01_-_English/01_-_Topic_wise/Morning_Walk/SP_Morning_Walk_-_Paris_1973-08-09_Animal_Killing.mp3" TargetMode="External"/><Relationship Id="rId2204" Type="http://schemas.openxmlformats.org/officeDocument/2006/relationships/hyperlink" Target="https://audio.iskcondesiretree.com/01_-_Srila_Prabhupada/01_-_Lectures/01_-_English/02_-_Month_wise/06_-_June/28/Lect_MEL_1974-06-28_At_Franciscan_Seminary-The_Human_etc.mp3" TargetMode="External"/><Relationship Id="rId3602" Type="http://schemas.openxmlformats.org/officeDocument/2006/relationships/hyperlink" Target="https://audio.iskcondesiretree.com/01_-_Srila_Prabhupada/01_-_Lectures/01_-_English/01_-_Topic_wise/Morning_Walk/SP_Morning_Walk_-_San_Diego_1975-07-28.MP3" TargetMode="External"/><Relationship Id="rId5774" Type="http://schemas.openxmlformats.org/officeDocument/2006/relationships/hyperlink" Target="https://audio.iskcondesiretree.com/01_-_Srila_Prabhupada/01_-_Lectures/01_-_English/02_-_Month_wise/03_-_March/27/Conv_1977-03-27_R4-BOMBAY.MP3" TargetMode="External"/><Relationship Id="rId1220" Type="http://schemas.openxmlformats.org/officeDocument/2006/relationships/hyperlink" Target="https://audio.iskcondesiretree.com/01_-_Srila_Prabhupada/01_-_Lectures/01_-_English/02_-_Month_wise/08_-_August/26/Bg_02-21_LON_1973-08-26_Your_Body_Is_Ready_Sir--Come%21.mp3" TargetMode="External"/><Relationship Id="rId4376" Type="http://schemas.openxmlformats.org/officeDocument/2006/relationships/hyperlink" Target="https://audio.iskcondesiretree.com/01_-_Srila_Prabhupada/01_-_Lectures/01_-_English/02_-_Month_wise/03_-_March/17/SB-07-09-39_1976-03-17_SB-MAYAPUR.MP3" TargetMode="External"/><Relationship Id="rId4790" Type="http://schemas.openxmlformats.org/officeDocument/2006/relationships/hyperlink" Target="https://audio.iskcondesiretree.com/01_-_Srila_Prabhupada/01_-_Lectures/01_-_English/01_-_Topic_wise/Various/SP_Lecture_Toronto_1976-06-20_Sunday_Feast--Don%27t_Forget_Your_Heritage.mp3" TargetMode="External"/><Relationship Id="rId5427" Type="http://schemas.openxmlformats.org/officeDocument/2006/relationships/hyperlink" Target="https://audio.iskcondesiretree.com/01_-_Srila_Prabhupada/01_-_Lectures/01_-_English/02_-_Month_wise/11_-_November/15/SB_5-05-28_VRN_1976-11-15_Maharajas_and_Maha-rascals.mp3" TargetMode="External"/><Relationship Id="rId5841" Type="http://schemas.openxmlformats.org/officeDocument/2006/relationships/hyperlink" Target="https://audio.iskcondesiretree.com/01_-_Srila_Prabhupada/01_-_Lectures/01_-_English/02_-_Month_wise/05_-_May/11/Darshan_1977-05-11_ED-RISHIKESH.MP3" TargetMode="External"/><Relationship Id="rId3392" Type="http://schemas.openxmlformats.org/officeDocument/2006/relationships/hyperlink" Target="https://audio.iskcondesiretree.com/01_-_Srila_Prabhupada/01_-_Lectures/01_-_English/02_-_Month_wise/06_-_June/28/MW_DEN_1975-06-28_Dog_Race_in_a_Dangerous_Place.mp3" TargetMode="External"/><Relationship Id="rId4029" Type="http://schemas.openxmlformats.org/officeDocument/2006/relationships/hyperlink" Target="https://audio.iskcondesiretree.com/01_-_Srila_Prabhupada/01_-_Lectures/01_-_English/01_-_Topic_wise/Srimad_Bhagavatam/Canto-05/SP_SB_5-05-01_Delhi_1975-11-28_Hog_Civilization.mp3" TargetMode="External"/><Relationship Id="rId4443" Type="http://schemas.openxmlformats.org/officeDocument/2006/relationships/hyperlink" Target="https://audio.iskcondesiretree.com/01_-_Srila_Prabhupada/01_-_Lectures/01_-_English/02_-_Month_wise/04_-_April/07/SB_7-09-52_VRN_1976-04-07_Nondevotees_Cruel_Cruel_Cruel.mp3" TargetMode="External"/><Relationship Id="rId3045" Type="http://schemas.openxmlformats.org/officeDocument/2006/relationships/hyperlink" Target="https://audio.iskcondesiretree.com/01_-_Srila_Prabhupada/01_-_Lectures/01_-_English/01_-_Topic_wise/Morning_Walk/SP_Morning_Walk_-_Mayapur_1975-04-04_Preparing_for_World_War_Three.mp3" TargetMode="External"/><Relationship Id="rId4510" Type="http://schemas.openxmlformats.org/officeDocument/2006/relationships/hyperlink" Target="https://audio.iskcondesiretree.com/01_-_Srila_Prabhupada/01_-_Lectures/01_-_English/02_-_Month_wise/04_-_April/21/Bg_09-03_MEL_1976-04-21_Serve_God_or_Serve_Dog.mp3" TargetMode="External"/><Relationship Id="rId380" Type="http://schemas.openxmlformats.org/officeDocument/2006/relationships/hyperlink" Target="https://audio.iskcondesiretree.com/01_-_Srila_Prabhupada/01_-_Lectures/01_-_English/02_-_Month_wise/02_-_Feburary/19/Bg_06-30_LA_1969-02-19_Yoga_System--UNIVERSAL_LOVE_etc.mp3" TargetMode="External"/><Relationship Id="rId2061" Type="http://schemas.openxmlformats.org/officeDocument/2006/relationships/hyperlink" Target="https://audio.iskcondesiretree.com/01_-_Srila_Prabhupada/01_-_Lectures/01_-_English/02_-_Month_wise/06_-_June/05/Walk_1974-06-05_MW-GENEVA.MP3" TargetMode="External"/><Relationship Id="rId3112" Type="http://schemas.openxmlformats.org/officeDocument/2006/relationships/hyperlink" Target="https://audio.iskcondesiretree.com/01_-_Srila_Prabhupada/01_-_Lectures/01_-_English/01_-_Topic_wise/Srimad_Bhagavatam/Canto-05/SP_SB_5-05-02_Hyderabad_1975-04-15_How_to_Find_a_Grhasta-mahatma.mp3" TargetMode="External"/><Relationship Id="rId5284" Type="http://schemas.openxmlformats.org/officeDocument/2006/relationships/hyperlink" Target="https://audio.iskcondesiretree.com/01_-_Srila_Prabhupada/01_-_Lectures/01_-_English/02_-_Month_wise/09_-_September/30/Conv_1976-09-30_R1-VRNDAVAN.MP3" TargetMode="External"/><Relationship Id="rId100" Type="http://schemas.openxmlformats.org/officeDocument/2006/relationships/hyperlink" Target="https://audio.iskcondesiretree.com/01_-_Srila_Prabhupada/01_-_Lectures/01_-_English/01_-_Topic_wise/Bhagavad_Gita/Chapter-08/SP_BG_08-15-20_New_York_1966-11-17_Nature_of_the_Material_World--etc.mp3" TargetMode="External"/><Relationship Id="rId2878" Type="http://schemas.openxmlformats.org/officeDocument/2006/relationships/hyperlink" Target="https://audio.iskcondesiretree.com/01_-_Srila_Prabhupada/01_-_Lectures/01_-_English/02_-_Month_wise/03_-_March/01/CcAdi-07-001_1975-03-01_CC-ATLANTA.MP3" TargetMode="External"/><Relationship Id="rId3929" Type="http://schemas.openxmlformats.org/officeDocument/2006/relationships/hyperlink" Target="https://audio.iskcondesiretree.com/01_-_Srila_Prabhupada/01_-_Lectures/01_-_English/01_-_Topic_wise/Srimad_Bhagavatam/Canto-03/SP_SB_3-28-19_Nairobi_1975-10-29_Krishna%27s_Impression_in_Heart.mp3" TargetMode="External"/><Relationship Id="rId1894" Type="http://schemas.openxmlformats.org/officeDocument/2006/relationships/hyperlink" Target="https://audio.iskcondesiretree.com/01_-_Srila_Prabhupada/01_-_Lectures/01_-_English/02_-_Month_wise/04_-_April/18/Walk_1974-04-18_MW-BOMBAY.MP3" TargetMode="External"/><Relationship Id="rId2945" Type="http://schemas.openxmlformats.org/officeDocument/2006/relationships/hyperlink" Target="https://audio.iskcondesiretree.com/01_-_Srila_Prabhupada/01_-_Lectures/01_-_English/02_-_Month_wise/03_-_March/12/Departure_1975-03-12_DP-LONDON.MP3" TargetMode="External"/><Relationship Id="rId5351" Type="http://schemas.openxmlformats.org/officeDocument/2006/relationships/hyperlink" Target="https://audio.iskcondesiretree.com/01_-_Srila_Prabhupada/01_-_Lectures/01_-_English/02_-_Month_wise/10_-_October/28/SB-05-05-06_1976-10-28_SB-VRNDAVAN.MP3" TargetMode="External"/><Relationship Id="rId917" Type="http://schemas.openxmlformats.org/officeDocument/2006/relationships/hyperlink" Target="https://audio.iskcondesiretree.com/01_-_Srila_Prabhupada/01_-_Lectures/01_-_English/02_-_Month_wise/01_-_January/30/NOD_Pg-33_CAL_1973-01-30_A_Devotee%27s_Pleasure.mp3" TargetMode="External"/><Relationship Id="rId1547" Type="http://schemas.openxmlformats.org/officeDocument/2006/relationships/hyperlink" Target="https://audio.iskcondesiretree.com/01_-_Srila_Prabhupada/01_-_Lectures/01_-_English/01_-_Topic_wise/Srimad_Bhagavatam/Canto-01/SP_SB_1-16-23_Hawaii_1974-01-19_Beware_the_Busy_Fool.mp3" TargetMode="External"/><Relationship Id="rId1961" Type="http://schemas.openxmlformats.org/officeDocument/2006/relationships/hyperlink" Target="https://audio.iskcondesiretree.com/01_-_Srila_Prabhupada/01_-_Lectures/01_-_English/02_-_Month_wise/05_-_May/08/Walk_1974-05-08_MW-BOMBAY.MP3" TargetMode="External"/><Relationship Id="rId5004" Type="http://schemas.openxmlformats.org/officeDocument/2006/relationships/hyperlink" Target="https://audio.iskcondesiretree.com/01_-_Srila_Prabhupada/01_-_Lectures/01_-_English/02_-_Month_wise/07_-_July/20/CcMadhya-20-112_1976-07-20_CC-NEW%20YORK.MP3" TargetMode="External"/><Relationship Id="rId1614" Type="http://schemas.openxmlformats.org/officeDocument/2006/relationships/hyperlink" Target="https://audio.iskcondesiretree.com/01_-_Srila_Prabhupada/01_-_Lectures/01_-_English/02_-_Month_wise/02_-_Feburary/13/Bg-04-05_1974-02-13_BG-VRNDAVAN.MP3" TargetMode="External"/><Relationship Id="rId4020" Type="http://schemas.openxmlformats.org/officeDocument/2006/relationships/hyperlink" Target="https://audio.iskcondesiretree.com/01_-_Srila_Prabhupada/01_-_Lectures/01_-_English/01_-_Topic_wise/Morning_Walk/SP_Morning_Walk_-_Bombay_1975-11-24_No_Rain-Chant.mp3" TargetMode="External"/><Relationship Id="rId3786" Type="http://schemas.openxmlformats.org/officeDocument/2006/relationships/hyperlink" Target="https://audio.iskcondesiretree.com/01_-_Srila_Prabhupada/01_-_Lectures/01_-_English/01_-_Topic_wise/Morning_Walk/SP_Morning_Walk_-_Ahmedabad_1975-09-26.MP3" TargetMode="External"/><Relationship Id="rId6192" Type="http://schemas.openxmlformats.org/officeDocument/2006/relationships/hyperlink" Target="https://audio.iskcondesiretree.com/01_-_Srila_Prabhupada/01_-_Lectures/03_-_Hindi/SP_Hindi_20_Lectures_%26_Conversations.mp3" TargetMode="External"/><Relationship Id="rId2388" Type="http://schemas.openxmlformats.org/officeDocument/2006/relationships/hyperlink" Target="https://audio.iskcondesiretree.com/01_-_Srila_Prabhupada/01_-_Lectures/01_-_English/01_-_Topic_wise/Srimad_Bhagavatam/Canto-01/SP_SB_1-02-19_Calcutta_1974-09-27_Understanding-Krishna%27s_Mercy.mp3" TargetMode="External"/><Relationship Id="rId3439" Type="http://schemas.openxmlformats.org/officeDocument/2006/relationships/hyperlink" Target="https://audio.iskcondesiretree.com/01_-_Srila_Prabhupada/01_-_Lectures/01_-_English/01_-_Topic_wise/Srimad_Bhagavatam/Canto-06/SP_SB_6-01-21_Chicago_1975-07-05_How_to_Prevent_Crime.mp3" TargetMode="External"/><Relationship Id="rId4837" Type="http://schemas.openxmlformats.org/officeDocument/2006/relationships/hyperlink" Target="https://audio.iskcondesiretree.com/01_-_Srila_Prabhupada/01_-_Lectures/01_-_English/02_-_Month_wise/06_-_June/27/SB_7-06-11_NV_1976-06-27_Natural_Detachment.mp3" TargetMode="External"/><Relationship Id="rId3853" Type="http://schemas.openxmlformats.org/officeDocument/2006/relationships/hyperlink" Target="https://audio.iskcondesiretree.com/01_-_Srila_Prabhupada/01_-_Lectures/01_-_English/01_-_Topic_wise/Morning_Walk/SP_Morning_Walk_-_Durban_1975-10-13_Modern_Primitives.mp3" TargetMode="External"/><Relationship Id="rId4904" Type="http://schemas.openxmlformats.org/officeDocument/2006/relationships/hyperlink" Target="https://audio.iskcondesiretree.com/01_-_Srila_Prabhupada/01_-_Lectures/01_-_English/01_-_Topic_wise/Various/SP_Lecture_Washington_DC_1976-07-06_At_10th_Anniversary_of_ISKCON--etc.mp3" TargetMode="External"/><Relationship Id="rId774" Type="http://schemas.openxmlformats.org/officeDocument/2006/relationships/hyperlink" Target="https://audio.iskcondesiretree.com/01_-_Srila_Prabhupada/01_-_Lectures/01_-_English/02_-_Month_wise/11_-_November/02/NOD_08_VRN_1972-11-02_The_Complete_Science_of_Bhakti-Yoga.mp3" TargetMode="External"/><Relationship Id="rId1057" Type="http://schemas.openxmlformats.org/officeDocument/2006/relationships/hyperlink" Target="https://audio.iskcondesiretree.com/01_-_Srila_Prabhupada/01_-_Lectures/01_-_English/02_-_Month_wise/07_-_July/07/Arr_LON_1973-07-07_Bhakti_Science_Is_Very_Simple.mp3" TargetMode="External"/><Relationship Id="rId2455" Type="http://schemas.openxmlformats.org/officeDocument/2006/relationships/hyperlink" Target="https://audio.iskcondesiretree.com/01_-_Srila_Prabhupada/01_-_Lectures/01_-_English/01_-_Topic_wise/Srimad_Bhagavatam/Canto-01/SP_SB_1-08-41_Mayapur_1974-10-21_The_Ropes_of_Affection.mp3" TargetMode="External"/><Relationship Id="rId3506" Type="http://schemas.openxmlformats.org/officeDocument/2006/relationships/hyperlink" Target="https://audio.iskcondesiretree.com/01_-_Srila_Prabhupada/01_-_Lectures/01_-_English/02_-_Month_wise/07_-_July/12/SB-06-01-27_1975-07-12_SB-PHILADELPHIA.MP3" TargetMode="External"/><Relationship Id="rId3920" Type="http://schemas.openxmlformats.org/officeDocument/2006/relationships/hyperlink" Target="https://audio.iskcondesiretree.com/01_-_Srila_Prabhupada/01_-_Lectures/01_-_English/02_-_Month_wise/10_-_October/27/SB-03-28-18_1975-10-27_SB-NAIROBI.MP3" TargetMode="External"/><Relationship Id="rId427" Type="http://schemas.openxmlformats.org/officeDocument/2006/relationships/hyperlink" Target="https://audio.iskcondesiretree.com/01_-_Srila_Prabhupada/01_-_Lectures/01_-_English/02_-_Month_wise/05_-_May/12/RC_COL_1969-05-12_Allen_Ginsberg_Our_Krishna_is_Love.mp3" TargetMode="External"/><Relationship Id="rId841" Type="http://schemas.openxmlformats.org/officeDocument/2006/relationships/hyperlink" Target="https://audio.iskcondesiretree.com/01_-_Srila_Prabhupada/01_-_Lectures/01_-_English/02_-_Month_wise/11_-_November/27/Bg_02-23_HYD_1972-11-27_The_Indestructible_Soul.mp3" TargetMode="External"/><Relationship Id="rId1471" Type="http://schemas.openxmlformats.org/officeDocument/2006/relationships/hyperlink" Target="https://audio.iskcondesiretree.com/01_-_Srila_Prabhupada/01_-_Lectures/01_-_English/02_-_Month_wise/01_-_January/01/SB_1-16-04_LA_1974-01-01_Kali_Began_with_Animal_Killing.mp3" TargetMode="External"/><Relationship Id="rId2108" Type="http://schemas.openxmlformats.org/officeDocument/2006/relationships/hyperlink" Target="https://audio.iskcondesiretree.com/01_-_Srila_Prabhupada/01_-_Lectures/01_-_English/02_-_Month_wise/06_-_June/12/Conv_1974-06-12_R2-PARIS.MP3" TargetMode="External"/><Relationship Id="rId2522" Type="http://schemas.openxmlformats.org/officeDocument/2006/relationships/hyperlink" Target="https://audio.iskcondesiretree.com/01_-_Srila_Prabhupada/01_-_Lectures/01_-_English/02_-_Month_wise/11_-_November/15/SB-03-25-15_1974-11-15_SB-BOMBAY.MP3" TargetMode="External"/><Relationship Id="rId5678" Type="http://schemas.openxmlformats.org/officeDocument/2006/relationships/hyperlink" Target="https://audio.iskcondesiretree.com/01_-_Srila_Prabhupada/01_-_Lectures/01_-_English/02_-_Month_wise/02_-_Feburary/03/Conv_1977-02-03_R2-BHUBANESWAR.MP3" TargetMode="External"/><Relationship Id="rId1124" Type="http://schemas.openxmlformats.org/officeDocument/2006/relationships/hyperlink" Target="https://audio.iskcondesiretree.com/01_-_Srila_Prabhupada/01_-_Lectures/01_-_English/01_-_Topic_wise/Bhagavad_Gita/Chapter-01/SP_BG_01-36_London_1973-07-26_Devotee_Has_All_Good_Qualities.mp3" TargetMode="External"/><Relationship Id="rId4694" Type="http://schemas.openxmlformats.org/officeDocument/2006/relationships/hyperlink" Target="https://audio.iskcondesiretree.com/01_-_Srila_Prabhupada/01_-_Lectures/01_-_English/01_-_Topic_wise/Srimad_Bhagavatam/Canto-06/SP_SB_6-01-40_Los_Angeles_1976-06-06_Graduates_of_Transcendental_Tech.mp3" TargetMode="External"/><Relationship Id="rId5745" Type="http://schemas.openxmlformats.org/officeDocument/2006/relationships/hyperlink" Target="https://audio.iskcondesiretree.com/01_-_Srila_Prabhupada/01_-_Lectures/01_-_English/02_-_Month_wise/02_-_Feburary/28/Conv_1977-02-28_R2-MAYAPUR.MP3" TargetMode="External"/><Relationship Id="rId3296" Type="http://schemas.openxmlformats.org/officeDocument/2006/relationships/hyperlink" Target="https://audio.iskcondesiretree.com/01_-_Srila_Prabhupada/01_-_Lectures/01_-_English/02_-_Month_wise/06_-_June/15/Conv_1975-06-15_R2-HONOLULU.MP3" TargetMode="External"/><Relationship Id="rId4347" Type="http://schemas.openxmlformats.org/officeDocument/2006/relationships/hyperlink" Target="https://audio.iskcondesiretree.com/01_-_Srila_Prabhupada/01_-_Lectures/01_-_English/01_-_Topic_wise/Morning_Walk/SP_Morning_Walk_-_Mayapur_1976-03-12_One_Should_Give_to_Temple.mp3" TargetMode="External"/><Relationship Id="rId4761" Type="http://schemas.openxmlformats.org/officeDocument/2006/relationships/hyperlink" Target="https://audio.iskcondesiretree.com/01_-_Srila_Prabhupada/01_-_Lectures/01_-_English/01_-_Topic_wise/Srimad_Bhagavatam/Canto-06/SP_SB_6-01-50_Detroit_1976-06-16_Medicine_for_Conditioned_Mind.mp3" TargetMode="External"/><Relationship Id="rId3363" Type="http://schemas.openxmlformats.org/officeDocument/2006/relationships/hyperlink" Target="https://audio.iskcondesiretree.com/01_-_Srila_Prabhupada/01_-_Lectures/01_-_English/01_-_Topic_wise/Morning_Walk/SP_Morning_Walk_-_Los_Angeles_1975-06-25_Here_Is_God--Why_Not_Accept.mp3" TargetMode="External"/><Relationship Id="rId4414" Type="http://schemas.openxmlformats.org/officeDocument/2006/relationships/hyperlink" Target="https://audio.iskcondesiretree.com/01_-_Srila_Prabhupada/01_-_Lectures/01_-_English/02_-_Month_wise/03_-_March/26/Walk_1976-03-26_MW-DELHI.MP3" TargetMode="External"/><Relationship Id="rId5812" Type="http://schemas.openxmlformats.org/officeDocument/2006/relationships/hyperlink" Target="https://audio.iskcondesiretree.com/01_-_Srila_Prabhupada/01_-_Lectures/01_-_English/02_-_Month_wise/04_-_April/20/Conv_1977-04-20_R1-BOMBAY.MP3" TargetMode="External"/><Relationship Id="rId284" Type="http://schemas.openxmlformats.org/officeDocument/2006/relationships/hyperlink" Target="https://audio.iskcondesiretree.com/01_-_Srila_Prabhupada/01_-_Lectures/01_-_English/01_-_Topic_wise/Festivals/SP_Festivals_Seattle_1968-10-21_Disappearance_of_Keshava_Maharaja.mp3" TargetMode="External"/><Relationship Id="rId3016" Type="http://schemas.openxmlformats.org/officeDocument/2006/relationships/hyperlink" Target="https://audio.iskcondesiretree.com/01_-_Srila_Prabhupada/01_-_Lectures/01_-_English/01_-_Topic_wise/Chaitanya_Charitamrita/Adi_Lila/SP_CC_A_01-07_Mayapur_1975-03-31_Ever_Expanding_Life_with_Krishna.mp3" TargetMode="External"/><Relationship Id="rId3430" Type="http://schemas.openxmlformats.org/officeDocument/2006/relationships/hyperlink" Target="https://audio.iskcondesiretree.com/01_-_Srila_Prabhupada/01_-_Lectures/01_-_English/02_-_Month_wise/07_-_July/04/Conv_1975-07-04_R1-CHICAGO.MP3" TargetMode="External"/><Relationship Id="rId5188" Type="http://schemas.openxmlformats.org/officeDocument/2006/relationships/hyperlink" Target="https://audio.iskcondesiretree.com/01_-_Srila_Prabhupada/01_-_Lectures/01_-_English/02_-_Month_wise/09_-_September/05/SB-01-07-06_1976-09-05_SB-VRNDAVAN.MP3" TargetMode="External"/><Relationship Id="rId351" Type="http://schemas.openxmlformats.org/officeDocument/2006/relationships/hyperlink" Target="https://audio.iskcondesiretree.com/01_-_Srila_Prabhupada/01_-_Lectures/01_-_English/01_-_Topic_wise/Bhagavad_Gita/Chapter-04/SP_BG_04-06-10_Los_Angeles_1969-01-06_The_Krishna_Consciousness--etc.mp3" TargetMode="External"/><Relationship Id="rId2032" Type="http://schemas.openxmlformats.org/officeDocument/2006/relationships/hyperlink" Target="https://audio.iskcondesiretree.com/01_-_Srila_Prabhupada/01_-_Lectures/01_-_English/02_-_Month_wise/06_-_June/01/Walk_1974-06-01_MW-GENEVA.MP3" TargetMode="External"/><Relationship Id="rId1798" Type="http://schemas.openxmlformats.org/officeDocument/2006/relationships/hyperlink" Target="https://audio.iskcondesiretree.com/01_-_Srila_Prabhupada/01_-_Lectures/01_-_English/02_-_Month_wise/04_-_April/01/Bg-04-12_1974-04-01_BG-BOMBAY.MP3" TargetMode="External"/><Relationship Id="rId2849" Type="http://schemas.openxmlformats.org/officeDocument/2006/relationships/hyperlink" Target="https://audio.iskcondesiretree.com/01_-_Srila_Prabhupada/01_-_Lectures/01_-_English/01_-_Topic_wise/Bhagavad_Gita/Chapter-13/SP_BG_13-01-02_Miami_1975-02-25_Technical_Education--etc.MP3" TargetMode="External"/><Relationship Id="rId5255" Type="http://schemas.openxmlformats.org/officeDocument/2006/relationships/hyperlink" Target="https://audio.iskcondesiretree.com/01_-_Srila_Prabhupada/01_-_Lectures/01_-_English/02_-_Month_wise/09_-_September/23/SB-01-07-26_1976-09-23_SB-VRNDAVAN.MP3" TargetMode="External"/><Relationship Id="rId1865" Type="http://schemas.openxmlformats.org/officeDocument/2006/relationships/hyperlink" Target="https://audio.iskcondesiretree.com/01_-_Srila_Prabhupada/01_-_Lectures/01_-_English/01_-_Topic_wise/Bhagavad_Gita/Chapter-04/SP_BG_04-24_Bombay_1974-04-13_You_Can%27t_Separate_Anything.mp3" TargetMode="External"/><Relationship Id="rId4271" Type="http://schemas.openxmlformats.org/officeDocument/2006/relationships/hyperlink" Target="https://audio.iskcondesiretree.com/01_-_Srila_Prabhupada/01_-_Lectures/01_-_English/02_-_Month_wise/02_-_Feburary/22/Walk_1976-02-22_MW-MAYAPUR.MP3" TargetMode="External"/><Relationship Id="rId5322" Type="http://schemas.openxmlformats.org/officeDocument/2006/relationships/hyperlink" Target="https://audio.iskcondesiretree.com/01_-_Srila_Prabhupada/01_-_Lectures/01_-_English/02_-_Month_wise/10_-_October/09/Conv_1976-10-09_R1-ALIGARH.MP3" TargetMode="External"/><Relationship Id="rId1518" Type="http://schemas.openxmlformats.org/officeDocument/2006/relationships/hyperlink" Target="https://audio.iskcondesiretree.com/01_-_Srila_Prabhupada/01_-_Lectures/01_-_English/02_-_Month_wise/01_-_January/11/Walk_1974-01-11_MW-LOS_ANGELES.MP3" TargetMode="External"/><Relationship Id="rId2916" Type="http://schemas.openxmlformats.org/officeDocument/2006/relationships/hyperlink" Target="https://audio.iskcondesiretree.com/01_-_Srila_Prabhupada/01_-_Lectures/01_-_English/01_-_Topic_wise/Srimad_Bhagavatam/Canto-01/SP_SB_1-15-27_New_York_1975-03-06.MP3" TargetMode="External"/><Relationship Id="rId1932" Type="http://schemas.openxmlformats.org/officeDocument/2006/relationships/hyperlink" Target="https://audio.iskcondesiretree.com/01_-_Srila_Prabhupada/01_-_Lectures/01_-_English/01_-_Topic_wise/Srimad_Bhagavatam/Canto-01/SP_SB_01-02-11_Tirupati_1974-04-26.mp3" TargetMode="External"/><Relationship Id="rId6096" Type="http://schemas.openxmlformats.org/officeDocument/2006/relationships/hyperlink" Target="https://audio.iskcondesiretree.com/01_-_Srila_Prabhupada/01_-_Lectures/01_-_English/01_-_Topic_wise/Krishna_Book/SP_Krsna_Book_Dict_52_-_Krishna%2C_the_Ranchor.mp3" TargetMode="External"/><Relationship Id="rId6163" Type="http://schemas.openxmlformats.org/officeDocument/2006/relationships/hyperlink" Target="https://audio.iskcondesiretree.com/01_-_Srila_Prabhupada/01_-_Lectures/01_-_English/01_-_Topic_wise/Stories/SP_Story_39_Smearing_stool.mp3" TargetMode="External"/><Relationship Id="rId3757" Type="http://schemas.openxmlformats.org/officeDocument/2006/relationships/hyperlink" Target="https://audio.iskcondesiretree.com/01_-_Srila_Prabhupada/01_-_Lectures/01_-_English/02_-_Month_wise/09_-_September/13/Walk_1975-09-13_MW-VRNDAVAN.MP3" TargetMode="External"/><Relationship Id="rId4808" Type="http://schemas.openxmlformats.org/officeDocument/2006/relationships/hyperlink" Target="https://audio.iskcondesiretree.com/01_-_Srila_Prabhupada/01_-_Lectures/01_-_English/02_-_Month_wise/06_-_June/22/VisitPalace_1976-06-22_VI-NEW%20VRINDAVAN.MP3" TargetMode="External"/><Relationship Id="rId678" Type="http://schemas.openxmlformats.org/officeDocument/2006/relationships/hyperlink" Target="https://audio.iskcondesiretree.com/01_-_Srila_Prabhupada/01_-_Lectures/01_-_English/01_-_Topic_wise/Srimad_Bhagavatam/Canto-01/SP_SB_1-02-09_New_Vrindavan_1972-09-07_The_Art_of_Knowing_What_to--etc.mp3" TargetMode="External"/><Relationship Id="rId2359" Type="http://schemas.openxmlformats.org/officeDocument/2006/relationships/hyperlink" Target="https://audio.iskcondesiretree.com/01_-_Srila_Prabhupada/01_-_Lectures/01_-_English/02_-_Month_wise/08_-_August/14/SB-01-05-33_1974-08-14_SB-VRNDAVAN.MP3" TargetMode="External"/><Relationship Id="rId2773" Type="http://schemas.openxmlformats.org/officeDocument/2006/relationships/hyperlink" Target="https://audio.iskcondesiretree.com/01_-_Srila_Prabhupada/01_-_Lectures/01_-_English/02_-_Month_wise/02_-_Feburary/08/Bg-16-13%E2%80%9315_1975-02-08_BG-HONOLULU.MP3" TargetMode="External"/><Relationship Id="rId3824" Type="http://schemas.openxmlformats.org/officeDocument/2006/relationships/hyperlink" Target="https://audio.iskcondesiretree.com/01_-_Srila_Prabhupada/01_-_Lectures/01_-_English/01_-_Topic_wise/Srimad_Bhagavatam/Canto-01/SP_SB_1-02-06_Mauritius_1975-10-05_Our_Superior_Engagement.mp3" TargetMode="External"/><Relationship Id="rId745" Type="http://schemas.openxmlformats.org/officeDocument/2006/relationships/hyperlink" Target="https://audio.iskcondesiretree.com/01_-_Srila_Prabhupada/01_-_Lectures/01_-_English/02_-_Month_wise/10_-_October/24/SB_1-02-13_VRN_1972-10-24_If_Krishna_Says_All_etc.mp3" TargetMode="External"/><Relationship Id="rId1375" Type="http://schemas.openxmlformats.org/officeDocument/2006/relationships/hyperlink" Target="https://audio.iskcondesiretree.com/01_-_Srila_Prabhupada/01_-_Lectures/01_-_English/01_-_Topic_wise/Srimad_Bhagavatam/Canto-01/SP_SB_1-15-20_Los_Angeles_1973-11-30_Again_Become_a_Mouse.mp3" TargetMode="External"/><Relationship Id="rId2426" Type="http://schemas.openxmlformats.org/officeDocument/2006/relationships/hyperlink" Target="https://audio.iskcondesiretree.com/01_-_Srila_Prabhupada/01_-_Lectures/01_-_English/01_-_Topic_wise/Srimad_Bhagavatam/Canto-01/SP_SB_1-08-30_Mayapur_1974-10-10_Krishna%27s_Active_Inactivity.mp3" TargetMode="External"/><Relationship Id="rId5996" Type="http://schemas.openxmlformats.org/officeDocument/2006/relationships/hyperlink" Target="https://audio.iskcondesiretree.com/01_-_Srila_Prabhupada/01_-_Lectures/01_-_English/02_-_Month_wise/11_-_November/05/Conv_1977-11-05_R1-VRNDAVAN.MP3" TargetMode="External"/><Relationship Id="rId81" Type="http://schemas.openxmlformats.org/officeDocument/2006/relationships/hyperlink" Target="https://audio.iskcondesiretree.com/01_-_Srila_Prabhupada/01_-_Lectures/01_-_English/02_-_Month_wise/09_-_September/09/Bg_06-21_NY_1966-09-09_Yoga_System_Searching_After_etc.mp3" TargetMode="External"/><Relationship Id="rId812" Type="http://schemas.openxmlformats.org/officeDocument/2006/relationships/hyperlink" Target="https://audio.iskcondesiretree.com/01_-_Srila_Prabhupada/01_-_Lectures/01_-_English/01_-_Topic_wise/Nectar_Of_Devotion/SP_NOD_14_Vrindavan_1972-11-12_-_The_Complete_Science_of_Bhakti_Yoga.mp3" TargetMode="External"/><Relationship Id="rId1028" Type="http://schemas.openxmlformats.org/officeDocument/2006/relationships/hyperlink" Target="https://audio.iskcondesiretree.com/01_-_Srila_Prabhupada/01_-_Lectures/01_-_English/02_-_Month_wise/06_-_June/14/SB_1-09-48_MAY_1973-06-14_Gandhari-Chaste_and_Faithful.mp3" TargetMode="External"/><Relationship Id="rId1442" Type="http://schemas.openxmlformats.org/officeDocument/2006/relationships/hyperlink" Target="https://audio.iskcondesiretree.com/01_-_Srila_Prabhupada/01_-_Lectures/01_-_English/01_-_Topic_wise/Srimad_Bhagavatam/Canto-01/SP_SB_1-15-40_Los_Angeles_1973-12-18_Bondage_and_Freedom.mp3" TargetMode="External"/><Relationship Id="rId2840" Type="http://schemas.openxmlformats.org/officeDocument/2006/relationships/hyperlink" Target="https://audio.iskcondesiretree.com/01_-_Srila_Prabhupada/01_-_Lectures/04_-_Translation/Portuguese/More/SP_Various_-_Conversation_-_1975-02-22_Caracas.mp3" TargetMode="External"/><Relationship Id="rId4598" Type="http://schemas.openxmlformats.org/officeDocument/2006/relationships/hyperlink" Target="https://audio.iskcondesiretree.com/01_-_Srila_Prabhupada/01_-_Lectures/01_-_English/01_-_Topic_wise/Srimad_Bhagavatam/Canto-06/SP_SB_6-01-12_Honolulu_1976-05-13_How_Can_One_Become_Civilized.mp3" TargetMode="External"/><Relationship Id="rId5649" Type="http://schemas.openxmlformats.org/officeDocument/2006/relationships/hyperlink" Target="https://audio.iskcondesiretree.com/01_-_Srila_Prabhupada/01_-_Lectures/01_-_English/02_-_Month_wise/01_-_January/29/Walk_1977-01-29_MW-BHUBANESWAR.MP3" TargetMode="External"/><Relationship Id="rId3267" Type="http://schemas.openxmlformats.org/officeDocument/2006/relationships/hyperlink" Target="https://audio.iskcondesiretree.com/01_-_Srila_Prabhupada/01_-_Lectures/01_-_English/01_-_Topic_wise/Room_Conversation/SP_Room_Conversation_Hawaii_1975-06-07_Yogi_Bhajan--Looking_Toward_Unity_of_Men.mp3" TargetMode="External"/><Relationship Id="rId4665" Type="http://schemas.openxmlformats.org/officeDocument/2006/relationships/hyperlink" Target="https://audio.iskcondesiretree.com/01_-_Srila_Prabhupada/01_-_Lectures/01_-_English/02_-_Month_wise/05_-_May/30/Conv_1976-05-30_R1-HONOLULU.MP3" TargetMode="External"/><Relationship Id="rId5716" Type="http://schemas.openxmlformats.org/officeDocument/2006/relationships/hyperlink" Target="https://audio.iskcondesiretree.com/01_-_Srila_Prabhupada/01_-_Lectures/01_-_English/02_-_Month_wise/02_-_Feburary/18/SB-07-09-04_1977-02-18_SB-MAYAPUR.MP3" TargetMode="External"/><Relationship Id="rId188" Type="http://schemas.openxmlformats.org/officeDocument/2006/relationships/hyperlink" Target="https://audio.iskcondesiretree.com/01_-_Srila_Prabhupada/01_-_Lectures/01_-_English/01_-_Topic_wise/Chaitanya_Charitamrita/Madhya_Lila/SP_CC_M_20-334_New_York_1966-12-24_Chant_Holy_Name_Together.mp3" TargetMode="External"/><Relationship Id="rId3681" Type="http://schemas.openxmlformats.org/officeDocument/2006/relationships/hyperlink" Target="https://audio.iskcondesiretree.com/01_-_Srila_Prabhupada/01_-_Lectures/01_-_English/02_-_Month_wise/08_-_August/24/Walk_1975-08-24_MW-DELHI.MP3" TargetMode="External"/><Relationship Id="rId4318" Type="http://schemas.openxmlformats.org/officeDocument/2006/relationships/hyperlink" Target="https://audio.iskcondesiretree.com/01_-_Srila_Prabhupada/01_-_Lectures/01_-_English/01_-_Topic_wise/Srimad_Bhagavatam/Canto-07/SP_SB_7-09-28_Mayapur_1976-03-06_Serpents_and_Servants.mp3" TargetMode="External"/><Relationship Id="rId4732" Type="http://schemas.openxmlformats.org/officeDocument/2006/relationships/hyperlink" Target="https://audio.iskcondesiretree.com/01_-_Srila_Prabhupada/01_-_Lectures/01_-_English/02_-_Month_wise/06_-_June/11/Arrival_1976-06-11_AR-DETROIT.MP3" TargetMode="External"/><Relationship Id="rId2283" Type="http://schemas.openxmlformats.org/officeDocument/2006/relationships/hyperlink" Target="https://audio.iskcondesiretree.com/01_-_Srila_Prabhupada/01_-_Lectures/01_-_English/01_-_Topic_wise/Srimad_Bhagavatam/Canto-01/SP_SB_1-16-24_Los_Angeles_1974-07-14_Faith_or_New_Orleans_Faith-Fact_Is_Fact.mp3" TargetMode="External"/><Relationship Id="rId3334" Type="http://schemas.openxmlformats.org/officeDocument/2006/relationships/hyperlink" Target="https://audio.iskcondesiretree.com/01_-_Srila_Prabhupada/01_-_Lectures/01_-_English/02_-_Month_wise/06_-_June/20/RC_LA_1975-06-20_These_Are_Krishna%27s_Books.mp3" TargetMode="External"/><Relationship Id="rId255" Type="http://schemas.openxmlformats.org/officeDocument/2006/relationships/hyperlink" Target="https://audio.iskcondesiretree.com/01_-_Srila_Prabhupada/01_-_Lectures/01_-_English/02_-_Month_wise/08_-_August/19/SB_7-09-12_MON_1968-08-19_God_Only_Cares_How_Much_You_LOVE_Him.mp3" TargetMode="External"/><Relationship Id="rId2350" Type="http://schemas.openxmlformats.org/officeDocument/2006/relationships/hyperlink" Target="https://audio.iskcondesiretree.com/01_-_Srila_Prabhupada/01_-_Lectures/01_-_English/02_-_Month_wise/08_-_August/12/Bg_07-06_VRN_1974-08-12_Krishna-Our_Personal_Powerhouse.mp3" TargetMode="External"/><Relationship Id="rId3401" Type="http://schemas.openxmlformats.org/officeDocument/2006/relationships/hyperlink" Target="https://audio.iskcondesiretree.com/01_-_Srila_Prabhupada/01_-_Lectures/01_-_English/02_-_Month_wise/06_-_June/29/SB-06-01-16_1975-06-29_SB-DENVER.MP3" TargetMode="External"/><Relationship Id="rId322" Type="http://schemas.openxmlformats.org/officeDocument/2006/relationships/hyperlink" Target="https://audio.iskcondesiretree.com/01_-_Srila_Prabhupada/01_-_Lectures/01_-_English/02_-_Month_wise/12_-_December/14/Bg_02-19_LA_1968-12-14_Learning_the_Science_of_the_Soul.mp3" TargetMode="External"/><Relationship Id="rId2003" Type="http://schemas.openxmlformats.org/officeDocument/2006/relationships/hyperlink" Target="https://audio.iskcondesiretree.com/01_-_Srila_Prabhupada/01_-_Lectures/01_-_English/02_-_Month_wise/05_-_May/28/SB-01-02-04_1974-05-28_SB-ROME.MP3" TargetMode="External"/><Relationship Id="rId5159" Type="http://schemas.openxmlformats.org/officeDocument/2006/relationships/hyperlink" Target="https://audio.iskcondesiretree.com/01_-_Srila_Prabhupada/01_-_Lectures/01_-_English/02_-_Month_wise/08_-_August/24/Conv_1976-08-24_R3-HYDERABAD.MP3" TargetMode="External"/><Relationship Id="rId5573" Type="http://schemas.openxmlformats.org/officeDocument/2006/relationships/hyperlink" Target="https://audio.iskcondesiretree.com/01_-_Srila_Prabhupada/01_-_Lectures/01_-_English/02_-_Month_wise/01_-_January/08/Conv_1977-01-08_R3-BOMBAY.MP3" TargetMode="External"/><Relationship Id="rId4175" Type="http://schemas.openxmlformats.org/officeDocument/2006/relationships/hyperlink" Target="https://audio.iskcondesiretree.com/01_-_Srila_Prabhupada/01_-_Lectures/01_-_English/02_-_Month_wise/01_-_January/08/SB-06-01-15_1976-01-08_SB-NELLORE.MP3" TargetMode="External"/><Relationship Id="rId5226" Type="http://schemas.openxmlformats.org/officeDocument/2006/relationships/hyperlink" Target="https://audio.iskcondesiretree.com/01_-_Srila_Prabhupada/01_-_Lectures/01_-_English/02_-_Month_wise/09_-_September/13/LetterToSaiBaba_1976-09-13_LR-VRNDAVAN.MP3" TargetMode="External"/><Relationship Id="rId1769" Type="http://schemas.openxmlformats.org/officeDocument/2006/relationships/hyperlink" Target="https://audio.iskcondesiretree.com/01_-_Srila_Prabhupada/01_-_Lectures/01_-_English/02_-_Month_wise/03_-_March/27/Bg_04-07_BOM_1974-03-27_Dharma_and_the_Disease.mp3" TargetMode="External"/><Relationship Id="rId3191" Type="http://schemas.openxmlformats.org/officeDocument/2006/relationships/hyperlink" Target="https://audio.iskcondesiretree.com/01_-_Srila_Prabhupada/01_-_Lectures/01_-_English/01_-_Topic_wise/Room_Conversation/SP_Room_Converstion_01_Perth_1975-05-17.MP3" TargetMode="External"/><Relationship Id="rId4242" Type="http://schemas.openxmlformats.org/officeDocument/2006/relationships/hyperlink" Target="https://audio.iskcondesiretree.com/01_-_Srila_Prabhupada/01_-_Lectures/01_-_English/02_-_Month_wise/02_-_Feburary/16/SB-07-09-09_1976-02-16_SB-MAYAPUR.MP3" TargetMode="External"/><Relationship Id="rId5640" Type="http://schemas.openxmlformats.org/officeDocument/2006/relationships/hyperlink" Target="https://audio.iskcondesiretree.com/01_-_Srila_Prabhupada/01_-_Lectures/01_-_English/02_-_Month_wise/01_-_January/27/Conv_1977-01-27_R1-PURI.MP3" TargetMode="External"/><Relationship Id="rId1836" Type="http://schemas.openxmlformats.org/officeDocument/2006/relationships/hyperlink" Target="https://audio.iskcondesiretree.com/01_-_Srila_Prabhupada/01_-_Lectures/01_-_English/01_-_Topic_wise/Morning_Walk/SP_Morning_Walk_-_Bombay_1974-04-07.mp3" TargetMode="External"/><Relationship Id="rId1903" Type="http://schemas.openxmlformats.org/officeDocument/2006/relationships/hyperlink" Target="https://audio.iskcondesiretree.com/01_-_Srila_Prabhupada/01_-_Lectures/01_-_English/01_-_Topic_wise/Room_Conversation/SP_Room_Conversation_01_Bombay_1974-04-20.mp3" TargetMode="External"/><Relationship Id="rId6067" Type="http://schemas.openxmlformats.org/officeDocument/2006/relationships/hyperlink" Target="https://audio.iskcondesiretree.com/01_-_Srila_Prabhupada/01_-_Lectures/01_-_English/01_-_Topic_wise/Krishna_Book/SP_Krsna_Book_Dict_19_-_Devouring_the_Forest_Fire.mp3" TargetMode="External"/><Relationship Id="rId996" Type="http://schemas.openxmlformats.org/officeDocument/2006/relationships/hyperlink" Target="https://audio.iskcondesiretree.com/01_-_Srila_Prabhupada/01_-_Lectures/01_-_English/02_-_Month_wise/05_-_May/07/SB_1-08-45_LA_1973-05-07_We_Can_Purchase_Krishna_by_Love.mp3" TargetMode="External"/><Relationship Id="rId2677" Type="http://schemas.openxmlformats.org/officeDocument/2006/relationships/hyperlink" Target="https://audio.iskcondesiretree.com/01_-_Srila_Prabhupada/01_-_Lectures/01_-_English/01_-_Topic_wise/Srimad_Bhagavatam/Canto-03/SP_SB_3-26-29_Bombay_1975-01-06_This_Body_Is_Imitation.mp3" TargetMode="External"/><Relationship Id="rId3728" Type="http://schemas.openxmlformats.org/officeDocument/2006/relationships/hyperlink" Target="https://audio.iskcondesiretree.com/01_-_Srila_Prabhupada/01_-_Lectures/01_-_English/01_-_Topic_wise/Morning_Walk/SP_Morning_Walk_-_Vrindavan_1975-09-06_Sex_Propaganda_Can%27t_Stop_Death.mp3" TargetMode="External"/><Relationship Id="rId5083" Type="http://schemas.openxmlformats.org/officeDocument/2006/relationships/hyperlink" Target="https://audio.iskcondesiretree.com/01_-_Srila_Prabhupada/01_-_Lectures/01_-_English/01_-_Topic_wise/Room_Conversation/SP_Room_Conversation_Tehran_1976-08-10_Small_Can_Fall-Wise_Can_Rise.mp3" TargetMode="External"/><Relationship Id="rId6134" Type="http://schemas.openxmlformats.org/officeDocument/2006/relationships/hyperlink" Target="https://audio.iskcondesiretree.com/01_-_Srila_Prabhupada/01_-_Lectures/01_-_English/01_-_Topic_wise/Stories/SP_Story_10_Dina_bandhu_dada.mp3" TargetMode="External"/><Relationship Id="rId649" Type="http://schemas.openxmlformats.org/officeDocument/2006/relationships/hyperlink" Target="https://audio.iskcondesiretree.com/01_-_Srila_Prabhupada/01_-_Lectures/01_-_English/02_-_Month_wise/08_-_August/19/SB_1-02-16_LA_1972-08-19_The_Way_to_Go_Back_to_Godhead.mp3" TargetMode="External"/><Relationship Id="rId1279" Type="http://schemas.openxmlformats.org/officeDocument/2006/relationships/hyperlink" Target="https://audio.iskcondesiretree.com/01_-_Srila_Prabhupada/01_-_Lectures/01_-_English/02_-_Month_wise/09_-_September/10/SB_5-05-01_STO_1973-09-10_In_Ignorance_All_Is_Defeat.mp3" TargetMode="External"/><Relationship Id="rId5150" Type="http://schemas.openxmlformats.org/officeDocument/2006/relationships/hyperlink" Target="https://audio.iskcondesiretree.com/01_-_Srila_Prabhupada/01_-_Lectures/01_-_English/02_-_Month_wise/08_-_August/22/Conv_1976-08-22_R3-HYDERABAD.MP3" TargetMode="External"/><Relationship Id="rId6201" Type="http://schemas.openxmlformats.org/officeDocument/2006/relationships/hyperlink" Target="https://audio.iskcondesiretree.com/01_-_Srila_Prabhupada/01_-_Lectures/03_-_Hindi/SP_Hindi_29_Lectures_%26_Conversations.mp3" TargetMode="External"/><Relationship Id="rId1346" Type="http://schemas.openxmlformats.org/officeDocument/2006/relationships/hyperlink" Target="https://audio.iskcondesiretree.com/01_-_Srila_Prabhupada/01_-_Lectures/01_-_English/01_-_Topic_wise/Room_Conversation/SP_Room_Conversation_Delhi_1973-11-03_Krishna%27s_Special_Favor_Upon_Srila_Prabhupada.mp3" TargetMode="External"/><Relationship Id="rId1693" Type="http://schemas.openxmlformats.org/officeDocument/2006/relationships/hyperlink" Target="https://audio.iskcondesiretree.com/01_-_Srila_Prabhupada/01_-_Lectures/01_-_English/02_-_Month_wise/03_-_March/09/MW_MAY_1974-03-09_The_Spirit_of_the_Law.mp3" TargetMode="External"/><Relationship Id="rId2744" Type="http://schemas.openxmlformats.org/officeDocument/2006/relationships/hyperlink" Target="https://audio.iskcondesiretree.com/01_-_Srila_Prabhupada/01_-_Lectures/01_-_English/02_-_Month_wise/01_-_January/30/Bg-16-04_1975-01-30_BG-HONOLULU.MP3" TargetMode="External"/><Relationship Id="rId716" Type="http://schemas.openxmlformats.org/officeDocument/2006/relationships/hyperlink" Target="https://audio.iskcondesiretree.com/01_-_Srila_Prabhupada/01_-_Lectures/01_-_English/01_-_Topic_wise/Srimad_Bhagavatam/Canto-01/SP_SB_1-03-27_Los_Angeles_1972-10-02_The_Perfect_Philosophy.mp3" TargetMode="External"/><Relationship Id="rId1760" Type="http://schemas.openxmlformats.org/officeDocument/2006/relationships/hyperlink" Target="https://audio.iskcondesiretree.com/01_-_Srila_Prabhupada/01_-_Lectures/01_-_English/01_-_Topic_wise/Bhagavad_Gita/Chapter-04/SP_BG_04-06_Bombay_1974-03-26_Try_to_Be_Godly_-_Not_God.mp3" TargetMode="External"/><Relationship Id="rId2811" Type="http://schemas.openxmlformats.org/officeDocument/2006/relationships/hyperlink" Target="https://audio.iskcondesiretree.com/01_-_Srila_Prabhupada/01_-_Lectures/01_-_English/02_-_Month_wise/02_-_Feburary/16/Bg_02-16_MEX_City_1975-02-16_Any_Understanding_of_God.mp3" TargetMode="External"/><Relationship Id="rId5967" Type="http://schemas.openxmlformats.org/officeDocument/2006/relationships/hyperlink" Target="https://audio.iskcondesiretree.com/01_-_Srila_Prabhupada/01_-_Lectures/01_-_English/02_-_Month_wise/10_-_October/25/Dictation-SB_1977-10-25_SB-VRNDAVAN.MP3" TargetMode="External"/><Relationship Id="rId52" Type="http://schemas.openxmlformats.org/officeDocument/2006/relationships/hyperlink" Target="https://audio.iskcondesiretree.com/01_-_Srila_Prabhupada/01_-_Lectures/01_-_English/01_-_Topic_wise/Bhagavad_Gita/Chapter-04/SP_BG_04-12-13_New_York_1966-07-30_Become_Brahmana--Twice-born.mp3" TargetMode="External"/><Relationship Id="rId1413" Type="http://schemas.openxmlformats.org/officeDocument/2006/relationships/hyperlink" Target="https://audio.iskcondesiretree.com/01_-_Srila_Prabhupada/01_-_Lectures/01_-_English/02_-_Month_wise/12_-_December/11/MW_LA_1973-12-11_Scientific_Church.mp3" TargetMode="External"/><Relationship Id="rId4569" Type="http://schemas.openxmlformats.org/officeDocument/2006/relationships/hyperlink" Target="https://audio.iskcondesiretree.com/01_-_Srila_Prabhupada/01_-_Lectures/01_-_English/02_-_Month_wise/05_-_May/05/SB-06-01-01_1976-05-05_SB-HONOLULU.MP3" TargetMode="External"/><Relationship Id="rId4983" Type="http://schemas.openxmlformats.org/officeDocument/2006/relationships/hyperlink" Target="https://audio.iskcondesiretree.com/01_-_Srila_Prabhupada/01_-_Lectures/01_-_English/02_-_Month_wise/07_-_July/16/Lecture_1976-07-16_LE-PORT%20ROYAL.MP3" TargetMode="External"/><Relationship Id="rId3585" Type="http://schemas.openxmlformats.org/officeDocument/2006/relationships/hyperlink" Target="https://audio.iskcondesiretree.com/01_-_Srila_Prabhupada/01_-_Lectures/01_-_English/02_-_Month_wise/07_-_July/25/MW_LA_1975-07-25_Full_of_Anxiety_Is_Not_OK.mp3" TargetMode="External"/><Relationship Id="rId4636" Type="http://schemas.openxmlformats.org/officeDocument/2006/relationships/hyperlink" Target="https://audio.iskcondesiretree.com/01_-_Srila_Prabhupada/01_-_Lectures/01_-_English/02_-_Month_wise/05_-_May/22/SB_6-01-22_HON_1976-05-22_Dancing-dog_Guru_Will_Not_Help.mp3" TargetMode="External"/><Relationship Id="rId2187" Type="http://schemas.openxmlformats.org/officeDocument/2006/relationships/hyperlink" Target="https://audio.iskcondesiretree.com/01_-_Srila_Prabhupada/01_-_Lectures/01_-_English/02_-_Month_wise/06_-_June/22/Walk_1974-06-22_MW-GERMANY.MP3" TargetMode="External"/><Relationship Id="rId3238" Type="http://schemas.openxmlformats.org/officeDocument/2006/relationships/hyperlink" Target="https://audio.iskcondesiretree.com/01_-_Srila_Prabhupada/01_-_Lectures/01_-_English/01_-_Topic_wise/Bhagavad_Gita/Chapter-07/SP_BG_07-01_Fiji_1975-05-24_The_Only_Business_of_the_Human_Being.mp3" TargetMode="External"/><Relationship Id="rId3652" Type="http://schemas.openxmlformats.org/officeDocument/2006/relationships/hyperlink" Target="https://audio.iskcondesiretree.com/01_-_Srila_Prabhupada/01_-_Lectures/01_-_English/01_-_Topic_wise/Arrival_Address/SP_Arrival_Paris_1975-08-11_Where_Are_Your_Liberty-Equality-Fraternity.mp3" TargetMode="External"/><Relationship Id="rId4703" Type="http://schemas.openxmlformats.org/officeDocument/2006/relationships/hyperlink" Target="https://audio.iskcondesiretree.com/01_-_Srila_Prabhupada/01_-_Lectures/01_-_English/02_-_Month_wise/06_-_June/07/Walk_1976-06-07_MW-LOS%20ANGELES.MP3" TargetMode="External"/><Relationship Id="rId159" Type="http://schemas.openxmlformats.org/officeDocument/2006/relationships/hyperlink" Target="https://audio.iskcondesiretree.com/01_-_Srila_Prabhupada/01_-_Lectures/01_-_English/02_-_Month_wise/12_-_December/11/Cc_M_20-156_NY_1966-12-11_Intimate_Association_with_etc.mp3" TargetMode="External"/><Relationship Id="rId573" Type="http://schemas.openxmlformats.org/officeDocument/2006/relationships/hyperlink" Target="https://audio.iskcondesiretree.com/01_-_Srila_Prabhupada/01_-_Lectures/01_-_English/02_-_Month_wise/05_-_May/19/SB_2-03-01_LA_1972-05-19_Who_Can_Say_I_m_Not_on_the_etc.mp3" TargetMode="External"/><Relationship Id="rId2254" Type="http://schemas.openxmlformats.org/officeDocument/2006/relationships/hyperlink" Target="https://audio.iskcondesiretree.com/01_-_Srila_Prabhupada/01_-_Lectures/01_-_English/02_-_Month_wise/07_-_July/08/Conv_1974-07-08_R1-LOS%20ANGELES.MP3" TargetMode="External"/><Relationship Id="rId3305" Type="http://schemas.openxmlformats.org/officeDocument/2006/relationships/hyperlink" Target="https://audio.iskcondesiretree.com/01_-_Srila_Prabhupada/01_-_Lectures/01_-_English/01_-_Topic_wise/Room_Conversation/SP_Room_Converstion_03_Honolulu_1975-06-16.MP3" TargetMode="External"/><Relationship Id="rId226" Type="http://schemas.openxmlformats.org/officeDocument/2006/relationships/hyperlink" Target="https://audio.iskcondesiretree.com/01_-_Srila_Prabhupada/01_-_Lectures/01_-_English/01_-_Topic_wise/Various/SP_Lecture_Los_Angeles_1968-02-02_Relish_of_Renunciation_Sweetness--etc.mp3" TargetMode="External"/><Relationship Id="rId1270" Type="http://schemas.openxmlformats.org/officeDocument/2006/relationships/hyperlink" Target="https://audio.iskcondesiretree.com/01_-_Srila_Prabhupada/01_-_Lectures/01_-_English/01_-_Topic_wise/Srimad_Bhagavatam/Canto-05/SP_SB_5-05-03_Stockholm_1973-09-09_Living_Like_Animals.mp3" TargetMode="External"/><Relationship Id="rId5477" Type="http://schemas.openxmlformats.org/officeDocument/2006/relationships/hyperlink" Target="https://audio.iskcondesiretree.com/01_-_Srila_Prabhupada/01_-_Lectures/01_-_English/02_-_Month_wise/12_-_December/07/Conv_1976-12-07_R1-HYDERABAD.MP3" TargetMode="External"/><Relationship Id="rId640" Type="http://schemas.openxmlformats.org/officeDocument/2006/relationships/hyperlink" Target="https://audio.iskcondesiretree.com/01_-_Srila_Prabhupada/01_-_Lectures/01_-_English/01_-_Topic_wise/Arrival_Address/SP_Arrival_Paris_1972-07-20_Why_Study_the_Perishable.mp3" TargetMode="External"/><Relationship Id="rId2321" Type="http://schemas.openxmlformats.org/officeDocument/2006/relationships/hyperlink" Target="https://audio.iskcondesiretree.com/01_-_Srila_Prabhupada/01_-_Lectures/01_-_English/02_-_Month_wise/08_-_August/05/SB_1-05-24_VRN_1974-08-05_Great_Devotee-Great_Discipline.mp3" TargetMode="External"/><Relationship Id="rId4079" Type="http://schemas.openxmlformats.org/officeDocument/2006/relationships/hyperlink" Target="https://audio.iskcondesiretree.com/01_-_Srila_Prabhupada/01_-_Lectures/01_-_English/02_-_Month_wise/12_-_December/11/SB-07-06-09_1975-12-11_SB-VRNDAVAN.MP3" TargetMode="External"/><Relationship Id="rId5891" Type="http://schemas.openxmlformats.org/officeDocument/2006/relationships/hyperlink" Target="https://audio.iskcondesiretree.com/01_-_Srila_Prabhupada/01_-_Lectures/01_-_English/02_-_Month_wise/06_-_June/28/Conv_1977-06-28_R3-VRNDAVAN.MP3" TargetMode="External"/><Relationship Id="rId4493" Type="http://schemas.openxmlformats.org/officeDocument/2006/relationships/hyperlink" Target="https://audio.iskcondesiretree.com/01_-_Srila_Prabhupada/01_-_Lectures/01_-_English/02_-_Month_wise/04_-_April/17/Walk_1976-04-17_MW-BOMBAY.MP3" TargetMode="External"/><Relationship Id="rId5544" Type="http://schemas.openxmlformats.org/officeDocument/2006/relationships/hyperlink" Target="https://audio.iskcondesiretree.com/01_-_Srila_Prabhupada/01_-_Lectures/01_-_English/02_-_Month_wise/12_-_December/30/Conv_1976-12-30_R1-BOMBAY.MP3" TargetMode="External"/><Relationship Id="rId3095" Type="http://schemas.openxmlformats.org/officeDocument/2006/relationships/hyperlink" Target="https://audio.iskcondesiretree.com/01_-_Srila_Prabhupada/01_-_Lectures/01_-_English/02_-_Month_wise/04_-_April/12/RC_HYD_1975-04-12_Sannyasa_Mentality.mp3" TargetMode="External"/><Relationship Id="rId4146" Type="http://schemas.openxmlformats.org/officeDocument/2006/relationships/hyperlink" Target="https://audio.iskcondesiretree.com/01_-_Srila_Prabhupada/01_-_Lectures/01_-_English/02_-_Month_wise/01_-_January/02/SB-07-06-01_1976-01-02_SB-MADRAS.MP3" TargetMode="External"/><Relationship Id="rId4560" Type="http://schemas.openxmlformats.org/officeDocument/2006/relationships/hyperlink" Target="https://audio.iskcondesiretree.com/01_-_Srila_Prabhupada/01_-_Lectures/01_-_English/02_-_Month_wise/05_-_May/03/Arrival_1976-05-03_AR-HONOLULU.MP3" TargetMode="External"/><Relationship Id="rId5611" Type="http://schemas.openxmlformats.org/officeDocument/2006/relationships/hyperlink" Target="https://audio.iskcondesiretree.com/01_-_Srila_Prabhupada/01_-_Lectures/01_-_English/02_-_Month_wise/01_-_January/21/Conv_1977-01-21_R5-BHUBANESWAR.MP3" TargetMode="External"/><Relationship Id="rId1807" Type="http://schemas.openxmlformats.org/officeDocument/2006/relationships/hyperlink" Target="https://audio.iskcondesiretree.com/01_-_Srila_Prabhupada/01_-_Lectures/01_-_English/02_-_Month_wise/04_-_April/02/Bg-04-13_1974-04-02_BG-BOMBAY.MP3" TargetMode="External"/><Relationship Id="rId3162" Type="http://schemas.openxmlformats.org/officeDocument/2006/relationships/hyperlink" Target="https://audio.iskcondesiretree.com/01_-_Srila_Prabhupada/01_-_Lectures/01_-_English/01_-_Topic_wise/Morning_Walk/SP_Morning_Walk_-_Perth_1975-05-11.MP3" TargetMode="External"/><Relationship Id="rId4213" Type="http://schemas.openxmlformats.org/officeDocument/2006/relationships/hyperlink" Target="https://audio.iskcondesiretree.com/01_-_Srila_Prabhupada/01_-_Lectures/01_-_English/02_-_Month_wise/02_-_Feburary/05/Walk_1976-02-05_MW-MAYAPUR.MP3" TargetMode="External"/><Relationship Id="rId150" Type="http://schemas.openxmlformats.org/officeDocument/2006/relationships/hyperlink" Target="https://audio.iskcondesiretree.com/01_-_Srila_Prabhupada/01_-_Lectures/01_-_English/01_-_Topic_wise/Bhagavad_Gita/Chapter-09/SP_BG_09-20-21_New_York_1966-12-06_Heavenly_Planets--Temporary_Happiness.mp3" TargetMode="External"/><Relationship Id="rId3979" Type="http://schemas.openxmlformats.org/officeDocument/2006/relationships/hyperlink" Target="https://audio.iskcondesiretree.com/01_-_Srila_Prabhupada/01_-_Lectures/01_-_English/02_-_Month_wise/11_-_November/12/Cc_M_20-102_BOM_1975-11-12_Who_Am_I-Why_Am_I_Miserable.mp3" TargetMode="External"/><Relationship Id="rId6038" Type="http://schemas.openxmlformats.org/officeDocument/2006/relationships/hyperlink" Target="https://audio.iskcondesiretree.com/01_-_Srila_Prabhupada/01_-_Lectures/01_-_English/01_-_Topic_wise/Bhagavad_Gita_Recitation/SP_BG_Recitation_Chapter-05_-_Sanskrit.mp3" TargetMode="External"/><Relationship Id="rId2995" Type="http://schemas.openxmlformats.org/officeDocument/2006/relationships/hyperlink" Target="https://audio.iskcondesiretree.com/01_-_Srila_Prabhupada/01_-_Lectures/01_-_English/01_-_Topic_wise/Chaitanya_Charitamrita/Adi_Lila/SP_CC_A_01-03_Mayapur_1975-03-27_My_My_My--What_Ignorance.mp3" TargetMode="External"/><Relationship Id="rId5054" Type="http://schemas.openxmlformats.org/officeDocument/2006/relationships/hyperlink" Target="https://audio.iskcondesiretree.com/01_-_Srila_Prabhupada/01_-_Lectures/01_-_English/02_-_Month_wise/08_-_August/03/Bg_09-34_PAR_1976-08-03_Real_Love_of_Self.mp3" TargetMode="External"/><Relationship Id="rId6105" Type="http://schemas.openxmlformats.org/officeDocument/2006/relationships/hyperlink" Target="https://audio.iskcondesiretree.com/01_-_Srila_Prabhupada/01_-_Lectures/01_-_English/01_-_Topic_wise/Krishna_Book/SP_Krsna_Book_Dict_65_-_Lord_Balarama_Visits_Vrindavan.mp3" TargetMode="External"/><Relationship Id="rId967" Type="http://schemas.openxmlformats.org/officeDocument/2006/relationships/hyperlink" Target="https://audio.iskcondesiretree.com/01_-_Srila_Prabhupada/01_-_Lectures/01_-_English/01_-_Topic_wise/Srimad_Bhagavatam/Canto-01/SP_SB_1-08-32_Los_Angeles_1973-04-24_Why_Does_the_Unborn_Take_Birth.mp3" TargetMode="External"/><Relationship Id="rId1597" Type="http://schemas.openxmlformats.org/officeDocument/2006/relationships/hyperlink" Target="https://audio.iskcondesiretree.com/01_-_Srila_Prabhupada/01_-_Lectures/01_-_English/02_-_Month_wise/02_-_Feburary/08/Conv_1974-02-08_R1-VRNDAVAN.MP3" TargetMode="External"/><Relationship Id="rId2648" Type="http://schemas.openxmlformats.org/officeDocument/2006/relationships/hyperlink" Target="https://audio.iskcondesiretree.com/01_-_Srila_Prabhupada/01_-_Lectures/01_-_English/01_-_Topic_wise/Srimad_Bhagavatam/Canto-03/SP_SB_3-26-18_Bombay_1974-12-27_United_by_Chanting_and_Dancing.mp3" TargetMode="External"/><Relationship Id="rId1664" Type="http://schemas.openxmlformats.org/officeDocument/2006/relationships/hyperlink" Target="https://audio.iskcondesiretree.com/01_-_Srila_Prabhupada/01_-_Lectures/01_-_English/02_-_Month_wise/03_-_March/01/CcAdi-07-001_1974-03-01_CC-MAYAPUR.MP3" TargetMode="External"/><Relationship Id="rId2715" Type="http://schemas.openxmlformats.org/officeDocument/2006/relationships/hyperlink" Target="https://audio.iskcondesiretree.com/01_-_Srila_Prabhupada/01_-_Lectures/01_-_English/02_-_Month_wise/01_-_January/20/SB_3-26-45_BOM_1975-01-20_Transcendental_Transaction.mp3" TargetMode="External"/><Relationship Id="rId4070" Type="http://schemas.openxmlformats.org/officeDocument/2006/relationships/hyperlink" Target="https://audio.iskcondesiretree.com/01_-_Srila_Prabhupada/01_-_Lectures/01_-_English/01_-_Topic_wise/Morning_Walk/SP_Morning_Walk_-_Vrindavan_1975-12-10_Why_Doesn%27t_Swamiji_Like_Women.mp3" TargetMode="External"/><Relationship Id="rId5121" Type="http://schemas.openxmlformats.org/officeDocument/2006/relationships/hyperlink" Target="https://audio.iskcondesiretree.com/01_-_Srila_Prabhupada/01_-_Lectures/01_-_English/01_-_Topic_wise/Bhagavad_Gita/Chapter-13/SP_BG_13-22_Hyderabad_1976-08-17_At_Any_Moment--Kicked_Out.mp3" TargetMode="External"/><Relationship Id="rId1317" Type="http://schemas.openxmlformats.org/officeDocument/2006/relationships/hyperlink" Target="https://audio.iskcondesiretree.com/01_-_Srila_Prabhupada/01_-_Lectures/01_-_English/01_-_Topic_wise/Bhagavad_Gita/Chapter-13/SP_BG_13-18_Bombay_1973-10-12_Universal_Effulgence_of_Krishna.mp3" TargetMode="External"/><Relationship Id="rId1731" Type="http://schemas.openxmlformats.org/officeDocument/2006/relationships/hyperlink" Target="https://audio.iskcondesiretree.com/01_-_Srila_Prabhupada/01_-_Lectures/01_-_English/02_-_Month_wise/03_-_March/18/Walk_1974-03-18_MW-VRNDAVAN.MP3" TargetMode="External"/><Relationship Id="rId4887" Type="http://schemas.openxmlformats.org/officeDocument/2006/relationships/hyperlink" Target="https://audio.iskcondesiretree.com/01_-_Srila_Prabhupada/01_-_Lectures/01_-_English/02_-_Month_wise/07_-_July/04/CcMadhya-20-098%E2%80%93099_1976-07-04_CC-WASHINGTON%20DC.MP3" TargetMode="External"/><Relationship Id="rId5938" Type="http://schemas.openxmlformats.org/officeDocument/2006/relationships/hyperlink" Target="https://audio.iskcondesiretree.com/01_-_Srila_Prabhupada/01_-_Lectures/01_-_English/02_-_Month_wise/10_-_October/10/Doctor_1977-10-10_VI-VRNDAVAN.MP3" TargetMode="External"/><Relationship Id="rId23" Type="http://schemas.openxmlformats.org/officeDocument/2006/relationships/hyperlink" Target="https://audio.iskcondesiretree.com/01_-_Srila_Prabhupada/01_-_Lectures/01_-_English/02_-_Month_wise/04_-_April/01/Bg_02-48_NY_1966-04-01_Keeping_in_Touch_with_the_Supreme.mp3" TargetMode="External"/><Relationship Id="rId3489" Type="http://schemas.openxmlformats.org/officeDocument/2006/relationships/hyperlink" Target="https://audio.iskcondesiretree.com/01_-_Srila_Prabhupada/01_-_Lectures/01_-_English/01_-_Topic_wise/Morning_Walk/SP_Morning_Walk_-_Chicago_1975-07-11_Darwin%27s_Speculation_is_Not_Science.mp3" TargetMode="External"/><Relationship Id="rId3556" Type="http://schemas.openxmlformats.org/officeDocument/2006/relationships/hyperlink" Target="https://audio.iskcondesiretree.com/01_-_Srila_Prabhupada/01_-_Lectures/01_-_English/02_-_Month_wise/07_-_July/19/SB_6-01-37_SF_1975-07-19_Irreligious_Religion.mp3" TargetMode="External"/><Relationship Id="rId4954" Type="http://schemas.openxmlformats.org/officeDocument/2006/relationships/hyperlink" Target="https://audio.iskcondesiretree.com/01_-_Srila_Prabhupada/01_-_Lectures/01_-_English/02_-_Month_wise/07_-_July/11/Walk_1976-07-11_MW-NEW%20YORK.MP3" TargetMode="External"/><Relationship Id="rId477" Type="http://schemas.openxmlformats.org/officeDocument/2006/relationships/hyperlink" Target="https://audio.iskcondesiretree.com/01_-_Srila_Prabhupada/01_-_Lectures/01_-_English/02_-_Month_wise/09_-_September/16/Addr_LON_1969-09-16_Go_to_the_Dazzling-bright_Sky_of_Freedom.mp3" TargetMode="External"/><Relationship Id="rId2158" Type="http://schemas.openxmlformats.org/officeDocument/2006/relationships/hyperlink" Target="https://audio.iskcondesiretree.com/01_-_Srila_Prabhupada/01_-_Lectures/01_-_English/02_-_Month_wise/06_-_June/18/Bg-02-13_1974-06-18_BG-GERMANY.MP3" TargetMode="External"/><Relationship Id="rId3209" Type="http://schemas.openxmlformats.org/officeDocument/2006/relationships/hyperlink" Target="https://audio.iskcondesiretree.com/01_-_Srila_Prabhupada/01_-_Lectures/01_-_English/01_-_Topic_wise/Morning_Walk/SP_Morning_Walk_-_Melbourne_1975-05-20.MP3" TargetMode="External"/><Relationship Id="rId3970" Type="http://schemas.openxmlformats.org/officeDocument/2006/relationships/hyperlink" Target="https://audio.iskcondesiretree.com/01_-_Srila_Prabhupada/01_-_Lectures/01_-_English/02_-_Month_wise/11_-_November/09/CcMadhya-20-100%E2%80%93108_1975-11-09_CC-BOMBAY.MP3" TargetMode="External"/><Relationship Id="rId4607" Type="http://schemas.openxmlformats.org/officeDocument/2006/relationships/hyperlink" Target="https://audio.iskcondesiretree.com/01_-_Srila_Prabhupada/01_-_Lectures/01_-_English/02_-_Month_wise/05_-_May/15/Conv_1976-05-15_R1-HONOLULU.MP3" TargetMode="External"/><Relationship Id="rId891" Type="http://schemas.openxmlformats.org/officeDocument/2006/relationships/hyperlink" Target="https://audio.iskcondesiretree.com/01_-_Srila_Prabhupada/01_-_Lectures/01_-_English/02_-_Month_wise/01_-_January/05/NOD_Pg-14_BOM_1973-01-05_Invoking_Natural_Love_to_Krishna.mp3" TargetMode="External"/><Relationship Id="rId2572" Type="http://schemas.openxmlformats.org/officeDocument/2006/relationships/hyperlink" Target="https://audio.iskcondesiretree.com/01_-_Srila_Prabhupada/01_-_Lectures/01_-_English/02_-_Month_wise/12_-_December/01/SB_3-25-31_BOM_1974-12-01_Hear_About_Krishna_Submissively.mp3" TargetMode="External"/><Relationship Id="rId3623" Type="http://schemas.openxmlformats.org/officeDocument/2006/relationships/hyperlink" Target="https://audio.iskcondesiretree.com/01_-_Srila_Prabhupada/01_-_Lectures/01_-_English/02_-_Month_wise/08_-_August/01/Conv_1975-08-01_R1-NEW%20ORLEANS.MP3" TargetMode="External"/><Relationship Id="rId544" Type="http://schemas.openxmlformats.org/officeDocument/2006/relationships/hyperlink" Target="https://audio.iskcondesiretree.com/01_-_Srila_Prabhupada/01_-_Lectures/01_-_English/01_-_Topic_wise/Various/SP_Lecture_New_York_1971-07-20_Horseless_Carriage_-_Wingless--etc.mp3" TargetMode="External"/><Relationship Id="rId1174" Type="http://schemas.openxmlformats.org/officeDocument/2006/relationships/hyperlink" Target="https://audio.iskcondesiretree.com/01_-_Srila_Prabhupada/01_-_Lectures/01_-_English/01_-_Topic_wise/Room_Conversation/SP_Room_Conversation_Paris_1973-08-13_French_Nun--First-Class_Mysticism.mp3" TargetMode="External"/><Relationship Id="rId2225" Type="http://schemas.openxmlformats.org/officeDocument/2006/relationships/hyperlink" Target="https://audio.iskcondesiretree.com/01_-_Srila_Prabhupada/01_-_Lectures/01_-_English/02_-_Month_wise/06_-_June/30/Bg-09-01%E2%80%9302_1974-06-30_BG-MELBOURNE.MP3" TargetMode="External"/><Relationship Id="rId5795" Type="http://schemas.openxmlformats.org/officeDocument/2006/relationships/hyperlink" Target="https://audio.iskcondesiretree.com/01_-_Srila_Prabhupada/01_-_Lectures/01_-_English/02_-_Month_wise/04_-_April/10/Conv_1977-04-10_R1-BOMBAY.MP3" TargetMode="External"/><Relationship Id="rId611" Type="http://schemas.openxmlformats.org/officeDocument/2006/relationships/hyperlink" Target="https://audio.iskcondesiretree.com/01_-_Srila_Prabhupada/01_-_Lectures/01_-_English/02_-_Month_wise/06_-_June/18/SB_2-03-21_LA_1972-06-18_Lifting_the_Burden_from_Society.mp3" TargetMode="External"/><Relationship Id="rId1241" Type="http://schemas.openxmlformats.org/officeDocument/2006/relationships/hyperlink" Target="https://audio.iskcondesiretree.com/01_-_Srila_Prabhupada/01_-_Lectures/01_-_English/02_-_Month_wise/09_-_September/01/RC_LON_1973-09-01_Radharani_Recommends_to_Krishna.mp3" TargetMode="External"/><Relationship Id="rId4397" Type="http://schemas.openxmlformats.org/officeDocument/2006/relationships/hyperlink" Target="https://audio.iskcondesiretree.com/01_-_Srila_Prabhupada/01_-_Lectures/02_-_Bengali/1976-03-22_Lecture_-_Mayapur.MP3" TargetMode="External"/><Relationship Id="rId5448" Type="http://schemas.openxmlformats.org/officeDocument/2006/relationships/hyperlink" Target="https://audio.iskcondesiretree.com/01_-_Srila_Prabhupada/01_-_Lectures/01_-_English/02_-_Month_wise/11_-_November/23/SB-05-06-01_1976-11-23_SB-VRNDAVAN.MP3" TargetMode="External"/><Relationship Id="rId5862" Type="http://schemas.openxmlformats.org/officeDocument/2006/relationships/hyperlink" Target="https://audio.iskcondesiretree.com/01_-_Srila_Prabhupada/01_-_Lectures/01_-_English/02_-_Month_wise/05_-_May/24/Conv_1977-05-24_R4-VRNDAVAN.MP3" TargetMode="External"/><Relationship Id="rId4464" Type="http://schemas.openxmlformats.org/officeDocument/2006/relationships/hyperlink" Target="https://audio.iskcondesiretree.com/01_-_Srila_Prabhupada/01_-_Lectures/01_-_English/02_-_Month_wise/04_-_April/12/SB_7-12-01_BOM_1976-04-12_I_Don%27t_Say_You%27re_a_Rascal.mp3" TargetMode="External"/><Relationship Id="rId5515" Type="http://schemas.openxmlformats.org/officeDocument/2006/relationships/hyperlink" Target="https://audio.iskcondesiretree.com/01_-_Srila_Prabhupada/01_-_Lectures/01_-_English/02_-_Month_wise/12_-_December/20/Conv_1976-12-20_R1-BOMBAY.MP3" TargetMode="External"/><Relationship Id="rId3066" Type="http://schemas.openxmlformats.org/officeDocument/2006/relationships/hyperlink" Target="https://audio.iskcondesiretree.com/01_-_Srila_Prabhupada/01_-_Lectures/01_-_English/01_-_Topic_wise/Morning_Walk/SP_Morning_Walk_-_Hyderabad_1975-04-07_You_Can_Chant_Even_in_Moscow.mp3" TargetMode="External"/><Relationship Id="rId3480" Type="http://schemas.openxmlformats.org/officeDocument/2006/relationships/hyperlink" Target="https://audio.iskcondesiretree.com/01_-_Srila_Prabhupada/01_-_Lectures/01_-_English/01_-_Topic_wise/Morning_Walk/SP_Morning_Walk_-_Chicago_1975-07-10.MP3" TargetMode="External"/><Relationship Id="rId4117" Type="http://schemas.openxmlformats.org/officeDocument/2006/relationships/hyperlink" Target="https://audio.iskcondesiretree.com/01_-_Srila_Prabhupada/01_-_Lectures/01_-_English/01_-_Topic_wise/Morning_Walk/SP_Morning_Walk_-_Bombay_1975-12-23_In_Love_with_God_24_Hours_a_Day.mp3" TargetMode="External"/><Relationship Id="rId4531" Type="http://schemas.openxmlformats.org/officeDocument/2006/relationships/hyperlink" Target="https://audio.iskcondesiretree.com/01_-_Srila_Prabhupada/01_-_Lectures/01_-_English/02_-_Month_wise/04_-_April/24/Bg-09-05_1976-04-24-BG-MELBOURNE.MP3" TargetMode="External"/><Relationship Id="rId2082" Type="http://schemas.openxmlformats.org/officeDocument/2006/relationships/hyperlink" Target="https://audio.iskcondesiretree.com/01_-_Srila_Prabhupada/01_-_Lectures/01_-_English/01_-_Topic_wise/Srimad_Bhagavatam/Canto-02/SP_SB_2-01-01_Paris_1974-06-09_Hankering_to_Hear_About_Krishna.mp3" TargetMode="External"/><Relationship Id="rId3133" Type="http://schemas.openxmlformats.org/officeDocument/2006/relationships/hyperlink" Target="https://audio.iskcondesiretree.com/01_-_Srila_Prabhupada/01_-_Lectures/01_-_English/02_-_Month_wise/04_-_April/20/Speech_1975-04-20_SP-VRNDAVAN.MP3" TargetMode="External"/><Relationship Id="rId2899" Type="http://schemas.openxmlformats.org/officeDocument/2006/relationships/hyperlink" Target="https://audio.iskcondesiretree.com/01_-_Srila_Prabhupada/01_-_Lectures/01_-_English/01_-_Topic_wise/Srimad_Bhagavatam/Canto-03/SP_SB_3-12-19_Dallas_1975-03-03_Entering_Krishna%27s_Family.mp3" TargetMode="External"/><Relationship Id="rId3200" Type="http://schemas.openxmlformats.org/officeDocument/2006/relationships/hyperlink" Target="https://audio.iskcondesiretree.com/01_-_Srila_Prabhupada/01_-_Lectures/01_-_English/02_-_Month_wise/05_-_May/19/Conv_1975-05-19_R1-MELBOURNE.MP3" TargetMode="External"/><Relationship Id="rId121" Type="http://schemas.openxmlformats.org/officeDocument/2006/relationships/hyperlink" Target="https://audio.iskcondesiretree.com/01_-_Srila_Prabhupada/01_-_Lectures/01_-_English/01_-_Topic_wise/Chaitanya_Charitamrita/Madhya_Lila/SP_CC_M_20-119_New_York_1966-11-24_Are_We_Krishna%27s_Competitors.mp3" TargetMode="External"/><Relationship Id="rId2966" Type="http://schemas.openxmlformats.org/officeDocument/2006/relationships/hyperlink" Target="https://audio.iskcondesiretree.com/01_-_Srila_Prabhupada/01_-_Lectures/01_-_English/01_-_Topic_wise/Morning_Walk/SP_Morning_Walk_-_Tehran_1975-03-15.MP3" TargetMode="External"/><Relationship Id="rId5372" Type="http://schemas.openxmlformats.org/officeDocument/2006/relationships/hyperlink" Target="https://audio.iskcondesiretree.com/01_-_Srila_Prabhupada/01_-_Lectures/01_-_English/02_-_Month_wise/11_-_November/03/Conv_1976-11-03_R2-VRNDAVAN.MP3" TargetMode="External"/><Relationship Id="rId6009" Type="http://schemas.openxmlformats.org/officeDocument/2006/relationships/hyperlink" Target="https://audio.iskcondesiretree.com/01_-_Srila_Prabhupada/01_-_Lectures/01_-_English/02_-_Month_wise/11_-_November/07/Conv_1977-11-07_R5-VRNDAVAN.MP3" TargetMode="External"/><Relationship Id="rId938" Type="http://schemas.openxmlformats.org/officeDocument/2006/relationships/hyperlink" Target="https://audio.iskcondesiretree.com/01_-_Srila_Prabhupada/01_-_Lectures/01_-_English/02_-_Month_wise/04_-_April/12/SB_1-08-20_NY_1973-04-12_Queen_Kunti%27s_Humility.mp3" TargetMode="External"/><Relationship Id="rId1568" Type="http://schemas.openxmlformats.org/officeDocument/2006/relationships/hyperlink" Target="https://audio.iskcondesiretree.com/01_-_Srila_Prabhupada/01_-_Lectures/01_-_English/02_-_Month_wise/01_-_January/23/Walk_1974-01-23_MW-HONOLULU.MP3" TargetMode="External"/><Relationship Id="rId2619" Type="http://schemas.openxmlformats.org/officeDocument/2006/relationships/hyperlink" Target="https://audio.iskcondesiretree.com/01_-_Srila_Prabhupada/01_-_Lectures/01_-_English/02_-_Month_wise/12_-_December/17/SB-03-26-05_1974-12-17_SB-BOMBAY.MP3" TargetMode="External"/><Relationship Id="rId5025" Type="http://schemas.openxmlformats.org/officeDocument/2006/relationships/hyperlink" Target="https://audio.iskcondesiretree.com/01_-_Srila_Prabhupada/01_-_Lectures/01_-_English/01_-_Topic_wise/Various/SP_Lecture_London_1976-07-27_To_Indian_Community.mp3" TargetMode="External"/><Relationship Id="rId1635" Type="http://schemas.openxmlformats.org/officeDocument/2006/relationships/hyperlink" Target="https://audio.iskcondesiretree.com/01_-_Srila_Prabhupada/01_-_Lectures/01_-_English/01_-_Topic_wise/Bhagavad_Gita/Chapter-07/SP_BG_07-07_Bombay_1974-02-22_Superior_to_All_Hodgepodge.mp3" TargetMode="External"/><Relationship Id="rId1982" Type="http://schemas.openxmlformats.org/officeDocument/2006/relationships/hyperlink" Target="https://audio.iskcondesiretree.com/01_-_Srila_Prabhupada/01_-_Lectures/01_-_English/02_-_Month_wise/05_-_May/24/SB-01-02-06_1974-05-24_SB-ROME.MP3" TargetMode="External"/><Relationship Id="rId4041" Type="http://schemas.openxmlformats.org/officeDocument/2006/relationships/hyperlink" Target="https://audio.iskcondesiretree.com/01_-_Srila_Prabhupada/01_-_Lectures/01_-_English/01_-_Topic_wise/Morning_Walk/SP_Morning_Walk_-_Vrindavan_1975-12-03_Voidists_Impersonalists.mp3" TargetMode="External"/><Relationship Id="rId1702" Type="http://schemas.openxmlformats.org/officeDocument/2006/relationships/hyperlink" Target="https://audio.iskcondesiretree.com/01_-_Srila_Prabhupada/01_-_Lectures/01_-_English/02_-_Month_wise/03_-_March/13/Walk_1974-03-13_MW-VRNDAVAN.MP3" TargetMode="External"/><Relationship Id="rId4858" Type="http://schemas.openxmlformats.org/officeDocument/2006/relationships/hyperlink" Target="https://audio.iskcondesiretree.com/01_-_Srila_Prabhupada/01_-_Lectures/01_-_English/02_-_Month_wise/06_-_June/29/BhavanJournalQuestionnaire-01_1976-06-29_BJ-NEW%20VRINDAVAN.MP3" TargetMode="External"/><Relationship Id="rId5909" Type="http://schemas.openxmlformats.org/officeDocument/2006/relationships/hyperlink" Target="https://audio.iskcondesiretree.com/01_-_Srila_Prabhupada/01_-_Lectures/01_-_English/02_-_Month_wise/07_-_July/07/Conv_1977-07-07_R2-VRNDAVAN.MP3" TargetMode="External"/><Relationship Id="rId3874" Type="http://schemas.openxmlformats.org/officeDocument/2006/relationships/hyperlink" Target="https://audio.iskcondesiretree.com/01_-_Srila_Prabhupada/01_-_Lectures/01_-_English/02_-_Month_wise/10_-_October/15/RC_DUR_1975-10-15_Dogs%27_Obstinacy.mp3" TargetMode="External"/><Relationship Id="rId4925" Type="http://schemas.openxmlformats.org/officeDocument/2006/relationships/hyperlink" Target="https://audio.iskcondesiretree.com/01_-_Srila_Prabhupada/01_-_Lectures/01_-_English/02_-_Month_wise/07_-_July/07/RC_WDC_1976-07-07_Scientists--Two_Grains_of_Sand_on_etc.mp3" TargetMode="External"/><Relationship Id="rId795" Type="http://schemas.openxmlformats.org/officeDocument/2006/relationships/hyperlink" Target="https://audio.iskcondesiretree.com/01_-_Srila_Prabhupada/01_-_Lectures/01_-_English/02_-_Month_wise/11_-_November/07/SB_1-02-27_VRN_1972-11-07_Devotee_Doesn%27t_Want_Anything.mp3" TargetMode="External"/><Relationship Id="rId2476" Type="http://schemas.openxmlformats.org/officeDocument/2006/relationships/hyperlink" Target="https://audio.iskcondesiretree.com/01_-_Srila_Prabhupada/01_-_Lectures/01_-_English/01_-_Topic_wise/Srimad_Bhagavatam/Canto-01/SP_SB_1-08-48_Mayapur_1974-10-28_My_Body_and_I_Belong_to_Krishna.mp3" TargetMode="External"/><Relationship Id="rId2890" Type="http://schemas.openxmlformats.org/officeDocument/2006/relationships/hyperlink" Target="https://audio.iskcondesiretree.com/01_-_Srila_Prabhupada/01_-_Lectures/01_-_English/01_-_Topic_wise/Various/SP_Lecture_Atlanta_1975-03-02_At_Sunday_Feast--Mahaprabhu%27s_Mercy.mp3" TargetMode="External"/><Relationship Id="rId3527" Type="http://schemas.openxmlformats.org/officeDocument/2006/relationships/hyperlink" Target="https://audio.iskcondesiretree.com/01_-_Srila_Prabhupada/01_-_Lectures/01_-_English/02_-_Month_wise/07_-_July/14/SB_6-01-30_PHI_1975-07-14_Stop_Wasting_Your_Time_etc.mp3" TargetMode="External"/><Relationship Id="rId3941" Type="http://schemas.openxmlformats.org/officeDocument/2006/relationships/hyperlink" Target="https://audio.iskcondesiretree.com/01_-_Srila_Prabhupada/01_-_Lectures/01_-_English/01_-_Topic_wise/Bhagavad_Gita/Chapter-07/SP_BG_07-04_Nairobi_1975-10-31_Darwin-Monkeys%27_Knowledge.mp3" TargetMode="External"/><Relationship Id="rId448" Type="http://schemas.openxmlformats.org/officeDocument/2006/relationships/hyperlink" Target="https://audio.iskcondesiretree.com/01_-_Srila_Prabhupada/01_-_Lectures/01_-_English/01_-_Topic_wise/Srimad_Bhagavatam/Canto-01/SP_SB_1-05-14_New_Vrindavan_1969-06-16_One_Has_to_Live_in_God.mp3" TargetMode="External"/><Relationship Id="rId862" Type="http://schemas.openxmlformats.org/officeDocument/2006/relationships/hyperlink" Target="https://audio.iskcondesiretree.com/01_-_Srila_Prabhupada/01_-_Lectures/01_-_English/01_-_Topic_wise/Bhagavad_Gita/Chapter-02/SP_BG_02-02_Ahmedabad_1972-12-11_Classless_Aryanism.mp3" TargetMode="External"/><Relationship Id="rId1078" Type="http://schemas.openxmlformats.org/officeDocument/2006/relationships/hyperlink" Target="https://audio.iskcondesiretree.com/01_-_Srila_Prabhupada/01_-_Lectures/01_-_English/02_-_Month_wise/07_-_July/11/RC_LON_1973-07-11_Guest-Young_Wise_Men_Old_Hypocrites.mp3" TargetMode="External"/><Relationship Id="rId1492" Type="http://schemas.openxmlformats.org/officeDocument/2006/relationships/hyperlink" Target="https://audio.iskcondesiretree.com/01_-_Srila_Prabhupada/01_-_Lectures/01_-_English/02_-_Month_wise/01_-_January/07/MW_LA_1974-01-07_What_Is_Real_Leadership.mp3" TargetMode="External"/><Relationship Id="rId2129" Type="http://schemas.openxmlformats.org/officeDocument/2006/relationships/hyperlink" Target="https://audio.iskcondesiretree.com/01_-_Srila_Prabhupada/01_-_Lectures/01_-_English/02_-_Month_wise/06_-_June/13/Walk_1974-06-13_MW-PARIS.MP3" TargetMode="External"/><Relationship Id="rId2543" Type="http://schemas.openxmlformats.org/officeDocument/2006/relationships/hyperlink" Target="https://audio.iskcondesiretree.com/01_-_Srila_Prabhupada/01_-_Lectures/01_-_English/01_-_Topic_wise/Srimad_Bhagavatam/Canto-03/SP_SB_3-25-22_Bombay_1974-11-22_The_Only_Rescue.mp3" TargetMode="External"/><Relationship Id="rId5699" Type="http://schemas.openxmlformats.org/officeDocument/2006/relationships/hyperlink" Target="https://audio.iskcondesiretree.com/01_-_Srila_Prabhupada/01_-_Lectures/01_-_English/02_-_Month_wise/02_-_Feburary/14/Conv_1977-02-14_R1-MAYAPUR.MP3" TargetMode="External"/><Relationship Id="rId6000" Type="http://schemas.openxmlformats.org/officeDocument/2006/relationships/hyperlink" Target="https://audio.iskcondesiretree.com/01_-_Srila_Prabhupada/01_-_Lectures/01_-_English/02_-_Month_wise/11_-_November/05/Conv_1977-11-05_R5-VRNDAVAN.MP3" TargetMode="External"/><Relationship Id="rId515" Type="http://schemas.openxmlformats.org/officeDocument/2006/relationships/hyperlink" Target="https://audio.iskcondesiretree.com/01_-_Srila_Prabhupada/01_-_Lectures/01_-_English/02_-_Month_wise/06_-_June/23/NOD_Lect_LA_1970-06-23_We_Don%27t_Want_Petty_Gods.mp3" TargetMode="External"/><Relationship Id="rId1145" Type="http://schemas.openxmlformats.org/officeDocument/2006/relationships/hyperlink" Target="https://audio.iskcondesiretree.com/01_-_Srila_Prabhupada/01_-_Lectures/01_-_English/02_-_Month_wise/08_-_August/05/Bg_02-04_LON_1973-08-05_When_to_Reject_Guru.mp3" TargetMode="External"/><Relationship Id="rId5766" Type="http://schemas.openxmlformats.org/officeDocument/2006/relationships/hyperlink" Target="https://audio.iskcondesiretree.com/01_-_Srila_Prabhupada/01_-_Lectures/01_-_English/02_-_Month_wise/03_-_March/25/SB%E2%80%9305-05-01%E2%80%9302_1977-03-25_SB-BOMBAY.MP3" TargetMode="External"/><Relationship Id="rId1212" Type="http://schemas.openxmlformats.org/officeDocument/2006/relationships/hyperlink" Target="https://audio.iskcondesiretree.com/01_-_Srila_Prabhupada/01_-_Lectures/01_-_English/02_-_Month_wise/08_-_August/23/Bg_02-17_LON_1973-08-23_We_Are_Individuals_Eternally.mp3" TargetMode="External"/><Relationship Id="rId2610" Type="http://schemas.openxmlformats.org/officeDocument/2006/relationships/hyperlink" Target="https://audio.iskcondesiretree.com/01_-_Srila_Prabhupada/01_-_Lectures/01_-_English/02_-_Month_wise/12_-_December/14/SB-03-26-02_1974-12-14_SB-BOMBAY.MP3" TargetMode="External"/><Relationship Id="rId4368" Type="http://schemas.openxmlformats.org/officeDocument/2006/relationships/hyperlink" Target="https://audio.iskcondesiretree.com/01_-_Srila_Prabhupada/01_-_Lectures/01_-_English/02_-_Month_wise/03_-_March/16/Lect_MAY_1976-03-16_Initiation_Sannyasa_No_Ism_No_Schism.mp3" TargetMode="External"/><Relationship Id="rId5419" Type="http://schemas.openxmlformats.org/officeDocument/2006/relationships/hyperlink" Target="https://audio.iskcondesiretree.com/01_-_Srila_Prabhupada/01_-_Lectures/01_-_English/02_-_Month_wise/11_-_November/14/Conv_1976-11-14_R1-VRNDAVAN.MP3" TargetMode="External"/><Relationship Id="rId4782" Type="http://schemas.openxmlformats.org/officeDocument/2006/relationships/hyperlink" Target="https://audio.iskcondesiretree.com/01_-_Srila_Prabhupada/01_-_Lectures/01_-_English/02_-_Month_wise/06_-_June/18/SB_7-06-02_TOR_1976-06-18_Innermost_Benefit_from_the_etc.mp3" TargetMode="External"/><Relationship Id="rId5833" Type="http://schemas.openxmlformats.org/officeDocument/2006/relationships/hyperlink" Target="https://audio.iskcondesiretree.com/01_-_Srila_Prabhupada/01_-_Lectures/01_-_English/02_-_Month_wise/05_-_May/02/Conv_1977-05-02_R2-BOMBAY.MP3" TargetMode="External"/><Relationship Id="rId3037" Type="http://schemas.openxmlformats.org/officeDocument/2006/relationships/hyperlink" Target="https://audio.iskcondesiretree.com/01_-_Srila_Prabhupada/01_-_Lectures/01_-_English/01_-_Topic_wise/Morning_Walk/SP_Morning_Walk_-_Mayapur_1975-04-03_High-Tech_High-Sci_Rascals.mp3" TargetMode="External"/><Relationship Id="rId3384" Type="http://schemas.openxmlformats.org/officeDocument/2006/relationships/hyperlink" Target="https://audio.iskcondesiretree.com/01_-_Srila_Prabhupada/01_-_Lectures/01_-_English/01_-_Topic_wise/Srimad_Bhagavatam/Canto-06/SP_SB_6-1-15_Los_Angeles_1975-06-27.MP3" TargetMode="External"/><Relationship Id="rId4435" Type="http://schemas.openxmlformats.org/officeDocument/2006/relationships/hyperlink" Target="https://audio.iskcondesiretree.com/01_-_Srila_Prabhupada/01_-_Lectures/01_-_English/02_-_Month_wise/04_-_April/06/Meeting_1976-04-06_ME-VRNDAVAN.MP3" TargetMode="External"/><Relationship Id="rId5900" Type="http://schemas.openxmlformats.org/officeDocument/2006/relationships/hyperlink" Target="https://audio.iskcondesiretree.com/01_-_Srila_Prabhupada/01_-_Lectures/01_-_English/02_-_Month_wise/07_-_July/01/Conv_1977-07-01_R5-VRNDAVAN.MP3" TargetMode="External"/><Relationship Id="rId3451" Type="http://schemas.openxmlformats.org/officeDocument/2006/relationships/hyperlink" Target="https://audio.iskcondesiretree.com/01_-_Srila_Prabhupada/01_-_Lectures/01_-_English/02_-_Month_wise/07_-_July/06/SB-06-01-22_1975-07-06_SB-CHICAGO.MP3" TargetMode="External"/><Relationship Id="rId4502" Type="http://schemas.openxmlformats.org/officeDocument/2006/relationships/hyperlink" Target="https://audio.iskcondesiretree.com/01_-_Srila_Prabhupada/01_-_Lectures/01_-_English/02_-_Month_wise/04_-_April/20/Bg-09-02_1976-04-20_BG-MELBOURNE.MP3" TargetMode="External"/><Relationship Id="rId372" Type="http://schemas.openxmlformats.org/officeDocument/2006/relationships/hyperlink" Target="https://audio.iskcondesiretree.com/01_-_Srila_Prabhupada/01_-_Lectures/01_-_English/02_-_Month_wise/02_-_Feburary/15/Bg_06-06_LA_1969-02-15_Yoga_System--Conquering_the_Mind.mp3" TargetMode="External"/><Relationship Id="rId2053" Type="http://schemas.openxmlformats.org/officeDocument/2006/relationships/hyperlink" Target="https://audio.iskcondesiretree.com/01_-_Srila_Prabhupada/01_-_Lectures/01_-_English/01_-_Topic_wise/Morning_Walk/SP_Morning_Walk_-_Geneva_1974-06-05_Your_Position-Conditioned%21.mp3" TargetMode="External"/><Relationship Id="rId3104" Type="http://schemas.openxmlformats.org/officeDocument/2006/relationships/hyperlink" Target="https://audio.iskcondesiretree.com/01_-_Srila_Prabhupada/01_-_Lectures/01_-_English/01_-_Topic_wise/Various/SP_Lecture_Hyderabad_1975-04-14.MP3" TargetMode="External"/><Relationship Id="rId2120" Type="http://schemas.openxmlformats.org/officeDocument/2006/relationships/hyperlink" Target="https://audio.iskcondesiretree.com/01_-_Srila_Prabhupada/01_-_Lectures/01_-_English/02_-_Month_wise/06_-_June/13/Bg-07-01%E2%80%9303_1974-06-13_BG-PARIS.MP3" TargetMode="External"/><Relationship Id="rId5276" Type="http://schemas.openxmlformats.org/officeDocument/2006/relationships/hyperlink" Target="https://audio.iskcondesiretree.com/01_-_Srila_Prabhupada/01_-_Lectures/01_-_English/01_-_Topic_wise/Srimad_Bhagavatam/Canto-01/SP_SB_1-07-36-37_Vrindavan_1976-09-29_The_Point--Is_Krishna_Pleased.mp3" TargetMode="External"/><Relationship Id="rId5690" Type="http://schemas.openxmlformats.org/officeDocument/2006/relationships/hyperlink" Target="https://audio.iskcondesiretree.com/01_-_Srila_Prabhupada/01_-_Lectures/01_-_English/02_-_Month_wise/02_-_Feburary/10/SB-07-09-01_1977-02-10_SB-MAYAPUR.MP3" TargetMode="External"/><Relationship Id="rId4292" Type="http://schemas.openxmlformats.org/officeDocument/2006/relationships/hyperlink" Target="https://audio.iskcondesiretree.com/01_-_Srila_Prabhupada/01_-_Lectures/01_-_English/02_-_Month_wise/02_-_Feburary/27/SB_7-09-20_MAY_1976-02-27_Nothing_Other_than_Krishna.mp3" TargetMode="External"/><Relationship Id="rId5343" Type="http://schemas.openxmlformats.org/officeDocument/2006/relationships/hyperlink" Target="https://audio.iskcondesiretree.com/01_-_Srila_Prabhupada/01_-_Lectures/01_-_English/02_-_Month_wise/10_-_October/23/SB-05-05-01_1976-10-23_SB-VRNDAVAN.MP3" TargetMode="External"/><Relationship Id="rId1886" Type="http://schemas.openxmlformats.org/officeDocument/2006/relationships/hyperlink" Target="https://audio.iskcondesiretree.com/01_-_Srila_Prabhupada/01_-_Lectures/01_-_English/02_-_Month_wise/04_-_April/17/Walk_1974-04-17_MW-BOMBAY.MP3" TargetMode="External"/><Relationship Id="rId2937" Type="http://schemas.openxmlformats.org/officeDocument/2006/relationships/hyperlink" Target="https://audio.iskcondesiretree.com/01_-_Srila_Prabhupada/01_-_Lectures/01_-_English/01_-_Topic_wise/Bhagavad_Gita/Chapter-07/SP_BG_07-03_London_1975-03-11_Your_Next_Life_Sir-Bow_Wow.mp3" TargetMode="External"/><Relationship Id="rId909" Type="http://schemas.openxmlformats.org/officeDocument/2006/relationships/hyperlink" Target="https://audio.iskcondesiretree.com/01_-_Srila_Prabhupada/01_-_Lectures/01_-_English/02_-_Month_wise/01_-_January/27/NOD_Lect_CAL_1973-01-27_The_Common_Cause_Is_Krishna.mp3" TargetMode="External"/><Relationship Id="rId1539" Type="http://schemas.openxmlformats.org/officeDocument/2006/relationships/hyperlink" Target="https://audio.iskcondesiretree.com/01_-_Srila_Prabhupada/01_-_Lectures/01_-_English/01_-_Topic_wise/Morning_Walk/SP_Morning_Walk_-_Hawaii_1974-01-18_We_Controllers_Are_Getting_Kicked.mp3" TargetMode="External"/><Relationship Id="rId1953" Type="http://schemas.openxmlformats.org/officeDocument/2006/relationships/hyperlink" Target="https://audio.iskcondesiretree.com/01_-_Srila_Prabhupada/01_-_Lectures/01_-_English/01_-_Topic_wise/Festivals/SP_Festivals_Bombay_1974-05-05_Nrsimhadeva_Appearance.mp3" TargetMode="External"/><Relationship Id="rId5410" Type="http://schemas.openxmlformats.org/officeDocument/2006/relationships/hyperlink" Target="https://audio.iskcondesiretree.com/01_-_Srila_Prabhupada/01_-_Lectures/01_-_English/02_-_Month_wise/11_-_November/12/SB-05-05-25_1976-11-12_SB-VRNDAVAN.MP3" TargetMode="External"/><Relationship Id="rId1606" Type="http://schemas.openxmlformats.org/officeDocument/2006/relationships/hyperlink" Target="https://audio.iskcondesiretree.com/01_-_Srila_Prabhupada/01_-_Lectures/01_-_English/02_-_Month_wise/02_-_Feburary/11/Conv_1974-02-11_MW-VRNDAVAN.MP3" TargetMode="External"/><Relationship Id="rId4012" Type="http://schemas.openxmlformats.org/officeDocument/2006/relationships/hyperlink" Target="https://audio.iskcondesiretree.com/01_-_Srila_Prabhupada/01_-_Lectures/01_-_English/02_-_Month_wise/11_-_November/19/Walk_1975-11-19_MW-BOMBAY.MP3" TargetMode="External"/><Relationship Id="rId3778" Type="http://schemas.openxmlformats.org/officeDocument/2006/relationships/hyperlink" Target="https://audio.iskcondesiretree.com/01_-_Srila_Prabhupada/01_-_Lectures/01_-_English/02_-_Month_wise/09_-_September/19/Walk_1975-09-19_MW-VRNDAVAN.MP3" TargetMode="External"/><Relationship Id="rId4829" Type="http://schemas.openxmlformats.org/officeDocument/2006/relationships/hyperlink" Target="https://audio.iskcondesiretree.com/01_-_Srila_Prabhupada/01_-_Lectures/01_-_English/02_-_Month_wise/06_-_June/26/Bg_16-01_NV_1976-06-26_Dealing_with_Cats_and_Dogs.mp3" TargetMode="External"/><Relationship Id="rId6184" Type="http://schemas.openxmlformats.org/officeDocument/2006/relationships/hyperlink" Target="https://audio.iskcondesiretree.com/01_-_Srila_Prabhupada/01_-_Lectures/03_-_Hindi/SP_Hindi_12_Lectures_%26_Conversations.mp3" TargetMode="External"/><Relationship Id="rId699" Type="http://schemas.openxmlformats.org/officeDocument/2006/relationships/hyperlink" Target="https://audio.iskcondesiretree.com/01_-_Srila_Prabhupada/01_-_Lectures/01_-_English/02_-_Month_wise/09_-_September/24/SB_1-03-19_LA_1972-09-24_Offering_Everything_to_Krishna.mp3" TargetMode="External"/><Relationship Id="rId2794" Type="http://schemas.openxmlformats.org/officeDocument/2006/relationships/hyperlink" Target="https://audio.iskcondesiretree.com/01_-_Srila_Prabhupada/01_-_Lectures/01_-_English/02_-_Month_wise/02_-_Feburary/12/RC_MEX_1975-02-12_Sanskrit_Prof--Bona_Fide_or_Bogus.mp3" TargetMode="External"/><Relationship Id="rId3845" Type="http://schemas.openxmlformats.org/officeDocument/2006/relationships/hyperlink" Target="https://audio.iskcondesiretree.com/01_-_Srila_Prabhupada/01_-_Lectures/01_-_English/02_-_Month_wise/10_-_October/10/RC_DUR_1975-10-10_Prof-This_Body_Is_Always_Dead.mp3" TargetMode="External"/><Relationship Id="rId766" Type="http://schemas.openxmlformats.org/officeDocument/2006/relationships/hyperlink" Target="https://audio.iskcondesiretree.com/01_-_Srila_Prabhupada/01_-_Lectures/01_-_English/02_-_Month_wise/10_-_October/31/NOD_06_VRN_1972-10-31_The_Complete_Science_of_Bhakti-Yoga.mp3" TargetMode="External"/><Relationship Id="rId1396" Type="http://schemas.openxmlformats.org/officeDocument/2006/relationships/hyperlink" Target="https://audio.iskcondesiretree.com/01_-_Srila_Prabhupada/01_-_Lectures/01_-_English/02_-_Month_wise/12_-_December/05/MW_LA_1973-12-05_We_Have_Free_Will.mp3" TargetMode="External"/><Relationship Id="rId2447" Type="http://schemas.openxmlformats.org/officeDocument/2006/relationships/hyperlink" Target="https://audio.iskcondesiretree.com/01_-_Srila_Prabhupada/01_-_Lectures/01_-_English/02_-_Month_wise/10_-_October/16/SB-01-08-36_1974-10-16_SB-MAYAPUR.MP3" TargetMode="External"/><Relationship Id="rId419" Type="http://schemas.openxmlformats.org/officeDocument/2006/relationships/hyperlink" Target="https://audio.iskcondesiretree.com/01_-_Srila_Prabhupada/01_-_Lectures/01_-_English/02_-_Month_wise/05_-_May/10/RC_COL_1969-05-10_Seed_of_Frustration.mp3" TargetMode="External"/><Relationship Id="rId1049" Type="http://schemas.openxmlformats.org/officeDocument/2006/relationships/hyperlink" Target="https://audio.iskcondesiretree.com/01_-_Srila_Prabhupada/01_-_Lectures/01_-_English/01_-_Topic_wise/Srimad_Bhagavatam/Canto-01/SP_SB_1-10-14_Mayapur_1973-06-27_Truly_Selfless_Love.mp3" TargetMode="External"/><Relationship Id="rId2861" Type="http://schemas.openxmlformats.org/officeDocument/2006/relationships/hyperlink" Target="https://audio.iskcondesiretree.com/01_-_Srila_Prabhupada/01_-_Lectures/01_-_English/02_-_Month_wise/02_-_Feburary/27/Bg-13-04_1975-02-27_BG-MIAMI.MP3" TargetMode="External"/><Relationship Id="rId3912" Type="http://schemas.openxmlformats.org/officeDocument/2006/relationships/hyperlink" Target="https://audio.iskcondesiretree.com/01_-_Srila_Prabhupada/01_-_Lectures/01_-_English/01_-_Topic_wise/Srimad_Bhagavatam/Canto-03/SP_SB_3-28-17_Nairobi_1975-10-26_I_Must_Love_Krishna.mp3" TargetMode="External"/><Relationship Id="rId833" Type="http://schemas.openxmlformats.org/officeDocument/2006/relationships/hyperlink" Target="https://audio.iskcondesiretree.com/01_-_Srila_Prabhupada/01_-_Lectures/01_-_English/01_-_Topic_wise/Bhagavad_Gita/Chapter-07/SP_BG_07-05_Hyderabad_1972-11-23_Serving_the_Material_World---etc.mp3" TargetMode="External"/><Relationship Id="rId1116" Type="http://schemas.openxmlformats.org/officeDocument/2006/relationships/hyperlink" Target="https://audio.iskcondesiretree.com/01_-_Srila_Prabhupada/01_-_Lectures/01_-_English/01_-_Topic_wise/Bhagavad_Gita/Chapter-01/SP_BG_01-31_London_1973-07-24_Immediate_vs._Ultimate_Good.mp3" TargetMode="External"/><Relationship Id="rId1463" Type="http://schemas.openxmlformats.org/officeDocument/2006/relationships/hyperlink" Target="https://audio.iskcondesiretree.com/01_-_Srila_Prabhupada/01_-_Lectures/01_-_English/01_-_Topic_wise/Srimad_Bhagavatam/Canto-01/SP_SB_1-16-01_Los_Angeles_1973-12-29_The_Best_Form_of_Government.mp3" TargetMode="External"/><Relationship Id="rId2514" Type="http://schemas.openxmlformats.org/officeDocument/2006/relationships/hyperlink" Target="https://audio.iskcondesiretree.com/01_-_Srila_Prabhupada/01_-_Lectures/01_-_English/02_-_Month_wise/11_-_November/12/SB_3-25-12_BOM_1974-11-12_Village_Talk-Vaikuntha_Talk.mp3" TargetMode="External"/><Relationship Id="rId900" Type="http://schemas.openxmlformats.org/officeDocument/2006/relationships/hyperlink" Target="https://audio.iskcondesiretree.com/01_-_Srila_Prabhupada/01_-_Lectures/01_-_English/01_-_Topic_wise/Various/SP_Lecture_Bombay_1973-01-14_At_Pandal--It_Is_Not_that_Only--etc.mp3" TargetMode="External"/><Relationship Id="rId1530" Type="http://schemas.openxmlformats.org/officeDocument/2006/relationships/hyperlink" Target="https://audio.iskcondesiretree.com/01_-_Srila_Prabhupada/01_-_Lectures/01_-_English/02_-_Month_wise/01_-_January/15/Walk_1974-01-15_MW-HONOLULU.MP3" TargetMode="External"/><Relationship Id="rId4686" Type="http://schemas.openxmlformats.org/officeDocument/2006/relationships/hyperlink" Target="https://audio.iskcondesiretree.com/01_-_Srila_Prabhupada/01_-_Lectures/01_-_English/02_-_Month_wise/06_-_June/04/Conv_1976-06-04_IV-LOS%20ANGELES.MP3" TargetMode="External"/><Relationship Id="rId5737" Type="http://schemas.openxmlformats.org/officeDocument/2006/relationships/hyperlink" Target="https://audio.iskcondesiretree.com/01_-_Srila_Prabhupada/01_-_Lectures/01_-_English/02_-_Month_wise/02_-_Feburary/26/SB_7-09-06_MAY_1977-02-26_God--Supreme_Being.mp3" TargetMode="External"/><Relationship Id="rId3288" Type="http://schemas.openxmlformats.org/officeDocument/2006/relationships/hyperlink" Target="https://audio.iskcondesiretree.com/01_-_Srila_Prabhupada/01_-_Lectures/01_-_English/02_-_Month_wise/06_-_June/14/Walk_1975-06-14_MW-HONOLULU.MP3" TargetMode="External"/><Relationship Id="rId4339" Type="http://schemas.openxmlformats.org/officeDocument/2006/relationships/hyperlink" Target="https://audio.iskcondesiretree.com/01_-_Srila_Prabhupada/01_-_Lectures/01_-_English/02_-_Month_wise/03_-_March/10/SB_7-09-32_MAY_1976-03-10_The_All_Pure_and_Powerful.mp3" TargetMode="External"/><Relationship Id="rId4753" Type="http://schemas.openxmlformats.org/officeDocument/2006/relationships/hyperlink" Target="https://audio.iskcondesiretree.com/01_-_Srila_Prabhupada/01_-_Lectures/01_-_English/02_-_Month_wise/06_-_June/15/Conv_1976-06-15_R1-DETROIT.MP3" TargetMode="External"/><Relationship Id="rId5804" Type="http://schemas.openxmlformats.org/officeDocument/2006/relationships/hyperlink" Target="https://audio.iskcondesiretree.com/01_-_Srila_Prabhupada/01_-_Lectures/01_-_English/02_-_Month_wise/04_-_April/17/Conv_1977-04-17_R2-BOMBAY.MP3" TargetMode="External"/><Relationship Id="rId3355" Type="http://schemas.openxmlformats.org/officeDocument/2006/relationships/hyperlink" Target="https://audio.iskcondesiretree.com/01_-_Srila_Prabhupada/01_-_Lectures/01_-_English/02_-_Month_wise/06_-_June/23/SB-06-01-10_1975-06-23_SB-LOS%20ANGELES.MP3" TargetMode="External"/><Relationship Id="rId4406" Type="http://schemas.openxmlformats.org/officeDocument/2006/relationships/hyperlink" Target="https://audio.iskcondesiretree.com/01_-_Srila_Prabhupada/01_-_Lectures/01_-_English/02_-_Month_wise/03_-_March/25/Interv_DEL_1976-03-25_Press--India-_Overintelligent.mp3" TargetMode="External"/><Relationship Id="rId276" Type="http://schemas.openxmlformats.org/officeDocument/2006/relationships/hyperlink" Target="https://audio.iskcondesiretree.com/01_-_Srila_Prabhupada/01_-_Lectures/01_-_English/01_-_Topic_wise/Various/SP_Lecture_Seattle_1968-10-18_Transcendental_Television.mp3" TargetMode="External"/><Relationship Id="rId690" Type="http://schemas.openxmlformats.org/officeDocument/2006/relationships/hyperlink" Target="https://audio.iskcondesiretree.com/01_-_Srila_Prabhupada/01_-_Lectures/01_-_English/01_-_Topic_wise/Srimad_Bhagavatam/Canto-01/SP_SB_1-03-14_Los_Angeles_1972-09-19_Today%27s_Civilized_Man--Less--etc.mp3" TargetMode="External"/><Relationship Id="rId2371" Type="http://schemas.openxmlformats.org/officeDocument/2006/relationships/hyperlink" Target="https://audio.iskcondesiretree.com/01_-_Srila_Prabhupada/01_-_Lectures/01_-_English/01_-_Topic_wise/Various/SP_Ceremony_Speech_Vrindavan_1974-08-18.mp3" TargetMode="External"/><Relationship Id="rId3008" Type="http://schemas.openxmlformats.org/officeDocument/2006/relationships/hyperlink" Target="https://audio.iskcondesiretree.com/01_-_Srila_Prabhupada/01_-_Lectures/01_-_English/01_-_Topic_wise/Chaitanya_Charitamrita/Adi_Lila/SP_CC_A_01-06_Mayapur_1975-03-30_Krishna_Is_Enjoying_Differently.mp3" TargetMode="External"/><Relationship Id="rId3422" Type="http://schemas.openxmlformats.org/officeDocument/2006/relationships/hyperlink" Target="https://audio.iskcondesiretree.com/01_-_Srila_Prabhupada/01_-_Lectures/01_-_English/01_-_Topic_wise/Morning_Walk/SP_Morning_Walk_-_Denver_1975-07-03_Sometimes_This_Material_World_Is--etc.mp3" TargetMode="External"/><Relationship Id="rId4820" Type="http://schemas.openxmlformats.org/officeDocument/2006/relationships/hyperlink" Target="https://audio.iskcondesiretree.com/01_-_Srila_Prabhupada/01_-_Lectures/01_-_English/02_-_Month_wise/06_-_June/24/SB-07-06-08_1976-06-24_SB-NEW%20VRINDAVAN.MP3" TargetMode="External"/><Relationship Id="rId343" Type="http://schemas.openxmlformats.org/officeDocument/2006/relationships/hyperlink" Target="https://audio.iskcondesiretree.com/01_-_Srila_Prabhupada/01_-_Lectures/01_-_English/02_-_Month_wise/12_-_December/30/Bg_03-18_LA_1968-12-30_How_a_Self_Realized_Soul_Acts.mp3" TargetMode="External"/><Relationship Id="rId2024" Type="http://schemas.openxmlformats.org/officeDocument/2006/relationships/hyperlink" Target="https://audio.iskcondesiretree.com/01_-_Srila_Prabhupada/01_-_Lectures/01_-_English/02_-_Month_wise/05_-_May/31/SB_1-07-06_GEN_1974-05-31_All_Problems_Are_Illusion.mp3" TargetMode="External"/><Relationship Id="rId1040" Type="http://schemas.openxmlformats.org/officeDocument/2006/relationships/hyperlink" Target="https://audio.iskcondesiretree.com/01_-_Srila_Prabhupada/01_-_Lectures/01_-_English/02_-_Month_wise/06_-_June/20/SB_1-10-05_MAY_1973-06-20_Comforts_for_the_Body_and_Soul.mp3" TargetMode="External"/><Relationship Id="rId4196" Type="http://schemas.openxmlformats.org/officeDocument/2006/relationships/hyperlink" Target="https://audio.iskcondesiretree.com/01_-_Srila_Prabhupada/01_-_Lectures/01_-_English/02_-_Month_wise/01_-_January/19/Walk_1976-01-19_MW-MAYAPUR.MP3" TargetMode="External"/><Relationship Id="rId5247" Type="http://schemas.openxmlformats.org/officeDocument/2006/relationships/hyperlink" Target="https://audio.iskcondesiretree.com/01_-_Srila_Prabhupada/01_-_Lectures/01_-_English/02_-_Month_wise/09_-_September/20/SB_1-07-23_VRN_1976-09-20_Krishna%27s_Real_Representative.mp3" TargetMode="External"/><Relationship Id="rId5594" Type="http://schemas.openxmlformats.org/officeDocument/2006/relationships/hyperlink" Target="https://audio.iskcondesiretree.com/01_-_Srila_Prabhupada/01_-_Lectures/01_-_English/02_-_Month_wise/01_-_January/15/Conv_1977-01-15_R1-ALLAHABAD.MP3" TargetMode="External"/><Relationship Id="rId410" Type="http://schemas.openxmlformats.org/officeDocument/2006/relationships/hyperlink" Target="https://audio.iskcondesiretree.com/01_-_Srila_Prabhupada/01_-_Lectures/01_-_English/02_-_Month_wise/05_-_May/03/Lect_BOS_1969-05-03_To_Students_Well_Centered_etc.mp3" TargetMode="External"/><Relationship Id="rId5661" Type="http://schemas.openxmlformats.org/officeDocument/2006/relationships/hyperlink" Target="https://audio.iskcondesiretree.com/01_-_Srila_Prabhupada/01_-_Lectures/01_-_English/02_-_Month_wise/01_-_January/31/RC_BHU_1977-01-31_The_Great_Soul.mp3" TargetMode="External"/><Relationship Id="rId1857" Type="http://schemas.openxmlformats.org/officeDocument/2006/relationships/hyperlink" Target="https://audio.iskcondesiretree.com/01_-_Srila_Prabhupada/01_-_Lectures/01_-_English/02_-_Month_wise/04_-_April/11/Bg-04-22_1974-04-11_BG-BOMBAY.MP3" TargetMode="External"/><Relationship Id="rId2908" Type="http://schemas.openxmlformats.org/officeDocument/2006/relationships/hyperlink" Target="https://audio.iskcondesiretree.com/01_-_Srila_Prabhupada/01_-_Lectures/01_-_English/02_-_Month_wise/03_-_March/04/MW_DAL_1975-03-04_Life-Work_Hard_and_Sin.mp3" TargetMode="External"/><Relationship Id="rId4263" Type="http://schemas.openxmlformats.org/officeDocument/2006/relationships/hyperlink" Target="https://audio.iskcondesiretree.com/01_-_Srila_Prabhupada/01_-_Lectures/01_-_English/02_-_Month_wise/02_-_Feburary/21/Fest_MAY_1976-02-21_Bhaktisiddhanta_Appearance.mp3" TargetMode="External"/><Relationship Id="rId5314" Type="http://schemas.openxmlformats.org/officeDocument/2006/relationships/hyperlink" Target="https://audio.iskcondesiretree.com/01_-_Srila_Prabhupada/01_-_Lectures/01_-_English/01_-_Topic_wise/Srimad_Bhagavatam/Canto-01/SP_SB_1-07-51_Vrindavan_1976-10-08_Anyone_Can_Become_Devotee.mp3" TargetMode="External"/><Relationship Id="rId1924" Type="http://schemas.openxmlformats.org/officeDocument/2006/relationships/hyperlink" Target="https://audio.iskcondesiretree.com/01_-_Srila_Prabhupada/01_-_Lectures/01_-_English/02_-_Month_wise/04_-_April/23/Walk_1974-04-23_MW-HYDERABAD.MP3" TargetMode="External"/><Relationship Id="rId4330" Type="http://schemas.openxmlformats.org/officeDocument/2006/relationships/hyperlink" Target="https://audio.iskcondesiretree.com/01_-_Srila_Prabhupada/01_-_Lectures/01_-_English/02_-_Month_wise/03_-_March/08/SB-07-09-30_1976-03-08_SB-MAYAPUR.MP3" TargetMode="External"/><Relationship Id="rId6088" Type="http://schemas.openxmlformats.org/officeDocument/2006/relationships/hyperlink" Target="https://audio.iskcondesiretree.com/01_-_Srila_Prabhupada/01_-_Lectures/01_-_English/01_-_Topic_wise/Krishna_Book/SP_Krsna_Book_Dict_44_-_The_Killing_of_Kamsa.mp3" TargetMode="External"/><Relationship Id="rId2698" Type="http://schemas.openxmlformats.org/officeDocument/2006/relationships/hyperlink" Target="https://audio.iskcondesiretree.com/01_-_Srila_Prabhupada/01_-_Lectures/01_-_English/01_-_Topic_wise/Srimad_Bhagavatam/Canto-03/SP_SB_3-26-40_Bombay_1975-01-15_Study_Krishna_Analytically.mp3" TargetMode="External"/><Relationship Id="rId6155" Type="http://schemas.openxmlformats.org/officeDocument/2006/relationships/hyperlink" Target="https://audio.iskcondesiretree.com/01_-_Srila_Prabhupada/01_-_Lectures/01_-_English/01_-_Topic_wise/Stories/SP_Story_31_Potter.mp3" TargetMode="External"/><Relationship Id="rId3749" Type="http://schemas.openxmlformats.org/officeDocument/2006/relationships/hyperlink" Target="https://audio.iskcondesiretree.com/01_-_Srila_Prabhupada/01_-_Lectures/01_-_English/02_-_Month_wise/09_-_September/11/SB-06-02-08_1975-09-11_SB-VRNDAVAN.MP3" TargetMode="External"/><Relationship Id="rId5171" Type="http://schemas.openxmlformats.org/officeDocument/2006/relationships/hyperlink" Target="https://audio.iskcondesiretree.com/01_-_Srila_Prabhupada/01_-_Lectures/01_-_English/02_-_Month_wise/08_-_August/31/Meeting_1976-08-31_R1-DELHI.MP3" TargetMode="External"/><Relationship Id="rId2765" Type="http://schemas.openxmlformats.org/officeDocument/2006/relationships/hyperlink" Target="https://audio.iskcondesiretree.com/01_-_Srila_Prabhupada/01_-_Lectures/01_-_English/01_-_Topic_wise/Bhagavad_Gita/Chapter-16/SP_BG_16-10_Hawaii_1975-02-06_The_Demonic_Attitude.mp3" TargetMode="External"/><Relationship Id="rId3816" Type="http://schemas.openxmlformats.org/officeDocument/2006/relationships/hyperlink" Target="https://audio.iskcondesiretree.com/01_-_Srila_Prabhupada/01_-_Lectures/01_-_English/02_-_Month_wise/10_-_October/04/Conv_1975-10-04_R1-MAURITIUS.MP3" TargetMode="External"/><Relationship Id="rId737" Type="http://schemas.openxmlformats.org/officeDocument/2006/relationships/hyperlink" Target="https://audio.iskcondesiretree.com/01_-_Srila_Prabhupada/01_-_Lectures/01_-_English/02_-_Month_wise/10_-_October/22/SB_1-02-11_VRN_1972-10-22_The_Last_Word_in_Understanding.mp3" TargetMode="External"/><Relationship Id="rId1367" Type="http://schemas.openxmlformats.org/officeDocument/2006/relationships/hyperlink" Target="https://audio.iskcondesiretree.com/01_-_Srila_Prabhupada/01_-_Lectures/01_-_English/01_-_Topic_wise/Srimad_Bhagavatam/Canto-01/SP_SB_1-02-10_Delhi_1973-11-16_Love_Comes_from_Krishna.mp3" TargetMode="External"/><Relationship Id="rId1781" Type="http://schemas.openxmlformats.org/officeDocument/2006/relationships/hyperlink" Target="https://audio.iskcondesiretree.com/01_-_Srila_Prabhupada/01_-_Lectures/01_-_English/02_-_Month_wise/03_-_March/29/MW_BOM_1974-03-29_Misleading_and_Misled.mp3" TargetMode="External"/><Relationship Id="rId2418" Type="http://schemas.openxmlformats.org/officeDocument/2006/relationships/hyperlink" Target="https://audio.iskcondesiretree.com/01_-_Srila_Prabhupada/01_-_Lectures/01_-_English/02_-_Month_wise/10_-_October/06/SB_1-08-26_MAY_1974-10-06_I%27ve_Got_Something.mp3" TargetMode="External"/><Relationship Id="rId2832" Type="http://schemas.openxmlformats.org/officeDocument/2006/relationships/hyperlink" Target="https://audio.iskcondesiretree.com/01_-_Srila_Prabhupada/01_-_Lectures/01_-_English/02_-_Month_wise/02_-_Feburary/21/SB_1-01-01_CAR_1975-02-21_The_Car_Is_Ford-But_Ford_Is_.mp3" TargetMode="External"/><Relationship Id="rId5988" Type="http://schemas.openxmlformats.org/officeDocument/2006/relationships/hyperlink" Target="https://audio.iskcondesiretree.com/01_-_Srila_Prabhupada/01_-_Lectures/01_-_English/02_-_Month_wise/11_-_November/03/Conv_1977-11-03_R2-VRNDAVAN.MP3" TargetMode="External"/><Relationship Id="rId73" Type="http://schemas.openxmlformats.org/officeDocument/2006/relationships/hyperlink" Target="https://audio.iskcondesiretree.com/01_-_Srila_Prabhupada/01_-_Lectures/01_-_English/02_-_Month_wise/09_-_September/04/Bg_06-04_NY_1966-09-04_Engaging_the_Mind_in_Krsna_Consciousness.mp3" TargetMode="External"/><Relationship Id="rId804" Type="http://schemas.openxmlformats.org/officeDocument/2006/relationships/hyperlink" Target="https://audio.iskcondesiretree.com/01_-_Srila_Prabhupada/01_-_Lectures/01_-_English/01_-_Topic_wise/Nectar_Of_Devotion/SP_NOD_13_Vrindavan_1972-11-10_-_The_Complete_Science_of_Bhakti_Yoga.mp3" TargetMode="External"/><Relationship Id="rId1434" Type="http://schemas.openxmlformats.org/officeDocument/2006/relationships/hyperlink" Target="https://audio.iskcondesiretree.com/01_-_Srila_Prabhupada/01_-_Lectures/01_-_English/01_-_Topic_wise/Srimad_Bhagavatam/Canto-01/SP_SB_1-15-38_Los_Angeles_1973-12-16_The_Ruler_Should_Be_Devotee.mp3" TargetMode="External"/><Relationship Id="rId1501" Type="http://schemas.openxmlformats.org/officeDocument/2006/relationships/hyperlink" Target="https://audio.iskcondesiretree.com/01_-_Srila_Prabhupada/01_-_Lectures/01_-_English/01_-_Topic_wise/Morning_Walk/SP_Morning_Walk_-_Los_Angeles_1974-01-09_The_Night-and-Day_Dream.mp3" TargetMode="External"/><Relationship Id="rId4657" Type="http://schemas.openxmlformats.org/officeDocument/2006/relationships/hyperlink" Target="https://audio.iskcondesiretree.com/01_-_Srila_Prabhupada/01_-_Lectures/01_-_English/02_-_Month_wise/05_-_May/28/SB-06-01-28%E2%80%9329_1976-05-28_SB-HONOLULU.MP3" TargetMode="External"/><Relationship Id="rId5708" Type="http://schemas.openxmlformats.org/officeDocument/2006/relationships/hyperlink" Target="https://audio.iskcondesiretree.com/01_-_Srila_Prabhupada/01_-_Lectures/01_-_English/02_-_Month_wise/02_-_Feburary/17/Conv_1977-02-17_R1-MAYAPUR.MP3" TargetMode="External"/><Relationship Id="rId3259" Type="http://schemas.openxmlformats.org/officeDocument/2006/relationships/hyperlink" Target="https://audio.iskcondesiretree.com/01_-_Srila_Prabhupada/01_-_Lectures/01_-_English/02_-_Month_wise/06_-_June/01/SB_3-28-01_HON_1975-06-01_The_Path_to_Permanence.mp3" TargetMode="External"/><Relationship Id="rId594" Type="http://schemas.openxmlformats.org/officeDocument/2006/relationships/hyperlink" Target="https://audio.iskcondesiretree.com/01_-_Srila_Prabhupada/01_-_Lectures/01_-_English/01_-_Topic_wise/Srimad_Bhagavatam/Canto-02/SP_SB_2-03-15_Los_Angeles_1972-06-01_Devotion_to_Krishna.mp3" TargetMode="External"/><Relationship Id="rId2275" Type="http://schemas.openxmlformats.org/officeDocument/2006/relationships/hyperlink" Target="https://audio.iskcondesiretree.com/01_-_Srila_Prabhupada/01_-_Lectures/01_-_English/01_-_Topic_wise/Srimad_Bhagavatam/Canto-01/SP_SB_1-16-23_Los_Angeles_1974-07-13_Avatara_for_the_Already_Dead.mp3" TargetMode="External"/><Relationship Id="rId3326" Type="http://schemas.openxmlformats.org/officeDocument/2006/relationships/hyperlink" Target="https://audio.iskcondesiretree.com/01_-_Srila_Prabhupada/01_-_Lectures/01_-_English/01_-_Topic_wise/Departure_Address/SP_Departure_Lecture_Honolulu_1975-06-20.MP3" TargetMode="External"/><Relationship Id="rId3673" Type="http://schemas.openxmlformats.org/officeDocument/2006/relationships/hyperlink" Target="https://audio.iskcondesiretree.com/01_-_Srila_Prabhupada/01_-_Lectures/01_-_English/01_-_Topic_wise/Morning_Walk/SP_Morning_Walk_-_Bombay_1975-08-15.MP3" TargetMode="External"/><Relationship Id="rId4724" Type="http://schemas.openxmlformats.org/officeDocument/2006/relationships/hyperlink" Target="https://audio.iskcondesiretree.com/01_-_Srila_Prabhupada/01_-_Lectures/01_-_English/02_-_Month_wise/06_-_June/10/Conv_1976-06-10_GC-LOS%20ANGELES.MP3" TargetMode="External"/><Relationship Id="rId247" Type="http://schemas.openxmlformats.org/officeDocument/2006/relationships/hyperlink" Target="https://audio.iskcondesiretree.com/01_-_Srila_Prabhupada/01_-_Lectures/01_-_English/02_-_Month_wise/08_-_August/13/Bg_04-07_MON_1968-08-13_The_Divine_Descent_of_Our_Duty.mp3" TargetMode="External"/><Relationship Id="rId3740" Type="http://schemas.openxmlformats.org/officeDocument/2006/relationships/hyperlink" Target="https://audio.iskcondesiretree.com/01_-_Srila_Prabhupada/01_-_Lectures/01_-_English/01_-_Topic_wise/Morning_Walk/SP_Morning_Walk_-_Vrindavan_1975-09-09.MP3" TargetMode="External"/><Relationship Id="rId661" Type="http://schemas.openxmlformats.org/officeDocument/2006/relationships/hyperlink" Target="https://audio.iskcondesiretree.com/01_-_Srila_Prabhupada/01_-_Lectures/01_-_English/02_-_Month_wise/08_-_August/25/SB_1-02-22_LA_1972-08-25_A_First-class_Devotee_Is_etc.mp3" TargetMode="External"/><Relationship Id="rId1291" Type="http://schemas.openxmlformats.org/officeDocument/2006/relationships/hyperlink" Target="https://audio.iskcondesiretree.com/01_-_Srila_Prabhupada/01_-_Lectures/01_-_English/01_-_Topic_wise/Bhagavad_Gita/Chapter-13/SP_BG_13-03_Bombay_1973-09-26_Forgotten_That_We_Are_Spirit.mp3" TargetMode="External"/><Relationship Id="rId2342" Type="http://schemas.openxmlformats.org/officeDocument/2006/relationships/hyperlink" Target="https://audio.iskcondesiretree.com/01_-_Srila_Prabhupada/01_-_Lectures/01_-_English/02_-_Month_wise/08_-_August/11/Bg-07-05_1974-08-11_BG-VRNDAVAN.MP3" TargetMode="External"/><Relationship Id="rId5498" Type="http://schemas.openxmlformats.org/officeDocument/2006/relationships/hyperlink" Target="https://audio.iskcondesiretree.com/01_-_Srila_Prabhupada/01_-_Lectures/01_-_English/02_-_Month_wise/12_-_December/13/Bg-16-06_1976-12-13_BG-HYDERABAD.MP3" TargetMode="External"/><Relationship Id="rId314" Type="http://schemas.openxmlformats.org/officeDocument/2006/relationships/hyperlink" Target="https://audio.iskcondesiretree.com/01_-_Srila_Prabhupada/01_-_Lectures/01_-_English/01_-_Topic_wise/Festivals/SP_Festivals_Los_Angeles_1968-12-09_Disappearance--Bhaktisiddhanta_Sarasvati.mp3" TargetMode="External"/><Relationship Id="rId5565" Type="http://schemas.openxmlformats.org/officeDocument/2006/relationships/hyperlink" Target="https://audio.iskcondesiretree.com/01_-_Srila_Prabhupada/01_-_Lectures/01_-_English/02_-_Month_wise/01_-_January/06/Conv_1977-01-06_R1-BOMBAY.MP3" TargetMode="External"/><Relationship Id="rId1011" Type="http://schemas.openxmlformats.org/officeDocument/2006/relationships/hyperlink" Target="https://audio.iskcondesiretree.com/01_-_Srila_Prabhupada/01_-_Lectures/01_-_English/01_-_Topic_wise/Morning_Walk/SP_Morning_Walk_-_Los_Angeles_1973-05-15_Science_vs._Veda_vs._Religion.mp3" TargetMode="External"/><Relationship Id="rId4167" Type="http://schemas.openxmlformats.org/officeDocument/2006/relationships/hyperlink" Target="https://audio.iskcondesiretree.com/01_-_Srila_Prabhupada/01_-_Lectures/01_-_English/01_-_Topic_wise/Srimad_Bhagavatam/Canto-06/SP_SB_6-01-09_Nellore_1976-01-07_Devotional_Desire.mp3" TargetMode="External"/><Relationship Id="rId4581" Type="http://schemas.openxmlformats.org/officeDocument/2006/relationships/hyperlink" Target="https://audio.iskcondesiretree.com/01_-_Srila_Prabhupada/01_-_Lectures/01_-_English/01_-_Topic_wise/Srimad_Bhagavatam/Canto-06/SP_SB_6-01-08_Honolulu_1976-05-09_The_Only_Hope.mp3" TargetMode="External"/><Relationship Id="rId5218" Type="http://schemas.openxmlformats.org/officeDocument/2006/relationships/hyperlink" Target="https://audio.iskcondesiretree.com/01_-_Srila_Prabhupada/01_-_Lectures/01_-_English/02_-_Month_wise/09_-_September/11/Conv_1976-09-11_R2-VRNDAVAN.MP3" TargetMode="External"/><Relationship Id="rId5632" Type="http://schemas.openxmlformats.org/officeDocument/2006/relationships/hyperlink" Target="https://audio.iskcondesiretree.com/01_-_Srila_Prabhupada/01_-_Lectures/01_-_English/02_-_Month_wise/01_-_January/25/Conv_1977-01-25_R1-PURI.MP3" TargetMode="External"/><Relationship Id="rId3183" Type="http://schemas.openxmlformats.org/officeDocument/2006/relationships/hyperlink" Target="https://audio.iskcondesiretree.com/01_-_Srila_Prabhupada/01_-_Lectures/01_-_English/01_-_Topic_wise/Morning_Walk/SP_Morning_Walk_-_Perth_1975-05-16.MP3" TargetMode="External"/><Relationship Id="rId4234" Type="http://schemas.openxmlformats.org/officeDocument/2006/relationships/hyperlink" Target="https://audio.iskcondesiretree.com/01_-_Srila_Prabhupada/01_-_Lectures/01_-_English/02_-_Month_wise/02_-_Feburary/12/Walk_1976-02-12_MW-MAYAPUR.MP3" TargetMode="External"/><Relationship Id="rId1828" Type="http://schemas.openxmlformats.org/officeDocument/2006/relationships/hyperlink" Target="https://audio.iskcondesiretree.com/01_-_Srila_Prabhupada/01_-_Lectures/01_-_English/02_-_Month_wise/04_-_April/05/MW_BOM_1974-04-05_Arguments_Smashed.mp3" TargetMode="External"/><Relationship Id="rId3250" Type="http://schemas.openxmlformats.org/officeDocument/2006/relationships/hyperlink" Target="https://audio.iskcondesiretree.com/01_-_Srila_Prabhupada/01_-_Lectures/01_-_English/02_-_Month_wise/05_-_May/27/Walk_1975-05-27_MW-HONOLULU.MP3" TargetMode="External"/><Relationship Id="rId171" Type="http://schemas.openxmlformats.org/officeDocument/2006/relationships/hyperlink" Target="https://audio.iskcondesiretree.com/01_-_Srila_Prabhupada/01_-_Lectures/01_-_English/02_-_Month_wise/12_-_December/17/Cc_M_20-254_NY_1966-12-17_Krishna%27s_Spiritual_%26_Material_World.mp3" TargetMode="External"/><Relationship Id="rId4301" Type="http://schemas.openxmlformats.org/officeDocument/2006/relationships/hyperlink" Target="https://audio.iskcondesiretree.com/01_-_Srila_Prabhupada/01_-_Lectures/01_-_English/02_-_Month_wise/02_-_Feburary/29/Walk_1976-02-29_MW-MAYAPUR.MP3" TargetMode="External"/><Relationship Id="rId6059" Type="http://schemas.openxmlformats.org/officeDocument/2006/relationships/hyperlink" Target="https://audio.iskcondesiretree.com/01_-_Srila_Prabhupada/01_-_Lectures/01_-_English/01_-_Topic_wise/Krishna_Book/SP_Krsna_Book_Dict_11_-_The_Killing_Vatsasura_and_Bakasura.mp3" TargetMode="External"/><Relationship Id="rId988" Type="http://schemas.openxmlformats.org/officeDocument/2006/relationships/hyperlink" Target="https://audio.iskcondesiretree.com/01_-_Srila_Prabhupada/01_-_Lectures/01_-_English/02_-_Month_wise/05_-_May/04/SB_1-08-42_LA_1973-05-04_How_Not_to_Be_in_the_Material_World.mp3" TargetMode="External"/><Relationship Id="rId2669" Type="http://schemas.openxmlformats.org/officeDocument/2006/relationships/hyperlink" Target="https://audio.iskcondesiretree.com/01_-_Srila_Prabhupada/01_-_Lectures/01_-_English/02_-_Month_wise/01_-_January/03/SB-03-26-26_1975-01-03_SB-BOMBAY.MP3" TargetMode="External"/><Relationship Id="rId5075" Type="http://schemas.openxmlformats.org/officeDocument/2006/relationships/hyperlink" Target="https://audio.iskcondesiretree.com/01_-_Srila_Prabhupada/01_-_Lectures/01_-_English/02_-_Month_wise/08_-_August/09/Conv_1976-08-09_GC-TEHRAN.MP3" TargetMode="External"/><Relationship Id="rId6126" Type="http://schemas.openxmlformats.org/officeDocument/2006/relationships/hyperlink" Target="https://audio.iskcondesiretree.com/01_-_Srila_Prabhupada/01_-_Lectures/01_-_English/01_-_Topic_wise/Stories/SP_Story_02_Again_become_mouse.mp3" TargetMode="External"/><Relationship Id="rId1685" Type="http://schemas.openxmlformats.org/officeDocument/2006/relationships/hyperlink" Target="https://audio.iskcondesiretree.com/01_-_Srila_Prabhupada/01_-_Lectures/01_-_English/01_-_Topic_wise/Morning_Walk/SP_Morning_Walk_-_Mayapur_1974-03-07.mp3" TargetMode="External"/><Relationship Id="rId2736" Type="http://schemas.openxmlformats.org/officeDocument/2006/relationships/hyperlink" Target="https://audio.iskcondesiretree.com/01_-_Srila_Prabhupada/01_-_Lectures/01_-_English/02_-_Month_wise/01_-_January/27/RC_TOK_1975-01-27_Mixture_Means_Mixer.mp3" TargetMode="External"/><Relationship Id="rId4091" Type="http://schemas.openxmlformats.org/officeDocument/2006/relationships/hyperlink" Target="https://audio.iskcondesiretree.com/01_-_Srila_Prabhupada/01_-_Lectures/01_-_English/02_-_Month_wise/12_-_December/14/MW_DEL_1975-12-14_Happiness_Is_for_Intelligent.mp3" TargetMode="External"/><Relationship Id="rId5142" Type="http://schemas.openxmlformats.org/officeDocument/2006/relationships/hyperlink" Target="https://audio.iskcondesiretree.com/01_-_Srila_Prabhupada/01_-_Lectures/01_-_English/01_-_Topic_wise/Bhagavad_Gita/Chapter-07/SP_BG_07-01_Hyderabad_1976-08-22_Increase_Your_Attachment_to_the_Lord.mp3" TargetMode="External"/><Relationship Id="rId708" Type="http://schemas.openxmlformats.org/officeDocument/2006/relationships/hyperlink" Target="https://audio.iskcondesiretree.com/01_-_Srila_Prabhupada/01_-_Lectures/01_-_English/01_-_Topic_wise/Srimad_Bhagavatam/Canto-01/SP_SB_1-03-24_Los_Angeles_1972-09-29_Lord_Buddha--Tricking_the--etc.mp3" TargetMode="External"/><Relationship Id="rId1338" Type="http://schemas.openxmlformats.org/officeDocument/2006/relationships/hyperlink" Target="https://audio.iskcondesiretree.com/01_-_Srila_Prabhupada/01_-_Lectures/01_-_English/02_-_Month_wise/10_-_October/28/Bg_15-01_BOM_1973-10-28_See_Spiritual_Identity_Everywhere.mp3" TargetMode="External"/><Relationship Id="rId1405" Type="http://schemas.openxmlformats.org/officeDocument/2006/relationships/hyperlink" Target="https://audio.iskcondesiretree.com/01_-_Srila_Prabhupada/01_-_Lectures/01_-_English/01_-_Topic_wise/Srimad_Bhagavatam/Canto-01/SP_SB_1-15-30_Los_Angeles_1973-12-08_Hearing_the_Gita_As_Arjuna_Did.mp3" TargetMode="External"/><Relationship Id="rId1752" Type="http://schemas.openxmlformats.org/officeDocument/2006/relationships/hyperlink" Target="https://audio.iskcondesiretree.com/01_-_Srila_Prabhupada/01_-_Lectures/01_-_English/02_-_Month_wise/03_-_March/24/Bg_04-04_BOM_1974-03-24_Why_We_Forget_and_God_Doesn%27t.mp3" TargetMode="External"/><Relationship Id="rId2803" Type="http://schemas.openxmlformats.org/officeDocument/2006/relationships/hyperlink" Target="https://audio.iskcondesiretree.com/01_-_Srila_Prabhupada/01_-_Lectures/01_-_English/01_-_Topic_wise/Bhagavad_Gita/Chapter-02/SP_BG_02-15_Mexico_City_1975-02-15_Immortality_or_Itching.mp3" TargetMode="External"/><Relationship Id="rId5959" Type="http://schemas.openxmlformats.org/officeDocument/2006/relationships/hyperlink" Target="https://audio.iskcondesiretree.com/01_-_Srila_Prabhupada/01_-_Lectures/01_-_English/02_-_Month_wise/10_-_October/19/Conv_1977-10-19_R1-VRNDAVAN.MP3" TargetMode="External"/><Relationship Id="rId44" Type="http://schemas.openxmlformats.org/officeDocument/2006/relationships/hyperlink" Target="https://audio.iskcondesiretree.com/01_-_Srila_Prabhupada/01_-_Lectures/01_-_English/01_-_Topic_wise/Bhagavad_Gita/Chapter-04/SP_BG_04-03-06_New_York_1966-07-18_Forgetfulness_of_the_Lord.mp3" TargetMode="External"/><Relationship Id="rId4975" Type="http://schemas.openxmlformats.org/officeDocument/2006/relationships/hyperlink" Target="https://audio.iskcondesiretree.com/01_-_Srila_Prabhupada/01_-_Lectures/01_-_English/01_-_Topic_wise/Chaitanya_Charitamrita/Madhya_Lila/SP_CC_M_20-108_New_York_1976-07-15_Servant--What_Loss_Master--What_Gain.mp3" TargetMode="External"/><Relationship Id="rId498" Type="http://schemas.openxmlformats.org/officeDocument/2006/relationships/hyperlink" Target="https://audio.iskcondesiretree.com/01_-_Srila_Prabhupada/01_-_Lectures/01_-_English/01_-_Topic_wise/Various/SP_Lecture_Los_Angeles_1970-04-16_Get_Some_Land_and_a_Cow_and_Find_Your_Spirit.mp3" TargetMode="External"/><Relationship Id="rId2179" Type="http://schemas.openxmlformats.org/officeDocument/2006/relationships/hyperlink" Target="https://audio.iskcondesiretree.com/01_-_Srila_Prabhupada/01_-_Lectures/01_-_English/01_-_Topic_wise/Bhagavad_Gita/Chapter-02/SP_BG_02-13_Germany_1974-06-22_Life_after_Death.mp3" TargetMode="External"/><Relationship Id="rId3577" Type="http://schemas.openxmlformats.org/officeDocument/2006/relationships/hyperlink" Target="https://audio.iskcondesiretree.com/01_-_Srila_Prabhupada/01_-_Lectures/01_-_English/02_-_Month_wise/07_-_July/23/SB-06-01-42_1975-07-23_SB-LOS%20ANGELES.MP3" TargetMode="External"/><Relationship Id="rId3991" Type="http://schemas.openxmlformats.org/officeDocument/2006/relationships/hyperlink" Target="https://audio.iskcondesiretree.com/01_-_Srila_Prabhupada/01_-_Lectures/01_-_English/02_-_Month_wise/11_-_November/15/Walk_1975-11-15_MW-BOMBAY.MP3" TargetMode="External"/><Relationship Id="rId4628" Type="http://schemas.openxmlformats.org/officeDocument/2006/relationships/hyperlink" Target="https://audio.iskcondesiretree.com/01_-_Srila_Prabhupada/01_-_Lectures/01_-_English/02_-_Month_wise/05_-_May/20/SB-06-01-20_1976-05-20_SB-HONOLULU.MP3" TargetMode="External"/><Relationship Id="rId2593" Type="http://schemas.openxmlformats.org/officeDocument/2006/relationships/hyperlink" Target="https://audio.iskcondesiretree.com/01_-_Srila_Prabhupada/01_-_Lectures/01_-_English/02_-_Month_wise/12_-_December/08/SB_3-25-39_BOM_1974-12-08_Take_Krishna_As_Everything.mp3" TargetMode="External"/><Relationship Id="rId3644" Type="http://schemas.openxmlformats.org/officeDocument/2006/relationships/hyperlink" Target="https://audio.iskcondesiretree.com/01_-_Srila_Prabhupada/01_-_Lectures/01_-_English/02_-_Month_wise/08_-_August/05/SB_6-01-52_DET_1975-08-05_No_Hard_Labor-Only_Light.mp3" TargetMode="External"/><Relationship Id="rId6050" Type="http://schemas.openxmlformats.org/officeDocument/2006/relationships/hyperlink" Target="https://audio.iskcondesiretree.com/01_-_Srila_Prabhupada/01_-_Lectures/01_-_English/01_-_Topic_wise/Krishna_Book/SP_Krsna_Book_Dict_02_-_Prayers_by_the_Demigods.mp3" TargetMode="External"/><Relationship Id="rId565" Type="http://schemas.openxmlformats.org/officeDocument/2006/relationships/hyperlink" Target="https://audio.iskcondesiretree.com/01_-_Srila_Prabhupada/01_-_Lectures/01_-_English/02_-_Month_wise/02_-_Feburary/24/Lect_CAL_1972-02-24_The_Origin_Was_A_Chunk--We_Are_etc.mp3" TargetMode="External"/><Relationship Id="rId1195" Type="http://schemas.openxmlformats.org/officeDocument/2006/relationships/hyperlink" Target="https://audio.iskcondesiretree.com/01_-_Srila_Prabhupada/01_-_Lectures/01_-_English/01_-_Topic_wise/Festivals/SP_Festivals_London_1973-08-21_Deity_Installation--Purpose_of--etc.mp3" TargetMode="External"/><Relationship Id="rId2246" Type="http://schemas.openxmlformats.org/officeDocument/2006/relationships/hyperlink" Target="https://audio.iskcondesiretree.com/01_-_Srila_Prabhupada/01_-_Lectures/01_-_English/02_-_Month_wise/07_-_July/04/SB_1-08-18_CHI_1974-07-04_Krishna_is_So_Kind._He_Has_etc.mp3" TargetMode="External"/><Relationship Id="rId2660" Type="http://schemas.openxmlformats.org/officeDocument/2006/relationships/hyperlink" Target="https://audio.iskcondesiretree.com/01_-_Srila_Prabhupada/01_-_Lectures/01_-_English/02_-_Month_wise/12_-_December/31/SB-03.26.22_1974-12-31_SB-BOMBAY.MP3" TargetMode="External"/><Relationship Id="rId3711" Type="http://schemas.openxmlformats.org/officeDocument/2006/relationships/hyperlink" Target="https://audio.iskcondesiretree.com/01_-_Srila_Prabhupada/01_-_Lectures/01_-_English/02_-_Month_wise/09_-_September/02/SB-06-01-66_1975-09-02_SB-VRNDAVAN.MP3" TargetMode="External"/><Relationship Id="rId218" Type="http://schemas.openxmlformats.org/officeDocument/2006/relationships/hyperlink" Target="https://audio.iskcondesiretree.com/01_-_Srila_Prabhupada/01_-_Lectures/01_-_English/01_-_Topic_wise/Srimad_Bhagavatam/Canto-07/SP_SB_7-07-29_San_Francisco_1967-03-15_Here_Is_A_Personality_to--etc.mp3" TargetMode="External"/><Relationship Id="rId632" Type="http://schemas.openxmlformats.org/officeDocument/2006/relationships/hyperlink" Target="https://audio.iskcondesiretree.com/01_-_Srila_Prabhupada/01_-_Lectures/01_-_English/02_-_Month_wise/06_-_June/30/Lect_SD_1972-06-30_Initiation-Svaha_for_Krishna_or_for_Maya.mp3" TargetMode="External"/><Relationship Id="rId1262" Type="http://schemas.openxmlformats.org/officeDocument/2006/relationships/hyperlink" Target="https://audio.iskcondesiretree.com/01_-_Srila_Prabhupada/01_-_Lectures/01_-_English/02_-_Month_wise/09_-_September/07/Bg_13-01_STO_1973-09-07_At_University_Nature_the_etc.mp3" TargetMode="External"/><Relationship Id="rId2313" Type="http://schemas.openxmlformats.org/officeDocument/2006/relationships/hyperlink" Target="https://audio.iskcondesiretree.com/01_-_Srila_Prabhupada/01_-_Lectures/01_-_English/02_-_Month_wise/08_-_August/04/Bg_04-12_VRN_1974-08-04_Big_Ambition-Little_Brain.mp3" TargetMode="External"/><Relationship Id="rId5469" Type="http://schemas.openxmlformats.org/officeDocument/2006/relationships/hyperlink" Target="https://audio.iskcondesiretree.com/01_-_Srila_Prabhupada/01_-_Lectures/01_-_English/02_-_Month_wise/11_-_November/30/SB_5-06-08_VRN_1976-11-30_Fire_Brigade_Cannot_etc.mp3" TargetMode="External"/><Relationship Id="rId4485" Type="http://schemas.openxmlformats.org/officeDocument/2006/relationships/hyperlink" Target="https://audio.iskcondesiretree.com/01_-_Srila_Prabhupada/01_-_Lectures/01_-_English/02_-_Month_wise/04_-_April/16/SB_7-12-05_BOM_1976-04-16_Our_Main_Principle-Chant.mp3" TargetMode="External"/><Relationship Id="rId5536" Type="http://schemas.openxmlformats.org/officeDocument/2006/relationships/hyperlink" Target="https://audio.iskcondesiretree.com/01_-_Srila_Prabhupada/01_-_Lectures/01_-_English/02_-_Month_wise/12_-_December/28/Conv_1976-12-28_R2-BOMBAY.MP3" TargetMode="External"/><Relationship Id="rId5883" Type="http://schemas.openxmlformats.org/officeDocument/2006/relationships/hyperlink" Target="https://audio.iskcondesiretree.com/01_-_Srila_Prabhupada/01_-_Lectures/01_-_English/02_-_Month_wise/06_-_June/22/Conv_1977-06-22_R1-VRNDAVAN.MP3" TargetMode="External"/><Relationship Id="rId3087" Type="http://schemas.openxmlformats.org/officeDocument/2006/relationships/hyperlink" Target="https://audio.iskcondesiretree.com/01_-_Srila_Prabhupada/01_-_Lectures/01_-_English/01_-_Topic_wise/Room_Conversation/SP_Room_Conversation_01_Hyderabad_1975-04-12.MP3" TargetMode="External"/><Relationship Id="rId4138" Type="http://schemas.openxmlformats.org/officeDocument/2006/relationships/hyperlink" Target="https://audio.iskcondesiretree.com/01_-_Srila_Prabhupada/01_-_Lectures/01_-_English/02_-_Month_wise/12_-_December/27/Lect_SAN_1975-12-27_Attachment_to_Krishna_Is_Natural.mp3" TargetMode="External"/><Relationship Id="rId5950" Type="http://schemas.openxmlformats.org/officeDocument/2006/relationships/hyperlink" Target="https://audio.iskcondesiretree.com/01_-_Srila_Prabhupada/01_-_Lectures/01_-_English/02_-_Month_wise/10_-_October/15/Conv_1977-10-15_R3-VRNDAVAN.MP3" TargetMode="External"/><Relationship Id="rId4552" Type="http://schemas.openxmlformats.org/officeDocument/2006/relationships/hyperlink" Target="https://audio.iskcondesiretree.com/01_-_Srila_Prabhupada/01_-_Lectures/01_-_English/01_-_Topic_wise/Room_Conversation/SP_Room_Conversation_Fiji_1976-05-01_President_Big-Pig.mp3" TargetMode="External"/><Relationship Id="rId5603" Type="http://schemas.openxmlformats.org/officeDocument/2006/relationships/hyperlink" Target="https://audio.iskcondesiretree.com/01_-_Srila_Prabhupada/01_-_Lectures/01_-_English/02_-_Month_wise/01_-_January/19/Lecture_1977-01-19_LE-BHUBANESWAR.MP3" TargetMode="External"/><Relationship Id="rId3154" Type="http://schemas.openxmlformats.org/officeDocument/2006/relationships/hyperlink" Target="https://audio.iskcondesiretree.com/01_-_Srila_Prabhupada/01_-_Lectures/01_-_English/02_-_Month_wise/05_-_May/08/RC_PER_1975-05-08_Philosopher--Drug_Philosophy_etc.mp3" TargetMode="External"/><Relationship Id="rId4205" Type="http://schemas.openxmlformats.org/officeDocument/2006/relationships/hyperlink" Target="https://audio.iskcondesiretree.com/01_-_Srila_Prabhupada/01_-_Lectures/01_-_English/01_-_Topic_wise/Morning_Walk/SP_Morning_Walk_-_Mayapur_1976-02-04_Science_Makes_Everybody_a_Fool.mp3" TargetMode="External"/><Relationship Id="rId2170" Type="http://schemas.openxmlformats.org/officeDocument/2006/relationships/hyperlink" Target="https://audio.iskcondesiretree.com/01_-_Srila_Prabhupada/01_-_Lectures/01_-_English/01_-_Topic_wise/Room_Conversation/SP_Room_Conversation_01_Germany_1974-06-20.mp3" TargetMode="External"/><Relationship Id="rId3221" Type="http://schemas.openxmlformats.org/officeDocument/2006/relationships/hyperlink" Target="https://audio.iskcondesiretree.com/01_-_Srila_Prabhupada/01_-_Lectures/01_-_English/02_-_Month_wise/05_-_May/21/SB-06-01-01_1975-05-21_SB-MELBOURNE.MP3" TargetMode="External"/><Relationship Id="rId8" Type="http://schemas.openxmlformats.org/officeDocument/2006/relationships/hyperlink" Target="https://audio.iskcondesiretree.com/01_-_Srila_Prabhupada/01_-_Lectures/01_-_English/02_-_Month_wise/03_-_March/02/Bg_02-07_NY_1966-03-02_Part_1_The_Unavoidable_Battle_etc.mp3" TargetMode="External"/><Relationship Id="rId142" Type="http://schemas.openxmlformats.org/officeDocument/2006/relationships/hyperlink" Target="https://audio.iskcondesiretree.com/01_-_Srila_Prabhupada/01_-_Lectures/01_-_English/01_-_Topic_wise/Bhagavad_Gita/Chapter-09/SP_BG_09-15-18_New_York_1966-12-02_Everything_Comes_from_God_Including_Maya.mp3" TargetMode="External"/><Relationship Id="rId2987" Type="http://schemas.openxmlformats.org/officeDocument/2006/relationships/hyperlink" Target="https://audio.iskcondesiretree.com/01_-_Srila_Prabhupada/01_-_Lectures/01_-_English/02_-_Month_wise/03_-_March/25/Cc_A_1-01_MAY_1975-03-25_Become_a_Guru%2C_Not_a_God.mp3" TargetMode="External"/><Relationship Id="rId5393" Type="http://schemas.openxmlformats.org/officeDocument/2006/relationships/hyperlink" Target="https://audio.iskcondesiretree.com/01_-_Srila_Prabhupada/01_-_Lectures/01_-_English/02_-_Month_wise/11_-_November/07/SB-05-05-19_1976-11-07_SB-VRNDAVAN.MP3" TargetMode="External"/><Relationship Id="rId959" Type="http://schemas.openxmlformats.org/officeDocument/2006/relationships/hyperlink" Target="https://audio.iskcondesiretree.com/01_-_Srila_Prabhupada/01_-_Lectures/01_-_English/01_-_Topic_wise/Srimad_Bhagavatam/Canto-01/SP_SB_1-08-28_Los_Angeles_1973-04-20_Krishna_Is_Equal_to_Everyone.mp3" TargetMode="External"/><Relationship Id="rId1589" Type="http://schemas.openxmlformats.org/officeDocument/2006/relationships/hyperlink" Target="https://audio.iskcondesiretree.com/01_-_Srila_Prabhupada/01_-_Lectures/01_-_English/02_-_Month_wise/02_-_Feburary/06/RC_VRN_1974-02-06_Gurudas--Krishna_%26_Guru-Not_in_Every_Birth.mp3" TargetMode="External"/><Relationship Id="rId5046" Type="http://schemas.openxmlformats.org/officeDocument/2006/relationships/hyperlink" Target="https://audio.iskcondesiretree.com/01_-_Srila_Prabhupada/01_-_Lectures/01_-_English/02_-_Month_wise/08_-_August/02/MW_PAR_1976-08-02_Master%3DSlave.mp3" TargetMode="External"/><Relationship Id="rId5460" Type="http://schemas.openxmlformats.org/officeDocument/2006/relationships/hyperlink" Target="https://audio.iskcondesiretree.com/01_-_Srila_Prabhupada/01_-_Lectures/01_-_English/02_-_Month_wise/11_-_November/27/SB_5-06-05_VRN_1976-11-27_Divine_Couple.mp3" TargetMode="External"/><Relationship Id="rId4062" Type="http://schemas.openxmlformats.org/officeDocument/2006/relationships/hyperlink" Target="https://audio.iskcondesiretree.com/01_-_Srila_Prabhupada/01_-_Lectures/01_-_English/02_-_Month_wise/12_-_December/07/Walk_1975-12-07_MW-VRNDAVAN.MP3" TargetMode="External"/><Relationship Id="rId5113" Type="http://schemas.openxmlformats.org/officeDocument/2006/relationships/hyperlink" Target="https://audio.iskcondesiretree.com/01_-_Srila_Prabhupada/01_-_Lectures/01_-_English/02_-_Month_wise/08_-_August/15/Darshan_1976-08-15_ED-BOMBAY.MP3" TargetMode="External"/><Relationship Id="rId1656" Type="http://schemas.openxmlformats.org/officeDocument/2006/relationships/hyperlink" Target="https://audio.iskcondesiretree.com/01_-_Srila_Prabhupada/01_-_Lectures/01_-_English/02_-_Month_wise/02_-_Feburary/26/Bg-15-01_1974-02-26_BG-CALCUTTA.MP3" TargetMode="External"/><Relationship Id="rId2707" Type="http://schemas.openxmlformats.org/officeDocument/2006/relationships/hyperlink" Target="https://audio.iskcondesiretree.com/01_-_Srila_Prabhupada/01_-_Lectures/01_-_English/01_-_Topic_wise/Srimad_Bhagavatam/Canto-03/SP_SB_3-26-43_Bombay_1975-01-18_Refreshment_for_Parched_Mind.mp3" TargetMode="External"/><Relationship Id="rId1309" Type="http://schemas.openxmlformats.org/officeDocument/2006/relationships/hyperlink" Target="https://audio.iskcondesiretree.com/01_-_Srila_Prabhupada/01_-_Lectures/01_-_English/01_-_Topic_wise/Bhagavad_Gita/Chapter-13/SP_BG_13-14_Bombay_1973-10-07_Nondevotees_Miss_the_Object.mp3" TargetMode="External"/><Relationship Id="rId1723" Type="http://schemas.openxmlformats.org/officeDocument/2006/relationships/hyperlink" Target="https://audio.iskcondesiretree.com/01_-_Srila_Prabhupada/01_-_Lectures/01_-_English/01_-_Topic_wise/Morning_Walk/SP_Morning_Walk_-_Vrindavan_1974-03-17_Stop_All_Bogus_Religion.mp3" TargetMode="External"/><Relationship Id="rId4879" Type="http://schemas.openxmlformats.org/officeDocument/2006/relationships/hyperlink" Target="https://audio.iskcondesiretree.com/01_-_Srila_Prabhupada/01_-_Lectures/01_-_English/02_-_Month_wise/07_-_July/02/SB-07-06-19_1976-07-02_SB-NEW%20VRINDAVAN.MP3" TargetMode="External"/><Relationship Id="rId15" Type="http://schemas.openxmlformats.org/officeDocument/2006/relationships/hyperlink" Target="https://audio.iskcondesiretree.com/01_-_Srila_Prabhupada/01_-_Lectures/01_-_English/01_-_Topic_wise/Bhagavad_Gita/Chapter-02/SP_BG_02-13_New_York_1966-03-11_A_Disturbed_Mind_Is_Due_to_Ignorance.mp3" TargetMode="External"/><Relationship Id="rId3895" Type="http://schemas.openxmlformats.org/officeDocument/2006/relationships/hyperlink" Target="https://audio.iskcondesiretree.com/01_-_Srila_Prabhupada/01_-_Lectures/01_-_English/02_-_Month_wise/10_-_October/19/Walk_1975-10-19_MW-JOHANNESBURG.MP3" TargetMode="External"/><Relationship Id="rId4946" Type="http://schemas.openxmlformats.org/officeDocument/2006/relationships/hyperlink" Target="https://audio.iskcondesiretree.com/01_-_Srila_Prabhupada/01_-_Lectures/01_-_English/01_-_Topic_wise/Room_Conversation/SP_Room_Conversation_New_York_1976-07-11_Can_God_Directly_Talk_to_Man.mp3" TargetMode="External"/><Relationship Id="rId2497" Type="http://schemas.openxmlformats.org/officeDocument/2006/relationships/hyperlink" Target="https://audio.iskcondesiretree.com/01_-_Srila_Prabhupada/01_-_Lectures/01_-_English/01_-_Topic_wise/Srimad_Bhagavatam/Canto-03/SP_SB_3-25-07_Bombay_1974-11-07_Sensual_Darkness-Spiritual--etc.mp3" TargetMode="External"/><Relationship Id="rId3548" Type="http://schemas.openxmlformats.org/officeDocument/2006/relationships/hyperlink" Target="https://audio.iskcondesiretree.com/01_-_Srila_Prabhupada/01_-_Lectures/01_-_English/02_-_Month_wise/07_-_July/18/MW_SF_1975-07-18_Crossing_the_Ocean_by_Becoming_a_Fish.mp3" TargetMode="External"/><Relationship Id="rId469" Type="http://schemas.openxmlformats.org/officeDocument/2006/relationships/hyperlink" Target="https://audio.iskcondesiretree.com/01_-_Srila_Prabhupada/01_-_Lectures/01_-_English/01_-_Topic_wise/Room_Conversation/SP_Room_Conversation_London_1969-09-11_Harrison_Lennon_%26_Yoko_Ono.mp3" TargetMode="External"/><Relationship Id="rId883" Type="http://schemas.openxmlformats.org/officeDocument/2006/relationships/hyperlink" Target="https://audio.iskcondesiretree.com/01_-_Srila_Prabhupada/01_-_Lectures/01_-_English/02_-_Month_wise/01_-_January/01/NOD_Pg-13_BOM_1973-01-01_What_Devotees_Want_and_Don%27t_Want.mp3" TargetMode="External"/><Relationship Id="rId1099" Type="http://schemas.openxmlformats.org/officeDocument/2006/relationships/hyperlink" Target="https://audio.iskcondesiretree.com/01_-_Srila_Prabhupada/01_-_Lectures/01_-_English/02_-_Month_wise/07_-_July/19/RC_LON_1973-07-19_Rasas-Variety_of_Liking_Krishna.mp3" TargetMode="External"/><Relationship Id="rId2564" Type="http://schemas.openxmlformats.org/officeDocument/2006/relationships/hyperlink" Target="https://audio.iskcondesiretree.com/01_-_Srila_Prabhupada/01_-_Lectures/01_-_English/01_-_Topic_wise/Srimad_Bhagavatam/Canto-03/SP_SB_3-25-29_Bombay_1974-11-29_Understanding_Highest_Truth.mp3" TargetMode="External"/><Relationship Id="rId3615" Type="http://schemas.openxmlformats.org/officeDocument/2006/relationships/hyperlink" Target="https://audio.iskcondesiretree.com/01_-_Srila_Prabhupada/01_-_Lectures/01_-_English/02_-_Month_wise/07_-_July/30/Walk_1975-07-30_MW-DALLAS.MP3" TargetMode="External"/><Relationship Id="rId3962" Type="http://schemas.openxmlformats.org/officeDocument/2006/relationships/hyperlink" Target="https://audio.iskcondesiretree.com/01_-_Srila_Prabhupada/01_-_Lectures/01_-_English/01_-_Topic_wise/Morning_Walk/SP_Morning_Walk_-_Bombay_1975-11-07_Discussion_of_Dioramas.mp3" TargetMode="External"/><Relationship Id="rId6021" Type="http://schemas.openxmlformats.org/officeDocument/2006/relationships/hyperlink" Target="https://audio.iskcondesiretree.com/01_-_Srila_Prabhupada/01_-_Lectures/01_-_English/02_-_Month_wise/11_-_November/12/Conv_1977-11-12_R2-VRNDAVAN.MP3" TargetMode="External"/><Relationship Id="rId536" Type="http://schemas.openxmlformats.org/officeDocument/2006/relationships/hyperlink" Target="https://audio.iskcondesiretree.com/01_-_Srila_Prabhupada/01_-_Lectures/01_-_English/02_-_Month_wise/06_-_June/27/Fest_SF_1971-06-27_Ratha-yatra-Spiritualize_Your_etc.mp3" TargetMode="External"/><Relationship Id="rId1166" Type="http://schemas.openxmlformats.org/officeDocument/2006/relationships/hyperlink" Target="https://audio.iskcondesiretree.com/01_-_Srila_Prabhupada/01_-_Lectures/01_-_English/02_-_Month_wise/08_-_August/11/RC_PAR_1973-08-11_Our_Freedom-God%27s_Flaw.mp3" TargetMode="External"/><Relationship Id="rId2217" Type="http://schemas.openxmlformats.org/officeDocument/2006/relationships/hyperlink" Target="https://audio.iskcondesiretree.com/01_-_Srila_Prabhupada/01_-_Lectures/01_-_English/02_-_Month_wise/06_-_June/29/Conv_1974-06-29_R2-MELBOURNE.MP3" TargetMode="External"/><Relationship Id="rId950" Type="http://schemas.openxmlformats.org/officeDocument/2006/relationships/hyperlink" Target="https://audio.iskcondesiretree.com/01_-_Srila_Prabhupada/01_-_Lectures/01_-_English/02_-_Month_wise/04_-_April/16/SB_1-08-24_LA_1973-04-16_If_Krishna_Wants_to_Protect_etc.mp3" TargetMode="External"/><Relationship Id="rId1580" Type="http://schemas.openxmlformats.org/officeDocument/2006/relationships/hyperlink" Target="https://audio.iskcondesiretree.com/01_-_Srila_Prabhupada/01_-_Lectures/01_-_English/02_-_Month_wise/01_-_January/30/SB-01-16-36_1974-01-30_SB-TOKYO.MP3" TargetMode="External"/><Relationship Id="rId2631" Type="http://schemas.openxmlformats.org/officeDocument/2006/relationships/hyperlink" Target="https://audio.iskcondesiretree.com/01_-_Srila_Prabhupada/01_-_Lectures/01_-_English/02_-_Month_wise/12_-_December/21/SB-03-26-09_1974-12-21_SB-BOMBAY.MP3" TargetMode="External"/><Relationship Id="rId4389" Type="http://schemas.openxmlformats.org/officeDocument/2006/relationships/hyperlink" Target="https://audio.iskcondesiretree.com/01_-_Srila_Prabhupada/01_-_Lectures/01_-_English/02_-_Month_wise/03_-_March/20/Lecture_1976-03-20_LE%E2%80%93Bengali-HARIDASPUR.MP3" TargetMode="External"/><Relationship Id="rId5787" Type="http://schemas.openxmlformats.org/officeDocument/2006/relationships/hyperlink" Target="https://audio.iskcondesiretree.com/01_-_Srila_Prabhupada/01_-_Lectures/01_-_English/02_-_Month_wise/04_-_April/01/RC_BOM_1977-04-01_From_Skyscraper_Constructor_to_etc.mp3" TargetMode="External"/><Relationship Id="rId603" Type="http://schemas.openxmlformats.org/officeDocument/2006/relationships/hyperlink" Target="https://audio.iskcondesiretree.com/01_-_Srila_Prabhupada/01_-_Lectures/01_-_English/01_-_Topic_wise/Srimad_Bhagavatam/Canto-02/SP_SB_2-03-19_Los_Angeles_1972-06-15_A_Thorn_Chewing--etc.mp3" TargetMode="External"/><Relationship Id="rId1233" Type="http://schemas.openxmlformats.org/officeDocument/2006/relationships/hyperlink" Target="https://audio.iskcondesiretree.com/01_-_Srila_Prabhupada/01_-_Lectures/01_-_English/02_-_Month_wise/08_-_August/30/RC_LON_1973-08-30_Schoolmaster-Everybody_Is_Chanting.mp3" TargetMode="External"/><Relationship Id="rId5854" Type="http://schemas.openxmlformats.org/officeDocument/2006/relationships/hyperlink" Target="https://audio.iskcondesiretree.com/01_-_Srila_Prabhupada/01_-_Lectures/01_-_English/02_-_Month_wise/05_-_May/17/Conv_1977-05-17_R1-VRNDAVAN.MP3" TargetMode="External"/><Relationship Id="rId1300" Type="http://schemas.openxmlformats.org/officeDocument/2006/relationships/hyperlink" Target="https://audio.iskcondesiretree.com/01_-_Srila_Prabhupada/01_-_Lectures/01_-_English/02_-_Month_wise/09_-_September/30/Bg_13-08_BOM_1973-09-30_Surrender_to_the_Supreme_Person.mp3" TargetMode="External"/><Relationship Id="rId4456" Type="http://schemas.openxmlformats.org/officeDocument/2006/relationships/hyperlink" Target="https://audio.iskcondesiretree.com/01_-_Srila_Prabhupada/01_-_Lectures/01_-_English/01_-_Topic_wise/Morning_Walk/SP_Morning_Walk_-_Vrindavan_1976-04-10_The_Crow_Tal-Fruit_Controversy.mp3" TargetMode="External"/><Relationship Id="rId4870" Type="http://schemas.openxmlformats.org/officeDocument/2006/relationships/hyperlink" Target="https://audio.iskcondesiretree.com/01_-_Srila_Prabhupada/01_-_Lectures/01_-_English/02_-_Month_wise/07_-_July/01/Conv_1976-07-01_R1-NEW%20VRINDAVAN.MP3" TargetMode="External"/><Relationship Id="rId5507" Type="http://schemas.openxmlformats.org/officeDocument/2006/relationships/hyperlink" Target="https://audio.iskcondesiretree.com/01_-_Srila_Prabhupada/01_-_Lectures/01_-_English/02_-_Month_wise/12_-_December/16/Bg-16-08_1976-12-16_BG-HYDERABAD.MP3" TargetMode="External"/><Relationship Id="rId5921" Type="http://schemas.openxmlformats.org/officeDocument/2006/relationships/hyperlink" Target="https://audio.iskcondesiretree.com/01_-_Srila_Prabhupada/01_-_Lectures/01_-_English/02_-_Month_wise/07_-_July/26/Conv_1977-07-26_R1-VRNDAVAN.MP3" TargetMode="External"/><Relationship Id="rId3058" Type="http://schemas.openxmlformats.org/officeDocument/2006/relationships/hyperlink" Target="https://audio.iskcondesiretree.com/01_-_Srila_Prabhupada/01_-_Lectures/01_-_English/01_-_Topic_wise/Chaitanya_Charitamrita/Adi_Lila/SP_CC_A_01-13_Mayapur_1975-04-06.MP3" TargetMode="External"/><Relationship Id="rId3472" Type="http://schemas.openxmlformats.org/officeDocument/2006/relationships/hyperlink" Target="https://audio.iskcondesiretree.com/01_-_Srila_Prabhupada/01_-_Lectures/01_-_English/02_-_Month_wise/07_-_July/09/Interv_CHI_1975-07-09_Television-Actual_Woman%27s_Liberation.mp3" TargetMode="External"/><Relationship Id="rId4109" Type="http://schemas.openxmlformats.org/officeDocument/2006/relationships/hyperlink" Target="https://audio.iskcondesiretree.com/01_-_Srila_Prabhupada/01_-_Lectures/01_-_English/02_-_Month_wise/12_-_December/20/MW_BOM_1975-12-20_God_and_Guru-No_Substitutes.mp3" TargetMode="External"/><Relationship Id="rId4523" Type="http://schemas.openxmlformats.org/officeDocument/2006/relationships/hyperlink" Target="https://audio.iskcondesiretree.com/01_-_Srila_Prabhupada/01_-_Lectures/01_-_English/02_-_Month_wise/04_-_April/23/Bg-09-04_1976-04-23_BG-MELBOURNE.MP3" TargetMode="External"/><Relationship Id="rId393" Type="http://schemas.openxmlformats.org/officeDocument/2006/relationships/hyperlink" Target="https://audio.iskcondesiretree.com/01_-_Srila_Prabhupada/01_-_Lectures/01_-_English/02_-_Month_wise/04_-_April/09/Lect_NY_1969-04-09_Practical_Renunciation.mp3" TargetMode="External"/><Relationship Id="rId2074" Type="http://schemas.openxmlformats.org/officeDocument/2006/relationships/hyperlink" Target="https://audio.iskcondesiretree.com/01_-_Srila_Prabhupada/01_-_Lectures/01_-_English/01_-_Topic_wise/Arrival_Address/SP_Arrival_Paris_1974-06-08_Krishna_Means_the_Active_Principle--etc.mp3" TargetMode="External"/><Relationship Id="rId3125" Type="http://schemas.openxmlformats.org/officeDocument/2006/relationships/hyperlink" Target="https://audio.iskcondesiretree.com/01_-_Srila_Prabhupada/01_-_Lectures/01_-_English/02_-_Month_wise/04_-_April/19/Conv_1975-04-19_R1-VRNDAVAN.MP3" TargetMode="External"/><Relationship Id="rId460" Type="http://schemas.openxmlformats.org/officeDocument/2006/relationships/hyperlink" Target="https://audio.iskcondesiretree.com/01_-_Srila_Prabhupada/01_-_Lectures/01_-_English/01_-_Topic_wise/Festivals/SP_Festivals_Hamburg_1969-09-04_Janmastami--Fearlessness--There--etc.mp3" TargetMode="External"/><Relationship Id="rId1090" Type="http://schemas.openxmlformats.org/officeDocument/2006/relationships/hyperlink" Target="https://audio.iskcondesiretree.com/01_-_Srila_Prabhupada/01_-_Lectures/01_-_English/01_-_Topic_wise/Bhagavad_Gita/Chapter-01/SP_BG_01-16-19_London_1973-07-16_Everybody_Wants_to_Be_Served.mp3" TargetMode="External"/><Relationship Id="rId2141" Type="http://schemas.openxmlformats.org/officeDocument/2006/relationships/hyperlink" Target="https://audio.iskcondesiretree.com/01_-_Srila_Prabhupada/01_-_Lectures/01_-_English/01_-_Topic_wise/Room_Conversation/SP_Room_Conversation_Paris_1974-06-15_Buddhist--You_Cannot_Change_God.mp3" TargetMode="External"/><Relationship Id="rId5297" Type="http://schemas.openxmlformats.org/officeDocument/2006/relationships/hyperlink" Target="https://audio.iskcondesiretree.com/01_-_Srila_Prabhupada/01_-_Lectures/01_-_English/02_-_Month_wise/10_-_October/03/SB_1-07-43_VRN_1976-10-03_Husband_Wife_and_Happy_Home.mp3" TargetMode="External"/><Relationship Id="rId113" Type="http://schemas.openxmlformats.org/officeDocument/2006/relationships/hyperlink" Target="https://audio.iskcondesiretree.com/01_-_Srila_Prabhupada/01_-_Lectures/01_-_English/02_-_Month_wise/11_-_November/22/Bg_09-02_NY_1966-11-22_It_Is_Everlasting%2C_and_It_Is_etc.mp3" TargetMode="External"/><Relationship Id="rId2958" Type="http://schemas.openxmlformats.org/officeDocument/2006/relationships/hyperlink" Target="https://audio.iskcondesiretree.com/01_-_Srila_Prabhupada/01_-_Lectures/01_-_English/02_-_Month_wise/03_-_March/13/Walk_1975-03-13_MW-TEHRAN.MP3" TargetMode="External"/><Relationship Id="rId5017" Type="http://schemas.openxmlformats.org/officeDocument/2006/relationships/hyperlink" Target="https://audio.iskcondesiretree.com/01_-_Srila_Prabhupada/01_-_Lectures/01_-_English/02_-_Month_wise/07_-_July/25/Lecture_1976-07-25_L1-LONDON.MP3" TargetMode="External"/><Relationship Id="rId5364" Type="http://schemas.openxmlformats.org/officeDocument/2006/relationships/hyperlink" Target="https://audio.iskcondesiretree.com/01_-_Srila_Prabhupada/01_-_Lectures/01_-_English/02_-_Month_wise/11_-_November/01/SB-05-05-10%E2%80%9313_1976-11-01_SB-VRNDAVAN.MP3" TargetMode="External"/><Relationship Id="rId1974" Type="http://schemas.openxmlformats.org/officeDocument/2006/relationships/hyperlink" Target="https://audio.iskcondesiretree.com/01_-_Srila_Prabhupada/01_-_Lectures/01_-_English/01_-_Topic_wise/Room_Conversation/SP_Room_Conversation_Rome_1974-05-24_The_Head_of_the_Social_Body_Must_be_Clean.mp3" TargetMode="External"/><Relationship Id="rId4380" Type="http://schemas.openxmlformats.org/officeDocument/2006/relationships/hyperlink" Target="https://audio.iskcondesiretree.com/01_-_Srila_Prabhupada/01_-_Lectures/01_-_English/01_-_Topic_wise/Srimad_Bhagavatam/Canto-07/SP_SB_7-09-40_Mayapur_1976-03-18_Serve_One_Master_Or_Many.mp3" TargetMode="External"/><Relationship Id="rId5431" Type="http://schemas.openxmlformats.org/officeDocument/2006/relationships/hyperlink" Target="https://audio.iskcondesiretree.com/01_-_Srila_Prabhupada/01_-_Lectures/01_-_English/02_-_Month_wise/11_-_November/17/SB-05-05-30_1976-11-17_SB-VRNDAVAN.MP3" TargetMode="External"/><Relationship Id="rId1627" Type="http://schemas.openxmlformats.org/officeDocument/2006/relationships/hyperlink" Target="https://audio.iskcondesiretree.com/01_-_Srila_Prabhupada/01_-_Lectures/01_-_English/02_-_Month_wise/02_-_Feburary/19/Bg-07-04_1974-02-19_BG-BOMBAY.MP3" TargetMode="External"/><Relationship Id="rId4033" Type="http://schemas.openxmlformats.org/officeDocument/2006/relationships/hyperlink" Target="https://audio.iskcondesiretree.com/01_-_Srila_Prabhupada/01_-_Lectures/01_-_English/02_-_Month_wise/11_-_November/29/MW_DEL_1975-11-29_Lions_Are_Better_than_Marxists.mp3" TargetMode="External"/><Relationship Id="rId3799" Type="http://schemas.openxmlformats.org/officeDocument/2006/relationships/hyperlink" Target="https://audio.iskcondesiretree.com/01_-_Srila_Prabhupada/01_-_Lectures/01_-_English/02_-_Month_wise/10_-_October/01/Arrival_1975-10-01_A2-MAURITIUS.MP3" TargetMode="External"/><Relationship Id="rId4100" Type="http://schemas.openxmlformats.org/officeDocument/2006/relationships/hyperlink" Target="https://audio.iskcondesiretree.com/01_-_Srila_Prabhupada/01_-_Lectures/01_-_English/02_-_Month_wise/12_-_December/17/MW_BOM_1975-12-17_No_Question_of_Hating_Women.mp3" TargetMode="External"/><Relationship Id="rId3866" Type="http://schemas.openxmlformats.org/officeDocument/2006/relationships/hyperlink" Target="https://audio.iskcondesiretree.com/01_-_Srila_Prabhupada/01_-_Lectures/01_-_English/02_-_Month_wise/10_-_October/14/Lecture_1975-10-14_LE-JOHANNESBURG.MP3" TargetMode="External"/><Relationship Id="rId4917" Type="http://schemas.openxmlformats.org/officeDocument/2006/relationships/hyperlink" Target="https://audio.iskcondesiretree.com/01_-_Srila_Prabhupada/01_-_Lectures/01_-_English/01_-_Topic_wise/Room_Conversation/SP_Room_Conversation_Washington_DC_1976-07-07_Scientists--Two_Grains_of_Sand_on--etc.mp3" TargetMode="External"/><Relationship Id="rId787" Type="http://schemas.openxmlformats.org/officeDocument/2006/relationships/hyperlink" Target="https://audio.iskcondesiretree.com/01_-_Srila_Prabhupada/01_-_Lectures/01_-_English/02_-_Month_wise/11_-_November/05/SB_1-02-25_VRN_1972-11-05_Impersonalists_Misguide_People.mp3" TargetMode="External"/><Relationship Id="rId2468" Type="http://schemas.openxmlformats.org/officeDocument/2006/relationships/hyperlink" Target="https://audio.iskcondesiretree.com/01_-_Srila_Prabhupada/01_-_Lectures/01_-_English/02_-_Month_wise/10_-_October/25/SB-01-08-45_1974-10-25_SB-MAYAPUR.MP3" TargetMode="External"/><Relationship Id="rId2882" Type="http://schemas.openxmlformats.org/officeDocument/2006/relationships/hyperlink" Target="https://audio.iskcondesiretree.com/01_-_Srila_Prabhupada/01_-_Lectures/01_-_English/02_-_Month_wise/03_-_March/01/RC_ATL_1975-03-01_Prof_of_Religion--Everyone_Creating_etc.mp3" TargetMode="External"/><Relationship Id="rId3519" Type="http://schemas.openxmlformats.org/officeDocument/2006/relationships/hyperlink" Target="https://audio.iskcondesiretree.com/01_-_Srila_Prabhupada/01_-_Lectures/01_-_English/02_-_Month_wise/07_-_July/13/RC_PHI_1975-07-13_Prof_Thomas_J_Hopkins-The_Churn_etc.mp3" TargetMode="External"/><Relationship Id="rId3933" Type="http://schemas.openxmlformats.org/officeDocument/2006/relationships/hyperlink" Target="https://audio.iskcondesiretree.com/01_-_Srila_Prabhupada/01_-_Lectures/01_-_English/02_-_Month_wise/10_-_October/29/Conv_1975-10-29_R2-NAIROBI.MP3" TargetMode="External"/><Relationship Id="rId854" Type="http://schemas.openxmlformats.org/officeDocument/2006/relationships/hyperlink" Target="https://audio.iskcondesiretree.com/01_-_Srila_Prabhupada/01_-_Lectures/01_-_English/01_-_Topic_wise/Bhagavad_Gita/Chapter-02/SP_BG_02-01_Ahmedabad_1972-12-07_Signs_of_Ignorance_of_Self.mp3" TargetMode="External"/><Relationship Id="rId1484" Type="http://schemas.openxmlformats.org/officeDocument/2006/relationships/hyperlink" Target="https://audio.iskcondesiretree.com/01_-_Srila_Prabhupada/01_-_Lectures/01_-_English/01_-_Topic_wise/Morning_Walk/SP_Morning_Walk_-_Los_Angeles_1974-01-05_Dance_Eat_and_Live_Eternally.mp3" TargetMode="External"/><Relationship Id="rId2535" Type="http://schemas.openxmlformats.org/officeDocument/2006/relationships/hyperlink" Target="https://audio.iskcondesiretree.com/01_-_Srila_Prabhupada/01_-_Lectures/01_-_English/02_-_Month_wise/11_-_November/19/SB_3-25-19_BOM_1974-11-19_One_Kind_of_Devotion_Will_Do.mp3" TargetMode="External"/><Relationship Id="rId507" Type="http://schemas.openxmlformats.org/officeDocument/2006/relationships/hyperlink" Target="https://audio.iskcondesiretree.com/01_-_Srila_Prabhupada/01_-_Lectures/01_-_English/02_-_Month_wise/05_-_May/02/Iso_00_LA_1970-05-02_Matter_Has_No_Power.mp3" TargetMode="External"/><Relationship Id="rId921" Type="http://schemas.openxmlformats.org/officeDocument/2006/relationships/hyperlink" Target="https://audio.iskcondesiretree.com/01_-_Srila_Prabhupada/01_-_Lectures/01_-_English/02_-_Month_wise/01_-_January/31/NOD_Pg-35_CAL_1973-01-31_Real_Self-Interest.mp3" TargetMode="External"/><Relationship Id="rId1137" Type="http://schemas.openxmlformats.org/officeDocument/2006/relationships/hyperlink" Target="https://audio.iskcondesiretree.com/01_-_Srila_Prabhupada/01_-_Lectures/01_-_English/02_-_Month_wise/07_-_July/31/Bg_01-44_LON_1973-07-31_Only_Rascal_Says_Krishna_Is_Immoral.mp3" TargetMode="External"/><Relationship Id="rId1551" Type="http://schemas.openxmlformats.org/officeDocument/2006/relationships/hyperlink" Target="https://audio.iskcondesiretree.com/01_-_Srila_Prabhupada/01_-_Lectures/01_-_English/01_-_Topic_wise/Morning_Walk/SP_Morning_Walk_-_Honolulu_1974-01-20.mp3" TargetMode="External"/><Relationship Id="rId2602" Type="http://schemas.openxmlformats.org/officeDocument/2006/relationships/hyperlink" Target="https://audio.iskcondesiretree.com/01_-_Srila_Prabhupada/01_-_Lectures/01_-_English/02_-_Month_wise/12_-_December/11/SB_3-25-43_BOM_1974-12-11_No_More_Fear.mp3" TargetMode="External"/><Relationship Id="rId5758" Type="http://schemas.openxmlformats.org/officeDocument/2006/relationships/hyperlink" Target="https://audio.iskcondesiretree.com/01_-_Srila_Prabhupada/01_-_Lectures/01_-_English/02_-_Month_wise/03_-_March/23/RC_BOM_1977-03-23_Krishna_Culture.mp3" TargetMode="External"/><Relationship Id="rId1204" Type="http://schemas.openxmlformats.org/officeDocument/2006/relationships/hyperlink" Target="https://audio.iskcondesiretree.com/01_-_Srila_Prabhupada/01_-_Lectures/01_-_English/01_-_Topic_wise/Bhagavad_Gita/Chapter-02/SP_BG_02-16_London_1973-08-22_Nonexistent_and_Existent.mp3" TargetMode="External"/><Relationship Id="rId4774" Type="http://schemas.openxmlformats.org/officeDocument/2006/relationships/hyperlink" Target="https://audio.iskcondesiretree.com/01_-_Srila_Prabhupada/01_-_Lectures/01_-_English/02_-_Month_wise/06_-_June/18/Conv_1976-06-18_R1-TORONTO.MP3" TargetMode="External"/><Relationship Id="rId5825" Type="http://schemas.openxmlformats.org/officeDocument/2006/relationships/hyperlink" Target="https://audio.iskcondesiretree.com/01_-_Srila_Prabhupada/01_-_Lectures/01_-_English/01_-_Topic_wise/Room_Conversation/SP_Room_Conversation_Bombay_1977-04-28_Animal_Expertise.mp3" TargetMode="External"/><Relationship Id="rId3376" Type="http://schemas.openxmlformats.org/officeDocument/2006/relationships/hyperlink" Target="https://audio.iskcondesiretree.com/01_-_Srila_Prabhupada/01_-_Lectures/01_-_English/02_-_Month_wise/06_-_June/26/Conv_1975-06-26_R2-LOS%20ANGELES.MP3" TargetMode="External"/><Relationship Id="rId4427" Type="http://schemas.openxmlformats.org/officeDocument/2006/relationships/hyperlink" Target="https://audio.iskcondesiretree.com/01_-_Srila_Prabhupada/01_-_Lectures/01_-_English/02_-_Month_wise/04_-_April/04/Initiations_1976-04-04_IN-VRNDAVAN.MP3" TargetMode="External"/><Relationship Id="rId297" Type="http://schemas.openxmlformats.org/officeDocument/2006/relationships/hyperlink" Target="https://audio.iskcondesiretree.com/01_-_Srila_Prabhupada/01_-_Lectures/01_-_English/01_-_Topic_wise/Various/SP_Lecture_Los_Angeles_1968-11-18_Getting_Outside_of_the_Material_Boundaries.mp3" TargetMode="External"/><Relationship Id="rId2392" Type="http://schemas.openxmlformats.org/officeDocument/2006/relationships/hyperlink" Target="https://audio.iskcondesiretree.com/01_-_Srila_Prabhupada/01_-_Lectures/01_-_English/02_-_Month_wise/09_-_September/27/SB_1-02-19_CAL_1974-09-27_Understanding-Krishna%27s_Mercy.mp3" TargetMode="External"/><Relationship Id="rId3029" Type="http://schemas.openxmlformats.org/officeDocument/2006/relationships/hyperlink" Target="https://audio.iskcondesiretree.com/01_-_Srila_Prabhupada/01_-_Lectures/01_-_English/02_-_Month_wise/04_-_April/01/Walk_1975-04-01_MW-MAYAPUR.MP3" TargetMode="External"/><Relationship Id="rId3790" Type="http://schemas.openxmlformats.org/officeDocument/2006/relationships/hyperlink" Target="https://audio.iskcondesiretree.com/01_-_Srila_Prabhupada/01_-_Lectures/01_-_English/02_-_Month_wise/09_-_September/27/SB-01-02-06%E2%80%93Hindi_1975-09-27_SB-AHMEDABAD.MP3" TargetMode="External"/><Relationship Id="rId4841" Type="http://schemas.openxmlformats.org/officeDocument/2006/relationships/hyperlink" Target="https://audio.iskcondesiretree.com/01_-_Srila_Prabhupada/01_-_Lectures/01_-_English/01_-_Topic_wise/Room_Conversation/SP_Room_Conversation_New_Vrindavan_1976-06-28_Bhavans_Journal-2_Innocent--etc.mp3" TargetMode="External"/><Relationship Id="rId364" Type="http://schemas.openxmlformats.org/officeDocument/2006/relationships/hyperlink" Target="https://audio.iskcondesiretree.com/01_-_Srila_Prabhupada/01_-_Lectures/01_-_English/02_-_Month_wise/02_-_Feburary/09/Lect_LA_1969-02-09_Guaranteed_Relief.mp3" TargetMode="External"/><Relationship Id="rId2045" Type="http://schemas.openxmlformats.org/officeDocument/2006/relationships/hyperlink" Target="https://audio.iskcondesiretree.com/01_-_Srila_Prabhupada/01_-_Lectures/01_-_English/01_-_Topic_wise/Room_Conversation/SP_Room_Conversation_Geneva_1974-06-04_Prof_of_Sanskrit--Avatars_Come_to--etc.mp3" TargetMode="External"/><Relationship Id="rId3443" Type="http://schemas.openxmlformats.org/officeDocument/2006/relationships/hyperlink" Target="https://audio.iskcondesiretree.com/01_-_Srila_Prabhupada/01_-_Lectures/01_-_English/02_-_Month_wise/07_-_July/05/RC_CHI_1975-07-05_CHI_Police_Dept.--How_to_Prevent_Crime.mp3" TargetMode="External"/><Relationship Id="rId3510" Type="http://schemas.openxmlformats.org/officeDocument/2006/relationships/hyperlink" Target="https://audio.iskcondesiretree.com/01_-_Srila_Prabhupada/01_-_Lectures/01_-_English/01_-_Topic_wise/Room_Conversation/SP_Room_Conversation_01_Philadelphia_1975-07-13.MP3" TargetMode="External"/><Relationship Id="rId431" Type="http://schemas.openxmlformats.org/officeDocument/2006/relationships/hyperlink" Target="https://audio.iskcondesiretree.com/01_-_Srila_Prabhupada/01_-_Lectures/01_-_English/01_-_Topic_wise/Various/SP_Lecture_Columbus_1969-05-14_Caste_System_Cast_Out.mp3" TargetMode="External"/><Relationship Id="rId1061" Type="http://schemas.openxmlformats.org/officeDocument/2006/relationships/hyperlink" Target="https://audio.iskcondesiretree.com/01_-_Srila_Prabhupada/01_-_Lectures/01_-_English/01_-_Topic_wise/Room_Conversation/SP_Room_Conversation_London_1973-07-09_Slaughterhouse_School.mp3" TargetMode="External"/><Relationship Id="rId2112" Type="http://schemas.openxmlformats.org/officeDocument/2006/relationships/hyperlink" Target="https://audio.iskcondesiretree.com/01_-_Srila_Prabhupada/01_-_Lectures/01_-_English/02_-_Month_wise/06_-_June/12/SB-02-01-03_1974-06-12_SB-PARIS.MP3" TargetMode="External"/><Relationship Id="rId5268" Type="http://schemas.openxmlformats.org/officeDocument/2006/relationships/hyperlink" Target="https://audio.iskcondesiretree.com/01_-_Srila_Prabhupada/01_-_Lectures/01_-_English/02_-_Month_wise/09_-_September/26/SB_1-07-30_VRN_1976-09-26_Why_Make_Krishna_Impersonal.mp3" TargetMode="External"/><Relationship Id="rId5682" Type="http://schemas.openxmlformats.org/officeDocument/2006/relationships/hyperlink" Target="https://audio.iskcondesiretree.com/01_-_Srila_Prabhupada/01_-_Lectures/01_-_English/02_-_Month_wise/02_-_Feburary/04/Arrival_1977-02-04_AR-CALCUTTA.MP3" TargetMode="External"/><Relationship Id="rId1878" Type="http://schemas.openxmlformats.org/officeDocument/2006/relationships/hyperlink" Target="https://audio.iskcondesiretree.com/01_-_Srila_Prabhupada/01_-_Lectures/01_-_English/01_-_Topic_wise/Morning_Walk/SP_Morning_Walk_-_Bombay_1974-04-16.mp3" TargetMode="External"/><Relationship Id="rId2929" Type="http://schemas.openxmlformats.org/officeDocument/2006/relationships/hyperlink" Target="https://audio.iskcondesiretree.com/01_-_Srila_Prabhupada/01_-_Lectures/01_-_English/01_-_Topic_wise/Room_Conversation/SP_Room_Conversation_London_1975-03-09_Reporter--Produce_Food_or_Problems.mp3" TargetMode="External"/><Relationship Id="rId4284" Type="http://schemas.openxmlformats.org/officeDocument/2006/relationships/hyperlink" Target="https://audio.iskcondesiretree.com/01_-_Srila_Prabhupada/01_-_Lectures/01_-_English/01_-_Topic_wise/Morning_Walk/SP_Morning_Walk_-_Mayapur_1976-02-26_Nothing_But_Krishna.mp3" TargetMode="External"/><Relationship Id="rId5335" Type="http://schemas.openxmlformats.org/officeDocument/2006/relationships/hyperlink" Target="https://audio.iskcondesiretree.com/01_-_Srila_Prabhupada/01_-_Lectures/01_-_English/02_-_Month_wise/10_-_October/16/Interv_CHA_1976-10-16_Press-Everyone_of_You_Become_Guru.mp3" TargetMode="External"/><Relationship Id="rId4351" Type="http://schemas.openxmlformats.org/officeDocument/2006/relationships/hyperlink" Target="https://audio.iskcondesiretree.com/01_-_Srila_Prabhupada/01_-_Lectures/01_-_English/02_-_Month_wise/03_-_March/12/SB_7-09-34_MAY_1976-03-12_Make_Krishna_Smile.mp3" TargetMode="External"/><Relationship Id="rId5402" Type="http://schemas.openxmlformats.org/officeDocument/2006/relationships/hyperlink" Target="https://audio.iskcondesiretree.com/01_-_Srila_Prabhupada/01_-_Lectures/01_-_English/02_-_Month_wise/11_-_November/10/Conv_1976-11-10_R1-VRNDAVAN.MP3" TargetMode="External"/><Relationship Id="rId1945" Type="http://schemas.openxmlformats.org/officeDocument/2006/relationships/hyperlink" Target="https://audio.iskcondesiretree.com/01_-_Srila_Prabhupada/01_-_Lectures/01_-_English/01_-_Topic_wise/Morning_Walk/SP_Morning_Walk_-_Bombay_1974-05-01.mp3" TargetMode="External"/><Relationship Id="rId4004" Type="http://schemas.openxmlformats.org/officeDocument/2006/relationships/hyperlink" Target="https://audio.iskcondesiretree.com/01_-_Srila_Prabhupada/01_-_Lectures/01_-_English/01_-_Topic_wise/Morning_Walk/SP_Morning_Walk_-_Bombay_1975-11-18_Bhakta_Is_the_Only_Scientist.mp3" TargetMode="External"/><Relationship Id="rId3020" Type="http://schemas.openxmlformats.org/officeDocument/2006/relationships/hyperlink" Target="https://audio.iskcondesiretree.com/01_-_Srila_Prabhupada/01_-_Lectures/01_-_English/02_-_Month_wise/03_-_March/31/Conv_1975-03-31_R1-MAYAPUR.MP3" TargetMode="External"/><Relationship Id="rId6176" Type="http://schemas.openxmlformats.org/officeDocument/2006/relationships/hyperlink" Target="https://audio.iskcondesiretree.com/01_-_Srila_Prabhupada/01_-_Lectures/03_-_Hindi/SP_Hindi_04_Lectures_%26_Conversations.mp3" TargetMode="External"/><Relationship Id="rId2786" Type="http://schemas.openxmlformats.org/officeDocument/2006/relationships/hyperlink" Target="https://audio.iskcondesiretree.com/01_-_Srila_Prabhupada/01_-_Lectures/01_-_English/02_-_Month_wise/02_-_Feburary/11/Arrival_1975-02-11_AR-MEXICO%20CITY.MP3" TargetMode="External"/><Relationship Id="rId3837" Type="http://schemas.openxmlformats.org/officeDocument/2006/relationships/hyperlink" Target="https://audio.iskcondesiretree.com/01_-_Srila_Prabhupada/01_-_Lectures/01_-_English/02_-_Month_wise/10_-_October/08/Conv_1975-10-08_R2-DURBAN.MP3" TargetMode="External"/><Relationship Id="rId5192" Type="http://schemas.openxmlformats.org/officeDocument/2006/relationships/hyperlink" Target="https://audio.iskcondesiretree.com/01_-_Srila_Prabhupada/01_-_Lectures/01_-_English/02_-_Month_wise/09_-_September/06/Conv_1976-09-06_R1-VRNDAVAN.MP3" TargetMode="External"/><Relationship Id="rId758" Type="http://schemas.openxmlformats.org/officeDocument/2006/relationships/hyperlink" Target="https://audio.iskcondesiretree.com/01_-_Srila_Prabhupada/01_-_Lectures/01_-_English/02_-_Month_wise/10_-_October/29/NOD_Lect_VRN_1972-10-29_The_Mental_Culture_of_Krsna_etc.mp3" TargetMode="External"/><Relationship Id="rId1388" Type="http://schemas.openxmlformats.org/officeDocument/2006/relationships/hyperlink" Target="https://audio.iskcondesiretree.com/01_-_Srila_Prabhupada/01_-_Lectures/01_-_English/01_-_Topic_wise/Srimad_Bhagavatam/Canto-01/SP_SB_1-15-25_Los_Angeles_1973-12-04_Varnasrama-Overhauling_Hell.mp3" TargetMode="External"/><Relationship Id="rId2439" Type="http://schemas.openxmlformats.org/officeDocument/2006/relationships/hyperlink" Target="https://audio.iskcondesiretree.com/01_-_Srila_Prabhupada/01_-_Lectures/01_-_English/02_-_Month_wise/10_-_October/14/SB-01-08-34_1974-10-14_SB-MAYAPUR.MP3" TargetMode="External"/><Relationship Id="rId2853" Type="http://schemas.openxmlformats.org/officeDocument/2006/relationships/hyperlink" Target="https://audio.iskcondesiretree.com/01_-_Srila_Prabhupada/01_-_Lectures/01_-_English/02_-_Month_wise/02_-_Feburary/25/Arrival_1975-02-25_AR-MIAMI.MP3" TargetMode="External"/><Relationship Id="rId3904" Type="http://schemas.openxmlformats.org/officeDocument/2006/relationships/hyperlink" Target="https://audio.iskcondesiretree.com/01_-_Srila_Prabhupada/01_-_Lectures/01_-_English/02_-_Month_wise/10_-_October/21/Conv_1975-10-21_R1-JOHANNESBURG.MP3" TargetMode="External"/><Relationship Id="rId94" Type="http://schemas.openxmlformats.org/officeDocument/2006/relationships/hyperlink" Target="https://audio.iskcondesiretree.com/01_-_Srila_Prabhupada/01_-_Lectures/01_-_English/01_-_Topic_wise/Bhagavad_Gita/Chapter-08/SP_BG_08-12-14_New_York_1966-11-15_Make_Sure_to_Pass_that_Final--etc.mp3" TargetMode="External"/><Relationship Id="rId825" Type="http://schemas.openxmlformats.org/officeDocument/2006/relationships/hyperlink" Target="https://audio.iskcondesiretree.com/01_-_Srila_Prabhupada/01_-_Lectures/01_-_English/02_-_Month_wise/11_-_November/18/Bg_02-13_HYD_1972-11-18_We_Are_All_Servants.mp3" TargetMode="External"/><Relationship Id="rId1455" Type="http://schemas.openxmlformats.org/officeDocument/2006/relationships/hyperlink" Target="https://audio.iskcondesiretree.com/01_-_Srila_Prabhupada/01_-_Lectures/01_-_English/01_-_Topic_wise/Srimad_Bhagavatam/Canto-01/SP_SB_1-15-47_Los_Angeles_1973-12-25_Seeing_Krishna_Face_to_Face.mp3" TargetMode="External"/><Relationship Id="rId2506" Type="http://schemas.openxmlformats.org/officeDocument/2006/relationships/hyperlink" Target="https://audio.iskcondesiretree.com/01_-_Srila_Prabhupada/01_-_Lectures/01_-_English/01_-_Topic_wise/Srimad_Bhagavatam/Canto-03/SP_SB_3-25-10_Bombay_1974-11-10_Get_Free_from_Attachments.mp3" TargetMode="External"/><Relationship Id="rId1108" Type="http://schemas.openxmlformats.org/officeDocument/2006/relationships/hyperlink" Target="https://audio.iskcondesiretree.com/01_-_Srila_Prabhupada/01_-_Lectures/01_-_English/02_-_Month_wise/07_-_July/22/Bg_01-28_LON_1973-07-22_The_Art_of_Preaching.mp3" TargetMode="External"/><Relationship Id="rId2920" Type="http://schemas.openxmlformats.org/officeDocument/2006/relationships/hyperlink" Target="https://audio.iskcondesiretree.com/01_-_Srila_Prabhupada/01_-_Lectures/01_-_English/02_-_Month_wise/03_-_March/06/SB-02-02-06_1975-03-06_SB-NEW%20YORK.MP3" TargetMode="External"/><Relationship Id="rId4678" Type="http://schemas.openxmlformats.org/officeDocument/2006/relationships/hyperlink" Target="https://audio.iskcondesiretree.com/01_-_Srila_Prabhupada/01_-_Lectures/01_-_English/01_-_Topic_wise/Morning_Walk/SP_Morning_Walk_-_Los_Angeles_1976-06-03_Death_and_Dreams.mp3" TargetMode="External"/><Relationship Id="rId1522" Type="http://schemas.openxmlformats.org/officeDocument/2006/relationships/hyperlink" Target="https://audio.iskcondesiretree.com/01_-_Srila_Prabhupada/01_-_Lectures/01_-_English/02_-_Month_wise/01_-_January/12/SB_1-16-17_LA_1974-01-12_Democracy-Elect_Rascal_Monarch.mp3" TargetMode="External"/><Relationship Id="rId5729" Type="http://schemas.openxmlformats.org/officeDocument/2006/relationships/hyperlink" Target="https://audio.iskcondesiretree.com/01_-_Srila_Prabhupada/01_-_Lectures/01_-_English/02_-_Month_wise/02_-_Feburary/25/Conv_1977-02-25_R2-MAYAPUR.MP3" TargetMode="External"/><Relationship Id="rId3694" Type="http://schemas.openxmlformats.org/officeDocument/2006/relationships/hyperlink" Target="https://audio.iskcondesiretree.com/01_-_Srila_Prabhupada/01_-_Lectures/01_-_English/01_-_Topic_wise/Morning_Walk/SP_Morning_Walk_-_Vrindavan_1975-08-29.MP3" TargetMode="External"/><Relationship Id="rId4745" Type="http://schemas.openxmlformats.org/officeDocument/2006/relationships/hyperlink" Target="https://audio.iskcondesiretree.com/01_-_Srila_Prabhupada/01_-_Lectures/01_-_English/02_-_Month_wise/06_-_June/14/Conv_1976-06-14_GC-DETROIT.MP3" TargetMode="External"/><Relationship Id="rId2296" Type="http://schemas.openxmlformats.org/officeDocument/2006/relationships/hyperlink" Target="https://audio.iskcondesiretree.com/01_-_Srila_Prabhupada/01_-_Lectures/01_-_English/01_-_Topic_wise/Srimad_Bhagavatam/Canto-01/SP_SB_1-02-20_New_York_1974-07-24.mp3" TargetMode="External"/><Relationship Id="rId3347" Type="http://schemas.openxmlformats.org/officeDocument/2006/relationships/hyperlink" Target="https://audio.iskcondesiretree.com/01_-_Srila_Prabhupada/01_-_Lectures/01_-_English/02_-_Month_wise/06_-_June/22/SB-06-01-09_1975-06-22_SB-LOS%20ANGELES.MP3" TargetMode="External"/><Relationship Id="rId3761" Type="http://schemas.openxmlformats.org/officeDocument/2006/relationships/hyperlink" Target="https://audio.iskcondesiretree.com/01_-_Srila_Prabhupada/01_-_Lectures/01_-_English/02_-_Month_wise/09_-_September/15/SB-06-02-13_1975-09-15_SB-VRNDAVAN.MP3" TargetMode="External"/><Relationship Id="rId4812" Type="http://schemas.openxmlformats.org/officeDocument/2006/relationships/hyperlink" Target="https://audio.iskcondesiretree.com/01_-_Srila_Prabhupada/01_-_Lectures/01_-_English/02_-_Month_wise/06_-_June/23/Conv_1976-06-23_GC-NEW%20VRINDAVAN.MP3" TargetMode="External"/><Relationship Id="rId268" Type="http://schemas.openxmlformats.org/officeDocument/2006/relationships/hyperlink" Target="https://audio.iskcondesiretree.com/01_-_Srila_Prabhupada/01_-_Lectures/01_-_English/01_-_Topic_wise/Various/SP_Lecture_Seattle_1968-09-30_Beyond_Frustration-Science_of_Loving_God.mp3" TargetMode="External"/><Relationship Id="rId682" Type="http://schemas.openxmlformats.org/officeDocument/2006/relationships/hyperlink" Target="https://audio.iskcondesiretree.com/01_-_Srila_Prabhupada/01_-_Lectures/01_-_English/01_-_Topic_wise/Srimad_Bhagavatam/Canto-01/SP_SB_1-03-07_Los_Angeles_1972-09-13_Krishna_Will_Save_You.mp3" TargetMode="External"/><Relationship Id="rId2363" Type="http://schemas.openxmlformats.org/officeDocument/2006/relationships/hyperlink" Target="https://audio.iskcondesiretree.com/01_-_Srila_Prabhupada/01_-_Lectures/01_-_English/02_-_Month_wise/08_-_August/15/Bg_07-09_VRN_1974-08-15_Transcendental_Nature_Study.mp3" TargetMode="External"/><Relationship Id="rId3414" Type="http://schemas.openxmlformats.org/officeDocument/2006/relationships/hyperlink" Target="https://audio.iskcondesiretree.com/01_-_Srila_Prabhupada/01_-_Lectures/01_-_English/02_-_Month_wise/07_-_July/01/SB_6-01-18_DEN_1975-07-01_Prasadam_Krishna%27s_etc.mp3" TargetMode="External"/><Relationship Id="rId335" Type="http://schemas.openxmlformats.org/officeDocument/2006/relationships/hyperlink" Target="https://audio.iskcondesiretree.com/01_-_Srila_Prabhupada/01_-_Lectures/01_-_English/02_-_Month_wise/12_-_December/23/Bg_03-06_LA_1968-12-23_From_Pretension_to_Purity.mp3" TargetMode="External"/><Relationship Id="rId2016" Type="http://schemas.openxmlformats.org/officeDocument/2006/relationships/hyperlink" Target="https://audio.iskcondesiretree.com/01_-_Srila_Prabhupada/01_-_Lectures/01_-_English/01_-_Topic_wise/Room_Conversation/SP_Room_Conversation_Geneva_1974-05-31_UN_International_Labor--etc.mp3" TargetMode="External"/><Relationship Id="rId2430" Type="http://schemas.openxmlformats.org/officeDocument/2006/relationships/hyperlink" Target="https://audio.iskcondesiretree.com/01_-_Srila_Prabhupada/01_-_Lectures/01_-_English/02_-_Month_wise/10_-_October/11/SB-01-08-31_1974-10-11_SB-MAYAPUR.MP3" TargetMode="External"/><Relationship Id="rId5586" Type="http://schemas.openxmlformats.org/officeDocument/2006/relationships/hyperlink" Target="https://audio.iskcondesiretree.com/01_-_Srila_Prabhupada/01_-_Lectures/01_-_English/02_-_Month_wise/01_-_January/09/RC_BOM_1977-01-09_Everyone_is_Trying_to_Become_Krishna.mp3" TargetMode="External"/><Relationship Id="rId402" Type="http://schemas.openxmlformats.org/officeDocument/2006/relationships/hyperlink" Target="https://audio.iskcondesiretree.com/01_-_Srila_Prabhupada/01_-_Lectures/01_-_English/02_-_Month_wise/04_-_April/17/Lect_NY_1969-04-17_Krishna_Obliged_Me_to_Come_With_etc.mp3" TargetMode="External"/><Relationship Id="rId1032" Type="http://schemas.openxmlformats.org/officeDocument/2006/relationships/hyperlink" Target="https://audio.iskcondesiretree.com/01_-_Srila_Prabhupada/01_-_Lectures/01_-_English/02_-_Month_wise/06_-_June/16/SB_1-10-01_MAY_1973-06-16_Yudhisthira-Perfect_Surrender.mp3" TargetMode="External"/><Relationship Id="rId4188" Type="http://schemas.openxmlformats.org/officeDocument/2006/relationships/hyperlink" Target="https://audio.iskcondesiretree.com/01_-_Srila_Prabhupada/01_-_Lectures/01_-_English/02_-_Month_wise/01_-_January/16/Conv_1976-01-16_R1-MAYAPUR.MP3" TargetMode="External"/><Relationship Id="rId5239" Type="http://schemas.openxmlformats.org/officeDocument/2006/relationships/hyperlink" Target="https://audio.iskcondesiretree.com/01_-_Srila_Prabhupada/01_-_Lectures/01_-_English/02_-_Month_wise/09_-_September/17/Conv_1976-09-17_R1-VRNDAVAN.MP3" TargetMode="External"/><Relationship Id="rId4255" Type="http://schemas.openxmlformats.org/officeDocument/2006/relationships/hyperlink" Target="https://audio.iskcondesiretree.com/01_-_Srila_Prabhupada/01_-_Lectures/01_-_English/01_-_Topic_wise/Srimad_Bhagavatam/Canto-07/SP_SB_7-09-13_Mayapur_1976-02-20_Snakes_Don%27t_Scare_Devotees.mp3" TargetMode="External"/><Relationship Id="rId5306" Type="http://schemas.openxmlformats.org/officeDocument/2006/relationships/hyperlink" Target="https://audio.iskcondesiretree.com/01_-_Srila_Prabhupada/01_-_Lectures/01_-_English/01_-_Topic_wise/Srimad_Bhagavatam/Canto-01/SP_SB_1-07-47-48_Vrindavan_1976-10-06_A_Devotee%27s_Heart.mp3" TargetMode="External"/><Relationship Id="rId5653" Type="http://schemas.openxmlformats.org/officeDocument/2006/relationships/hyperlink" Target="https://audio.iskcondesiretree.com/01_-_Srila_Prabhupada/01_-_Lectures/01_-_English/02_-_Month_wise/01_-_January/30/MW_BHU_1977-01-30_Meaninglessness_Has_Hidden_Meaning.mp3" TargetMode="External"/><Relationship Id="rId1849" Type="http://schemas.openxmlformats.org/officeDocument/2006/relationships/hyperlink" Target="https://audio.iskcondesiretree.com/01_-_Srila_Prabhupada/01_-_Lectures/01_-_English/01_-_Topic_wise/Bhagavad_Gita/Chapter-04/SP_BG_04-21_Bombay_1974-04-10_A_Life_of_Purity.mp3" TargetMode="External"/><Relationship Id="rId5720" Type="http://schemas.openxmlformats.org/officeDocument/2006/relationships/hyperlink" Target="https://audio.iskcondesiretree.com/01_-_Srila_Prabhupada/01_-_Lectures/01_-_English/02_-_Month_wise/02_-_Feburary/19/Conv_1977-02-19_R3-MAYAPUR.MP3" TargetMode="External"/><Relationship Id="rId192" Type="http://schemas.openxmlformats.org/officeDocument/2006/relationships/hyperlink" Target="https://audio.iskcondesiretree.com/01_-_Srila_Prabhupada/01_-_Lectures/01_-_English/01_-_Topic_wise/Bhagavad_Gita/Chapter-09/SP_BG_09-34_New_York_1966-12-26_Being_Completely_Absorbed_in--etc.mp3" TargetMode="External"/><Relationship Id="rId1916" Type="http://schemas.openxmlformats.org/officeDocument/2006/relationships/hyperlink" Target="https://audio.iskcondesiretree.com/01_-_Srila_Prabhupada/01_-_Lectures/01_-_English/02_-_Month_wise/04_-_April/22/SB_1-02-08_HYD_1974-04-22_Duty_or_a_Waste_of_Time.mp3" TargetMode="External"/><Relationship Id="rId3271" Type="http://schemas.openxmlformats.org/officeDocument/2006/relationships/hyperlink" Target="https://audio.iskcondesiretree.com/01_-_Srila_Prabhupada/01_-_Lectures/01_-_English/02_-_Month_wise/06_-_June/07/Walk_1975-06-07_MW-HONOLULU.MP3" TargetMode="External"/><Relationship Id="rId4322" Type="http://schemas.openxmlformats.org/officeDocument/2006/relationships/hyperlink" Target="https://audio.iskcondesiretree.com/01_-_Srila_Prabhupada/01_-_Lectures/02_-_Bengali/1976-03-06_Lecture_-_Mayapur.MP3" TargetMode="External"/><Relationship Id="rId5096" Type="http://schemas.openxmlformats.org/officeDocument/2006/relationships/hyperlink" Target="https://audio.iskcondesiretree.com/01_-_Srila_Prabhupada/01_-_Lectures/01_-_English/02_-_Month_wise/08_-_August/12/Conv_1976-08-12_R2-TEHRAN.MP3" TargetMode="External"/><Relationship Id="rId6147" Type="http://schemas.openxmlformats.org/officeDocument/2006/relationships/hyperlink" Target="https://audio.iskcondesiretree.com/01_-_Srila_Prabhupada/01_-_Lectures/01_-_English/01_-_Topic_wise/Stories/SP_Story_23_European_Krsna_is_God.mp3" TargetMode="External"/><Relationship Id="rId5163" Type="http://schemas.openxmlformats.org/officeDocument/2006/relationships/hyperlink" Target="https://audio.iskcondesiretree.com/01_-_Srila_Prabhupada/01_-_Lectures/01_-_English/02_-_Month_wise/08_-_August/25/Bg-01-01%E2%80%93Hindi_1976-08-25_BG-HYDERABAD.MP3" TargetMode="External"/><Relationship Id="rId729" Type="http://schemas.openxmlformats.org/officeDocument/2006/relationships/hyperlink" Target="https://audio.iskcondesiretree.com/01_-_Srila_Prabhupada/01_-_Lectures/01_-_English/01_-_Topic_wise/Srimad_Bhagavatam/Canto-01/SP_SB_1-02-09_Vrindavan_1972-10-20_Everyone_Can_Serve_Krishna.mp3" TargetMode="External"/><Relationship Id="rId1359" Type="http://schemas.openxmlformats.org/officeDocument/2006/relationships/hyperlink" Target="https://audio.iskcondesiretree.com/01_-_Srila_Prabhupada/01_-_Lectures/01_-_English/01_-_Topic_wise/Srimad_Bhagavatam/Canto-01/SP_SB_1-02-05_Delhi_1973-11-11_The_Ultimate_Gain_in_Life.mp3" TargetMode="External"/><Relationship Id="rId2757" Type="http://schemas.openxmlformats.org/officeDocument/2006/relationships/hyperlink" Target="https://audio.iskcondesiretree.com/01_-_Srila_Prabhupada/01_-_Lectures/01_-_English/02_-_Month_wise/02_-_Feburary/03/Walk_1975-02-03_MW-HONOLULU.MP3" TargetMode="External"/><Relationship Id="rId3808" Type="http://schemas.openxmlformats.org/officeDocument/2006/relationships/hyperlink" Target="https://audio.iskcondesiretree.com/01_-_Srila_Prabhupada/01_-_Lectures/01_-_English/01_-_Topic_wise/Morning_Walk/SP_Morning_Walk_-_Mauritius_1975-10-03_Progress-Die_Quickly.mp3" TargetMode="External"/><Relationship Id="rId5230" Type="http://schemas.openxmlformats.org/officeDocument/2006/relationships/hyperlink" Target="https://audio.iskcondesiretree.com/01_-_Srila_Prabhupada/01_-_Lectures/01_-_English/01_-_Topic_wise/Srimad_Bhagavatam/Canto-01/SP_SB_1-07-18_Vrindavan_1976-09-15_Darkness_and_Disturbance.mp3" TargetMode="External"/><Relationship Id="rId1773" Type="http://schemas.openxmlformats.org/officeDocument/2006/relationships/hyperlink" Target="https://audio.iskcondesiretree.com/01_-_Srila_Prabhupada/01_-_Lectures/01_-_English/01_-_Topic_wise/Morning_Walk/SP_Morning_Walk_-_Bombay_1974-03-28.mp3" TargetMode="External"/><Relationship Id="rId2824" Type="http://schemas.openxmlformats.org/officeDocument/2006/relationships/hyperlink" Target="https://audio.iskcondesiretree.com/01_-_Srila_Prabhupada/01_-_Lectures/01_-_English/02_-_Month_wise/02_-_Feburary/20/SB_1-01-01_CAR_1975-02-20_Increasing_Your_Problems.mp3" TargetMode="External"/><Relationship Id="rId65" Type="http://schemas.openxmlformats.org/officeDocument/2006/relationships/hyperlink" Target="https://audio.iskcondesiretree.com/01_-_Srila_Prabhupada/01_-_Lectures/01_-_English/01_-_Topic_wise/Bhagavad_Gita/Chapter-04/SP_BG_04-34_New_York_1966-08-17_Only_Think_of_Krishna.mp3" TargetMode="External"/><Relationship Id="rId1426" Type="http://schemas.openxmlformats.org/officeDocument/2006/relationships/hyperlink" Target="https://audio.iskcondesiretree.com/01_-_Srila_Prabhupada/01_-_Lectures/01_-_English/01_-_Topic_wise/Srimad_Bhagavatam/Canto-01/SP_SB_1-15-36_Los_Angeles_1973-12-14_From_External_Illusion.mp3" TargetMode="External"/><Relationship Id="rId1840" Type="http://schemas.openxmlformats.org/officeDocument/2006/relationships/hyperlink" Target="https://audio.iskcondesiretree.com/01_-_Srila_Prabhupada/01_-_Lectures/01_-_English/01_-_Topic_wise/Bhagavad_Gita/Chapter-04/SP_BG_04-19_Bombay_1974-04-08_Material_Life-Lusty_Desires.mp3" TargetMode="External"/><Relationship Id="rId4996" Type="http://schemas.openxmlformats.org/officeDocument/2006/relationships/hyperlink" Target="https://audio.iskcondesiretree.com/01_-_Srila_Prabhupada/01_-_Lectures/01_-_English/02_-_Month_wise/07_-_July/18/Fest_NY_1976-07-18_Ratha-yatra-The_Culture_of_Liberty.mp3" TargetMode="External"/><Relationship Id="rId1700" Type="http://schemas.openxmlformats.org/officeDocument/2006/relationships/hyperlink" Target="https://audio.iskcondesiretree.com/01_-_Srila_Prabhupada/01_-_Lectures/01_-_English/02_-_Month_wise/03_-_March/13/Cc_A_7-91_VRN_1974-03-13_Singing_in_Saintly_Company.mp3" TargetMode="External"/><Relationship Id="rId3598" Type="http://schemas.openxmlformats.org/officeDocument/2006/relationships/hyperlink" Target="https://audio.iskcondesiretree.com/01_-_Srila_Prabhupada/01_-_Lectures/01_-_English/02_-_Month_wise/07_-_July/27/SB-06-01-46_1975-07-27_SB-SAN%20DIEGO.MP3" TargetMode="External"/><Relationship Id="rId4649" Type="http://schemas.openxmlformats.org/officeDocument/2006/relationships/hyperlink" Target="https://audio.iskcondesiretree.com/01_-_Srila_Prabhupada/01_-_Lectures/01_-_English/02_-_Month_wise/05_-_May/26/SB-06-01-26_1976-05-26_SB-HONOLULU.MP3" TargetMode="External"/><Relationship Id="rId4856" Type="http://schemas.openxmlformats.org/officeDocument/2006/relationships/hyperlink" Target="https://audio.iskcondesiretree.com/01_-_Srila_Prabhupada/01_-_Lectures/01_-_English/02_-_Month_wise/06_-_June/28/SB_7-06-14_NV_1976-06-28_The_Problem_of_Family_and_Belly.mp3" TargetMode="External"/><Relationship Id="rId5907" Type="http://schemas.openxmlformats.org/officeDocument/2006/relationships/hyperlink" Target="https://audio.iskcondesiretree.com/01_-_Srila_Prabhupada/01_-_Lectures/01_-_English/02_-_Month_wise/07_-_July/06/Conv_1977-07-06_R1-VRNDAVAN.MP3" TargetMode="External"/><Relationship Id="rId3458" Type="http://schemas.openxmlformats.org/officeDocument/2006/relationships/hyperlink" Target="https://audio.iskcondesiretree.com/01_-_Srila_Prabhupada/01_-_Lectures/01_-_English/02_-_Month_wise/07_-_July/07/Walk_1975-07-07_MW-CHICAGO.MP3" TargetMode="External"/><Relationship Id="rId3665" Type="http://schemas.openxmlformats.org/officeDocument/2006/relationships/hyperlink" Target="https://audio.iskcondesiretree.com/01_-_Srila_Prabhupada/01_-_Lectures/01_-_English/01_-_Topic_wise/Morning_Walk/SP_Morning_Walk_-_London_1975-08-13.MP3" TargetMode="External"/><Relationship Id="rId3872" Type="http://schemas.openxmlformats.org/officeDocument/2006/relationships/hyperlink" Target="https://audio.iskcondesiretree.com/01_-_Srila_Prabhupada/01_-_Lectures/01_-_English/01_-_Topic_wise/Srimad_Bhagavatam/Canto-01/SP_SB_1-07-05_Johannesburg_1975-10-15_Survival_of_the...What_Fittest.mp3" TargetMode="External"/><Relationship Id="rId4509" Type="http://schemas.openxmlformats.org/officeDocument/2006/relationships/hyperlink" Target="https://audio.iskcondesiretree.com/01_-_Srila_Prabhupada/01_-_Lectures/01_-_English/02_-_Month_wise/04_-_April/21/Bg-09-03_1976-04-21_BG-MELBOURNE.MP3" TargetMode="External"/><Relationship Id="rId4716" Type="http://schemas.openxmlformats.org/officeDocument/2006/relationships/hyperlink" Target="https://audio.iskcondesiretree.com/01_-_Srila_Prabhupada/01_-_Lectures/01_-_English/02_-_Month_wise/06_-_June/09/Conv_1976-06-09_GC-LOS%20ANGELES.MP3" TargetMode="External"/><Relationship Id="rId6071" Type="http://schemas.openxmlformats.org/officeDocument/2006/relationships/hyperlink" Target="https://audio.iskcondesiretree.com/01_-_Srila_Prabhupada/01_-_Lectures/01_-_English/01_-_Topic_wise/Krishna_Book/SP_Krsna_Book_Dict_23_-_Delivering_the_Brahmins%27_Wives.mp3" TargetMode="External"/><Relationship Id="rId379" Type="http://schemas.openxmlformats.org/officeDocument/2006/relationships/hyperlink" Target="https://audio.iskcondesiretree.com/01_-_Srila_Prabhupada/01_-_Lectures/01_-_English/01_-_Topic_wise/Bhagavad_Gita/Chapter-06/SP_BG_06-30-34_Los_Angeles_1969-02-19_Yoga_System--UNIVERSAL_LOVE----etc.mp3" TargetMode="External"/><Relationship Id="rId586" Type="http://schemas.openxmlformats.org/officeDocument/2006/relationships/hyperlink" Target="https://audio.iskcondesiretree.com/01_-_Srila_Prabhupada/01_-_Lectures/01_-_English/02_-_Month_wise/05_-_May/27/Lect_LA_1972-05-27_Initiation_Sannyasa.mp3" TargetMode="External"/><Relationship Id="rId793" Type="http://schemas.openxmlformats.org/officeDocument/2006/relationships/hyperlink" Target="https://audio.iskcondesiretree.com/01_-_Srila_Prabhupada/01_-_Lectures/01_-_English/01_-_Topic_wise/Srimad_Bhagavatam/Canto-01/SP_SB_1-02-27_Vrindavan_1972-11-07_Devotee_Doesn%27t_Want_Anything.mp3" TargetMode="External"/><Relationship Id="rId2267" Type="http://schemas.openxmlformats.org/officeDocument/2006/relationships/hyperlink" Target="https://audio.iskcondesiretree.com/01_-_Srila_Prabhupada/01_-_Lectures/01_-_English/01_-_Topic_wise/Morning_Walk/SP_Morning_Walk_-_Los_Angeles_1974-07-12.mp3" TargetMode="External"/><Relationship Id="rId2474" Type="http://schemas.openxmlformats.org/officeDocument/2006/relationships/hyperlink" Target="https://audio.iskcondesiretree.com/01_-_Srila_Prabhupada/01_-_Lectures/01_-_English/02_-_Month_wise/10_-_October/27/SB-01-08-47_1974-10-27_SB-MAYAPUR.MP3" TargetMode="External"/><Relationship Id="rId2681" Type="http://schemas.openxmlformats.org/officeDocument/2006/relationships/hyperlink" Target="https://audio.iskcondesiretree.com/01_-_Srila_Prabhupada/01_-_Lectures/01_-_English/02_-_Month_wise/01_-_January/07/SB-03-26-30_1975-01-07_SB-BOMBAY.MP3" TargetMode="External"/><Relationship Id="rId3318" Type="http://schemas.openxmlformats.org/officeDocument/2006/relationships/hyperlink" Target="https://audio.iskcondesiretree.com/01_-_Srila_Prabhupada/01_-_Lectures/01_-_English/01_-_Topic_wise/Morning_Walk/SP_Morning_Walk_-_Honolulu_1975-06-18.MP3" TargetMode="External"/><Relationship Id="rId3525" Type="http://schemas.openxmlformats.org/officeDocument/2006/relationships/hyperlink" Target="https://audio.iskcondesiretree.com/01_-_Srila_Prabhupada/01_-_Lectures/01_-_English/02_-_Month_wise/07_-_July/14/MW_PHI_1975-07-14_Our_Soul_Necessity.mp3" TargetMode="External"/><Relationship Id="rId4923" Type="http://schemas.openxmlformats.org/officeDocument/2006/relationships/hyperlink" Target="https://audio.iskcondesiretree.com/01_-_Srila_Prabhupada/01_-_Lectures/01_-_English/02_-_Month_wise/07_-_July/07/RC_WDC_1976-07-07_From_Mental_Speculator_to_Mahatma.mp3" TargetMode="External"/><Relationship Id="rId239" Type="http://schemas.openxmlformats.org/officeDocument/2006/relationships/hyperlink" Target="https://audio.iskcondesiretree.com/01_-_Srila_Prabhupada/01_-_Lectures/01_-_English/02_-_Month_wise/06_-_June/11/Lect_MON_1968-06-11_To_Students_%28young%29_My_and_etc.mp3" TargetMode="External"/><Relationship Id="rId446" Type="http://schemas.openxmlformats.org/officeDocument/2006/relationships/hyperlink" Target="https://audio.iskcondesiretree.com/01_-_Srila_Prabhupada/01_-_Lectures/01_-_English/01_-_Topic_wise/Srimad_Bhagavatam/Canto-01/SP_SB_1-05-13_New_Vrindavan_1969-06-13_Wonderful_Cure_for_Illusion.mp3" TargetMode="External"/><Relationship Id="rId653" Type="http://schemas.openxmlformats.org/officeDocument/2006/relationships/hyperlink" Target="https://audio.iskcondesiretree.com/01_-_Srila_Prabhupada/01_-_Lectures/01_-_English/02_-_Month_wise/08_-_August/21/SB_1-02-18_LA_1972-08-21_The_Choice-Krishna_or_Maya.mp3" TargetMode="External"/><Relationship Id="rId1076" Type="http://schemas.openxmlformats.org/officeDocument/2006/relationships/hyperlink" Target="https://audio.iskcondesiretree.com/01_-_Srila_Prabhupada/01_-_Lectures/01_-_English/02_-_Month_wise/07_-_July/11/Bg_01-07_LON_1973-07-11_Vaisnavism_Is_Not_Cowardism.mp3" TargetMode="External"/><Relationship Id="rId1283" Type="http://schemas.openxmlformats.org/officeDocument/2006/relationships/hyperlink" Target="https://audio.iskcondesiretree.com/01_-_Srila_Prabhupada/01_-_Lectures/01_-_English/02_-_Month_wise/09_-_September/12/SB_1-05-11_LON_1973-09-12_Great_Books_for_a_Gross_Age.mp3" TargetMode="External"/><Relationship Id="rId1490" Type="http://schemas.openxmlformats.org/officeDocument/2006/relationships/hyperlink" Target="https://audio.iskcondesiretree.com/01_-_Srila_Prabhupada/01_-_Lectures/01_-_English/01_-_Topic_wise/Morning_Walk/SP_Morning_Walk_-_Los_Angeles_1974-01-07_What_Is_Real_Leadership.mp3" TargetMode="External"/><Relationship Id="rId2127" Type="http://schemas.openxmlformats.org/officeDocument/2006/relationships/hyperlink" Target="https://audio.iskcondesiretree.com/01_-_Srila_Prabhupada/01_-_Lectures/01_-_English/02_-_Month_wise/06_-_June/13/SB-02-01-05_1974-06-13_SB-PARIS.MP3" TargetMode="External"/><Relationship Id="rId2334" Type="http://schemas.openxmlformats.org/officeDocument/2006/relationships/hyperlink" Target="https://audio.iskcondesiretree.com/01_-_Srila_Prabhupada/01_-_Lectures/01_-_English/01_-_Topic_wise/Bhagavad_Gita/Chapter-07/SP_BG_07-04_Vrindavan_1974-08-10_Society_Friendship_and_Love.mp3" TargetMode="External"/><Relationship Id="rId3732" Type="http://schemas.openxmlformats.org/officeDocument/2006/relationships/hyperlink" Target="https://audio.iskcondesiretree.com/01_-_Srila_Prabhupada/01_-_Lectures/01_-_English/02_-_Month_wise/09_-_September/06/SB_6-02-02_VRN_1975-09-06_The_Absolute_Science.mp3" TargetMode="External"/><Relationship Id="rId306" Type="http://schemas.openxmlformats.org/officeDocument/2006/relationships/hyperlink" Target="https://audio.iskcondesiretree.com/01_-_Srila_Prabhupada/01_-_Lectures/01_-_English/01_-_Topic_wise/Various/SP_Lecture_Los_Angeles_1968-12-01_Initiation--The_Path_of_Purification.mp3" TargetMode="External"/><Relationship Id="rId860" Type="http://schemas.openxmlformats.org/officeDocument/2006/relationships/hyperlink" Target="https://audio.iskcondesiretree.com/01_-_Srila_Prabhupada/01_-_Lectures/01_-_English/01_-_Topic_wise/Bhagavad_Gita/Chapter-18/SP_BG_18-67_Ahmedabad_1972-12-10_Human_Form_of_Life_Is_for.mp3" TargetMode="External"/><Relationship Id="rId1143" Type="http://schemas.openxmlformats.org/officeDocument/2006/relationships/hyperlink" Target="https://audio.iskcondesiretree.com/01_-_Srila_Prabhupada/01_-_Lectures/01_-_English/02_-_Month_wise/08_-_August/04/Bg_02-03_LON_1973-08-04_Special_Senses_Are_Required.mp3" TargetMode="External"/><Relationship Id="rId2541" Type="http://schemas.openxmlformats.org/officeDocument/2006/relationships/hyperlink" Target="https://audio.iskcondesiretree.com/01_-_Srila_Prabhupada/01_-_Lectures/01_-_English/02_-_Month_wise/11_-_November/21/SB_3-25-21_BOM_1974-11-21_The_Sadhu%27s_Symptoms.mp3" TargetMode="External"/><Relationship Id="rId4299" Type="http://schemas.openxmlformats.org/officeDocument/2006/relationships/hyperlink" Target="https://audio.iskcondesiretree.com/01_-_Srila_Prabhupada/01_-_Lectures/01_-_English/02_-_Month_wise/02_-_Feburary/29/SB-07-09-22_1976-02-29_SB-MAYAPUR.MP3" TargetMode="External"/><Relationship Id="rId5697" Type="http://schemas.openxmlformats.org/officeDocument/2006/relationships/hyperlink" Target="https://audio.iskcondesiretree.com/01_-_Srila_Prabhupada/01_-_Lectures/01_-_English/02_-_Month_wise/02_-_Feburary/12/SB-07-09-02_1977-02-12_SB-MAYAPUR.MP3" TargetMode="External"/><Relationship Id="rId513" Type="http://schemas.openxmlformats.org/officeDocument/2006/relationships/hyperlink" Target="https://audio.iskcondesiretree.com/01_-_Srila_Prabhupada/01_-_Lectures/01_-_English/02_-_Month_wise/05_-_May/18/Iso_15_LA_1970-05-18_The_Senses_Defanged.mp3" TargetMode="External"/><Relationship Id="rId720" Type="http://schemas.openxmlformats.org/officeDocument/2006/relationships/hyperlink" Target="https://audio.iskcondesiretree.com/01_-_Srila_Prabhupada/01_-_Lectures/01_-_English/01_-_Topic_wise/Srimad_Bhagavatam/Canto-01/SP_SB_1-03-29_Los_Angeles_1972-10-04_God_Is_Everywhere.mp3" TargetMode="External"/><Relationship Id="rId1350" Type="http://schemas.openxmlformats.org/officeDocument/2006/relationships/hyperlink" Target="https://audio.iskcondesiretree.com/01_-_Srila_Prabhupada/01_-_Lectures/01_-_English/02_-_Month_wise/11_-_November/04/SB_2-01-01_DEL_1973-11-04_In_VRN_There_are_More_etc.mp3" TargetMode="External"/><Relationship Id="rId2401" Type="http://schemas.openxmlformats.org/officeDocument/2006/relationships/hyperlink" Target="https://audio.iskcondesiretree.com/01_-_Srila_Prabhupada/01_-_Lectures/01_-_English/02_-_Month_wise/09_-_September/30/SB-01-08-20_1974-09-30_SB-MAYAPUR.MP3" TargetMode="External"/><Relationship Id="rId4159" Type="http://schemas.openxmlformats.org/officeDocument/2006/relationships/hyperlink" Target="https://audio.iskcondesiretree.com/01_-_Srila_Prabhupada/01_-_Lectures/01_-_English/02_-_Month_wise/01_-_January/04/MW_NEL_1976-01-04_Caitanya_Mahaprabhu_Left_the_etc.mp3" TargetMode="External"/><Relationship Id="rId5557" Type="http://schemas.openxmlformats.org/officeDocument/2006/relationships/hyperlink" Target="https://audio.iskcondesiretree.com/01_-_Srila_Prabhupada/01_-_Lectures/01_-_English/02_-_Month_wise/01_-_January/04/Conv_1977-01-04_R1-BOMBAY.MP3" TargetMode="External"/><Relationship Id="rId5764" Type="http://schemas.openxmlformats.org/officeDocument/2006/relationships/hyperlink" Target="https://audio.iskcondesiretree.com/01_-_Srila_Prabhupada/01_-_Lectures/01_-_English/01_-_Topic_wise/Srimad_Bhagavatam/Canto-05/SP_SB_5-05-01_Bombay_1977-03-25_Don%27t_Live_the_Life_of_a_Hog.mp3" TargetMode="External"/><Relationship Id="rId5971" Type="http://schemas.openxmlformats.org/officeDocument/2006/relationships/hyperlink" Target="https://audio.iskcondesiretree.com/01_-_Srila_Prabhupada/01_-_Lectures/01_-_English/02_-_Month_wise/10_-_October/28/Conv_1977-10-28_R1-VRNDAVAN.MP3" TargetMode="External"/><Relationship Id="rId1003" Type="http://schemas.openxmlformats.org/officeDocument/2006/relationships/hyperlink" Target="https://audio.iskcondesiretree.com/01_-_Srila_Prabhupada/01_-_Lectures/01_-_English/01_-_Topic_wise/Morning_Walk/SP_Morning_Walk_-_Los_Angeles_1973-05-13_Evolution_Devolution_and_Elevation.mp3" TargetMode="External"/><Relationship Id="rId1210" Type="http://schemas.openxmlformats.org/officeDocument/2006/relationships/hyperlink" Target="https://audio.iskcondesiretree.com/01_-_Srila_Prabhupada/01_-_Lectures/01_-_English/01_-_Topic_wise/Bhagavad_Gita/Chapter-02/SP_BG_02-17_London_1973-08-23_We_Are_Individuals_Eternally.mp3" TargetMode="External"/><Relationship Id="rId4366" Type="http://schemas.openxmlformats.org/officeDocument/2006/relationships/hyperlink" Target="https://audio.iskcondesiretree.com/01_-_Srila_Prabhupada/01_-_Lectures/01_-_English/02_-_Month_wise/03_-_March/16/Conv_1976-03-16_R1-MAYAPUR.MP3" TargetMode="External"/><Relationship Id="rId4573" Type="http://schemas.openxmlformats.org/officeDocument/2006/relationships/hyperlink" Target="https://audio.iskcondesiretree.com/01_-_Srila_Prabhupada/01_-_Lectures/01_-_English/02_-_Month_wise/05_-_May/06/SB_6-01-02_HON_1976-05-06_Know_Krishna...or_No_Way_Out.mp3" TargetMode="External"/><Relationship Id="rId4780" Type="http://schemas.openxmlformats.org/officeDocument/2006/relationships/hyperlink" Target="https://audio.iskcondesiretree.com/01_-_Srila_Prabhupada/01_-_Lectures/01_-_English/02_-_Month_wise/06_-_June/18/RC_TOR_1976-06-18_Prof_O%27Connell-Real_Education_is_etc.mp3" TargetMode="External"/><Relationship Id="rId5417" Type="http://schemas.openxmlformats.org/officeDocument/2006/relationships/hyperlink" Target="https://audio.iskcondesiretree.com/01_-_Srila_Prabhupada/01_-_Lectures/01_-_English/02_-_Month_wise/11_-_November/13/SB_5-05-26_VRN_1976-11-13_Krishna_Is_Within_the_Atom.mp3" TargetMode="External"/><Relationship Id="rId5624" Type="http://schemas.openxmlformats.org/officeDocument/2006/relationships/hyperlink" Target="https://audio.iskcondesiretree.com/01_-_Srila_Prabhupada/01_-_Lectures/01_-_English/02_-_Month_wise/01_-_January/23/Lecture_1977-01-23_LE-BHUBANESWAR.MP3" TargetMode="External"/><Relationship Id="rId5831" Type="http://schemas.openxmlformats.org/officeDocument/2006/relationships/hyperlink" Target="https://audio.iskcondesiretree.com/01_-_Srila_Prabhupada/01_-_Lectures/01_-_English/02_-_Month_wise/04_-_April/30/Conv_1977-04-30_R2-BOMBAY.MP3" TargetMode="External"/><Relationship Id="rId3175" Type="http://schemas.openxmlformats.org/officeDocument/2006/relationships/hyperlink" Target="https://audio.iskcondesiretree.com/01_-_Srila_Prabhupada/01_-_Lectures/01_-_English/02_-_Month_wise/05_-_May/13/Conv_1975-05-13_R3-PERTH.MP3" TargetMode="External"/><Relationship Id="rId3382" Type="http://schemas.openxmlformats.org/officeDocument/2006/relationships/hyperlink" Target="https://audio.iskcondesiretree.com/01_-_Srila_Prabhupada/01_-_Lectures/01_-_English/01_-_Topic_wise/Departure_Address/SP_Departure_Lecture_Los_Angeles_1975-06-27.MP3" TargetMode="External"/><Relationship Id="rId4019" Type="http://schemas.openxmlformats.org/officeDocument/2006/relationships/hyperlink" Target="https://audio.iskcondesiretree.com/01_-_Srila_Prabhupada/01_-_Lectures/01_-_English/01_-_Topic_wise/Chaitanya_Charitamrita/Madhya_Lila/SP_CC_M_20-112_Bombay_1975-11-24_You_Can%27t_Demand_Peace.mp3" TargetMode="External"/><Relationship Id="rId4226" Type="http://schemas.openxmlformats.org/officeDocument/2006/relationships/hyperlink" Target="https://audio.iskcondesiretree.com/01_-_Srila_Prabhupada/01_-_Lectures/01_-_English/02_-_Month_wise/02_-_Feburary/10/SB-07-09-03_1976-02-10_SB-MAYAPUR.MP3" TargetMode="External"/><Relationship Id="rId4433" Type="http://schemas.openxmlformats.org/officeDocument/2006/relationships/hyperlink" Target="https://audio.iskcondesiretree.com/01_-_Srila_Prabhupada/01_-_Lectures/01_-_English/02_-_Month_wise/04_-_April/06/Conv_1976-04-06_R2-VRNDAVAN.MP3" TargetMode="External"/><Relationship Id="rId4640" Type="http://schemas.openxmlformats.org/officeDocument/2006/relationships/hyperlink" Target="https://audio.iskcondesiretree.com/01_-_Srila_Prabhupada/01_-_Lectures/01_-_English/01_-_Topic_wise/Srimad_Bhagavatam/Canto-06/SP_SB_6-01-24_Honolulu_1976-05-24_Trade_the_Dark_Well_for_Vrindavan_Forest.mp3" TargetMode="External"/><Relationship Id="rId2191" Type="http://schemas.openxmlformats.org/officeDocument/2006/relationships/hyperlink" Target="https://audio.iskcondesiretree.com/01_-_Srila_Prabhupada/01_-_Lectures/01_-_English/02_-_Month_wise/06_-_June/25/Bg-13-22%E2%80%9324_1974-06-25_BG-MELBOURNE.MP3" TargetMode="External"/><Relationship Id="rId3035" Type="http://schemas.openxmlformats.org/officeDocument/2006/relationships/hyperlink" Target="https://audio.iskcondesiretree.com/01_-_Srila_Prabhupada/01_-_Lectures/01_-_English/02_-_Month_wise/04_-_April/02/Walk_1975-04-02_MW-MAYAPUR.MP3" TargetMode="External"/><Relationship Id="rId3242" Type="http://schemas.openxmlformats.org/officeDocument/2006/relationships/hyperlink" Target="https://audio.iskcondesiretree.com/01_-_Srila_Prabhupada/01_-_Lectures/01_-_English/01_-_Topic_wise/Interview/SP_Interview_Fiji_1975-05-25_Radio--You_Can_Make_Whole_World_India.mp3" TargetMode="External"/><Relationship Id="rId4500" Type="http://schemas.openxmlformats.org/officeDocument/2006/relationships/hyperlink" Target="https://audio.iskcondesiretree.com/01_-_Srila_Prabhupada/01_-_Lectures/01_-_English/01_-_Topic_wise/Bhagavad_Gita/Chapter-09/SP_BG_09-02_Melbourne_1976-04-20_The_King_of_Knowledge.mp3" TargetMode="External"/><Relationship Id="rId163" Type="http://schemas.openxmlformats.org/officeDocument/2006/relationships/hyperlink" Target="https://audio.iskcondesiretree.com/01_-_Srila_Prabhupada/01_-_Lectures/01_-_English/02_-_Month_wise/12_-_December/13/Cc_M_20-164_NY_1966-12-13_Only_by_Devotion_Can_One_etc.mp3" TargetMode="External"/><Relationship Id="rId370" Type="http://schemas.openxmlformats.org/officeDocument/2006/relationships/hyperlink" Target="https://audio.iskcondesiretree.com/01_-_Srila_Prabhupada/01_-_Lectures/01_-_English/02_-_Month_wise/02_-_Feburary/14/Bg_06-02_LA_1969-02-14_Yoga_System--The_Yoga_Ladder.mp3" TargetMode="External"/><Relationship Id="rId2051" Type="http://schemas.openxmlformats.org/officeDocument/2006/relationships/hyperlink" Target="https://audio.iskcondesiretree.com/01_-_Srila_Prabhupada/01_-_Lectures/01_-_English/02_-_Month_wise/06_-_June/04/SB-01-13-15_1974-06-04_SB-GENEVA.MP3" TargetMode="External"/><Relationship Id="rId3102" Type="http://schemas.openxmlformats.org/officeDocument/2006/relationships/hyperlink" Target="https://audio.iskcondesiretree.com/01_-_Srila_Prabhupada/01_-_Lectures/01_-_English/01_-_Topic_wise/Arrival_Address/SP_Address_Hyderabad_1975-04-14_At_Life_Member%27s_House--Let_Us--etc.mp3" TargetMode="External"/><Relationship Id="rId230" Type="http://schemas.openxmlformats.org/officeDocument/2006/relationships/hyperlink" Target="https://audio.iskcondesiretree.com/01_-_Srila_Prabhupada/01_-_Lectures/01_-_English/01_-_Topic_wise/Srimad_Bhagavatam/Canto-07/SP_SB_7-06-01_San_Francisco_1968-03-15_A_Way_to_Spend_Your_Time.mp3" TargetMode="External"/><Relationship Id="rId5067" Type="http://schemas.openxmlformats.org/officeDocument/2006/relationships/hyperlink" Target="https://audio.iskcondesiretree.com/01_-_Srila_Prabhupada/01_-_Lectures/01_-_English/02_-_Month_wise/08_-_August/05/Meeting_1976-08-05_R2-NEW%20MAYAPUR.MP3" TargetMode="External"/><Relationship Id="rId5274" Type="http://schemas.openxmlformats.org/officeDocument/2006/relationships/hyperlink" Target="https://audio.iskcondesiretree.com/01_-_Srila_Prabhupada/01_-_Lectures/01_-_English/02_-_Month_wise/09_-_September/28/SB_1-07-34_VRN_1976-09-28_The_Psychology_of_the_True_Brahmana.mp3" TargetMode="External"/><Relationship Id="rId6118" Type="http://schemas.openxmlformats.org/officeDocument/2006/relationships/hyperlink" Target="https://audio.iskcondesiretree.com/01_-_Srila_Prabhupada/01_-_Lectures/01_-_English/01_-_Topic_wise/Krishna_Book/SP_Krsna_Book_Dict_84_-_The_Sacrifices_Performed_by_Vasudeva.mp3" TargetMode="External"/><Relationship Id="rId2868" Type="http://schemas.openxmlformats.org/officeDocument/2006/relationships/hyperlink" Target="https://audio.iskcondesiretree.com/01_-_Srila_Prabhupada/01_-_Lectures/01_-_English/02_-_Month_wise/02_-_Feburary/28/Conv_1975-02-28_R1-ATLANTA.MP3" TargetMode="External"/><Relationship Id="rId3919" Type="http://schemas.openxmlformats.org/officeDocument/2006/relationships/hyperlink" Target="https://audio.iskcondesiretree.com/01_-_Srila_Prabhupada/01_-_Lectures/01_-_English/02_-_Month_wise/10_-_October/27/Bg_07-01_NAI_1975-10-27_Always_Think_of_Krishna.mp3" TargetMode="External"/><Relationship Id="rId4083" Type="http://schemas.openxmlformats.org/officeDocument/2006/relationships/hyperlink" Target="https://audio.iskcondesiretree.com/01_-_Srila_Prabhupada/01_-_Lectures/01_-_English/01_-_Topic_wise/Srimad_Bhagavatam/Canto-07/SP_SB_7-06-10_Vrindavan_1975-12-12_Krishna_and_Non-Krishna_Desires.mp3" TargetMode="External"/><Relationship Id="rId5481" Type="http://schemas.openxmlformats.org/officeDocument/2006/relationships/hyperlink" Target="https://audio.iskcondesiretree.com/01_-_Srila_Prabhupada/01_-_Lectures/01_-_English/01_-_Topic_wise/Room_Conversation/SP_Room_Conversation_Hyderabad_1976-12-10_Love_Feast_Was_Beginning.mp3" TargetMode="External"/><Relationship Id="rId1677" Type="http://schemas.openxmlformats.org/officeDocument/2006/relationships/hyperlink" Target="https://audio.iskcondesiretree.com/01_-_Srila_Prabhupada/01_-_Lectures/01_-_English/02_-_Month_wise/03_-_March/04/CcAdi-07-004_1974-03-04_CC-MAYAPUR.MP3" TargetMode="External"/><Relationship Id="rId1884" Type="http://schemas.openxmlformats.org/officeDocument/2006/relationships/hyperlink" Target="https://audio.iskcondesiretree.com/01_-_Srila_Prabhupada/01_-_Lectures/01_-_English/02_-_Month_wise/04_-_April/17/Bg-04-28_1974-04-17_BG-BOMBAY.MP3" TargetMode="External"/><Relationship Id="rId2728" Type="http://schemas.openxmlformats.org/officeDocument/2006/relationships/hyperlink" Target="https://audio.iskcondesiretree.com/01_-_Srila_Prabhupada/01_-_Lectures/01_-_English/01_-_Topic_wise/Room_Conversation/SP_Room_Conversation_Hong_Kong_1975-01-26_Children--This_Is_Yoga.mp3" TargetMode="External"/><Relationship Id="rId2935" Type="http://schemas.openxmlformats.org/officeDocument/2006/relationships/hyperlink" Target="https://audio.iskcondesiretree.com/01_-_Srila_Prabhupada/01_-_Lectures/01_-_English/02_-_Month_wise/03_-_March/10/Bg-07-02_1975-03-10_BG-LONDON.MP3" TargetMode="External"/><Relationship Id="rId4290" Type="http://schemas.openxmlformats.org/officeDocument/2006/relationships/hyperlink" Target="https://audio.iskcondesiretree.com/01_-_Srila_Prabhupada/01_-_Lectures/01_-_English/01_-_Topic_wise/Srimad_Bhagavatam/Canto-07/SP_SB_7-09-20_Mayapur_1976-02-27_Nothing_Other_than_Krishna.mp3" TargetMode="External"/><Relationship Id="rId5134" Type="http://schemas.openxmlformats.org/officeDocument/2006/relationships/hyperlink" Target="https://audio.iskcondesiretree.com/01_-_Srila_Prabhupada/01_-_Lectures/01_-_English/01_-_Topic_wise/Festivals/SP_Festivals_Hyderabad_1976-08-19_Vyasa-puja--How_to_Avoid_Reincarnation.mp3" TargetMode="External"/><Relationship Id="rId5341" Type="http://schemas.openxmlformats.org/officeDocument/2006/relationships/hyperlink" Target="https://audio.iskcondesiretree.com/01_-_Srila_Prabhupada/01_-_Lectures/01_-_English/02_-_Month_wise/10_-_October/22/SB-05-05-01_1976-10-22_SB-VRNDAVAN.MP3" TargetMode="External"/><Relationship Id="rId907" Type="http://schemas.openxmlformats.org/officeDocument/2006/relationships/hyperlink" Target="https://audio.iskcondesiretree.com/01_-_Srila_Prabhupada/01_-_Lectures/01_-_English/01_-_Topic_wise/Nectar_Of_Devotion/SP_NOD_Calcutta_1973-01-27_-_The_Common_Cause_Is_Krishna.mp3" TargetMode="External"/><Relationship Id="rId1537" Type="http://schemas.openxmlformats.org/officeDocument/2006/relationships/hyperlink" Target="https://audio.iskcondesiretree.com/01_-_Srila_Prabhupada/01_-_Lectures/01_-_English/02_-_Month_wise/01_-_January/17/SB-01-16-21_1974-01-17_SB-HONOLULU.MP3" TargetMode="External"/><Relationship Id="rId1744" Type="http://schemas.openxmlformats.org/officeDocument/2006/relationships/hyperlink" Target="https://audio.iskcondesiretree.com/01_-_Srila_Prabhupada/01_-_Lectures/01_-_English/01_-_Topic_wise/Morning_Walk/SP_Morning_Walk_-_Bombay_1974-03-23_A_Kindly_Slap_for_a_Fool.mp3" TargetMode="External"/><Relationship Id="rId1951" Type="http://schemas.openxmlformats.org/officeDocument/2006/relationships/hyperlink" Target="https://audio.iskcondesiretree.com/01_-_Srila_Prabhupada/01_-_Lectures/01_-_English/01_-_Topic_wise/Morning_Walk/SP_Morning_Walk_-_Bombay_1974-05-04.mp3" TargetMode="External"/><Relationship Id="rId4150" Type="http://schemas.openxmlformats.org/officeDocument/2006/relationships/hyperlink" Target="https://audio.iskcondesiretree.com/01_-_Srila_Prabhupada/01_-_Lectures/01_-_English/01_-_Topic_wise/Room_Conversation/SP_Room_Conversation_Nellore_1976-01-03_Napoleon-Drink_Horse_Urine.mp3" TargetMode="External"/><Relationship Id="rId5201" Type="http://schemas.openxmlformats.org/officeDocument/2006/relationships/hyperlink" Target="https://audio.iskcondesiretree.com/01_-_Srila_Prabhupada/01_-_Lectures/01_-_English/02_-_Month_wise/09_-_September/07/SB-01-07-08_1976-09-07_SB-VRNDAVAN.MP3" TargetMode="External"/><Relationship Id="rId36" Type="http://schemas.openxmlformats.org/officeDocument/2006/relationships/hyperlink" Target="https://audio.iskcondesiretree.com/01_-_Srila_Prabhupada/01_-_Lectures/01_-_English/01_-_Topic_wise/Bhagavad_Gita/Chapter-03/SP_BG_03-13-16_New_York_1966-05-23_Karma-yoga-_Becoming_God%27s_Yes_Man.mp3" TargetMode="External"/><Relationship Id="rId1604" Type="http://schemas.openxmlformats.org/officeDocument/2006/relationships/hyperlink" Target="https://audio.iskcondesiretree.com/01_-_Srila_Prabhupada/01_-_Lectures/01_-_English/01_-_Topic_wise/Morning_Walk/SP_Morning_Walk_-_Vrindavan_1974-02-11.mp3" TargetMode="External"/><Relationship Id="rId4010" Type="http://schemas.openxmlformats.org/officeDocument/2006/relationships/hyperlink" Target="https://audio.iskcondesiretree.com/01_-_Srila_Prabhupada/01_-_Lectures/01_-_English/01_-_Topic_wise/Morning_Walk/SP_Morning_Walk_-_Bombay_1975-11-19_Everyone_Knows_Your_Philosophy.mp3" TargetMode="External"/><Relationship Id="rId4967" Type="http://schemas.openxmlformats.org/officeDocument/2006/relationships/hyperlink" Target="https://audio.iskcondesiretree.com/01_-_Srila_Prabhupada/01_-_Lectures/01_-_English/01_-_Topic_wise/Interview/SP_Interview_New_York_1976-07-14_Press--Newsday_Magazine--In_Any_Language.mp3" TargetMode="External"/><Relationship Id="rId1811" Type="http://schemas.openxmlformats.org/officeDocument/2006/relationships/hyperlink" Target="https://audio.iskcondesiretree.com/01_-_Srila_Prabhupada/01_-_Lectures/01_-_English/01_-_Topic_wise/Bhagavad_Gita/Chapter-04/SP_BG_04-14_Bombay_1974-04-03_Liberated_By_Understanding--etc.mp3" TargetMode="External"/><Relationship Id="rId3569" Type="http://schemas.openxmlformats.org/officeDocument/2006/relationships/hyperlink" Target="https://audio.iskcondesiretree.com/01_-_Srila_Prabhupada/01_-_Lectures/01_-_English/02_-_Month_wise/07_-_July/21/Initiations_1975-07-21_IN-SAN%20FRANCISCO.MP3" TargetMode="External"/><Relationship Id="rId6182" Type="http://schemas.openxmlformats.org/officeDocument/2006/relationships/hyperlink" Target="https://audio.iskcondesiretree.com/01_-_Srila_Prabhupada/01_-_Lectures/03_-_Hindi/SP_Hindi_10_Lectures_%26_Conversations.mp3" TargetMode="External"/><Relationship Id="rId697" Type="http://schemas.openxmlformats.org/officeDocument/2006/relationships/hyperlink" Target="https://audio.iskcondesiretree.com/01_-_Srila_Prabhupada/01_-_Lectures/01_-_English/02_-_Month_wise/09_-_September/22/SB_1-03-17_LA_1972-09-22_Ideal_Married_Life.mp3" TargetMode="External"/><Relationship Id="rId2378" Type="http://schemas.openxmlformats.org/officeDocument/2006/relationships/hyperlink" Target="https://audio.iskcondesiretree.com/01_-_Srila_Prabhupada/01_-_Lectures/01_-_English/01_-_Topic_wise/Bhagavad_Gita/Chapter-13/SP_BG_13-26_Delhi_1974-09-22.mp3" TargetMode="External"/><Relationship Id="rId3429" Type="http://schemas.openxmlformats.org/officeDocument/2006/relationships/hyperlink" Target="https://audio.iskcondesiretree.com/01_-_Srila_Prabhupada/01_-_Lectures/01_-_English/01_-_Topic_wise/Srimad_Bhagavatam/Canto-06/SP_SB_6-01-20_Chicago_1975-07-04_Crime-Why_and_What_to_Do.mp3" TargetMode="External"/><Relationship Id="rId3776" Type="http://schemas.openxmlformats.org/officeDocument/2006/relationships/hyperlink" Target="https://audio.iskcondesiretree.com/01_-_Srila_Prabhupada/01_-_Lectures/01_-_English/02_-_Month_wise/09_-_September/19/SB-06-02-16_1975-09-19_SB-VRNDAVAN.MP3" TargetMode="External"/><Relationship Id="rId3983" Type="http://schemas.openxmlformats.org/officeDocument/2006/relationships/hyperlink" Target="https://audio.iskcondesiretree.com/01_-_Srila_Prabhupada/01_-_Lectures/01_-_English/01_-_Topic_wise/Morning_Walk/SP_Morning_Walk_-_Bombay_1975-11-13_Anyone_Who_is_Not_a_Devotee_Is_a_Rascal.mp3" TargetMode="External"/><Relationship Id="rId4827" Type="http://schemas.openxmlformats.org/officeDocument/2006/relationships/hyperlink" Target="https://audio.iskcondesiretree.com/01_-_Srila_Prabhupada/01_-_Lectures/01_-_English/01_-_Topic_wise/Bhagavad_Gita/Chapter-16/SP_BG_16-01-07_New_Vrindavan_1976-06-26_Dealing_with_Cats_and_Dogs.mp3" TargetMode="External"/><Relationship Id="rId6042" Type="http://schemas.openxmlformats.org/officeDocument/2006/relationships/hyperlink" Target="https://audio.iskcondesiretree.com/01_-_Srila_Prabhupada/01_-_Lectures/01_-_English/01_-_Topic_wise/Bhagavad_Gita_Recitation/SP_BG_Recitation_Chapter-09_-_Sanskrit.mp3" TargetMode="External"/><Relationship Id="rId1187" Type="http://schemas.openxmlformats.org/officeDocument/2006/relationships/hyperlink" Target="https://audio.iskcondesiretree.com/01_-_Srila_Prabhupada/01_-_Lectures/01_-_English/02_-_Month_wise/08_-_August/17/Bg_02-11_LON_1973-08-17_You%27re_Talking_Like_a_Learned_etc.mp3" TargetMode="External"/><Relationship Id="rId2585" Type="http://schemas.openxmlformats.org/officeDocument/2006/relationships/hyperlink" Target="https://audio.iskcondesiretree.com/01_-_Srila_Prabhupada/01_-_Lectures/01_-_English/01_-_Topic_wise/Srimad_Bhagavatam/Canto-03/SP_SB_3-25-37_Bombay_1974-12-06_The_Devotional_Position.mp3" TargetMode="External"/><Relationship Id="rId2792" Type="http://schemas.openxmlformats.org/officeDocument/2006/relationships/hyperlink" Target="https://audio.iskcondesiretree.com/01_-_Srila_Prabhupada/01_-_Lectures/01_-_English/02_-_Month_wise/02_-_Feburary/12/Bg_02-12_MEX_1975-02-12_Don%27t_Be_Animalistic_Scholar.mp3" TargetMode="External"/><Relationship Id="rId3636" Type="http://schemas.openxmlformats.org/officeDocument/2006/relationships/hyperlink" Target="https://audio.iskcondesiretree.com/01_-_Srila_Prabhupada/01_-_Lectures/01_-_English/01_-_Topic_wise/Morning_Walk/SP_Morning_Walk_-_Detroit_1975-08-04.MP3" TargetMode="External"/><Relationship Id="rId3843" Type="http://schemas.openxmlformats.org/officeDocument/2006/relationships/hyperlink" Target="https://audio.iskcondesiretree.com/01_-_Srila_Prabhupada/01_-_Lectures/01_-_English/01_-_Topic_wise/Room_Conversation/SP_Room_Conversation_Durban_1975-10-10_Prof--This_Body_Is_Always_Dead.mp3" TargetMode="External"/><Relationship Id="rId557" Type="http://schemas.openxmlformats.org/officeDocument/2006/relationships/hyperlink" Target="https://audio.iskcondesiretree.com/01_-_Srila_Prabhupada/01_-_Lectures/01_-_English/02_-_Month_wise/08_-_August/03/SB_6-01-15_LON_1971-08-03_Understand_Krishna-Be_Liberated.mp3" TargetMode="External"/><Relationship Id="rId764" Type="http://schemas.openxmlformats.org/officeDocument/2006/relationships/hyperlink" Target="https://audio.iskcondesiretree.com/01_-_Srila_Prabhupada/01_-_Lectures/01_-_English/01_-_Topic_wise/Nectar_Of_Devotion/SP_NOD_06_Vrindavan_1972-10-31_-_The_Complete_Science_of_Bhakti_Yoga.mp3" TargetMode="External"/><Relationship Id="rId971" Type="http://schemas.openxmlformats.org/officeDocument/2006/relationships/hyperlink" Target="https://audio.iskcondesiretree.com/01_-_Srila_Prabhupada/01_-_Lectures/01_-_English/01_-_Topic_wise/Srimad_Bhagavatam/Canto-01/SP_SB_1-08-34_Los_Angeles_1973-04-26_Seeing_the_World%27s_Soul.mp3" TargetMode="External"/><Relationship Id="rId1394" Type="http://schemas.openxmlformats.org/officeDocument/2006/relationships/hyperlink" Target="https://audio.iskcondesiretree.com/01_-_Srila_Prabhupada/01_-_Lectures/01_-_English/01_-_Topic_wise/Srimad_Bhagavatam/Canto-01/SP_SB_1-15-27_Los_Angeles_1973-12-05_Mistaking_Suffering_for_Enjoyment.mp3" TargetMode="External"/><Relationship Id="rId2238" Type="http://schemas.openxmlformats.org/officeDocument/2006/relationships/hyperlink" Target="https://audio.iskcondesiretree.com/01_-_Srila_Prabhupada/01_-_Lectures/01_-_English/02_-_Month_wise/07_-_July/02/RC_MEL_1974-07-02_Scientists--Scientist_Who_Made_Your_Brain.mp3" TargetMode="External"/><Relationship Id="rId2445" Type="http://schemas.openxmlformats.org/officeDocument/2006/relationships/hyperlink" Target="https://audio.iskcondesiretree.com/01_-_Srila_Prabhupada/01_-_Lectures/01_-_English/01_-_Topic_wise/Srimad_Bhagavatam/Canto-01/SP_SB_1-08-36_Mayapur_1974-10-16_Senses_On_Strike.mp3" TargetMode="External"/><Relationship Id="rId2652" Type="http://schemas.openxmlformats.org/officeDocument/2006/relationships/hyperlink" Target="https://audio.iskcondesiretree.com/01_-_Srila_Prabhupada/01_-_Lectures/01_-_English/02_-_Month_wise/12_-_December/28/SB-03-26-19_1974-12-28_SB-BOMBAY.MP3" TargetMode="External"/><Relationship Id="rId3703" Type="http://schemas.openxmlformats.org/officeDocument/2006/relationships/hyperlink" Target="https://audio.iskcondesiretree.com/01_-_Srila_Prabhupada/01_-_Lectures/01_-_English/02_-_Month_wise/08_-_August/30/SB_6-01-63_VRN_1975-08-30_Haunted_Enjoyment.mp3" TargetMode="External"/><Relationship Id="rId3910" Type="http://schemas.openxmlformats.org/officeDocument/2006/relationships/hyperlink" Target="https://audio.iskcondesiretree.com/01_-_Srila_Prabhupada/01_-_Lectures/01_-_English/02_-_Month_wise/10_-_October/22/SB_5-05-02_JOH_1975-10-22_Get_Out_of_Material_Disease.mp3" TargetMode="External"/><Relationship Id="rId417" Type="http://schemas.openxmlformats.org/officeDocument/2006/relationships/hyperlink" Target="https://audio.iskcondesiretree.com/01_-_Srila_Prabhupada/01_-_Lectures/01_-_English/01_-_Topic_wise/Room_Conversation/SP_Room_Conversation_Columbus_1969-05-10_Seed_of_Frustration.mp3" TargetMode="External"/><Relationship Id="rId624" Type="http://schemas.openxmlformats.org/officeDocument/2006/relationships/hyperlink" Target="https://audio.iskcondesiretree.com/01_-_Srila_Prabhupada/01_-_Lectures/01_-_English/01_-_Topic_wise/Srimad_Bhagavatam/Canto-02/SP_SB_2-04-02_Los_Angeles_1972-06-26_Fight_for_Freedom.mp3" TargetMode="External"/><Relationship Id="rId831" Type="http://schemas.openxmlformats.org/officeDocument/2006/relationships/hyperlink" Target="https://audio.iskcondesiretree.com/01_-_Srila_Prabhupada/01_-_Lectures/01_-_English/02_-_Month_wise/11_-_November/22/Bg_02-17_HYD_1972-11-22_Material_Body_Is_Dead_Body.mp3" TargetMode="External"/><Relationship Id="rId1047" Type="http://schemas.openxmlformats.org/officeDocument/2006/relationships/hyperlink" Target="https://audio.iskcondesiretree.com/01_-_Srila_Prabhupada/01_-_Lectures/01_-_English/01_-_Topic_wise/Srimad_Bhagavatam/Canto-01/SP_SB_1-10-13_Mayapur_1973-06-26_Associating_with_Krishna.mp3" TargetMode="External"/><Relationship Id="rId1254" Type="http://schemas.openxmlformats.org/officeDocument/2006/relationships/hyperlink" Target="https://audio.iskcondesiretree.com/01_-_Srila_Prabhupada/01_-_Lectures/01_-_English/01_-_Topic_wise/Srimad_Bhagavatam/Canto-05/SP_SB_5-05-01_Stockholm_1973-09-06_%27Isms%27_Are_Sense_Gratification.mp3" TargetMode="External"/><Relationship Id="rId1461" Type="http://schemas.openxmlformats.org/officeDocument/2006/relationships/hyperlink" Target="https://audio.iskcondesiretree.com/01_-_Srila_Prabhupada/01_-_Lectures/01_-_English/01_-_Topic_wise/Srimad_Bhagavatam/Canto-01/SP_SB_1-15-51_Los_Angeles_1973-12-28_How_to_Become_Very_Dear_to_God.mp3" TargetMode="External"/><Relationship Id="rId2305" Type="http://schemas.openxmlformats.org/officeDocument/2006/relationships/hyperlink" Target="https://audio.iskcondesiretree.com/01_-_Srila_Prabhupada/01_-_Lectures/01_-_English/02_-_Month_wise/08_-_August/03/Bg-04-11_1974-08-03_BG-VRNDAVAN.MP3" TargetMode="External"/><Relationship Id="rId2512" Type="http://schemas.openxmlformats.org/officeDocument/2006/relationships/hyperlink" Target="https://audio.iskcondesiretree.com/01_-_Srila_Prabhupada/01_-_Lectures/01_-_English/01_-_Topic_wise/Srimad_Bhagavatam/Canto-03/SP_SB_3-25-12_Bombay_1974-11-12_Village_Talk-Vaikuntha_Talk.mp3" TargetMode="External"/><Relationship Id="rId5668" Type="http://schemas.openxmlformats.org/officeDocument/2006/relationships/hyperlink" Target="https://audio.iskcondesiretree.com/01_-_Srila_Prabhupada/01_-_Lectures/01_-_English/01_-_Topic_wise/Room_Conversation/SP_Room_Conversation_Bhuvanesvara_1977-02-02_Svarupa_Damodar--Very_Artificial_Intelligence.mp3" TargetMode="External"/><Relationship Id="rId5875" Type="http://schemas.openxmlformats.org/officeDocument/2006/relationships/hyperlink" Target="https://audio.iskcondesiretree.com/01_-_Srila_Prabhupada/01_-_Lectures/01_-_English/02_-_Month_wise/06_-_June/02/Conv_1977-06-02_DC-VRNDAVAN.MP3" TargetMode="External"/><Relationship Id="rId1114" Type="http://schemas.openxmlformats.org/officeDocument/2006/relationships/hyperlink" Target="https://audio.iskcondesiretree.com/01_-_Srila_Prabhupada/01_-_Lectures/01_-_English/02_-_Month_wise/07_-_July/23/RC_LON_1973-07-23_Lord_Brockway-Our_Service_Bring_Suffering.mp3" TargetMode="External"/><Relationship Id="rId1321" Type="http://schemas.openxmlformats.org/officeDocument/2006/relationships/hyperlink" Target="https://audio.iskcondesiretree.com/01_-_Srila_Prabhupada/01_-_Lectures/01_-_English/01_-_Topic_wise/Bhagavad_Gita/Chapter-13/SP_BG_13-20_Bombay_1973-10-14_The_Enjoying_Spirit.mp3" TargetMode="External"/><Relationship Id="rId4477" Type="http://schemas.openxmlformats.org/officeDocument/2006/relationships/hyperlink" Target="https://audio.iskcondesiretree.com/01_-_Srila_Prabhupada/01_-_Lectures/01_-_English/01_-_Topic_wise/Morning_Walk/SP_Morning_Walk_-_Bombay_1976-04-15_A_Child_Can_Do_this_Preaching_Work.mp3" TargetMode="External"/><Relationship Id="rId4684" Type="http://schemas.openxmlformats.org/officeDocument/2006/relationships/hyperlink" Target="https://audio.iskcondesiretree.com/01_-_Srila_Prabhupada/01_-_Lectures/01_-_English/02_-_Month_wise/06_-_June/03/Walk_1976-06-03_MW-LOS%20ANGELES.MP3" TargetMode="External"/><Relationship Id="rId4891" Type="http://schemas.openxmlformats.org/officeDocument/2006/relationships/hyperlink" Target="https://audio.iskcondesiretree.com/01_-_Srila_Prabhupada/01_-_Lectures/01_-_English/01_-_Topic_wise/Chaitanya_Charitamrita/Madhya_Lila/SP_CC_M_20-100_Washington-DC_1976-07-05_Material_Masters--You_Can%27t_Satisfy.mp3" TargetMode="External"/><Relationship Id="rId5528" Type="http://schemas.openxmlformats.org/officeDocument/2006/relationships/hyperlink" Target="https://audio.iskcondesiretree.com/01_-_Srila_Prabhupada/01_-_Lectures/01_-_English/02_-_Month_wise/12_-_December/26/Conv_1976-12-26_R2-BOMBAY.MP3" TargetMode="External"/><Relationship Id="rId5735" Type="http://schemas.openxmlformats.org/officeDocument/2006/relationships/hyperlink" Target="https://audio.iskcondesiretree.com/01_-_Srila_Prabhupada/01_-_Lectures/01_-_English/02_-_Month_wise/02_-_Feburary/26/Interview_Hindi-English_1977-02-26_IV-MAYAPUR.MP3" TargetMode="External"/><Relationship Id="rId3079" Type="http://schemas.openxmlformats.org/officeDocument/2006/relationships/hyperlink" Target="https://audio.iskcondesiretree.com/01_-_Srila_Prabhupada/01_-_Lectures/01_-_English/02_-_Month_wise/04_-_April/09/CcAdi-01-016_1975-04-09_CC-MAYAPUR.MP3" TargetMode="External"/><Relationship Id="rId3286" Type="http://schemas.openxmlformats.org/officeDocument/2006/relationships/hyperlink" Target="https://audio.iskcondesiretree.com/01_-_Srila_Prabhupada/01_-_Lectures/01_-_English/01_-_Topic_wise/Room_Conversation/SP_Room_Converstion_01_Honolulu_1975-06-14.MP3" TargetMode="External"/><Relationship Id="rId3493" Type="http://schemas.openxmlformats.org/officeDocument/2006/relationships/hyperlink" Target="https://audio.iskcondesiretree.com/01_-_Srila_Prabhupada/01_-_Lectures/01_-_English/02_-_Month_wise/07_-_July/11/Arrival_1975-07-11_AR-PHILADELPHIA.MP3" TargetMode="External"/><Relationship Id="rId4337" Type="http://schemas.openxmlformats.org/officeDocument/2006/relationships/hyperlink" Target="https://audio.iskcondesiretree.com/01_-_Srila_Prabhupada/01_-_Lectures/01_-_English/01_-_Topic_wise/Srimad_Bhagavatam/Canto-07/SP_SB_7-09-32_Mayapur_1976-03-10_The_All_Pure_and_Powerful.mp3" TargetMode="External"/><Relationship Id="rId4544" Type="http://schemas.openxmlformats.org/officeDocument/2006/relationships/hyperlink" Target="https://audio.iskcondesiretree.com/01_-_Srila_Prabhupada/01_-_Lectures/01_-_English/02_-_Month_wise/04_-_April/27/Arr_AUC_1976-04-27_Boat%2C_Breeze_and_Captain.mp3" TargetMode="External"/><Relationship Id="rId5942" Type="http://schemas.openxmlformats.org/officeDocument/2006/relationships/hyperlink" Target="https://audio.iskcondesiretree.com/01_-_Srila_Prabhupada/01_-_Lectures/01_-_English/02_-_Month_wise/10_-_October/13/Conv_1977-10-13_R1-VRNDAVAN.MP3" TargetMode="External"/><Relationship Id="rId2095" Type="http://schemas.openxmlformats.org/officeDocument/2006/relationships/hyperlink" Target="https://audio.iskcondesiretree.com/01_-_Srila_Prabhupada/01_-_Lectures/01_-_English/02_-_Month_wise/06_-_June/11/MW_PAR_1974-06-11_Krishna-Background_of_Courage.mp3" TargetMode="External"/><Relationship Id="rId3146" Type="http://schemas.openxmlformats.org/officeDocument/2006/relationships/hyperlink" Target="https://audio.iskcondesiretree.com/01_-_Srila_Prabhupada/01_-_Lectures/01_-_English/01_-_Topic_wise/Various/SP_Lecture_Perth_1975-05-06_Evening_Discussion.MP3" TargetMode="External"/><Relationship Id="rId3353" Type="http://schemas.openxmlformats.org/officeDocument/2006/relationships/hyperlink" Target="https://audio.iskcondesiretree.com/01_-_Srila_Prabhupada/01_-_Lectures/01_-_English/02_-_Month_wise/06_-_June/23/MW_LA_1975-06-23_Varnashram_College_3-Colleges_for_etc.mp3" TargetMode="External"/><Relationship Id="rId4751" Type="http://schemas.openxmlformats.org/officeDocument/2006/relationships/hyperlink" Target="https://audio.iskcondesiretree.com/01_-_Srila_Prabhupada/01_-_Lectures/01_-_English/01_-_Topic_wise/Srimad_Bhagavatam/Canto-06/SP_SB_6-01-49_Detroit_1976-06-15_Deity_Installation--Sense--etc.mp3" TargetMode="External"/><Relationship Id="rId5802" Type="http://schemas.openxmlformats.org/officeDocument/2006/relationships/hyperlink" Target="https://audio.iskcondesiretree.com/01_-_Srila_Prabhupada/01_-_Lectures/01_-_English/01_-_Topic_wise/Room_Conversation/SP_Room_Conversation_Bombay_1977-04-17_Do_Some_Preaching.mp3" TargetMode="External"/><Relationship Id="rId274" Type="http://schemas.openxmlformats.org/officeDocument/2006/relationships/hyperlink" Target="https://audio.iskcondesiretree.com/01_-_Srila_Prabhupada/01_-_Lectures/01_-_English/01_-_Topic_wise/Various/SP_Lecture_Seattle_1968-10-07_It_is_Very_Pleasant_to_Become_a--etc.mp3" TargetMode="External"/><Relationship Id="rId481" Type="http://schemas.openxmlformats.org/officeDocument/2006/relationships/hyperlink" Target="https://audio.iskcondesiretree.com/01_-_Srila_Prabhupada/01_-_Lectures/01_-_English/02_-_Month_wise/09_-_September/18/Fest_LON_1969-09-18_Radhastami.mp3" TargetMode="External"/><Relationship Id="rId2162" Type="http://schemas.openxmlformats.org/officeDocument/2006/relationships/hyperlink" Target="https://audio.iskcondesiretree.com/01_-_Srila_Prabhupada/01_-_Lectures/01_-_English/01_-_Topic_wise/Room_Conversation/SP_Room_Conversation_Germany_1974-06-19_Prof_Durckheim_2--Take_the_Name_of--etc.mp3" TargetMode="External"/><Relationship Id="rId3006" Type="http://schemas.openxmlformats.org/officeDocument/2006/relationships/hyperlink" Target="https://audio.iskcondesiretree.com/01_-_Srila_Prabhupada/01_-_Lectures/01_-_English/02_-_Month_wise/03_-_March/29/CcAdi-01-005_1975-03-29_CC-MAYAPUR.MP3" TargetMode="External"/><Relationship Id="rId3560" Type="http://schemas.openxmlformats.org/officeDocument/2006/relationships/hyperlink" Target="https://audio.iskcondesiretree.com/01_-_Srila_Prabhupada/01_-_Lectures/01_-_English/02_-_Month_wise/07_-_July/20/MW_SF_1975-07-20_Life_from_Chemicals-Prove_by_Experiment.mp3" TargetMode="External"/><Relationship Id="rId4404" Type="http://schemas.openxmlformats.org/officeDocument/2006/relationships/hyperlink" Target="https://audio.iskcondesiretree.com/01_-_Srila_Prabhupada/01_-_Lectures/01_-_English/02_-_Month_wise/03_-_March/25/Bg_02-11_DEL_1976-03-25_Evolution-Darwinian_or_Divine.mp3" TargetMode="External"/><Relationship Id="rId4611" Type="http://schemas.openxmlformats.org/officeDocument/2006/relationships/hyperlink" Target="https://audio.iskcondesiretree.com/01_-_Srila_Prabhupada/01_-_Lectures/01_-_English/01_-_Topic_wise/Srimad_Bhagavatam/Canto-06/SP_SB_6-01-16_Honolulu_1976-05-16_Mercy_of_the_Spiritual_Master.mp3" TargetMode="External"/><Relationship Id="rId134" Type="http://schemas.openxmlformats.org/officeDocument/2006/relationships/hyperlink" Target="https://audio.iskcondesiretree.com/01_-_Srila_Prabhupada/01_-_Lectures/01_-_English/01_-_Topic_wise/Chaitanya_Charitamrita/Madhya_Lila/SP_CC_M_20-137_New_York_1966-11-29_This_System_Is_Called_Abhideya.mp3" TargetMode="External"/><Relationship Id="rId3213" Type="http://schemas.openxmlformats.org/officeDocument/2006/relationships/hyperlink" Target="https://audio.iskcondesiretree.com/01_-_Srila_Prabhupada/01_-_Lectures/01_-_English/02_-_Month_wise/05_-_May/20/SB_6-01-01_MEL_1975-05-20_What_to_Do_About_Death.mp3" TargetMode="External"/><Relationship Id="rId3420" Type="http://schemas.openxmlformats.org/officeDocument/2006/relationships/hyperlink" Target="https://audio.iskcondesiretree.com/01_-_Srila_Prabhupada/01_-_Lectures/01_-_English/02_-_Month_wise/07_-_July/02/Walk_1975-07-02_MW-DENVER.MP3" TargetMode="External"/><Relationship Id="rId341" Type="http://schemas.openxmlformats.org/officeDocument/2006/relationships/hyperlink" Target="https://audio.iskcondesiretree.com/01_-_Srila_Prabhupada/01_-_Lectures/01_-_English/01_-_Topic_wise/Bhagavad_Gita/Chapter-03/SP_BG_03-18-30_Los_Angeles_1968-12-30_How_a_Self_Realized_Soul_Acts.mp3" TargetMode="External"/><Relationship Id="rId2022" Type="http://schemas.openxmlformats.org/officeDocument/2006/relationships/hyperlink" Target="https://audio.iskcondesiretree.com/01_-_Srila_Prabhupada/01_-_Lectures/01_-_English/02_-_Month_wise/05_-_May/31/RC_GEN_1974-05-31_U.N_International_Labor_etc.mp3" TargetMode="External"/><Relationship Id="rId2979" Type="http://schemas.openxmlformats.org/officeDocument/2006/relationships/hyperlink" Target="https://audio.iskcondesiretree.com/01_-_Srila_Prabhupada/01_-_Lectures/01_-_English/02_-_Month_wise/03_-_March/22/SB-01-02-07%E2%80%93Hindi_1975-03-22_SB-CALCUTTA.MP3" TargetMode="External"/><Relationship Id="rId5178" Type="http://schemas.openxmlformats.org/officeDocument/2006/relationships/hyperlink" Target="https://audio.iskcondesiretree.com/01_-_Srila_Prabhupada/01_-_Lectures/01_-_English/02_-_Month_wise/09_-_September/03/Conv_1976-09-03_G1-VRNDAVAN.MP3" TargetMode="External"/><Relationship Id="rId5385" Type="http://schemas.openxmlformats.org/officeDocument/2006/relationships/hyperlink" Target="https://audio.iskcondesiretree.com/01_-_Srila_Prabhupada/01_-_Lectures/01_-_English/02_-_Month_wise/11_-_November/05/RC_VRN_1976-11-05_Gurukula_Guidelines.mp3" TargetMode="External"/><Relationship Id="rId5592" Type="http://schemas.openxmlformats.org/officeDocument/2006/relationships/hyperlink" Target="https://audio.iskcondesiretree.com/01_-_Srila_Prabhupada/01_-_Lectures/01_-_English/02_-_Month_wise/01_-_January/13/Lecture_1977-01-13_LE-ALLAHABAD.MP3" TargetMode="External"/><Relationship Id="rId201" Type="http://schemas.openxmlformats.org/officeDocument/2006/relationships/hyperlink" Target="https://audio.iskcondesiretree.com/01_-_Srila_Prabhupada/01_-_Lectures/01_-_English/02_-_Month_wise/12_-_December/31/Cc_M_20-367_NY_1966-12-31_Chief_Saktyavesa_Avatara.mp3" TargetMode="External"/><Relationship Id="rId1788" Type="http://schemas.openxmlformats.org/officeDocument/2006/relationships/hyperlink" Target="https://audio.iskcondesiretree.com/01_-_Srila_Prabhupada/01_-_Lectures/01_-_English/02_-_Month_wise/03_-_March/30/Walk_1974-03-30_MW-BOMBAY.MP3" TargetMode="External"/><Relationship Id="rId1995" Type="http://schemas.openxmlformats.org/officeDocument/2006/relationships/hyperlink" Target="https://audio.iskcondesiretree.com/01_-_Srila_Prabhupada/01_-_Lectures/01_-_English/01_-_Topic_wise/Srimad_Bhagavatam/Canto-01/SP_SB_1-02-03_Rome_1974-05-27_Darkness_Of_Disobedience.mp3" TargetMode="External"/><Relationship Id="rId2839" Type="http://schemas.openxmlformats.org/officeDocument/2006/relationships/hyperlink" Target="https://audio.iskcondesiretree.com/01_-_Srila_Prabhupada/01_-_Lectures/01_-_English/02_-_Month_wise/02_-_Feburary/22/RC_CAR_1975-02-22_Psychiatrist--If_the_Driver_Is_Defective.mp3" TargetMode="External"/><Relationship Id="rId4194" Type="http://schemas.openxmlformats.org/officeDocument/2006/relationships/hyperlink" Target="https://audio.iskcondesiretree.com/01_-_Srila_Prabhupada/01_-_Lectures/01_-_English/02_-_Month_wise/01_-_January/18/Walk_1976-01-18_MW-MAYAPUR.MP3" TargetMode="External"/><Relationship Id="rId5038" Type="http://schemas.openxmlformats.org/officeDocument/2006/relationships/hyperlink" Target="https://audio.iskcondesiretree.com/01_-_Srila_Prabhupada/01_-_Lectures/01_-_English/02_-_Month_wise/07_-_July/31/Walk_1976-07-31_MW-NEW%20MAYAPUR.MP3" TargetMode="External"/><Relationship Id="rId5245" Type="http://schemas.openxmlformats.org/officeDocument/2006/relationships/hyperlink" Target="https://audio.iskcondesiretree.com/01_-_Srila_Prabhupada/01_-_Lectures/01_-_English/01_-_Topic_wise/Srimad_Bhagavatam/Canto-01/SP_SB_1-07-23_Vrindavan_1976-09-20_Krishna%27s_Real_Representative.mp3" TargetMode="External"/><Relationship Id="rId5452" Type="http://schemas.openxmlformats.org/officeDocument/2006/relationships/hyperlink" Target="https://audio.iskcondesiretree.com/01_-_Srila_Prabhupada/01_-_Lectures/01_-_English/02_-_Month_wise/11_-_November/25/Conv_1976-11-25_R1-VRNDAVAN.MP3" TargetMode="External"/><Relationship Id="rId1648" Type="http://schemas.openxmlformats.org/officeDocument/2006/relationships/hyperlink" Target="https://audio.iskcondesiretree.com/01_-_Srila_Prabhupada/01_-_Lectures/01_-_English/02_-_Month_wise/02_-_Feburary/24/Bg_07-09_BOM_1974-02-24_No_Brain_Behind_Nature.mp3" TargetMode="External"/><Relationship Id="rId4054" Type="http://schemas.openxmlformats.org/officeDocument/2006/relationships/hyperlink" Target="https://audio.iskcondesiretree.com/01_-_Srila_Prabhupada/01_-_Lectures/01_-_English/02_-_Month_wise/12_-_December/05/SB-07-06-04_1975-12-05_SB-VRNDAVAN.MP3" TargetMode="External"/><Relationship Id="rId4261" Type="http://schemas.openxmlformats.org/officeDocument/2006/relationships/hyperlink" Target="https://audio.iskcondesiretree.com/01_-_Srila_Prabhupada/01_-_Lectures/01_-_English/01_-_Topic_wise/Various/SP_Lecture_Mayapur_1976-02-21_What_to_Fear.mp3" TargetMode="External"/><Relationship Id="rId5105" Type="http://schemas.openxmlformats.org/officeDocument/2006/relationships/hyperlink" Target="https://audio.iskcondesiretree.com/01_-_Srila_Prabhupada/01_-_Lectures/01_-_English/01_-_Topic_wise/Room_Conversation/SP_Room_Conversation_Bombay_1976-08-14_Fertile_Brain-Rather_Be_a_Fool.mp3" TargetMode="External"/><Relationship Id="rId5312" Type="http://schemas.openxmlformats.org/officeDocument/2006/relationships/hyperlink" Target="https://audio.iskcondesiretree.com/01_-_Srila_Prabhupada/01_-_Lectures/01_-_English/02_-_Month_wise/10_-_October/07/SB_1-07-49_VRN_1976-10-07_Love_God_Love_His_Dog.mp3" TargetMode="External"/><Relationship Id="rId1508" Type="http://schemas.openxmlformats.org/officeDocument/2006/relationships/hyperlink" Target="https://audio.iskcondesiretree.com/01_-_Srila_Prabhupada/01_-_Lectures/01_-_English/01_-_Topic_wise/Srimad_Bhagavatam/Canto-01/SP_SB_1-16-13_Los_Angeles_1974-01-10_Mischievous_and_Magnanimous.mp3" TargetMode="External"/><Relationship Id="rId1855" Type="http://schemas.openxmlformats.org/officeDocument/2006/relationships/hyperlink" Target="https://audio.iskcondesiretree.com/01_-_Srila_Prabhupada/01_-_Lectures/01_-_English/01_-_Topic_wise/Bhagavad_Gita/Chapter-04/SP_BG_04-22_Bombay_1974-04-11_Envious_Gross-bodily_Religions.mp3" TargetMode="External"/><Relationship Id="rId2906" Type="http://schemas.openxmlformats.org/officeDocument/2006/relationships/hyperlink" Target="https://audio.iskcondesiretree.com/01_-_Srila_Prabhupada/01_-_Lectures/01_-_English/02_-_Month_wise/03_-_March/04/Cc_A_1-15_DAL_1975-03-04_Our_Hospital_Can_Stop_Death.mp3" TargetMode="External"/><Relationship Id="rId3070" Type="http://schemas.openxmlformats.org/officeDocument/2006/relationships/hyperlink" Target="https://audio.iskcondesiretree.com/01_-_Srila_Prabhupada/01_-_Lectures/01_-_English/02_-_Month_wise/04_-_April/07/Walk_1975-04-07_MW-MAYAPUR.MP3" TargetMode="External"/><Relationship Id="rId4121" Type="http://schemas.openxmlformats.org/officeDocument/2006/relationships/hyperlink" Target="https://audio.iskcondesiretree.com/01_-_Srila_Prabhupada/01_-_Lectures/01_-_English/02_-_Month_wise/12_-_December/24/Lecture%E2%80%93Hindi_1975-12-24_LE-SANAND.MP3" TargetMode="External"/><Relationship Id="rId1715" Type="http://schemas.openxmlformats.org/officeDocument/2006/relationships/hyperlink" Target="https://audio.iskcondesiretree.com/01_-_Srila_Prabhupada/01_-_Lectures/01_-_English/01_-_Topic_wise/Room_Conversation/SP_Room_Conversation_01_Vrindavan_1974-03-16.mp3" TargetMode="External"/><Relationship Id="rId1922" Type="http://schemas.openxmlformats.org/officeDocument/2006/relationships/hyperlink" Target="https://audio.iskcondesiretree.com/01_-_Srila_Prabhupada/01_-_Lectures/01_-_English/02_-_Month_wise/04_-_April/23/SB-01-02-09_1974-04-23_SB-HYDERABAD.MP3" TargetMode="External"/><Relationship Id="rId6086" Type="http://schemas.openxmlformats.org/officeDocument/2006/relationships/hyperlink" Target="https://audio.iskcondesiretree.com/01_-_Srila_Prabhupada/01_-_Lectures/01_-_English/01_-_Topic_wise/Krishna_Book/SP_Krsna_Book_Dict_42_-_The_Breaking_of_the_Bow_in_the_Arena.mp3" TargetMode="External"/><Relationship Id="rId3887" Type="http://schemas.openxmlformats.org/officeDocument/2006/relationships/hyperlink" Target="https://audio.iskcondesiretree.com/01_-_Srila_Prabhupada/01_-_Lectures/01_-_English/01_-_Topic_wise/Morning_Walk/SP_Morning_Walk_-_Johannesburg_1975-10-18_Modern_Education_Makes_Asses.mp3" TargetMode="External"/><Relationship Id="rId4938" Type="http://schemas.openxmlformats.org/officeDocument/2006/relationships/hyperlink" Target="https://audio.iskcondesiretree.com/01_-_Srila_Prabhupada/01_-_Lectures/01_-_English/02_-_Month_wise/07_-_July/09/Arrival_1976-07-09_AR-NEW%20YORK.MP3" TargetMode="External"/><Relationship Id="rId2489" Type="http://schemas.openxmlformats.org/officeDocument/2006/relationships/hyperlink" Target="https://audio.iskcondesiretree.com/01_-_Srila_Prabhupada/01_-_Lectures/01_-_English/02_-_Month_wise/11_-_November/03/SB-03-25-03_1974-11-03_SB-BOMBAY.MP3" TargetMode="External"/><Relationship Id="rId2696" Type="http://schemas.openxmlformats.org/officeDocument/2006/relationships/hyperlink" Target="https://audio.iskcondesiretree.com/01_-_Srila_Prabhupada/01_-_Lectures/01_-_English/02_-_Month_wise/01_-_January/14/SB-03-26-39_1975-01-14_SB-BOMBAY.MP3" TargetMode="External"/><Relationship Id="rId3747" Type="http://schemas.openxmlformats.org/officeDocument/2006/relationships/hyperlink" Target="https://audio.iskcondesiretree.com/01_-_Srila_Prabhupada/01_-_Lectures/01_-_English/02_-_Month_wise/09_-_September/10/SB_6-02-07_VRN_1975-09-10_Government_and_Guardians.mp3" TargetMode="External"/><Relationship Id="rId3954" Type="http://schemas.openxmlformats.org/officeDocument/2006/relationships/hyperlink" Target="https://audio.iskcondesiretree.com/01_-_Srila_Prabhupada/01_-_Lectures/01_-_English/02_-_Month_wise/11_-_November/02/Walk_1975-11-02_MW-NAIROBI.MP3" TargetMode="External"/><Relationship Id="rId6153" Type="http://schemas.openxmlformats.org/officeDocument/2006/relationships/hyperlink" Target="https://audio.iskcondesiretree.com/01_-_Srila_Prabhupada/01_-_Lectures/01_-_English/01_-_Topic_wise/Stories/SP_Story_29_Monkey_and_log.mp3" TargetMode="External"/><Relationship Id="rId668" Type="http://schemas.openxmlformats.org/officeDocument/2006/relationships/hyperlink" Target="https://audio.iskcondesiretree.com/01_-_Srila_Prabhupada/01_-_Lectures/01_-_English/01_-_Topic_wise/Arrival_Address/SP_Address_New_Vrindavan_1972-08-31_Just_Hear_About_Krishna.mp3" TargetMode="External"/><Relationship Id="rId875" Type="http://schemas.openxmlformats.org/officeDocument/2006/relationships/hyperlink" Target="https://audio.iskcondesiretree.com/01_-_Srila_Prabhupada/01_-_Lectures/01_-_English/01_-_Topic_wise/Nectar_Of_Devotion/SP_NOD_Pg-12_Bombay_1972-12-28_-_The_Superiority_of_Devotional_Mellows.mp3" TargetMode="External"/><Relationship Id="rId1298" Type="http://schemas.openxmlformats.org/officeDocument/2006/relationships/hyperlink" Target="https://audio.iskcondesiretree.com/01_-_Srila_Prabhupada/01_-_Lectures/01_-_English/01_-_Topic_wise/Bhagavad_Gita/Chapter-13/SP_BG_13-06_Bombay_1973-09-29_Nothing_Is_Material.mp3" TargetMode="External"/><Relationship Id="rId2349" Type="http://schemas.openxmlformats.org/officeDocument/2006/relationships/hyperlink" Target="https://audio.iskcondesiretree.com/01_-_Srila_Prabhupada/01_-_Lectures/01_-_English/02_-_Month_wise/08_-_August/12/Bg-07-06_1974-08-12_BG-VRNDAVAN.MP3" TargetMode="External"/><Relationship Id="rId2556" Type="http://schemas.openxmlformats.org/officeDocument/2006/relationships/hyperlink" Target="https://audio.iskcondesiretree.com/01_-_Srila_Prabhupada/01_-_Lectures/01_-_English/02_-_Month_wise/11_-_November/26/SB-03-25-26_1974-11-26_SB-BOMBAY.MP3" TargetMode="External"/><Relationship Id="rId2763" Type="http://schemas.openxmlformats.org/officeDocument/2006/relationships/hyperlink" Target="https://audio.iskcondesiretree.com/01_-_Srila_Prabhupada/01_-_Lectures/01_-_English/02_-_Month_wise/02_-_Feburary/05/Bg-16-09_1975-02-05_BG-HONOLULU.MP3" TargetMode="External"/><Relationship Id="rId2970" Type="http://schemas.openxmlformats.org/officeDocument/2006/relationships/hyperlink" Target="https://audio.iskcondesiretree.com/01_-_Srila_Prabhupada/01_-_Lectures/01_-_English/01_-_Topic_wise/Arrival_Address/SP_Address_Calcutta_1975-03-20_Hinduism_Muslimism_Christianism--etc.mp3" TargetMode="External"/><Relationship Id="rId3607" Type="http://schemas.openxmlformats.org/officeDocument/2006/relationships/hyperlink" Target="https://audio.iskcondesiretree.com/01_-_Srila_Prabhupada/01_-_Lectures/01_-_English/01_-_Topic_wise/Srimad_Bhagavatam/Canto-06/SP_SB_6-01-47_Dallas_1975-07-29_Your_Next_Life-What_Will_It_Be.mp3" TargetMode="External"/><Relationship Id="rId3814" Type="http://schemas.openxmlformats.org/officeDocument/2006/relationships/hyperlink" Target="https://audio.iskcondesiretree.com/01_-_Srila_Prabhupada/01_-_Lectures/01_-_English/01_-_Topic_wise/Room_Conversation/SP_Room_Conversation_Mauritius_1975-10-04_Students--Death-The_Ultimate_Philosophy.mp3" TargetMode="External"/><Relationship Id="rId6013" Type="http://schemas.openxmlformats.org/officeDocument/2006/relationships/hyperlink" Target="https://audio.iskcondesiretree.com/01_-_Srila_Prabhupada/01_-_Lectures/01_-_English/02_-_Month_wise/11_-_November/09/Conv_1977-11-09_R2-VRNDAVAN.MP3" TargetMode="External"/><Relationship Id="rId528" Type="http://schemas.openxmlformats.org/officeDocument/2006/relationships/hyperlink" Target="https://audio.iskcondesiretree.com/01_-_Srila_Prabhupada/01_-_Lectures/01_-_English/01_-_Topic_wise/Various/SP_Lecture_Los_Angeles_1971-05-28_Just_Learn_How_to_Love_Krishna.mp3" TargetMode="External"/><Relationship Id="rId735" Type="http://schemas.openxmlformats.org/officeDocument/2006/relationships/hyperlink" Target="https://audio.iskcondesiretree.com/01_-_Srila_Prabhupada/01_-_Lectures/01_-_English/02_-_Month_wise/10_-_October/21/SB_1-02-10_VRN_1972-10-21_No_Industrial_Development.mp3" TargetMode="External"/><Relationship Id="rId942" Type="http://schemas.openxmlformats.org/officeDocument/2006/relationships/hyperlink" Target="https://audio.iskcondesiretree.com/01_-_Srila_Prabhupada/01_-_Lectures/01_-_English/02_-_Month_wise/04_-_April/13/SB_1-08-21_NY_1973-04-13_Spiritual_Sense_Gratification.mp3" TargetMode="External"/><Relationship Id="rId1158" Type="http://schemas.openxmlformats.org/officeDocument/2006/relationships/hyperlink" Target="https://audio.iskcondesiretree.com/01_-_Srila_Prabhupada/01_-_Lectures/01_-_English/01_-_Topic_wise/Bhagavad_Gita/Chapter-13/SP_BG_13-01-02_Paris_1973-08-10_Real_Answers_to_Life%27s_Real_Questions.mp3" TargetMode="External"/><Relationship Id="rId1365" Type="http://schemas.openxmlformats.org/officeDocument/2006/relationships/hyperlink" Target="https://audio.iskcondesiretree.com/01_-_Srila_Prabhupada/01_-_Lectures/01_-_English/01_-_Topic_wise/Srimad_Bhagavatam/Canto-01/SP_SB_1-02-09_Delhi_1973-11-14_Real_Dharma-It%27s_Not_Karma.mp3" TargetMode="External"/><Relationship Id="rId1572" Type="http://schemas.openxmlformats.org/officeDocument/2006/relationships/hyperlink" Target="https://audio.iskcondesiretree.com/01_-_Srila_Prabhupada/01_-_Lectures/01_-_English/02_-_Month_wise/01_-_January/28/SB-01-16-35_1974-01-28_SB-HONOLULU.MP3" TargetMode="External"/><Relationship Id="rId2209" Type="http://schemas.openxmlformats.org/officeDocument/2006/relationships/hyperlink" Target="https://audio.iskcondesiretree.com/01_-_Srila_Prabhupada/01_-_Lectures/01_-_English/01_-_Topic_wise/Interview/SP_Interview_Melbourne_1974-06-29_Press--Transcendental_Psychiatry.mp3" TargetMode="External"/><Relationship Id="rId2416" Type="http://schemas.openxmlformats.org/officeDocument/2006/relationships/hyperlink" Target="https://audio.iskcondesiretree.com/01_-_Srila_Prabhupada/01_-_Lectures/01_-_English/01_-_Topic_wise/Srimad_Bhagavatam/Canto-01/SP_SB_1-08-26_Mayapur_1974-10-06_I%27ve_Got_Something.mp3" TargetMode="External"/><Relationship Id="rId2623" Type="http://schemas.openxmlformats.org/officeDocument/2006/relationships/hyperlink" Target="https://audio.iskcondesiretree.com/01_-_Srila_Prabhupada/01_-_Lectures/01_-_English/02_-_Month_wise/12_-_December/18/SB_3-26-06_BOM_1974-12-18_Atheistic_Arrogance.mp3" TargetMode="External"/><Relationship Id="rId5779" Type="http://schemas.openxmlformats.org/officeDocument/2006/relationships/hyperlink" Target="https://audio.iskcondesiretree.com/01_-_Srila_Prabhupada/01_-_Lectures/01_-_English/02_-_Month_wise/03_-_March/30/Conv_1977-03-30_R1-BOMBAY.MP3" TargetMode="External"/><Relationship Id="rId1018" Type="http://schemas.openxmlformats.org/officeDocument/2006/relationships/hyperlink" Target="https://audio.iskcondesiretree.com/01_-_Srila_Prabhupada/01_-_Lectures/01_-_English/01_-_Topic_wise/Srimad_Bhagavatam/Canto-01/SP_SB_1-09-03_Los_Angeles_1973-05-17_Qualifications_of_Bhakta_and_Bhagavan.mp3" TargetMode="External"/><Relationship Id="rId1225" Type="http://schemas.openxmlformats.org/officeDocument/2006/relationships/hyperlink" Target="https://audio.iskcondesiretree.com/01_-_Srila_Prabhupada/01_-_Lectures/01_-_English/02_-_Month_wise/08_-_August/28/Bg_02-25_LON_1973-08-28_Relieving_Our_Bodily_Burden.mp3" TargetMode="External"/><Relationship Id="rId1432" Type="http://schemas.openxmlformats.org/officeDocument/2006/relationships/hyperlink" Target="https://audio.iskcondesiretree.com/01_-_Srila_Prabhupada/01_-_Lectures/01_-_English/02_-_Month_wise/12_-_December/15/SB_1-15-37_LA_1973-12-15_Exalted_Elected_Dogs_and_Asses.mp3" TargetMode="External"/><Relationship Id="rId2830" Type="http://schemas.openxmlformats.org/officeDocument/2006/relationships/hyperlink" Target="https://audio.iskcondesiretree.com/01_-_Srila_Prabhupada/01_-_Lectures/01_-_English/02_-_Month_wise/02_-_Feburary/21/RC_CAR_1975-02-21_Metaphysics_Society--Atma_and_Super-Atma.mp3" TargetMode="External"/><Relationship Id="rId4588" Type="http://schemas.openxmlformats.org/officeDocument/2006/relationships/hyperlink" Target="https://audio.iskcondesiretree.com/01_-_Srila_Prabhupada/01_-_Lectures/01_-_English/02_-_Month_wise/05_-_May/11/Lecture_1976-05-11_LE-HONOLULU.MP3" TargetMode="External"/><Relationship Id="rId5639" Type="http://schemas.openxmlformats.org/officeDocument/2006/relationships/hyperlink" Target="https://audio.iskcondesiretree.com/01_-_Srila_Prabhupada/01_-_Lectures/01_-_English/02_-_Month_wise/01_-_January/27/Conv_1977-01-27_R1-BHUBANESWAR.MP3" TargetMode="External"/><Relationship Id="rId5986" Type="http://schemas.openxmlformats.org/officeDocument/2006/relationships/hyperlink" Target="https://audio.iskcondesiretree.com/01_-_Srila_Prabhupada/01_-_Lectures/01_-_English/02_-_Month_wise/11_-_November/02/Conv_1977-11-02_R8-VRNDAVAN.MP3" TargetMode="External"/><Relationship Id="rId71" Type="http://schemas.openxmlformats.org/officeDocument/2006/relationships/hyperlink" Target="https://audio.iskcondesiretree.com/01_-_Srila_Prabhupada/01_-_Lectures/01_-_English/02_-_Month_wise/09_-_September/02/Bg_06-01_NY_1966-09-02_You_Serve_Krishna_or_Maya.mp3" TargetMode="External"/><Relationship Id="rId802" Type="http://schemas.openxmlformats.org/officeDocument/2006/relationships/hyperlink" Target="https://audio.iskcondesiretree.com/01_-_Srila_Prabhupada/01_-_Lectures/01_-_English/02_-_Month_wise/11_-_November/09/NOD_Lect_VRN_1972-11-09_Dance_with_Krishna-Not_Alone_etc.mp3" TargetMode="External"/><Relationship Id="rId3397" Type="http://schemas.openxmlformats.org/officeDocument/2006/relationships/hyperlink" Target="https://audio.iskcondesiretree.com/01_-_Srila_Prabhupada/01_-_Lectures/01_-_English/01_-_Topic_wise/Srimad_Bhagavatam/Canto-01/SP_SB_1-2-6_Denver_1975-06-29_Sunday_Feast_Lecture.MP3" TargetMode="External"/><Relationship Id="rId4795" Type="http://schemas.openxmlformats.org/officeDocument/2006/relationships/hyperlink" Target="https://audio.iskcondesiretree.com/01_-_Srila_Prabhupada/01_-_Lectures/01_-_English/02_-_Month_wise/06_-_June/20/Walk_1976-06-20_MW-TORONTO.MP3" TargetMode="External"/><Relationship Id="rId5846" Type="http://schemas.openxmlformats.org/officeDocument/2006/relationships/hyperlink" Target="https://audio.iskcondesiretree.com/01_-_Srila_Prabhupada/01_-_Lectures/01_-_English/01_-_Topic_wise/Room_Conversation/SP_Room_Conversation_Hrisikesh_1977-05-13_Real_Mystic_Power.mp3" TargetMode="External"/><Relationship Id="rId4448" Type="http://schemas.openxmlformats.org/officeDocument/2006/relationships/hyperlink" Target="https://audio.iskcondesiretree.com/01_-_Srila_Prabhupada/01_-_Lectures/01_-_English/02_-_Month_wise/04_-_April/08/SB_7-09-53_VRN_1976-04-08_Please_Krishna%2C_See_Krishna.mp3" TargetMode="External"/><Relationship Id="rId4655" Type="http://schemas.openxmlformats.org/officeDocument/2006/relationships/hyperlink" Target="https://audio.iskcondesiretree.com/01_-_Srila_Prabhupada/01_-_Lectures/01_-_English/02_-_Month_wise/05_-_May/27/Walk_1976-05-27_MW-HONOLULU.MP3" TargetMode="External"/><Relationship Id="rId4862" Type="http://schemas.openxmlformats.org/officeDocument/2006/relationships/hyperlink" Target="https://audio.iskcondesiretree.com/01_-_Srila_Prabhupada/01_-_Lectures/01_-_English/01_-_Topic_wise/Srimad_Bhagavatam/Canto-07/SP_SB_7-06-16_New_Vrindavan_1976-06-30_Material_Entrapment.mp3" TargetMode="External"/><Relationship Id="rId5706" Type="http://schemas.openxmlformats.org/officeDocument/2006/relationships/hyperlink" Target="https://audio.iskcondesiretree.com/01_-_Srila_Prabhupada/01_-_Lectures/01_-_English/02_-_Month_wise/02_-_Feburary/16/RC_MAY_1977-02-16_The_Secret_of_Safety.mp3" TargetMode="External"/><Relationship Id="rId5913" Type="http://schemas.openxmlformats.org/officeDocument/2006/relationships/hyperlink" Target="https://audio.iskcondesiretree.com/01_-_Srila_Prabhupada/01_-_Lectures/01_-_English/02_-_Month_wise/07_-_July/10/Conv_1977-07-10_R1-VRNDAVAN.MP3" TargetMode="External"/><Relationship Id="rId178" Type="http://schemas.openxmlformats.org/officeDocument/2006/relationships/hyperlink" Target="https://audio.iskcondesiretree.com/01_-_Srila_Prabhupada/01_-_Lectures/01_-_English/01_-_Topic_wise/Bhagavad_Gita/Chapter-09/SP_BG_09-29-32_New_York_1966-12-20_Krishna%27s_Devotion_to_His_Devotee.mp3" TargetMode="External"/><Relationship Id="rId3257" Type="http://schemas.openxmlformats.org/officeDocument/2006/relationships/hyperlink" Target="https://audio.iskcondesiretree.com/01_-_Srila_Prabhupada/01_-_Lectures/01_-_English/01_-_Topic_wise/Srimad_Bhagavatam/Canto-03/SP_SB_3-28-01_Honolulu_1975-06-01_The_Path_to_Permanence.mp3" TargetMode="External"/><Relationship Id="rId3464" Type="http://schemas.openxmlformats.org/officeDocument/2006/relationships/hyperlink" Target="https://audio.iskcondesiretree.com/01_-_Srila_Prabhupada/01_-_Lectures/01_-_English/02_-_Month_wise/07_-_July/08/Walk_1975-07-08_MW-CHICAGO.MP3" TargetMode="External"/><Relationship Id="rId3671" Type="http://schemas.openxmlformats.org/officeDocument/2006/relationships/hyperlink" Target="https://audio.iskcondesiretree.com/01_-_Srila_Prabhupada/01_-_Lectures/01_-_English/02_-_Month_wise/08_-_August/14/SB-06-01-56%E2%80%9357_1975-08-14_SB-BOMBAY.MP3" TargetMode="External"/><Relationship Id="rId4308" Type="http://schemas.openxmlformats.org/officeDocument/2006/relationships/hyperlink" Target="https://audio.iskcondesiretree.com/01_-_Srila_Prabhupada/01_-_Lectures/01_-_English/02_-_Month_wise/03_-_March/02/SB_7-09-24_MAY_1976-03-02_The_Master_Disease.mp3" TargetMode="External"/><Relationship Id="rId4515" Type="http://schemas.openxmlformats.org/officeDocument/2006/relationships/hyperlink" Target="https://audio.iskcondesiretree.com/01_-_Srila_Prabhupada/01_-_Lectures/01_-_English/02_-_Month_wise/04_-_April/22/Bg-09-04_1976-04-22_BG-MELBOURNE.MP3" TargetMode="External"/><Relationship Id="rId4722" Type="http://schemas.openxmlformats.org/officeDocument/2006/relationships/hyperlink" Target="https://audio.iskcondesiretree.com/01_-_Srila_Prabhupada/01_-_Lectures/01_-_English/02_-_Month_wise/06_-_June/09/Walk_1976-06-09_MW-LOS%20ANGELES.MP3" TargetMode="External"/><Relationship Id="rId385" Type="http://schemas.openxmlformats.org/officeDocument/2006/relationships/hyperlink" Target="https://audio.iskcondesiretree.com/01_-_Srila_Prabhupada/01_-_Lectures/01_-_English/01_-_Topic_wise/Various/SP_Lecture_Honolulu_1969-03-23_Everyone_Can_Get_the_Highest--etc.mp3" TargetMode="External"/><Relationship Id="rId592" Type="http://schemas.openxmlformats.org/officeDocument/2006/relationships/hyperlink" Target="https://audio.iskcondesiretree.com/01_-_Srila_Prabhupada/01_-_Lectures/01_-_English/01_-_Topic_wise/Srimad_Bhagavatam/Canto-02/SP_SB_2-03-14_Los_Angeles_1972-05-31_If_You_Actually_Feel_for_People.mp3" TargetMode="External"/><Relationship Id="rId2066" Type="http://schemas.openxmlformats.org/officeDocument/2006/relationships/hyperlink" Target="https://audio.iskcondesiretree.com/01_-_Srila_Prabhupada/01_-_Lectures/01_-_English/02_-_Month_wise/06_-_June/06/Bg_13-35_GEN_1974-06-06_Food_and_Freedom.mp3" TargetMode="External"/><Relationship Id="rId2273" Type="http://schemas.openxmlformats.org/officeDocument/2006/relationships/hyperlink" Target="https://audio.iskcondesiretree.com/01_-_Srila_Prabhupada/01_-_Lectures/01_-_English/01_-_Topic_wise/Chaitanya_Charitamrita/Adi_Lila/SP_CC_A_13_Los_Los_Angeles_1974-07-13.mp3" TargetMode="External"/><Relationship Id="rId2480" Type="http://schemas.openxmlformats.org/officeDocument/2006/relationships/hyperlink" Target="https://audio.iskcondesiretree.com/01_-_Srila_Prabhupada/01_-_Lectures/01_-_English/02_-_Month_wise/10_-_October/29/SB-01-08-49_1974-10-29_SB-MAYAPUR.MP3" TargetMode="External"/><Relationship Id="rId3117" Type="http://schemas.openxmlformats.org/officeDocument/2006/relationships/hyperlink" Target="https://audio.iskcondesiretree.com/01_-_Srila_Prabhupada/01_-_Lectures/01_-_English/02_-_Month_wise/04_-_April/17/Bg-09-01_1975-04-17_BG-VRNDAVAN.MP3" TargetMode="External"/><Relationship Id="rId3324" Type="http://schemas.openxmlformats.org/officeDocument/2006/relationships/hyperlink" Target="https://audio.iskcondesiretree.com/01_-_Srila_Prabhupada/01_-_Lectures/01_-_English/01_-_Topic_wise/Arrival_Address/SP_Arrival_Lecture_Los_Angeles_1975-06-20.MP3" TargetMode="External"/><Relationship Id="rId3531" Type="http://schemas.openxmlformats.org/officeDocument/2006/relationships/hyperlink" Target="https://audio.iskcondesiretree.com/01_-_Srila_Prabhupada/01_-_Lectures/01_-_English/02_-_Month_wise/07_-_July/15/Arrival_1975-07-15_AR-SAN%20FRANCISCO.MP3" TargetMode="External"/><Relationship Id="rId245" Type="http://schemas.openxmlformats.org/officeDocument/2006/relationships/hyperlink" Target="https://audio.iskcondesiretree.com/01_-_Srila_Prabhupada/01_-_Lectures/01_-_English/02_-_Month_wise/07_-_July/12/SB_7-09-10_MON_1968-07-12_The_Difference_Between_a_etc.mp3" TargetMode="External"/><Relationship Id="rId452" Type="http://schemas.openxmlformats.org/officeDocument/2006/relationships/hyperlink" Target="https://audio.iskcondesiretree.com/01_-_Srila_Prabhupada/01_-_Lectures/01_-_English/01_-_Topic_wise/Srimad_Bhagavatam/Canto-01/SP_SB_1-05-15_New_Vrindavan_1969-06-19_At_Least_Lift_Your_Anchor.mp3" TargetMode="External"/><Relationship Id="rId1082" Type="http://schemas.openxmlformats.org/officeDocument/2006/relationships/hyperlink" Target="https://audio.iskcondesiretree.com/01_-_Srila_Prabhupada/01_-_Lectures/01_-_English/02_-_Month_wise/07_-_July/12/Bg_01-10_LON_1973-07-12_The_KC_Movement_Should_Touch_etc.mp3" TargetMode="External"/><Relationship Id="rId2133" Type="http://schemas.openxmlformats.org/officeDocument/2006/relationships/hyperlink" Target="https://audio.iskcondesiretree.com/01_-_Srila_Prabhupada/01_-_Lectures/01_-_English/02_-_Month_wise/06_-_June/14/Conv_1974-06-14_R1-PARIS.MP3" TargetMode="External"/><Relationship Id="rId2340" Type="http://schemas.openxmlformats.org/officeDocument/2006/relationships/hyperlink" Target="https://audio.iskcondesiretree.com/01_-_Srila_Prabhupada/01_-_Lectures/01_-_English/01_-_Topic_wise/Bhagavad_Gita/Chapter-07/SP_BG_07-05_Vrindavan_1974-08-11_God_Is_God-Dog_Is_Dog.mp3" TargetMode="External"/><Relationship Id="rId5289" Type="http://schemas.openxmlformats.org/officeDocument/2006/relationships/hyperlink" Target="https://audio.iskcondesiretree.com/01_-_Srila_Prabhupada/01_-_Lectures/01_-_English/02_-_Month_wise/10_-_October/01/SB_1-07-40_VRN_1976-10-01_The_Callous_Can%27t_Pass_Krishna%27s_Test.mp3" TargetMode="External"/><Relationship Id="rId5496" Type="http://schemas.openxmlformats.org/officeDocument/2006/relationships/hyperlink" Target="https://audio.iskcondesiretree.com/01_-_Srila_Prabhupada/01_-_Lectures/01_-_English/02_-_Month_wise/12_-_December/12/Conv_1976-12-12_R1-HYDERABAD.MP3" TargetMode="External"/><Relationship Id="rId105" Type="http://schemas.openxmlformats.org/officeDocument/2006/relationships/hyperlink" Target="https://audio.iskcondesiretree.com/01_-_Srila_Prabhupada/01_-_Lectures/01_-_English/02_-_Month_wise/11_-_November/19/Bg_08-21_NY_1966-11-19_The_Supreme_Abode-Attainable_etc.mp3" TargetMode="External"/><Relationship Id="rId312" Type="http://schemas.openxmlformats.org/officeDocument/2006/relationships/hyperlink" Target="https://audio.iskcondesiretree.com/01_-_Srila_Prabhupada/01_-_Lectures/01_-_English/01_-_Topic_wise/Bhagavad_Gita/Chapter-02/SP_BG_02-26_Los_Angeles_1968-12-06_Evolution_and_Other_Rubbish.mp3" TargetMode="External"/><Relationship Id="rId2200" Type="http://schemas.openxmlformats.org/officeDocument/2006/relationships/hyperlink" Target="https://audio.iskcondesiretree.com/01_-_Srila_Prabhupada/01_-_Lectures/01_-_English/02_-_Month_wise/06_-_June/27/Walk_1974-06-27_MW-MELBOURNE.MP3" TargetMode="External"/><Relationship Id="rId4098" Type="http://schemas.openxmlformats.org/officeDocument/2006/relationships/hyperlink" Target="https://audio.iskcondesiretree.com/01_-_Srila_Prabhupada/01_-_Lectures/01_-_English/01_-_Topic_wise/Morning_Walk/SP_Morning_Walk_-_Bombay_1975-12-17_No_Question_of_Hating_Women.mp3" TargetMode="External"/><Relationship Id="rId5149" Type="http://schemas.openxmlformats.org/officeDocument/2006/relationships/hyperlink" Target="https://audio.iskcondesiretree.com/01_-_Srila_Prabhupada/01_-_Lectures/01_-_English/02_-_Month_wise/08_-_August/22/Conv_1976-08-22_R2-HYDERABAD.MP3" TargetMode="External"/><Relationship Id="rId5356" Type="http://schemas.openxmlformats.org/officeDocument/2006/relationships/hyperlink" Target="https://audio.iskcondesiretree.com/01_-_Srila_Prabhupada/01_-_Lectures/01_-_English/01_-_Topic_wise/Srimad_Bhagavatam/Canto-05/SP_SB_5-05-08_Vrindavan_1976-10-30_Remain_with_Celibacy_and_be_Happy.mp3" TargetMode="External"/><Relationship Id="rId5563" Type="http://schemas.openxmlformats.org/officeDocument/2006/relationships/hyperlink" Target="https://audio.iskcondesiretree.com/01_-_Srila_Prabhupada/01_-_Lectures/01_-_English/02_-_Month_wise/01_-_January/05/Letter_To_Russian_1977-01-05_R3-BOMBAY.MP3" TargetMode="External"/><Relationship Id="rId1899" Type="http://schemas.openxmlformats.org/officeDocument/2006/relationships/hyperlink" Target="https://audio.iskcondesiretree.com/01_-_Srila_Prabhupada/01_-_Lectures/01_-_English/02_-_Month_wise/04_-_April/19/Lecture%E2%80%93Hindi_1974-04-19_LE-HYDERABAD.MP3" TargetMode="External"/><Relationship Id="rId4165" Type="http://schemas.openxmlformats.org/officeDocument/2006/relationships/hyperlink" Target="https://audio.iskcondesiretree.com/01_-_Srila_Prabhupada/01_-_Lectures/01_-_English/02_-_Month_wise/01_-_January/06/MW_NEL_1976-01-06_Why_Not_Become_a_Wise_Man.mp3" TargetMode="External"/><Relationship Id="rId4372" Type="http://schemas.openxmlformats.org/officeDocument/2006/relationships/hyperlink" Target="https://audio.iskcondesiretree.com/01_-_Srila_Prabhupada/01_-_Lectures/01_-_English/02_-_Month_wise/03_-_March/16/Walk_1976-03-16_MW-MAYAPUR.MP3" TargetMode="External"/><Relationship Id="rId5009" Type="http://schemas.openxmlformats.org/officeDocument/2006/relationships/hyperlink" Target="https://audio.iskcondesiretree.com/01_-_Srila_Prabhupada/01_-_Lectures/01_-_English/01_-_Topic_wise/Interview/SP_Interview_London_1976-07-23_Press--Lon._Observer_Sentiment--etc.mp3" TargetMode="External"/><Relationship Id="rId5216" Type="http://schemas.openxmlformats.org/officeDocument/2006/relationships/hyperlink" Target="https://audio.iskcondesiretree.com/01_-_Srila_Prabhupada/01_-_Lectures/01_-_English/01_-_Topic_wise/Srimad_Bhagavatam/Canto-01/SP_SB_1-07-12_Vrindavan_1976-09-11_Bhakti_On_the_Battlefield.mp3" TargetMode="External"/><Relationship Id="rId5770" Type="http://schemas.openxmlformats.org/officeDocument/2006/relationships/hyperlink" Target="https://audio.iskcondesiretree.com/01_-_Srila_Prabhupada/01_-_Lectures/01_-_English/02_-_Month_wise/03_-_March/26/Lecture_1977-03-26_LE-BOMBAY.MP3" TargetMode="External"/><Relationship Id="rId1759" Type="http://schemas.openxmlformats.org/officeDocument/2006/relationships/hyperlink" Target="https://audio.iskcondesiretree.com/01_-_Srila_Prabhupada/01_-_Lectures/01_-_English/02_-_Month_wise/03_-_March/25/Walk_1974-03-25_MW-BOMBAY.MP3" TargetMode="External"/><Relationship Id="rId1966" Type="http://schemas.openxmlformats.org/officeDocument/2006/relationships/hyperlink" Target="https://audio.iskcondesiretree.com/01_-_Srila_Prabhupada/01_-_Lectures/01_-_English/02_-_Month_wise/05_-_May/12/Bg_12-13_BOM_1974-05-12_The_STRUGGLE_Atheists_vs_Theist.mp3" TargetMode="External"/><Relationship Id="rId3181" Type="http://schemas.openxmlformats.org/officeDocument/2006/relationships/hyperlink" Target="https://audio.iskcondesiretree.com/01_-_Srila_Prabhupada/01_-_Lectures/01_-_English/01_-_Topic_wise/Morning_Walk/SP_Morning_Walk_-_Perth_1975-05-15.MP3" TargetMode="External"/><Relationship Id="rId4025" Type="http://schemas.openxmlformats.org/officeDocument/2006/relationships/hyperlink" Target="https://audio.iskcondesiretree.com/01_-_Srila_Prabhupada/01_-_Lectures/01_-_English/02_-_Month_wise/11_-_November/25/Conv_1975-11-25_R1-DELHI.MP3" TargetMode="External"/><Relationship Id="rId5423" Type="http://schemas.openxmlformats.org/officeDocument/2006/relationships/hyperlink" Target="https://audio.iskcondesiretree.com/01_-_Srila_Prabhupada/01_-_Lectures/01_-_English/02_-_Month_wise/11_-_November/14/SB_5-05-27_VRN_1976-11-14_The_Greatest_Bewilderment.mp3" TargetMode="External"/><Relationship Id="rId5630" Type="http://schemas.openxmlformats.org/officeDocument/2006/relationships/hyperlink" Target="https://audio.iskcondesiretree.com/01_-_Srila_Prabhupada/01_-_Lectures/01_-_English/02_-_Month_wise/01_-_January/24/Walk_1977-01-24_MW-BHUBANESWAR.MP3" TargetMode="External"/><Relationship Id="rId1619" Type="http://schemas.openxmlformats.org/officeDocument/2006/relationships/hyperlink" Target="https://audio.iskcondesiretree.com/01_-_Srila_Prabhupada/01_-_Lectures/01_-_English/01_-_Topic_wise/Morning_Walk/SP_Morning_Walk_-_Hawaii_1974-02-17_Let_Everyone_Be_Happy.mp3" TargetMode="External"/><Relationship Id="rId1826" Type="http://schemas.openxmlformats.org/officeDocument/2006/relationships/hyperlink" Target="https://audio.iskcondesiretree.com/01_-_Srila_Prabhupada/01_-_Lectures/01_-_English/02_-_Month_wise/04_-_April/05/Bg_04-15_BOM_1974-04-05_Modern_Civilization_Vs._Model_etc.mp3" TargetMode="External"/><Relationship Id="rId4232" Type="http://schemas.openxmlformats.org/officeDocument/2006/relationships/hyperlink" Target="https://audio.iskcondesiretree.com/01_-_Srila_Prabhupada/01_-_Lectures/01_-_English/02_-_Month_wise/02_-_Feburary/12/MW_MAY_1976-02-12_Laziness_Is_Less_than_Demonic.mp3" TargetMode="External"/><Relationship Id="rId3041" Type="http://schemas.openxmlformats.org/officeDocument/2006/relationships/hyperlink" Target="https://audio.iskcondesiretree.com/01_-_Srila_Prabhupada/01_-_Lectures/01_-_English/02_-_Month_wise/04_-_April/03/MW_MAY_1975-04-03_High-Tech_High-Sci_Rascals.mp3" TargetMode="External"/><Relationship Id="rId3998" Type="http://schemas.openxmlformats.org/officeDocument/2006/relationships/hyperlink" Target="https://audio.iskcondesiretree.com/01_-_Srila_Prabhupada/01_-_Lectures/01_-_English/01_-_Topic_wise/Chaitanya_Charitamrita/Madhya_Lila/SP_CC_M_20-110_Bombay_1975-11-17_Truth_About_False_Ego.mp3" TargetMode="External"/><Relationship Id="rId6197" Type="http://schemas.openxmlformats.org/officeDocument/2006/relationships/hyperlink" Target="https://audio.iskcondesiretree.com/01_-_Srila_Prabhupada/01_-_Lectures/03_-_Hindi/SP_Hindi_25_Lectures_%26_Conversations.mp3" TargetMode="External"/><Relationship Id="rId3858" Type="http://schemas.openxmlformats.org/officeDocument/2006/relationships/hyperlink" Target="https://audio.iskcondesiretree.com/01_-_Srila_Prabhupada/01_-_Lectures/01_-_English/02_-_Month_wise/10_-_October/13/MW_DUR_1975-10-13_Modern_Primitives.mp3" TargetMode="External"/><Relationship Id="rId4909" Type="http://schemas.openxmlformats.org/officeDocument/2006/relationships/hyperlink" Target="https://audio.iskcondesiretree.com/01_-_Srila_Prabhupada/01_-_Lectures/01_-_English/02_-_Month_wise/07_-_July/06/Conv_1976-07-06_R3-WASHINGTON%20DC.MP3" TargetMode="External"/><Relationship Id="rId6057" Type="http://schemas.openxmlformats.org/officeDocument/2006/relationships/hyperlink" Target="https://audio.iskcondesiretree.com/01_-_Srila_Prabhupada/01_-_Lectures/01_-_English/01_-_Topic_wise/Krishna_Book/SP_Krsna_Book_Dict_09_-_Mother_Yasoda_Binds_Krishna.mp3" TargetMode="External"/><Relationship Id="rId779" Type="http://schemas.openxmlformats.org/officeDocument/2006/relationships/hyperlink" Target="https://audio.iskcondesiretree.com/01_-_Srila_Prabhupada/01_-_Lectures/01_-_English/02_-_Month_wise/11_-_November/03/SB_1-02-23_VRN_1972-11-03_How_to_Derive_the_Ultimate_Benefit.mp3" TargetMode="External"/><Relationship Id="rId986" Type="http://schemas.openxmlformats.org/officeDocument/2006/relationships/hyperlink" Target="https://audio.iskcondesiretree.com/01_-_Srila_Prabhupada/01_-_Lectures/01_-_English/02_-_Month_wise/05_-_May/03/SB_1-08-41_LA_1973-05-03_The_Greatest_Enemy_of_Human_Society.mp3" TargetMode="External"/><Relationship Id="rId2667" Type="http://schemas.openxmlformats.org/officeDocument/2006/relationships/hyperlink" Target="https://audio.iskcondesiretree.com/01_-_Srila_Prabhupada/01_-_Lectures/01_-_English/01_-_Topic_wise/Srimad_Bhagavatam/Canto-03/SP_SB_3-26-26_Bombay_1975-01-03_Breaking_Our_Karmic_Chains.mp3" TargetMode="External"/><Relationship Id="rId3718" Type="http://schemas.openxmlformats.org/officeDocument/2006/relationships/hyperlink" Target="https://audio.iskcondesiretree.com/01_-_Srila_Prabhupada/01_-_Lectures/01_-_English/01_-_Topic_wise/Morning_Walk/SP_Morning_Walk_-_Vrindavan_1975-09-04.MP3" TargetMode="External"/><Relationship Id="rId5073" Type="http://schemas.openxmlformats.org/officeDocument/2006/relationships/hyperlink" Target="https://audio.iskcondesiretree.com/01_-_Srila_Prabhupada/01_-_Lectures/01_-_English/01_-_Topic_wise/Room_Conversation/SP_Room_Conversation_Tehran_1976-08-09_Highly_Elevated_Vultures.mp3" TargetMode="External"/><Relationship Id="rId5280" Type="http://schemas.openxmlformats.org/officeDocument/2006/relationships/hyperlink" Target="https://audio.iskcondesiretree.com/01_-_Srila_Prabhupada/01_-_Lectures/01_-_English/02_-_Month_wise/09_-_September/29/SB-01-07-36%E2%80%9337_1976-09-29_SB-VRNDAVAN.MP3" TargetMode="External"/><Relationship Id="rId6124" Type="http://schemas.openxmlformats.org/officeDocument/2006/relationships/hyperlink" Target="https://audio.iskcondesiretree.com/01_-_Srila_Prabhupada/01_-_Lectures/01_-_English/01_-_Topic_wise/Krishna_Book/SP_Krsna_Book_Dict_90_-_Summary_Description.mp3" TargetMode="External"/><Relationship Id="rId639" Type="http://schemas.openxmlformats.org/officeDocument/2006/relationships/hyperlink" Target="https://audio.iskcondesiretree.com/01_-_Srila_Prabhupada/01_-_Lectures/01_-_English/02_-_Month_wise/07_-_July/13/Fest_LON_1972-07-13_Ratha_Yatra_Parts_1_%26_2.mp3" TargetMode="External"/><Relationship Id="rId1269" Type="http://schemas.openxmlformats.org/officeDocument/2006/relationships/hyperlink" Target="https://audio.iskcondesiretree.com/01_-_Srila_Prabhupada/01_-_Lectures/01_-_English/02_-_Month_wise/09_-_September/08/SB_5-05-01_STO_1973-09-08_Leaders_Will_Force_You_to_etc.mp3" TargetMode="External"/><Relationship Id="rId1476" Type="http://schemas.openxmlformats.org/officeDocument/2006/relationships/hyperlink" Target="https://audio.iskcondesiretree.com/01_-_Srila_Prabhupada/01_-_Lectures/01_-_English/01_-_Topic_wise/Srimad_Bhagavatam/Canto-01/SP_SB_1-16-06_Los_Angeles_1974-01-03_The_Medicine_for_Death.mp3" TargetMode="External"/><Relationship Id="rId2874" Type="http://schemas.openxmlformats.org/officeDocument/2006/relationships/hyperlink" Target="https://audio.iskcondesiretree.com/01_-_Srila_Prabhupada/01_-_Lectures/01_-_English/01_-_Topic_wise/Room_Conversation/SP_Room_Conversation_Atlanta_1975-03-01_Prof_of_Religion--Everyone_Creating--etc.mp3" TargetMode="External"/><Relationship Id="rId3925" Type="http://schemas.openxmlformats.org/officeDocument/2006/relationships/hyperlink" Target="https://audio.iskcondesiretree.com/01_-_Srila_Prabhupada/01_-_Lectures/01_-_English/02_-_Month_wise/10_-_October/28/Bg_07-02_NAI_1975-10-28_Madmen_Can%27t_Give_You_Knowledge.mp3" TargetMode="External"/><Relationship Id="rId5140" Type="http://schemas.openxmlformats.org/officeDocument/2006/relationships/hyperlink" Target="https://audio.iskcondesiretree.com/01_-_Srila_Prabhupada/01_-_Lectures/01_-_English/02_-_Month_wise/08_-_August/21/Conv_1976-08-21_R1-HYDERABAD.MP3" TargetMode="External"/><Relationship Id="rId846" Type="http://schemas.openxmlformats.org/officeDocument/2006/relationships/hyperlink" Target="https://audio.iskcondesiretree.com/01_-_Srila_Prabhupada/01_-_Lectures/01_-_English/02_-_Month_wise/11_-_November/29/Addr_HYD_1972-11-29_To_Rotary_Club-Three_Aspects_of_etc.mp3" TargetMode="External"/><Relationship Id="rId1129" Type="http://schemas.openxmlformats.org/officeDocument/2006/relationships/hyperlink" Target="https://audio.iskcondesiretree.com/01_-_Srila_Prabhupada/01_-_Lectures/01_-_English/02_-_Month_wise/07_-_July/27/Bg_01-37_LON_1973-07-27_The_Way_to_Save_Society.mp3" TargetMode="External"/><Relationship Id="rId1683" Type="http://schemas.openxmlformats.org/officeDocument/2006/relationships/hyperlink" Target="https://audio.iskcondesiretree.com/01_-_Srila_Prabhupada/01_-_Lectures/01_-_English/02_-_Month_wise/03_-_March/06/Walk_1974-03-06_MW-MAYAPUR.MP3" TargetMode="External"/><Relationship Id="rId1890" Type="http://schemas.openxmlformats.org/officeDocument/2006/relationships/hyperlink" Target="https://audio.iskcondesiretree.com/01_-_Srila_Prabhupada/01_-_Lectures/01_-_English/02_-_Month_wise/04_-_April/18/Interv_HYD_1974-04-18_Press--If_You_Want_a_Good_Society.mp3" TargetMode="External"/><Relationship Id="rId2527" Type="http://schemas.openxmlformats.org/officeDocument/2006/relationships/hyperlink" Target="https://audio.iskcondesiretree.com/01_-_Srila_Prabhupada/01_-_Lectures/01_-_English/01_-_Topic_wise/Srimad_Bhagavatam/Canto-03/SP_SB_3-25-17_Bombay_1974-11-17_Seeing_the_Real_Person.mp3" TargetMode="External"/><Relationship Id="rId2734" Type="http://schemas.openxmlformats.org/officeDocument/2006/relationships/hyperlink" Target="https://audio.iskcondesiretree.com/01_-_Srila_Prabhupada/01_-_Lectures/01_-_English/02_-_Month_wise/01_-_January/27/Bg_16-07_TOK_1975-01-27_Turning_Asuras_Into_Suras.mp3" TargetMode="External"/><Relationship Id="rId2941" Type="http://schemas.openxmlformats.org/officeDocument/2006/relationships/hyperlink" Target="https://audio.iskcondesiretree.com/01_-_Srila_Prabhupada/01_-_Lectures/01_-_English/02_-_Month_wise/03_-_March/11/MW_LON_1975-03-11_Not_Only_India-The_Whole_World.mp3" TargetMode="External"/><Relationship Id="rId5000" Type="http://schemas.openxmlformats.org/officeDocument/2006/relationships/hyperlink" Target="https://audio.iskcondesiretree.com/01_-_Srila_Prabhupada/01_-_Lectures/01_-_English/02_-_Month_wise/07_-_July/19/Conv_1976-07-19_R1-NEW%20YORK.MP3" TargetMode="External"/><Relationship Id="rId706" Type="http://schemas.openxmlformats.org/officeDocument/2006/relationships/hyperlink" Target="https://audio.iskcondesiretree.com/01_-_Srila_Prabhupada/01_-_Lectures/01_-_English/01_-_Topic_wise/Srimad_Bhagavatam/Canto-01/SP_SB_1-03-23_Los_Angeles_1972-09-28_What_Is_Actual_Happiness.mp3" TargetMode="External"/><Relationship Id="rId913" Type="http://schemas.openxmlformats.org/officeDocument/2006/relationships/hyperlink" Target="https://audio.iskcondesiretree.com/01_-_Srila_Prabhupada/01_-_Lectures/01_-_English/02_-_Month_wise/01_-_January/29/NOD_Pg-32_CAL_1973-01-29_Three_Kinds_of_Happiness.mp3" TargetMode="External"/><Relationship Id="rId1336" Type="http://schemas.openxmlformats.org/officeDocument/2006/relationships/hyperlink" Target="https://audio.iskcondesiretree.com/01_-_Srila_Prabhupada/01_-_Lectures/01_-_English/02_-_Month_wise/10_-_October/26/RC_BOM_1973-10-26_At_Airport-That_Is_Not_Perfection.mp3" TargetMode="External"/><Relationship Id="rId1543" Type="http://schemas.openxmlformats.org/officeDocument/2006/relationships/hyperlink" Target="https://audio.iskcondesiretree.com/01_-_Srila_Prabhupada/01_-_Lectures/01_-_English/02_-_Month_wise/01_-_January/18/SB-01-16-22_1974-01-18_SB-HONOLULU.MP3" TargetMode="External"/><Relationship Id="rId1750" Type="http://schemas.openxmlformats.org/officeDocument/2006/relationships/hyperlink" Target="https://audio.iskcondesiretree.com/01_-_Srila_Prabhupada/01_-_Lectures/01_-_English/01_-_Topic_wise/Morning_Walk/SP_Morning_Walk_-_Bombay_1974-03-24_Everyone_Is_Serving.mp3" TargetMode="External"/><Relationship Id="rId2801" Type="http://schemas.openxmlformats.org/officeDocument/2006/relationships/hyperlink" Target="https://audio.iskcondesiretree.com/01_-_Srila_Prabhupada/01_-_Lectures/01_-_English/02_-_Month_wise/02_-_Feburary/14/Bg_02-14_MEX_City_1975-02-14_Forbearance_to_Cure_the_Body.mp3" TargetMode="External"/><Relationship Id="rId4699" Type="http://schemas.openxmlformats.org/officeDocument/2006/relationships/hyperlink" Target="https://audio.iskcondesiretree.com/01_-_Srila_Prabhupada/01_-_Lectures/01_-_English/01_-_Topic_wise/Srimad_Bhagavatam/Canto-06/SP_SB_6-01-41_Los_Angeles_1976-06-07_Total_Dependence-Independence.mp3" TargetMode="External"/><Relationship Id="rId5957" Type="http://schemas.openxmlformats.org/officeDocument/2006/relationships/hyperlink" Target="https://audio.iskcondesiretree.com/01_-_Srila_Prabhupada/01_-_Lectures/01_-_English/02_-_Month_wise/10_-_October/18/Conv_1977-10-18_R2-VRNDAVAN.MP3" TargetMode="External"/><Relationship Id="rId42" Type="http://schemas.openxmlformats.org/officeDocument/2006/relationships/hyperlink" Target="https://audio.iskcondesiretree.com/01_-_Srila_Prabhupada/01_-_Lectures/01_-_English/01_-_Topic_wise/Bhagavad_Gita/Chapter-03/SP_BG_03-21-24_New_York_1966-05-30_How_to_Become_An_Ideal_Person.mp3" TargetMode="External"/><Relationship Id="rId1403" Type="http://schemas.openxmlformats.org/officeDocument/2006/relationships/hyperlink" Target="https://audio.iskcondesiretree.com/01_-_Srila_Prabhupada/01_-_Lectures/01_-_English/02_-_Month_wise/12_-_December/07/MW_LA_1973-12-07_Progress_Towards_Darkness.mp3" TargetMode="External"/><Relationship Id="rId1610" Type="http://schemas.openxmlformats.org/officeDocument/2006/relationships/hyperlink" Target="https://audio.iskcondesiretree.com/01_-_Srila_Prabhupada/01_-_Lectures/01_-_English/02_-_Month_wise/02_-_Feburary/12/Lecture_1974-02-12_LE-VRNDAVAN.MP3" TargetMode="External"/><Relationship Id="rId4559" Type="http://schemas.openxmlformats.org/officeDocument/2006/relationships/hyperlink" Target="https://audio.iskcondesiretree.com/01_-_Srila_Prabhupada/01_-_Lectures/01_-_English/01_-_Topic_wise/Room_Conversation/SP_Room_Conversation_Honolulu_1976-05-03_Making_Common_Cause_for_Krishna.mp3" TargetMode="External"/><Relationship Id="rId4766" Type="http://schemas.openxmlformats.org/officeDocument/2006/relationships/hyperlink" Target="https://audio.iskcondesiretree.com/01_-_Srila_Prabhupada/01_-_Lectures/01_-_English/02_-_Month_wise/06_-_June/17/Conv_1976-06-17_R1-TORONTO.MP3" TargetMode="External"/><Relationship Id="rId4973" Type="http://schemas.openxmlformats.org/officeDocument/2006/relationships/hyperlink" Target="https://audio.iskcondesiretree.com/01_-_Srila_Prabhupada/01_-_Lectures/01_-_English/02_-_Month_wise/07_-_July/14/Interview_1976-07-14_NEW%20YORK.MP3" TargetMode="External"/><Relationship Id="rId5817" Type="http://schemas.openxmlformats.org/officeDocument/2006/relationships/hyperlink" Target="https://audio.iskcondesiretree.com/01_-_Srila_Prabhupada/01_-_Lectures/01_-_English/02_-_Month_wise/04_-_April/23/Meeting_1977-04-23_ME-BOMBAY.MP3" TargetMode="External"/><Relationship Id="rId3368" Type="http://schemas.openxmlformats.org/officeDocument/2006/relationships/hyperlink" Target="https://audio.iskcondesiretree.com/01_-_Srila_Prabhupada/01_-_Lectures/01_-_English/02_-_Month_wise/06_-_June/25/SB-06-01-12_1975-06-25_SB-LOS%20ANGELES.MP3" TargetMode="External"/><Relationship Id="rId3575" Type="http://schemas.openxmlformats.org/officeDocument/2006/relationships/hyperlink" Target="https://audio.iskcondesiretree.com/01_-_Srila_Prabhupada/01_-_Lectures/01_-_English/02_-_Month_wise/07_-_July/22/SB-06-01-41_1975-07-22_SB-LOS%20ANGELES.MP3" TargetMode="External"/><Relationship Id="rId3782" Type="http://schemas.openxmlformats.org/officeDocument/2006/relationships/hyperlink" Target="https://audio.iskcondesiretree.com/01_-_Srila_Prabhupada/01_-_Lectures/01_-_English/01_-_Topic_wise/Morning_Walk/SP_Morning_Walk_-_Hyderabad_1975-09-25_From_the_Frying_Pan_to_the_Fire.mp3" TargetMode="External"/><Relationship Id="rId4419" Type="http://schemas.openxmlformats.org/officeDocument/2006/relationships/hyperlink" Target="https://audio.iskcondesiretree.com/01_-_Srila_Prabhupada/01_-_Lectures/01_-_English/01_-_Topic_wise/Srimad_Bhagavatam/Canto-07/SP_SB_7-09-47_Vrindavan_1976-04-02_Demonic_Habits_Are_Being_Killed.mp3" TargetMode="External"/><Relationship Id="rId4626" Type="http://schemas.openxmlformats.org/officeDocument/2006/relationships/hyperlink" Target="https://audio.iskcondesiretree.com/01_-_Srila_Prabhupada/01_-_Lectures/01_-_English/02_-_Month_wise/05_-_May/20/Conv_1976-05-20_R1-HONOLULU.MP3" TargetMode="External"/><Relationship Id="rId4833" Type="http://schemas.openxmlformats.org/officeDocument/2006/relationships/hyperlink" Target="https://audio.iskcondesiretree.com/01_-_Srila_Prabhupada/01_-_Lectures/01_-_English/02_-_Month_wise/06_-_June/26/VisitMarbleShop_1976-06-26_VI-NEW%20VRINDAVAN.MP3" TargetMode="External"/><Relationship Id="rId289" Type="http://schemas.openxmlformats.org/officeDocument/2006/relationships/hyperlink" Target="https://audio.iskcondesiretree.com/01_-_Srila_Prabhupada/01_-_Lectures/01_-_English/02_-_Month_wise/10_-_October/23/SB_2-01-02_MON_1968-10-23_Leer_and_Fear_or_Hear.mp3" TargetMode="External"/><Relationship Id="rId496" Type="http://schemas.openxmlformats.org/officeDocument/2006/relationships/hyperlink" Target="https://audio.iskcondesiretree.com/01_-_Srila_Prabhupada/01_-_Lectures/01_-_English/02_-_Month_wise/02_-_Feburary/20/Lect_LA_1970-02-20_Initiation--Ten_Offenses_to_be_Avoided.mp3" TargetMode="External"/><Relationship Id="rId2177" Type="http://schemas.openxmlformats.org/officeDocument/2006/relationships/hyperlink" Target="https://audio.iskcondesiretree.com/01_-_Srila_Prabhupada/01_-_Lectures/01_-_English/02_-_Month_wise/06_-_June/21/MW_GER_1974-06-21_With_Prof_etc.mp3" TargetMode="External"/><Relationship Id="rId2384" Type="http://schemas.openxmlformats.org/officeDocument/2006/relationships/hyperlink" Target="https://audio.iskcondesiretree.com/01_-_Srila_Prabhupada/01_-_Lectures/01_-_English/01_-_Topic_wise/Srimad_Bhagavatam/Canto-01/SP_SB_1-02-18_Calcutta_1974-09-26_Hear_Krishna%27s_Glories-Be_Cleansed.mp3" TargetMode="External"/><Relationship Id="rId2591" Type="http://schemas.openxmlformats.org/officeDocument/2006/relationships/hyperlink" Target="https://audio.iskcondesiretree.com/01_-_Srila_Prabhupada/01_-_Lectures/01_-_English/01_-_Topic_wise/Srimad_Bhagavatam/Canto-03/SP_SB_3-25-39_Bombay_1974-12-08_Take_Krishna_As_Everything.mp3" TargetMode="External"/><Relationship Id="rId3228" Type="http://schemas.openxmlformats.org/officeDocument/2006/relationships/hyperlink" Target="https://audio.iskcondesiretree.com/01_-_Srila_Prabhupada/01_-_Lectures/01_-_English/01_-_Topic_wise/Srimad_Bhagavatam/Canto-06/SP_SB_6-01-01_Melbourne_1975-05-22_Hog%27s_Life-_Eat_Any_Damned_Food.mp3" TargetMode="External"/><Relationship Id="rId3435" Type="http://schemas.openxmlformats.org/officeDocument/2006/relationships/hyperlink" Target="https://audio.iskcondesiretree.com/01_-_Srila_Prabhupada/01_-_Lectures/01_-_English/02_-_Month_wise/07_-_July/04/Walk_1975-07-04_MW-CHICAGO.MP3" TargetMode="External"/><Relationship Id="rId3642" Type="http://schemas.openxmlformats.org/officeDocument/2006/relationships/hyperlink" Target="https://audio.iskcondesiretree.com/01_-_Srila_Prabhupada/01_-_Lectures/01_-_English/01_-_Topic_wise/Srimad_Bhagavatam/Canto-06/SP_SB_6-01-52_Detroit_1975-08-05_New_Orleans_Hard_Labor-Only_Light.mp3" TargetMode="External"/><Relationship Id="rId149" Type="http://schemas.openxmlformats.org/officeDocument/2006/relationships/hyperlink" Target="https://audio.iskcondesiretree.com/01_-_Srila_Prabhupada/01_-_Lectures/01_-_English/02_-_Month_wise/12_-_December/05/Cc_M_20-152_NY_1966-12-05_Krishna-Source_of_Everything.mp3" TargetMode="External"/><Relationship Id="rId356" Type="http://schemas.openxmlformats.org/officeDocument/2006/relationships/hyperlink" Target="https://audio.iskcondesiretree.com/01_-_Srila_Prabhupada/01_-_Lectures/01_-_English/02_-_Month_wise/01_-_January/08/Bg_04-11_LA_1969-01-08_Krishna_Belongs_to_Everyone.mp3" TargetMode="External"/><Relationship Id="rId563" Type="http://schemas.openxmlformats.org/officeDocument/2006/relationships/hyperlink" Target="https://audio.iskcondesiretree.com/01_-_Srila_Prabhupada/01_-_Lectures/01_-_English/02_-_Month_wise/02_-_Feburary/23/SB_1-02-06_CAL_1972-02-23_The_Spirit_of_Giving_to_etc.mp3" TargetMode="External"/><Relationship Id="rId770" Type="http://schemas.openxmlformats.org/officeDocument/2006/relationships/hyperlink" Target="https://audio.iskcondesiretree.com/01_-_Srila_Prabhupada/01_-_Lectures/01_-_English/02_-_Month_wise/11_-_November/01/NOD_Lect_VRN_1972-11-01_Devotion_Is_Action_Without_Designation.mp3" TargetMode="External"/><Relationship Id="rId1193" Type="http://schemas.openxmlformats.org/officeDocument/2006/relationships/hyperlink" Target="https://audio.iskcondesiretree.com/01_-_Srila_Prabhupada/01_-_Lectures/01_-_English/02_-_Month_wise/08_-_August/20/Bg_02-14_LON_1973-08-20_The_Skin_Disease.mp3" TargetMode="External"/><Relationship Id="rId2037" Type="http://schemas.openxmlformats.org/officeDocument/2006/relationships/hyperlink" Target="https://audio.iskcondesiretree.com/01_-_Srila_Prabhupada/01_-_Lectures/01_-_English/02_-_Month_wise/06_-_June/02/SB_1-13-11_GEN_1974-06-02_Your_Qualification-Renouncing.mp3" TargetMode="External"/><Relationship Id="rId2244" Type="http://schemas.openxmlformats.org/officeDocument/2006/relationships/hyperlink" Target="https://audio.iskcondesiretree.com/01_-_Srila_Prabhupada/01_-_Lectures/01_-_English/02_-_Month_wise/07_-_July/04/Interview_1974-07-04_IV-CHICAGO.MP3" TargetMode="External"/><Relationship Id="rId2451" Type="http://schemas.openxmlformats.org/officeDocument/2006/relationships/hyperlink" Target="https://audio.iskcondesiretree.com/01_-_Srila_Prabhupada/01_-_Lectures/01_-_English/02_-_Month_wise/10_-_October/19/SB_1-08-39_MAY_1974-10-19_Keep_Krishna_Here.mp3" TargetMode="External"/><Relationship Id="rId4900" Type="http://schemas.openxmlformats.org/officeDocument/2006/relationships/hyperlink" Target="https://audio.iskcondesiretree.com/01_-_Srila_Prabhupada/01_-_Lectures/01_-_English/02_-_Month_wise/07_-_July/05/MW_WDC_1976-07-05_Bengalis--Spoiled_by_Vivekananda.mp3" TargetMode="External"/><Relationship Id="rId216" Type="http://schemas.openxmlformats.org/officeDocument/2006/relationships/hyperlink" Target="https://audio.iskcondesiretree.com/01_-_Srila_Prabhupada/01_-_Lectures/01_-_English/01_-_Topic_wise/Chaitanya_Charitamrita/Madhya_Lila/SP_CC_M_22-031_New_York_1967-01-16_Krishna_Is_Sunshine_Maya_Is_Darkness.mp3" TargetMode="External"/><Relationship Id="rId423" Type="http://schemas.openxmlformats.org/officeDocument/2006/relationships/hyperlink" Target="https://audio.iskcondesiretree.com/01_-_Srila_Prabhupada/01_-_Lectures/01_-_English/02_-_Month_wise/05_-_May/11/RC_COL_1969-05-11_Allen_Ginsberg_Freedom_Is_Frustration.mp3" TargetMode="External"/><Relationship Id="rId1053" Type="http://schemas.openxmlformats.org/officeDocument/2006/relationships/hyperlink" Target="https://audio.iskcondesiretree.com/01_-_Srila_Prabhupada/01_-_Lectures/01_-_English/01_-_Topic_wise/Bhagavad_Gita/Chapter-09/SP_BG_09-11_Calcutta_1973-06-30_If_You_Want_to_Remain_Mudha....mp3" TargetMode="External"/><Relationship Id="rId1260" Type="http://schemas.openxmlformats.org/officeDocument/2006/relationships/hyperlink" Target="https://audio.iskcondesiretree.com/01_-_Srila_Prabhupada/01_-_Lectures/01_-_English/01_-_Topic_wise/Srimad_Bhagavatam/Canto-05/SP_SB_5-05-01_Stockholm_1973-09-07_To_Students--Horrible--etc.mp3" TargetMode="External"/><Relationship Id="rId2104" Type="http://schemas.openxmlformats.org/officeDocument/2006/relationships/hyperlink" Target="https://audio.iskcondesiretree.com/01_-_Srila_Prabhupada/01_-_Lectures/01_-_English/01_-_Topic_wise/Srimad_Bhagavatam/Canto-02/SP_SB_2-01-03_Paris_1974-06-12_Not_Even_Napoleon_Was_Safe.mp3" TargetMode="External"/><Relationship Id="rId3502" Type="http://schemas.openxmlformats.org/officeDocument/2006/relationships/hyperlink" Target="https://audio.iskcondesiretree.com/01_-_Srila_Prabhupada/01_-_Lectures/01_-_English/01_-_Topic_wise/Srimad_Bhagavatam/Canto-06/SP_SB_6-01-27_Philadelphia_1975-07-12_Asses_All.mp3" TargetMode="External"/><Relationship Id="rId630" Type="http://schemas.openxmlformats.org/officeDocument/2006/relationships/hyperlink" Target="https://audio.iskcondesiretree.com/01_-_Srila_Prabhupada/01_-_Lectures/01_-_English/01_-_Topic_wise/Morning_Walk/SP_Morning_Walk_-_San_Diego_1972-06-30_Scientists--Envious_Bombastic_Rascals.mp3" TargetMode="External"/><Relationship Id="rId2311" Type="http://schemas.openxmlformats.org/officeDocument/2006/relationships/hyperlink" Target="https://audio.iskcondesiretree.com/01_-_Srila_Prabhupada/01_-_Lectures/01_-_English/02_-_Month_wise/04_-_April/Bg-04-12_1974-08-04_SB-VRNDAVAN.MP3" TargetMode="External"/><Relationship Id="rId4069" Type="http://schemas.openxmlformats.org/officeDocument/2006/relationships/hyperlink" Target="https://audio.iskcondesiretree.com/01_-_Srila_Prabhupada/01_-_Lectures/01_-_English/02_-_Month_wise/12_-_December/09/Walk_1975-12-09_MW-VRNDAVAN.MP3" TargetMode="External"/><Relationship Id="rId5467" Type="http://schemas.openxmlformats.org/officeDocument/2006/relationships/hyperlink" Target="https://audio.iskcondesiretree.com/01_-_Srila_Prabhupada/01_-_Lectures/01_-_English/01_-_Topic_wise/Srimad_Bhagavatam/Canto-05/SP_SB_5-06-08_Vrindavan_1976-11-30_Fire_Brigade_Cannot--etc.mp3" TargetMode="External"/><Relationship Id="rId5674" Type="http://schemas.openxmlformats.org/officeDocument/2006/relationships/hyperlink" Target="https://audio.iskcondesiretree.com/01_-_Srila_Prabhupada/01_-_Lectures/01_-_English/02_-_Month_wise/02_-_Feburary/02/Speech_1977-02-02_CM-BHUBANESWAR.MP3" TargetMode="External"/><Relationship Id="rId5881" Type="http://schemas.openxmlformats.org/officeDocument/2006/relationships/hyperlink" Target="https://audio.iskcondesiretree.com/01_-_Srila_Prabhupada/01_-_Lectures/01_-_English/02_-_Month_wise/06_-_June/20/Conv_1977-06-20_R2-VRNDAVAN.MP3" TargetMode="External"/><Relationship Id="rId1120" Type="http://schemas.openxmlformats.org/officeDocument/2006/relationships/hyperlink" Target="https://audio.iskcondesiretree.com/01_-_Srila_Prabhupada/01_-_Lectures/01_-_English/01_-_Topic_wise/Bhagavad_Gita/Chapter-01/SP_BG_01-32_London_1973-07-25_Shortcut_to_Spiritual_Knowledge.mp3" TargetMode="External"/><Relationship Id="rId4276" Type="http://schemas.openxmlformats.org/officeDocument/2006/relationships/hyperlink" Target="https://audio.iskcondesiretree.com/01_-_Srila_Prabhupada/01_-_Lectures/01_-_English/02_-_Month_wise/02_-_Feburary/24/SB-07-09-17_1976-02-24_SB-MAYAPUR.MP3" TargetMode="External"/><Relationship Id="rId4483" Type="http://schemas.openxmlformats.org/officeDocument/2006/relationships/hyperlink" Target="https://audio.iskcondesiretree.com/01_-_Srila_Prabhupada/01_-_Lectures/01_-_English/01_-_Topic_wise/Srimad_Bhagavatam/Canto-07/SP_SB_7-12-05_Bombay_1976-04-16_Our_Main_Principle-Chant.mp3" TargetMode="External"/><Relationship Id="rId4690" Type="http://schemas.openxmlformats.org/officeDocument/2006/relationships/hyperlink" Target="https://audio.iskcondesiretree.com/01_-_Srila_Prabhupada/01_-_Lectures/01_-_English/01_-_Topic_wise/Srimad_Bhagavatam/Canto-06/SP_SB_6-01-39_Los_Angeles_1976-06-05_Does_Your_Heart_Cry_Out_for_God.mp3" TargetMode="External"/><Relationship Id="rId5327" Type="http://schemas.openxmlformats.org/officeDocument/2006/relationships/hyperlink" Target="https://audio.iskcondesiretree.com/01_-_Srila_Prabhupada/01_-_Lectures/01_-_English/02_-_Month_wise/10_-_October/13/Address_Hindi_1976-10-13_LE-CHANDIGARH.MP3" TargetMode="External"/><Relationship Id="rId5534" Type="http://schemas.openxmlformats.org/officeDocument/2006/relationships/hyperlink" Target="https://audio.iskcondesiretree.com/01_-_Srila_Prabhupada/01_-_Lectures/01_-_English/01_-_Topic_wise/Srimad_Bhagavatam/Canto-05/SP_SB_5-06-10_Bombay_1976-12-28_Real_Varnasrama.mp3" TargetMode="External"/><Relationship Id="rId5741" Type="http://schemas.openxmlformats.org/officeDocument/2006/relationships/hyperlink" Target="https://audio.iskcondesiretree.com/01_-_Srila_Prabhupada/01_-_Lectures/01_-_English/02_-_Month_wise/02_-_Feburary/27/SB-07-09-07_1977-02-27_SB-MAYAPUR.MP3" TargetMode="External"/><Relationship Id="rId1937" Type="http://schemas.openxmlformats.org/officeDocument/2006/relationships/hyperlink" Target="https://audio.iskcondesiretree.com/01_-_Srila_Prabhupada/01_-_Lectures/01_-_English/02_-_Month_wise/04_-_April/27/Bg-07-01_1974-04-27_BG-HYDERABAD.MP3" TargetMode="External"/><Relationship Id="rId3085" Type="http://schemas.openxmlformats.org/officeDocument/2006/relationships/hyperlink" Target="https://audio.iskcondesiretree.com/01_-_Srila_Prabhupada/01_-_Lectures/01_-_English/02_-_Month_wise/04_-_April/11/SB-05-05-02_1975-04-11_SB-HYDERABAD.MP3" TargetMode="External"/><Relationship Id="rId3292" Type="http://schemas.openxmlformats.org/officeDocument/2006/relationships/hyperlink" Target="https://audio.iskcondesiretree.com/01_-_Srila_Prabhupada/01_-_Lectures/01_-_English/01_-_Topic_wise/Room_Conversation/SP_Room_Converstion_03_Honolulu_1975-06-15.MP3" TargetMode="External"/><Relationship Id="rId4136" Type="http://schemas.openxmlformats.org/officeDocument/2006/relationships/hyperlink" Target="https://audio.iskcondesiretree.com/01_-_Srila_Prabhupada/01_-_Lectures/01_-_English/02_-_Month_wise/12_-_December/27/Bg-03-14_1975-12-27_BG-SANAND.MP3" TargetMode="External"/><Relationship Id="rId4343" Type="http://schemas.openxmlformats.org/officeDocument/2006/relationships/hyperlink" Target="https://audio.iskcondesiretree.com/01_-_Srila_Prabhupada/01_-_Lectures/01_-_English/02_-_Month_wise/03_-_March/11/MW_MAY_1976-03-11_God_Will_Come_If_there_are_Devotees.mp3" TargetMode="External"/><Relationship Id="rId4550" Type="http://schemas.openxmlformats.org/officeDocument/2006/relationships/hyperlink" Target="https://audio.iskcondesiretree.com/01_-_Srila_Prabhupada/01_-_Lectures/01_-_English/02_-_Month_wise/04_-_April/27/RC_AUC_1976-04-27_Wildcats_and_Special_Rascals.mp3" TargetMode="External"/><Relationship Id="rId5601" Type="http://schemas.openxmlformats.org/officeDocument/2006/relationships/hyperlink" Target="https://audio.iskcondesiretree.com/01_-_Srila_Prabhupada/01_-_Lectures/01_-_English/02_-_Month_wise/01_-_January/19/Conv_1977-01-19_R1-BHUBANESWAR.MP3" TargetMode="External"/><Relationship Id="rId3152" Type="http://schemas.openxmlformats.org/officeDocument/2006/relationships/hyperlink" Target="https://audio.iskcondesiretree.com/01_-_Srila_Prabhupada/01_-_Lectures/01_-_English/02_-_Month_wise/05_-_May/08/Conv_1975-05-08_R1-PERTH.MP3" TargetMode="External"/><Relationship Id="rId4203" Type="http://schemas.openxmlformats.org/officeDocument/2006/relationships/hyperlink" Target="https://audio.iskcondesiretree.com/01_-_Srila_Prabhupada/01_-_Lectures/01_-_English/02_-_Month_wise/02_-_Feburary/03/MW_MAY_1976-02-03_You_Scientists_Make_the_Sun_Rise_at_etc.mp3" TargetMode="External"/><Relationship Id="rId4410" Type="http://schemas.openxmlformats.org/officeDocument/2006/relationships/hyperlink" Target="https://audio.iskcondesiretree.com/01_-_Srila_Prabhupada/01_-_Lectures/01_-_English/01_-_Topic_wise/Srimad_Bhagavatam/Canto-07/SP_SB_7-09-44_Mayapur_1976-03-26_How_to_Get_Krishna%27s_Attention.mp3" TargetMode="External"/><Relationship Id="rId280" Type="http://schemas.openxmlformats.org/officeDocument/2006/relationships/hyperlink" Target="https://audio.iskcondesiretree.com/01_-_Srila_Prabhupada/01_-_Lectures/01_-_English/01_-_Topic_wise/Various/SP_Lecture_Seattle_1968-10-20_To_Students--From_Tiger_to_Rat.mp3" TargetMode="External"/><Relationship Id="rId3012" Type="http://schemas.openxmlformats.org/officeDocument/2006/relationships/hyperlink" Target="https://audio.iskcondesiretree.com/01_-_Srila_Prabhupada/01_-_Lectures/01_-_English/02_-_Month_wise/03_-_March/30/CcAdi-01-006_1975-03-30_CC-MAYAPUR.MP3" TargetMode="External"/><Relationship Id="rId6168" Type="http://schemas.openxmlformats.org/officeDocument/2006/relationships/hyperlink" Target="https://audio.iskcondesiretree.com/01_-_Srila_Prabhupada/01_-_Lectures/01_-_English/01_-_Topic_wise/Stories/SP_Story_44_Yogi_burning_finger.mp3" TargetMode="External"/><Relationship Id="rId140" Type="http://schemas.openxmlformats.org/officeDocument/2006/relationships/hyperlink" Target="https://audio.iskcondesiretree.com/01_-_Srila_Prabhupada/01_-_Lectures/01_-_English/02_-_Month_wise/12_-_December/01/Bg_09-15_NY_1966-12-01_Sravanam_Kirtanam_Vishnu.mp3" TargetMode="External"/><Relationship Id="rId3969" Type="http://schemas.openxmlformats.org/officeDocument/2006/relationships/hyperlink" Target="https://audio.iskcondesiretree.com/01_-_Srila_Prabhupada/01_-_Lectures/01_-_English/02_-_Month_wise/11_-_November/09/Cc_M_20-100_BOM_1975-11-09_How_to_Accept_the_Lord%27s_Instruction.mp3" TargetMode="External"/><Relationship Id="rId5184" Type="http://schemas.openxmlformats.org/officeDocument/2006/relationships/hyperlink" Target="https://audio.iskcondesiretree.com/01_-_Srila_Prabhupada/01_-_Lectures/01_-_English/02_-_Month_wise/09_-_September/04/SB-01-07-05_1976-09-04_SB-VRNDAVAN.MP3" TargetMode="External"/><Relationship Id="rId5391" Type="http://schemas.openxmlformats.org/officeDocument/2006/relationships/hyperlink" Target="https://audio.iskcondesiretree.com/01_-_Srila_Prabhupada/01_-_Lectures/01_-_English/02_-_Month_wise/11_-_November/06/SB_5-05-18_VRN_1976-11-06_Guru_Shouldn%27t_Cheat_Disciple.mp3" TargetMode="External"/><Relationship Id="rId6028" Type="http://schemas.openxmlformats.org/officeDocument/2006/relationships/hyperlink" Target="https://audio.iskcondesiretree.com/01_-_Srila_Prabhupada/01_-_Lectures/01_-_English/01_-_Topic_wise/Festivals/SP_Festivals_San_Francisco_1968-03-00_Advent_of_Ramacandra--Code_for_the--etc.mp3" TargetMode="External"/><Relationship Id="rId6" Type="http://schemas.openxmlformats.org/officeDocument/2006/relationships/hyperlink" Target="https://audio.iskcondesiretree.com/01_-_Srila_Prabhupada/01_-_Lectures/01_-_English/02_-_Month_wise/02_-_Feburary/19/Bg_00-03_NY_1966-02-19_20_Intro_3--_to_Bhagavad_Gita.mp3" TargetMode="External"/><Relationship Id="rId2778" Type="http://schemas.openxmlformats.org/officeDocument/2006/relationships/hyperlink" Target="https://audio.iskcondesiretree.com/01_-_Srila_Prabhupada/01_-_Lectures/01_-_English/01_-_Topic_wise/Morning_Walk/SP_Morning_Walk_-_Los_Angeles_1975-02-10.MP3" TargetMode="External"/><Relationship Id="rId2985" Type="http://schemas.openxmlformats.org/officeDocument/2006/relationships/hyperlink" Target="https://audio.iskcondesiretree.com/01_-_Srila_Prabhupada/01_-_Lectures/01_-_English/01_-_Topic_wise/Chaitanya_Charitamrita/Adi_Lila/SP_CC_A_01-01_Mayapur_1975-03-25_Become_a_Guru%2C_Not_a_God.mp3" TargetMode="External"/><Relationship Id="rId3829" Type="http://schemas.openxmlformats.org/officeDocument/2006/relationships/hyperlink" Target="https://audio.iskcondesiretree.com/01_-_Srila_Prabhupada/01_-_Lectures/01_-_English/02_-_Month_wise/10_-_October/05/SB_1-02-06_MAU_1975-10-05_Our_Superior_Engagement.mp3" TargetMode="External"/><Relationship Id="rId5044" Type="http://schemas.openxmlformats.org/officeDocument/2006/relationships/hyperlink" Target="https://audio.iskcondesiretree.com/01_-_Srila_Prabhupada/01_-_Lectures/01_-_English/02_-_Month_wise/08_-_August/02/Conv_1976-08-02_R3-NEW%20MAYAPUR.MP3" TargetMode="External"/><Relationship Id="rId957" Type="http://schemas.openxmlformats.org/officeDocument/2006/relationships/hyperlink" Target="https://audio.iskcondesiretree.com/01_-_Srila_Prabhupada/01_-_Lectures/01_-_English/02_-_Month_wise/04_-_April/19/MW_LA_1973-04-19_The_Scientists_Bluff.mp3" TargetMode="External"/><Relationship Id="rId1587" Type="http://schemas.openxmlformats.org/officeDocument/2006/relationships/hyperlink" Target="https://audio.iskcondesiretree.com/01_-_Srila_Prabhupada/01_-_Lectures/01_-_English/02_-_Month_wise/02_-_Feburary/06/Bg-09-01%E2%80%9314_1974-02-06_BG-VRNDAVAN.MP3" TargetMode="External"/><Relationship Id="rId1794" Type="http://schemas.openxmlformats.org/officeDocument/2006/relationships/hyperlink" Target="https://audio.iskcondesiretree.com/01_-_Srila_Prabhupada/01_-_Lectures/01_-_English/02_-_Month_wise/03_-_March/31/Walk_1974-03-31_MW-BOMBAY.MP3" TargetMode="External"/><Relationship Id="rId2638" Type="http://schemas.openxmlformats.org/officeDocument/2006/relationships/hyperlink" Target="https://audio.iskcondesiretree.com/01_-_Srila_Prabhupada/01_-_Lectures/01_-_English/02_-_Month_wise/12_-_December/23/SB_3-26-11_BOM_1974-12-23_Analyze_the_Trap_and_Escape.mp3" TargetMode="External"/><Relationship Id="rId2845" Type="http://schemas.openxmlformats.org/officeDocument/2006/relationships/hyperlink" Target="https://audio.iskcondesiretree.com/01_-_Srila_Prabhupada/01_-_Lectures/01_-_English/01_-_Topic_wise/Srimad_Bhagavatam/Canto-01/SP_SB_1-01-03_Caracas_1975-02-24_There_is_New_Orleans_Religion_Except--etc.mp3" TargetMode="External"/><Relationship Id="rId5251" Type="http://schemas.openxmlformats.org/officeDocument/2006/relationships/hyperlink" Target="https://audio.iskcondesiretree.com/01_-_Srila_Prabhupada/01_-_Lectures/01_-_English/01_-_Topic_wise/Srimad_Bhagavatam/Canto-01/SP_SB_1-07-25_Vrindavan_1976-09-22_The_Age_of_Embarrassment.mp3" TargetMode="External"/><Relationship Id="rId86" Type="http://schemas.openxmlformats.org/officeDocument/2006/relationships/hyperlink" Target="https://audio.iskcondesiretree.com/01_-_Srila_Prabhupada/01_-_Lectures/01_-_English/01_-_Topic_wise/Bhagavad_Gita/Chapter-07/SP_BG_07-08-14_New_York_1966-10-02_Remembering_Krishna_24_Hours_a_Day.mp3" TargetMode="External"/><Relationship Id="rId817" Type="http://schemas.openxmlformats.org/officeDocument/2006/relationships/hyperlink" Target="https://audio.iskcondesiretree.com/01_-_Srila_Prabhupada/01_-_Lectures/01_-_English/01_-_Topic_wise/Srimad_Bhagavatam/Canto-01/SP_SB_1-02-34_Vrindavan_1972-11-13_The_Rascals%27_Business...Is--etc.mp3" TargetMode="External"/><Relationship Id="rId1447" Type="http://schemas.openxmlformats.org/officeDocument/2006/relationships/hyperlink" Target="https://audio.iskcondesiretree.com/01_-_Srila_Prabhupada/01_-_Lectures/01_-_English/01_-_Topic_wise/Srimad_Bhagavatam/Canto-01/SP_SB_1-15-42_Los_Angeles_1973-12-20_Trust_a_God_You_Don%27t_Know.mp3" TargetMode="External"/><Relationship Id="rId1654" Type="http://schemas.openxmlformats.org/officeDocument/2006/relationships/hyperlink" Target="https://audio.iskcondesiretree.com/01_-_Srila_Prabhupada/01_-_Lectures/01_-_English/02_-_Month_wise/02_-_Feburary/25/Walk_1974-02-25_MW-BOMBAY.MP3" TargetMode="External"/><Relationship Id="rId1861" Type="http://schemas.openxmlformats.org/officeDocument/2006/relationships/hyperlink" Target="https://audio.iskcondesiretree.com/01_-_Srila_Prabhupada/01_-_Lectures/01_-_English/01_-_Topic_wise/Morning_Walk/SP_Morning_Walk_-_Bombay_1974-04-12.mp3" TargetMode="External"/><Relationship Id="rId2705" Type="http://schemas.openxmlformats.org/officeDocument/2006/relationships/hyperlink" Target="https://audio.iskcondesiretree.com/01_-_Srila_Prabhupada/01_-_Lectures/01_-_English/02_-_Month_wise/01_-_January/17/SB-03-26-42_1975-01-17_SB-BOMBAY.MP3" TargetMode="External"/><Relationship Id="rId2912" Type="http://schemas.openxmlformats.org/officeDocument/2006/relationships/hyperlink" Target="https://audio.iskcondesiretree.com/01_-_Srila_Prabhupada/01_-_Lectures/01_-_English/02_-_Month_wise/03_-_March/05/Interv_NY_1975-03-05_Press--We_Are_Hare_Krishna_People.mp3" TargetMode="External"/><Relationship Id="rId4060" Type="http://schemas.openxmlformats.org/officeDocument/2006/relationships/hyperlink" Target="https://audio.iskcondesiretree.com/01_-_Srila_Prabhupada/01_-_Lectures/01_-_English/02_-_Month_wise/12_-_December/07/SB-07-06-05_1975-12-07_SB-VRNDAVAN.MP3" TargetMode="External"/><Relationship Id="rId5111" Type="http://schemas.openxmlformats.org/officeDocument/2006/relationships/hyperlink" Target="https://audio.iskcondesiretree.com/01_-_Srila_Prabhupada/01_-_Lectures/01_-_English/02_-_Month_wise/08_-_August/14/RC_BOM_1976-08-14_Fertile_Brain-Rather_Be_a_Fool.mp3" TargetMode="External"/><Relationship Id="rId1307" Type="http://schemas.openxmlformats.org/officeDocument/2006/relationships/hyperlink" Target="https://audio.iskcondesiretree.com/01_-_Srila_Prabhupada/01_-_Lectures/01_-_English/01_-_Topic_wise/Bhagavad_Gita/Chapter-13/SP_BG_13-13_Bombay_1973-10-06_Clutches_of_Birth_and_Death.mp3" TargetMode="External"/><Relationship Id="rId1514" Type="http://schemas.openxmlformats.org/officeDocument/2006/relationships/hyperlink" Target="https://audio.iskcondesiretree.com/01_-_Srila_Prabhupada/01_-_Lectures/01_-_English/01_-_Topic_wise/Morning_Walk/SP_Morning_Walk_-_Los_Angeles_1974-01-11.mp3" TargetMode="External"/><Relationship Id="rId1721" Type="http://schemas.openxmlformats.org/officeDocument/2006/relationships/hyperlink" Target="https://audio.iskcondesiretree.com/01_-_Srila_Prabhupada/01_-_Lectures/01_-_English/02_-_Month_wise/03_-_March/16/SB_2-01-01_VRN_1974-03-16_How_to_Be_Fearless_at_Death.mp3" TargetMode="External"/><Relationship Id="rId4877" Type="http://schemas.openxmlformats.org/officeDocument/2006/relationships/hyperlink" Target="https://audio.iskcondesiretree.com/01_-_Srila_Prabhupada/01_-_Lectures/01_-_English/02_-_Month_wise/07_-_July/02/Conv_1976-07-02_R1-NEW%20VRINDAVAN.MP3" TargetMode="External"/><Relationship Id="rId5928" Type="http://schemas.openxmlformats.org/officeDocument/2006/relationships/hyperlink" Target="https://audio.iskcondesiretree.com/01_-_Srila_Prabhupada/01_-_Lectures/01_-_English/02_-_Month_wise/08_-_August/29/Conv_1977-08-29_R1-LONDON.MP3" TargetMode="External"/><Relationship Id="rId13" Type="http://schemas.openxmlformats.org/officeDocument/2006/relationships/hyperlink" Target="https://audio.iskcondesiretree.com/01_-_Srila_Prabhupada/01_-_Lectures/01_-_English/01_-_Topic_wise/Bhagavad_Gita/Chapter-02/SP_BG_02-12_New_York_1966-03-09_God_Is_Individual_Person.mp3" TargetMode="External"/><Relationship Id="rId3479" Type="http://schemas.openxmlformats.org/officeDocument/2006/relationships/hyperlink" Target="https://audio.iskcondesiretree.com/01_-_Srila_Prabhupada/01_-_Lectures/01_-_English/02_-_Month_wise/07_-_July/09/Walk_1975-07-09_MW-CHICAGO.MP3" TargetMode="External"/><Relationship Id="rId3686" Type="http://schemas.openxmlformats.org/officeDocument/2006/relationships/hyperlink" Target="https://audio.iskcondesiretree.com/01_-_Srila_Prabhupada/01_-_Lectures/01_-_English/02_-_Month_wise/08_-_August/26/Conv_1975-08-26_R1-VRNDAVAN.MP3" TargetMode="External"/><Relationship Id="rId6092" Type="http://schemas.openxmlformats.org/officeDocument/2006/relationships/hyperlink" Target="https://audio.iskcondesiretree.com/01_-_Srila_Prabhupada/01_-_Lectures/01_-_English/01_-_Topic_wise/Krishna_Book/SP_Krsna_Book_Dict_48_-_Krishna_Pleases_His_Devotees.mp3" TargetMode="External"/><Relationship Id="rId2288" Type="http://schemas.openxmlformats.org/officeDocument/2006/relationships/hyperlink" Target="https://audio.iskcondesiretree.com/01_-_Srila_Prabhupada/01_-_Lectures/01_-_English/01_-_Topic_wise/Departure_Address/SP_Departure_Address_1974-07-15_Los_Angeles.mp3" TargetMode="External"/><Relationship Id="rId2495" Type="http://schemas.openxmlformats.org/officeDocument/2006/relationships/hyperlink" Target="https://audio.iskcondesiretree.com/01_-_Srila_Prabhupada/01_-_Lectures/01_-_English/02_-_Month_wise/11_-_November/05/SB-03-25-05%E2%80%9306_1974-11-05_SB-BOMBAY.MP3" TargetMode="External"/><Relationship Id="rId3339" Type="http://schemas.openxmlformats.org/officeDocument/2006/relationships/hyperlink" Target="https://audio.iskcondesiretree.com/01_-_Srila_Prabhupada/01_-_Lectures/01_-_English/02_-_Month_wise/06_-_June/21/SB_6-01-08_LA_1975-06-21_A_Vaisnavas_Concern.mp3" TargetMode="External"/><Relationship Id="rId3893" Type="http://schemas.openxmlformats.org/officeDocument/2006/relationships/hyperlink" Target="https://audio.iskcondesiretree.com/01_-_Srila_Prabhupada/01_-_Lectures/01_-_English/02_-_Month_wise/10_-_October/19/Bg-04-13_1975-10-19_BG-JOHANNESBURG.MP3" TargetMode="External"/><Relationship Id="rId4737" Type="http://schemas.openxmlformats.org/officeDocument/2006/relationships/hyperlink" Target="https://audio.iskcondesiretree.com/01_-_Srila_Prabhupada/01_-_Lectures/01_-_English/02_-_Month_wise/06_-_June/12/Interview_1976-06-12_IV-DETROIT.MP3" TargetMode="External"/><Relationship Id="rId4944" Type="http://schemas.openxmlformats.org/officeDocument/2006/relationships/hyperlink" Target="https://audio.iskcondesiretree.com/01_-_Srila_Prabhupada/01_-_Lectures/01_-_English/01_-_Topic_wise/Chaitanya_Charitamrita/Madhya_Lila/SP_CC_M_20-105_New_York_1976-07-11_Approach_the_Spiritual--etc.mp3" TargetMode="External"/><Relationship Id="rId467" Type="http://schemas.openxmlformats.org/officeDocument/2006/relationships/hyperlink" Target="https://audio.iskcondesiretree.com/01_-_Srila_Prabhupada/01_-_Lectures/01_-_English/02_-_Month_wise/09_-_September/08/Bg_07-14_HAM_1969-09-08_Let_Us_Die_Like_etc.mp3" TargetMode="External"/><Relationship Id="rId1097" Type="http://schemas.openxmlformats.org/officeDocument/2006/relationships/hyperlink" Target="https://audio.iskcondesiretree.com/01_-_Srila_Prabhupada/01_-_Lectures/01_-_English/01_-_Topic_wise/Room_Conversation/SP_Room_Conversation_London_1973-07-19_Rasas-Variety_of_Liking_Krishna.mp3" TargetMode="External"/><Relationship Id="rId2148" Type="http://schemas.openxmlformats.org/officeDocument/2006/relationships/hyperlink" Target="https://audio.iskcondesiretree.com/01_-_Srila_Prabhupada/01_-_Lectures/01_-_English/02_-_Month_wise/06_-_June/15/SB_2-01-07_PAR_1974-06-15_The_Topmost_etc.mp3" TargetMode="External"/><Relationship Id="rId3546" Type="http://schemas.openxmlformats.org/officeDocument/2006/relationships/hyperlink" Target="https://audio.iskcondesiretree.com/01_-_Srila_Prabhupada/01_-_Lectures/01_-_English/01_-_Topic_wise/Morning_Walk/SP_Morning_Walk_-_San_Francisco_1975-07-18_Crossing_the_Ocean_by_Becoming_a_Fish.mp3" TargetMode="External"/><Relationship Id="rId3753" Type="http://schemas.openxmlformats.org/officeDocument/2006/relationships/hyperlink" Target="https://audio.iskcondesiretree.com/01_-_Srila_Prabhupada/01_-_Lectures/01_-_English/02_-_Month_wise/09_-_September/13/Lecture%E2%80%93Hindi_1975-09-13_LE-VRNDAVAN.MP3" TargetMode="External"/><Relationship Id="rId3960" Type="http://schemas.openxmlformats.org/officeDocument/2006/relationships/hyperlink" Target="https://audio.iskcondesiretree.com/01_-_Srila_Prabhupada/01_-_Lectures/01_-_English/02_-_Month_wise/11_-_November/03/Walk_1975-11-03_MW-BOMBAY.MP3" TargetMode="External"/><Relationship Id="rId4804" Type="http://schemas.openxmlformats.org/officeDocument/2006/relationships/hyperlink" Target="https://audio.iskcondesiretree.com/01_-_Srila_Prabhupada/01_-_Lectures/01_-_English/02_-_Month_wise/06_-_June/22/Conv_1976-06-22_GC-NEW%20VRINDAVAN.MP3" TargetMode="External"/><Relationship Id="rId674" Type="http://schemas.openxmlformats.org/officeDocument/2006/relationships/hyperlink" Target="https://audio.iskcondesiretree.com/01_-_Srila_Prabhupada/01_-_Lectures/01_-_English/01_-_Topic_wise/Srimad_Bhagavatam/Canto-01/SP_SB_1-02-06_New_Vrindavan_1972-09-05_This_Nice_Caracas_Is_Rotten.mp3" TargetMode="External"/><Relationship Id="rId881" Type="http://schemas.openxmlformats.org/officeDocument/2006/relationships/hyperlink" Target="https://audio.iskcondesiretree.com/01_-_Srila_Prabhupada/01_-_Lectures/01_-_English/02_-_Month_wise/12_-_December/30/Bg_13-03_BOM_1972-12-30_Occupant_and_Owner_of_Body.mp3" TargetMode="External"/><Relationship Id="rId2355" Type="http://schemas.openxmlformats.org/officeDocument/2006/relationships/hyperlink" Target="https://audio.iskcondesiretree.com/01_-_Srila_Prabhupada/01_-_Lectures/01_-_English/02_-_Month_wise/08_-_August/13/Bg_07-07_VRN_1974-08-13_Everything_Is_Resting_On_Krishna.mp3" TargetMode="External"/><Relationship Id="rId2562" Type="http://schemas.openxmlformats.org/officeDocument/2006/relationships/hyperlink" Target="https://audio.iskcondesiretree.com/01_-_Srila_Prabhupada/01_-_Lectures/01_-_English/02_-_Month_wise/11_-_November/28/SB-03-25-28_1974-11-28_SB-BOMBAY.MP3" TargetMode="External"/><Relationship Id="rId3406" Type="http://schemas.openxmlformats.org/officeDocument/2006/relationships/hyperlink" Target="https://audio.iskcondesiretree.com/01_-_Srila_Prabhupada/01_-_Lectures/01_-_English/02_-_Month_wise/06_-_June/30/SB-06-01-17_1975-06-30_SB-DENVER.MP3" TargetMode="External"/><Relationship Id="rId3613" Type="http://schemas.openxmlformats.org/officeDocument/2006/relationships/hyperlink" Target="https://audio.iskcondesiretree.com/01_-_Srila_Prabhupada/01_-_Lectures/01_-_English/02_-_Month_wise/07_-_July/30/SB-06-01-48_1975-07-30_SB-DALLAS.MP3" TargetMode="External"/><Relationship Id="rId3820" Type="http://schemas.openxmlformats.org/officeDocument/2006/relationships/hyperlink" Target="https://audio.iskcondesiretree.com/01_-_Srila_Prabhupada/01_-_Lectures/01_-_English/02_-_Month_wise/10_-_October/04/SB_7-05-31_MAU_1975-10-04_Books_for_the_Blind.mp3" TargetMode="External"/><Relationship Id="rId327" Type="http://schemas.openxmlformats.org/officeDocument/2006/relationships/hyperlink" Target="https://audio.iskcondesiretree.com/01_-_Srila_Prabhupada/01_-_Lectures/01_-_English/02_-_Month_wise/12_-_December/19/Bg_02-62_LA_1968-12-19_Secret_of_Controlling_the_Senses.mp3" TargetMode="External"/><Relationship Id="rId534" Type="http://schemas.openxmlformats.org/officeDocument/2006/relationships/hyperlink" Target="https://audio.iskcondesiretree.com/01_-_Srila_Prabhupada/01_-_Lectures/01_-_English/01_-_Topic_wise/Various/SP_Lecture_San_Francisco_1971-06-27_On_Six_Goswamis--etc.mp3" TargetMode="External"/><Relationship Id="rId741" Type="http://schemas.openxmlformats.org/officeDocument/2006/relationships/hyperlink" Target="https://audio.iskcondesiretree.com/01_-_Srila_Prabhupada/01_-_Lectures/01_-_English/02_-_Month_wise/10_-_October/23/SB_1-02-12_VRN_1972-10-23_Beyond_Business_of_Hogs_and_Dogs.mp3" TargetMode="External"/><Relationship Id="rId1164" Type="http://schemas.openxmlformats.org/officeDocument/2006/relationships/hyperlink" Target="https://audio.iskcondesiretree.com/01_-_Srila_Prabhupada/01_-_Lectures/01_-_English/01_-_Topic_wise/Room_Conversation/SP_Room_Conversation_Paris_1973-08-11_UNESCO_Worker--Simply_Wasting_Time--etc.mp3" TargetMode="External"/><Relationship Id="rId1371" Type="http://schemas.openxmlformats.org/officeDocument/2006/relationships/hyperlink" Target="https://audio.iskcondesiretree.com/01_-_Srila_Prabhupada/01_-_Lectures/01_-_English/01_-_Topic_wise/Srimad_Bhagavatam/Canto-01/SP_SB_1-10-04_London_1973-11-25_Get_Necessities_from_the_Land.mp3" TargetMode="External"/><Relationship Id="rId2008" Type="http://schemas.openxmlformats.org/officeDocument/2006/relationships/hyperlink" Target="https://audio.iskcondesiretree.com/01_-_Srila_Prabhupada/01_-_Lectures/01_-_English/01_-_Topic_wise/Morning_Walk/SP_Morning_Walk_-_Rome_1974-05-30.mp3" TargetMode="External"/><Relationship Id="rId2215" Type="http://schemas.openxmlformats.org/officeDocument/2006/relationships/hyperlink" Target="https://audio.iskcondesiretree.com/01_-_Srila_Prabhupada/01_-_Lectures/01_-_English/02_-_Month_wise/06_-_June/29/Bg_09-01_MEL_1974-06-29_Chant_Dance_Eat_Prasadam_Go_Home.mp3" TargetMode="External"/><Relationship Id="rId2422" Type="http://schemas.openxmlformats.org/officeDocument/2006/relationships/hyperlink" Target="https://audio.iskcondesiretree.com/01_-_Srila_Prabhupada/01_-_Lectures/01_-_English/02_-_Month_wise/10_-_October/08/SB_1-08-28_MAY_1974-10-08_Don%27t_Be_a_Skin_Observer.mp3" TargetMode="External"/><Relationship Id="rId5578" Type="http://schemas.openxmlformats.org/officeDocument/2006/relationships/hyperlink" Target="https://audio.iskcondesiretree.com/01_-_Srila_Prabhupada/01_-_Lectures/01_-_English/02_-_Month_wise/01_-_January/08/MW_BOM_1977-01-08_About_Kumbha_Mela--Know_and_Do_What_etc.mp3" TargetMode="External"/><Relationship Id="rId5785" Type="http://schemas.openxmlformats.org/officeDocument/2006/relationships/hyperlink" Target="https://audio.iskcondesiretree.com/01_-_Srila_Prabhupada/01_-_Lectures/01_-_English/02_-_Month_wise/04_-_April/01/Lect_BOM_1977-04-01_Higher_Knowledge.mp3" TargetMode="External"/><Relationship Id="rId5992" Type="http://schemas.openxmlformats.org/officeDocument/2006/relationships/hyperlink" Target="https://audio.iskcondesiretree.com/01_-_Srila_Prabhupada/01_-_Lectures/01_-_English/02_-_Month_wise/11_-_November/03/Conv_1977-11-03_R6-VRNDAVAN.MP3" TargetMode="External"/><Relationship Id="rId601" Type="http://schemas.openxmlformats.org/officeDocument/2006/relationships/hyperlink" Target="https://audio.iskcondesiretree.com/01_-_Srila_Prabhupada/01_-_Lectures/01_-_English/02_-_Month_wise/06_-_June/13/SB_2-03-18_LA_1972-06-13_Hogs%2C_Dogs%2C_Camels_and_Asses.mp3" TargetMode="External"/><Relationship Id="rId1024" Type="http://schemas.openxmlformats.org/officeDocument/2006/relationships/hyperlink" Target="https://audio.iskcondesiretree.com/01_-_Srila_Prabhupada/01_-_Lectures/01_-_English/02_-_Month_wise/05_-_May/21/SB_3-01-10_DAL_1973-05-21_Sage_Advice_For_Human_Society.mp3" TargetMode="External"/><Relationship Id="rId1231" Type="http://schemas.openxmlformats.org/officeDocument/2006/relationships/hyperlink" Target="https://audio.iskcondesiretree.com/01_-_Srila_Prabhupada/01_-_Lectures/01_-_English/02_-_Month_wise/08_-_August/30/Bg_02-28_LON_1973-08-30_Materialists-What_Do_They_Know.mp3" TargetMode="External"/><Relationship Id="rId4387" Type="http://schemas.openxmlformats.org/officeDocument/2006/relationships/hyperlink" Target="https://audio.iskcondesiretree.com/01_-_Srila_Prabhupada/01_-_Lectures/01_-_English/02_-_Month_wise/03_-_March/19/SB_7-09-41_MAY_1976-03-19_Is_God_Unkind.mp3" TargetMode="External"/><Relationship Id="rId4594" Type="http://schemas.openxmlformats.org/officeDocument/2006/relationships/hyperlink" Target="https://audio.iskcondesiretree.com/01_-_Srila_Prabhupada/01_-_Lectures/01_-_English/02_-_Month_wise/05_-_May/12/MW_HON_1976-05-12_Dance_Eat_and_Live_Eternally.mp3" TargetMode="External"/><Relationship Id="rId5438" Type="http://schemas.openxmlformats.org/officeDocument/2006/relationships/hyperlink" Target="https://audio.iskcondesiretree.com/01_-_Srila_Prabhupada/01_-_Lectures/01_-_English/01_-_Topic_wise/Room_Conversation/SP_Room_Conversation_Vrindavan_1976-11-20_Skyscraper_Thoughts_Dangerous.mp3" TargetMode="External"/><Relationship Id="rId5645" Type="http://schemas.openxmlformats.org/officeDocument/2006/relationships/hyperlink" Target="https://audio.iskcondesiretree.com/01_-_Srila_Prabhupada/01_-_Lectures/01_-_English/02_-_Month_wise/01_-_January/28/Walk_1977-01-28_MW-BHUBANESWAR.MP3" TargetMode="External"/><Relationship Id="rId5852" Type="http://schemas.openxmlformats.org/officeDocument/2006/relationships/hyperlink" Target="https://audio.iskcondesiretree.com/01_-_Srila_Prabhupada/01_-_Lectures/01_-_English/02_-_Month_wise/05_-_May/15/Darshan_1977-05-15_ED-RISHIKESH.MP3" TargetMode="External"/><Relationship Id="rId3196" Type="http://schemas.openxmlformats.org/officeDocument/2006/relationships/hyperlink" Target="https://audio.iskcondesiretree.com/01_-_Srila_Prabhupada/01_-_Lectures/01_-_English/01_-_Topic_wise/Room_Conversation/SP_Room_Conversation_Melbourne_1975-05-19_Mystic_Concoction_vs_Spiritual_Vision.mp3" TargetMode="External"/><Relationship Id="rId4247" Type="http://schemas.openxmlformats.org/officeDocument/2006/relationships/hyperlink" Target="https://audio.iskcondesiretree.com/01_-_Srila_Prabhupada/01_-_Lectures/01_-_English/01_-_Topic_wise/Srimad_Bhagavatam/Canto-07/SP_SB_7-09-11_Mayapur_1976-02-18_Krishna_Needs_Us--Why.mp3" TargetMode="External"/><Relationship Id="rId4454" Type="http://schemas.openxmlformats.org/officeDocument/2006/relationships/hyperlink" Target="https://audio.iskcondesiretree.com/01_-_Srila_Prabhupada/01_-_Lectures/01_-_English/02_-_Month_wise/04_-_April/09/SB_7-09-54_VRN_1976-04-09_No_More_Wanting.mp3" TargetMode="External"/><Relationship Id="rId4661" Type="http://schemas.openxmlformats.org/officeDocument/2006/relationships/hyperlink" Target="https://audio.iskcondesiretree.com/01_-_Srila_Prabhupada/01_-_Lectures/01_-_English/02_-_Month_wise/05_-_May/29/SB-06-01-30_1976-05-29_SB-HONOLULU.MP3" TargetMode="External"/><Relationship Id="rId5505" Type="http://schemas.openxmlformats.org/officeDocument/2006/relationships/hyperlink" Target="https://audio.iskcondesiretree.com/01_-_Srila_Prabhupada/01_-_Lectures/01_-_English/02_-_Month_wise/12_-_December/15/Bg_16-07_HYD_1976-12-15_The_Asuric_Public.mp3" TargetMode="External"/><Relationship Id="rId3056" Type="http://schemas.openxmlformats.org/officeDocument/2006/relationships/hyperlink" Target="https://audio.iskcondesiretree.com/01_-_Srila_Prabhupada/01_-_Lectures/01_-_English/02_-_Month_wise/04_-_April/05/CcAdi-01-012_1975-04-05_CC-MAYAPUR.MP3" TargetMode="External"/><Relationship Id="rId3263" Type="http://schemas.openxmlformats.org/officeDocument/2006/relationships/hyperlink" Target="https://audio.iskcondesiretree.com/01_-_Srila_Prabhupada/01_-_Lectures/01_-_English/02_-_Month_wise/06_-_June/03/Initiations_1975-06-03_IN-HONOLULU.MP3" TargetMode="External"/><Relationship Id="rId3470" Type="http://schemas.openxmlformats.org/officeDocument/2006/relationships/hyperlink" Target="https://audio.iskcondesiretree.com/01_-_Srila_Prabhupada/01_-_Lectures/01_-_English/02_-_Month_wise/07_-_July/09/Conv_1975-07-09_R1-CHICAGO.MP3" TargetMode="External"/><Relationship Id="rId4107" Type="http://schemas.openxmlformats.org/officeDocument/2006/relationships/hyperlink" Target="https://audio.iskcondesiretree.com/01_-_Srila_Prabhupada/01_-_Lectures/01_-_English/02_-_Month_wise/12_-_December/20/Bg-07-01_1975-12-20_BG-BOMBAY.MP3" TargetMode="External"/><Relationship Id="rId4314" Type="http://schemas.openxmlformats.org/officeDocument/2006/relationships/hyperlink" Target="https://audio.iskcondesiretree.com/01_-_Srila_Prabhupada/01_-_Lectures/01_-_English/01_-_Topic_wise/Srimad_Bhagavatam/Canto-07/SP_SB_7-09-27_Mayapur_1976-03-05_Jealousy--It%27s_Cause_and_Cure.mp3" TargetMode="External"/><Relationship Id="rId5712" Type="http://schemas.openxmlformats.org/officeDocument/2006/relationships/hyperlink" Target="https://audio.iskcondesiretree.com/01_-_Srila_Prabhupada/01_-_Lectures/01_-_English/02_-_Month_wise/02_-_Feburary/18/Conv_1977-02-18_R1-MAYAPUR.MP3" TargetMode="External"/><Relationship Id="rId184" Type="http://schemas.openxmlformats.org/officeDocument/2006/relationships/hyperlink" Target="https://audio.iskcondesiretree.com/01_-_Srila_Prabhupada/01_-_Lectures/01_-_English/01_-_Topic_wise/Chaitanya_Charitamrita/Madhya_Lila/SP_CC_M_20-318_New_York_1966-12-22_Manvantara-Avataras----etc.mp3" TargetMode="External"/><Relationship Id="rId391" Type="http://schemas.openxmlformats.org/officeDocument/2006/relationships/hyperlink" Target="https://audio.iskcondesiretree.com/01_-_Srila_Prabhupada/01_-_Lectures/01_-_English/01_-_Topic_wise/Srimad_Bhagavatam/Canto-07/SP_SB_7-06-01_New_York_1969-04-09_Why_Are_You_Spoiling_My_Boy.mp3" TargetMode="External"/><Relationship Id="rId1908" Type="http://schemas.openxmlformats.org/officeDocument/2006/relationships/hyperlink" Target="https://audio.iskcondesiretree.com/01_-_Srila_Prabhupada/01_-_Lectures/01_-_English/02_-_Month_wise/04_-_April/20/Walk_1974-04-20_MW-HYDERABAD.MP3" TargetMode="External"/><Relationship Id="rId2072" Type="http://schemas.openxmlformats.org/officeDocument/2006/relationships/hyperlink" Target="https://audio.iskcondesiretree.com/01_-_Srila_Prabhupada/01_-_Lectures/01_-_English/02_-_Month_wise/06_-_June/07/Bg-08-01_1974-06-07_BG-GENEVA.MP3" TargetMode="External"/><Relationship Id="rId3123" Type="http://schemas.openxmlformats.org/officeDocument/2006/relationships/hyperlink" Target="https://audio.iskcondesiretree.com/01_-_Srila_Prabhupada/01_-_Lectures/01_-_English/01_-_Topic_wise/Morning_Walk/SP_Morning_Walk_-_Vrindavan_1975-04-19.MP3" TargetMode="External"/><Relationship Id="rId4521" Type="http://schemas.openxmlformats.org/officeDocument/2006/relationships/hyperlink" Target="https://audio.iskcondesiretree.com/01_-_Srila_Prabhupada/01_-_Lectures/01_-_English/01_-_Topic_wise/Bhagavad_Gita/Chapter-09/SP_BG_09-04_Melbourne_1976-04-23_God_Is_There_and_Everywhere.mp3" TargetMode="External"/><Relationship Id="rId251" Type="http://schemas.openxmlformats.org/officeDocument/2006/relationships/hyperlink" Target="https://audio.iskcondesiretree.com/01_-_Srila_Prabhupada/01_-_Lectures/01_-_English/02_-_Month_wise/08_-_August/17/SB_7-09-11_MON_1968-08-17_Krishna_Is_Begging_Your_Love.mp3" TargetMode="External"/><Relationship Id="rId3330" Type="http://schemas.openxmlformats.org/officeDocument/2006/relationships/hyperlink" Target="https://audio.iskcondesiretree.com/01_-_Srila_Prabhupada/01_-_Lectures/01_-_English/02_-_Month_wise/06_-_June/20/Arrival_1975-06-20_A2-LOS%20ANGELES.MP3" TargetMode="External"/><Relationship Id="rId5088" Type="http://schemas.openxmlformats.org/officeDocument/2006/relationships/hyperlink" Target="https://audio.iskcondesiretree.com/01_-_Srila_Prabhupada/01_-_Lectures/01_-_English/02_-_Month_wise/08_-_August/10/SB-03-22-21_1976-08-10_SB-TEHRAN.MP3" TargetMode="External"/><Relationship Id="rId6139" Type="http://schemas.openxmlformats.org/officeDocument/2006/relationships/hyperlink" Target="https://audio.iskcondesiretree.com/01_-_Srila_Prabhupada/01_-_Lectures/01_-_English/01_-_Topic_wise/Stories/SP_Story_15_Ghost_ghost.mp3" TargetMode="External"/><Relationship Id="rId2889" Type="http://schemas.openxmlformats.org/officeDocument/2006/relationships/hyperlink" Target="https://audio.iskcondesiretree.com/01_-_Srila_Prabhupada/01_-_Lectures/01_-_English/01_-_Topic_wise/Room_Conversation/SP_Room_Conversation_02_Atlanta_1975-03-02.MP3" TargetMode="External"/><Relationship Id="rId5295" Type="http://schemas.openxmlformats.org/officeDocument/2006/relationships/hyperlink" Target="https://audio.iskcondesiretree.com/01_-_Srila_Prabhupada/01_-_Lectures/01_-_English/02_-_Month_wise/10_-_October/03/Conv_1976-10-03_R1-VRNDAVAN.MP3" TargetMode="External"/><Relationship Id="rId111" Type="http://schemas.openxmlformats.org/officeDocument/2006/relationships/hyperlink" Target="https://audio.iskcondesiretree.com/01_-_Srila_Prabhupada/01_-_Lectures/01_-_English/01_-_Topic_wise/Chaitanya_Charitamrita/Madhya_Lila/SP_CC_M_20-097_New_York_1966-11-22_I_Shall_Give_You_Protection--etc.mp3" TargetMode="External"/><Relationship Id="rId1698" Type="http://schemas.openxmlformats.org/officeDocument/2006/relationships/hyperlink" Target="https://audio.iskcondesiretree.com/01_-_Srila_Prabhupada/01_-_Lectures/01_-_English/01_-_Topic_wise/Chaitanya_Charitamrita/Adi_Lila/SP_CC_A_07-91_Vrindavan_1974-03-13_Singing_in_Saintly_Company.mp3" TargetMode="External"/><Relationship Id="rId2749" Type="http://schemas.openxmlformats.org/officeDocument/2006/relationships/hyperlink" Target="https://audio.iskcondesiretree.com/01_-_Srila_Prabhupada/01_-_Lectures/01_-_English/01_-_Topic_wise/Bhagavad_Gita/Chapter-16/SP_BG_16-06_Hawaii_1975-02-02_Education_in_Becoming_Divine.mp3" TargetMode="External"/><Relationship Id="rId2956" Type="http://schemas.openxmlformats.org/officeDocument/2006/relationships/hyperlink" Target="https://audio.iskcondesiretree.com/01_-_Srila_Prabhupada/01_-_Lectures/01_-_English/02_-_Month_wise/03_-_March/13/SB-01-10-03%E2%80%9304_1975-03-13_SB-TEHRAN.MP3" TargetMode="External"/><Relationship Id="rId5155" Type="http://schemas.openxmlformats.org/officeDocument/2006/relationships/hyperlink" Target="https://audio.iskcondesiretree.com/01_-_Srila_Prabhupada/01_-_Lectures/01_-_English/02_-_Month_wise/08_-_August/23/Walk_1976-08-23_MW-HYDERABAD.MP3" TargetMode="External"/><Relationship Id="rId5362" Type="http://schemas.openxmlformats.org/officeDocument/2006/relationships/hyperlink" Target="https://audio.iskcondesiretree.com/01_-_Srila_Prabhupada/01_-_Lectures/01_-_English/02_-_Month_wise/10_-_October/31/SB_5-05-09_VRN_1976-10-31_Being_with_Krishna_Is_Fact.mp3" TargetMode="External"/><Relationship Id="rId928" Type="http://schemas.openxmlformats.org/officeDocument/2006/relationships/hyperlink" Target="https://audio.iskcondesiretree.com/01_-_Srila_Prabhupada/01_-_Lectures/02_-_Bengali/1973-03-12_Lecture_-_Calcutta.mp3" TargetMode="External"/><Relationship Id="rId1558" Type="http://schemas.openxmlformats.org/officeDocument/2006/relationships/hyperlink" Target="https://audio.iskcondesiretree.com/01_-_Srila_Prabhupada/01_-_Lectures/01_-_English/02_-_Month_wise/01_-_January/21/SB-01-16-25%E2%80%9330_1974-01-21_SB-HONOLULU.MP3" TargetMode="External"/><Relationship Id="rId1765" Type="http://schemas.openxmlformats.org/officeDocument/2006/relationships/hyperlink" Target="https://audio.iskcondesiretree.com/01_-_Srila_Prabhupada/01_-_Lectures/01_-_English/01_-_Topic_wise/Bhagavad_Gita/Chapter-04/SP_BG_04-07_Bombay_1974-03-27_Dharma_and_the_Disease.mp3" TargetMode="External"/><Relationship Id="rId2609" Type="http://schemas.openxmlformats.org/officeDocument/2006/relationships/hyperlink" Target="https://audio.iskcondesiretree.com/01_-_Srila_Prabhupada/01_-_Lectures/01_-_English/01_-_Topic_wise/Srimad_Bhagavatam/Canto-03/SP_SB_3-26-02_Bombay_1974-12-14_You_Belong_to_Spiritual_World.mp3" TargetMode="External"/><Relationship Id="rId4171" Type="http://schemas.openxmlformats.org/officeDocument/2006/relationships/hyperlink" Target="https://audio.iskcondesiretree.com/01_-_Srila_Prabhupada/01_-_Lectures/01_-_English/01_-_Topic_wise/Room_Conversation/SP_Room_Conversation_Nellore_1976-01-08_Special_Eyes.mp3" TargetMode="External"/><Relationship Id="rId5015" Type="http://schemas.openxmlformats.org/officeDocument/2006/relationships/hyperlink" Target="https://audio.iskcondesiretree.com/01_-_Srila_Prabhupada/01_-_Lectures/01_-_English/01_-_Topic_wise/Bhagavad_Gita/Chapter-13/SP_BG_13-03_London_1976-07-25_Controllers--Junior_and_Senior.mp3" TargetMode="External"/><Relationship Id="rId5222" Type="http://schemas.openxmlformats.org/officeDocument/2006/relationships/hyperlink" Target="https://audio.iskcondesiretree.com/01_-_Srila_Prabhupada/01_-_Lectures/01_-_English/02_-_Month_wise/09_-_September/12/Conv_1976-09-12_R1-VRNDAVAN.MP3" TargetMode="External"/><Relationship Id="rId57" Type="http://schemas.openxmlformats.org/officeDocument/2006/relationships/hyperlink" Target="https://audio.iskcondesiretree.com/01_-_Srila_Prabhupada/01_-_Lectures/01_-_English/02_-_Month_wise/08_-_August/03/Bg_04-14_NY_1966-08-03_Karma_Akarma.mp3" TargetMode="External"/><Relationship Id="rId1418" Type="http://schemas.openxmlformats.org/officeDocument/2006/relationships/hyperlink" Target="https://audio.iskcondesiretree.com/01_-_Srila_Prabhupada/01_-_Lectures/01_-_English/01_-_Topic_wise/Festivals/SP_Festivals_Los_Angeles_1973-12-13_Disappearance--Bhaktisiddhanta_Sarasvati.mp3" TargetMode="External"/><Relationship Id="rId1972" Type="http://schemas.openxmlformats.org/officeDocument/2006/relationships/hyperlink" Target="https://audio.iskcondesiretree.com/01_-_Srila_Prabhupada/01_-_Lectures/01_-_English/01_-_Topic_wise/Room_Conversation/SP_Room_Conversation_Rome_1974-05-24_Rascal_Leasers_-_Putting_People_into_Chaos.mp3" TargetMode="External"/><Relationship Id="rId2816" Type="http://schemas.openxmlformats.org/officeDocument/2006/relationships/hyperlink" Target="https://audio.iskcondesiretree.com/01_-_Srila_Prabhupada/01_-_Lectures/01_-_English/02_-_Month_wise/02_-_Feburary/18/Departure_1975-02-18_DP-MEXICO%20CITY.MP3" TargetMode="External"/><Relationship Id="rId4031" Type="http://schemas.openxmlformats.org/officeDocument/2006/relationships/hyperlink" Target="https://audio.iskcondesiretree.com/01_-_Srila_Prabhupada/01_-_Lectures/01_-_English/02_-_Month_wise/11_-_November/28/SB_5-05-01_DEL_1975-11-28_Hog_Civilization.mp3" TargetMode="External"/><Relationship Id="rId1625" Type="http://schemas.openxmlformats.org/officeDocument/2006/relationships/hyperlink" Target="https://audio.iskcondesiretree.com/01_-_Srila_Prabhupada/01_-_Lectures/01_-_English/01_-_Topic_wise/Bhagavad_Gita/Chapter-07/SP_BG_07-04_Bombay_1974-02-19_Chemicals_Come_from_Life.mp3" TargetMode="External"/><Relationship Id="rId1832" Type="http://schemas.openxmlformats.org/officeDocument/2006/relationships/hyperlink" Target="https://audio.iskcondesiretree.com/01_-_Srila_Prabhupada/01_-_Lectures/01_-_English/02_-_Month_wise/04_-_April/06/Bg-04-17_1974-04-06_BG-BOMBAY.MP3" TargetMode="External"/><Relationship Id="rId4988" Type="http://schemas.openxmlformats.org/officeDocument/2006/relationships/hyperlink" Target="https://audio.iskcondesiretree.com/01_-_Srila_Prabhupada/01_-_Lectures/01_-_English/02_-_Month_wise/07_-_July/17/CcMadhya-20-110_1976-07-17_CC-NEW%20YORK.MP3" TargetMode="External"/><Relationship Id="rId3797" Type="http://schemas.openxmlformats.org/officeDocument/2006/relationships/hyperlink" Target="https://audio.iskcondesiretree.com/01_-_Srila_Prabhupada/01_-_Lectures/01_-_English/01_-_Topic_wise/Bhagavad_Gita/Chapter-02/SP_BG_02-11_Mauritius_1975-10-01_Lament_for_a_Lump.mp3" TargetMode="External"/><Relationship Id="rId4848" Type="http://schemas.openxmlformats.org/officeDocument/2006/relationships/hyperlink" Target="https://audio.iskcondesiretree.com/01_-_Srila_Prabhupada/01_-_Lectures/01_-_English/02_-_Month_wise/06_-_June/28/Conv_1976-06-28_R1-NEW%20VRINDAVAN.MP3" TargetMode="External"/><Relationship Id="rId6063" Type="http://schemas.openxmlformats.org/officeDocument/2006/relationships/hyperlink" Target="https://audio.iskcondesiretree.com/01_-_Srila_Prabhupada/01_-_Lectures/01_-_English/01_-_Topic_wise/Krishna_Book/SP_Krsna_Book_Dict_15_-_The_Killing_of_Dhenukasura.mp3" TargetMode="External"/><Relationship Id="rId2399" Type="http://schemas.openxmlformats.org/officeDocument/2006/relationships/hyperlink" Target="https://audio.iskcondesiretree.com/01_-_Srila_Prabhupada/01_-_Lectures/01_-_English/02_-_Month_wise/09_-_September/29/SB_1-08-19_MAY_1974-09-29_We_Came_Here_to_Pass_Stool.mp3" TargetMode="External"/><Relationship Id="rId3657" Type="http://schemas.openxmlformats.org/officeDocument/2006/relationships/hyperlink" Target="https://audio.iskcondesiretree.com/01_-_Srila_Prabhupada/01_-_Lectures/01_-_English/02_-_Month_wise/08_-_August/11/Dictation-SB-06-12-24-35_1975-08-11_DT-PARIS.MP3" TargetMode="External"/><Relationship Id="rId3864" Type="http://schemas.openxmlformats.org/officeDocument/2006/relationships/hyperlink" Target="https://audio.iskcondesiretree.com/01_-_Srila_Prabhupada/01_-_Lectures/01_-_English/01_-_Topic_wise/Srimad_Bhagavatam/Canto-01/SP_SB_1-07-02_Durban_1975-10-14_Seeing_Krishna_24_Hours_a_Day.mp3" TargetMode="External"/><Relationship Id="rId4708" Type="http://schemas.openxmlformats.org/officeDocument/2006/relationships/hyperlink" Target="https://audio.iskcondesiretree.com/01_-_Srila_Prabhupada/01_-_Lectures/01_-_English/02_-_Month_wise/06_-_June/08/Conv_1976-06-08_R1-LOS%20ANGELES.MP3" TargetMode="External"/><Relationship Id="rId4915" Type="http://schemas.openxmlformats.org/officeDocument/2006/relationships/hyperlink" Target="https://audio.iskcondesiretree.com/01_-_Srila_Prabhupada/01_-_Lectures/01_-_English/01_-_Topic_wise/Room_Conversation/SP_Room_Conversation_Washington_DC_1976-07-07_From_Mental_Speculator_to_Mahatma.mp3" TargetMode="External"/><Relationship Id="rId578" Type="http://schemas.openxmlformats.org/officeDocument/2006/relationships/hyperlink" Target="https://audio.iskcondesiretree.com/01_-_Srila_Prabhupada/01_-_Lectures/01_-_English/01_-_Topic_wise/Srimad_Bhagavatam/Canto-02/SP_SB_2-03-01_Los_Angeles_1972-05-22_If_You_Want_Vagina_Instead_of_Krishna.mp3" TargetMode="External"/><Relationship Id="rId785" Type="http://schemas.openxmlformats.org/officeDocument/2006/relationships/hyperlink" Target="https://audio.iskcondesiretree.com/01_-_Srila_Prabhupada/01_-_Lectures/01_-_English/01_-_Topic_wise/Srimad_Bhagavatam/Canto-01/SP_SB_1-02-25_Vrindavan_1972-11-05_Impersonalists_Misguide_People.mp3" TargetMode="External"/><Relationship Id="rId992" Type="http://schemas.openxmlformats.org/officeDocument/2006/relationships/hyperlink" Target="https://audio.iskcondesiretree.com/01_-_Srila_Prabhupada/01_-_Lectures/01_-_English/02_-_Month_wise/05_-_May/05/SB_1-08-43_LA_1973-05-05_Protector_of_Cows_and_Brahmanas.mp3" TargetMode="External"/><Relationship Id="rId2259" Type="http://schemas.openxmlformats.org/officeDocument/2006/relationships/hyperlink" Target="https://audio.iskcondesiretree.com/01_-_Srila_Prabhupada/01_-_Lectures/01_-_English/02_-_Month_wise/07_-_July/09/Walk_1974-07-09_MW-LOS%20ANGELES.MP3" TargetMode="External"/><Relationship Id="rId2466" Type="http://schemas.openxmlformats.org/officeDocument/2006/relationships/hyperlink" Target="https://audio.iskcondesiretree.com/01_-_Srila_Prabhupada/01_-_Lectures/01_-_English/02_-_Month_wise/10_-_October/24/SB_1-08-44_MAY_1974-10-24_Selected_Words_for_the_Smiling_Lord.mp3" TargetMode="External"/><Relationship Id="rId2673" Type="http://schemas.openxmlformats.org/officeDocument/2006/relationships/hyperlink" Target="https://audio.iskcondesiretree.com/01_-_Srila_Prabhupada/01_-_Lectures/01_-_English/02_-_Month_wise/01_-_January/04/SB_3-26-27_BOM_1975-01-04_Controlling_the_Uncontrollable.mp3" TargetMode="External"/><Relationship Id="rId2880" Type="http://schemas.openxmlformats.org/officeDocument/2006/relationships/hyperlink" Target="https://audio.iskcondesiretree.com/01_-_Srila_Prabhupada/01_-_Lectures/01_-_English/02_-_Month_wise/03_-_March/01/Conv_1975-03-01_R2-ATLANTA.MP3" TargetMode="External"/><Relationship Id="rId3517" Type="http://schemas.openxmlformats.org/officeDocument/2006/relationships/hyperlink" Target="https://audio.iskcondesiretree.com/01_-_Srila_Prabhupada/01_-_Lectures/01_-_English/02_-_Month_wise/07_-_July/13/Conv_1975-07-13_R3-PHILADELPHIA.MP3" TargetMode="External"/><Relationship Id="rId3724" Type="http://schemas.openxmlformats.org/officeDocument/2006/relationships/hyperlink" Target="https://audio.iskcondesiretree.com/01_-_Srila_Prabhupada/01_-_Lectures/01_-_English/01_-_Topic_wise/Srimad_Bhagavatam/Canto-06/SP_SB_6-02-01_Vrindavan_1975-09-05_ABC%27s_of_Degradation_%26_Elevation.mp3" TargetMode="External"/><Relationship Id="rId3931" Type="http://schemas.openxmlformats.org/officeDocument/2006/relationships/hyperlink" Target="https://audio.iskcondesiretree.com/01_-_Srila_Prabhupada/01_-_Lectures/01_-_English/02_-_Month_wise/10_-_October/29/Bg_07-03_NAI_1975-10-29_Everyone_Here_Is_a_Fool_Number_One.mp3" TargetMode="External"/><Relationship Id="rId6130" Type="http://schemas.openxmlformats.org/officeDocument/2006/relationships/hyperlink" Target="https://audio.iskcondesiretree.com/01_-_Srila_Prabhupada/01_-_Lectures/01_-_English/01_-_Topic_wise/Stories/SP_Story_06_Birds_in_net.mp3" TargetMode="External"/><Relationship Id="rId438" Type="http://schemas.openxmlformats.org/officeDocument/2006/relationships/hyperlink" Target="https://audio.iskcondesiretree.com/01_-_Srila_Prabhupada/01_-_Lectures/01_-_English/01_-_Topic_wise/Various/SP_Lecture_New_Vrindavan_1969-06-04_Initiation--This_World_Is_Hong_Kong_Flu.mp3" TargetMode="External"/><Relationship Id="rId645" Type="http://schemas.openxmlformats.org/officeDocument/2006/relationships/hyperlink" Target="https://audio.iskcondesiretree.com/01_-_Srila_Prabhupada/01_-_Lectures/01_-_English/02_-_Month_wise/08_-_August/17/SB_1-02-14_LA_1972-08-17_Make_Four_Social_Classes.mp3" TargetMode="External"/><Relationship Id="rId852" Type="http://schemas.openxmlformats.org/officeDocument/2006/relationships/hyperlink" Target="https://audio.iskcondesiretree.com/01_-_Srila_Prabhupada/01_-_Lectures/01_-_English/01_-_Topic_wise/Bhagavad_Gita/Chapter-02/SP_BG_02-01_Ahmedabad_1972-12-06_Krishna_Gave_Bhagavad-gita_to--etc.mp3" TargetMode="External"/><Relationship Id="rId1068" Type="http://schemas.openxmlformats.org/officeDocument/2006/relationships/hyperlink" Target="https://audio.iskcondesiretree.com/01_-_Srila_Prabhupada/01_-_Lectures/01_-_English/01_-_Topic_wise/Room_Conversation/SP_Room_Conversation_London_1973-07-10_Prof_Waddell_of_Private_Boys--etc.mp3" TargetMode="External"/><Relationship Id="rId1275" Type="http://schemas.openxmlformats.org/officeDocument/2006/relationships/hyperlink" Target="https://audio.iskcondesiretree.com/01_-_Srila_Prabhupada/01_-_Lectures/01_-_English/01_-_Topic_wise/Room_Conversation/SP_Room_Conversation_Stockholm_1973-09-10_Psychiatrist--Ours_Is_a_Psychiatric_Movement.mp3" TargetMode="External"/><Relationship Id="rId1482" Type="http://schemas.openxmlformats.org/officeDocument/2006/relationships/hyperlink" Target="https://audio.iskcondesiretree.com/01_-_Srila_Prabhupada/01_-_Lectures/01_-_English/02_-_Month_wise/01_-_January/04/SB-01-16-07_1974-01-04_SB-LOS_ANGELES.MP3" TargetMode="External"/><Relationship Id="rId2119" Type="http://schemas.openxmlformats.org/officeDocument/2006/relationships/hyperlink" Target="https://audio.iskcondesiretree.com/01_-_Srila_Prabhupada/01_-_Lectures/01_-_English/01_-_Topic_wise/Srimad_Bhagavatam/Canto-02/SP_SB_2-01-05_Paris_1974-06-13_Hear_Chant_and_Be_Fearless.mp3" TargetMode="External"/><Relationship Id="rId2326" Type="http://schemas.openxmlformats.org/officeDocument/2006/relationships/hyperlink" Target="https://audio.iskcondesiretree.com/01_-_Srila_Prabhupada/01_-_Lectures/01_-_English/02_-_Month_wise/08_-_August/06/SB-01-05-25_1974-08-06_SB-VRNDAVAN.MP3" TargetMode="External"/><Relationship Id="rId2533" Type="http://schemas.openxmlformats.org/officeDocument/2006/relationships/hyperlink" Target="https://audio.iskcondesiretree.com/01_-_Srila_Prabhupada/01_-_Lectures/01_-_English/01_-_Topic_wise/Srimad_Bhagavatam/Canto-03/SP_SB_3-25-19_Bombay_1974-11-19_One_Kind_of_Devotion_Will_Do.mp3" TargetMode="External"/><Relationship Id="rId2740" Type="http://schemas.openxmlformats.org/officeDocument/2006/relationships/hyperlink" Target="https://audio.iskcondesiretree.com/01_-_Srila_Prabhupada/01_-_Lectures/01_-_English/01_-_Topic_wise/Bhagavad_Gita/Chapter-16/SP_BG_16-01_Hawaii_1975-01-29_The_Cure_for_Fear.mp3" TargetMode="External"/><Relationship Id="rId5689" Type="http://schemas.openxmlformats.org/officeDocument/2006/relationships/hyperlink" Target="https://audio.iskcondesiretree.com/01_-_Srila_Prabhupada/01_-_Lectures/01_-_English/02_-_Month_wise/02_-_Feburary/08/Fest_MAY_1977-02-08_Bhaktisiddhantas_Appearance.mp3" TargetMode="External"/><Relationship Id="rId5896" Type="http://schemas.openxmlformats.org/officeDocument/2006/relationships/hyperlink" Target="https://audio.iskcondesiretree.com/01_-_Srila_Prabhupada/01_-_Lectures/01_-_English/02_-_Month_wise/07_-_July/01/Conv_1977-07-01_R1-VRNDAVAN.MP3" TargetMode="External"/><Relationship Id="rId505" Type="http://schemas.openxmlformats.org/officeDocument/2006/relationships/hyperlink" Target="https://audio.iskcondesiretree.com/01_-_Srila_Prabhupada/01_-_Lectures/01_-_English/02_-_Month_wise/04_-_April/30/Iso_01_LA_1970-04-30_Our_Defeat.mp3" TargetMode="External"/><Relationship Id="rId712" Type="http://schemas.openxmlformats.org/officeDocument/2006/relationships/hyperlink" Target="https://audio.iskcondesiretree.com/01_-_Srila_Prabhupada/01_-_Lectures/01_-_English/02_-_Month_wise/09_-_September/30/Lect_LB_1972-09-30_Beyond_Mirage_to_the_Real_World.mp3" TargetMode="External"/><Relationship Id="rId1135" Type="http://schemas.openxmlformats.org/officeDocument/2006/relationships/hyperlink" Target="https://audio.iskcondesiretree.com/01_-_Srila_Prabhupada/01_-_Lectures/01_-_English/02_-_Month_wise/07_-_July/30/Bg_01-43_LON_1973-07-30_There_Is_Only_One_Remedy.mp3" TargetMode="External"/><Relationship Id="rId1342" Type="http://schemas.openxmlformats.org/officeDocument/2006/relationships/hyperlink" Target="https://audio.iskcondesiretree.com/01_-_Srila_Prabhupada/01_-_Lectures/01_-_English/02_-_Month_wise/11_-_November/01/RC_DEL_1973-11-01_These_Miseries_Will_Follow_You.mp3" TargetMode="External"/><Relationship Id="rId4498" Type="http://schemas.openxmlformats.org/officeDocument/2006/relationships/hyperlink" Target="https://audio.iskcondesiretree.com/01_-_Srila_Prabhupada/01_-_Lectures/01_-_English/02_-_Month_wise/04_-_April/19/Bg-09-01_1976-04-19_BG-MELBOURNE.MP3" TargetMode="External"/><Relationship Id="rId5549" Type="http://schemas.openxmlformats.org/officeDocument/2006/relationships/hyperlink" Target="https://audio.iskcondesiretree.com/01_-_Srila_Prabhupada/01_-_Lectures/01_-_English/02_-_Month_wise/01_-_January/02/Conv_1977-01-02_R1-BOMBAY.MP3" TargetMode="External"/><Relationship Id="rId1202" Type="http://schemas.openxmlformats.org/officeDocument/2006/relationships/hyperlink" Target="https://audio.iskcondesiretree.com/01_-_Srila_Prabhupada/01_-_Lectures/01_-_English/02_-_Month_wise/08_-_August/21/Fest_LON_1973-08-21_Deity_Installation_Why_Krishna_etc.mp3" TargetMode="External"/><Relationship Id="rId2600" Type="http://schemas.openxmlformats.org/officeDocument/2006/relationships/hyperlink" Target="https://audio.iskcondesiretree.com/01_-_Srila_Prabhupada/01_-_Lectures/01_-_English/01_-_Topic_wise/Srimad_Bhagavatam/Canto-03/SP_SB_3-25-43_Bombay_1974-12-11_New_Orleans_More_Fear.mp3" TargetMode="External"/><Relationship Id="rId4358" Type="http://schemas.openxmlformats.org/officeDocument/2006/relationships/hyperlink" Target="https://audio.iskcondesiretree.com/01_-_Srila_Prabhupada/01_-_Lectures/01_-_English/02_-_Month_wise/03_-_March/14/Walk_1976-03-14_MW-MAYAPUR.MP3" TargetMode="External"/><Relationship Id="rId5409" Type="http://schemas.openxmlformats.org/officeDocument/2006/relationships/hyperlink" Target="https://audio.iskcondesiretree.com/01_-_Srila_Prabhupada/01_-_Lectures/01_-_English/01_-_Topic_wise/Srimad_Bhagavatam/Canto-05/SP_SB_5-05-25_Vrindavan_1976-11-12_Hog_Intestines_or_Halava.mp3" TargetMode="External"/><Relationship Id="rId5756" Type="http://schemas.openxmlformats.org/officeDocument/2006/relationships/hyperlink" Target="https://audio.iskcondesiretree.com/01_-_Srila_Prabhupada/01_-_Lectures/01_-_English/02_-_Month_wise/03_-_March/22/Conv_1977-03-22_R1-BOMBAY.MP3" TargetMode="External"/><Relationship Id="rId5963" Type="http://schemas.openxmlformats.org/officeDocument/2006/relationships/hyperlink" Target="https://audio.iskcondesiretree.com/01_-_Srila_Prabhupada/01_-_Lectures/01_-_English/02_-_Month_wise/10_-_October/22/Conv_1977-10-22_R1-VRNDAVAN.MP3" TargetMode="External"/><Relationship Id="rId3167" Type="http://schemas.openxmlformats.org/officeDocument/2006/relationships/hyperlink" Target="https://audio.iskcondesiretree.com/01_-_Srila_Prabhupada/01_-_Lectures/01_-_English/02_-_Month_wise/05_-_May/12/RC_PER_1975-05-12_Psychiatrist_and_Indian_etc.mp3" TargetMode="External"/><Relationship Id="rId4565" Type="http://schemas.openxmlformats.org/officeDocument/2006/relationships/hyperlink" Target="https://audio.iskcondesiretree.com/01_-_Srila_Prabhupada/01_-_Lectures/01_-_English/01_-_Topic_wise/Room_Conversation/SP_Room_Conversation_Honolulu_1976-05-04_That_Rascal-Mao_Tse-Tung.mp3" TargetMode="External"/><Relationship Id="rId4772" Type="http://schemas.openxmlformats.org/officeDocument/2006/relationships/hyperlink" Target="https://audio.iskcondesiretree.com/01_-_Srila_Prabhupada/01_-_Lectures/01_-_English/01_-_Topic_wise/Room_Conversation/SP_Room_Conversation_Toronto_1976-06-18_Prof_O%27Connell--Real_Education_is--etc.mp3" TargetMode="External"/><Relationship Id="rId5616" Type="http://schemas.openxmlformats.org/officeDocument/2006/relationships/hyperlink" Target="https://audio.iskcondesiretree.com/01_-_Srila_Prabhupada/01_-_Lectures/01_-_English/02_-_Month_wise/01_-_January/22/Conv_1977-01-22_R1-BHUBANESWAR.MP3" TargetMode="External"/><Relationship Id="rId5823" Type="http://schemas.openxmlformats.org/officeDocument/2006/relationships/hyperlink" Target="https://audio.iskcondesiretree.com/01_-_Srila_Prabhupada/01_-_Lectures/01_-_English/02_-_Month_wise/04_-_April/25/Conv_1977-04-25_R2-BOMBAY.MP3" TargetMode="External"/><Relationship Id="rId295" Type="http://schemas.openxmlformats.org/officeDocument/2006/relationships/hyperlink" Target="https://audio.iskcondesiretree.com/01_-_Srila_Prabhupada/01_-_Lectures/01_-_English/02_-_Month_wise/11_-_November/15/Lect_LA_1968-11-15_Dipping_Into_Ocean_of_Love_of_Krishna.mp3" TargetMode="External"/><Relationship Id="rId3374" Type="http://schemas.openxmlformats.org/officeDocument/2006/relationships/hyperlink" Target="https://audio.iskcondesiretree.com/01_-_Srila_Prabhupada/01_-_Lectures/01_-_English/01_-_Topic_wise/Srimad_Bhagavatam/Canto-06/SP_SB_6-01-13_Honolulu_1975-06-26_God_is_not_a_Petty_Thing.mp3" TargetMode="External"/><Relationship Id="rId3581" Type="http://schemas.openxmlformats.org/officeDocument/2006/relationships/hyperlink" Target="https://audio.iskcondesiretree.com/01_-_Srila_Prabhupada/01_-_Lectures/01_-_English/02_-_Month_wise/07_-_July/24/SB-06-01-43_1975-07-24_SB-LOS%20ANGELES.MP3" TargetMode="External"/><Relationship Id="rId4218" Type="http://schemas.openxmlformats.org/officeDocument/2006/relationships/hyperlink" Target="https://audio.iskcondesiretree.com/01_-_Srila_Prabhupada/01_-_Lectures/01_-_English/02_-_Month_wise/02_-_Feburary/08/SB-07-09-01_1976-02-08_SB-MAYAPUR.MP3" TargetMode="External"/><Relationship Id="rId4425" Type="http://schemas.openxmlformats.org/officeDocument/2006/relationships/hyperlink" Target="https://audio.iskcondesiretree.com/01_-_Srila_Prabhupada/01_-_Lectures/01_-_English/01_-_Topic_wise/Srimad_Bhagavatam/Canto-07/SP_SB_7-09-49_Vrindavan_1976-04-04_Big_Talk_Hard_Work-_Not_the_Way.mp3" TargetMode="External"/><Relationship Id="rId4632" Type="http://schemas.openxmlformats.org/officeDocument/2006/relationships/hyperlink" Target="https://audio.iskcondesiretree.com/01_-_Srila_Prabhupada/01_-_Lectures/01_-_English/02_-_Month_wise/05_-_May/21/SB-06-01-21_1976-05-21_SB-HONOLULU.MP3" TargetMode="External"/><Relationship Id="rId2183" Type="http://schemas.openxmlformats.org/officeDocument/2006/relationships/hyperlink" Target="https://audio.iskcondesiretree.com/01_-_Srila_Prabhupada/01_-_Lectures/01_-_English/02_-_Month_wise/06_-_June/22/Bg-02-13_1974-06-22_BG-GERMANY.MP3" TargetMode="External"/><Relationship Id="rId2390" Type="http://schemas.openxmlformats.org/officeDocument/2006/relationships/hyperlink" Target="https://audio.iskcondesiretree.com/01_-_Srila_Prabhupada/01_-_Lectures/01_-_English/02_-_Month_wise/09_-_September/27/Arrival_1974-09-27_AR-MAYAPUR.MP3" TargetMode="External"/><Relationship Id="rId3027" Type="http://schemas.openxmlformats.org/officeDocument/2006/relationships/hyperlink" Target="https://audio.iskcondesiretree.com/01_-_Srila_Prabhupada/01_-_Lectures/01_-_English/02_-_Month_wise/04_-_April/01/MW_MAY_1975-04-01_Deaf_Man_Thinks_All_Others_are_Deaf.mp3" TargetMode="External"/><Relationship Id="rId3234" Type="http://schemas.openxmlformats.org/officeDocument/2006/relationships/hyperlink" Target="https://audio.iskcondesiretree.com/01_-_Srila_Prabhupada/01_-_Lectures/01_-_English/02_-_Month_wise/05_-_May/22/Walk_1975-05-22_MW-MELBOURNE.MP3" TargetMode="External"/><Relationship Id="rId3441" Type="http://schemas.openxmlformats.org/officeDocument/2006/relationships/hyperlink" Target="https://audio.iskcondesiretree.com/01_-_Srila_Prabhupada/01_-_Lectures/01_-_English/02_-_Month_wise/07_-_July/05/Conv_1975-07-05_R2-CHICAGO.MP3" TargetMode="External"/><Relationship Id="rId155" Type="http://schemas.openxmlformats.org/officeDocument/2006/relationships/hyperlink" Target="https://audio.iskcondesiretree.com/01_-_Srila_Prabhupada/01_-_Lectures/01_-_English/02_-_Month_wise/12_-_December/08/Bg_09-22_NY_1966-12-08_God_Is_Open_for_Everyone.mp3" TargetMode="External"/><Relationship Id="rId362" Type="http://schemas.openxmlformats.org/officeDocument/2006/relationships/hyperlink" Target="https://audio.iskcondesiretree.com/01_-_Srila_Prabhupada/01_-_Lectures/01_-_English/02_-_Month_wise/02_-_Feburary/07/Fest_LA_1969-02-07_Bhaktisiddhanta_Appearance.mp3" TargetMode="External"/><Relationship Id="rId2043" Type="http://schemas.openxmlformats.org/officeDocument/2006/relationships/hyperlink" Target="https://audio.iskcondesiretree.com/01_-_Srila_Prabhupada/01_-_Lectures/01_-_English/02_-_Month_wise/06_-_June/03/Walk_1974-06-03_MW-GENEVA.MP3" TargetMode="External"/><Relationship Id="rId2250" Type="http://schemas.openxmlformats.org/officeDocument/2006/relationships/hyperlink" Target="https://audio.iskcondesiretree.com/01_-_Srila_Prabhupada/01_-_Lectures/01_-_English/01_-_Topic_wise/Arrival_Address/SP_Arrival_Los_Angeles_1974-07-08_Education_Culture_Happiness_Satisfaction.mp3" TargetMode="External"/><Relationship Id="rId3301" Type="http://schemas.openxmlformats.org/officeDocument/2006/relationships/hyperlink" Target="https://audio.iskcondesiretree.com/01_-_Srila_Prabhupada/01_-_Lectures/01_-_English/02_-_Month_wise/06_-_June/15/Walk_1975-06-15_MW-HONOLULU.MP3" TargetMode="External"/><Relationship Id="rId5199" Type="http://schemas.openxmlformats.org/officeDocument/2006/relationships/hyperlink" Target="https://audio.iskcondesiretree.com/01_-_Srila_Prabhupada/01_-_Lectures/01_-_English/02_-_Month_wise/09_-_September/07/Conv_1976-09-07_R1-VRNDAVAN.MP3" TargetMode="External"/><Relationship Id="rId222" Type="http://schemas.openxmlformats.org/officeDocument/2006/relationships/hyperlink" Target="https://audio.iskcondesiretree.com/01_-_Srila_Prabhupada/01_-_Lectures/01_-_English/01_-_Topic_wise/Room_Conversation/SP_Room_Conversation_Sanand_Francisco_1967-04-05_Part_1_Outline_of_Lord_Caitanya_Play.mp3" TargetMode="External"/><Relationship Id="rId2110" Type="http://schemas.openxmlformats.org/officeDocument/2006/relationships/hyperlink" Target="https://audio.iskcondesiretree.com/01_-_Srila_Prabhupada/01_-_Lectures/01_-_English/02_-_Month_wise/06_-_June/12/RC_PAR_1974-06-12_Communist_etc.mp3" TargetMode="External"/><Relationship Id="rId5059" Type="http://schemas.openxmlformats.org/officeDocument/2006/relationships/hyperlink" Target="https://audio.iskcondesiretree.com/01_-_Srila_Prabhupada/01_-_Lectures/01_-_English/02_-_Month_wise/08_-_August/03/RC_PAR_1976-08-03_Satisfaction_Without_Science_Sex_etc.mp3" TargetMode="External"/><Relationship Id="rId5266" Type="http://schemas.openxmlformats.org/officeDocument/2006/relationships/hyperlink" Target="https://audio.iskcondesiretree.com/01_-_Srila_Prabhupada/01_-_Lectures/01_-_English/02_-_Month_wise/09_-_September/26/Conv_1976-09-26_R1-VRNDAVAN.MP3" TargetMode="External"/><Relationship Id="rId5473" Type="http://schemas.openxmlformats.org/officeDocument/2006/relationships/hyperlink" Target="https://audio.iskcondesiretree.com/01_-_Srila_Prabhupada/01_-_Lectures/01_-_English/02_-_Month_wise/12_-_December/04/Darshan%E2%80%93Hindi_1976-12-04_ED-HYDERABAD.MP3" TargetMode="External"/><Relationship Id="rId5680" Type="http://schemas.openxmlformats.org/officeDocument/2006/relationships/hyperlink" Target="https://audio.iskcondesiretree.com/01_-_Srila_Prabhupada/01_-_Lectures/01_-_English/01_-_Topic_wise/Arrival_Address/SP_Arrival_Calcutta_1977-02-04_The_Fight_Against_Atheism.mp3" TargetMode="External"/><Relationship Id="rId4075" Type="http://schemas.openxmlformats.org/officeDocument/2006/relationships/hyperlink" Target="https://audio.iskcondesiretree.com/01_-_Srila_Prabhupada/01_-_Lectures/01_-_English/02_-_Month_wise/12_-_December/10/Walk_1975-12-10_MW-VRNDAVAN.MP3" TargetMode="External"/><Relationship Id="rId4282" Type="http://schemas.openxmlformats.org/officeDocument/2006/relationships/hyperlink" Target="https://audio.iskcondesiretree.com/01_-_Srila_Prabhupada/01_-_Lectures/01_-_English/02_-_Month_wise/02_-_Feburary/25/SB_7-09-18_MAY_1976-02-25_Literature_vs_Literature.mp3" TargetMode="External"/><Relationship Id="rId5126" Type="http://schemas.openxmlformats.org/officeDocument/2006/relationships/hyperlink" Target="https://audio.iskcondesiretree.com/01_-_Srila_Prabhupada/01_-_Lectures/01_-_English/02_-_Month_wise/08_-_August/17/Cc_M_20-395_HYD_1976-08-17_Vaisnava_Philosophy.mp3" TargetMode="External"/><Relationship Id="rId5333" Type="http://schemas.openxmlformats.org/officeDocument/2006/relationships/hyperlink" Target="https://audio.iskcondesiretree.com/01_-_Srila_Prabhupada/01_-_Lectures/01_-_English/01_-_Topic_wise/Interview/SP_Interview_Chandigarh_1976-10-16_Press--Everyone_of_You-Become_Guru.mp3" TargetMode="External"/><Relationship Id="rId1669" Type="http://schemas.openxmlformats.org/officeDocument/2006/relationships/hyperlink" Target="https://audio.iskcondesiretree.com/01_-_Srila_Prabhupada/01_-_Lectures/01_-_English/01_-_Topic_wise/Chaitanya_Charitamrita/Adi_Lila/SP_CC_A_07-03_Mayapur_1974-03-03_Stop_Serving_the_Senses.mp3" TargetMode="External"/><Relationship Id="rId1876" Type="http://schemas.openxmlformats.org/officeDocument/2006/relationships/hyperlink" Target="https://audio.iskcondesiretree.com/01_-_Srila_Prabhupada/01_-_Lectures/01_-_English/02_-_Month_wise/04_-_April/15/Bg_04-26_BOM_1974-04-15_Attracted_by_Spiritual_Affairs.mp3" TargetMode="External"/><Relationship Id="rId2927" Type="http://schemas.openxmlformats.org/officeDocument/2006/relationships/hyperlink" Target="https://audio.iskcondesiretree.com/01_-_Srila_Prabhupada/01_-_Lectures/01_-_English/02_-_Month_wise/03_-_March/08/Conv_1975-03-08_R1-LONDON.MP3" TargetMode="External"/><Relationship Id="rId3091" Type="http://schemas.openxmlformats.org/officeDocument/2006/relationships/hyperlink" Target="https://audio.iskcondesiretree.com/01_-_Srila_Prabhupada/01_-_Lectures/01_-_English/01_-_Topic_wise/Srimad_Bhagavatam/Canto-05/SP_SB_5-05-02_Hyderabad_1975-04-12_The_Essence_of_Scripture.mp3" TargetMode="External"/><Relationship Id="rId4142" Type="http://schemas.openxmlformats.org/officeDocument/2006/relationships/hyperlink" Target="https://audio.iskcondesiretree.com/01_-_Srila_Prabhupada/01_-_Lectures/01_-_English/02_-_Month_wise/01_-_January/01/BG_03-07_MAD_1976-01-01_Educating_the_Mudhas.mp3" TargetMode="External"/><Relationship Id="rId5540" Type="http://schemas.openxmlformats.org/officeDocument/2006/relationships/hyperlink" Target="https://audio.iskcondesiretree.com/01_-_Srila_Prabhupada/01_-_Lectures/01_-_English/02_-_Month_wise/12_-_December/29/Conv_1976-12-29_R1-BOMBAY.MP3" TargetMode="External"/><Relationship Id="rId1529" Type="http://schemas.openxmlformats.org/officeDocument/2006/relationships/hyperlink" Target="https://audio.iskcondesiretree.com/01_-_Srila_Prabhupada/01_-_Lectures/01_-_English/02_-_Month_wise/01_-_January/15/SB_1-16-19_HAW_1974-01-15_Antidotes_for_Contaminated_Age.mp3" TargetMode="External"/><Relationship Id="rId1736" Type="http://schemas.openxmlformats.org/officeDocument/2006/relationships/hyperlink" Target="https://audio.iskcondesiretree.com/01_-_Srila_Prabhupada/01_-_Lectures/01_-_English/02_-_Month_wise/03_-_March/20/Conv_1974-03-20_R1-BOMBAY.MP3" TargetMode="External"/><Relationship Id="rId1943" Type="http://schemas.openxmlformats.org/officeDocument/2006/relationships/hyperlink" Target="https://audio.iskcondesiretree.com/01_-_Srila_Prabhupada/01_-_Lectures/01_-_English/02_-_Month_wise/04_-_April/29/MW_HYD_1974-04-29_Miracles_and_MIRACLES.mp3" TargetMode="External"/><Relationship Id="rId5400" Type="http://schemas.openxmlformats.org/officeDocument/2006/relationships/hyperlink" Target="https://audio.iskcondesiretree.com/01_-_Srila_Prabhupada/01_-_Lectures/01_-_English/02_-_Month_wise/11_-_November/09/SB_5-05-21_VRN_1976-11-09_Evolved_Consciousness.mp3" TargetMode="External"/><Relationship Id="rId28" Type="http://schemas.openxmlformats.org/officeDocument/2006/relationships/hyperlink" Target="https://audio.iskcondesiretree.com/01_-_Srila_Prabhupada/01_-_Lectures/01_-_English/01_-_Topic_wise/Bhagavad_Gita/Chapter-02/SP_BG_02-55_New_York_1966-04-15_Coming_Off_the_Mental_Platform.mp3" TargetMode="External"/><Relationship Id="rId1803" Type="http://schemas.openxmlformats.org/officeDocument/2006/relationships/hyperlink" Target="https://audio.iskcondesiretree.com/01_-_Srila_Prabhupada/01_-_Lectures/01_-_English/02_-_Month_wise/04_-_April/01/Ramachandra_Appearance_1974-04-01_BG-BOMBAY.MP3" TargetMode="External"/><Relationship Id="rId4002" Type="http://schemas.openxmlformats.org/officeDocument/2006/relationships/hyperlink" Target="https://audio.iskcondesiretree.com/01_-_Srila_Prabhupada/01_-_Lectures/01_-_English/02_-_Month_wise/11_-_November/17/MW_BOM_1975-11-17_Dressed_Animals-Educated_Dogs.mp3" TargetMode="External"/><Relationship Id="rId4959" Type="http://schemas.openxmlformats.org/officeDocument/2006/relationships/hyperlink" Target="https://audio.iskcondesiretree.com/01_-_Srila_Prabhupada/01_-_Lectures/01_-_English/02_-_Month_wise/07_-_July/12/Walk_1976-07-12_MW-NEW%20YORK.MP3" TargetMode="External"/><Relationship Id="rId3768" Type="http://schemas.openxmlformats.org/officeDocument/2006/relationships/hyperlink" Target="https://audio.iskcondesiretree.com/01_-_Srila_Prabhupada/01_-_Lectures/01_-_English/02_-_Month_wise/09_-_September/17/Walk_1975-09-17_MW-VRNDAVAN.MP3" TargetMode="External"/><Relationship Id="rId3975" Type="http://schemas.openxmlformats.org/officeDocument/2006/relationships/hyperlink" Target="https://audio.iskcondesiretree.com/01_-_Srila_Prabhupada/01_-_Lectures/01_-_English/02_-_Month_wise/11_-_November/11/MW_BOM_1975-11-11_Advancement_of_Maya.mp3" TargetMode="External"/><Relationship Id="rId4819" Type="http://schemas.openxmlformats.org/officeDocument/2006/relationships/hyperlink" Target="https://audio.iskcondesiretree.com/01_-_Srila_Prabhupada/01_-_Lectures/01_-_English/02_-_Month_wise/06_-_June/24/RC_NV_1976-06-24_You_Enjoy_and_Forget_Goal.mp3" TargetMode="External"/><Relationship Id="rId6174" Type="http://schemas.openxmlformats.org/officeDocument/2006/relationships/hyperlink" Target="https://audio.iskcondesiretree.com/01_-_Srila_Prabhupada/01_-_Lectures/03_-_Hindi/SP_Hindi_02_Lectures_%26_Conversations.mp3" TargetMode="External"/><Relationship Id="rId689" Type="http://schemas.openxmlformats.org/officeDocument/2006/relationships/hyperlink" Target="https://audio.iskcondesiretree.com/01_-_Srila_Prabhupada/01_-_Lectures/01_-_English/02_-_Month_wise/09_-_September/18/SB_1-03-13_LA_1972-09-18_You_Must_First_Be_Gentle.mp3" TargetMode="External"/><Relationship Id="rId896" Type="http://schemas.openxmlformats.org/officeDocument/2006/relationships/hyperlink" Target="https://audio.iskcondesiretree.com/01_-_Srila_Prabhupada/01_-_Lectures/01_-_English/01_-_Topic_wise/Srimad_Bhagavatam/More/SP_SB_Lect_Bombay_1973-01-12_At_Pandal--Glories_of_Srimad-Bhagavatam.mp3" TargetMode="External"/><Relationship Id="rId2577" Type="http://schemas.openxmlformats.org/officeDocument/2006/relationships/hyperlink" Target="https://audio.iskcondesiretree.com/01_-_Srila_Prabhupada/01_-_Lectures/01_-_English/02_-_Month_wise/12_-_December/03/SB-03-25-33%E2%80%9334_1974-12-03_SB-BOMBAY.MP3" TargetMode="External"/><Relationship Id="rId2784" Type="http://schemas.openxmlformats.org/officeDocument/2006/relationships/hyperlink" Target="https://audio.iskcondesiretree.com/01_-_Srila_Prabhupada/01_-_Lectures/01_-_English/01_-_Topic_wise/Bhagavad_Gita/Chapter-02/SP_BG_02-11_Mexico_1975-02-11_Associate_with_Faithful.mp3" TargetMode="External"/><Relationship Id="rId3628" Type="http://schemas.openxmlformats.org/officeDocument/2006/relationships/hyperlink" Target="https://audio.iskcondesiretree.com/01_-_Srila_Prabhupada/01_-_Lectures/01_-_English/02_-_Month_wise/08_-_August/02/SB_1-02-09_DET_1975-08-02_Can_Sugar_Not_be_Sweet.mp3" TargetMode="External"/><Relationship Id="rId5190" Type="http://schemas.openxmlformats.org/officeDocument/2006/relationships/hyperlink" Target="https://audio.iskcondesiretree.com/01_-_Srila_Prabhupada/01_-_Lectures/01_-_English/01_-_Topic_wise/Srimad_Bhagavatam/Canto-01/SP_SB_1-07-07_Vrindavan_1976-09-06_To_Live_Means_to_Love_Krishna.mp3" TargetMode="External"/><Relationship Id="rId6034" Type="http://schemas.openxmlformats.org/officeDocument/2006/relationships/hyperlink" Target="https://audio.iskcondesiretree.com/01_-_Srila_Prabhupada/01_-_Lectures/01_-_English/01_-_Topic_wise/Bhagavad_Gita_Recitation/SP_BG_Recitation_Chapter-01_-_Sanskrit.mp3" TargetMode="External"/><Relationship Id="rId549" Type="http://schemas.openxmlformats.org/officeDocument/2006/relationships/hyperlink" Target="https://audio.iskcondesiretree.com/01_-_Srila_Prabhupada/01_-_Lectures/01_-_English/02_-_Month_wise/07_-_July/24/SB_6-01-09_NY_1971-07-24_Heinous_Proposals_Heinous_Habits.mp3" TargetMode="External"/><Relationship Id="rId756" Type="http://schemas.openxmlformats.org/officeDocument/2006/relationships/hyperlink" Target="https://audio.iskcondesiretree.com/01_-_Srila_Prabhupada/01_-_Lectures/01_-_English/01_-_Topic_wise/Nectar_Of_Devotion/SP_NOD_Vrindavan_1972-10-29_-_The_Mental_Culture_of_Krsna-etc.mp3" TargetMode="External"/><Relationship Id="rId1179" Type="http://schemas.openxmlformats.org/officeDocument/2006/relationships/hyperlink" Target="https://audio.iskcondesiretree.com/01_-_Srila_Prabhupada/01_-_Lectures/01_-_English/02_-_Month_wise/08_-_August/13/RC_PAR_1973-08-13_French_Nun_First-Class_Mysticism.mp3" TargetMode="External"/><Relationship Id="rId1386" Type="http://schemas.openxmlformats.org/officeDocument/2006/relationships/hyperlink" Target="https://audio.iskcondesiretree.com/01_-_Srila_Prabhupada/01_-_Lectures/01_-_English/02_-_Month_wise/12_-_December/03/SB_1-15-24_LA_1973-12-03_You_Think_You_Can_Bluff_the_etc.mp3" TargetMode="External"/><Relationship Id="rId1593" Type="http://schemas.openxmlformats.org/officeDocument/2006/relationships/hyperlink" Target="https://audio.iskcondesiretree.com/01_-_Srila_Prabhupada/01_-_Lectures/01_-_English/01_-_Topic_wise/Bhagavad_Gita/Chapter-04/SP_BG_04-02_Vrindavan_1974-02-08.mp3" TargetMode="External"/><Relationship Id="rId2437" Type="http://schemas.openxmlformats.org/officeDocument/2006/relationships/hyperlink" Target="https://audio.iskcondesiretree.com/01_-_Srila_Prabhupada/01_-_Lectures/01_-_English/02_-_Month_wise/10_-_October/13/SB_1-08-33_MAY_1974-10-13_The_Whole_Thing_in_One_Word.mp3" TargetMode="External"/><Relationship Id="rId2991" Type="http://schemas.openxmlformats.org/officeDocument/2006/relationships/hyperlink" Target="https://audio.iskcondesiretree.com/01_-_Srila_Prabhupada/01_-_Lectures/01_-_English/01_-_Topic_wise/Morning_Walk/SP_Morning_Walk_-_Mayapur_1975-03-26.MP3" TargetMode="External"/><Relationship Id="rId3835" Type="http://schemas.openxmlformats.org/officeDocument/2006/relationships/hyperlink" Target="https://audio.iskcondesiretree.com/01_-_Srila_Prabhupada/01_-_Lectures/01_-_English/02_-_Month_wise/10_-_October/07/Walk_1975-10-07_MW-DURBAN.MP3" TargetMode="External"/><Relationship Id="rId5050" Type="http://schemas.openxmlformats.org/officeDocument/2006/relationships/hyperlink" Target="https://audio.iskcondesiretree.com/01_-_Srila_Prabhupada/01_-_Lectures/01_-_English/01_-_Topic_wise/Bhagavad_Gita/Chapter-09/SP_BG_09-34_Paris_1976-08-03_Real_Love_of_Self.mp3" TargetMode="External"/><Relationship Id="rId6101" Type="http://schemas.openxmlformats.org/officeDocument/2006/relationships/hyperlink" Target="https://audio.iskcondesiretree.com/01_-_Srila_Prabhupada/01_-_Lectures/01_-_English/01_-_Topic_wise/Krishna_Book/SP_Krsna_Book_Dict_57_-_The_Killing_Satrajit_%26_Satadhanva.mp3" TargetMode="External"/><Relationship Id="rId409" Type="http://schemas.openxmlformats.org/officeDocument/2006/relationships/hyperlink" Target="https://audio.iskcondesiretree.com/01_-_Srila_Prabhupada/01_-_Lectures/01_-_English/01_-_Topic_wise/Various/SP_Lecture_Boston_1969-05-03_To_Students--Well_Centered--etc.mp3" TargetMode="External"/><Relationship Id="rId963" Type="http://schemas.openxmlformats.org/officeDocument/2006/relationships/hyperlink" Target="https://audio.iskcondesiretree.com/01_-_Srila_Prabhupada/01_-_Lectures/01_-_English/01_-_Topic_wise/Srimad_Bhagavatam/Canto-01/SP_SB_1-08-30_Los_Angeles_1973-04-22_Chant_Chant_Chant--Can%27t--etc.mp3" TargetMode="External"/><Relationship Id="rId1039" Type="http://schemas.openxmlformats.org/officeDocument/2006/relationships/hyperlink" Target="https://audio.iskcondesiretree.com/01_-_Srila_Prabhupada/01_-_Lectures/01_-_English/01_-_Topic_wise/Srimad_Bhagavatam/Canto-01/SP_SB_1-10-05_Mayapur_1973-06-20_Comforts_for_the_Body_and_Soul.mp3" TargetMode="External"/><Relationship Id="rId1246" Type="http://schemas.openxmlformats.org/officeDocument/2006/relationships/hyperlink" Target="https://audio.iskcondesiretree.com/01_-_Srila_Prabhupada/01_-_Lectures/01_-_English/01_-_Topic_wise/Bhagavad_Gita/Chapter-02/SP_BG_02-33-35_London_1973-09-03_Dishonor_Is_Worse_than_Death.mp3" TargetMode="External"/><Relationship Id="rId2644" Type="http://schemas.openxmlformats.org/officeDocument/2006/relationships/hyperlink" Target="https://audio.iskcondesiretree.com/01_-_Srila_Prabhupada/01_-_Lectures/01_-_English/02_-_Month_wise/12_-_December/25/SB_3-26-16_BOM_1974-12-25_Fear-The_Time_Factor.mp3" TargetMode="External"/><Relationship Id="rId2851" Type="http://schemas.openxmlformats.org/officeDocument/2006/relationships/hyperlink" Target="https://audio.iskcondesiretree.com/01_-_Srila_Prabhupada/01_-_Lectures/01_-_English/01_-_Topic_wise/Departure_Address/SP_Departure_Address_1975-02-25_Caracas.MP3" TargetMode="External"/><Relationship Id="rId3902" Type="http://schemas.openxmlformats.org/officeDocument/2006/relationships/hyperlink" Target="https://audio.iskcondesiretree.com/01_-_Srila_Prabhupada/01_-_Lectures/01_-_English/01_-_Topic_wise/Morning_Walk/SP_Morning_Walk_-_Johannesburg_1975-10-21_Abortionists-Kick_Them_in_Nose.mp3" TargetMode="External"/><Relationship Id="rId92" Type="http://schemas.openxmlformats.org/officeDocument/2006/relationships/hyperlink" Target="https://audio.iskcondesiretree.com/01_-_Srila_Prabhupada/01_-_Lectures/01_-_English/01_-_Topic_wise/Festivals/SP_Festivals_New_York_1966-11-04_Govardhana_Puja.mp3" TargetMode="External"/><Relationship Id="rId616" Type="http://schemas.openxmlformats.org/officeDocument/2006/relationships/hyperlink" Target="https://audio.iskcondesiretree.com/01_-_Srila_Prabhupada/01_-_Lectures/01_-_English/01_-_Topic_wise/Srimad_Bhagavatam/Canto-02/SP_SB_2-03-24_Los_Angeles_1972-06-22_Steel-framed_Hearts.mp3" TargetMode="External"/><Relationship Id="rId823" Type="http://schemas.openxmlformats.org/officeDocument/2006/relationships/hyperlink" Target="https://audio.iskcondesiretree.com/01_-_Srila_Prabhupada/01_-_Lectures/01_-_English/02_-_Month_wise/11_-_November/17/Bg_02-12_HYD_1972-11-17_Meaning_of_Dhira.mp3" TargetMode="External"/><Relationship Id="rId1453" Type="http://schemas.openxmlformats.org/officeDocument/2006/relationships/hyperlink" Target="https://audio.iskcondesiretree.com/01_-_Srila_Prabhupada/01_-_Lectures/01_-_English/01_-_Topic_wise/Srimad_Bhagavatam/Canto-01/SP_SB_1-15-46_Los_Angeles_1973-12-24_Predictions_for_Age_of_Quarrel.mp3" TargetMode="External"/><Relationship Id="rId1660" Type="http://schemas.openxmlformats.org/officeDocument/2006/relationships/hyperlink" Target="https://audio.iskcondesiretree.com/01_-_Srila_Prabhupada/01_-_Lectures/01_-_English/02_-_Month_wise/02_-_Feburary/27/SB_1-02-06_CAL_1974-02-27_Krishna_Takes_Only_the_etc.mp3" TargetMode="External"/><Relationship Id="rId2504" Type="http://schemas.openxmlformats.org/officeDocument/2006/relationships/hyperlink" Target="https://audio.iskcondesiretree.com/01_-_Srila_Prabhupada/01_-_Lectures/01_-_English/02_-_Month_wise/11_-_November/09/SB-03-25-09_1974-11-09_SB-BOMBAY.MP3" TargetMode="External"/><Relationship Id="rId2711" Type="http://schemas.openxmlformats.org/officeDocument/2006/relationships/hyperlink" Target="https://audio.iskcondesiretree.com/01_-_Srila_Prabhupada/01_-_Lectures/01_-_English/02_-_Month_wise/01_-_January/19/SB-03-26-44_1975-01-19_SB-BOMBAY.MP3" TargetMode="External"/><Relationship Id="rId5867" Type="http://schemas.openxmlformats.org/officeDocument/2006/relationships/hyperlink" Target="https://audio.iskcondesiretree.com/01_-_Srila_Prabhupada/01_-_Lectures/01_-_English/02_-_Month_wise/05_-_May/27/PrabhupadaVigil_1977-05-27_VG-VRNDAVAN.MP3" TargetMode="External"/><Relationship Id="rId1106" Type="http://schemas.openxmlformats.org/officeDocument/2006/relationships/hyperlink" Target="https://audio.iskcondesiretree.com/01_-_Srila_Prabhupada/01_-_Lectures/01_-_English/01_-_Topic_wise/Bhagavad_Gita/Chapter-01/SP_BG_01-28_London_1973-07-22_The_Art_of_Preaching.mp3" TargetMode="External"/><Relationship Id="rId1313" Type="http://schemas.openxmlformats.org/officeDocument/2006/relationships/hyperlink" Target="https://audio.iskcondesiretree.com/01_-_Srila_Prabhupada/01_-_Lectures/01_-_English/01_-_Topic_wise/Bhagavad_Gita/Chapter-13/SP_BG_13-16_Bombay_1973-10-10_The_Supreme_Truth_Is_a_Person.mp3" TargetMode="External"/><Relationship Id="rId1520" Type="http://schemas.openxmlformats.org/officeDocument/2006/relationships/hyperlink" Target="https://audio.iskcondesiretree.com/01_-_Srila_Prabhupada/01_-_Lectures/01_-_English/01_-_Topic_wise/Srimad_Bhagavatam/Canto-01/SP_SB_1-16-17_Los_Angeles_1974-01-12_Democracy-Elect_Rascal_Monarch.mp3" TargetMode="External"/><Relationship Id="rId4469" Type="http://schemas.openxmlformats.org/officeDocument/2006/relationships/hyperlink" Target="https://audio.iskcondesiretree.com/01_-_Srila_Prabhupada/01_-_Lectures/01_-_English/02_-_Month_wise/04_-_April/13/Walk_1976-04-13_MW-BOMBAY.MP3" TargetMode="External"/><Relationship Id="rId4676" Type="http://schemas.openxmlformats.org/officeDocument/2006/relationships/hyperlink" Target="https://audio.iskcondesiretree.com/01_-_Srila_Prabhupada/01_-_Lectures/01_-_English/02_-_Month_wise/06_-_June/01/SB_6-01-33_HON_1976-06-01_No_Sex_in_the_Spiritual_World.mp3" TargetMode="External"/><Relationship Id="rId4883" Type="http://schemas.openxmlformats.org/officeDocument/2006/relationships/hyperlink" Target="https://audio.iskcondesiretree.com/01_-_Srila_Prabhupada/01_-_Lectures/01_-_English/02_-_Month_wise/07_-_July/03/SB-07-06-20%E2%80%9323_1976-07-03_SB-WASHINGTON%20DC.MP3" TargetMode="External"/><Relationship Id="rId5727" Type="http://schemas.openxmlformats.org/officeDocument/2006/relationships/hyperlink" Target="https://audio.iskcondesiretree.com/01_-_Srila_Prabhupada/01_-_Lectures/01_-_English/01_-_Topic_wise/Srimad_Bhagavatam/Canto-07/SP_SB_7-09-05_Mayapur_1977-02-25_Don%27t_Think_God_Has_New_Orleans_Feeling.mp3" TargetMode="External"/><Relationship Id="rId5934" Type="http://schemas.openxmlformats.org/officeDocument/2006/relationships/hyperlink" Target="https://audio.iskcondesiretree.com/01_-_Srila_Prabhupada/01_-_Lectures/01_-_English/02_-_Month_wise/10_-_October/08/Conv_1977-10-08_R1-VRNDAVAN.MP3" TargetMode="External"/><Relationship Id="rId3278" Type="http://schemas.openxmlformats.org/officeDocument/2006/relationships/hyperlink" Target="https://audio.iskcondesiretree.com/01_-_Srila_Prabhupada/01_-_Lectures/01_-_English/02_-_Month_wise/06_-_June/10/Walk_1975-06-10_MW-HONOLULU.MP3" TargetMode="External"/><Relationship Id="rId3485" Type="http://schemas.openxmlformats.org/officeDocument/2006/relationships/hyperlink" Target="https://audio.iskcondesiretree.com/01_-_Srila_Prabhupada/01_-_Lectures/01_-_English/02_-_Month_wise/07_-_July/10/Walk_1975-07-10_MW-CHICAGO.MP3" TargetMode="External"/><Relationship Id="rId3692" Type="http://schemas.openxmlformats.org/officeDocument/2006/relationships/hyperlink" Target="https://audio.iskcondesiretree.com/01_-_Srila_Prabhupada/01_-_Lectures/01_-_English/02_-_Month_wise/08_-_August/28/SB_6-01-61_VRN_1975-08-28_Sexual_Heart_Disease.mp3" TargetMode="External"/><Relationship Id="rId4329" Type="http://schemas.openxmlformats.org/officeDocument/2006/relationships/hyperlink" Target="https://audio.iskcondesiretree.com/01_-_Srila_Prabhupada/01_-_Lectures/01_-_English/01_-_Topic_wise/Srimad_Bhagavatam/Canto-07/SP_SB_7-09-30_Mayapur_1976-03-08_Enter_the_Spirit.mp3" TargetMode="External"/><Relationship Id="rId4536" Type="http://schemas.openxmlformats.org/officeDocument/2006/relationships/hyperlink" Target="https://audio.iskcondesiretree.com/01_-_Srila_Prabhupada/01_-_Lectures/01_-_English/01_-_Topic_wise/Morning_Walk/SP_Morning_Walk_-_Melbourne_1976-04-26_Krishna_Anxiety.mp3" TargetMode="External"/><Relationship Id="rId4743" Type="http://schemas.openxmlformats.org/officeDocument/2006/relationships/hyperlink" Target="https://audio.iskcondesiretree.com/01_-_Srila_Prabhupada/01_-_Lectures/01_-_English/02_-_Month_wise/06_-_June/13/Walk_1976-06-13_MW-DETROIT.MP3" TargetMode="External"/><Relationship Id="rId4950" Type="http://schemas.openxmlformats.org/officeDocument/2006/relationships/hyperlink" Target="https://audio.iskcondesiretree.com/01_-_Srila_Prabhupada/01_-_Lectures/01_-_English/02_-_Month_wise/07_-_July/11/Darshan_1976-07-11_ED-NEW%20YORK.MP3" TargetMode="External"/><Relationship Id="rId199" Type="http://schemas.openxmlformats.org/officeDocument/2006/relationships/hyperlink" Target="https://audio.iskcondesiretree.com/01_-_Srila_Prabhupada/01_-_Lectures/01_-_English/02_-_Month_wise/12_-_December/30/Cc_M_20-360_NY_1966-12-30_What_Is_the_Use_of_Becoming_etc.mp3" TargetMode="External"/><Relationship Id="rId2087" Type="http://schemas.openxmlformats.org/officeDocument/2006/relationships/hyperlink" Target="https://audio.iskcondesiretree.com/01_-_Srila_Prabhupada/01_-_Lectures/01_-_English/02_-_Month_wise/06_-_June/09/Walk_1974-06-09_MW-PARIS.MP3" TargetMode="External"/><Relationship Id="rId2294" Type="http://schemas.openxmlformats.org/officeDocument/2006/relationships/hyperlink" Target="https://audio.iskcondesiretree.com/01_-_Srila_Prabhupada/01_-_Lectures/01_-_English/01_-_Topic_wise/Srimad_Bhagavatam/Canto-01/SP_SB_1-02-19_New_Vrindavan_1974-07-21.mp3" TargetMode="External"/><Relationship Id="rId3138" Type="http://schemas.openxmlformats.org/officeDocument/2006/relationships/hyperlink" Target="https://audio.iskcondesiretree.com/01_-_Srila_Prabhupada/01_-_Lectures/01_-_English/02_-_Month_wise/04_-_April/23/Walk_1975-04-23_MW-VRNDAVAN.MP3" TargetMode="External"/><Relationship Id="rId3345" Type="http://schemas.openxmlformats.org/officeDocument/2006/relationships/hyperlink" Target="https://audio.iskcondesiretree.com/01_-_Srila_Prabhupada/01_-_Lectures/01_-_English/02_-_Month_wise/06_-_June/22/MW_LA_1975-06-22_Dedicated_to_the_Supreme_Scientist.mp3" TargetMode="External"/><Relationship Id="rId3552" Type="http://schemas.openxmlformats.org/officeDocument/2006/relationships/hyperlink" Target="https://audio.iskcondesiretree.com/01_-_Srila_Prabhupada/01_-_Lectures/01_-_English/01_-_Topic_wise/Morning_Walk/SP_Morning_Walk_-_San_Francisco_1975-07-19_%27I_Have_Gold%27_-_%27I_Am_God%27.mp3" TargetMode="External"/><Relationship Id="rId4603" Type="http://schemas.openxmlformats.org/officeDocument/2006/relationships/hyperlink" Target="https://audio.iskcondesiretree.com/01_-_Srila_Prabhupada/01_-_Lectures/01_-_English/01_-_Topic_wise/Srimad_Bhagavatam/Canto-06/SP_SB_6-01-13%3D14_Honolulu_1976-05-14_Sex_and_the_Sober.mp3" TargetMode="External"/><Relationship Id="rId266" Type="http://schemas.openxmlformats.org/officeDocument/2006/relationships/hyperlink" Target="https://audio.iskcondesiretree.com/01_-_Srila_Prabhupada/01_-_Lectures/01_-_English/01_-_Topic_wise/Various/SP_Lecture_Seattle_1968-09-27_How_to_Go_from_Misery_to_Mastery.mp3" TargetMode="External"/><Relationship Id="rId473" Type="http://schemas.openxmlformats.org/officeDocument/2006/relationships/hyperlink" Target="https://audio.iskcondesiretree.com/01_-_Srila_Prabhupada/01_-_Lectures/01_-_English/02_-_Month_wise/09_-_September/12/SB_5-05-01_LON_1969-09-12_Depend_On_Krishna.mp3" TargetMode="External"/><Relationship Id="rId680" Type="http://schemas.openxmlformats.org/officeDocument/2006/relationships/hyperlink" Target="https://audio.iskcondesiretree.com/01_-_Srila_Prabhupada/01_-_Lectures/01_-_English/01_-_Topic_wise/Bhagavad_Gita/Chapter-02/SP_BG_02-13_Pittsburgh_1972-09-08_Hear_from_the_Authority-Krishna.mp3" TargetMode="External"/><Relationship Id="rId2154" Type="http://schemas.openxmlformats.org/officeDocument/2006/relationships/hyperlink" Target="https://audio.iskcondesiretree.com/01_-_Srila_Prabhupada/01_-_Lectures/01_-_English/02_-_Month_wise/06_-_June/17/Conv_1974-06-17_R1-GERMANY.MP3" TargetMode="External"/><Relationship Id="rId2361" Type="http://schemas.openxmlformats.org/officeDocument/2006/relationships/hyperlink" Target="https://audio.iskcondesiretree.com/01_-_Srila_Prabhupada/01_-_Lectures/01_-_English/01_-_Topic_wise/Bhagavad_Gita/Chapter-07/SP_BG_07-09_Vrindavan_1974-08-15_Transcendental_%27Nature_Study%27.mp3" TargetMode="External"/><Relationship Id="rId3205" Type="http://schemas.openxmlformats.org/officeDocument/2006/relationships/hyperlink" Target="https://audio.iskcondesiretree.com/01_-_Srila_Prabhupada/01_-_Lectures/01_-_English/02_-_Month_wise/05_-_May/19/RC_MEL_1975-05-19_Mystic_Concoction_vs_Spiritual_Vision.mp3" TargetMode="External"/><Relationship Id="rId3412" Type="http://schemas.openxmlformats.org/officeDocument/2006/relationships/hyperlink" Target="https://audio.iskcondesiretree.com/01_-_Srila_Prabhupada/01_-_Lectures/01_-_English/02_-_Month_wise/07_-_July/01/MW_DEN_1975-07-01_Spiritual_Food_and_Finance.mp3" TargetMode="External"/><Relationship Id="rId4810" Type="http://schemas.openxmlformats.org/officeDocument/2006/relationships/hyperlink" Target="https://audio.iskcondesiretree.com/01_-_Srila_Prabhupada/01_-_Lectures/01_-_English/01_-_Topic_wise/Bhagavad_Gita/Chapter-06/SP_BG_06-20-25_New_Vrindavan_1976-06-23_Yoga_System--Precaution_Is--etc.mp3" TargetMode="External"/><Relationship Id="rId126" Type="http://schemas.openxmlformats.org/officeDocument/2006/relationships/hyperlink" Target="https://audio.iskcondesiretree.com/01_-_Srila_Prabhupada/01_-_Lectures/01_-_English/01_-_Topic_wise/Chaitanya_Charitamrita/Madhya_Lila/SP_CC_M_20-124_New_York_1966-11-26_Back_to_Godhead--Life%27s_Ultimate_Goal.mp3" TargetMode="External"/><Relationship Id="rId333" Type="http://schemas.openxmlformats.org/officeDocument/2006/relationships/hyperlink" Target="https://audio.iskcondesiretree.com/01_-_Srila_Prabhupada/01_-_Lectures/01_-_English/01_-_Topic_wise/Bhagavad_Gita/Chapter-03/SP_BG_03-06-10_Los_Angeles_1968-12-23_From_Pretension_to_Purity.mp3" TargetMode="External"/><Relationship Id="rId540" Type="http://schemas.openxmlformats.org/officeDocument/2006/relationships/hyperlink" Target="https://audio.iskcondesiretree.com/01_-_Srila_Prabhupada/01_-_Lectures/01_-_English/01_-_Topic_wise/Srimad_Bhagavatam/Canto-06/SP_SB_6-01-11_New_York_1971-07-15_Karma_and_Again-and-Again_Cures.mp3" TargetMode="External"/><Relationship Id="rId1170" Type="http://schemas.openxmlformats.org/officeDocument/2006/relationships/hyperlink" Target="https://audio.iskcondesiretree.com/01_-_Srila_Prabhupada/01_-_Lectures/01_-_English/02_-_Month_wise/08_-_August/12/Bg_13-04_PAR_1973-08-12_Varieties_of_Insanities.mp3" TargetMode="External"/><Relationship Id="rId2014" Type="http://schemas.openxmlformats.org/officeDocument/2006/relationships/hyperlink" Target="https://audio.iskcondesiretree.com/01_-_Srila_Prabhupada/01_-_Lectures/01_-_English/01_-_Topic_wise/Bhagavad_Gita/Chapter-04/SP_BG_04-10_Geneva_1974-05-31.mp3" TargetMode="External"/><Relationship Id="rId2221" Type="http://schemas.openxmlformats.org/officeDocument/2006/relationships/hyperlink" Target="https://audio.iskcondesiretree.com/01_-_Srila_Prabhupada/01_-_Lectures/01_-_English/02_-_Month_wise/06_-_June/29/RC_MEL_1974-06-29_Bishop-Original_Sin-Original_Sanctity.mp3" TargetMode="External"/><Relationship Id="rId5377" Type="http://schemas.openxmlformats.org/officeDocument/2006/relationships/hyperlink" Target="https://audio.iskcondesiretree.com/01_-_Srila_Prabhupada/01_-_Lectures/01_-_English/01_-_Topic_wise/Srimad_Bhagavatam/Canto-05/SP_SB_5-05-16_Vrindavan_1976-11-04_Envious_Monkey_Business.mp3" TargetMode="External"/><Relationship Id="rId1030" Type="http://schemas.openxmlformats.org/officeDocument/2006/relationships/hyperlink" Target="https://audio.iskcondesiretree.com/01_-_Srila_Prabhupada/01_-_Lectures/01_-_English/02_-_Month_wise/06_-_June/15/SB_1-09-49_MAY_1973-06-15_Ruling_by_Religious_Principles.mp3" TargetMode="External"/><Relationship Id="rId4186" Type="http://schemas.openxmlformats.org/officeDocument/2006/relationships/hyperlink" Target="https://audio.iskcondesiretree.com/01_-_Srila_Prabhupada/01_-_Lectures/01_-_English/02_-_Month_wise/01_-_January/15/Walk_1976-01-15_MW-CALCUTTA.MP3" TargetMode="External"/><Relationship Id="rId5584" Type="http://schemas.openxmlformats.org/officeDocument/2006/relationships/hyperlink" Target="https://audio.iskcondesiretree.com/01_-_Srila_Prabhupada/01_-_Lectures/01_-_English/02_-_Month_wise/01_-_January/09/Conv_1977-01-09_R2-BOMBAY.MP3" TargetMode="External"/><Relationship Id="rId5791" Type="http://schemas.openxmlformats.org/officeDocument/2006/relationships/hyperlink" Target="https://audio.iskcondesiretree.com/01_-_Srila_Prabhupada/01_-_Lectures/01_-_English/02_-_Month_wise/04_-_April/05/Conv_1977-04-05_R1-BOMBAY.MP3" TargetMode="External"/><Relationship Id="rId400" Type="http://schemas.openxmlformats.org/officeDocument/2006/relationships/hyperlink" Target="https://audio.iskcondesiretree.com/01_-_Srila_Prabhupada/01_-_Lectures/01_-_English/02_-_Month_wise/04_-_April/13/SB_E-11-03-21_NY_1969-04-13_Commanders-in-Chief_in_the_etc.mp3" TargetMode="External"/><Relationship Id="rId1987" Type="http://schemas.openxmlformats.org/officeDocument/2006/relationships/hyperlink" Target="https://audio.iskcondesiretree.com/01_-_Srila_Prabhupada/01_-_Lectures/01_-_English/02_-_Month_wise/05_-_May/25/Bg-04-10_1974-05-25_BG-ROME.MP3" TargetMode="External"/><Relationship Id="rId4393" Type="http://schemas.openxmlformats.org/officeDocument/2006/relationships/hyperlink" Target="https://audio.iskcondesiretree.com/01_-_Srila_Prabhupada/01_-_Lectures/01_-_English/02_-_Month_wise/03_-_March/22/Arrival_1976-03-22_AR-CALCUTTA.MP3" TargetMode="External"/><Relationship Id="rId5237" Type="http://schemas.openxmlformats.org/officeDocument/2006/relationships/hyperlink" Target="https://audio.iskcondesiretree.com/01_-_Srila_Prabhupada/01_-_Lectures/01_-_English/01_-_Topic_wise/Srimad_Bhagavatam/Canto-01/SP_SB_1-07-20-21_Vrindavan_1976-09-17_Don%27t_Wait_for_Another_Life.mp3" TargetMode="External"/><Relationship Id="rId5444" Type="http://schemas.openxmlformats.org/officeDocument/2006/relationships/hyperlink" Target="https://audio.iskcondesiretree.com/01_-_Srila_Prabhupada/01_-_Lectures/01_-_English/01_-_Topic_wise/Srimad_Bhagavatam/Canto-05/SP_SB_5-05-34_Vrindavan_1976-11-21_Brahmacari_Escapes_Tribulation.mp3" TargetMode="External"/><Relationship Id="rId5651" Type="http://schemas.openxmlformats.org/officeDocument/2006/relationships/hyperlink" Target="https://audio.iskcondesiretree.com/01_-_Srila_Prabhupada/01_-_Lectures/01_-_English/02_-_Month_wise/01_-_January/30/Conv_1977-01-30_R1-BHUBANESWAR.MP3" TargetMode="External"/><Relationship Id="rId1847" Type="http://schemas.openxmlformats.org/officeDocument/2006/relationships/hyperlink" Target="https://audio.iskcondesiretree.com/01_-_Srila_Prabhupada/01_-_Lectures/01_-_English/02_-_Month_wise/04_-_April/09/Bg-04-20_1974-04-09_BG-BOMBAY.MP3" TargetMode="External"/><Relationship Id="rId4046" Type="http://schemas.openxmlformats.org/officeDocument/2006/relationships/hyperlink" Target="https://audio.iskcondesiretree.com/01_-_Srila_Prabhupada/01_-_Lectures/01_-_English/02_-_Month_wise/12_-_December/03/Walk_1975-12-03_MW-VRNDAVAN.MP3" TargetMode="External"/><Relationship Id="rId4253" Type="http://schemas.openxmlformats.org/officeDocument/2006/relationships/hyperlink" Target="https://audio.iskcondesiretree.com/01_-_Srila_Prabhupada/01_-_Lectures/01_-_English/02_-_Month_wise/02_-_Feburary/19/SB_7-09-12_MAY_1976-02-19_Follow_Without_Mental_Concoction.mp3" TargetMode="External"/><Relationship Id="rId4460" Type="http://schemas.openxmlformats.org/officeDocument/2006/relationships/hyperlink" Target="https://audio.iskcondesiretree.com/01_-_Srila_Prabhupada/01_-_Lectures/01_-_English/02_-_Month_wise/04_-_April/10/SB_7-09-55_VRN_1976-04-10_The_Spoiling_Civilization.mp3" TargetMode="External"/><Relationship Id="rId5304" Type="http://schemas.openxmlformats.org/officeDocument/2006/relationships/hyperlink" Target="https://audio.iskcondesiretree.com/01_-_Srila_Prabhupada/01_-_Lectures/01_-_English/02_-_Month_wise/10_-_October/05/SB-01-07-45%E2%80%9346_1976-10-05_SB-VRNDAVAN.MP3" TargetMode="External"/><Relationship Id="rId5511" Type="http://schemas.openxmlformats.org/officeDocument/2006/relationships/hyperlink" Target="https://audio.iskcondesiretree.com/01_-_Srila_Prabhupada/01_-_Lectures/01_-_English/01_-_Topic_wise/Bhagavad_Gita/Chapter-03/SP_BG_03-25_Hyderabad_1976-12-17_Plan_Making_for_More_Suffering.mp3" TargetMode="External"/><Relationship Id="rId1707" Type="http://schemas.openxmlformats.org/officeDocument/2006/relationships/hyperlink" Target="https://audio.iskcondesiretree.com/01_-_Srila_Prabhupada/01_-_Lectures/01_-_English/01_-_Topic_wise/Chaitanya_Charitamrita/Adi_Lila/SP_CC_A_07-08_Vrindavan_1974-03-15.mp3" TargetMode="External"/><Relationship Id="rId3062" Type="http://schemas.openxmlformats.org/officeDocument/2006/relationships/hyperlink" Target="https://audio.iskcondesiretree.com/01_-_Srila_Prabhupada/01_-_Lectures/01_-_English/02_-_Month_wise/04_-_April/06/Lecture_1975-04-06_LE-MAYAPUR.MP3" TargetMode="External"/><Relationship Id="rId4113" Type="http://schemas.openxmlformats.org/officeDocument/2006/relationships/hyperlink" Target="https://audio.iskcondesiretree.com/01_-_Srila_Prabhupada/01_-_Lectures/01_-_English/02_-_Month_wise/12_-_December/22/Bg-16-07_1975-12-22_DB-BOMBAY.MP3" TargetMode="External"/><Relationship Id="rId4320" Type="http://schemas.openxmlformats.org/officeDocument/2006/relationships/hyperlink" Target="https://audio.iskcondesiretree.com/01_-_Srila_Prabhupada/01_-_Lectures/01_-_English/02_-_Month_wise/03_-_March/06/SB-07-09-28_1976-03-06_SB-MAYAPUR.MP3" TargetMode="External"/><Relationship Id="rId190" Type="http://schemas.openxmlformats.org/officeDocument/2006/relationships/hyperlink" Target="https://audio.iskcondesiretree.com/01_-_Srila_Prabhupada/01_-_Lectures/01_-_English/01_-_Topic_wise/Chaitanya_Charitamrita/Madhya_Lila/SP_CC_M_20-337_New_York_1966-12-25_One_Good_Quality_in_Kali-Yuga.mp3" TargetMode="External"/><Relationship Id="rId1914" Type="http://schemas.openxmlformats.org/officeDocument/2006/relationships/hyperlink" Target="https://audio.iskcondesiretree.com/01_-_Srila_Prabhupada/01_-_Lectures/01_-_English/02_-_Month_wise/04_-_April/22/MW_HYD_1974-04-22_If_You_Love_God_Why_Disobey.mp3" TargetMode="External"/><Relationship Id="rId6078" Type="http://schemas.openxmlformats.org/officeDocument/2006/relationships/hyperlink" Target="https://audio.iskcondesiretree.com/01_-_Srila_Prabhupada/01_-_Lectures/01_-_English/01_-_Topic_wise/Krishna_Book/SP_Krsna_Book_Dict_34_-_Vidyadhara_Liberated.mp3" TargetMode="External"/><Relationship Id="rId3879" Type="http://schemas.openxmlformats.org/officeDocument/2006/relationships/hyperlink" Target="https://audio.iskcondesiretree.com/01_-_Srila_Prabhupada/01_-_Lectures/01_-_English/02_-_Month_wise/10_-_October/16/RC_JOH_1975-10-16_People_Follow_Leader.mp3" TargetMode="External"/><Relationship Id="rId5094" Type="http://schemas.openxmlformats.org/officeDocument/2006/relationships/hyperlink" Target="https://audio.iskcondesiretree.com/01_-_Srila_Prabhupada/01_-_Lectures/01_-_English/01_-_Topic_wise/Room_Conversation/SP_Room_Conversation_Tehran_1976-08-12_God_Is_Great-How_Great.mp3" TargetMode="External"/><Relationship Id="rId6145" Type="http://schemas.openxmlformats.org/officeDocument/2006/relationships/hyperlink" Target="https://audio.iskcondesiretree.com/01_-_Srila_Prabhupada/01_-_Lectures/01_-_English/01_-_Topic_wise/Stories/SP_Story_21_King_and_ass.mp3" TargetMode="External"/><Relationship Id="rId2688" Type="http://schemas.openxmlformats.org/officeDocument/2006/relationships/hyperlink" Target="https://audio.iskcondesiretree.com/01_-_Srila_Prabhupada/01_-_Lectures/01_-_English/02_-_Month_wise/01_-_January/09/SB_3-26-32_BOM_1975-01-09_Creation-Sound_Explanation.mp3" TargetMode="External"/><Relationship Id="rId2895" Type="http://schemas.openxmlformats.org/officeDocument/2006/relationships/hyperlink" Target="https://audio.iskcondesiretree.com/01_-_Srila_Prabhupada/01_-_Lectures/01_-_English/02_-_Month_wise/03_-_March/02/Lect_ATL_1975-03-02_At_Sunday_Feast--Mahaprabhu%27s_Mercy.mp3" TargetMode="External"/><Relationship Id="rId3739" Type="http://schemas.openxmlformats.org/officeDocument/2006/relationships/hyperlink" Target="https://audio.iskcondesiretree.com/01_-_Srila_Prabhupada/01_-_Lectures/01_-_English/02_-_Month_wise/09_-_September/08/SB_6-02-04_VRN_1975-09-08_Behave_Ideally_or_Don%27t_Preach.mp3" TargetMode="External"/><Relationship Id="rId3946" Type="http://schemas.openxmlformats.org/officeDocument/2006/relationships/hyperlink" Target="https://audio.iskcondesiretree.com/01_-_Srila_Prabhupada/01_-_Lectures/01_-_English/01_-_Topic_wise/Srimad_Bhagavatam/Canto-03/SP_SB_3-28-21_Nairobi_1975-11-01_Why_Pay_Electric--etc.mp3" TargetMode="External"/><Relationship Id="rId5161" Type="http://schemas.openxmlformats.org/officeDocument/2006/relationships/hyperlink" Target="https://audio.iskcondesiretree.com/01_-_Srila_Prabhupada/01_-_Lectures/01_-_English/02_-_Month_wise/08_-_August/24/Walk_1976-08-24_MW-HYDERABAD.MP3" TargetMode="External"/><Relationship Id="rId6005" Type="http://schemas.openxmlformats.org/officeDocument/2006/relationships/hyperlink" Target="https://audio.iskcondesiretree.com/01_-_Srila_Prabhupada/01_-_Lectures/01_-_English/02_-_Month_wise/11_-_November/07/Conv_1977-11-07_R1-VRNDAVAN.MP3" TargetMode="External"/><Relationship Id="rId867" Type="http://schemas.openxmlformats.org/officeDocument/2006/relationships/hyperlink" Target="https://audio.iskcondesiretree.com/01_-_Srila_Prabhupada/01_-_Lectures/01_-_English/02_-_Month_wise/12_-_December/13/Bg_07-01_AHM_1972-12-13_Kanistha_Madhyama_Uttama.mp3" TargetMode="External"/><Relationship Id="rId1497" Type="http://schemas.openxmlformats.org/officeDocument/2006/relationships/hyperlink" Target="https://audio.iskcondesiretree.com/01_-_Srila_Prabhupada/01_-_Lectures/01_-_English/01_-_Topic_wise/Srimad_Bhagavatam/Canto-01/SP_SB_1-16-11_Los_Angeles_1974-01-08_Subduing_the_Demons.mp3" TargetMode="External"/><Relationship Id="rId2548" Type="http://schemas.openxmlformats.org/officeDocument/2006/relationships/hyperlink" Target="https://audio.iskcondesiretree.com/01_-_Srila_Prabhupada/01_-_Lectures/01_-_English/02_-_Month_wise/11_-_November/23/SB_3-25-23_BOM_1974-11-23_Devotees_Don%27t_Feel_Suffering.mp3" TargetMode="External"/><Relationship Id="rId2755" Type="http://schemas.openxmlformats.org/officeDocument/2006/relationships/hyperlink" Target="https://audio.iskcondesiretree.com/01_-_Srila_Prabhupada/01_-_Lectures/01_-_English/02_-_Month_wise/02_-_Feburary/03/Bg_16-07_HAW_1975-02-03_The_Demonic_Want_Degradation.mp3" TargetMode="External"/><Relationship Id="rId2962" Type="http://schemas.openxmlformats.org/officeDocument/2006/relationships/hyperlink" Target="https://audio.iskcondesiretree.com/01_-_Srila_Prabhupada/01_-_Lectures/01_-_English/02_-_Month_wise/03_-_March/14/Conv_1975-03-14_R1-TEHRAN.MP3" TargetMode="External"/><Relationship Id="rId3806" Type="http://schemas.openxmlformats.org/officeDocument/2006/relationships/hyperlink" Target="https://audio.iskcondesiretree.com/01_-_Srila_Prabhupada/01_-_Lectures/01_-_English/02_-_Month_wise/10_-_October/02/SB_7-05-30_MAU_1975-10-02_Material_Life.mp3" TargetMode="External"/><Relationship Id="rId727" Type="http://schemas.openxmlformats.org/officeDocument/2006/relationships/hyperlink" Target="https://audio.iskcondesiretree.com/01_-_Srila_Prabhupada/01_-_Lectures/01_-_English/02_-_Month_wise/10_-_October/19/Fest_VRN_1972-10-19_Krsna_Dasa_Kaviraja_Appearance.mp3" TargetMode="External"/><Relationship Id="rId934" Type="http://schemas.openxmlformats.org/officeDocument/2006/relationships/hyperlink" Target="https://audio.iskcondesiretree.com/01_-_Srila_Prabhupada/01_-_Lectures/01_-_English/02_-_Month_wise/04_-_April/08/Bg_04-13_NY_1973-04-08_Sunday_Feast_The_Social_Body_etc.mp3" TargetMode="External"/><Relationship Id="rId1357" Type="http://schemas.openxmlformats.org/officeDocument/2006/relationships/hyperlink" Target="https://audio.iskcondesiretree.com/01_-_Srila_Prabhupada/01_-_Lectures/01_-_English/01_-_Topic_wise/Various/SP_Lecture_Delhi_1973-11-10_At_Pandal--Hog_Happiness_-_Human_Happiness.mp3" TargetMode="External"/><Relationship Id="rId1564" Type="http://schemas.openxmlformats.org/officeDocument/2006/relationships/hyperlink" Target="https://audio.iskcondesiretree.com/01_-_Srila_Prabhupada/01_-_Lectures/01_-_English/01_-_Topic_wise/Morning_Walk/SP_Morning_Walk_-_Honolulu_1974-01-23.mp3" TargetMode="External"/><Relationship Id="rId1771" Type="http://schemas.openxmlformats.org/officeDocument/2006/relationships/hyperlink" Target="https://audio.iskcondesiretree.com/01_-_Srila_Prabhupada/01_-_Lectures/01_-_English/02_-_Month_wise/03_-_March/27/Walk_1974-03-27_MW-BOMBAY.MP3" TargetMode="External"/><Relationship Id="rId2408" Type="http://schemas.openxmlformats.org/officeDocument/2006/relationships/hyperlink" Target="https://audio.iskcondesiretree.com/01_-_Srila_Prabhupada/01_-_Lectures/01_-_English/02_-_Month_wise/10_-_October/03/SB-01-08-23_1974-10-03_SB-MAYAPUR.MP3" TargetMode="External"/><Relationship Id="rId2615" Type="http://schemas.openxmlformats.org/officeDocument/2006/relationships/hyperlink" Target="https://audio.iskcondesiretree.com/01_-_Srila_Prabhupada/01_-_Lectures/01_-_English/01_-_Topic_wise/Srimad_Bhagavatam/Canto-03/SP_SB_3-26-04_Bombay_1974-12-16_The_Truth_Will_Set_You_Free.mp3" TargetMode="External"/><Relationship Id="rId2822" Type="http://schemas.openxmlformats.org/officeDocument/2006/relationships/hyperlink" Target="https://audio.iskcondesiretree.com/01_-_Srila_Prabhupada/01_-_Lectures/01_-_English/01_-_Topic_wise/Srimad_Bhagavatam/Canto-01/SP_SB_1-01-01_Caracas_1975-02-20_Increasing_Your_Problems.mp3" TargetMode="External"/><Relationship Id="rId5021" Type="http://schemas.openxmlformats.org/officeDocument/2006/relationships/hyperlink" Target="https://audio.iskcondesiretree.com/01_-_Srila_Prabhupada/01_-_Lectures/01_-_English/02_-_Month_wise/07_-_July/26/Conv_1976-07-26_R1-LONDON.MP3" TargetMode="External"/><Relationship Id="rId5978" Type="http://schemas.openxmlformats.org/officeDocument/2006/relationships/hyperlink" Target="https://audio.iskcondesiretree.com/01_-_Srila_Prabhupada/01_-_Lectures/01_-_English/02_-_Month_wise/10_-_October/31/Dictation-SB-10-14-01_1977-10-31_SB-VRNDAVAN.MP3" TargetMode="External"/><Relationship Id="rId63" Type="http://schemas.openxmlformats.org/officeDocument/2006/relationships/hyperlink" Target="https://audio.iskcondesiretree.com/01_-_Srila_Prabhupada/01_-_Lectures/01_-_English/01_-_Topic_wise/Bhagavad_Gita/Chapter-04/SP_BG_04-24-34_New_York_1966-08-12_Varnasrama_Dharma.mp3" TargetMode="External"/><Relationship Id="rId1217" Type="http://schemas.openxmlformats.org/officeDocument/2006/relationships/hyperlink" Target="https://audio.iskcondesiretree.com/01_-_Srila_Prabhupada/01_-_Lectures/01_-_English/02_-_Month_wise/08_-_August/25/Bg_02-19_LON_1973-08-25_Dogs_and_Cats_Don%27t_Need_Freud.mp3" TargetMode="External"/><Relationship Id="rId1424" Type="http://schemas.openxmlformats.org/officeDocument/2006/relationships/hyperlink" Target="https://audio.iskcondesiretree.com/01_-_Srila_Prabhupada/01_-_Lectures/01_-_English/02_-_Month_wise/12_-_December/13/SB_1-15-35_LA_1973-12-13_The_Mantra_of_Meekness.mp3" TargetMode="External"/><Relationship Id="rId1631" Type="http://schemas.openxmlformats.org/officeDocument/2006/relationships/hyperlink" Target="https://audio.iskcondesiretree.com/01_-_Srila_Prabhupada/01_-_Lectures/01_-_English/01_-_Topic_wise/Morning_Walk/SP_Morning_Walk_-_Bombay_1974-02-20.mp3" TargetMode="External"/><Relationship Id="rId4787" Type="http://schemas.openxmlformats.org/officeDocument/2006/relationships/hyperlink" Target="https://audio.iskcondesiretree.com/01_-_Srila_Prabhupada/01_-_Lectures/01_-_English/02_-_Month_wise/06_-_June/19/SB_7-06-03_TOR_1976-06-19_Pots_Change_Contents_Stay.mp3" TargetMode="External"/><Relationship Id="rId4994" Type="http://schemas.openxmlformats.org/officeDocument/2006/relationships/hyperlink" Target="https://audio.iskcondesiretree.com/01_-_Srila_Prabhupada/01_-_Lectures/01_-_English/01_-_Topic_wise/Festivals/SP_Festivals_New_York_1976-07-18_Ratha-yatra--The_Culture_of_Liberty.mp3" TargetMode="External"/><Relationship Id="rId5838" Type="http://schemas.openxmlformats.org/officeDocument/2006/relationships/hyperlink" Target="https://audio.iskcondesiretree.com/01_-_Srila_Prabhupada/01_-_Lectures/01_-_English/02_-_Month_wise/05_-_May/09/Darshan_1977-05-09_ED-RISHIKESH.MP3" TargetMode="External"/><Relationship Id="rId3389" Type="http://schemas.openxmlformats.org/officeDocument/2006/relationships/hyperlink" Target="https://audio.iskcondesiretree.com/01_-_Srila_Prabhupada/01_-_Lectures/01_-_English/02_-_Month_wise/06_-_June/27/Walk_1975-06-27_MW-LOS%20ANGELES.MP3" TargetMode="External"/><Relationship Id="rId3596" Type="http://schemas.openxmlformats.org/officeDocument/2006/relationships/hyperlink" Target="https://audio.iskcondesiretree.com/01_-_Srila_Prabhupada/01_-_Lectures/01_-_English/01_-_Topic_wise/Morning_Walk/SP_Morning_Walk_-_San_Diego_1975-07-27.MP3" TargetMode="External"/><Relationship Id="rId4647" Type="http://schemas.openxmlformats.org/officeDocument/2006/relationships/hyperlink" Target="https://audio.iskcondesiretree.com/01_-_Srila_Prabhupada/01_-_Lectures/01_-_English/02_-_Month_wise/05_-_May/25/Walk_1976-05-25_MW-HONOLULU.MP3" TargetMode="External"/><Relationship Id="rId2198" Type="http://schemas.openxmlformats.org/officeDocument/2006/relationships/hyperlink" Target="https://audio.iskcondesiretree.com/01_-_Srila_Prabhupada/01_-_Lectures/01_-_English/02_-_Month_wise/06_-_June/27/Bg-03-27_1974-06-27_BG-MELBOURNE.MP3" TargetMode="External"/><Relationship Id="rId3249" Type="http://schemas.openxmlformats.org/officeDocument/2006/relationships/hyperlink" Target="https://audio.iskcondesiretree.com/01_-_Srila_Prabhupada/01_-_Lectures/01_-_English/01_-_Topic_wise/Morning_Walk/SP_Morning_Walk_-_Honolulu_1975-05-27.MP3" TargetMode="External"/><Relationship Id="rId3456" Type="http://schemas.openxmlformats.org/officeDocument/2006/relationships/hyperlink" Target="https://audio.iskcondesiretree.com/01_-_Srila_Prabhupada/01_-_Lectures/01_-_English/02_-_Month_wise/07_-_July/07/SB-06-01-23_1975-07-07_SB-CHICAGO.MP3" TargetMode="External"/><Relationship Id="rId4854" Type="http://schemas.openxmlformats.org/officeDocument/2006/relationships/hyperlink" Target="https://audio.iskcondesiretree.com/01_-_Srila_Prabhupada/01_-_Lectures/01_-_English/02_-_Month_wise/06_-_June/28/RC_NV_1976-06-28_Bhavans_Journal-5_What_Is_the_Sign_etc.mp3" TargetMode="External"/><Relationship Id="rId5905" Type="http://schemas.openxmlformats.org/officeDocument/2006/relationships/hyperlink" Target="https://audio.iskcondesiretree.com/01_-_Srila_Prabhupada/01_-_Lectures/01_-_English/02_-_Month_wise/07_-_July/05/Conv_1977-07-05_R1-VRNDAVAN.MP3" TargetMode="External"/><Relationship Id="rId377" Type="http://schemas.openxmlformats.org/officeDocument/2006/relationships/hyperlink" Target="https://audio.iskcondesiretree.com/01_-_Srila_Prabhupada/01_-_Lectures/01_-_English/01_-_Topic_wise/Bhagavad_Gita/Chapter-06/SP_BG_06-25-29_Los_Angeles_1969-02-18_Yoga_System--Be_Self-Centered.mp3" TargetMode="External"/><Relationship Id="rId584" Type="http://schemas.openxmlformats.org/officeDocument/2006/relationships/hyperlink" Target="https://audio.iskcondesiretree.com/01_-_Srila_Prabhupada/01_-_Lectures/01_-_English/02_-_Month_wise/05_-_May/27/Fest_LA_1972-05-27_Nrsimhadeva_Appearance_Divinity_etc.mp3" TargetMode="External"/><Relationship Id="rId2058" Type="http://schemas.openxmlformats.org/officeDocument/2006/relationships/hyperlink" Target="https://audio.iskcondesiretree.com/01_-_Srila_Prabhupada/01_-_Lectures/01_-_English/02_-_Month_wise/06_-_June/05/MW_GEN_1974-06-05_Your_Position_Conditioned.mp3" TargetMode="External"/><Relationship Id="rId2265" Type="http://schemas.openxmlformats.org/officeDocument/2006/relationships/hyperlink" Target="https://audio.iskcondesiretree.com/01_-_Srila_Prabhupada/01_-_Lectures/01_-_English/02_-_Month_wise/07_-_July/11/SB_1-16-21_LA_1974-07-11_The_Cutthroat_Age_Women_and_etc.mp3" TargetMode="External"/><Relationship Id="rId3109" Type="http://schemas.openxmlformats.org/officeDocument/2006/relationships/hyperlink" Target="https://audio.iskcondesiretree.com/01_-_Srila_Prabhupada/01_-_Lectures/01_-_English/02_-_Month_wise/04_-_April/14/Lecture_1975-04-14_L2-HYDERABAD.MP3" TargetMode="External"/><Relationship Id="rId3663" Type="http://schemas.openxmlformats.org/officeDocument/2006/relationships/hyperlink" Target="https://audio.iskcondesiretree.com/01_-_Srila_Prabhupada/01_-_Lectures/01_-_English/02_-_Month_wise/08_-_August/12/MW_PAR_1975-08-12_Responsible_Jackals.mp3" TargetMode="External"/><Relationship Id="rId3870" Type="http://schemas.openxmlformats.org/officeDocument/2006/relationships/hyperlink" Target="https://audio.iskcondesiretree.com/01_-_Srila_Prabhupada/01_-_Lectures/01_-_English/02_-_Month_wise/10_-_October/14/SB_1-07-02_DUR_1975-10-14_Seeing_Krishna_24_Hours_a_Day.mp3" TargetMode="External"/><Relationship Id="rId4507" Type="http://schemas.openxmlformats.org/officeDocument/2006/relationships/hyperlink" Target="https://audio.iskcondesiretree.com/01_-_Srila_Prabhupada/01_-_Lectures/01_-_English/01_-_Topic_wise/Bhagavad_Gita/Chapter-09/SP_BG_09-03_Melbourne_1976-04-21_Serve_God_or_Serve_Dog.mp3" TargetMode="External"/><Relationship Id="rId4714" Type="http://schemas.openxmlformats.org/officeDocument/2006/relationships/hyperlink" Target="https://audio.iskcondesiretree.com/01_-_Srila_Prabhupada/01_-_Lectures/01_-_English/01_-_Topic_wise/Room_Conversation/SP_Room_Conversation_Los_Angeles_1976-06-09_The_Huge_Little_Chance.mp3" TargetMode="External"/><Relationship Id="rId4921" Type="http://schemas.openxmlformats.org/officeDocument/2006/relationships/hyperlink" Target="https://audio.iskcondesiretree.com/01_-_Srila_Prabhupada/01_-_Lectures/01_-_English/02_-_Month_wise/07_-_July/07/Conv_1976-07-07_R2-BALTIMORE.MP3" TargetMode="External"/><Relationship Id="rId237" Type="http://schemas.openxmlformats.org/officeDocument/2006/relationships/hyperlink" Target="https://audio.iskcondesiretree.com/01_-_Srila_Prabhupada/01_-_Lectures/01_-_English/02_-_Month_wise/04_-_April/02/Lect_SF_1968-04-02_Skyscraper_Civilization_vs_Soul_etc.mp3" TargetMode="External"/><Relationship Id="rId791" Type="http://schemas.openxmlformats.org/officeDocument/2006/relationships/hyperlink" Target="https://audio.iskcondesiretree.com/01_-_Srila_Prabhupada/01_-_Lectures/01_-_English/02_-_Month_wise/11_-_November/06/SB_1-02-26_VRN_1972-11-06_People_Are_Being_Killed.mp3" TargetMode="External"/><Relationship Id="rId1074" Type="http://schemas.openxmlformats.org/officeDocument/2006/relationships/hyperlink" Target="https://audio.iskcondesiretree.com/01_-_Srila_Prabhupada/01_-_Lectures/01_-_English/01_-_Topic_wise/Room_Conversation/SP_Room_Conversation_London_1973-07-11_Guest--Young_Wise_Men_Old_Hypocrites.mp3" TargetMode="External"/><Relationship Id="rId2472" Type="http://schemas.openxmlformats.org/officeDocument/2006/relationships/hyperlink" Target="https://audio.iskcondesiretree.com/01_-_Srila_Prabhupada/01_-_Lectures/01_-_English/02_-_Month_wise/10_-_October/26/SB_1-08-46_MAY_1974-10-26_Politics-Me_King_Others_Killed.mp3" TargetMode="External"/><Relationship Id="rId3316" Type="http://schemas.openxmlformats.org/officeDocument/2006/relationships/hyperlink" Target="https://audio.iskcondesiretree.com/01_-_Srila_Prabhupada/01_-_Lectures/01_-_English/02_-_Month_wise/06_-_June/17/SB_6-01-17_HON_1975-06-17_Happiness-Dance_With_Krishna.mp3" TargetMode="External"/><Relationship Id="rId3523" Type="http://schemas.openxmlformats.org/officeDocument/2006/relationships/hyperlink" Target="https://audio.iskcondesiretree.com/01_-_Srila_Prabhupada/01_-_Lectures/01_-_English/01_-_Topic_wise/Morning_Walk/SP_Morning_Walk_-_Philadelphia_1975-07-14_Our_Soul_Necessity.mp3" TargetMode="External"/><Relationship Id="rId3730" Type="http://schemas.openxmlformats.org/officeDocument/2006/relationships/hyperlink" Target="https://audio.iskcondesiretree.com/01_-_Srila_Prabhupada/01_-_Lectures/01_-_English/02_-_Month_wise/09_-_September/06/MW_VRN_1975-09-06_Sex_Propaganda_Can%27t_Stop_Death.mp3" TargetMode="External"/><Relationship Id="rId444" Type="http://schemas.openxmlformats.org/officeDocument/2006/relationships/hyperlink" Target="https://audio.iskcondesiretree.com/01_-_Srila_Prabhupada/01_-_Lectures/01_-_English/01_-_Topic_wise/Srimad_Bhagavatam/Canto-01/SP_SB_1-05-12_New_Vrindavan_1969-06-11_Unnecessary_Necessities_and--etc.mp3" TargetMode="External"/><Relationship Id="rId651" Type="http://schemas.openxmlformats.org/officeDocument/2006/relationships/hyperlink" Target="https://audio.iskcondesiretree.com/01_-_Srila_Prabhupada/01_-_Lectures/01_-_English/02_-_Month_wise/08_-_August/20/SB_1-02-17_LA_1972-08-20_Krsna_Is_Selfish_He_Wants_etc.mp3" TargetMode="External"/><Relationship Id="rId1281" Type="http://schemas.openxmlformats.org/officeDocument/2006/relationships/hyperlink" Target="https://audio.iskcondesiretree.com/01_-_Srila_Prabhupada/01_-_Lectures/01_-_English/01_-_Topic_wise/Srimad_Bhagavatam/Canto-01/SP_SB_1-05-11_London_1973-09-12_Great_Books_for_a_Gross_Age.mp3" TargetMode="External"/><Relationship Id="rId2125" Type="http://schemas.openxmlformats.org/officeDocument/2006/relationships/hyperlink" Target="https://audio.iskcondesiretree.com/01_-_Srila_Prabhupada/01_-_Lectures/01_-_English/02_-_Month_wise/06_-_June/13/RC_PAR_1974-06-13_Buddhist_Deshimaru_Zen_and_the_etc.mp3" TargetMode="External"/><Relationship Id="rId2332" Type="http://schemas.openxmlformats.org/officeDocument/2006/relationships/hyperlink" Target="https://audio.iskcondesiretree.com/01_-_Srila_Prabhupada/01_-_Lectures/01_-_English/02_-_Month_wise/08_-_August/09/SB-01-05-28_1974-08-09_SB-VRNDAVAN.MP3" TargetMode="External"/><Relationship Id="rId5488" Type="http://schemas.openxmlformats.org/officeDocument/2006/relationships/hyperlink" Target="https://audio.iskcondesiretree.com/01_-_Srila_Prabhupada/01_-_Lectures/01_-_English/02_-_Month_wise/12_-_December/10/RC_HYD_1976-12-10_Love_Feast_Was_Beginning.mp3" TargetMode="External"/><Relationship Id="rId5695" Type="http://schemas.openxmlformats.org/officeDocument/2006/relationships/hyperlink" Target="https://audio.iskcondesiretree.com/01_-_Srila_Prabhupada/01_-_Lectures/01_-_English/01_-_Topic_wise/Srimad_Bhagavatam/Canto-07/SP_SB_7-09-02_Bhuvanesvara_1977-02-12_Lakshmi_and_Narayan.mp3" TargetMode="External"/><Relationship Id="rId304" Type="http://schemas.openxmlformats.org/officeDocument/2006/relationships/hyperlink" Target="https://audio.iskcondesiretree.com/01_-_Srila_Prabhupada/01_-_Lectures/01_-_English/01_-_Topic_wise/Bhagavad_Gita/Chapter-02/SP_BG_02-13-17_Los_Angeles_1968-11-29_Staying_Undisturbed_in_Distress.mp3" TargetMode="External"/><Relationship Id="rId511" Type="http://schemas.openxmlformats.org/officeDocument/2006/relationships/hyperlink" Target="https://audio.iskcondesiretree.com/01_-_Srila_Prabhupada/01_-_Lectures/01_-_English/02_-_Month_wise/05_-_May/14/Iso_10_LA_1970-05-14_The_Senses.mp3" TargetMode="External"/><Relationship Id="rId1141" Type="http://schemas.openxmlformats.org/officeDocument/2006/relationships/hyperlink" Target="https://audio.iskcondesiretree.com/01_-_Srila_Prabhupada/01_-_Lectures/01_-_English/02_-_Month_wise/08_-_August/03/Bg_02-02_LON_1973-08-03_Becoming_Spiritually_Masterful.mp3" TargetMode="External"/><Relationship Id="rId4297" Type="http://schemas.openxmlformats.org/officeDocument/2006/relationships/hyperlink" Target="https://audio.iskcondesiretree.com/01_-_Srila_Prabhupada/01_-_Lectures/01_-_English/02_-_Month_wise/02_-_Feburary/28/Walk_1976-02-28_MW-MAYAPUR.MP3" TargetMode="External"/><Relationship Id="rId5348" Type="http://schemas.openxmlformats.org/officeDocument/2006/relationships/hyperlink" Target="https://audio.iskcondesiretree.com/01_-_Srila_Prabhupada/01_-_Lectures/01_-_English/02_-_Month_wise/10_-_October/26/SB-05-05-04_1976-10-26_SB-VRNDAVAN.MP3" TargetMode="External"/><Relationship Id="rId5555" Type="http://schemas.openxmlformats.org/officeDocument/2006/relationships/hyperlink" Target="https://audio.iskcondesiretree.com/01_-_Srila_Prabhupada/01_-_Lectures/01_-_English/02_-_Month_wise/01_-_January/03/Conv_1977-01-03_R2-BOMBAY.MP3" TargetMode="External"/><Relationship Id="rId5762" Type="http://schemas.openxmlformats.org/officeDocument/2006/relationships/hyperlink" Target="https://audio.iskcondesiretree.com/01_-_Srila_Prabhupada/01_-_Lectures/01_-_English/02_-_Month_wise/03_-_March/24/Lect_BOM_1977-03-24_Krishna%27s_Yoga_System_Not_New.mp3" TargetMode="External"/><Relationship Id="rId1001" Type="http://schemas.openxmlformats.org/officeDocument/2006/relationships/hyperlink" Target="https://audio.iskcondesiretree.com/01_-_Srila_Prabhupada/01_-_Lectures/01_-_English/01_-_Topic_wise/Srimad_Bhagavatam/Canto-01/SP_SB_1-08-50_Los_Angeles_1973-05-12_When_to_Be_Nonviolent_-_Violent.mp3" TargetMode="External"/><Relationship Id="rId4157" Type="http://schemas.openxmlformats.org/officeDocument/2006/relationships/hyperlink" Target="https://audio.iskcondesiretree.com/01_-_Srila_Prabhupada/01_-_Lectures/01_-_English/02_-_Month_wise/01_-_January/04/Lect_NEL_1976-01-04_Teach_What_Krishna_Has_Said.mp3" TargetMode="External"/><Relationship Id="rId4364" Type="http://schemas.openxmlformats.org/officeDocument/2006/relationships/hyperlink" Target="https://audio.iskcondesiretree.com/01_-_Srila_Prabhupada/01_-_Lectures/01_-_English/01_-_Topic_wise/Srimad_Bhagavatam/Canto-07/SP_SB_7-09-38_Mayapur_1976-03-16_Gaura_Purnima--The_Undercover_Avatar.mp3" TargetMode="External"/><Relationship Id="rId4571" Type="http://schemas.openxmlformats.org/officeDocument/2006/relationships/hyperlink" Target="https://audio.iskcondesiretree.com/01_-_Srila_Prabhupada/01_-_Lectures/01_-_English/02_-_Month_wise/05_-_May/06/Lecture_1976-05-06_LE-HONOLULU.MP3" TargetMode="External"/><Relationship Id="rId5208" Type="http://schemas.openxmlformats.org/officeDocument/2006/relationships/hyperlink" Target="https://audio.iskcondesiretree.com/01_-_Srila_Prabhupada/01_-_Lectures/01_-_English/02_-_Month_wise/09_-_September/09/Conv_1976-09-09_R2-VRNDAVAN.MP3" TargetMode="External"/><Relationship Id="rId5415" Type="http://schemas.openxmlformats.org/officeDocument/2006/relationships/hyperlink" Target="https://audio.iskcondesiretree.com/01_-_Srila_Prabhupada/01_-_Lectures/01_-_English/02_-_Month_wise/11_-_November/13/RC_VRN_1976-11-13_Vote_for_the_Hare_Krishna%27s.mp3" TargetMode="External"/><Relationship Id="rId5622" Type="http://schemas.openxmlformats.org/officeDocument/2006/relationships/hyperlink" Target="https://audio.iskcondesiretree.com/01_-_Srila_Prabhupada/01_-_Lectures/01_-_English/02_-_Month_wise/01_-_January/23/Darshan_1977-01-23_ED-BHUBANESWAR.MP3" TargetMode="External"/><Relationship Id="rId1958" Type="http://schemas.openxmlformats.org/officeDocument/2006/relationships/hyperlink" Target="https://audio.iskcondesiretree.com/01_-_Srila_Prabhupada/01_-_Lectures/01_-_English/01_-_Topic_wise/Morning_Walk/SP_Morning_Walk_-_Bombay_1974-05-06.mp3" TargetMode="External"/><Relationship Id="rId3173" Type="http://schemas.openxmlformats.org/officeDocument/2006/relationships/hyperlink" Target="https://audio.iskcondesiretree.com/01_-_Srila_Prabhupada/01_-_Lectures/01_-_English/02_-_Month_wise/05_-_May/13/Conv_1975-05-13_R1-PERTH.MP3" TargetMode="External"/><Relationship Id="rId3380" Type="http://schemas.openxmlformats.org/officeDocument/2006/relationships/hyperlink" Target="https://audio.iskcondesiretree.com/01_-_Srila_Prabhupada/01_-_Lectures/01_-_English/02_-_Month_wise/06_-_June/26/Walk_1975-06-26_MW-LOS%20ANGELES.MP3" TargetMode="External"/><Relationship Id="rId4017" Type="http://schemas.openxmlformats.org/officeDocument/2006/relationships/hyperlink" Target="https://audio.iskcondesiretree.com/01_-_Srila_Prabhupada/01_-_Lectures/01_-_English/02_-_Month_wise/11_-_November/21/MW_BOM_1975-11-21_Aryan_Blood-A_Misnomer.mp3" TargetMode="External"/><Relationship Id="rId4224" Type="http://schemas.openxmlformats.org/officeDocument/2006/relationships/hyperlink" Target="https://audio.iskcondesiretree.com/01_-_Srila_Prabhupada/01_-_Lectures/01_-_English/01_-_Topic_wise/Srimad_Bhagavatam/Canto-07/SP_SB_7-09-03_Mayapur_1976-02-10_Never_Think_%27I_Have_Become_Big%27.mp3" TargetMode="External"/><Relationship Id="rId4431" Type="http://schemas.openxmlformats.org/officeDocument/2006/relationships/hyperlink" Target="https://audio.iskcondesiretree.com/01_-_Srila_Prabhupada/01_-_Lectures/01_-_English/02_-_Month_wise/04_-_April/05/SB-07-09-50_1976-04-05_SB-VRNDAVAN.MP3" TargetMode="External"/><Relationship Id="rId1818" Type="http://schemas.openxmlformats.org/officeDocument/2006/relationships/hyperlink" Target="https://audio.iskcondesiretree.com/01_-_Srila_Prabhupada/01_-_Lectures/01_-_English/01_-_Topic_wise/Morning_Walk/SP_Morning_Walk_-_Bombay_1974-04-04_Unlimited_Is_Not_Impersonal.mp3" TargetMode="External"/><Relationship Id="rId3033" Type="http://schemas.openxmlformats.org/officeDocument/2006/relationships/hyperlink" Target="https://audio.iskcondesiretree.com/01_-_Srila_Prabhupada/01_-_Lectures/01_-_English/02_-_Month_wise/04_-_April/02/CcAdi-01-009_1975-04-02_CC-MAYAPUR.MP3" TargetMode="External"/><Relationship Id="rId3240" Type="http://schemas.openxmlformats.org/officeDocument/2006/relationships/hyperlink" Target="https://audio.iskcondesiretree.com/01_-_Srila_Prabhupada/01_-_Lectures/01_-_English/02_-_Month_wise/05_-_May/24/Bg_07-01_FIJ_1975-05-24_The_Only_Business_of_the_Human_Being.mp3" TargetMode="External"/><Relationship Id="rId6189" Type="http://schemas.openxmlformats.org/officeDocument/2006/relationships/hyperlink" Target="https://audio.iskcondesiretree.com/01_-_Srila_Prabhupada/01_-_Lectures/03_-_Hindi/SP_Hindi_17_Lectures_%26_Conversations.mp3" TargetMode="External"/><Relationship Id="rId161" Type="http://schemas.openxmlformats.org/officeDocument/2006/relationships/hyperlink" Target="https://audio.iskcondesiretree.com/01_-_Srila_Prabhupada/01_-_Lectures/01_-_English/02_-_Month_wise/12_-_December/12/Bg_09-24_NY_1966-12-12_Those_Who_Do_Not_Recognize_My_etc.mp3" TargetMode="External"/><Relationship Id="rId6049" Type="http://schemas.openxmlformats.org/officeDocument/2006/relationships/hyperlink" Target="https://audio.iskcondesiretree.com/01_-_Srila_Prabhupada/01_-_Lectures/01_-_English/01_-_Topic_wise/Krishna_Book/SP_Krsna_Book_Dict_01_-_The_Advent_of_Lord_Krishna.mp3" TargetMode="External"/><Relationship Id="rId2799" Type="http://schemas.openxmlformats.org/officeDocument/2006/relationships/hyperlink" Target="https://audio.iskcondesiretree.com/01_-_Srila_Prabhupada/01_-_Lectures/01_-_English/01_-_Topic_wise/Various/SP_Questions_and_Answers_with_Devotees_1975-02-14_Mexico_City.MP3" TargetMode="External"/><Relationship Id="rId3100" Type="http://schemas.openxmlformats.org/officeDocument/2006/relationships/hyperlink" Target="https://audio.iskcondesiretree.com/01_-_Srila_Prabhupada/01_-_Lectures/01_-_English/02_-_Month_wise/04_-_April/13/SB-05-05-02_1975-04-13_SB-HYDERABAD.MP3" TargetMode="External"/><Relationship Id="rId978" Type="http://schemas.openxmlformats.org/officeDocument/2006/relationships/hyperlink" Target="https://audio.iskcondesiretree.com/01_-_Srila_Prabhupada/01_-_Lectures/01_-_English/02_-_Month_wise/04_-_April/29/SB_1-08-37_LA_1973-04-29_We_Are_in_Dangerous_Position.mp3" TargetMode="External"/><Relationship Id="rId2659" Type="http://schemas.openxmlformats.org/officeDocument/2006/relationships/hyperlink" Target="https://audio.iskcondesiretree.com/01_-_Srila_Prabhupada/01_-_Lectures/01_-_English/01_-_Topic_wise/Srimad_Bhagavatam/Canto-03/SP_SB_3-26-22_Bombay_1974-12-31_Our_Natural_Consciousness.mp3" TargetMode="External"/><Relationship Id="rId2866" Type="http://schemas.openxmlformats.org/officeDocument/2006/relationships/hyperlink" Target="https://audio.iskcondesiretree.com/01_-_Srila_Prabhupada/01_-_Lectures/01_-_English/02_-_Month_wise/02_-_Feburary/28/Arr_ATL_1975-02-28_So_I_See_Your_Temple_Is_the_Best.mp3" TargetMode="External"/><Relationship Id="rId3917" Type="http://schemas.openxmlformats.org/officeDocument/2006/relationships/hyperlink" Target="https://audio.iskcondesiretree.com/01_-_Srila_Prabhupada/01_-_Lectures/01_-_English/01_-_Topic_wise/Srimad_Bhagavatam/Canto-03/SP_SB_3-12-18_Nairobi_1975-10-27_Stay_Under_Krishna%27s_Protection.mp3" TargetMode="External"/><Relationship Id="rId5065" Type="http://schemas.openxmlformats.org/officeDocument/2006/relationships/hyperlink" Target="https://audio.iskcondesiretree.com/01_-_Srila_Prabhupada/01_-_Lectures/01_-_English/02_-_Month_wise/08_-_August/05/Bg-15-15_1976-08-05_BG-NEW%20MAYAPUR.MP3" TargetMode="External"/><Relationship Id="rId5272" Type="http://schemas.openxmlformats.org/officeDocument/2006/relationships/hyperlink" Target="https://audio.iskcondesiretree.com/01_-_Srila_Prabhupada/01_-_Lectures/01_-_English/01_-_Topic_wise/Srimad_Bhagavatam/Canto-01/SP_SB_1-07-34_Vrindavan_1976-09-28_The_Psychology_of_the_True_Brahmana.mp3" TargetMode="External"/><Relationship Id="rId6116" Type="http://schemas.openxmlformats.org/officeDocument/2006/relationships/hyperlink" Target="https://audio.iskcondesiretree.com/01_-_Srila_Prabhupada/01_-_Lectures/01_-_English/01_-_Topic_wise/Krishna_Book/SP_Krsna_Book_Dict_82_-_Meeting_the_Inhabitants_of_Vrindavan.mp3" TargetMode="External"/><Relationship Id="rId838" Type="http://schemas.openxmlformats.org/officeDocument/2006/relationships/hyperlink" Target="https://audio.iskcondesiretree.com/01_-_Srila_Prabhupada/01_-_Lectures/01_-_English/01_-_Topic_wise/Bhagavad_Gita/Chapter-02/SP_BG_02-22_Hyderabad_1972-11-26_Rain_Depends_on_Krishna--Not--etc.mp3" TargetMode="External"/><Relationship Id="rId1468" Type="http://schemas.openxmlformats.org/officeDocument/2006/relationships/hyperlink" Target="https://audio.iskcondesiretree.com/01_-_Srila_Prabhupada/01_-_Lectures/01_-_English/02_-_Month_wise/12_-_December/31/SB_1-16-03_LA_1973-12-31_You_Can_See_and_Talk_with_God.mp3" TargetMode="External"/><Relationship Id="rId1675" Type="http://schemas.openxmlformats.org/officeDocument/2006/relationships/hyperlink" Target="https://audio.iskcondesiretree.com/01_-_Srila_Prabhupada/01_-_Lectures/01_-_English/01_-_Topic_wise/Morning_Walk/SP_Morning_Walk_-_Mayapur_1974-03-04.mp3" TargetMode="External"/><Relationship Id="rId1882" Type="http://schemas.openxmlformats.org/officeDocument/2006/relationships/hyperlink" Target="https://audio.iskcondesiretree.com/01_-_Srila_Prabhupada/01_-_Lectures/01_-_English/01_-_Topic_wise/Bhagavad_Gita/Chapter-04/SP_BG_04-28_Bombay_1974-04-17_The_Magic_of_Krsna_Consciousness.mp3" TargetMode="External"/><Relationship Id="rId2519" Type="http://schemas.openxmlformats.org/officeDocument/2006/relationships/hyperlink" Target="https://audio.iskcondesiretree.com/01_-_Srila_Prabhupada/01_-_Lectures/01_-_English/02_-_Month_wise/11_-_November/14/SB-03-25-14_1974-11-14_SB-BOMBAY.MP3" TargetMode="External"/><Relationship Id="rId2726" Type="http://schemas.openxmlformats.org/officeDocument/2006/relationships/hyperlink" Target="https://audio.iskcondesiretree.com/01_-_Srila_Prabhupada/01_-_Lectures/01_-_English/02_-_Month_wise/01_-_January/25/Bg-07-01_1975-01-25_BG-HONG%20KONG.MP3" TargetMode="External"/><Relationship Id="rId4081" Type="http://schemas.openxmlformats.org/officeDocument/2006/relationships/hyperlink" Target="https://audio.iskcondesiretree.com/01_-_Srila_Prabhupada/01_-_Lectures/01_-_English/02_-_Month_wise/12_-_December/11/Walk_1975-12-11_MW-VRNDAVAN.MP3" TargetMode="External"/><Relationship Id="rId5132" Type="http://schemas.openxmlformats.org/officeDocument/2006/relationships/hyperlink" Target="https://audio.iskcondesiretree.com/01_-_Srila_Prabhupada/01_-_Lectures/01_-_English/02_-_Month_wise/08_-_August/18/Fest_HYD_1976-08-18_Temple_Opening_Krishna_etc.mp3" TargetMode="External"/><Relationship Id="rId1328" Type="http://schemas.openxmlformats.org/officeDocument/2006/relationships/hyperlink" Target="https://audio.iskcondesiretree.com/01_-_Srila_Prabhupada/01_-_Lectures/01_-_English/02_-_Month_wise/10_-_October/20/Bg_13-22_BOM_1973-10-20_Through_the_Modes_of_Nature.mp3" TargetMode="External"/><Relationship Id="rId1535" Type="http://schemas.openxmlformats.org/officeDocument/2006/relationships/hyperlink" Target="https://audio.iskcondesiretree.com/01_-_Srila_Prabhupada/01_-_Lectures/01_-_English/02_-_Month_wise/01_-_January/16/Walk_1974-01-16_MW-HONOLULU.MP3" TargetMode="External"/><Relationship Id="rId2933" Type="http://schemas.openxmlformats.org/officeDocument/2006/relationships/hyperlink" Target="https://audio.iskcondesiretree.com/01_-_Srila_Prabhupada/01_-_Lectures/01_-_English/02_-_Month_wise/03_-_March/09/RC_LON_1975-03-09_Reporter--Produce_Food_or_Problems.mp3" TargetMode="External"/><Relationship Id="rId905" Type="http://schemas.openxmlformats.org/officeDocument/2006/relationships/hyperlink" Target="https://audio.iskcondesiretree.com/01_-_Srila_Prabhupada/01_-_Lectures/01_-_English/02_-_Month_wise/01_-_January/26/Lect_CAL_1973-01-26_Initiation_Sannyasa--When_I_Went_etc.mp3" TargetMode="External"/><Relationship Id="rId1742" Type="http://schemas.openxmlformats.org/officeDocument/2006/relationships/hyperlink" Target="https://audio.iskcondesiretree.com/01_-_Srila_Prabhupada/01_-_Lectures/01_-_English/02_-_Month_wise/03_-_March/22/Bg_04-02_BOM_1974-03-22_Government%27s_Choice-Krishna_etc.mp3" TargetMode="External"/><Relationship Id="rId4898" Type="http://schemas.openxmlformats.org/officeDocument/2006/relationships/hyperlink" Target="https://audio.iskcondesiretree.com/01_-_Srila_Prabhupada/01_-_Lectures/01_-_English/02_-_Month_wise/07_-_July/05/Conv_1976-07-05_R3-WASHINGTON%20DC.MP3" TargetMode="External"/><Relationship Id="rId5949" Type="http://schemas.openxmlformats.org/officeDocument/2006/relationships/hyperlink" Target="https://audio.iskcondesiretree.com/01_-_Srila_Prabhupada/01_-_Lectures/01_-_English/02_-_Month_wise/10_-_October/15/Conv_1977-10-15_R2-VRNDAVAN.MP3" TargetMode="External"/><Relationship Id="rId34" Type="http://schemas.openxmlformats.org/officeDocument/2006/relationships/hyperlink" Target="https://audio.iskcondesiretree.com/01_-_Srila_Prabhupada/01_-_Lectures/01_-_English/01_-_Topic_wise/Bhagavad_Gita/Chapter-03/SP_BG_03-08-13_New_York_1966-05-20_Yajna_Means_Work_for_Vishnu.mp3" TargetMode="External"/><Relationship Id="rId1602" Type="http://schemas.openxmlformats.org/officeDocument/2006/relationships/hyperlink" Target="https://audio.iskcondesiretree.com/01_-_Srila_Prabhupada/01_-_Lectures/01_-_English/02_-_Month_wise/02_-_Feburary/10/Bg-04-03_1974-02-10_BG-VRNDAVAN.MP3" TargetMode="External"/><Relationship Id="rId4758" Type="http://schemas.openxmlformats.org/officeDocument/2006/relationships/hyperlink" Target="https://audio.iskcondesiretree.com/01_-_Srila_Prabhupada/01_-_Lectures/01_-_English/02_-_Month_wise/06_-_June/15/SB-06-01-49_1976-06-15_SB-DETROIT.MP3" TargetMode="External"/><Relationship Id="rId4965" Type="http://schemas.openxmlformats.org/officeDocument/2006/relationships/hyperlink" Target="https://audio.iskcondesiretree.com/01_-_Srila_Prabhupada/01_-_Lectures/01_-_English/02_-_Month_wise/07_-_July/13/RC_NY_1976-07-13_Love-Perverted_or_Pure.mp3" TargetMode="External"/><Relationship Id="rId5809" Type="http://schemas.openxmlformats.org/officeDocument/2006/relationships/hyperlink" Target="https://audio.iskcondesiretree.com/01_-_Srila_Prabhupada/01_-_Lectures/01_-_English/02_-_Month_wise/04_-_April/19/Conv_1977-04-19_R1-BOMBAY.MP3" TargetMode="External"/><Relationship Id="rId6180" Type="http://schemas.openxmlformats.org/officeDocument/2006/relationships/hyperlink" Target="https://audio.iskcondesiretree.com/01_-_Srila_Prabhupada/01_-_Lectures/03_-_Hindi/SP_Hindi_08_Lectures_%26_Conversations.mp3" TargetMode="External"/><Relationship Id="rId3567" Type="http://schemas.openxmlformats.org/officeDocument/2006/relationships/hyperlink" Target="https://audio.iskcondesiretree.com/01_-_Srila_Prabhupada/01_-_Lectures/01_-_English/01_-_Topic_wise/Various/SP_Lecture_San_Francisco_1975-07-21_Gurudasa_Sannyasa_and_Harinama_Initiations.MP3" TargetMode="External"/><Relationship Id="rId3774" Type="http://schemas.openxmlformats.org/officeDocument/2006/relationships/hyperlink" Target="https://audio.iskcondesiretree.com/01_-_Srila_Prabhupada/01_-_Lectures/01_-_English/01_-_Topic_wise/Morning_Walk/SP_Morning_Walk_-_Vrindavan_1975-09-19.MP3" TargetMode="External"/><Relationship Id="rId3981" Type="http://schemas.openxmlformats.org/officeDocument/2006/relationships/hyperlink" Target="https://audio.iskcondesiretree.com/01_-_Srila_Prabhupada/01_-_Lectures/01_-_English/02_-_Month_wise/11_-_November/12/MW_BOM_1975-11-12_Maya_and_Her_Ministers.mp3" TargetMode="External"/><Relationship Id="rId4618" Type="http://schemas.openxmlformats.org/officeDocument/2006/relationships/hyperlink" Target="https://audio.iskcondesiretree.com/01_-_Srila_Prabhupada/01_-_Lectures/01_-_English/02_-_Month_wise/05_-_May/18/Conv_1976-05-18_R2-HONOLULU.MP3" TargetMode="External"/><Relationship Id="rId4825" Type="http://schemas.openxmlformats.org/officeDocument/2006/relationships/hyperlink" Target="https://audio.iskcondesiretree.com/01_-_Srila_Prabhupada/01_-_Lectures/01_-_English/02_-_Month_wise/06_-_June/25/SB-07-06-09_1976-06-25_SB-NEW%20VRINDAVAN.MP3" TargetMode="External"/><Relationship Id="rId488" Type="http://schemas.openxmlformats.org/officeDocument/2006/relationships/hyperlink" Target="https://audio.iskcondesiretree.com/01_-_Srila_Prabhupada/01_-_Lectures/01_-_English/01_-_Topic_wise/Srimad_Bhagavatam/Canto-06/SP_SB_6-01-12_Los_Angeles_1970-01-09_Vedic_Culture_vs._Industrialism.mp3" TargetMode="External"/><Relationship Id="rId695" Type="http://schemas.openxmlformats.org/officeDocument/2006/relationships/hyperlink" Target="https://audio.iskcondesiretree.com/01_-_Srila_Prabhupada/01_-_Lectures/01_-_English/02_-_Month_wise/09_-_September/21/SB_1-03-16_LA_1972-09-21_Don%27t_Think_You_Are_All_in_All.mp3" TargetMode="External"/><Relationship Id="rId2169" Type="http://schemas.openxmlformats.org/officeDocument/2006/relationships/hyperlink" Target="https://audio.iskcondesiretree.com/01_-_Srila_Prabhupada/01_-_Lectures/01_-_English/01_-_Topic_wise/Morning_Walk/SP_Morning_Walk_-_Germany_1974-06-20_Different_Bodies_%E2%80%93_Different_Bothers.mp3" TargetMode="External"/><Relationship Id="rId2376" Type="http://schemas.openxmlformats.org/officeDocument/2006/relationships/hyperlink" Target="https://audio.iskcondesiretree.com/01_-_Srila_Prabhupada/01_-_Lectures/01_-_English/01_-_Topic_wise/Various/SP_Garden_Conversation_Vrindavan_1974-09-11.mp3" TargetMode="External"/><Relationship Id="rId2583" Type="http://schemas.openxmlformats.org/officeDocument/2006/relationships/hyperlink" Target="https://audio.iskcondesiretree.com/01_-_Srila_Prabhupada/01_-_Lectures/01_-_English/02_-_Month_wise/12_-_December/05/SB-03-25-36_1974-12-05_SB-BOMBAY.MP3" TargetMode="External"/><Relationship Id="rId2790" Type="http://schemas.openxmlformats.org/officeDocument/2006/relationships/hyperlink" Target="https://audio.iskcondesiretree.com/01_-_Srila_Prabhupada/01_-_Lectures/01_-_English/01_-_Topic_wise/Room_Conversation/SP_Room_Conversation_Mexico_1975-02-12_Sanskrit_Prof--Bona_Fide_or_Bogus.mp3" TargetMode="External"/><Relationship Id="rId3427" Type="http://schemas.openxmlformats.org/officeDocument/2006/relationships/hyperlink" Target="https://audio.iskcondesiretree.com/01_-_Srila_Prabhupada/01_-_Lectures/01_-_English/01_-_Topic_wise/Morning_Walk/SP_Morning_Walk_-_Chicago_1975-07-04_Scientists_Controlling_Nature--That--etc.mp3" TargetMode="External"/><Relationship Id="rId3634" Type="http://schemas.openxmlformats.org/officeDocument/2006/relationships/hyperlink" Target="https://audio.iskcondesiretree.com/01_-_Srila_Prabhupada/01_-_Lectures/01_-_English/02_-_Month_wise/08_-_August/03/SB-06-01-50_1975-08-03_SB-DETROIT.MP3" TargetMode="External"/><Relationship Id="rId3841" Type="http://schemas.openxmlformats.org/officeDocument/2006/relationships/hyperlink" Target="https://audio.iskcondesiretree.com/01_-_Srila_Prabhupada/01_-_Lectures/01_-_English/02_-_Month_wise/10_-_October/09/Bg_07-01_DUR_1975-10-09_Relatively_Dirty_or_Absolutely_Clean.mp3" TargetMode="External"/><Relationship Id="rId6040" Type="http://schemas.openxmlformats.org/officeDocument/2006/relationships/hyperlink" Target="https://audio.iskcondesiretree.com/01_-_Srila_Prabhupada/01_-_Lectures/01_-_English/01_-_Topic_wise/Bhagavad_Gita_Recitation/SP_BG_Recitation_Chapter-07_-_Sanskrit.mp3" TargetMode="External"/><Relationship Id="rId348" Type="http://schemas.openxmlformats.org/officeDocument/2006/relationships/hyperlink" Target="https://audio.iskcondesiretree.com/01_-_Srila_Prabhupada/01_-_Lectures/01_-_English/02_-_Month_wise/01_-_January/03/Bg_04-01_LA_1969-01-03_The_Most_Important_Knowledge.mp3" TargetMode="External"/><Relationship Id="rId555" Type="http://schemas.openxmlformats.org/officeDocument/2006/relationships/hyperlink" Target="https://audio.iskcondesiretree.com/01_-_Srila_Prabhupada/01_-_Lectures/01_-_English/02_-_Month_wise/07_-_July/29/Interv_GAI_1971-07-29_The_Only_Way_to_Love_God_In_This_Age.mp3" TargetMode="External"/><Relationship Id="rId762" Type="http://schemas.openxmlformats.org/officeDocument/2006/relationships/hyperlink" Target="https://audio.iskcondesiretree.com/01_-_Srila_Prabhupada/01_-_Lectures/01_-_English/02_-_Month_wise/10_-_October/30/NOD_07_VRN_1972-10-30_The_Complete_Science_of_Bhakti-Yoga.mp3" TargetMode="External"/><Relationship Id="rId1185" Type="http://schemas.openxmlformats.org/officeDocument/2006/relationships/hyperlink" Target="https://audio.iskcondesiretree.com/01_-_Srila_Prabhupada/01_-_Lectures/01_-_English/02_-_Month_wise/08_-_August/16/Bg_02-10_LON_1973-08-16_Arjuna_Playing_the_Role_of_a_Rascal.mp3" TargetMode="External"/><Relationship Id="rId1392" Type="http://schemas.openxmlformats.org/officeDocument/2006/relationships/hyperlink" Target="https://audio.iskcondesiretree.com/01_-_Srila_Prabhupada/01_-_Lectures/01_-_English/01_-_Topic_wise/Morning_Walk/SP_Morning_Walk_-_Los_Angeles_1973-12-05_We_Have_Free_Will.mp3" TargetMode="External"/><Relationship Id="rId2029" Type="http://schemas.openxmlformats.org/officeDocument/2006/relationships/hyperlink" Target="https://audio.iskcondesiretree.com/01_-_Srila_Prabhupada/01_-_Lectures/01_-_English/02_-_Month_wise/06_-_June/01/Bg_04-11_GEN_1974-06-01_We_Are_Naturally_Jubilant.mp3" TargetMode="External"/><Relationship Id="rId2236" Type="http://schemas.openxmlformats.org/officeDocument/2006/relationships/hyperlink" Target="https://audio.iskcondesiretree.com/01_-_Srila_Prabhupada/01_-_Lectures/01_-_English/02_-_Month_wise/07_-_July/02/Conv_1974-07-02_R1-MELBOURNE.MP3" TargetMode="External"/><Relationship Id="rId2443" Type="http://schemas.openxmlformats.org/officeDocument/2006/relationships/hyperlink" Target="https://audio.iskcondesiretree.com/01_-_Srila_Prabhupada/01_-_Lectures/01_-_English/02_-_Month_wise/10_-_October/15/SB-01-08-35_1974-10-15_SB-MAYAPUR.MP3" TargetMode="External"/><Relationship Id="rId2650" Type="http://schemas.openxmlformats.org/officeDocument/2006/relationships/hyperlink" Target="https://audio.iskcondesiretree.com/01_-_Srila_Prabhupada/01_-_Lectures/01_-_English/02_-_Month_wise/12_-_December/27/SB_3-26-18_BOM_1974-12-27_United_by_Chanting_and_Dancing.mp3" TargetMode="External"/><Relationship Id="rId3701" Type="http://schemas.openxmlformats.org/officeDocument/2006/relationships/hyperlink" Target="https://audio.iskcondesiretree.com/01_-_Srila_Prabhupada/01_-_Lectures/01_-_English/02_-_Month_wise/08_-_August/30/Bg-07-03%E2%80%93Hindi_1975-08-30_BG-VRNDAVAN.MP3" TargetMode="External"/><Relationship Id="rId5599" Type="http://schemas.openxmlformats.org/officeDocument/2006/relationships/hyperlink" Target="https://audio.iskcondesiretree.com/01_-_Srila_Prabhupada/01_-_Lectures/01_-_English/02_-_Month_wise/01_-_January/16/Conv_1977-01-16_R3-CALCUTTA.MP3" TargetMode="External"/><Relationship Id="rId208" Type="http://schemas.openxmlformats.org/officeDocument/2006/relationships/hyperlink" Target="https://audio.iskcondesiretree.com/01_-_Srila_Prabhupada/01_-_Lectures/01_-_English/02_-_Month_wise/01_-_January/04/Bg_10-04_NY_1967-01-04_Knowledge--Understanding_etc.mp3" TargetMode="External"/><Relationship Id="rId415" Type="http://schemas.openxmlformats.org/officeDocument/2006/relationships/hyperlink" Target="https://audio.iskcondesiretree.com/01_-_Srila_Prabhupada/01_-_Lectures/01_-_English/02_-_Month_wise/05_-_May/09/Fest_COL_1969-05-09_Temple_Opening--Religion_Means_etc.mp3" TargetMode="External"/><Relationship Id="rId622" Type="http://schemas.openxmlformats.org/officeDocument/2006/relationships/hyperlink" Target="https://audio.iskcondesiretree.com/01_-_Srila_Prabhupada/01_-_Lectures/01_-_English/01_-_Topic_wise/Srimad_Bhagavatam/Canto-02/SP_SB_2-04-02_Los_Angeles_1972-06-25_Simply_Negating_Is_New_Orleans_Good.mp3" TargetMode="External"/><Relationship Id="rId1045" Type="http://schemas.openxmlformats.org/officeDocument/2006/relationships/hyperlink" Target="https://audio.iskcondesiretree.com/01_-_Srila_Prabhupada/01_-_Lectures/01_-_English/01_-_Topic_wise/Srimad_Bhagavatam/Canto-01/SP_SB_1-10-11_Mayapur_1973-06-25_Satsanga...Asatsanga.mp3" TargetMode="External"/><Relationship Id="rId1252" Type="http://schemas.openxmlformats.org/officeDocument/2006/relationships/hyperlink" Target="https://audio.iskcondesiretree.com/01_-_Srila_Prabhupada/01_-_Lectures/01_-_English/02_-_Month_wise/09_-_September/05/Arr_STO_1973-09-05_Complete_Freedom.mp3" TargetMode="External"/><Relationship Id="rId2303" Type="http://schemas.openxmlformats.org/officeDocument/2006/relationships/hyperlink" Target="https://audio.iskcondesiretree.com/01_-_Srila_Prabhupada/01_-_Lectures/01_-_English/01_-_Topic_wise/Bhagavad_Gita/Chapter-04/SP_BG_04-11_Vrindavan_1974-08-03_This_Skin%3DSuffering_This--etc.mp3" TargetMode="External"/><Relationship Id="rId2510" Type="http://schemas.openxmlformats.org/officeDocument/2006/relationships/hyperlink" Target="https://audio.iskcondesiretree.com/01_-_Srila_Prabhupada/01_-_Lectures/01_-_English/02_-_Month_wise/11_-_November/11/SB-03-25-11_1974-11-11_SB-BOMBAY.MP3" TargetMode="External"/><Relationship Id="rId5459" Type="http://schemas.openxmlformats.org/officeDocument/2006/relationships/hyperlink" Target="https://audio.iskcondesiretree.com/01_-_Srila_Prabhupada/01_-_Lectures/01_-_English/02_-_Month_wise/11_-_November/27/SB-05-06-05_1976-11-27_SB-VRNDAVAN.MP3" TargetMode="External"/><Relationship Id="rId5666" Type="http://schemas.openxmlformats.org/officeDocument/2006/relationships/hyperlink" Target="https://audio.iskcondesiretree.com/01_-_Srila_Prabhupada/01_-_Lectures/01_-_English/02_-_Month_wise/02_-_Feburary/01/Walk_1977-02-01_MW-BHUBANESWAR.MP3" TargetMode="External"/><Relationship Id="rId1112" Type="http://schemas.openxmlformats.org/officeDocument/2006/relationships/hyperlink" Target="https://audio.iskcondesiretree.com/01_-_Srila_Prabhupada/01_-_Lectures/01_-_English/01_-_Topic_wise/Srimad_Bhagavatam/Canto-01/SP_SB_1-02-06_London_1973-07-23_East_and_West_Should_Cooperate.mp3" TargetMode="External"/><Relationship Id="rId4268" Type="http://schemas.openxmlformats.org/officeDocument/2006/relationships/hyperlink" Target="https://audio.iskcondesiretree.com/01_-_Srila_Prabhupada/01_-_Lectures/01_-_English/01_-_Topic_wise/Srimad_Bhagavatam/Canto-07/SP_SB_7-09-15_Mayapur_1976-02-22_New_Orleans_Gentleman_Can_Live_Here.mp3" TargetMode="External"/><Relationship Id="rId4475" Type="http://schemas.openxmlformats.org/officeDocument/2006/relationships/hyperlink" Target="https://audio.iskcondesiretree.com/01_-_Srila_Prabhupada/01_-_Lectures/01_-_English/02_-_Month_wise/04_-_April/14/SB_7-12-03_BOM_1976-04-14_Sex_Life-Spiritual_Life.mp3" TargetMode="External"/><Relationship Id="rId5319" Type="http://schemas.openxmlformats.org/officeDocument/2006/relationships/hyperlink" Target="https://audio.iskcondesiretree.com/01_-_Srila_Prabhupada/01_-_Lectures/01_-_English/02_-_Month_wise/10_-_October/09/Arr_ALI_1976-10-09_The_Anti-secular_Science.mp3" TargetMode="External"/><Relationship Id="rId5873" Type="http://schemas.openxmlformats.org/officeDocument/2006/relationships/hyperlink" Target="https://audio.iskcondesiretree.com/01_-_Srila_Prabhupada/01_-_Lectures/01_-_English/02_-_Month_wise/05_-_May/31/Conv_1977-05-31_R1-VRNDAVAN.MP3" TargetMode="External"/><Relationship Id="rId3077" Type="http://schemas.openxmlformats.org/officeDocument/2006/relationships/hyperlink" Target="https://audio.iskcondesiretree.com/01_-_Srila_Prabhupada/01_-_Lectures/01_-_English/01_-_Topic_wise/Morning_Walk/SP_Morning_Walk_-_Mayapur_1975-04-09.MP3" TargetMode="External"/><Relationship Id="rId3284" Type="http://schemas.openxmlformats.org/officeDocument/2006/relationships/hyperlink" Target="https://audio.iskcondesiretree.com/01_-_Srila_Prabhupada/01_-_Lectures/01_-_English/02_-_Month_wise/06_-_June/12/Conv_1975-06-12_R1-HONOLULU.MP3" TargetMode="External"/><Relationship Id="rId4128" Type="http://schemas.openxmlformats.org/officeDocument/2006/relationships/hyperlink" Target="https://audio.iskcondesiretree.com/01_-_Srila_Prabhupada/01_-_Lectures/01_-_English/01_-_Topic_wise/Room_Conversation/SP_Room_Conversation_Sanand_1975-12-26_Hampered_Enjoyment.mp3" TargetMode="External"/><Relationship Id="rId4682" Type="http://schemas.openxmlformats.org/officeDocument/2006/relationships/hyperlink" Target="https://audio.iskcondesiretree.com/01_-_Srila_Prabhupada/01_-_Lectures/01_-_English/02_-_Month_wise/06_-_June/03/SB-06-01-37_1976-06-03_SB-LOS%20ANGELES.MP3" TargetMode="External"/><Relationship Id="rId5526" Type="http://schemas.openxmlformats.org/officeDocument/2006/relationships/hyperlink" Target="https://audio.iskcondesiretree.com/01_-_Srila_Prabhupada/01_-_Lectures/01_-_English/02_-_Month_wise/12_-_December/25/SB_5-05-01_BOM_1976-12-25_Human-Not_Working_Like_Animal.mp3" TargetMode="External"/><Relationship Id="rId5733" Type="http://schemas.openxmlformats.org/officeDocument/2006/relationships/hyperlink" Target="https://audio.iskcondesiretree.com/01_-_Srila_Prabhupada/01_-_Lectures/01_-_English/01_-_Topic_wise/Srimad_Bhagavatam/Canto-07/SP_SB_7-09-06_Mayapur_1977-02-26_God--Supreme_Being.mp3" TargetMode="External"/><Relationship Id="rId5940" Type="http://schemas.openxmlformats.org/officeDocument/2006/relationships/hyperlink" Target="https://audio.iskcondesiretree.com/01_-_Srila_Prabhupada/01_-_Lectures/01_-_English/02_-_Month_wise/10_-_October/11/Conv_1977-10-11_R2-VRNDAVAN.MP3" TargetMode="External"/><Relationship Id="rId1929" Type="http://schemas.openxmlformats.org/officeDocument/2006/relationships/hyperlink" Target="https://audio.iskcondesiretree.com/01_-_Srila_Prabhupada/01_-_Lectures/01_-_English/02_-_Month_wise/04_-_April/25/Lecture%E2%80%93Hindi_1974-04-25_LE-TIRUPATI.MP3" TargetMode="External"/><Relationship Id="rId2093" Type="http://schemas.openxmlformats.org/officeDocument/2006/relationships/hyperlink" Target="https://audio.iskcondesiretree.com/01_-_Srila_Prabhupada/01_-_Lectures/01_-_English/01_-_Topic_wise/Srimad_Bhagavatam/Canto-02/SP_SB_2-01-02_Paris_1974-06-11_From_One_Garbage_Body_to_Another.mp3" TargetMode="External"/><Relationship Id="rId3491" Type="http://schemas.openxmlformats.org/officeDocument/2006/relationships/hyperlink" Target="https://audio.iskcondesiretree.com/01_-_Srila_Prabhupada/01_-_Lectures/01_-_English/02_-_Month_wise/07_-_July/11/Arr_PHI_1975-07-11_The_Dancing_Platform.mp3" TargetMode="External"/><Relationship Id="rId4335" Type="http://schemas.openxmlformats.org/officeDocument/2006/relationships/hyperlink" Target="https://audio.iskcondesiretree.com/01_-_Srila_Prabhupada/01_-_Lectures/01_-_English/02_-_Month_wise/03_-_March/09/SB_7-09-31_MAY_1976-03-09_First_Lesson--Who_Am_I.mp3" TargetMode="External"/><Relationship Id="rId4542" Type="http://schemas.openxmlformats.org/officeDocument/2006/relationships/hyperlink" Target="https://audio.iskcondesiretree.com/01_-_Srila_Prabhupada/01_-_Lectures/01_-_English/01_-_Topic_wise/Interview/SP_Interview_Auckland_1976-04-27_Press--This_Religion_Is_Yours_Also.mp3" TargetMode="External"/><Relationship Id="rId5800" Type="http://schemas.openxmlformats.org/officeDocument/2006/relationships/hyperlink" Target="https://audio.iskcondesiretree.com/01_-_Srila_Prabhupada/01_-_Lectures/01_-_English/02_-_Month_wise/04_-_April/16/Conv_1977-04-16_R1-BOMBAY.MP3" TargetMode="External"/><Relationship Id="rId3144" Type="http://schemas.openxmlformats.org/officeDocument/2006/relationships/hyperlink" Target="https://audio.iskcondesiretree.com/01_-_Srila_Prabhupada/01_-_Lectures/01_-_English/01_-_Topic_wise/Morning_Walk/SP_Morning_Walk_-_Vrindavan_1975-04-28.MP3" TargetMode="External"/><Relationship Id="rId3351" Type="http://schemas.openxmlformats.org/officeDocument/2006/relationships/hyperlink" Target="https://audio.iskcondesiretree.com/01_-_Srila_Prabhupada/01_-_Lectures/01_-_English/01_-_Topic_wise/Srimad_Bhagavatam/Canto-06/SP_SB_6-01-10_Los_Angeles_1975-06-23_New_Orleans_Heart_Free_of_Dirt.mp3" TargetMode="External"/><Relationship Id="rId4402" Type="http://schemas.openxmlformats.org/officeDocument/2006/relationships/hyperlink" Target="https://audio.iskcondesiretree.com/01_-_Srila_Prabhupada/01_-_Lectures/01_-_English/01_-_Topic_wise/Morning_Walk/SP_Morning_Walk_-_Delhi_1976-03-25_Suffering_Is_Your_Creation.mp3" TargetMode="External"/><Relationship Id="rId272" Type="http://schemas.openxmlformats.org/officeDocument/2006/relationships/hyperlink" Target="https://audio.iskcondesiretree.com/01_-_Srila_Prabhupada/01_-_Lectures/01_-_English/01_-_Topic_wise/Various/SP_Lecture_Seattle_1968-10-04_If_You_Know_Krishna_You_Know_Everything.mp3" TargetMode="External"/><Relationship Id="rId2160" Type="http://schemas.openxmlformats.org/officeDocument/2006/relationships/hyperlink" Target="https://audio.iskcondesiretree.com/01_-_Srila_Prabhupada/01_-_Lectures/01_-_English/01_-_Topic_wise/Morning_Walk/SP_Morning_Walk_-_Paris_1974-06-19_People_Want_to_Banish_God.mp3" TargetMode="External"/><Relationship Id="rId3004" Type="http://schemas.openxmlformats.org/officeDocument/2006/relationships/hyperlink" Target="https://audio.iskcondesiretree.com/01_-_Srila_Prabhupada/01_-_Lectures/01_-_English/01_-_Topic_wise/Various/SP_Lecture_Mayapur_1975-03-29_After_Manipur_Dancing.MP3" TargetMode="External"/><Relationship Id="rId3211" Type="http://schemas.openxmlformats.org/officeDocument/2006/relationships/hyperlink" Target="https://audio.iskcondesiretree.com/01_-_Srila_Prabhupada/01_-_Lectures/01_-_English/01_-_Topic_wise/Srimad_Bhagavatam/Canto-06/SP_SB_6-01-01_Melbourne_1975-05-20_What_to_Do_About_Death.mp3" TargetMode="External"/><Relationship Id="rId132" Type="http://schemas.openxmlformats.org/officeDocument/2006/relationships/hyperlink" Target="https://audio.iskcondesiretree.com/01_-_Srila_Prabhupada/01_-_Lectures/01_-_English/01_-_Topic_wise/Chaitanya_Charitamrita/Madhya_Lila/SP_CC_M_20-137_New_York_1966-11-28_I_Am_Attained_By--etc.mp3" TargetMode="External"/><Relationship Id="rId2020" Type="http://schemas.openxmlformats.org/officeDocument/2006/relationships/hyperlink" Target="https://audio.iskcondesiretree.com/01_-_Srila_Prabhupada/01_-_Lectures/01_-_English/02_-_Month_wise/05_-_May/31/Conv_1974-05-31_R2-GENEVA.MP3" TargetMode="External"/><Relationship Id="rId5176" Type="http://schemas.openxmlformats.org/officeDocument/2006/relationships/hyperlink" Target="https://audio.iskcondesiretree.com/01_-_Srila_Prabhupada/01_-_Lectures/01_-_English/02_-_Month_wise/09_-_September/03/Arr_VRN_1976-09-03_Understand_God.mp3" TargetMode="External"/><Relationship Id="rId5383" Type="http://schemas.openxmlformats.org/officeDocument/2006/relationships/hyperlink" Target="https://audio.iskcondesiretree.com/01_-_Srila_Prabhupada/01_-_Lectures/01_-_English/01_-_Topic_wise/Srimad_Bhagavatam/Canto-05/SP_SB_5-05-17_Vrindavan_1976-11-05_%27Classless%27_Means--etc.mp3" TargetMode="External"/><Relationship Id="rId5590" Type="http://schemas.openxmlformats.org/officeDocument/2006/relationships/hyperlink" Target="https://audio.iskcondesiretree.com/01_-_Srila_Prabhupada/01_-_Lectures/01_-_English/02_-_Month_wise/01_-_January/11/Conv_1977-01-11_TT-INDIA.MP3" TargetMode="External"/><Relationship Id="rId1579" Type="http://schemas.openxmlformats.org/officeDocument/2006/relationships/hyperlink" Target="https://audio.iskcondesiretree.com/01_-_Srila_Prabhupada/01_-_Lectures/01_-_English/02_-_Month_wise/01_-_January/30/Conv_1974-01-30_R1-TOKYO.MP3" TargetMode="External"/><Relationship Id="rId2977" Type="http://schemas.openxmlformats.org/officeDocument/2006/relationships/hyperlink" Target="https://audio.iskcondesiretree.com/01_-_Srila_Prabhupada/01_-_Lectures/01_-_English/02_-_Month_wise/03_-_March/21/Interv_CAL_1975-03-21_Pseudo_Scientists_Deny_Supreme.mp3" TargetMode="External"/><Relationship Id="rId4192" Type="http://schemas.openxmlformats.org/officeDocument/2006/relationships/hyperlink" Target="https://audio.iskcondesiretree.com/01_-_Srila_Prabhupada/01_-_Lectures/01_-_English/02_-_Month_wise/01_-_January/17/Walk_1976-01-17_R1-MAYAPUR.MP3" TargetMode="External"/><Relationship Id="rId5036" Type="http://schemas.openxmlformats.org/officeDocument/2006/relationships/hyperlink" Target="https://audio.iskcondesiretree.com/01_-_Srila_Prabhupada/01_-_Lectures/01_-_English/02_-_Month_wise/07_-_July/31/Conv_1976-07-31_R2-NEW%20MAYAPUR.MP3" TargetMode="External"/><Relationship Id="rId5243" Type="http://schemas.openxmlformats.org/officeDocument/2006/relationships/hyperlink" Target="https://audio.iskcondesiretree.com/01_-_Srila_Prabhupada/01_-_Lectures/01_-_English/02_-_Month_wise/09_-_September/18/SB-01-07-22_1976-09-18_SB-VRNDAVAN.MP3" TargetMode="External"/><Relationship Id="rId5450" Type="http://schemas.openxmlformats.org/officeDocument/2006/relationships/hyperlink" Target="https://audio.iskcondesiretree.com/01_-_Srila_Prabhupada/01_-_Lectures/01_-_English/02_-_Month_wise/11_-_November/24/SB-05-06-02_1976-11-24_SB-VRNDAVAN.MP3" TargetMode="External"/><Relationship Id="rId949" Type="http://schemas.openxmlformats.org/officeDocument/2006/relationships/hyperlink" Target="https://audio.iskcondesiretree.com/01_-_Srila_Prabhupada/01_-_Lectures/01_-_English/01_-_Topic_wise/Srimad_Bhagavatam/Canto-01/SP_SB_1-08-24_Los_Angeles_1973-04-16_If_Krishna_Wants_to_Protect--etc.mp3" TargetMode="External"/><Relationship Id="rId1786" Type="http://schemas.openxmlformats.org/officeDocument/2006/relationships/hyperlink" Target="https://audio.iskcondesiretree.com/01_-_Srila_Prabhupada/01_-_Lectures/01_-_English/02_-_Month_wise/03_-_March/30/Bg_04-10_BOM_1974-03-30_Reducing_our_Animality_etc.mp3" TargetMode="External"/><Relationship Id="rId1993" Type="http://schemas.openxmlformats.org/officeDocument/2006/relationships/hyperlink" Target="https://audio.iskcondesiretree.com/01_-_Srila_Prabhupada/01_-_Lectures/01_-_English/02_-_Month_wise/05_-_May/26/Walk_1974-05-26_MW-ROME.MP3" TargetMode="External"/><Relationship Id="rId2837" Type="http://schemas.openxmlformats.org/officeDocument/2006/relationships/hyperlink" Target="https://audio.iskcondesiretree.com/01_-_Srila_Prabhupada/01_-_Lectures/01_-_English/02_-_Month_wise/02_-_Feburary/22/Initiations_1975-02-22_IN-CARACAS.MP3" TargetMode="External"/><Relationship Id="rId4052" Type="http://schemas.openxmlformats.org/officeDocument/2006/relationships/hyperlink" Target="https://audio.iskcondesiretree.com/01_-_Srila_Prabhupada/01_-_Lectures/01_-_English/02_-_Month_wise/12_-_December/04/Walk_1975-12-04_MW-VRNDAVAN.MP3" TargetMode="External"/><Relationship Id="rId5103" Type="http://schemas.openxmlformats.org/officeDocument/2006/relationships/hyperlink" Target="https://audio.iskcondesiretree.com/01_-_Srila_Prabhupada/01_-_Lectures/01_-_English/02_-_Month_wise/08_-_August/13/Arrival_1976-08-13_AR-BOMBAY.MP3" TargetMode="External"/><Relationship Id="rId78" Type="http://schemas.openxmlformats.org/officeDocument/2006/relationships/hyperlink" Target="https://audio.iskcondesiretree.com/01_-_Srila_Prabhupada/01_-_Lectures/01_-_English/01_-_Topic_wise/Various/SP_Lecture_New_York_1966-09-08_Introduction_to_Maha-mantra.mp3" TargetMode="External"/><Relationship Id="rId809" Type="http://schemas.openxmlformats.org/officeDocument/2006/relationships/hyperlink" Target="https://audio.iskcondesiretree.com/01_-_Srila_Prabhupada/01_-_Lectures/01_-_English/01_-_Topic_wise/Srimad_Bhagavatam/Canto-01/SP_SB_1-02-32_Vrindavan_1972-11-11_Oneness_Is_Variety.mp3" TargetMode="External"/><Relationship Id="rId1439" Type="http://schemas.openxmlformats.org/officeDocument/2006/relationships/hyperlink" Target="https://audio.iskcondesiretree.com/01_-_Srila_Prabhupada/01_-_Lectures/01_-_English/02_-_Month_wise/12_-_December/17/MW_LA_1973-12-17_Soul_Science.mp3" TargetMode="External"/><Relationship Id="rId1646" Type="http://schemas.openxmlformats.org/officeDocument/2006/relationships/hyperlink" Target="https://audio.iskcondesiretree.com/01_-_Srila_Prabhupada/01_-_Lectures/01_-_English/01_-_Topic_wise/Bhagavad_Gita/Chapter-07/SP_BG_07-09_Bombay_1974-02-24_No_Brain_Behind_Nature.mp3" TargetMode="External"/><Relationship Id="rId1853" Type="http://schemas.openxmlformats.org/officeDocument/2006/relationships/hyperlink" Target="https://audio.iskcondesiretree.com/01_-_Srila_Prabhupada/01_-_Lectures/01_-_English/02_-_Month_wise/04_-_April/10/MW_BOM_1974-04-10_Our_Business_is_to_Point_Out_Who_Is_etc.mp3" TargetMode="External"/><Relationship Id="rId2904" Type="http://schemas.openxmlformats.org/officeDocument/2006/relationships/hyperlink" Target="https://audio.iskcondesiretree.com/01_-_Srila_Prabhupada/01_-_Lectures/01_-_English/01_-_Topic_wise/Chaitanya_Charitamrita/Adi_Lila/SP_CC_A_01-15_Dallas_1975-03-04_Our_Hospital_Can_Stop_Death.mp3" TargetMode="External"/><Relationship Id="rId5310" Type="http://schemas.openxmlformats.org/officeDocument/2006/relationships/hyperlink" Target="https://audio.iskcondesiretree.com/01_-_Srila_Prabhupada/01_-_Lectures/01_-_English/01_-_Topic_wise/Srimad_Bhagavatam/Canto-01/SP_SB_1-07-49-50_Vrindavan_1976-10-07_Love_God_Love_His_Dog.mp3" TargetMode="External"/><Relationship Id="rId1506" Type="http://schemas.openxmlformats.org/officeDocument/2006/relationships/hyperlink" Target="https://audio.iskcondesiretree.com/01_-_Srila_Prabhupada/01_-_Lectures/01_-_English/02_-_Month_wise/01_-_January/09/Walk_1974-01-09_MW-LOS_ANGELES.MP3" TargetMode="External"/><Relationship Id="rId1713" Type="http://schemas.openxmlformats.org/officeDocument/2006/relationships/hyperlink" Target="https://audio.iskcondesiretree.com/01_-_Srila_Prabhupada/01_-_Lectures/01_-_English/02_-_Month_wise/03_-_March/15/Walk_1974-03-15_MW-VRNDAVAN.MP3" TargetMode="External"/><Relationship Id="rId1920" Type="http://schemas.openxmlformats.org/officeDocument/2006/relationships/hyperlink" Target="https://audio.iskcondesiretree.com/01_-_Srila_Prabhupada/01_-_Lectures/01_-_English/02_-_Month_wise/04_-_April/23/Lecture%E2%80%93Hindi_1974-04-23_LE-HYDERABAD.MP3" TargetMode="External"/><Relationship Id="rId4869" Type="http://schemas.openxmlformats.org/officeDocument/2006/relationships/hyperlink" Target="https://audio.iskcondesiretree.com/01_-_Srila_Prabhupada/01_-_Lectures/01_-_English/02_-_Month_wise/07_-_July/01/BhavanJournalQuestionnaire-03_1976-07-01_BJ-NEW%20VRINDAVAN.MP3" TargetMode="External"/><Relationship Id="rId3678" Type="http://schemas.openxmlformats.org/officeDocument/2006/relationships/hyperlink" Target="https://audio.iskcondesiretree.com/01_-_Srila_Prabhupada/01_-_Lectures/01_-_English/01_-_Topic_wise/Room_Conversation/SP_Room_Conversation_01_Bombay_1975-08-21.MP3" TargetMode="External"/><Relationship Id="rId3885" Type="http://schemas.openxmlformats.org/officeDocument/2006/relationships/hyperlink" Target="https://audio.iskcondesiretree.com/01_-_Srila_Prabhupada/01_-_Lectures/01_-_English/02_-_Month_wise/10_-_October/17/Walk_1975-10-17_MW-JOHANNESBURG.MP3" TargetMode="External"/><Relationship Id="rId4729" Type="http://schemas.openxmlformats.org/officeDocument/2006/relationships/hyperlink" Target="https://audio.iskcondesiretree.com/01_-_Srila_Prabhupada/01_-_Lectures/01_-_English/02_-_Month_wise/06_-_June/10/SB_6-01-44_LA_1976-06-10_Lion-killer_Rabbit.mp3" TargetMode="External"/><Relationship Id="rId4936" Type="http://schemas.openxmlformats.org/officeDocument/2006/relationships/hyperlink" Target="https://audio.iskcondesiretree.com/01_-_Srila_Prabhupada/01_-_Lectures/01_-_English/02_-_Month_wise/07_-_July/08/RC_WDC_1976-07-08_S._Damodar_Life_Comes_By_the_etc.mp3" TargetMode="External"/><Relationship Id="rId6084" Type="http://schemas.openxmlformats.org/officeDocument/2006/relationships/hyperlink" Target="https://audio.iskcondesiretree.com/01_-_Srila_Prabhupada/01_-_Lectures/01_-_English/01_-_Topic_wise/Krishna_Book/SP_Krsna_Book_Dict_40_-_Prayers_by_Akrura.mp3" TargetMode="External"/><Relationship Id="rId599" Type="http://schemas.openxmlformats.org/officeDocument/2006/relationships/hyperlink" Target="https://audio.iskcondesiretree.com/01_-_Srila_Prabhupada/01_-_Lectures/01_-_English/01_-_Topic_wise/Srimad_Bhagavatam/Canto-02/SP_SB_2-03-18_Los_Angeles_1972-06-13_Hogs_Dogs_Camels_and_Asses.mp3" TargetMode="External"/><Relationship Id="rId2487" Type="http://schemas.openxmlformats.org/officeDocument/2006/relationships/hyperlink" Target="https://audio.iskcondesiretree.com/01_-_Srila_Prabhupada/01_-_Lectures/01_-_English/02_-_Month_wise/11_-_November/02/SB_3-25-02_BOM_1974-11-02_Eat%2C_Drink%2C_Be_Merry_For_etc.mp3" TargetMode="External"/><Relationship Id="rId2694" Type="http://schemas.openxmlformats.org/officeDocument/2006/relationships/hyperlink" Target="https://audio.iskcondesiretree.com/01_-_Srila_Prabhupada/01_-_Lectures/01_-_English/02_-_Month_wise/01_-_January/12/SB_3-26-35_BOM_1975-01-12_Tolerance_of_Matter%27s_Touch.mp3" TargetMode="External"/><Relationship Id="rId3538" Type="http://schemas.openxmlformats.org/officeDocument/2006/relationships/hyperlink" Target="https://audio.iskcondesiretree.com/01_-_Srila_Prabhupada/01_-_Lectures/01_-_English/02_-_Month_wise/07_-_July/16/SB_6-01-31_SF_1975-07-16_Doom_Boon_and_Deliverance.mp3" TargetMode="External"/><Relationship Id="rId3745" Type="http://schemas.openxmlformats.org/officeDocument/2006/relationships/hyperlink" Target="https://audio.iskcondesiretree.com/01_-_Srila_Prabhupada/01_-_Lectures/01_-_English/01_-_Topic_wise/Srimad_Bhagavatam/Canto-06/SP_SB_6-02-07_Vrindavan_1975-09-10_Government_and_Guardians.mp3" TargetMode="External"/><Relationship Id="rId6151" Type="http://schemas.openxmlformats.org/officeDocument/2006/relationships/hyperlink" Target="https://audio.iskcondesiretree.com/01_-_Srila_Prabhupada/01_-_Lectures/01_-_English/01_-_Topic_wise/Stories/SP_Story_27_Liquid_Beauty.mp3" TargetMode="External"/><Relationship Id="rId459" Type="http://schemas.openxmlformats.org/officeDocument/2006/relationships/hyperlink" Target="https://audio.iskcondesiretree.com/01_-_Srila_Prabhupada/01_-_Lectures/01_-_English/02_-_Month_wise/07_-_July/16/Fest_LA_1969-07-16_Deity_Installation.mp3" TargetMode="External"/><Relationship Id="rId666" Type="http://schemas.openxmlformats.org/officeDocument/2006/relationships/hyperlink" Target="https://audio.iskcondesiretree.com/01_-_Srila_Prabhupada/01_-_Lectures/01_-_English/01_-_Topic_wise/Srimad_Bhagavatam/Canto-01/SP_SB_1-02-25_Los_Angeles_1972-08-28_Paltry_Research_Work.mp3" TargetMode="External"/><Relationship Id="rId873" Type="http://schemas.openxmlformats.org/officeDocument/2006/relationships/hyperlink" Target="https://audio.iskcondesiretree.com/01_-_Srila_Prabhupada/01_-_Lectures/01_-_English/02_-_Month_wise/12_-_December/27/NOD_Pg-12_BOM_1972-12-27_Real_Liberation_Is_Bhakti-Yoga.mp3" TargetMode="External"/><Relationship Id="rId1089" Type="http://schemas.openxmlformats.org/officeDocument/2006/relationships/hyperlink" Target="https://audio.iskcondesiretree.com/01_-_Srila_Prabhupada/01_-_Lectures/01_-_English/02_-_Month_wise/07_-_July/15/Bg_01-15_LON_1973-07-15_Spiritual_etc.mp3" TargetMode="External"/><Relationship Id="rId1296" Type="http://schemas.openxmlformats.org/officeDocument/2006/relationships/hyperlink" Target="https://audio.iskcondesiretree.com/01_-_Srila_Prabhupada/01_-_Lectures/01_-_English/02_-_Month_wise/09_-_September/28/Bg_13-05_BOM_1973-09-28_The_Process_of_Progress.mp3" TargetMode="External"/><Relationship Id="rId2347" Type="http://schemas.openxmlformats.org/officeDocument/2006/relationships/hyperlink" Target="https://audio.iskcondesiretree.com/01_-_Srila_Prabhupada/01_-_Lectures/01_-_English/01_-_Topic_wise/Bhagavad_Gita/Chapter-07/SP_BG_07-06_Vrindavan_1974-08-12_Krishna-Our_Personal_Powerhouse.mp3" TargetMode="External"/><Relationship Id="rId2554" Type="http://schemas.openxmlformats.org/officeDocument/2006/relationships/hyperlink" Target="https://audio.iskcondesiretree.com/01_-_Srila_Prabhupada/01_-_Lectures/01_-_English/02_-_Month_wise/11_-_November/25/SB_3-25-25_BOM_1974-11-25_Taste_of_Talks_About_Krishna.mp3" TargetMode="External"/><Relationship Id="rId3952" Type="http://schemas.openxmlformats.org/officeDocument/2006/relationships/hyperlink" Target="https://audio.iskcondesiretree.com/01_-_Srila_Prabhupada/01_-_Lectures/01_-_English/02_-_Month_wise/11_-_November/01/Walk_1975-11-01_MW-NAIROBI.MP3" TargetMode="External"/><Relationship Id="rId6011" Type="http://schemas.openxmlformats.org/officeDocument/2006/relationships/hyperlink" Target="https://audio.iskcondesiretree.com/01_-_Srila_Prabhupada/01_-_Lectures/01_-_English/02_-_Month_wise/11_-_November/08/Conv_1977-11-08_R2-VRNDAVAN.MP3" TargetMode="External"/><Relationship Id="rId319" Type="http://schemas.openxmlformats.org/officeDocument/2006/relationships/hyperlink" Target="https://audio.iskcondesiretree.com/01_-_Srila_Prabhupada/01_-_Lectures/01_-_English/01_-_Topic_wise/Bhagavad_Gita/Chapter-02/SP_BG_02-40_Los_Angeles_1968-12-13_Material_vs._Spiritual_Culture.mp3" TargetMode="External"/><Relationship Id="rId526" Type="http://schemas.openxmlformats.org/officeDocument/2006/relationships/hyperlink" Target="https://audio.iskcondesiretree.com/01_-_Srila_Prabhupada/01_-_Lectures/01_-_English/01_-_Topic_wise/Srimad_Bhagavatam/Canto-07/SP_SB_7-07-19_Bombay_1971-03-18_Designations_-_Demoniac.mp3" TargetMode="External"/><Relationship Id="rId1156" Type="http://schemas.openxmlformats.org/officeDocument/2006/relationships/hyperlink" Target="https://audio.iskcondesiretree.com/01_-_Srila_Prabhupada/01_-_Lectures/01_-_English/02_-_Month_wise/08_-_August/09/MW_PAR_1973-08-09_Animal_Killing.mp3" TargetMode="External"/><Relationship Id="rId1363" Type="http://schemas.openxmlformats.org/officeDocument/2006/relationships/hyperlink" Target="https://audio.iskcondesiretree.com/01_-_Srila_Prabhupada/01_-_Lectures/01_-_English/01_-_Topic_wise/Srimad_Bhagavatam/Canto-01/SP_SB_1-02-07_Delhi_1973-11-13_Understand_God_from_God.mp3" TargetMode="External"/><Relationship Id="rId2207" Type="http://schemas.openxmlformats.org/officeDocument/2006/relationships/hyperlink" Target="https://audio.iskcondesiretree.com/01_-_Srila_Prabhupada/01_-_Lectures/01_-_English/01_-_Topic_wise/Bhagavad_Gita/Chapter-07/SP_BG_07-01_Melbourne_1974-06-29_Surrounded_by_Krishna_Atmosphere.mp3" TargetMode="External"/><Relationship Id="rId2761" Type="http://schemas.openxmlformats.org/officeDocument/2006/relationships/hyperlink" Target="https://audio.iskcondesiretree.com/01_-_Srila_Prabhupada/01_-_Lectures/01_-_English/02_-_Month_wise/02_-_Feburary/04/Walk_1975-02-04_MW-HONOLULU.MP3" TargetMode="External"/><Relationship Id="rId3605" Type="http://schemas.openxmlformats.org/officeDocument/2006/relationships/hyperlink" Target="https://audio.iskcondesiretree.com/01_-_Srila_Prabhupada/01_-_Lectures/01_-_English/02_-_Month_wise/07_-_July/28/Walk_1975-07-28_MW-SAN%20DIEGO.MP3" TargetMode="External"/><Relationship Id="rId3812" Type="http://schemas.openxmlformats.org/officeDocument/2006/relationships/hyperlink" Target="https://audio.iskcondesiretree.com/01_-_Srila_Prabhupada/01_-_Lectures/01_-_English/02_-_Month_wise/10_-_October/03/Walk_1975-10-03_MW-MAURITIUS.MP3" TargetMode="External"/><Relationship Id="rId733" Type="http://schemas.openxmlformats.org/officeDocument/2006/relationships/hyperlink" Target="https://audio.iskcondesiretree.com/01_-_Srila_Prabhupada/01_-_Lectures/01_-_English/01_-_Topic_wise/Srimad_Bhagavatam/Canto-01/SP_SB_1-02-10_Vrindavan_1972-10-21_New_Orleans_Industrial_Development.mp3" TargetMode="External"/><Relationship Id="rId940" Type="http://schemas.openxmlformats.org/officeDocument/2006/relationships/hyperlink" Target="https://audio.iskcondesiretree.com/01_-_Srila_Prabhupada/01_-_Lectures/01_-_English/01_-_Topic_wise/Srimad_Bhagavatam/Canto-01/SP_SB_1-08-21_New_York_1973-04-13_Spiritual_Sense_Gratification.mp3" TargetMode="External"/><Relationship Id="rId1016" Type="http://schemas.openxmlformats.org/officeDocument/2006/relationships/hyperlink" Target="https://audio.iskcondesiretree.com/01_-_Srila_Prabhupada/01_-_Lectures/01_-_English/02_-_Month_wise/05_-_May/16/SB_1-09-02_LA_1973-05-16_The_Opulence_of_Krsna_Consciousness.mp3" TargetMode="External"/><Relationship Id="rId1570" Type="http://schemas.openxmlformats.org/officeDocument/2006/relationships/hyperlink" Target="https://audio.iskcondesiretree.com/01_-_Srila_Prabhupada/01_-_Lectures/01_-_English/01_-_Topic_wise/Various/SP_Lecture_Honolulu_1974-01-28_Initiation.mp3" TargetMode="External"/><Relationship Id="rId2414" Type="http://schemas.openxmlformats.org/officeDocument/2006/relationships/hyperlink" Target="https://audio.iskcondesiretree.com/01_-_Srila_Prabhupada/01_-_Lectures/01_-_English/02_-_Month_wise/10_-_October/05/SB-01-08-25_1974-10-05_SB-MAYAPUR.MP3" TargetMode="External"/><Relationship Id="rId2621" Type="http://schemas.openxmlformats.org/officeDocument/2006/relationships/hyperlink" Target="https://audio.iskcondesiretree.com/01_-_Srila_Prabhupada/01_-_Lectures/01_-_English/01_-_Topic_wise/Srimad_Bhagavatam/Canto-03/SP_SB_3-26-06_Bombay_1974-12-18_Atheistic_Arrogance.mp3" TargetMode="External"/><Relationship Id="rId5777" Type="http://schemas.openxmlformats.org/officeDocument/2006/relationships/hyperlink" Target="https://audio.iskcondesiretree.com/01_-_Srila_Prabhupada/01_-_Lectures/01_-_English/02_-_Month_wise/03_-_March/29/Lect_BOM_1977-03-29_We_Have_to_Tolerate.mp3" TargetMode="External"/><Relationship Id="rId5984" Type="http://schemas.openxmlformats.org/officeDocument/2006/relationships/hyperlink" Target="https://audio.iskcondesiretree.com/01_-_Srila_Prabhupada/01_-_Lectures/01_-_English/02_-_Month_wise/11_-_November/02/Conv_1977-11-02_R6-VRNDAVAN.MP3" TargetMode="External"/><Relationship Id="rId800" Type="http://schemas.openxmlformats.org/officeDocument/2006/relationships/hyperlink" Target="https://audio.iskcondesiretree.com/01_-_Srila_Prabhupada/01_-_Lectures/01_-_English/01_-_Topic_wise/Nectar_Of_Devotion/SP_NOD_Vrindavan_1972-11-09_-_Dance_with_Krishna_Not_Alone-etc.mp3" TargetMode="External"/><Relationship Id="rId1223" Type="http://schemas.openxmlformats.org/officeDocument/2006/relationships/hyperlink" Target="https://audio.iskcondesiretree.com/01_-_Srila_Prabhupada/01_-_Lectures/01_-_English/02_-_Month_wise/08_-_August/27/Bg_02-23_LON_1973-08-27_You_Are_a_Sample_of_Krishna.mp3" TargetMode="External"/><Relationship Id="rId1430" Type="http://schemas.openxmlformats.org/officeDocument/2006/relationships/hyperlink" Target="https://audio.iskcondesiretree.com/01_-_Srila_Prabhupada/01_-_Lectures/01_-_English/01_-_Topic_wise/Srimad_Bhagavatam/Canto-01/SP_SB_1-15-37_Los_Angeles_1973-12-15_Exalted_Elected_Dogs_and_Asses.mp3" TargetMode="External"/><Relationship Id="rId4379" Type="http://schemas.openxmlformats.org/officeDocument/2006/relationships/hyperlink" Target="https://audio.iskcondesiretree.com/01_-_Srila_Prabhupada/01_-_Lectures/01_-_English/01_-_Topic_wise/Morning_Walk/SP_Morning_Walk_-_Mayapur_1976-03-18_Chance...None_-_but_One.mp3" TargetMode="External"/><Relationship Id="rId4586" Type="http://schemas.openxmlformats.org/officeDocument/2006/relationships/hyperlink" Target="https://audio.iskcondesiretree.com/01_-_Srila_Prabhupada/01_-_Lectures/01_-_English/02_-_Month_wise/05_-_May/10/SB_6-01-09_HON_1976-05-10_I_Don%27t_Wish_to_Die_Can_You_Help_Me.mp3" TargetMode="External"/><Relationship Id="rId4793" Type="http://schemas.openxmlformats.org/officeDocument/2006/relationships/hyperlink" Target="https://audio.iskcondesiretree.com/01_-_Srila_Prabhupada/01_-_Lectures/01_-_English/02_-_Month_wise/06_-_June/20/SB-07-06-04_1976-06-20_SB-TORONTO.MP3" TargetMode="External"/><Relationship Id="rId5637" Type="http://schemas.openxmlformats.org/officeDocument/2006/relationships/hyperlink" Target="https://audio.iskcondesiretree.com/01_-_Srila_Prabhupada/01_-_Lectures/01_-_English/02_-_Month_wise/01_-_January/26/ChantsByBrahmanas_1977-01-26_R2-PURI.MP3" TargetMode="External"/><Relationship Id="rId5844" Type="http://schemas.openxmlformats.org/officeDocument/2006/relationships/hyperlink" Target="https://audio.iskcondesiretree.com/01_-_Srila_Prabhupada/01_-_Lectures/01_-_English/02_-_Month_wise/05_-_May/12/Darshan_1977-05-12_ED-RISHIKESH.MP3" TargetMode="External"/><Relationship Id="rId3188" Type="http://schemas.openxmlformats.org/officeDocument/2006/relationships/hyperlink" Target="https://audio.iskcondesiretree.com/01_-_Srila_Prabhupada/01_-_Lectures/01_-_English/02_-_Month_wise/05_-_May/16/RC_PER_1975-05-16_Alcohol_%26_Drug_Hospital_Send_All_etc.mp3" TargetMode="External"/><Relationship Id="rId3395" Type="http://schemas.openxmlformats.org/officeDocument/2006/relationships/hyperlink" Target="https://audio.iskcondesiretree.com/01_-_Srila_Prabhupada/01_-_Lectures/01_-_English/02_-_Month_wise/06_-_June/28/Walk_1975-06-28_MW-DENVER.MP3" TargetMode="External"/><Relationship Id="rId4239" Type="http://schemas.openxmlformats.org/officeDocument/2006/relationships/hyperlink" Target="https://audio.iskcondesiretree.com/01_-_Srila_Prabhupada/01_-_Lectures/01_-_English/02_-_Month_wise/02_-_Feburary/15/SB-07-09-08_1976-02-15_SB-MAYAPUR.MP3" TargetMode="External"/><Relationship Id="rId4446" Type="http://schemas.openxmlformats.org/officeDocument/2006/relationships/hyperlink" Target="https://audio.iskcondesiretree.com/01_-_Srila_Prabhupada/01_-_Lectures/01_-_English/02_-_Month_wise/04_-_April/08/Lecture%E2%80%93Hindi_1976-04-08_LE-VRNDAVAN.MP3" TargetMode="External"/><Relationship Id="rId4653" Type="http://schemas.openxmlformats.org/officeDocument/2006/relationships/hyperlink" Target="https://audio.iskcondesiretree.com/01_-_Srila_Prabhupada/01_-_Lectures/01_-_English/02_-_Month_wise/05_-_May/27/SB-06-01-27_1976-05-27_SB-HONOLULU.MP3" TargetMode="External"/><Relationship Id="rId4860" Type="http://schemas.openxmlformats.org/officeDocument/2006/relationships/hyperlink" Target="https://audio.iskcondesiretree.com/01_-_Srila_Prabhupada/01_-_Lectures/01_-_English/02_-_Month_wise/06_-_June/29/SB-07-06-15_1976-06-29_SB-NEW%20VRINDAVAN.MP3" TargetMode="External"/><Relationship Id="rId5704" Type="http://schemas.openxmlformats.org/officeDocument/2006/relationships/hyperlink" Target="https://audio.iskcondesiretree.com/01_-_Srila_Prabhupada/01_-_Lectures/01_-_English/02_-_Month_wise/02_-_Feburary/16/Conv_1977-02-16_R1-MAYAPUR.MP3" TargetMode="External"/><Relationship Id="rId5911" Type="http://schemas.openxmlformats.org/officeDocument/2006/relationships/hyperlink" Target="https://audio.iskcondesiretree.com/01_-_Srila_Prabhupada/01_-_Lectures/01_-_English/02_-_Month_wise/07_-_July/08/Conv_1977-07-08_R1-VRNDAVAN.MP3" TargetMode="External"/><Relationship Id="rId3048" Type="http://schemas.openxmlformats.org/officeDocument/2006/relationships/hyperlink" Target="https://audio.iskcondesiretree.com/01_-_Srila_Prabhupada/01_-_Lectures/01_-_English/02_-_Month_wise/04_-_April/04/CcAdi-01-011_1975-04-04_CC-MAYAPUR.MP3" TargetMode="External"/><Relationship Id="rId3255" Type="http://schemas.openxmlformats.org/officeDocument/2006/relationships/hyperlink" Target="https://audio.iskcondesiretree.com/01_-_Srila_Prabhupada/01_-_Lectures/01_-_English/01_-_Topic_wise/Morning_Walk/SP_Morning_Walk_-_Honolulu_1975-05-31.MP3" TargetMode="External"/><Relationship Id="rId3462" Type="http://schemas.openxmlformats.org/officeDocument/2006/relationships/hyperlink" Target="https://audio.iskcondesiretree.com/01_-_Srila_Prabhupada/01_-_Lectures/01_-_English/02_-_Month_wise/07_-_July/08/SB-06-01-24_1975-07-08_SB-CHICAGO.MP3" TargetMode="External"/><Relationship Id="rId4306" Type="http://schemas.openxmlformats.org/officeDocument/2006/relationships/hyperlink" Target="https://audio.iskcondesiretree.com/01_-_Srila_Prabhupada/01_-_Lectures/01_-_English/01_-_Topic_wise/Srimad_Bhagavatam/Canto-07/SP_SB_7-09-24_Mayapur_1976-03-02_The_Master_Disease.mp3" TargetMode="External"/><Relationship Id="rId4513" Type="http://schemas.openxmlformats.org/officeDocument/2006/relationships/hyperlink" Target="https://audio.iskcondesiretree.com/01_-_Srila_Prabhupada/01_-_Lectures/01_-_English/01_-_Topic_wise/Bhagavad_Gita/Chapter-09/SP_BG_09-04_Melbourne_1976-04-22_Civilized_Evolution.mp3" TargetMode="External"/><Relationship Id="rId4720" Type="http://schemas.openxmlformats.org/officeDocument/2006/relationships/hyperlink" Target="https://audio.iskcondesiretree.com/01_-_Srila_Prabhupada/01_-_Lectures/01_-_English/02_-_Month_wise/06_-_June/09/SB-06-01-43_1976-06-09_SB-LOS%20ANGELES.MP3" TargetMode="External"/><Relationship Id="rId176" Type="http://schemas.openxmlformats.org/officeDocument/2006/relationships/hyperlink" Target="https://audio.iskcondesiretree.com/01_-_Srila_Prabhupada/01_-_Lectures/01_-_English/02_-_Month_wise/12_-_December/19/Bg_09-27_NY_1966-12-19_Karma_Love_and_Devotion.mp3" TargetMode="External"/><Relationship Id="rId383" Type="http://schemas.openxmlformats.org/officeDocument/2006/relationships/hyperlink" Target="https://audio.iskcondesiretree.com/01_-_Srila_Prabhupada/01_-_Lectures/01_-_English/02_-_Month_wise/03_-_March/05/Fest_HAW_1969-03-05_Day_After_Gaura_Purnima-A.mp3" TargetMode="External"/><Relationship Id="rId590" Type="http://schemas.openxmlformats.org/officeDocument/2006/relationships/hyperlink" Target="https://audio.iskcondesiretree.com/01_-_Srila_Prabhupada/01_-_Lectures/01_-_English/02_-_Month_wise/05_-_May/30/SB_2-03-13_LA_1972-05-30_A_Devotee_Is_Kind.mp3" TargetMode="External"/><Relationship Id="rId2064" Type="http://schemas.openxmlformats.org/officeDocument/2006/relationships/hyperlink" Target="https://audio.iskcondesiretree.com/01_-_Srila_Prabhupada/01_-_Lectures/01_-_English/01_-_Topic_wise/Various/SP_Lecture_Geneva_1974-06-06_To_World_Health--etc.mp3" TargetMode="External"/><Relationship Id="rId2271" Type="http://schemas.openxmlformats.org/officeDocument/2006/relationships/hyperlink" Target="https://audio.iskcondesiretree.com/01_-_Srila_Prabhupada/01_-_Lectures/01_-_English/02_-_Month_wise/07_-_July/12/SB_1-16-22_LA_1974-07-12_Scientists_Philosophers_etc.mp3" TargetMode="External"/><Relationship Id="rId3115" Type="http://schemas.openxmlformats.org/officeDocument/2006/relationships/hyperlink" Target="https://audio.iskcondesiretree.com/01_-_Srila_Prabhupada/01_-_Lectures/01_-_English/01_-_Topic_wise/Bhagavad_Gita/Chapter-09/SP_BG_09-01_Vrindavan_1975-04-17_How_to_Become_Non-Envious.mp3" TargetMode="External"/><Relationship Id="rId3322" Type="http://schemas.openxmlformats.org/officeDocument/2006/relationships/hyperlink" Target="https://audio.iskcondesiretree.com/01_-_Srila_Prabhupada/01_-_Lectures/01_-_English/01_-_Topic_wise/Morning_Walk/SP_Morning_Walk_-_Honolulu_1975-06-19.MP3" TargetMode="External"/><Relationship Id="rId243" Type="http://schemas.openxmlformats.org/officeDocument/2006/relationships/hyperlink" Target="https://audio.iskcondesiretree.com/01_-_Srila_Prabhupada/01_-_Lectures/01_-_English/02_-_Month_wise/06_-_June/23/SB_7-06-06_MON_1968-06-23_Center_Society_on_Spiritual_Profit.mp3" TargetMode="External"/><Relationship Id="rId450" Type="http://schemas.openxmlformats.org/officeDocument/2006/relationships/hyperlink" Target="https://audio.iskcondesiretree.com/01_-_Srila_Prabhupada/01_-_Lectures/01_-_English/01_-_Topic_wise/Srimad_Bhagavatam/Canto-01/SP_SB_1-05-14_New_Vrindavan_1969-06-18_Abominable_Nonsense--Don%27t--etc.mp3" TargetMode="External"/><Relationship Id="rId1080" Type="http://schemas.openxmlformats.org/officeDocument/2006/relationships/hyperlink" Target="https://audio.iskcondesiretree.com/01_-_Srila_Prabhupada/01_-_Lectures/01_-_English/01_-_Topic_wise/Bhagavad_Gita/Chapter-01/SP_BG_01-10_London_1973-07-12_The_KC_Movement_Should_Touch--etc.mp3" TargetMode="External"/><Relationship Id="rId2131" Type="http://schemas.openxmlformats.org/officeDocument/2006/relationships/hyperlink" Target="https://audio.iskcondesiretree.com/01_-_Srila_Prabhupada/01_-_Lectures/01_-_English/01_-_Topic_wise/Room_Conversation/SP_Room_Conversation_Paris_1974-06-14_Prof--In_Every_Town_and_Village.mp3" TargetMode="External"/><Relationship Id="rId5287" Type="http://schemas.openxmlformats.org/officeDocument/2006/relationships/hyperlink" Target="https://audio.iskcondesiretree.com/01_-_Srila_Prabhupada/01_-_Lectures/01_-_English/01_-_Topic_wise/Srimad_Bhagavatam/Canto-01/SP_SB_1-07-40_Vrindavan_1976-10-01_The_Callous_Can%27t_Pass_Krishna%27s_Test.mp3" TargetMode="External"/><Relationship Id="rId5494" Type="http://schemas.openxmlformats.org/officeDocument/2006/relationships/hyperlink" Target="https://audio.iskcondesiretree.com/01_-_Srila_Prabhupada/01_-_Lectures/01_-_English/02_-_Month_wise/12_-_December/12/Bg-02-12_1976-12-12_BG-HYDERABAD.MP3" TargetMode="External"/><Relationship Id="rId103" Type="http://schemas.openxmlformats.org/officeDocument/2006/relationships/hyperlink" Target="https://audio.iskcondesiretree.com/01_-_Srila_Prabhupada/01_-_Lectures/01_-_English/02_-_Month_wise/11_-_November/18/Bg_08-20_NY_1966-11-18_There_Is_Another_etc.mp3" TargetMode="External"/><Relationship Id="rId310" Type="http://schemas.openxmlformats.org/officeDocument/2006/relationships/hyperlink" Target="https://audio.iskcondesiretree.com/01_-_Srila_Prabhupada/01_-_Lectures/01_-_English/02_-_Month_wise/12_-_December/02/Bg_07-01_LA_1968-12-02_Pros_and_Cons_of_the_Material_World.mp3" TargetMode="External"/><Relationship Id="rId4096" Type="http://schemas.openxmlformats.org/officeDocument/2006/relationships/hyperlink" Target="https://audio.iskcondesiretree.com/01_-_Srila_Prabhupada/01_-_Lectures/01_-_English/02_-_Month_wise/12_-_December/16/SB-07-06-01_1975-12-16_LE-BOMBAY.MP3" TargetMode="External"/><Relationship Id="rId5147" Type="http://schemas.openxmlformats.org/officeDocument/2006/relationships/hyperlink" Target="https://audio.iskcondesiretree.com/01_-_Srila_Prabhupada/01_-_Lectures/01_-_English/02_-_Month_wise/08_-_August/22/Bg_07-01_HYD_1976-08-22_Increase_Your_Attachment_to_the_Lord.mp3" TargetMode="External"/><Relationship Id="rId1897" Type="http://schemas.openxmlformats.org/officeDocument/2006/relationships/hyperlink" Target="https://audio.iskcondesiretree.com/01_-_Srila_Prabhupada/01_-_Lectures/01_-_English/02_-_Month_wise/04_-_April/19/Bg-13-03_1974-04-19_BG-HYDERABAD.MP3" TargetMode="External"/><Relationship Id="rId2948" Type="http://schemas.openxmlformats.org/officeDocument/2006/relationships/hyperlink" Target="https://audio.iskcondesiretree.com/01_-_Srila_Prabhupada/01_-_Lectures/01_-_English/01_-_Topic_wise/Room_Conversation/SP_Room_Conversation_Tehran_1975-03-13_Canadian_Ambassador_to--etc.mp3" TargetMode="External"/><Relationship Id="rId5354" Type="http://schemas.openxmlformats.org/officeDocument/2006/relationships/hyperlink" Target="https://audio.iskcondesiretree.com/01_-_Srila_Prabhupada/01_-_Lectures/01_-_English/02_-_Month_wise/10_-_October/29/SB-05-05-07_1976-10-29_SB-VRNDAVAN.MP3" TargetMode="External"/><Relationship Id="rId5561" Type="http://schemas.openxmlformats.org/officeDocument/2006/relationships/hyperlink" Target="https://audio.iskcondesiretree.com/01_-_Srila_Prabhupada/01_-_Lectures/01_-_English/02_-_Month_wise/01_-_January/05/Conv_1977-01-05_R1-BOMBAY.MP3" TargetMode="External"/><Relationship Id="rId1757" Type="http://schemas.openxmlformats.org/officeDocument/2006/relationships/hyperlink" Target="https://audio.iskcondesiretree.com/01_-_Srila_Prabhupada/01_-_Lectures/01_-_English/02_-_Month_wise/03_-_March/25/Bg-04-05_1974-03-25_BG-BOMBAY.MP3" TargetMode="External"/><Relationship Id="rId1964" Type="http://schemas.openxmlformats.org/officeDocument/2006/relationships/hyperlink" Target="https://audio.iskcondesiretree.com/01_-_Srila_Prabhupada/01_-_Lectures/01_-_English/01_-_Topic_wise/Bhagavad_Gita/Chapter-12/SP_BG_12-13_Bombay_1974-05-12_The_STRUGGLE--Atheists_vs._Theist.mp3" TargetMode="External"/><Relationship Id="rId2808" Type="http://schemas.openxmlformats.org/officeDocument/2006/relationships/hyperlink" Target="https://audio.iskcondesiretree.com/01_-_Srila_Prabhupada/01_-_Lectures/01_-_English/02_-_Month_wise/02_-_Feburary/15/RC_MEX_1975-02-15_Philosopher-Yogi--Psychology_for_etc.mp3" TargetMode="External"/><Relationship Id="rId4163" Type="http://schemas.openxmlformats.org/officeDocument/2006/relationships/hyperlink" Target="https://audio.iskcondesiretree.com/01_-_Srila_Prabhupada/01_-_Lectures/01_-_English/02_-_Month_wise/01_-_January/05/SB_6-01-06_NEL_1976-01-05_Cleansing_Away_Our_Criminality.mp3" TargetMode="External"/><Relationship Id="rId4370" Type="http://schemas.openxmlformats.org/officeDocument/2006/relationships/hyperlink" Target="https://audio.iskcondesiretree.com/01_-_Srila_Prabhupada/01_-_Lectures/01_-_English/02_-_Month_wise/03_-_March/16/SB-07-09-38_1976-03-16_SB-MAYAPUR.MP3" TargetMode="External"/><Relationship Id="rId5007" Type="http://schemas.openxmlformats.org/officeDocument/2006/relationships/hyperlink" Target="https://audio.iskcondesiretree.com/01_-_Srila_Prabhupada/01_-_Lectures/01_-_English/02_-_Month_wise/07_-_July/21/Conv_1976-07-21_CR-NEW%20YORK.MP3" TargetMode="External"/><Relationship Id="rId5214" Type="http://schemas.openxmlformats.org/officeDocument/2006/relationships/hyperlink" Target="https://audio.iskcondesiretree.com/01_-_Srila_Prabhupada/01_-_Lectures/01_-_English/02_-_Month_wise/09_-_September/10/SB-01-07-11_1976-09-10_SB-VRNDAVAN.MP3" TargetMode="External"/><Relationship Id="rId5421" Type="http://schemas.openxmlformats.org/officeDocument/2006/relationships/hyperlink" Target="https://audio.iskcondesiretree.com/01_-_Srila_Prabhupada/01_-_Lectures/01_-_English/02_-_Month_wise/11_-_November/14/Lecture%E2%80%93Hindi_1976-11-14_LE-VRNDAVAN.MP3" TargetMode="External"/><Relationship Id="rId49" Type="http://schemas.openxmlformats.org/officeDocument/2006/relationships/hyperlink" Target="https://audio.iskcondesiretree.com/01_-_Srila_Prabhupada/01_-_Lectures/01_-_English/02_-_Month_wise/07_-_July/25/Bg_04-09_NY_1966-07-25_Take_Assistance_From_A_Person_etc.mp3" TargetMode="External"/><Relationship Id="rId1617" Type="http://schemas.openxmlformats.org/officeDocument/2006/relationships/hyperlink" Target="https://audio.iskcondesiretree.com/01_-_Srila_Prabhupada/01_-_Lectures/01_-_English/02_-_Month_wise/02_-_Feburary/13/Lecture%E2%80%93Hindi_1974-02-13_LE-VRNDAVAN.MP3" TargetMode="External"/><Relationship Id="rId1824" Type="http://schemas.openxmlformats.org/officeDocument/2006/relationships/hyperlink" Target="https://audio.iskcondesiretree.com/01_-_Srila_Prabhupada/01_-_Lectures/01_-_English/01_-_Topic_wise/Morning_Walk/SP_Morning_Walk_-_Bombay_1974-04-05_Arguments_Smashed.mp3" TargetMode="External"/><Relationship Id="rId4023" Type="http://schemas.openxmlformats.org/officeDocument/2006/relationships/hyperlink" Target="https://audio.iskcondesiretree.com/01_-_Srila_Prabhupada/01_-_Lectures/01_-_English/02_-_Month_wise/11_-_November/24/MW_BOM_1975-11-24_No_Rain-Chant.mp3" TargetMode="External"/><Relationship Id="rId4230" Type="http://schemas.openxmlformats.org/officeDocument/2006/relationships/hyperlink" Target="https://audio.iskcondesiretree.com/01_-_Srila_Prabhupada/01_-_Lectures/01_-_English/02_-_Month_wise/02_-_Feburary/11/Walk_1976-02-11_MW-MAYAPUR.MP3" TargetMode="External"/><Relationship Id="rId3789" Type="http://schemas.openxmlformats.org/officeDocument/2006/relationships/hyperlink" Target="https://audio.iskcondesiretree.com/01_-_Srila_Prabhupada/01_-_Lectures/01_-_English/02_-_Month_wise/09_-_September/27/Conv%E2%80%93Hindi_1975-09-27_R1-AHMEDABAD.MP3" TargetMode="External"/><Relationship Id="rId6195" Type="http://schemas.openxmlformats.org/officeDocument/2006/relationships/hyperlink" Target="https://audio.iskcondesiretree.com/01_-_Srila_Prabhupada/01_-_Lectures/03_-_Hindi/SP_Hindi_23_Lectures_%26_Conversations.mp3" TargetMode="External"/><Relationship Id="rId2598" Type="http://schemas.openxmlformats.org/officeDocument/2006/relationships/hyperlink" Target="https://audio.iskcondesiretree.com/01_-_Srila_Prabhupada/01_-_Lectures/01_-_English/02_-_Month_wise/12_-_December/10/SB-03-25-42_1974-12-10_SB-BOMBAY.MP3" TargetMode="External"/><Relationship Id="rId3996" Type="http://schemas.openxmlformats.org/officeDocument/2006/relationships/hyperlink" Target="https://audio.iskcondesiretree.com/01_-_Srila_Prabhupada/01_-_Lectures/01_-_English/02_-_Month_wise/11_-_November/16/MW_BOM_1975-11-16_Scientists%2C_Goats%2C_Politicians.mp3" TargetMode="External"/><Relationship Id="rId6055" Type="http://schemas.openxmlformats.org/officeDocument/2006/relationships/hyperlink" Target="https://audio.iskcondesiretree.com/01_-_Srila_Prabhupada/01_-_Lectures/01_-_English/01_-_Topic_wise/Krishna_Book/SP_Krsna_Book_Dict_07_-_Salvation_of_Trnavarta.mp3" TargetMode="External"/><Relationship Id="rId3649" Type="http://schemas.openxmlformats.org/officeDocument/2006/relationships/hyperlink" Target="https://audio.iskcondesiretree.com/01_-_Srila_Prabhupada/01_-_Lectures/01_-_English/01_-_Topic_wise/Morning_Walk/SP_Morning_Walk_-_Toronto_1975-08-07_Dog_by_Action-Human_by_Law.mp3" TargetMode="External"/><Relationship Id="rId3856" Type="http://schemas.openxmlformats.org/officeDocument/2006/relationships/hyperlink" Target="https://audio.iskcondesiretree.com/01_-_Srila_Prabhupada/01_-_Lectures/01_-_English/02_-_Month_wise/10_-_October/13/Bg_13-01_DUR_1975-10-13_The_Rented_House.mp3" TargetMode="External"/><Relationship Id="rId4907" Type="http://schemas.openxmlformats.org/officeDocument/2006/relationships/hyperlink" Target="https://audio.iskcondesiretree.com/01_-_Srila_Prabhupada/01_-_Lectures/01_-_English/02_-_Month_wise/07_-_July/06/Conv_1976-07-06_R1-WASHINGTON%20DC.MP3" TargetMode="External"/><Relationship Id="rId5071" Type="http://schemas.openxmlformats.org/officeDocument/2006/relationships/hyperlink" Target="https://audio.iskcondesiretree.com/01_-_Srila_Prabhupada/01_-_Lectures/01_-_English/02_-_Month_wise/08_-_August/08/Walk_1976-08-08_MW-TEHRAN.MP3" TargetMode="External"/><Relationship Id="rId6122" Type="http://schemas.openxmlformats.org/officeDocument/2006/relationships/hyperlink" Target="https://audio.iskcondesiretree.com/01_-_Srila_Prabhupada/01_-_Lectures/01_-_English/01_-_Topic_wise/Krishna_Book/SP_Krsna_Book_Dict_88_-_The_Deliverance_of_Lord_Shiva.mp3" TargetMode="External"/><Relationship Id="rId777" Type="http://schemas.openxmlformats.org/officeDocument/2006/relationships/hyperlink" Target="https://audio.iskcondesiretree.com/01_-_Srila_Prabhupada/01_-_Lectures/01_-_English/01_-_Topic_wise/Srimad_Bhagavatam/Canto-01/SP_SB_1-02-23_Vrindavan_1972-11-03_How_to_Derive_the_Ultimate_Benefit.mp3" TargetMode="External"/><Relationship Id="rId984" Type="http://schemas.openxmlformats.org/officeDocument/2006/relationships/hyperlink" Target="https://audio.iskcondesiretree.com/01_-_Srila_Prabhupada/01_-_Lectures/01_-_English/02_-_Month_wise/05_-_May/02/SB_1-08-40_LA_1973-05-02_By_Krishna%27s_Glance_All_Is_OK.mp3" TargetMode="External"/><Relationship Id="rId2458" Type="http://schemas.openxmlformats.org/officeDocument/2006/relationships/hyperlink" Target="https://audio.iskcondesiretree.com/01_-_Srila_Prabhupada/01_-_Lectures/01_-_English/01_-_Topic_wise/Srimad_Bhagavatam/Canto-01/SP_SB_1-08-42_Mayapur_1974-10-22_The_Psychology_of_the_Eternal.mp3" TargetMode="External"/><Relationship Id="rId2665" Type="http://schemas.openxmlformats.org/officeDocument/2006/relationships/hyperlink" Target="https://audio.iskcondesiretree.com/01_-_Srila_Prabhupada/01_-_Lectures/01_-_English/02_-_Month_wise/01_-_January/02/SB-03-26-25_1975-01-02_SB-BOMBAY.MP3" TargetMode="External"/><Relationship Id="rId2872" Type="http://schemas.openxmlformats.org/officeDocument/2006/relationships/hyperlink" Target="https://audio.iskcondesiretree.com/01_-_Srila_Prabhupada/01_-_Lectures/01_-_English/01_-_Topic_wise/Chaitanya_Charitamrita/Adi_Lila/SP_CC_A_07-01_Atlanta_1975-03-01_The_Vulturous_and_the_Virtuous.mp3" TargetMode="External"/><Relationship Id="rId3509" Type="http://schemas.openxmlformats.org/officeDocument/2006/relationships/hyperlink" Target="https://audio.iskcondesiretree.com/01_-_Srila_Prabhupada/01_-_Lectures/01_-_English/01_-_Topic_wise/Interview/SP_Interview_Philadelphia_1975-07-13_Press--Phi._Enquirer--Women%27s--etc.mp3" TargetMode="External"/><Relationship Id="rId3716" Type="http://schemas.openxmlformats.org/officeDocument/2006/relationships/hyperlink" Target="https://audio.iskcondesiretree.com/01_-_Srila_Prabhupada/01_-_Lectures/01_-_English/02_-_Month_wise/09_-_September/03/SB_6-01-67_VRN_1975-09-03_Life_Is_Very_Risky.mp3" TargetMode="External"/><Relationship Id="rId3923" Type="http://schemas.openxmlformats.org/officeDocument/2006/relationships/hyperlink" Target="https://audio.iskcondesiretree.com/01_-_Srila_Prabhupada/01_-_Lectures/01_-_English/01_-_Topic_wise/Bhagavad_Gita/Chapter-07/SP_BG_07-02_Nairobi_1975-10-28_Madmen_Can%27t_Give_You_Knowledge.mp3" TargetMode="External"/><Relationship Id="rId637" Type="http://schemas.openxmlformats.org/officeDocument/2006/relationships/hyperlink" Target="https://audio.iskcondesiretree.com/01_-_Srila_Prabhupada/01_-_Lectures/01_-_English/02_-_Month_wise/07_-_July/01/Fest_SD_1972-07-01_At_Balboa_Park-World_Is_Enchanted_by_Sex.mp3" TargetMode="External"/><Relationship Id="rId844" Type="http://schemas.openxmlformats.org/officeDocument/2006/relationships/hyperlink" Target="https://audio.iskcondesiretree.com/01_-_Srila_Prabhupada/01_-_Lectures/01_-_English/01_-_Topic_wise/Arrival_Address/SP_Address_Hyderabad_1972-11-29_To_Rotary_Club--Three_Aspects_of--etc.mp3" TargetMode="External"/><Relationship Id="rId1267" Type="http://schemas.openxmlformats.org/officeDocument/2006/relationships/hyperlink" Target="https://audio.iskcondesiretree.com/01_-_Srila_Prabhupada/01_-_Lectures/01_-_English/01_-_Topic_wise/Srimad_Bhagavatam/Canto-05/SP_SB_5-05-01_Stockholm_1973-09-08_Leaders_Will_Force_You_to--etc.mp3" TargetMode="External"/><Relationship Id="rId1474" Type="http://schemas.openxmlformats.org/officeDocument/2006/relationships/hyperlink" Target="https://audio.iskcondesiretree.com/01_-_Srila_Prabhupada/01_-_Lectures/01_-_English/02_-_Month_wise/01_-_January/02/SB_1-16-05_LA_1974-01-02_Fish_but_Don%27t_Touch_the_Water.mp3" TargetMode="External"/><Relationship Id="rId1681" Type="http://schemas.openxmlformats.org/officeDocument/2006/relationships/hyperlink" Target="https://audio.iskcondesiretree.com/01_-_Srila_Prabhupada/01_-_Lectures/01_-_English/01_-_Topic_wise/Morning_Walk/SP_Morning_Walk_-_Mayapur_1974-03-06_Americans_Must_Smell_a_Machine.mp3" TargetMode="External"/><Relationship Id="rId2318" Type="http://schemas.openxmlformats.org/officeDocument/2006/relationships/hyperlink" Target="https://audio.iskcondesiretree.com/01_-_Srila_Prabhupada/01_-_Lectures/01_-_English/02_-_Month_wise/08_-_August/05/Bg-04-13_1974-08-05_BG-VRNDAVAN.MP3" TargetMode="External"/><Relationship Id="rId2525" Type="http://schemas.openxmlformats.org/officeDocument/2006/relationships/hyperlink" Target="https://audio.iskcondesiretree.com/01_-_Srila_Prabhupada/01_-_Lectures/01_-_English/02_-_Month_wise/11_-_November/16/SB-03-25-16_1974-11-16_SB-BOMBAY.MP3" TargetMode="External"/><Relationship Id="rId2732" Type="http://schemas.openxmlformats.org/officeDocument/2006/relationships/hyperlink" Target="https://audio.iskcondesiretree.com/01_-_Srila_Prabhupada/01_-_Lectures/01_-_English/01_-_Topic_wise/Room_Conversation/SP_Room_Conversation_Tokyo_1975-01-27_%27Mixture%27_Means_Mixer.mp3" TargetMode="External"/><Relationship Id="rId5888" Type="http://schemas.openxmlformats.org/officeDocument/2006/relationships/hyperlink" Target="https://audio.iskcondesiretree.com/01_-_Srila_Prabhupada/01_-_Lectures/01_-_English/02_-_Month_wise/06_-_June/27/Conv_1977-06-27_R1-VRNDAVAN.MP3" TargetMode="External"/><Relationship Id="rId704" Type="http://schemas.openxmlformats.org/officeDocument/2006/relationships/hyperlink" Target="https://audio.iskcondesiretree.com/01_-_Srila_Prabhupada/01_-_Lectures/01_-_English/01_-_Topic_wise/Srimad_Bhagavatam/Canto-01/SP_SB_1-03-22_Los_Angeles_1972-09-27_Incarnation_of_God_Isn%27t_Cheap.mp3" TargetMode="External"/><Relationship Id="rId911" Type="http://schemas.openxmlformats.org/officeDocument/2006/relationships/hyperlink" Target="https://audio.iskcondesiretree.com/01_-_Srila_Prabhupada/01_-_Lectures/01_-_English/01_-_Topic_wise/Various/SP_Lecture_Calcutta_1973-01-29_To_Students--Something_Tangible.mp3" TargetMode="External"/><Relationship Id="rId1127" Type="http://schemas.openxmlformats.org/officeDocument/2006/relationships/hyperlink" Target="https://audio.iskcondesiretree.com/01_-_Srila_Prabhupada/01_-_Lectures/01_-_English/02_-_Month_wise/07_-_July/26/RC_LON_1973-07-26_Schumacher_%26_Popworth_Purifying_etc.mp3" TargetMode="External"/><Relationship Id="rId1334" Type="http://schemas.openxmlformats.org/officeDocument/2006/relationships/hyperlink" Target="https://audio.iskcondesiretree.com/01_-_Srila_Prabhupada/01_-_Lectures/01_-_English/02_-_Month_wise/10_-_October/25/Bg_13-26_BOM_1973-10-25_Birth_and_Death_Transcending_etc.mp3" TargetMode="External"/><Relationship Id="rId1541" Type="http://schemas.openxmlformats.org/officeDocument/2006/relationships/hyperlink" Target="https://audio.iskcondesiretree.com/01_-_Srila_Prabhupada/01_-_Lectures/01_-_English/01_-_Topic_wise/Srimad_Bhagavatam/Canto-02/SP_SB_02-01-03_Vrindavan_1974-01-18.mp3" TargetMode="External"/><Relationship Id="rId4697" Type="http://schemas.openxmlformats.org/officeDocument/2006/relationships/hyperlink" Target="https://audio.iskcondesiretree.com/01_-_Srila_Prabhupada/01_-_Lectures/01_-_English/02_-_Month_wise/06_-_June/06/Walk_1976-06-06_MW-LOS%20ANGELES.MP3" TargetMode="External"/><Relationship Id="rId5748" Type="http://schemas.openxmlformats.org/officeDocument/2006/relationships/hyperlink" Target="https://audio.iskcondesiretree.com/01_-_Srila_Prabhupada/01_-_Lectures/01_-_English/02_-_Month_wise/02_-_Feburary/28/SB_7-09-08_MAY_1977-02-28_How_A_Devotee_Thinks.mp3" TargetMode="External"/><Relationship Id="rId5955" Type="http://schemas.openxmlformats.org/officeDocument/2006/relationships/hyperlink" Target="https://audio.iskcondesiretree.com/01_-_Srila_Prabhupada/01_-_Lectures/01_-_English/02_-_Month_wise/10_-_October/17/Conv_1977-10-17_R2-VRNDAVAN.MP3" TargetMode="External"/><Relationship Id="rId40" Type="http://schemas.openxmlformats.org/officeDocument/2006/relationships/hyperlink" Target="https://audio.iskcondesiretree.com/01_-_Srila_Prabhupada/01_-_Lectures/01_-_English/01_-_Topic_wise/Bhagavad_Gita/Chapter-03/SP_BG_03-17_New_York_1966-05-27_Bhagavad-gita--_for_the_Common_Man.mp3" TargetMode="External"/><Relationship Id="rId1401" Type="http://schemas.openxmlformats.org/officeDocument/2006/relationships/hyperlink" Target="https://audio.iskcondesiretree.com/01_-_Srila_Prabhupada/01_-_Lectures/01_-_English/01_-_Topic_wise/Morning_Walk/SP_Morning_Walk_-_Los_Angeles_1973-12-07_Progress_Towards_Darkness.mp3" TargetMode="External"/><Relationship Id="rId3299" Type="http://schemas.openxmlformats.org/officeDocument/2006/relationships/hyperlink" Target="https://audio.iskcondesiretree.com/01_-_Srila_Prabhupada/01_-_Lectures/01_-_English/02_-_Month_wise/06_-_June/15/SB-06-01-07_1975-06-15_SB-HONOLULU.MP3" TargetMode="External"/><Relationship Id="rId4557" Type="http://schemas.openxmlformats.org/officeDocument/2006/relationships/hyperlink" Target="https://audio.iskcondesiretree.com/01_-_Srila_Prabhupada/01_-_Lectures/01_-_English/02_-_Month_wise/05_-_May/02/DeityInstall_1976-05-02_DI-FIJI.MP3" TargetMode="External"/><Relationship Id="rId4764" Type="http://schemas.openxmlformats.org/officeDocument/2006/relationships/hyperlink" Target="https://audio.iskcondesiretree.com/01_-_Srila_Prabhupada/01_-_Lectures/01_-_English/02_-_Month_wise/06_-_June/16/SB_6-01-50_DET_1976-06-16_Medicine_for_Conditioned_Mind.mp3" TargetMode="External"/><Relationship Id="rId5608" Type="http://schemas.openxmlformats.org/officeDocument/2006/relationships/hyperlink" Target="https://audio.iskcondesiretree.com/01_-_Srila_Prabhupada/01_-_Lectures/01_-_English/02_-_Month_wise/01_-_January/21/Conv_1977-01-21_R2-BHUBANESWAR.MP3" TargetMode="External"/><Relationship Id="rId3159" Type="http://schemas.openxmlformats.org/officeDocument/2006/relationships/hyperlink" Target="https://audio.iskcondesiretree.com/01_-_Srila_Prabhupada/01_-_Lectures/01_-_English/01_-_Topic_wise/Room_Conversation/SP_Room_Conversation_Perth_1975-05-10.MP3" TargetMode="External"/><Relationship Id="rId3366" Type="http://schemas.openxmlformats.org/officeDocument/2006/relationships/hyperlink" Target="https://audio.iskcondesiretree.com/01_-_Srila_Prabhupada/01_-_Lectures/01_-_English/02_-_Month_wise/06_-_June/25/MW_LA_1975-06-25_Here_Is_God-Why_Not_Accept.mp3" TargetMode="External"/><Relationship Id="rId3573" Type="http://schemas.openxmlformats.org/officeDocument/2006/relationships/hyperlink" Target="https://audio.iskcondesiretree.com/01_-_Srila_Prabhupada/01_-_Lectures/01_-_English/02_-_Month_wise/07_-_July/21/Walk_1975-07-21_MW-SAN%20FRANCISCO.MP3" TargetMode="External"/><Relationship Id="rId4417" Type="http://schemas.openxmlformats.org/officeDocument/2006/relationships/hyperlink" Target="https://audio.iskcondesiretree.com/01_-_Srila_Prabhupada/01_-_Lectures/01_-_English/02_-_Month_wise/03_-_March/31/SB_7-05-23_VRN_1976-03-31_Hear_from_a_Real_Devotee.mp3" TargetMode="External"/><Relationship Id="rId4971" Type="http://schemas.openxmlformats.org/officeDocument/2006/relationships/hyperlink" Target="https://audio.iskcondesiretree.com/01_-_Srila_Prabhupada/01_-_Lectures/01_-_English/02_-_Month_wise/07_-_July/14/Interv_NY_1976-07-14_Press-Newsweek_Magazine_Are_etc.mp3" TargetMode="External"/><Relationship Id="rId5815" Type="http://schemas.openxmlformats.org/officeDocument/2006/relationships/hyperlink" Target="https://audio.iskcondesiretree.com/01_-_Srila_Prabhupada/01_-_Lectures/01_-_English/02_-_Month_wise/04_-_April/22/Conv_1977-04-22_R3-BOMBAY.MP3" TargetMode="External"/><Relationship Id="rId287" Type="http://schemas.openxmlformats.org/officeDocument/2006/relationships/hyperlink" Target="https://audio.iskcondesiretree.com/01_-_Srila_Prabhupada/01_-_Lectures/01_-_English/02_-_Month_wise/10_-_October/21/SB_7-09-08_SEA_1968-10-21_Nobody_Can_Exist_Without_God.mp3" TargetMode="External"/><Relationship Id="rId494" Type="http://schemas.openxmlformats.org/officeDocument/2006/relationships/hyperlink" Target="https://audio.iskcondesiretree.com/01_-_Srila_Prabhupada/01_-_Lectures/01_-_English/01_-_Topic_wise/Various/SP_Lecture_Los_Angeles_1970-02-20_Initiation--Ten_Offenses_to_be_Avoided.mp3" TargetMode="External"/><Relationship Id="rId2175" Type="http://schemas.openxmlformats.org/officeDocument/2006/relationships/hyperlink" Target="https://audio.iskcondesiretree.com/01_-_Srila_Prabhupada/01_-_Lectures/01_-_English/01_-_Topic_wise/Morning_Walk/SP_Morning_Walk_-_Germany_1974-06-21_With_Prof--etc.mp3" TargetMode="External"/><Relationship Id="rId2382" Type="http://schemas.openxmlformats.org/officeDocument/2006/relationships/hyperlink" Target="https://audio.iskcondesiretree.com/01_-_Srila_Prabhupada/01_-_Lectures/01_-_English/02_-_Month_wise/09_-_September/23/Bg_04-10_CAL_1974-09-23_The_World_Is_a_Foreign_Country.mp3" TargetMode="External"/><Relationship Id="rId3019" Type="http://schemas.openxmlformats.org/officeDocument/2006/relationships/hyperlink" Target="https://audio.iskcondesiretree.com/01_-_Srila_Prabhupada/01_-_Lectures/01_-_English/02_-_Month_wise/03_-_March/31/CcAdi-01-007_1975-03-31_CC-MAYAPUR.MP3" TargetMode="External"/><Relationship Id="rId3226" Type="http://schemas.openxmlformats.org/officeDocument/2006/relationships/hyperlink" Target="https://audio.iskcondesiretree.com/01_-_Srila_Prabhupada/01_-_Lectures/01_-_English/01_-_Topic_wise/Room_Conversation/SP_Room_Converstion_01_Melbourne_1975-05-22.MP3" TargetMode="External"/><Relationship Id="rId3780" Type="http://schemas.openxmlformats.org/officeDocument/2006/relationships/hyperlink" Target="https://audio.iskcondesiretree.com/01_-_Srila_Prabhupada/01_-_Lectures/01_-_English/02_-_Month_wise/09_-_September/20/SB-06-02-17_1975-09-20_SB-VRNDAVAN.MP3" TargetMode="External"/><Relationship Id="rId4624" Type="http://schemas.openxmlformats.org/officeDocument/2006/relationships/hyperlink" Target="https://audio.iskcondesiretree.com/01_-_Srila_Prabhupada/01_-_Lectures/01_-_English/02_-_Month_wise/05_-_May/19/SB_6-01-19_HON_1976-05-19_Barking_Like_a_Dog.mp3" TargetMode="External"/><Relationship Id="rId4831" Type="http://schemas.openxmlformats.org/officeDocument/2006/relationships/hyperlink" Target="https://audio.iskcondesiretree.com/01_-_Srila_Prabhupada/01_-_Lectures/01_-_English/02_-_Month_wise/06_-_June/26/Conv_1976-06-26_R2-NEW%20VRINDAVAN.MP3" TargetMode="External"/><Relationship Id="rId147" Type="http://schemas.openxmlformats.org/officeDocument/2006/relationships/hyperlink" Target="https://audio.iskcondesiretree.com/01_-_Srila_Prabhupada/01_-_Lectures/01_-_English/02_-_Month_wise/12_-_December/04/Bg_09-18_NY_1966-12-04_One_Should_Directly_Approach_Krishna.mp3" TargetMode="External"/><Relationship Id="rId354" Type="http://schemas.openxmlformats.org/officeDocument/2006/relationships/hyperlink" Target="https://audio.iskcondesiretree.com/01_-_Srila_Prabhupada/01_-_Lectures/01_-_English/02_-_Month_wise/01_-_January/07/Lect_NY_1969-01-07_Purport_to_a_Song_by_Govinda_Dasa.mp3" TargetMode="External"/><Relationship Id="rId1191" Type="http://schemas.openxmlformats.org/officeDocument/2006/relationships/hyperlink" Target="https://audio.iskcondesiretree.com/01_-_Srila_Prabhupada/01_-_Lectures/01_-_English/02_-_Month_wise/08_-_August/19/Bg_02-13_LON_1973-08-19_I_Am_Not_This_Cage.mp3" TargetMode="External"/><Relationship Id="rId2035" Type="http://schemas.openxmlformats.org/officeDocument/2006/relationships/hyperlink" Target="https://audio.iskcondesiretree.com/01_-_Srila_Prabhupada/01_-_Lectures/01_-_English/02_-_Month_wise/06_-_June/02/MW_GEN_1974-06-02_Fighting_with_This_Maya.mp3" TargetMode="External"/><Relationship Id="rId3433" Type="http://schemas.openxmlformats.org/officeDocument/2006/relationships/hyperlink" Target="https://audio.iskcondesiretree.com/01_-_Srila_Prabhupada/01_-_Lectures/01_-_English/02_-_Month_wise/07_-_July/04/SB-06-01-20_1975-07-04_SB-CHICAGO.MP3" TargetMode="External"/><Relationship Id="rId3640" Type="http://schemas.openxmlformats.org/officeDocument/2006/relationships/hyperlink" Target="https://audio.iskcondesiretree.com/01_-_Srila_Prabhupada/01_-_Lectures/01_-_English/02_-_Month_wise/08_-_August/04/SB_6-01-51_DET_1975-08-04_All_Wrapped_Up_in_Matter.mp3" TargetMode="External"/><Relationship Id="rId561" Type="http://schemas.openxmlformats.org/officeDocument/2006/relationships/hyperlink" Target="https://audio.iskcondesiretree.com/01_-_Srila_Prabhupada/01_-_Lectures/01_-_English/01_-_Topic_wise/Srimad_Bhagavatam/Canto-01/SP_SB_1-02-06_Calcutta_1972-02-23_The_Spirit_of_Giving_to--etc.mp3" TargetMode="External"/><Relationship Id="rId2242" Type="http://schemas.openxmlformats.org/officeDocument/2006/relationships/hyperlink" Target="https://audio.iskcondesiretree.com/01_-_Srila_Prabhupada/01_-_Lectures/01_-_English/01_-_Topic_wise/Srimad_Bhagavatam/Canto-01/SP_SB_1-08-18_Chicago_1974-07-04_Krishna_is_So_Kind._He_Has--etc.mp3" TargetMode="External"/><Relationship Id="rId3500" Type="http://schemas.openxmlformats.org/officeDocument/2006/relationships/hyperlink" Target="https://audio.iskcondesiretree.com/01_-_Srila_Prabhupada/01_-_Lectures/01_-_English/01_-_Topic_wise/Festivals/SP_Festivals_Philadelphia_1975-07-12_Ratha-yatra--Glimpse_of_the_Spiritual_World.mp3" TargetMode="External"/><Relationship Id="rId5398" Type="http://schemas.openxmlformats.org/officeDocument/2006/relationships/hyperlink" Target="https://audio.iskcondesiretree.com/01_-_Srila_Prabhupada/01_-_Lectures/01_-_English/01_-_Topic_wise/Srimad_Bhagavatam/Canto-05/SP_SB_5-05-21_Vrindavan_1976-11-09_Evolved_Consciousness.mp3" TargetMode="External"/><Relationship Id="rId214" Type="http://schemas.openxmlformats.org/officeDocument/2006/relationships/hyperlink" Target="https://audio.iskcondesiretree.com/01_-_Srila_Prabhupada/01_-_Lectures/01_-_English/01_-_Topic_wise/Chaitanya_Charitamrita/Madhya_Lila/SP_CC_M_22-021_New_York_1967-01-11_Devotional_Service_Will--etc.mp3" TargetMode="External"/><Relationship Id="rId421" Type="http://schemas.openxmlformats.org/officeDocument/2006/relationships/hyperlink" Target="https://audio.iskcondesiretree.com/01_-_Srila_Prabhupada/01_-_Lectures/01_-_English/01_-_Topic_wise/Room_Conversation/SP_Room_Conversation_Columbus_1969-05-11_Allen_Ginsberg--Freedom_Is_Frustration.mp3" TargetMode="External"/><Relationship Id="rId1051" Type="http://schemas.openxmlformats.org/officeDocument/2006/relationships/hyperlink" Target="https://audio.iskcondesiretree.com/01_-_Srila_Prabhupada/01_-_Lectures/01_-_English/01_-_Topic_wise/Bhagavad_Gita/Chapter-09/SP_BG_09-10_Calcutta_1973-06-29_Dead_Heads_and_Supreme_Life.mp3" TargetMode="External"/><Relationship Id="rId2102" Type="http://schemas.openxmlformats.org/officeDocument/2006/relationships/hyperlink" Target="https://audio.iskcondesiretree.com/01_-_Srila_Prabhupada/01_-_Lectures/01_-_English/01_-_Topic_wise/Room_Conversation/SP_Room_Conversation_Paris_1974-06-12_Communist--etc.mp3" TargetMode="External"/><Relationship Id="rId5258" Type="http://schemas.openxmlformats.org/officeDocument/2006/relationships/hyperlink" Target="https://audio.iskcondesiretree.com/01_-_Srila_Prabhupada/01_-_Lectures/01_-_English/02_-_Month_wise/09_-_September/24/SB-01-07-27_1976-09-24_SB-VRNDAVAN.MP3" TargetMode="External"/><Relationship Id="rId5465" Type="http://schemas.openxmlformats.org/officeDocument/2006/relationships/hyperlink" Target="https://audio.iskcondesiretree.com/01_-_Srila_Prabhupada/01_-_Lectures/01_-_English/02_-_Month_wise/11_-_November/29/SB-05-06-07_1976-11-29_SB-VRNDAVAN.MP3" TargetMode="External"/><Relationship Id="rId5672" Type="http://schemas.openxmlformats.org/officeDocument/2006/relationships/hyperlink" Target="https://audio.iskcondesiretree.com/01_-_Srila_Prabhupada/01_-_Lectures/01_-_English/02_-_Month_wise/02_-_Feburary/02/Nityananda_Appearance_1977-02-02_NA-BHUBANESWAR.MP3" TargetMode="External"/><Relationship Id="rId1868" Type="http://schemas.openxmlformats.org/officeDocument/2006/relationships/hyperlink" Target="https://audio.iskcondesiretree.com/01_-_Srila_Prabhupada/01_-_Lectures/01_-_English/02_-_Month_wise/04_-_April/13/Bg_04-24_BOM_1974-04-13_You_Can%27t_Separate_Anything.mp3" TargetMode="External"/><Relationship Id="rId4067" Type="http://schemas.openxmlformats.org/officeDocument/2006/relationships/hyperlink" Target="https://audio.iskcondesiretree.com/01_-_Srila_Prabhupada/01_-_Lectures/01_-_English/02_-_Month_wise/12_-_December/09/SB-07-06-07_1975-12-09_SB-VRNDAVAN.MP3" TargetMode="External"/><Relationship Id="rId4274" Type="http://schemas.openxmlformats.org/officeDocument/2006/relationships/hyperlink" Target="https://audio.iskcondesiretree.com/01_-_Srila_Prabhupada/01_-_Lectures/01_-_English/02_-_Month_wise/02_-_Feburary/23/SB_7-09-16_MAY_1976-02-23_Spreading_the_Moonlight.mp3" TargetMode="External"/><Relationship Id="rId4481" Type="http://schemas.openxmlformats.org/officeDocument/2006/relationships/hyperlink" Target="https://audio.iskcondesiretree.com/01_-_Srila_Prabhupada/01_-_Lectures/01_-_English/02_-_Month_wise/04_-_April/15/SB_7-12-04_BOM_1976-04-15_Shortcut_Your_Necessities.mp3" TargetMode="External"/><Relationship Id="rId5118" Type="http://schemas.openxmlformats.org/officeDocument/2006/relationships/hyperlink" Target="https://audio.iskcondesiretree.com/01_-_Srila_Prabhupada/01_-_Lectures/01_-_English/02_-_Month_wise/08_-_August/16/Darshan_1976-08-16_AR-HYDERABAD.MP3" TargetMode="External"/><Relationship Id="rId5325" Type="http://schemas.openxmlformats.org/officeDocument/2006/relationships/hyperlink" Target="https://audio.iskcondesiretree.com/01_-_Srila_Prabhupada/01_-_Lectures/01_-_English/02_-_Month_wise/10_-_October/10/Lecture%E2%80%93Hindi_1976-10-10_LE-ALIGARH.MP3" TargetMode="External"/><Relationship Id="rId5532" Type="http://schemas.openxmlformats.org/officeDocument/2006/relationships/hyperlink" Target="https://audio.iskcondesiretree.com/01_-_Srila_Prabhupada/01_-_Lectures/01_-_English/02_-_Month_wise/12_-_December/27/Conv_1976-12-27_R2-BOMBAY.MP3" TargetMode="External"/><Relationship Id="rId2919" Type="http://schemas.openxmlformats.org/officeDocument/2006/relationships/hyperlink" Target="https://audio.iskcondesiretree.com/01_-_Srila_Prabhupada/01_-_Lectures/01_-_English/02_-_Month_wise/03_-_March/06/SB-01-15-27_1975-03-06_S2-NEW%20YORK.MP3" TargetMode="External"/><Relationship Id="rId3083" Type="http://schemas.openxmlformats.org/officeDocument/2006/relationships/hyperlink" Target="https://audio.iskcondesiretree.com/01_-_Srila_Prabhupada/01_-_Lectures/01_-_English/02_-_Month_wise/04_-_April/10/SB_5-05-01_HYD_1975-04-10_Gold_Is_Gold%2C_God_Is_God.mp3" TargetMode="External"/><Relationship Id="rId3290" Type="http://schemas.openxmlformats.org/officeDocument/2006/relationships/hyperlink" Target="https://audio.iskcondesiretree.com/01_-_Srila_Prabhupada/01_-_Lectures/01_-_English/01_-_Topic_wise/Room_Conversation/SP_Room_Converstion_01_Honolulu_1975-06-15.MP3" TargetMode="External"/><Relationship Id="rId4134" Type="http://schemas.openxmlformats.org/officeDocument/2006/relationships/hyperlink" Target="https://audio.iskcondesiretree.com/01_-_Srila_Prabhupada/01_-_Lectures/01_-_English/02_-_Month_wise/12_-_December/26/Walk_1975-12-26_MW-SANAND.MP3" TargetMode="External"/><Relationship Id="rId4341" Type="http://schemas.openxmlformats.org/officeDocument/2006/relationships/hyperlink" Target="https://audio.iskcondesiretree.com/01_-_Srila_Prabhupada/01_-_Lectures/01_-_English/01_-_Topic_wise/Morning_Walk/SP_Morning_Walk_-_Mayapur_1976-03-11_God_Will_Come_If_there_are_Devotees.mp3" TargetMode="External"/><Relationship Id="rId1728" Type="http://schemas.openxmlformats.org/officeDocument/2006/relationships/hyperlink" Target="https://audio.iskcondesiretree.com/01_-_Srila_Prabhupada/01_-_Lectures/01_-_English/02_-_Month_wise/03_-_March/17/Walk_1974-03-17_MW-VRNDAVAN.MP3" TargetMode="External"/><Relationship Id="rId1935" Type="http://schemas.openxmlformats.org/officeDocument/2006/relationships/hyperlink" Target="https://audio.iskcondesiretree.com/01_-_Srila_Prabhupada/01_-_Lectures/01_-_English/02_-_Month_wise/04_-_April/26/SB-01-02-11_1974-04-26_SB-TIRUPATI.MP3" TargetMode="External"/><Relationship Id="rId3150" Type="http://schemas.openxmlformats.org/officeDocument/2006/relationships/hyperlink" Target="https://audio.iskcondesiretree.com/01_-_Srila_Prabhupada/01_-_Lectures/01_-_English/01_-_Topic_wise/Morning_Walk/SP_Morning_Walk_-_Perth_1975-05-08_Enlightened_Egoism.mp3" TargetMode="External"/><Relationship Id="rId4201" Type="http://schemas.openxmlformats.org/officeDocument/2006/relationships/hyperlink" Target="https://audio.iskcondesiretree.com/01_-_Srila_Prabhupada/01_-_Lectures/01_-_English/02_-_Month_wise/12_-_December/25/Walk_1976-01-25MW-BOMBAY.MP3" TargetMode="External"/><Relationship Id="rId6099" Type="http://schemas.openxmlformats.org/officeDocument/2006/relationships/hyperlink" Target="https://audio.iskcondesiretree.com/01_-_Srila_Prabhupada/01_-_Lectures/01_-_English/01_-_Topic_wise/Krishna_Book/SP_Krsna_Book_Dict_55_-_Pradyumna_Born_To_Krishna.mp3" TargetMode="External"/><Relationship Id="rId3010" Type="http://schemas.openxmlformats.org/officeDocument/2006/relationships/hyperlink" Target="https://audio.iskcondesiretree.com/01_-_Srila_Prabhupada/01_-_Lectures/01_-_English/01_-_Topic_wise/Room_Conversation/SP_Room_Conversation_Mayapur_1975-03-30_Meeting_with_GBC.MP3" TargetMode="External"/><Relationship Id="rId6166" Type="http://schemas.openxmlformats.org/officeDocument/2006/relationships/hyperlink" Target="https://audio.iskcondesiretree.com/01_-_Srila_Prabhupada/01_-_Lectures/01_-_English/01_-_Topic_wise/Stories/SP_Story_42_Vastrana_lila.mp3" TargetMode="External"/><Relationship Id="rId3967" Type="http://schemas.openxmlformats.org/officeDocument/2006/relationships/hyperlink" Target="https://audio.iskcondesiretree.com/01_-_Srila_Prabhupada/01_-_Lectures/01_-_English/02_-_Month_wise/11_-_November/08/Walk_1975-11-08_MW-BOMBAY.MP3" TargetMode="External"/><Relationship Id="rId4" Type="http://schemas.openxmlformats.org/officeDocument/2006/relationships/hyperlink" Target="https://audio.iskcondesiretree.com/01_-_Srila_Prabhupada/01_-_Lectures/01_-_English/02_-_Month_wise/02_-_Feburary/19/Bg_00-01_NY_1966-02-19_20_Intro_1--_to_Bhagavad_Gita.mp3" TargetMode="External"/><Relationship Id="rId888" Type="http://schemas.openxmlformats.org/officeDocument/2006/relationships/hyperlink" Target="https://audio.iskcondesiretree.com/01_-_Srila_Prabhupada/01_-_Lectures/01_-_English/01_-_Topic_wise/Nectar_Of_Devotion/SP_NOD_Bombay_1973-01-05_-_Why_Krishna_Spoke_to_a-etc.mp3" TargetMode="External"/><Relationship Id="rId2569" Type="http://schemas.openxmlformats.org/officeDocument/2006/relationships/hyperlink" Target="https://audio.iskcondesiretree.com/01_-_Srila_Prabhupada/01_-_Lectures/01_-_English/02_-_Month_wise/11_-_November/30/SB_3-25-30_BOM_1974-11-30_Understanding-Standing_Under.mp3" TargetMode="External"/><Relationship Id="rId2776" Type="http://schemas.openxmlformats.org/officeDocument/2006/relationships/hyperlink" Target="https://audio.iskcondesiretree.com/01_-_Srila_Prabhupada/01_-_Lectures/01_-_English/02_-_Month_wise/02_-_Feburary/09/Arr_LA_1975-02-09_Krishna_Consciousness_Is_in_Everyone%27s_Heart.mp3" TargetMode="External"/><Relationship Id="rId2983" Type="http://schemas.openxmlformats.org/officeDocument/2006/relationships/hyperlink" Target="https://audio.iskcondesiretree.com/01_-_Srila_Prabhupada/01_-_Lectures/01_-_English/02_-_Month_wise/03_-_March/23/RC_MAY_1975-03-23_Bhaktivinode_Predicted_Someone.mp3" TargetMode="External"/><Relationship Id="rId3827" Type="http://schemas.openxmlformats.org/officeDocument/2006/relationships/hyperlink" Target="https://audio.iskcondesiretree.com/01_-_Srila_Prabhupada/01_-_Lectures/01_-_English/02_-_Month_wise/10_-_October/05/RC_MAU_1975-10-05_Blueprint_for_a_Blissful_Life.mp3" TargetMode="External"/><Relationship Id="rId5182" Type="http://schemas.openxmlformats.org/officeDocument/2006/relationships/hyperlink" Target="https://audio.iskcondesiretree.com/01_-_Srila_Prabhupada/01_-_Lectures/01_-_English/02_-_Month_wise/09_-_September/04/Conv_1976-09-04_R1-VRNDAVAN.MP3" TargetMode="External"/><Relationship Id="rId6026" Type="http://schemas.openxmlformats.org/officeDocument/2006/relationships/hyperlink" Target="https://audio.iskcondesiretree.com/01_-_Srila_Prabhupada/01_-_Lectures/01_-_English/02_-_Month_wise/11_-_November/15/VrindavanProcession_1977-11-15_SP-VRNDAVAN.MP3" TargetMode="External"/><Relationship Id="rId748" Type="http://schemas.openxmlformats.org/officeDocument/2006/relationships/hyperlink" Target="https://audio.iskcondesiretree.com/01_-_Srila_Prabhupada/01_-_Lectures/01_-_English/01_-_Topic_wise/Nectar_Of_Devotion/SP_NOD_Vrindavan_1972-10-27_-_From_Low_Grade_Society_to_the-etc.mp3" TargetMode="External"/><Relationship Id="rId955" Type="http://schemas.openxmlformats.org/officeDocument/2006/relationships/hyperlink" Target="https://audio.iskcondesiretree.com/01_-_Srila_Prabhupada/01_-_Lectures/01_-_English/01_-_Topic_wise/Morning_Walk/SP_Morning_Walk_-_Los_Angeles_1973-04-19_The_Scientists%27_Bluff.mp3" TargetMode="External"/><Relationship Id="rId1378" Type="http://schemas.openxmlformats.org/officeDocument/2006/relationships/hyperlink" Target="https://audio.iskcondesiretree.com/01_-_Srila_Prabhupada/01_-_Lectures/01_-_English/02_-_Month_wise/12_-_December/01/SB_1-15-21_LA_1973-12-01_Civilization_Minus_Krishna.mp3" TargetMode="External"/><Relationship Id="rId1585" Type="http://schemas.openxmlformats.org/officeDocument/2006/relationships/hyperlink" Target="https://audio.iskcondesiretree.com/01_-_Srila_Prabhupada/01_-_Lectures/01_-_English/01_-_Topic_wise/Bhagavad_Gita/Chapter-03/SP_BG_03-09-14_Vrindavan_1974-02-06.mp3" TargetMode="External"/><Relationship Id="rId1792" Type="http://schemas.openxmlformats.org/officeDocument/2006/relationships/hyperlink" Target="https://audio.iskcondesiretree.com/01_-_Srila_Prabhupada/01_-_Lectures/01_-_English/02_-_Month_wise/03_-_March/31/Bg_04-11_BOM_1974-03-31_Krishna_Will_Accept_you_Any_etc.mp3" TargetMode="External"/><Relationship Id="rId2429" Type="http://schemas.openxmlformats.org/officeDocument/2006/relationships/hyperlink" Target="https://audio.iskcondesiretree.com/01_-_Srila_Prabhupada/01_-_Lectures/01_-_English/01_-_Topic_wise/Srimad_Bhagavatam/Canto-01/SP_SB_1-08-31_Mayapur_1974-10-11_A_Devotee_Likes_to_Be--etc.mp3" TargetMode="External"/><Relationship Id="rId2636" Type="http://schemas.openxmlformats.org/officeDocument/2006/relationships/hyperlink" Target="https://audio.iskcondesiretree.com/01_-_Srila_Prabhupada/01_-_Lectures/01_-_English/01_-_Topic_wise/Srimad_Bhagavatam/Canto-03/SP_SB_3-26-11_Bombay_1974-12-23_Analyze_the_Trap...and_Escape.mp3" TargetMode="External"/><Relationship Id="rId2843" Type="http://schemas.openxmlformats.org/officeDocument/2006/relationships/hyperlink" Target="https://audio.iskcondesiretree.com/01_-_Srila_Prabhupada/01_-_Lectures/01_-_English/02_-_Month_wise/02_-_Feburary/23/SB_1-01-02_CAR_1975-02-23_You_Are_Always_Dependent_on_etc.mp3" TargetMode="External"/><Relationship Id="rId5042" Type="http://schemas.openxmlformats.org/officeDocument/2006/relationships/hyperlink" Target="https://audio.iskcondesiretree.com/01_-_Srila_Prabhupada/01_-_Lectures/01_-_English/02_-_Month_wise/08_-_August/02/Conv_1976-08-02_R1-NEW%20MAYAPUR.MP3" TargetMode="External"/><Relationship Id="rId5999" Type="http://schemas.openxmlformats.org/officeDocument/2006/relationships/hyperlink" Target="https://audio.iskcondesiretree.com/01_-_Srila_Prabhupada/01_-_Lectures/01_-_English/02_-_Month_wise/11_-_November/05/Conv_1977-11-05_R4-VRNDAVAN.MP3" TargetMode="External"/><Relationship Id="rId84" Type="http://schemas.openxmlformats.org/officeDocument/2006/relationships/hyperlink" Target="https://audio.iskcondesiretree.com/01_-_Srila_Prabhupada/01_-_Lectures/01_-_English/01_-_Topic_wise/Bhagavad_Gita/Chapter-06/SP_BG_06-40-43_New_York_1966-09-18_Yoga_System--There_Is_No_Loss--etc.mp3" TargetMode="External"/><Relationship Id="rId608" Type="http://schemas.openxmlformats.org/officeDocument/2006/relationships/hyperlink" Target="https://audio.iskcondesiretree.com/01_-_Srila_Prabhupada/01_-_Lectures/01_-_English/01_-_Topic_wise/Srimad_Bhagavatam/Canto-02/SP_SB_2-03-20_Los_Angeles_1972-06-17_Criminal_Enjoyment.mp3" TargetMode="External"/><Relationship Id="rId815" Type="http://schemas.openxmlformats.org/officeDocument/2006/relationships/hyperlink" Target="https://audio.iskcondesiretree.com/01_-_Srila_Prabhupada/01_-_Lectures/01_-_English/02_-_Month_wise/11_-_November/12/SB_1-02-33_VRN_1972-11-12_Subtle_Cosmic_Button-Pusher.mp3" TargetMode="External"/><Relationship Id="rId1238" Type="http://schemas.openxmlformats.org/officeDocument/2006/relationships/hyperlink" Target="https://audio.iskcondesiretree.com/01_-_Srila_Prabhupada/01_-_Lectures/01_-_English/01_-_Topic_wise/Bhagavad_Gita/Chapter-02/SP_BG_02-31_London_1973-09-01_Duties_of_the_Body_and_Soul.mp3" TargetMode="External"/><Relationship Id="rId1445" Type="http://schemas.openxmlformats.org/officeDocument/2006/relationships/hyperlink" Target="https://audio.iskcondesiretree.com/01_-_Srila_Prabhupada/01_-_Lectures/01_-_English/01_-_Topic_wise/Srimad_Bhagavatam/Canto-01/SP_SB_1-15-41_Los_Angeles_1973-12-19_Aural_Concentration.mp3" TargetMode="External"/><Relationship Id="rId1652" Type="http://schemas.openxmlformats.org/officeDocument/2006/relationships/hyperlink" Target="https://audio.iskcondesiretree.com/01_-_Srila_Prabhupada/01_-_Lectures/01_-_English/02_-_Month_wise/02_-_Feburary/25/Bg-07-11%E2%80%9312_1974-02-25_BG-BOMBAY.MP3" TargetMode="External"/><Relationship Id="rId1305" Type="http://schemas.openxmlformats.org/officeDocument/2006/relationships/hyperlink" Target="https://audio.iskcondesiretree.com/01_-_Srila_Prabhupada/01_-_Lectures/01_-_English/01_-_Topic_wise/Bhagavad_Gita/Chapter-13/SP_BG_13-08_Bombay_1973-10-05_You_Have_to_Approach_an_Acarya.mp3" TargetMode="External"/><Relationship Id="rId2703" Type="http://schemas.openxmlformats.org/officeDocument/2006/relationships/hyperlink" Target="https://audio.iskcondesiretree.com/01_-_Srila_Prabhupada/01_-_Lectures/01_-_English/02_-_Month_wise/01_-_January/16/SB_3-26-41_BOM_1975-01-16_Working_of_Universal_Machinery.mp3" TargetMode="External"/><Relationship Id="rId2910" Type="http://schemas.openxmlformats.org/officeDocument/2006/relationships/hyperlink" Target="https://audio.iskcondesiretree.com/01_-_Srila_Prabhupada/01_-_Lectures/01_-_English/01_-_Topic_wise/Interview/SP_Interview_New_York_1975-03-05_Press--We_Are_Hare_Krishna_People.mp3" TargetMode="External"/><Relationship Id="rId5859" Type="http://schemas.openxmlformats.org/officeDocument/2006/relationships/hyperlink" Target="https://audio.iskcondesiretree.com/01_-_Srila_Prabhupada/01_-_Lectures/01_-_English/02_-_Month_wise/05_-_May/24/Conv_1977-05-24_R1-VRNDAVAN.MP3" TargetMode="External"/><Relationship Id="rId1512" Type="http://schemas.openxmlformats.org/officeDocument/2006/relationships/hyperlink" Target="https://audio.iskcondesiretree.com/01_-_Srila_Prabhupada/01_-_Lectures/01_-_English/02_-_Month_wise/01_-_January/10/SB_1-16-13_LA_1974-01-10_Mischievous_and_Magnanimous.mp3" TargetMode="External"/><Relationship Id="rId4668" Type="http://schemas.openxmlformats.org/officeDocument/2006/relationships/hyperlink" Target="https://audio.iskcondesiretree.com/01_-_Srila_Prabhupada/01_-_Lectures/01_-_English/02_-_Month_wise/05_-_May/30/Walk_1976-05-30_MW-HONOLULU.MP3" TargetMode="External"/><Relationship Id="rId4875" Type="http://schemas.openxmlformats.org/officeDocument/2006/relationships/hyperlink" Target="https://audio.iskcondesiretree.com/01_-_Srila_Prabhupada/01_-_Lectures/01_-_English/01_-_Topic_wise/Srimad_Bhagavatam/Canto-07/SP_SB_7-06-19_New_Vrindavan_1976-07-02_Material_Service_-_Nobody--etc.mp3" TargetMode="External"/><Relationship Id="rId5719" Type="http://schemas.openxmlformats.org/officeDocument/2006/relationships/hyperlink" Target="https://audio.iskcondesiretree.com/01_-_Srila_Prabhupada/01_-_Lectures/01_-_English/02_-_Month_wise/02_-_Feburary/19/Conv_1977-02-19_R2-MAYAPUR.MP3" TargetMode="External"/><Relationship Id="rId5926" Type="http://schemas.openxmlformats.org/officeDocument/2006/relationships/hyperlink" Target="https://audio.iskcondesiretree.com/01_-_Srila_Prabhupada/01_-_Lectures/01_-_English/02_-_Month_wise/08_-_August/11/Conv_1977-08-11_R1-VRNDAVAN.MP3" TargetMode="External"/><Relationship Id="rId6090" Type="http://schemas.openxmlformats.org/officeDocument/2006/relationships/hyperlink" Target="https://audio.iskcondesiretree.com/01_-_Srila_Prabhupada/01_-_Lectures/01_-_English/01_-_Topic_wise/Krishna_Book/SP_Krsna_Book_Dict_46_-_Uddhava_Visits_Vrindavan.mp3" TargetMode="External"/><Relationship Id="rId11" Type="http://schemas.openxmlformats.org/officeDocument/2006/relationships/hyperlink" Target="https://audio.iskcondesiretree.com/01_-_Srila_Prabhupada/01_-_Lectures/01_-_English/01_-_Topic_wise/Bhagavad_Gita/Chapter-02/SP_BG_02-11_New_York_1966-03-04_The_Fragrance_of_the_Soul--etc.mp3" TargetMode="External"/><Relationship Id="rId398" Type="http://schemas.openxmlformats.org/officeDocument/2006/relationships/hyperlink" Target="https://audio.iskcondesiretree.com/01_-_Srila_Prabhupada/01_-_Lectures/01_-_English/02_-_Month_wise/04_-_April/11/Lect_NY_1969-04-11_One_Who_Does_Not_Understand_etc.mp3" TargetMode="External"/><Relationship Id="rId2079" Type="http://schemas.openxmlformats.org/officeDocument/2006/relationships/hyperlink" Target="https://audio.iskcondesiretree.com/01_-_Srila_Prabhupada/01_-_Lectures/01_-_English/02_-_Month_wise/06_-_June/08/Walk_1974-06-08_MW-GENEVA.MP3" TargetMode="External"/><Relationship Id="rId3477" Type="http://schemas.openxmlformats.org/officeDocument/2006/relationships/hyperlink" Target="https://audio.iskcondesiretree.com/01_-_Srila_Prabhupada/01_-_Lectures/01_-_English/02_-_Month_wise/07_-_July/09/SB-06-01-25_1975-07-09_SB-CHICAGO.MP3" TargetMode="External"/><Relationship Id="rId3684" Type="http://schemas.openxmlformats.org/officeDocument/2006/relationships/hyperlink" Target="https://audio.iskcondesiretree.com/01_-_Srila_Prabhupada/01_-_Lectures/01_-_English/01_-_Topic_wise/Room_Conversation/SP_Room_Conversation_01_Vrindavan_1975-08-26.MP3" TargetMode="External"/><Relationship Id="rId3891" Type="http://schemas.openxmlformats.org/officeDocument/2006/relationships/hyperlink" Target="https://audio.iskcondesiretree.com/01_-_Srila_Prabhupada/01_-_Lectures/01_-_English/02_-_Month_wise/10_-_October/18/Walk_1975-10-18_MW-JOHANNESBURG.MP3" TargetMode="External"/><Relationship Id="rId4528" Type="http://schemas.openxmlformats.org/officeDocument/2006/relationships/hyperlink" Target="https://audio.iskcondesiretree.com/01_-_Srila_Prabhupada/01_-_Lectures/01_-_English/02_-_Month_wise/04_-_April/23/RC_MEL_1976-04-23_Cleanse_the_Core_of_the_Heart.mp3" TargetMode="External"/><Relationship Id="rId4735" Type="http://schemas.openxmlformats.org/officeDocument/2006/relationships/hyperlink" Target="https://audio.iskcondesiretree.com/01_-_Srila_Prabhupada/01_-_Lectures/01_-_English/02_-_Month_wise/06_-_June/11/Walk_1976-06-11_MW-LOS%20ANGELES.MP3" TargetMode="External"/><Relationship Id="rId4942" Type="http://schemas.openxmlformats.org/officeDocument/2006/relationships/hyperlink" Target="https://audio.iskcondesiretree.com/01_-_Srila_Prabhupada/01_-_Lectures/01_-_English/02_-_Month_wise/07_-_July/10/Conv_1976-07-10_R1-NEW%20YORK.MP3" TargetMode="External"/><Relationship Id="rId2286" Type="http://schemas.openxmlformats.org/officeDocument/2006/relationships/hyperlink" Target="https://audio.iskcondesiretree.com/01_-_Srila_Prabhupada/01_-_Lectures/01_-_English/02_-_Month_wise/07_-_July/14/SB_1-16-24_LA_1974-07-14_Faith_or_No_Faith-Fact_Is_Fact.mp3" TargetMode="External"/><Relationship Id="rId2493" Type="http://schemas.openxmlformats.org/officeDocument/2006/relationships/hyperlink" Target="https://audio.iskcondesiretree.com/01_-_Srila_Prabhupada/01_-_Lectures/01_-_English/02_-_Month_wise/11_-_November/04/SB_3-25-04_BOM_1974-11-04_Approach_a_Proper_Guru.mp3" TargetMode="External"/><Relationship Id="rId3337" Type="http://schemas.openxmlformats.org/officeDocument/2006/relationships/hyperlink" Target="https://audio.iskcondesiretree.com/01_-_Srila_Prabhupada/01_-_Lectures/01_-_English/02_-_Month_wise/06_-_June/21/MW_LA_1975-06-21_Struggling_for_Eternality.mp3" TargetMode="External"/><Relationship Id="rId3544" Type="http://schemas.openxmlformats.org/officeDocument/2006/relationships/hyperlink" Target="https://audio.iskcondesiretree.com/01_-_Srila_Prabhupada/01_-_Lectures/01_-_English/02_-_Month_wise/07_-_July/17/SB_6-01-32_SF_1975-07-17_Universal_Government.mp3" TargetMode="External"/><Relationship Id="rId3751" Type="http://schemas.openxmlformats.org/officeDocument/2006/relationships/hyperlink" Target="https://audio.iskcondesiretree.com/01_-_Srila_Prabhupada/01_-_Lectures/01_-_English/01_-_Topic_wise/Morning_Walk/SP_Morning_Walk_-_Vrindavan_1975-09-13_Who_Made_You_Embodied.mp3" TargetMode="External"/><Relationship Id="rId4802" Type="http://schemas.openxmlformats.org/officeDocument/2006/relationships/hyperlink" Target="https://audio.iskcondesiretree.com/01_-_Srila_Prabhupada/01_-_Lectures/01_-_English/01_-_Topic_wise/Room_Conversation/SP_Room_Conversation_New_Vrindavan_1976-06-22_Cloudburst_vs_Tap_Water.mp3" TargetMode="External"/><Relationship Id="rId258" Type="http://schemas.openxmlformats.org/officeDocument/2006/relationships/hyperlink" Target="https://audio.iskcondesiretree.com/01_-_Srila_Prabhupada/01_-_Lectures/01_-_English/01_-_Topic_wise/Festivals/SP_Festivals_Montreal_1968-08-30_Radhastami.mp3" TargetMode="External"/><Relationship Id="rId465" Type="http://schemas.openxmlformats.org/officeDocument/2006/relationships/hyperlink" Target="https://audio.iskcondesiretree.com/01_-_Srila_Prabhupada/01_-_Lectures/01_-_English/02_-_Month_wise/09_-_September/05/Fest_HAM_1969-09-05_Vyasa-puja.mp3" TargetMode="External"/><Relationship Id="rId672" Type="http://schemas.openxmlformats.org/officeDocument/2006/relationships/hyperlink" Target="https://audio.iskcondesiretree.com/01_-_Srila_Prabhupada/01_-_Lectures/01_-_English/01_-_Topic_wise/Srimad_Bhagavatam/Canto-01/SP_SB_1-02-05_New_Vrindavan_1972-09-04_This_Bhagavatam_Culture_is--etc.mp3" TargetMode="External"/><Relationship Id="rId1095" Type="http://schemas.openxmlformats.org/officeDocument/2006/relationships/hyperlink" Target="https://audio.iskcondesiretree.com/01_-_Srila_Prabhupada/01_-_Lectures/01_-_English/02_-_Month_wise/07_-_July/18/Bg_01-21_LON_1973-07-18_Fallible_%26_Infallible_Religion.mp3" TargetMode="External"/><Relationship Id="rId2146" Type="http://schemas.openxmlformats.org/officeDocument/2006/relationships/hyperlink" Target="https://audio.iskcondesiretree.com/01_-_Srila_Prabhupada/01_-_Lectures/01_-_English/02_-_Month_wise/06_-_June/15/RC_PAR_1974-06-15_Buddhist--You_Cannot_Change_God.mp3" TargetMode="External"/><Relationship Id="rId2353" Type="http://schemas.openxmlformats.org/officeDocument/2006/relationships/hyperlink" Target="https://audio.iskcondesiretree.com/01_-_Srila_Prabhupada/01_-_Lectures/01_-_English/01_-_Topic_wise/Srimad_Bhagavatam/Canto-01/SP_SB_1-05-23_Vrindavan_1974-08-13_See_Whether_Your_Life_Is_Perfect.mp3" TargetMode="External"/><Relationship Id="rId2560" Type="http://schemas.openxmlformats.org/officeDocument/2006/relationships/hyperlink" Target="https://audio.iskcondesiretree.com/01_-_Srila_Prabhupada/01_-_Lectures/01_-_English/02_-_Month_wise/11_-_November/27/SB_3-25-27_BOM_1974-11-27_World_Is_Under_Misunderstanding.mp3" TargetMode="External"/><Relationship Id="rId3404" Type="http://schemas.openxmlformats.org/officeDocument/2006/relationships/hyperlink" Target="https://audio.iskcondesiretree.com/01_-_Srila_Prabhupada/01_-_Lectures/01_-_English/01_-_Topic_wise/Srimad_Bhagavatam/Canto-06/SP_SB_6-01-17_Denver_1975-06-30_Who_Is_a_True_Christian.mp3" TargetMode="External"/><Relationship Id="rId3611" Type="http://schemas.openxmlformats.org/officeDocument/2006/relationships/hyperlink" Target="https://audio.iskcondesiretree.com/01_-_Srila_Prabhupada/01_-_Lectures/01_-_English/01_-_Topic_wise/Morning_Walk/SP_Morning_Walk_-_Dallas_1975-07-30.MP3" TargetMode="External"/><Relationship Id="rId118" Type="http://schemas.openxmlformats.org/officeDocument/2006/relationships/hyperlink" Target="https://audio.iskcondesiretree.com/01_-_Srila_Prabhupada/01_-_Lectures/01_-_English/02_-_Month_wise/11_-_November/23/Bg_09-02_NY_1966-11-23_Everything_Is_Resting_On_Krishna-Shine.mp3" TargetMode="External"/><Relationship Id="rId325" Type="http://schemas.openxmlformats.org/officeDocument/2006/relationships/hyperlink" Target="https://audio.iskcondesiretree.com/01_-_Srila_Prabhupada/01_-_Lectures/01_-_English/01_-_Topic_wise/Bhagavad_Gita/Chapter-02/SP_BG_02-62-72_Los_Angeles_1968-12-19_Secret_of_Controlling_the_Senses.mp3" TargetMode="External"/><Relationship Id="rId532" Type="http://schemas.openxmlformats.org/officeDocument/2006/relationships/hyperlink" Target="https://audio.iskcondesiretree.com/01_-_Srila_Prabhupada/01_-_Lectures/01_-_English/01_-_Topic_wise/Festivals/SP_Festivals_San_Francisco_1971-06-27_Ratha-yatra--Do_Not_Think_There_is--etc.mp3" TargetMode="External"/><Relationship Id="rId1162" Type="http://schemas.openxmlformats.org/officeDocument/2006/relationships/hyperlink" Target="https://audio.iskcondesiretree.com/01_-_Srila_Prabhupada/01_-_Lectures/01_-_English/01_-_Topic_wise/Bhagavad_Gita/Chapter-13/SP_BG_13-03_Paris_1973-08-11_Krishna%27s_Definition_of_Knowledge.mp3" TargetMode="External"/><Relationship Id="rId2006" Type="http://schemas.openxmlformats.org/officeDocument/2006/relationships/hyperlink" Target="https://audio.iskcondesiretree.com/01_-_Srila_Prabhupada/01_-_Lectures/01_-_English/02_-_Month_wise/05_-_May/29/Walk_1974-05-29_MW-ROME.MP3" TargetMode="External"/><Relationship Id="rId2213" Type="http://schemas.openxmlformats.org/officeDocument/2006/relationships/hyperlink" Target="https://audio.iskcondesiretree.com/01_-_Srila_Prabhupada/01_-_Lectures/01_-_English/02_-_Month_wise/06_-_June/29/Bg-07-01_1974-06-29_BG-MELBOURNE.MP3" TargetMode="External"/><Relationship Id="rId2420" Type="http://schemas.openxmlformats.org/officeDocument/2006/relationships/hyperlink" Target="https://audio.iskcondesiretree.com/01_-_Srila_Prabhupada/01_-_Lectures/01_-_English/01_-_Topic_wise/Srimad_Bhagavatam/Canto-01/SP_SB_1-08-28_Mayapur_1974-10-08_Don%27t_Be_a_%27Skin_Observer%27.mp3" TargetMode="External"/><Relationship Id="rId5369" Type="http://schemas.openxmlformats.org/officeDocument/2006/relationships/hyperlink" Target="https://audio.iskcondesiretree.com/01_-_Srila_Prabhupada/01_-_Lectures/01_-_English/01_-_Topic_wise/Room_Conversation/SP_Room_Conversation_Vrindavan_1976-11-03_Sex_Education-Wasting_Time.mp3" TargetMode="External"/><Relationship Id="rId5576" Type="http://schemas.openxmlformats.org/officeDocument/2006/relationships/hyperlink" Target="https://audio.iskcondesiretree.com/01_-_Srila_Prabhupada/01_-_Lectures/01_-_English/02_-_Month_wise/01_-_January/08/Conv_1977-01-08_R6-BOMBAY.MP3" TargetMode="External"/><Relationship Id="rId5783" Type="http://schemas.openxmlformats.org/officeDocument/2006/relationships/hyperlink" Target="https://audio.iskcondesiretree.com/01_-_Srila_Prabhupada/01_-_Lectures/01_-_English/01_-_Topic_wise/Room_Conversation/SP_Room_Conversation_Bombay_1977-04-01_From_Skyscraper_Constructor_to--etc.mp3" TargetMode="External"/><Relationship Id="rId1022" Type="http://schemas.openxmlformats.org/officeDocument/2006/relationships/hyperlink" Target="https://audio.iskcondesiretree.com/01_-_Srila_Prabhupada/01_-_Lectures/01_-_English/02_-_Month_wise/05_-_May/19/Lect_DAL_1973-05-19_Why_We_Can%27t_Forget_About_God.mp3" TargetMode="External"/><Relationship Id="rId4178" Type="http://schemas.openxmlformats.org/officeDocument/2006/relationships/hyperlink" Target="https://audio.iskcondesiretree.com/01_-_Srila_Prabhupada/01_-_Lectures/01_-_English/02_-_Month_wise/01_-_January/09/Walk_1976-01-09_MW-MADRAS.MP3" TargetMode="External"/><Relationship Id="rId4385" Type="http://schemas.openxmlformats.org/officeDocument/2006/relationships/hyperlink" Target="https://audio.iskcondesiretree.com/01_-_Srila_Prabhupada/01_-_Lectures/01_-_English/01_-_Topic_wise/Srimad_Bhagavatam/Canto-07/SP_SB_7-09-41_Mayapur_1976-03-19_Is_God_Unkind.mp3" TargetMode="External"/><Relationship Id="rId4592" Type="http://schemas.openxmlformats.org/officeDocument/2006/relationships/hyperlink" Target="https://audio.iskcondesiretree.com/01_-_Srila_Prabhupada/01_-_Lectures/01_-_English/01_-_Topic_wise/Srimad_Bhagavatam/Canto-06/SP_SB_6-01-11_Honolulu_1976-05-12_Real_Reform_School.mp3" TargetMode="External"/><Relationship Id="rId5229" Type="http://schemas.openxmlformats.org/officeDocument/2006/relationships/hyperlink" Target="https://audio.iskcondesiretree.com/01_-_Srila_Prabhupada/01_-_Lectures/01_-_English/02_-_Month_wise/09_-_September/14/SB-01-07-16_1976-09-14_SB-VRNDAVAN.MP3" TargetMode="External"/><Relationship Id="rId5436" Type="http://schemas.openxmlformats.org/officeDocument/2006/relationships/hyperlink" Target="https://audio.iskcondesiretree.com/01_-_Srila_Prabhupada/01_-_Lectures/01_-_English/02_-_Month_wise/11_-_November/19/SB-05-05-32_1976-11-19_SB-VRNDAVAN.MP3" TargetMode="External"/><Relationship Id="rId5990" Type="http://schemas.openxmlformats.org/officeDocument/2006/relationships/hyperlink" Target="https://audio.iskcondesiretree.com/01_-_Srila_Prabhupada/01_-_Lectures/01_-_English/02_-_Month_wise/11_-_November/03/Conv_1977-11-03_R4-VRNDAVAN.MP3" TargetMode="External"/><Relationship Id="rId1979" Type="http://schemas.openxmlformats.org/officeDocument/2006/relationships/hyperlink" Target="https://audio.iskcondesiretree.com/01_-_Srila_Prabhupada/01_-_Lectures/01_-_English/02_-_Month_wise/05_-_May/24/RC_ROM_1974-05-24_Rascal_Leasers_Putting_People_into_Chaos.mp3" TargetMode="External"/><Relationship Id="rId3194" Type="http://schemas.openxmlformats.org/officeDocument/2006/relationships/hyperlink" Target="https://audio.iskcondesiretree.com/01_-_Srila_Prabhupada/01_-_Lectures/01_-_English/01_-_Topic_wise/Interview/SP_Interview_Melbourne_1975-05-19_Press--No_Culture-Just_Money.mp3" TargetMode="External"/><Relationship Id="rId4038" Type="http://schemas.openxmlformats.org/officeDocument/2006/relationships/hyperlink" Target="https://audio.iskcondesiretree.com/01_-_Srila_Prabhupada/01_-_Lectures/01_-_English/01_-_Topic_wise/Srimad_Bhagavatam/Canto-07/SP_SB_7-06-01_Vrindavan_1975-12-02_Here_Is_God-Krishna-Take_It.mp3" TargetMode="External"/><Relationship Id="rId4245" Type="http://schemas.openxmlformats.org/officeDocument/2006/relationships/hyperlink" Target="https://audio.iskcondesiretree.com/01_-_Srila_Prabhupada/01_-_Lectures/01_-_English/02_-_Month_wise/02_-_Feburary/17/SB-07-09-10_1976-02-17_SB-MAYAPUR.MP3" TargetMode="External"/><Relationship Id="rId5643" Type="http://schemas.openxmlformats.org/officeDocument/2006/relationships/hyperlink" Target="https://audio.iskcondesiretree.com/01_-_Srila_Prabhupada/01_-_Lectures/01_-_English/02_-_Month_wise/01_-_January/28/Conv_1977-01-28_R1-BHUBANESWAR.MP3" TargetMode="External"/><Relationship Id="rId5850" Type="http://schemas.openxmlformats.org/officeDocument/2006/relationships/hyperlink" Target="https://audio.iskcondesiretree.com/01_-_Srila_Prabhupada/01_-_Lectures/01_-_English/02_-_Month_wise/05_-_May/14/Darshan_1977-05-14_ED-RISHIKESH.MP3" TargetMode="External"/><Relationship Id="rId1839" Type="http://schemas.openxmlformats.org/officeDocument/2006/relationships/hyperlink" Target="https://audio.iskcondesiretree.com/01_-_Srila_Prabhupada/01_-_Lectures/01_-_English/02_-_Month_wise/04_-_April/07/Walk_1974-04-07_MW-BOMBAY.MP3" TargetMode="External"/><Relationship Id="rId3054" Type="http://schemas.openxmlformats.org/officeDocument/2006/relationships/hyperlink" Target="https://audio.iskcondesiretree.com/01_-_Srila_Prabhupada/01_-_Lectures/01_-_English/01_-_Topic_wise/Morning_Walk/SP_Morning_Walk_-_Mayapur_1975-04-05.MP3" TargetMode="External"/><Relationship Id="rId4452" Type="http://schemas.openxmlformats.org/officeDocument/2006/relationships/hyperlink" Target="https://audio.iskcondesiretree.com/01_-_Srila_Prabhupada/01_-_Lectures/01_-_English/02_-_Month_wise/04_-_April/09/Lecture%E2%80%93Hindi_1976-04-09_LE-VRNDAVAN.MP3" TargetMode="External"/><Relationship Id="rId5503" Type="http://schemas.openxmlformats.org/officeDocument/2006/relationships/hyperlink" Target="https://audio.iskcondesiretree.com/01_-_Srila_Prabhupada/01_-_Lectures/01_-_English/01_-_Topic_wise/Bhagavad_Gita/Chapter-16/SP_BG_16-07_Hyderabad_1976-12-15_The_Asuric_Public.mp3" TargetMode="External"/><Relationship Id="rId5710" Type="http://schemas.openxmlformats.org/officeDocument/2006/relationships/hyperlink" Target="https://audio.iskcondesiretree.com/01_-_Srila_Prabhupada/01_-_Lectures/01_-_English/02_-_Month_wise/02_-_Feburary/17/SB_7-09-03_MAY_1977-02-17_Easily_Available_for_Devotees.mp3" TargetMode="External"/><Relationship Id="rId182" Type="http://schemas.openxmlformats.org/officeDocument/2006/relationships/hyperlink" Target="https://audio.iskcondesiretree.com/01_-_Srila_Prabhupada/01_-_Lectures/01_-_English/01_-_Topic_wise/Chaitanya_Charitamrita/Madhya_Lila/SP_CC_M_20-313_New_York_1966-12-21_Krishna_Can_See_Everything.mp3" TargetMode="External"/><Relationship Id="rId1906" Type="http://schemas.openxmlformats.org/officeDocument/2006/relationships/hyperlink" Target="https://audio.iskcondesiretree.com/01_-_Srila_Prabhupada/01_-_Lectures/01_-_English/02_-_Month_wise/04_-_April/20/Conv_1974-04-20_R1-HYDERABAD.MP3" TargetMode="External"/><Relationship Id="rId3261" Type="http://schemas.openxmlformats.org/officeDocument/2006/relationships/hyperlink" Target="https://audio.iskcondesiretree.com/01_-_Srila_Prabhupada/01_-_Lectures/01_-_English/02_-_Month_wise/06_-_June/02/Walk_1975-06-02_MW-HONOLULU.MP3" TargetMode="External"/><Relationship Id="rId4105" Type="http://schemas.openxmlformats.org/officeDocument/2006/relationships/hyperlink" Target="https://audio.iskcondesiretree.com/01_-_Srila_Prabhupada/01_-_Lectures/01_-_English/01_-_Topic_wise/Bhagavad_Gita/Chapter-07/SP_BG_07-01_Bombay_1975-12-20_The_Real_Thing.mp3" TargetMode="External"/><Relationship Id="rId4312" Type="http://schemas.openxmlformats.org/officeDocument/2006/relationships/hyperlink" Target="https://audio.iskcondesiretree.com/01_-_Srila_Prabhupada/01_-_Lectures/01_-_English/02_-_Month_wise/03_-_March/04/SB-07-09-26_1976-03-04_SB-MAYAPUR.MP3" TargetMode="External"/><Relationship Id="rId2070" Type="http://schemas.openxmlformats.org/officeDocument/2006/relationships/hyperlink" Target="https://audio.iskcondesiretree.com/01_-_Srila_Prabhupada/01_-_Lectures/01_-_English/02_-_Month_wise/06_-_June/06/Walk_1974-06-06_MW-GENEVA.MP3" TargetMode="External"/><Relationship Id="rId3121" Type="http://schemas.openxmlformats.org/officeDocument/2006/relationships/hyperlink" Target="https://audio.iskcondesiretree.com/01_-_Srila_Prabhupada/01_-_Lectures/01_-_English/02_-_Month_wise/04_-_April/18/SB-01-07-06_1975-04-18_SB-VRNDAVAN.MP3" TargetMode="External"/><Relationship Id="rId999" Type="http://schemas.openxmlformats.org/officeDocument/2006/relationships/hyperlink" Target="https://audio.iskcondesiretree.com/01_-_Srila_Prabhupada/01_-_Lectures/01_-_English/01_-_Topic_wise/Srimad_Bhagavatam/Canto-01/SP_SB_1-08-48_Los_Angeles_1973-05-10_This_Body_Belongs_to_Others.mp3" TargetMode="External"/><Relationship Id="rId2887" Type="http://schemas.openxmlformats.org/officeDocument/2006/relationships/hyperlink" Target="https://audio.iskcondesiretree.com/01_-_Srila_Prabhupada/01_-_Lectures/01_-_English/01_-_Topic_wise/Morning_Walk/SP_Morning_Walk_-_Atlanta_1975-03-02.MP3" TargetMode="External"/><Relationship Id="rId5086" Type="http://schemas.openxmlformats.org/officeDocument/2006/relationships/hyperlink" Target="https://audio.iskcondesiretree.com/01_-_Srila_Prabhupada/01_-_Lectures/01_-_English/02_-_Month_wise/08_-_August/10/RC_TEH_1976-08-10_Freedom_to_Satisfy_Krishna.mp3" TargetMode="External"/><Relationship Id="rId5293" Type="http://schemas.openxmlformats.org/officeDocument/2006/relationships/hyperlink" Target="https://audio.iskcondesiretree.com/01_-_Srila_Prabhupada/01_-_Lectures/01_-_English/02_-_Month_wise/10_-_October/02/Walk_1976-10-02_MW-VRNDAVAN.MP3" TargetMode="External"/><Relationship Id="rId6137" Type="http://schemas.openxmlformats.org/officeDocument/2006/relationships/hyperlink" Target="https://audio.iskcondesiretree.com/01_-_Srila_Prabhupada/01_-_Lectures/01_-_English/01_-_Topic_wise/Stories/SP_Story_13_Feeding_market_people.mp3" TargetMode="External"/><Relationship Id="rId859" Type="http://schemas.openxmlformats.org/officeDocument/2006/relationships/hyperlink" Target="https://audio.iskcondesiretree.com/01_-_Srila_Prabhupada/01_-_Lectures/01_-_English/02_-_Month_wise/12_-_December/09/Bg_18-67_AHM_1972-12-09_What_Will_Max_Muller_etc.mp3" TargetMode="External"/><Relationship Id="rId1489" Type="http://schemas.openxmlformats.org/officeDocument/2006/relationships/hyperlink" Target="https://audio.iskcondesiretree.com/01_-_Srila_Prabhupada/01_-_Lectures/01_-_English/02_-_Month_wise/01_-_January/05/Walk_1974-01-05_MW-LOS_ANGELES.MP3" TargetMode="External"/><Relationship Id="rId1696" Type="http://schemas.openxmlformats.org/officeDocument/2006/relationships/hyperlink" Target="https://audio.iskcondesiretree.com/01_-_Srila_Prabhupada/01_-_Lectures/01_-_English/01_-_Topic_wise/Morning_Walk/SP_Morning_Walk_-_Vrindavan_1974-03-12.mp3" TargetMode="External"/><Relationship Id="rId3938" Type="http://schemas.openxmlformats.org/officeDocument/2006/relationships/hyperlink" Target="https://audio.iskcondesiretree.com/01_-_Srila_Prabhupada/01_-_Lectures/01_-_English/01_-_Topic_wise/Srimad_Bhagavatam/Canto-03/SP_SB_3-28-20_Nairobi_1975-10-30_A_Most_Moving_%27Statue%27.mp3" TargetMode="External"/><Relationship Id="rId5153" Type="http://schemas.openxmlformats.org/officeDocument/2006/relationships/hyperlink" Target="https://audio.iskcondesiretree.com/01_-_Srila_Prabhupada/01_-_Lectures/01_-_English/02_-_Month_wise/08_-_August/22/RC_HYD_1976-08-22_Government_Minister_Relief_from_etc.mp3" TargetMode="External"/><Relationship Id="rId5360" Type="http://schemas.openxmlformats.org/officeDocument/2006/relationships/hyperlink" Target="https://audio.iskcondesiretree.com/01_-_Srila_Prabhupada/01_-_Lectures/01_-_English/02_-_Month_wise/10_-_October/31/Conv_1976-10-31_R1-VRNDAVAN.MP3" TargetMode="External"/><Relationship Id="rId6204" Type="http://schemas.openxmlformats.org/officeDocument/2006/relationships/hyperlink" Target="https://audio.iskcondesiretree.com/01_-_Srila_Prabhupada/01_-_Lectures/03_-_Hindi/SP_Hindi_32_Lectures_%26_Conversations.mp3" TargetMode="External"/><Relationship Id="rId1349" Type="http://schemas.openxmlformats.org/officeDocument/2006/relationships/hyperlink" Target="https://audio.iskcondesiretree.com/01_-_Srila_Prabhupada/01_-_Lectures/01_-_English/01_-_Topic_wise/Srimad_Bhagavatam/Canto-02/SP_SB_2-01-01_Delhi_1973-11-04_In_Vrindavan_There_are_More--etc.mp3" TargetMode="External"/><Relationship Id="rId2747" Type="http://schemas.openxmlformats.org/officeDocument/2006/relationships/hyperlink" Target="https://audio.iskcondesiretree.com/01_-_Srila_Prabhupada/01_-_Lectures/01_-_English/02_-_Month_wise/01_-_January/31/Bg-16-05_1975-01-31_BG-HONOLULU.MP3" TargetMode="External"/><Relationship Id="rId2954" Type="http://schemas.openxmlformats.org/officeDocument/2006/relationships/hyperlink" Target="https://audio.iskcondesiretree.com/01_-_Srila_Prabhupada/01_-_Lectures/01_-_English/02_-_Month_wise/03_-_March/13/RC_TEH_1975-03-13_Canadian_Ambassador_to_etc.mp3" TargetMode="External"/><Relationship Id="rId5013" Type="http://schemas.openxmlformats.org/officeDocument/2006/relationships/hyperlink" Target="https://audio.iskcondesiretree.com/01_-_Srila_Prabhupada/01_-_Lectures/01_-_English/02_-_Month_wise/07_-_July/23/Interview_1976-07-23_IV-LONDON.MP3" TargetMode="External"/><Relationship Id="rId5220" Type="http://schemas.openxmlformats.org/officeDocument/2006/relationships/hyperlink" Target="https://audio.iskcondesiretree.com/01_-_Srila_Prabhupada/01_-_Lectures/01_-_English/02_-_Month_wise/09_-_September/11/SB_1-07-12_VRN_1976-09-11_Bhakti_On_the_Battlefield.mp3" TargetMode="External"/><Relationship Id="rId719" Type="http://schemas.openxmlformats.org/officeDocument/2006/relationships/hyperlink" Target="https://audio.iskcondesiretree.com/01_-_Srila_Prabhupada/01_-_Lectures/01_-_English/02_-_Month_wise/10_-_October/03/SB_1-03-28_LA_1972-10-03_ISKCON_Is_Incarnation_of_Krishna.mp3" TargetMode="External"/><Relationship Id="rId926" Type="http://schemas.openxmlformats.org/officeDocument/2006/relationships/hyperlink" Target="https://audio.iskcondesiretree.com/01_-_Srila_Prabhupada/01_-_Lectures/01_-_English/01_-_Topic_wise/Bhagavad_Gita/Chapter-10/SP_BG_10-01_Calcutta_1973-03-06_More_or_Less_Demons--Still--etc.mp3" TargetMode="External"/><Relationship Id="rId1556" Type="http://schemas.openxmlformats.org/officeDocument/2006/relationships/hyperlink" Target="https://audio.iskcondesiretree.com/01_-_Srila_Prabhupada/01_-_Lectures/01_-_English/01_-_Topic_wise/Morning_Walk/SP_Morning_Walk_-_Honolulu_1974-01-21.mp3" TargetMode="External"/><Relationship Id="rId1763" Type="http://schemas.openxmlformats.org/officeDocument/2006/relationships/hyperlink" Target="https://audio.iskcondesiretree.com/01_-_Srila_Prabhupada/01_-_Lectures/01_-_English/02_-_Month_wise/03_-_March/26/Bg_04-06_BOM_1974-03-26_Try_to_Be_Godly_%28Not_God%29.mp3" TargetMode="External"/><Relationship Id="rId1970" Type="http://schemas.openxmlformats.org/officeDocument/2006/relationships/hyperlink" Target="https://audio.iskcondesiretree.com/01_-_Srila_Prabhupada/01_-_Lectures/01_-_English/01_-_Topic_wise/Morning_Walk/SP_Morning_Walk_-_Rome_1974-05-24_Relief--Only_for_First-class_Devotees.mp3" TargetMode="External"/><Relationship Id="rId2607" Type="http://schemas.openxmlformats.org/officeDocument/2006/relationships/hyperlink" Target="https://audio.iskcondesiretree.com/01_-_Srila_Prabhupada/01_-_Lectures/01_-_English/02_-_Month_wise/12_-_December/13/SB-03-26-01_1974-12-13_SB-BOMBAY.MP3" TargetMode="External"/><Relationship Id="rId2814" Type="http://schemas.openxmlformats.org/officeDocument/2006/relationships/hyperlink" Target="https://audio.iskcondesiretree.com/01_-_Srila_Prabhupada/01_-_Lectures/01_-_English/02_-_Month_wise/02_-_Feburary/17/Bg_02-17_MEX_City_1975-02-17_Don%27t_Increase_the_Disease.mp3" TargetMode="External"/><Relationship Id="rId55" Type="http://schemas.openxmlformats.org/officeDocument/2006/relationships/hyperlink" Target="https://audio.iskcondesiretree.com/01_-_Srila_Prabhupada/01_-_Lectures/01_-_English/02_-_Month_wise/08_-_August/01/Bg_04-13_NY_1966-08-01_Divisions_of_Human_Society.mp3" TargetMode="External"/><Relationship Id="rId1209" Type="http://schemas.openxmlformats.org/officeDocument/2006/relationships/hyperlink" Target="https://audio.iskcondesiretree.com/01_-_Srila_Prabhupada/01_-_Lectures/01_-_English/02_-_Month_wise/08_-_August/22/Fest_LON_1973-08-22_Vyasa-puja--What_Is_Guru.mp3" TargetMode="External"/><Relationship Id="rId1416" Type="http://schemas.openxmlformats.org/officeDocument/2006/relationships/hyperlink" Target="https://audio.iskcondesiretree.com/01_-_Srila_Prabhupada/01_-_Lectures/01_-_English/02_-_Month_wise/12_-_December/12/SB_1-15-34_LA_1973-12-12_Demonic_Means_Puffed_Up.mp3" TargetMode="External"/><Relationship Id="rId1623" Type="http://schemas.openxmlformats.org/officeDocument/2006/relationships/hyperlink" Target="https://audio.iskcondesiretree.com/01_-_Srila_Prabhupada/01_-_Lectures/01_-_English/02_-_Month_wise/02_-_Feburary/18/Bg-07-03_1974-02-18_BG-BOMBAY.MP3" TargetMode="External"/><Relationship Id="rId1830" Type="http://schemas.openxmlformats.org/officeDocument/2006/relationships/hyperlink" Target="https://audio.iskcondesiretree.com/01_-_Srila_Prabhupada/01_-_Lectures/01_-_English/01_-_Topic_wise/Bhagavad_Gita/Chapter-04/SP_BG_04-17_Bombay_1974-04-06_How_to_Act-How_Not_to_Act.mp3" TargetMode="External"/><Relationship Id="rId4779" Type="http://schemas.openxmlformats.org/officeDocument/2006/relationships/hyperlink" Target="https://audio.iskcondesiretree.com/01_-_Srila_Prabhupada/01_-_Lectures/01_-_English/02_-_Month_wise/06_-_June/18/RC_TOR_1976-06-18_Don%27t_Screw_Out_Your_Concocted_Meaning.mp3" TargetMode="External"/><Relationship Id="rId4986" Type="http://schemas.openxmlformats.org/officeDocument/2006/relationships/hyperlink" Target="https://audio.iskcondesiretree.com/01_-_Srila_Prabhupada/01_-_Lectures/01_-_English/01_-_Topic_wise/Room_Conversation/SP_Room_Conversation_New_York_1976-07-17_Krishna_Supreme_or_Second-Best.mp3" TargetMode="External"/><Relationship Id="rId3588" Type="http://schemas.openxmlformats.org/officeDocument/2006/relationships/hyperlink" Target="https://audio.iskcondesiretree.com/01_-_Srila_Prabhupada/01_-_Lectures/01_-_English/01_-_Topic_wise/Morning_Walk/SP_Morning_Walk_-_Laguna_Beach_1975-07-26.MP3" TargetMode="External"/><Relationship Id="rId3795" Type="http://schemas.openxmlformats.org/officeDocument/2006/relationships/hyperlink" Target="https://audio.iskcondesiretree.com/01_-_Srila_Prabhupada/01_-_Lectures/01_-_English/02_-_Month_wise/09_-_September/30/Walk_1975-09-30_MW-BOMBAY.MP3" TargetMode="External"/><Relationship Id="rId4639" Type="http://schemas.openxmlformats.org/officeDocument/2006/relationships/hyperlink" Target="https://audio.iskcondesiretree.com/01_-_Srila_Prabhupada/01_-_Lectures/01_-_English/02_-_Month_wise/05_-_May/23/SB_6-01-23_HON_1976-05-23_Don%27t_Be_a_Hypocrite.mp3" TargetMode="External"/><Relationship Id="rId4846" Type="http://schemas.openxmlformats.org/officeDocument/2006/relationships/hyperlink" Target="https://audio.iskcondesiretree.com/01_-_Srila_Prabhupada/01_-_Lectures/01_-_English/02_-_Month_wise/06_-_June/28/Bg-16-17%E2%80%9319_1976-06-28_BG-NEW%20VRINDAVAN.MP3" TargetMode="External"/><Relationship Id="rId2397" Type="http://schemas.openxmlformats.org/officeDocument/2006/relationships/hyperlink" Target="https://audio.iskcondesiretree.com/01_-_Srila_Prabhupada/01_-_Lectures/01_-_English/02_-_Month_wise/09_-_September/29/Lecture%E2%80%93Bengali_1974-09-29_LE-MAYAPUR.MP3" TargetMode="External"/><Relationship Id="rId3448" Type="http://schemas.openxmlformats.org/officeDocument/2006/relationships/hyperlink" Target="https://audio.iskcondesiretree.com/01_-_Srila_Prabhupada/01_-_Lectures/01_-_English/01_-_Topic_wise/Morning_Walk/SP_Morning_Walk_-_Chicago_1975-07-06_These_Demonic_Communists_Should_Be_Finished.mp3" TargetMode="External"/><Relationship Id="rId3655" Type="http://schemas.openxmlformats.org/officeDocument/2006/relationships/hyperlink" Target="https://audio.iskcondesiretree.com/01_-_Srila_Prabhupada/01_-_Lectures/01_-_English/02_-_Month_wise/08_-_August/11/Arr_PAR_1975-08-11_Where_Are_Your_Liberty-Equality-Fraternity.mp3" TargetMode="External"/><Relationship Id="rId3862" Type="http://schemas.openxmlformats.org/officeDocument/2006/relationships/hyperlink" Target="https://audio.iskcondesiretree.com/01_-_Srila_Prabhupada/01_-_Lectures/01_-_English/01_-_Topic_wise/Room_Conversation/SP_Room_Conversation_Johannesburg_1975-10-14_Monkeys_Produced_Man--and_You_Call--etc.mp3" TargetMode="External"/><Relationship Id="rId4706" Type="http://schemas.openxmlformats.org/officeDocument/2006/relationships/hyperlink" Target="https://audio.iskcondesiretree.com/01_-_Srila_Prabhupada/01_-_Lectures/01_-_English/01_-_Topic_wise/Srimad_Bhagavatam/Canto-06/SP_SB_6-01-42_Los_Angeles_1976-06-08_New_Orleans_Fakir-Go_to_Guru.mp3" TargetMode="External"/><Relationship Id="rId6061" Type="http://schemas.openxmlformats.org/officeDocument/2006/relationships/hyperlink" Target="https://audio.iskcondesiretree.com/01_-_Srila_Prabhupada/01_-_Lectures/01_-_English/01_-_Topic_wise/Krishna_Book/SP_Krsna_Book_Dict_13_-_The_Stealing_of_the_Boys_and_Calves.mp3" TargetMode="External"/><Relationship Id="rId369" Type="http://schemas.openxmlformats.org/officeDocument/2006/relationships/hyperlink" Target="https://audio.iskcondesiretree.com/01_-_Srila_Prabhupada/01_-_Lectures/01_-_English/01_-_Topic_wise/Bhagavad_Gita/Chapter-06/SP_BG_06-02-05_Los_Angeles_1969-02-14_Yoga_System--The_Yoga_Ladder.mp3" TargetMode="External"/><Relationship Id="rId576" Type="http://schemas.openxmlformats.org/officeDocument/2006/relationships/hyperlink" Target="https://audio.iskcondesiretree.com/01_-_Srila_Prabhupada/01_-_Lectures/01_-_English/01_-_Topic_wise/Various/SP_Lecture_Los_Angeles_1972-05-21_Sunday_Feast--The_Higher_Science.mp3" TargetMode="External"/><Relationship Id="rId783" Type="http://schemas.openxmlformats.org/officeDocument/2006/relationships/hyperlink" Target="https://audio.iskcondesiretree.com/01_-_Srila_Prabhupada/01_-_Lectures/01_-_English/02_-_Month_wise/11_-_November/04/SB_1-02-24_VRN_1972-11-04_Rising_Beyond_the_Modes.mp3" TargetMode="External"/><Relationship Id="rId990" Type="http://schemas.openxmlformats.org/officeDocument/2006/relationships/hyperlink" Target="https://audio.iskcondesiretree.com/01_-_Srila_Prabhupada/01_-_Lectures/01_-_English/01_-_Topic_wise/Srimad_Bhagavatam/Canto-01/SP_SB_1-08-43_Los_Angeles_1973-05-05_Protector_of_Cows_and_Brahmanas.mp3" TargetMode="External"/><Relationship Id="rId2257" Type="http://schemas.openxmlformats.org/officeDocument/2006/relationships/hyperlink" Target="https://audio.iskcondesiretree.com/01_-_Srila_Prabhupada/01_-_Lectures/01_-_English/02_-_Month_wise/07_-_July/09/SB-01-16-19_1974-07-09_SB-LOS%20ANGELES.MP3" TargetMode="External"/><Relationship Id="rId2464" Type="http://schemas.openxmlformats.org/officeDocument/2006/relationships/hyperlink" Target="https://audio.iskcondesiretree.com/01_-_Srila_Prabhupada/01_-_Lectures/01_-_English/01_-_Topic_wise/Srimad_Bhagavatam/Canto-01/SP_SB_1-08-44_Mayapur_1974-10-24_Selected_Words_for_the_Smiling_Lord.mp3" TargetMode="External"/><Relationship Id="rId2671" Type="http://schemas.openxmlformats.org/officeDocument/2006/relationships/hyperlink" Target="https://audio.iskcondesiretree.com/01_-_Srila_Prabhupada/01_-_Lectures/01_-_English/01_-_Topic_wise/Srimad_Bhagavatam/Canto-03/SP_SB_3-26-27_Bombay_1975-01-04_Controlling_the_Uncontrollable.mp3" TargetMode="External"/><Relationship Id="rId3308" Type="http://schemas.openxmlformats.org/officeDocument/2006/relationships/hyperlink" Target="https://audio.iskcondesiretree.com/01_-_Srila_Prabhupada/01_-_Lectures/01_-_English/02_-_Month_wise/06_-_June/16/Conv_1975-06-16_R2-HONOLULU.MP3" TargetMode="External"/><Relationship Id="rId3515" Type="http://schemas.openxmlformats.org/officeDocument/2006/relationships/hyperlink" Target="https://audio.iskcondesiretree.com/01_-_Srila_Prabhupada/01_-_Lectures/01_-_English/02_-_Month_wise/07_-_July/13/Conv_1975-07-13_R1-PHILADELPHIA.MP3" TargetMode="External"/><Relationship Id="rId4913" Type="http://schemas.openxmlformats.org/officeDocument/2006/relationships/hyperlink" Target="https://audio.iskcondesiretree.com/01_-_Srila_Prabhupada/01_-_Lectures/01_-_English/02_-_Month_wise/07_-_July/06/RC_WDC_1976-07-06_Svarupa_Damodar-Matter_and_the_Glance_of_God.mp3" TargetMode="External"/><Relationship Id="rId229" Type="http://schemas.openxmlformats.org/officeDocument/2006/relationships/hyperlink" Target="https://audio.iskcondesiretree.com/01_-_Srila_Prabhupada/01_-_Lectures/01_-_English/02_-_Month_wise/03_-_March/09/Interv_SF_1968-03-09_Radio--KPFK_LA--Transfer_Your_etc.mp3" TargetMode="External"/><Relationship Id="rId436" Type="http://schemas.openxmlformats.org/officeDocument/2006/relationships/hyperlink" Target="https://audio.iskcondesiretree.com/01_-_Srila_Prabhupada/01_-_Lectures/01_-_English/01_-_Topic_wise/Srimad_Bhagavatam/Canto-01/SP_SB_1-05-08_New_Vrindavan_1969-05-24_Sky_Flowers_and_Horse_Eggs.mp3" TargetMode="External"/><Relationship Id="rId643" Type="http://schemas.openxmlformats.org/officeDocument/2006/relationships/hyperlink" Target="https://audio.iskcondesiretree.com/01_-_Srila_Prabhupada/01_-_Lectures/01_-_English/02_-_Month_wise/08_-_August/15/SB_1-02-12_LA_1972-08-15_Become_Very_Eager_to_See_Krishna.mp3" TargetMode="External"/><Relationship Id="rId1066" Type="http://schemas.openxmlformats.org/officeDocument/2006/relationships/hyperlink" Target="https://audio.iskcondesiretree.com/01_-_Srila_Prabhupada/01_-_Lectures/01_-_English/02_-_Month_wise/07_-_July/09/RC_LON_1973-07-09_Where_is_the_Education_About_Our_Future_Life.mp3" TargetMode="External"/><Relationship Id="rId1273" Type="http://schemas.openxmlformats.org/officeDocument/2006/relationships/hyperlink" Target="https://audio.iskcondesiretree.com/01_-_Srila_Prabhupada/01_-_Lectures/01_-_English/02_-_Month_wise/09_-_September/09/SB_5-05-03_STO_1973-09-09_Living_Like_Animals.mp3" TargetMode="External"/><Relationship Id="rId1480" Type="http://schemas.openxmlformats.org/officeDocument/2006/relationships/hyperlink" Target="https://audio.iskcondesiretree.com/01_-_Srila_Prabhupada/01_-_Lectures/01_-_English/02_-_Month_wise/01_-_January/03/Walk_1974-01-03_MW-LOS_ANGELES.MP3" TargetMode="External"/><Relationship Id="rId2117" Type="http://schemas.openxmlformats.org/officeDocument/2006/relationships/hyperlink" Target="https://audio.iskcondesiretree.com/01_-_Srila_Prabhupada/01_-_Lectures/01_-_English/01_-_Topic_wise/Room_Conversation/SP_Room_Conversation_Paris_1974-06-13_Buddhist_Deshimaru--Zen_and_the--etc.mp3" TargetMode="External"/><Relationship Id="rId2324" Type="http://schemas.openxmlformats.org/officeDocument/2006/relationships/hyperlink" Target="https://audio.iskcondesiretree.com/01_-_Srila_Prabhupada/01_-_Lectures/01_-_English/02_-_Month_wise/08_-_August/06/Bg-04-14_1974-08-06_BG-VRNDAVAN.MP3" TargetMode="External"/><Relationship Id="rId3722" Type="http://schemas.openxmlformats.org/officeDocument/2006/relationships/hyperlink" Target="https://audio.iskcondesiretree.com/01_-_Srila_Prabhupada/01_-_Lectures/01_-_English/02_-_Month_wise/09_-_September/04/Walk_1975-09-04_MW-VRNDAVAN.MP3" TargetMode="External"/><Relationship Id="rId850" Type="http://schemas.openxmlformats.org/officeDocument/2006/relationships/hyperlink" Target="https://audio.iskcondesiretree.com/01_-_Srila_Prabhupada/01_-_Lectures/01_-_English/01_-_Topic_wise/Various/SP_Lecture_Ahmedabad_1972-12-05_At_Rotary_Club--There_Are_So_Many_Anomalies.mp3" TargetMode="External"/><Relationship Id="rId1133" Type="http://schemas.openxmlformats.org/officeDocument/2006/relationships/hyperlink" Target="https://audio.iskcondesiretree.com/01_-_Srila_Prabhupada/01_-_Lectures/01_-_English/02_-_Month_wise/07_-_July/29/Bg_01-41_LON_1973-07-29_Relief_from_Today%27s_Hell.mp3" TargetMode="External"/><Relationship Id="rId2531" Type="http://schemas.openxmlformats.org/officeDocument/2006/relationships/hyperlink" Target="https://audio.iskcondesiretree.com/01_-_Srila_Prabhupada/01_-_Lectures/01_-_English/02_-_Month_wise/11_-_November/18/SB-03-25-18_1974-11-18_SB-BOMBAY.MP3" TargetMode="External"/><Relationship Id="rId4289" Type="http://schemas.openxmlformats.org/officeDocument/2006/relationships/hyperlink" Target="https://audio.iskcondesiretree.com/01_-_Srila_Prabhupada/01_-_Lectures/01_-_English/02_-_Month_wise/02_-_Feburary/26/Walk_1976-02-26_MW-MAYAPUR.MP3" TargetMode="External"/><Relationship Id="rId5687" Type="http://schemas.openxmlformats.org/officeDocument/2006/relationships/hyperlink" Target="https://audio.iskcondesiretree.com/01_-_Srila_Prabhupada/01_-_Lectures/01_-_English/01_-_Topic_wise/Festivals/SP_Festivals_Mayapur_1977-02-08_Bhaktisiddhantas_Appearance.mp3" TargetMode="External"/><Relationship Id="rId5894" Type="http://schemas.openxmlformats.org/officeDocument/2006/relationships/hyperlink" Target="https://audio.iskcondesiretree.com/01_-_Srila_Prabhupada/01_-_Lectures/01_-_English/02_-_Month_wise/06_-_June/30/Conv_1977-06-30_R2-VRNDAVAN.MP3" TargetMode="External"/><Relationship Id="rId503" Type="http://schemas.openxmlformats.org/officeDocument/2006/relationships/hyperlink" Target="https://audio.iskcondesiretree.com/01_-_Srila_Prabhupada/01_-_Lectures/01_-_English/02_-_Month_wise/04_-_April/29/Iso_01_LA_1970-04-29_Our_Foolishness.mp3" TargetMode="External"/><Relationship Id="rId710" Type="http://schemas.openxmlformats.org/officeDocument/2006/relationships/hyperlink" Target="https://audio.iskcondesiretree.com/01_-_Srila_Prabhupada/01_-_Lectures/01_-_English/01_-_Topic_wise/Srimad_Bhagavatam/Canto-01/SP_SB_1-03-25_Los_Angeles_1972-09-30_The_Folly_of_Our_Age.mp3" TargetMode="External"/><Relationship Id="rId1340" Type="http://schemas.openxmlformats.org/officeDocument/2006/relationships/hyperlink" Target="https://audio.iskcondesiretree.com/01_-_Srila_Prabhupada/01_-_Lectures/01_-_English/02_-_Month_wise/10_-_October/31/RC_VRN_1973-10-31_Glories_of_the_Supreme_Lord.mp3" TargetMode="External"/><Relationship Id="rId3098" Type="http://schemas.openxmlformats.org/officeDocument/2006/relationships/hyperlink" Target="https://audio.iskcondesiretree.com/01_-_Srila_Prabhupada/01_-_Lectures/01_-_English/02_-_Month_wise/04_-_April/12/SB_5-05-02_HYD_1975-04-12_The_Essence_of_Scripture.mp3" TargetMode="External"/><Relationship Id="rId4496" Type="http://schemas.openxmlformats.org/officeDocument/2006/relationships/hyperlink" Target="https://audio.iskcondesiretree.com/01_-_Srila_Prabhupada/01_-_Lectures/01_-_English/02_-_Month_wise/04_-_April/19/Arr_MEL_1976-04-19_Meaning_of_God.mp3" TargetMode="External"/><Relationship Id="rId5547" Type="http://schemas.openxmlformats.org/officeDocument/2006/relationships/hyperlink" Target="https://audio.iskcondesiretree.com/01_-_Srila_Prabhupada/01_-_Lectures/01_-_English/02_-_Month_wise/12_-_December/31/Interview_1976-12-31_IV-BOMBAY.MP3" TargetMode="External"/><Relationship Id="rId5754" Type="http://schemas.openxmlformats.org/officeDocument/2006/relationships/hyperlink" Target="https://audio.iskcondesiretree.com/01_-_Srila_Prabhupada/01_-_Lectures/01_-_English/02_-_Month_wise/03_-_March/02/Conv_1977-03-02_R1-MAYAPUR.MP3" TargetMode="External"/><Relationship Id="rId5961" Type="http://schemas.openxmlformats.org/officeDocument/2006/relationships/hyperlink" Target="https://audio.iskcondesiretree.com/01_-_Srila_Prabhupada/01_-_Lectures/01_-_English/02_-_Month_wise/10_-_October/21/Conv_1977-10-21_R1-VRNDAVAN.MP3" TargetMode="External"/><Relationship Id="rId1200" Type="http://schemas.openxmlformats.org/officeDocument/2006/relationships/hyperlink" Target="https://audio.iskcondesiretree.com/01_-_Srila_Prabhupada/01_-_Lectures/01_-_English/02_-_Month_wise/08_-_August/21/Fest_LON_1973-08-21_Deity_Installation-Purpose_of_etc.mp3" TargetMode="External"/><Relationship Id="rId4149" Type="http://schemas.openxmlformats.org/officeDocument/2006/relationships/hyperlink" Target="https://audio.iskcondesiretree.com/01_-_Srila_Prabhupada/01_-_Lectures/01_-_English/01_-_Topic_wise/Morning_Walk/SP_Morning_Walk_-_Nellore_1976-01-03_Independent_Thinking.mp3" TargetMode="External"/><Relationship Id="rId4356" Type="http://schemas.openxmlformats.org/officeDocument/2006/relationships/hyperlink" Target="https://audio.iskcondesiretree.com/01_-_Srila_Prabhupada/01_-_Lectures/01_-_English/02_-_Month_wise/03_-_March/14/SB-07-09-36_1976-03-14_SB-MAYAPUR.MP3" TargetMode="External"/><Relationship Id="rId4563" Type="http://schemas.openxmlformats.org/officeDocument/2006/relationships/hyperlink" Target="https://audio.iskcondesiretree.com/01_-_Srila_Prabhupada/01_-_Lectures/01_-_English/02_-_Month_wise/05_-_May/03/RC_HON_1976-05-03_Making_Common_Cause_for_Krishna.mp3" TargetMode="External"/><Relationship Id="rId4770" Type="http://schemas.openxmlformats.org/officeDocument/2006/relationships/hyperlink" Target="https://audio.iskcondesiretree.com/01_-_Srila_Prabhupada/01_-_Lectures/01_-_English/01_-_Topic_wise/Morning_Walk/SP_Morning_Walk_-_Toronto_1976-06-18_Dealing_With_the_Envious.mp3" TargetMode="External"/><Relationship Id="rId5407" Type="http://schemas.openxmlformats.org/officeDocument/2006/relationships/hyperlink" Target="https://audio.iskcondesiretree.com/01_-_Srila_Prabhupada/01_-_Lectures/01_-_English/02_-_Month_wise/11_-_November/11/SB-05-05-24_1976-11-11_SB-VRNDAVAN.MP3" TargetMode="External"/><Relationship Id="rId5614" Type="http://schemas.openxmlformats.org/officeDocument/2006/relationships/hyperlink" Target="https://audio.iskcondesiretree.com/01_-_Srila_Prabhupada/01_-_Lectures/01_-_English/02_-_Month_wise/01_-_January/21/Walk_1977-01-21MW-BHUBANESWAR.MP3" TargetMode="External"/><Relationship Id="rId5821" Type="http://schemas.openxmlformats.org/officeDocument/2006/relationships/hyperlink" Target="https://audio.iskcondesiretree.com/01_-_Srila_Prabhupada/01_-_Lectures/01_-_English/01_-_Topic_wise/Room_Conversation/SP_Room_Conversation_Bombay_1977-04-25_Go_to_the_Dogs_or_the_Gita.mp3" TargetMode="External"/><Relationship Id="rId3165" Type="http://schemas.openxmlformats.org/officeDocument/2006/relationships/hyperlink" Target="https://audio.iskcondesiretree.com/01_-_Srila_Prabhupada/01_-_Lectures/01_-_English/01_-_Topic_wise/Room_Conversation/SP_Room_Conversation_Perth_1975-05-12_Psychiatrist_and_Indian--etc.mp3" TargetMode="External"/><Relationship Id="rId3372" Type="http://schemas.openxmlformats.org/officeDocument/2006/relationships/hyperlink" Target="https://audio.iskcondesiretree.com/01_-_Srila_Prabhupada/01_-_Lectures/01_-_English/01_-_Topic_wise/Room_Conversation/SP_Room_Conversation_01_Los_Angeles_1975-06-26.MP3" TargetMode="External"/><Relationship Id="rId4009" Type="http://schemas.openxmlformats.org/officeDocument/2006/relationships/hyperlink" Target="https://audio.iskcondesiretree.com/01_-_Srila_Prabhupada/01_-_Lectures/01_-_English/02_-_Month_wise/11_-_November/18/Walk_1975-11-18_MW-BOMBAY.MP3" TargetMode="External"/><Relationship Id="rId4216" Type="http://schemas.openxmlformats.org/officeDocument/2006/relationships/hyperlink" Target="https://audio.iskcondesiretree.com/01_-_Srila_Prabhupada/01_-_Lectures/01_-_English/02_-_Month_wise/02_-_Feburary/06/Walk_1976-02-06_MW-MAYAPUR.MP3" TargetMode="External"/><Relationship Id="rId4423" Type="http://schemas.openxmlformats.org/officeDocument/2006/relationships/hyperlink" Target="https://audio.iskcondesiretree.com/01_-_Srila_Prabhupada/01_-_Lectures/01_-_English/02_-_Month_wise/04_-_April/03/SB-07-09-48_1976-04-03_SB-VRNDAVAN.MP3" TargetMode="External"/><Relationship Id="rId4630" Type="http://schemas.openxmlformats.org/officeDocument/2006/relationships/hyperlink" Target="https://audio.iskcondesiretree.com/01_-_Srila_Prabhupada/01_-_Lectures/01_-_English/01_-_Topic_wise/Srimad_Bhagavatam/Canto-06/SP_SB_6-01-21_Honolulu_1976-05-21_True_Guru.mp3" TargetMode="External"/><Relationship Id="rId293" Type="http://schemas.openxmlformats.org/officeDocument/2006/relationships/hyperlink" Target="https://audio.iskcondesiretree.com/01_-_Srila_Prabhupada/01_-_Lectures/01_-_English/02_-_Month_wise/11_-_November/13/Lect_LA_1968-11-13_I_Have_Passed_My_Life_Uselessly.mp3" TargetMode="External"/><Relationship Id="rId2181" Type="http://schemas.openxmlformats.org/officeDocument/2006/relationships/hyperlink" Target="https://audio.iskcondesiretree.com/01_-_Srila_Prabhupada/01_-_Lectures/01_-_English/01_-_Topic_wise/Room_Conversation/SP_Room_Conversation_Germany_1974-06-22_Monk--Krishna%27s_Name_Accepted_by_Jesus.mp3" TargetMode="External"/><Relationship Id="rId3025" Type="http://schemas.openxmlformats.org/officeDocument/2006/relationships/hyperlink" Target="https://audio.iskcondesiretree.com/01_-_Srila_Prabhupada/01_-_Lectures/01_-_English/02_-_Month_wise/04_-_April/01/CcAdi-01-008_1975-04-01_CC-MAYAPUR.MP3" TargetMode="External"/><Relationship Id="rId3232" Type="http://schemas.openxmlformats.org/officeDocument/2006/relationships/hyperlink" Target="https://audio.iskcondesiretree.com/01_-_Srila_Prabhupada/01_-_Lectures/01_-_English/02_-_Month_wise/05_-_May/22/SB_6-01-01_MEL_1975-05-22_Hog%27s_Life_Eat_Any_Damned_Food.mp3" TargetMode="External"/><Relationship Id="rId153" Type="http://schemas.openxmlformats.org/officeDocument/2006/relationships/hyperlink" Target="https://audio.iskcondesiretree.com/01_-_Srila_Prabhupada/01_-_Lectures/01_-_English/02_-_Month_wise/12_-_December/07/Cc_M_20-154_NY_1966-12-07_Can_There_Be_Peace_Without_etc.mp3" TargetMode="External"/><Relationship Id="rId360" Type="http://schemas.openxmlformats.org/officeDocument/2006/relationships/hyperlink" Target="https://audio.iskcondesiretree.com/01_-_Srila_Prabhupada/01_-_Lectures/01_-_English/02_-_Month_wise/01_-_January/31/Fest_LA_1969-01-31_Nityananda_Appearance--Song_%26_Purport.mp3" TargetMode="External"/><Relationship Id="rId2041" Type="http://schemas.openxmlformats.org/officeDocument/2006/relationships/hyperlink" Target="https://audio.iskcondesiretree.com/01_-_Srila_Prabhupada/01_-_Lectures/01_-_English/02_-_Month_wise/06_-_June/03/SB-01-13-12%E2%80%9314_1974-06-03_SB-GENEVA.MP3" TargetMode="External"/><Relationship Id="rId5197" Type="http://schemas.openxmlformats.org/officeDocument/2006/relationships/hyperlink" Target="https://audio.iskcondesiretree.com/01_-_Srila_Prabhupada/01_-_Lectures/01_-_English/02_-_Month_wise/09_-_September/07/Conv_1976-09-07_G1-VRNDAVAN.MP3" TargetMode="External"/><Relationship Id="rId220" Type="http://schemas.openxmlformats.org/officeDocument/2006/relationships/hyperlink" Target="https://audio.iskcondesiretree.com/01_-_Srila_Prabhupada/01_-_Lectures/01_-_English/01_-_Topic_wise/Chaitanya_Charitamrita/More/SP_CC_A_Intro_San_Francisco_1967-03-18_Introduction.mp3" TargetMode="External"/><Relationship Id="rId2998" Type="http://schemas.openxmlformats.org/officeDocument/2006/relationships/hyperlink" Target="https://audio.iskcondesiretree.com/01_-_Srila_Prabhupada/01_-_Lectures/01_-_English/02_-_Month_wise/03_-_March/27/CcAdi-01-003_1975-03-27_CC-MAYAPUR.MP3" TargetMode="External"/><Relationship Id="rId5057" Type="http://schemas.openxmlformats.org/officeDocument/2006/relationships/hyperlink" Target="https://audio.iskcondesiretree.com/01_-_Srila_Prabhupada/01_-_Lectures/01_-_English/02_-_Month_wise/08_-_August/03/Conv_1976-08-03_R3-NEW%20MAYAPUR.MP3" TargetMode="External"/><Relationship Id="rId5264" Type="http://schemas.openxmlformats.org/officeDocument/2006/relationships/hyperlink" Target="https://audio.iskcondesiretree.com/01_-_Srila_Prabhupada/01_-_Lectures/01_-_English/01_-_Topic_wise/Srimad_Bhagavatam/Canto-01/SP_SB_1-07-30-31_Vrindavan_1976-09-26_Why_Make_Krishna_Impersonal.mp3" TargetMode="External"/><Relationship Id="rId6108" Type="http://schemas.openxmlformats.org/officeDocument/2006/relationships/hyperlink" Target="https://audio.iskcondesiretree.com/01_-_Srila_Prabhupada/01_-_Lectures/01_-_English/01_-_Topic_wise/Krishna_Book/SP_Krsna_Book_Dict_74_-_The_Deliverance_of_Sisupala.mp3" TargetMode="External"/><Relationship Id="rId2858" Type="http://schemas.openxmlformats.org/officeDocument/2006/relationships/hyperlink" Target="https://audio.iskcondesiretree.com/01_-_Srila_Prabhupada/01_-_Lectures/01_-_English/02_-_Month_wise/02_-_Feburary/26/Bg-13-03_1975-02-26-BG-MIAMI.MP3" TargetMode="External"/><Relationship Id="rId3909" Type="http://schemas.openxmlformats.org/officeDocument/2006/relationships/hyperlink" Target="https://audio.iskcondesiretree.com/01_-_Srila_Prabhupada/01_-_Lectures/01_-_English/02_-_Month_wise/10_-_October/22/SB-05-05-02_1975-10-22_SB-JOHANNESBURG.MP3" TargetMode="External"/><Relationship Id="rId4073" Type="http://schemas.openxmlformats.org/officeDocument/2006/relationships/hyperlink" Target="https://audio.iskcondesiretree.com/01_-_Srila_Prabhupada/01_-_Lectures/01_-_English/02_-_Month_wise/12_-_December/10/SB-07-06-08_1975-12-10_SB-VRNDAVAN.MP3" TargetMode="External"/><Relationship Id="rId5471" Type="http://schemas.openxmlformats.org/officeDocument/2006/relationships/hyperlink" Target="https://audio.iskcondesiretree.com/01_-_Srila_Prabhupada/01_-_Lectures/01_-_English/02_-_Month_wise/12_-_December/03/Darshan_1976-12-03_ED-HYDERABAD.MP3" TargetMode="External"/><Relationship Id="rId99" Type="http://schemas.openxmlformats.org/officeDocument/2006/relationships/hyperlink" Target="https://audio.iskcondesiretree.com/01_-_Srila_Prabhupada/01_-_Lectures/01_-_English/02_-_Month_wise/11_-_November/16/Cc_M_20-125_NY_1966-11-16_Engage_Your_Mind_Always_in_etc.mp3" TargetMode="External"/><Relationship Id="rId1667" Type="http://schemas.openxmlformats.org/officeDocument/2006/relationships/hyperlink" Target="https://audio.iskcondesiretree.com/01_-_Srila_Prabhupada/01_-_Lectures/01_-_English/02_-_Month_wise/03_-_March/02/CcAdi-07-002_1974-03-02_CC-MAYAPUR.MP3" TargetMode="External"/><Relationship Id="rId1874" Type="http://schemas.openxmlformats.org/officeDocument/2006/relationships/hyperlink" Target="https://audio.iskcondesiretree.com/01_-_Srila_Prabhupada/01_-_Lectures/01_-_English/01_-_Topic_wise/Bhagavad_Gita/Chapter-04/SP_BG_04-26_Bombay_1974-04-15_Attracted_by_Spiritual_Affairs.mp3" TargetMode="External"/><Relationship Id="rId2718" Type="http://schemas.openxmlformats.org/officeDocument/2006/relationships/hyperlink" Target="https://audio.iskcondesiretree.com/01_-_Srila_Prabhupada/01_-_Lectures/01_-_English/02_-_Month_wise/01_-_January/21/SB_3-26-46_BOM_1975-01-21_Putting_Krishna_in_His_Place.mp3" TargetMode="External"/><Relationship Id="rId2925" Type="http://schemas.openxmlformats.org/officeDocument/2006/relationships/hyperlink" Target="https://audio.iskcondesiretree.com/01_-_Srila_Prabhupada/01_-_Lectures/01_-_English/01_-_Topic_wise/Room_Conversation/SP_Room_Conversation_01_London_1975-03-08.MP3" TargetMode="External"/><Relationship Id="rId4280" Type="http://schemas.openxmlformats.org/officeDocument/2006/relationships/hyperlink" Target="https://audio.iskcondesiretree.com/01_-_Srila_Prabhupada/01_-_Lectures/01_-_English/02_-_Month_wise/02_-_Feburary/25/MW_MAY_1976-02-25_The_Process_of_Disgust.mp3" TargetMode="External"/><Relationship Id="rId5124" Type="http://schemas.openxmlformats.org/officeDocument/2006/relationships/hyperlink" Target="https://audio.iskcondesiretree.com/01_-_Srila_Prabhupada/01_-_Lectures/01_-_English/02_-_Month_wise/08_-_August/17/Bg-13-22_1976-08-17_BG-HYDERABAD.MP3" TargetMode="External"/><Relationship Id="rId5331" Type="http://schemas.openxmlformats.org/officeDocument/2006/relationships/hyperlink" Target="https://audio.iskcondesiretree.com/01_-_Srila_Prabhupada/01_-_Lectures/01_-_English/02_-_Month_wise/10_-_October/14/Walk_1976-10-14_MW-CHANDIGARH.MP3" TargetMode="External"/><Relationship Id="rId1527" Type="http://schemas.openxmlformats.org/officeDocument/2006/relationships/hyperlink" Target="https://audio.iskcondesiretree.com/01_-_Srila_Prabhupada/01_-_Lectures/01_-_English/01_-_Topic_wise/Srimad_Bhagavatam/Canto-01/SP_SB_1-16-19_Hawaii_1974-01-15_Antidotes_for_Contaminated_Age.mp3" TargetMode="External"/><Relationship Id="rId1734" Type="http://schemas.openxmlformats.org/officeDocument/2006/relationships/hyperlink" Target="https://audio.iskcondesiretree.com/01_-_Srila_Prabhupada/01_-_Lectures/01_-_English/02_-_Month_wise/03_-_March/19/SB_2-01-04_VRN_1974-03-19_A_Madman%27s_So-called_Soldiers.mp3" TargetMode="External"/><Relationship Id="rId1941" Type="http://schemas.openxmlformats.org/officeDocument/2006/relationships/hyperlink" Target="https://audio.iskcondesiretree.com/01_-_Srila_Prabhupada/01_-_Lectures/01_-_English/02_-_Month_wise/04_-_April/28/Bg_07-02_HYD_1974-04-28_Seeing_Krishna_Within_the_Heart.mp3" TargetMode="External"/><Relationship Id="rId4140" Type="http://schemas.openxmlformats.org/officeDocument/2006/relationships/hyperlink" Target="https://audio.iskcondesiretree.com/01_-_Srila_Prabhupada/01_-_Lectures/01_-_English/01_-_Topic_wise/Bhagavad_Gita/Chapter-03/SP_BG_03-07_Madras_1976-01-01_Educating_the_Mudhas.mp3" TargetMode="External"/><Relationship Id="rId26" Type="http://schemas.openxmlformats.org/officeDocument/2006/relationships/hyperlink" Target="https://audio.iskcondesiretree.com/01_-_Srila_Prabhupada/01_-_Lectures/01_-_English/01_-_Topic_wise/Bhagavad_Gita/Chapter-02/SP_BG_02-51-54_New_York_1966-04-12_Dovetailing_Yourself_with_the_Supreme.mp3" TargetMode="External"/><Relationship Id="rId3699" Type="http://schemas.openxmlformats.org/officeDocument/2006/relationships/hyperlink" Target="https://audio.iskcondesiretree.com/01_-_Srila_Prabhupada/01_-_Lectures/01_-_English/02_-_Month_wise/08_-_August/29/Walk_1975-08-29_MW-VRNDAVAN.MP3" TargetMode="External"/><Relationship Id="rId4000" Type="http://schemas.openxmlformats.org/officeDocument/2006/relationships/hyperlink" Target="https://audio.iskcondesiretree.com/01_-_Srila_Prabhupada/01_-_Lectures/01_-_English/02_-_Month_wise/11_-_November/17/Cc_M_20-110_BOM_1975-11-17_Truth_About_False_Ego.mp3" TargetMode="External"/><Relationship Id="rId1801" Type="http://schemas.openxmlformats.org/officeDocument/2006/relationships/hyperlink" Target="https://audio.iskcondesiretree.com/01_-_Srila_Prabhupada/01_-_Lectures/01_-_English/02_-_Month_wise/04_-_April/01/Fest_BOM_1974-04-01_Lord_Rama_Appearance--Maha-mantra_etc.mp3" TargetMode="External"/><Relationship Id="rId3559" Type="http://schemas.openxmlformats.org/officeDocument/2006/relationships/hyperlink" Target="https://audio.iskcondesiretree.com/01_-_Srila_Prabhupada/01_-_Lectures/01_-_English/01_-_Topic_wise/Srimad_Bhagavatam/Canto-06/SP_SB_6-01-39_San_Francisco_1975-07-20_Who_Is_Punishable.mp3" TargetMode="External"/><Relationship Id="rId4957" Type="http://schemas.openxmlformats.org/officeDocument/2006/relationships/hyperlink" Target="https://audio.iskcondesiretree.com/01_-_Srila_Prabhupada/01_-_Lectures/01_-_English/02_-_Month_wise/07_-_July/12/Cc_M_20-106_NY_1976-07-12_Occupational_Duty_of_the_Soul.mp3" TargetMode="External"/><Relationship Id="rId6172" Type="http://schemas.openxmlformats.org/officeDocument/2006/relationships/hyperlink" Target="https://audio.iskcondesiretree.com/01_-_Srila_Prabhupada/01_-_Lectures/02_-_Bengali/01_-_General_Lecture.mp3" TargetMode="External"/><Relationship Id="rId687" Type="http://schemas.openxmlformats.org/officeDocument/2006/relationships/hyperlink" Target="https://audio.iskcondesiretree.com/01_-_Srila_Prabhupada/01_-_Lectures/01_-_English/02_-_Month_wise/09_-_September/17/SB_1-03-11_LA_1972-09-17_How_a_Devotee_Approaches_Krishna.mp3" TargetMode="External"/><Relationship Id="rId2368" Type="http://schemas.openxmlformats.org/officeDocument/2006/relationships/hyperlink" Target="https://audio.iskcondesiretree.com/01_-_Srila_Prabhupada/01_-_Lectures/01_-_English/02_-_Month_wise/08_-_August/16/SB_1-05-35_VRN_1974-08-16_Krishna-Satisfied_with_Devotees.mp3" TargetMode="External"/><Relationship Id="rId3766" Type="http://schemas.openxmlformats.org/officeDocument/2006/relationships/hyperlink" Target="https://audio.iskcondesiretree.com/01_-_Srila_Prabhupada/01_-_Lectures/01_-_English/02_-_Month_wise/09_-_September/17/SB-06-02-14_1975-09-17_SB-VRNDAVAN.MP3" TargetMode="External"/><Relationship Id="rId3973" Type="http://schemas.openxmlformats.org/officeDocument/2006/relationships/hyperlink" Target="https://audio.iskcondesiretree.com/01_-_Srila_Prabhupada/01_-_Lectures/01_-_English/02_-_Month_wise/11_-_November/10/Walk_1975-11-10_MW-BOMBAY.MP3" TargetMode="External"/><Relationship Id="rId4817" Type="http://schemas.openxmlformats.org/officeDocument/2006/relationships/hyperlink" Target="https://audio.iskcondesiretree.com/01_-_Srila_Prabhupada/01_-_Lectures/01_-_English/02_-_Month_wise/06_-_June/24/NewBTG_1976-06-24_BI-NEW%20VRINDAVAN.MP3" TargetMode="External"/><Relationship Id="rId6032" Type="http://schemas.openxmlformats.org/officeDocument/2006/relationships/hyperlink" Target="https://audio.iskcondesiretree.com/01_-_Srila_Prabhupada/01_-_Lectures/01_-_English/01_-_Topic_wise/Arrival_Address/SP_Address_Los_Angeles_1970-10-00_Americans--Leaders_of_all_the--etc.mp3" TargetMode="External"/><Relationship Id="rId894" Type="http://schemas.openxmlformats.org/officeDocument/2006/relationships/hyperlink" Target="https://audio.iskcondesiretree.com/01_-_Srila_Prabhupada/01_-_Lectures/01_-_English/01_-_Topic_wise/Nectar_Of_Devotion/SP_NOD_Pg-19_Bombay_1973-01-11_-_If_You_Don%27t_Serve_God.mp3" TargetMode="External"/><Relationship Id="rId1177" Type="http://schemas.openxmlformats.org/officeDocument/2006/relationships/hyperlink" Target="https://audio.iskcondesiretree.com/01_-_Srila_Prabhupada/01_-_Lectures/01_-_English/02_-_Month_wise/08_-_August/13/Bg_13-05_PAR_1973-08-13_Even_the_Lion_Has_to_Struggle.mp3" TargetMode="External"/><Relationship Id="rId2575" Type="http://schemas.openxmlformats.org/officeDocument/2006/relationships/hyperlink" Target="https://audio.iskcondesiretree.com/01_-_Srila_Prabhupada/01_-_Lectures/01_-_English/02_-_Month_wise/12_-_December/02/SB_3-25-32_BOM_1974-12-02_From_Degradation_to_Devotion.mp3" TargetMode="External"/><Relationship Id="rId2782" Type="http://schemas.openxmlformats.org/officeDocument/2006/relationships/hyperlink" Target="https://audio.iskcondesiretree.com/01_-_Srila_Prabhupada/01_-_Lectures/01_-_English/02_-_Month_wise/02_-_Feburary/10/Walk_1975-02-10_MW-LOS%20ANGELES.MP3" TargetMode="External"/><Relationship Id="rId3419" Type="http://schemas.openxmlformats.org/officeDocument/2006/relationships/hyperlink" Target="https://audio.iskcondesiretree.com/01_-_Srila_Prabhupada/01_-_Lectures/01_-_English/02_-_Month_wise/07_-_July/02/SB-06-01-19_1975-07-02_SB-DENVER.MP3" TargetMode="External"/><Relationship Id="rId3626" Type="http://schemas.openxmlformats.org/officeDocument/2006/relationships/hyperlink" Target="https://audio.iskcondesiretree.com/01_-_Srila_Prabhupada/01_-_Lectures/01_-_English/02_-_Month_wise/08_-_August/01/Walk_1975-08-01_MF-NEW%20ORLEANS.MP3" TargetMode="External"/><Relationship Id="rId3833" Type="http://schemas.openxmlformats.org/officeDocument/2006/relationships/hyperlink" Target="https://audio.iskcondesiretree.com/01_-_Srila_Prabhupada/01_-_Lectures/01_-_English/02_-_Month_wise/10_-_October/07/Lect_DUR_1975-10-07_At_City_Hall-Sense_Gratification-No_Sense.mp3" TargetMode="External"/><Relationship Id="rId547" Type="http://schemas.openxmlformats.org/officeDocument/2006/relationships/hyperlink" Target="https://audio.iskcondesiretree.com/01_-_Srila_Prabhupada/01_-_Lectures/01_-_English/02_-_Month_wise/07_-_July/22/SB_6-01-08_NY_1971-07-22_Krishna_Is_etc.mp3" TargetMode="External"/><Relationship Id="rId754" Type="http://schemas.openxmlformats.org/officeDocument/2006/relationships/hyperlink" Target="https://audio.iskcondesiretree.com/01_-_Srila_Prabhupada/01_-_Lectures/01_-_English/02_-_Month_wise/10_-_October/28/NOD_05_VRN_1972-10-28_The_Complete_Science_of_Bhakti-Yoga.mp3" TargetMode="External"/><Relationship Id="rId961" Type="http://schemas.openxmlformats.org/officeDocument/2006/relationships/hyperlink" Target="https://audio.iskcondesiretree.com/01_-_Srila_Prabhupada/01_-_Lectures/01_-_English/01_-_Topic_wise/Srimad_Bhagavatam/Canto-01/SP_SB_1-08-29_Los_Angeles_1973-04-21_Try_to_Satisfy_Krishna.mp3" TargetMode="External"/><Relationship Id="rId1384" Type="http://schemas.openxmlformats.org/officeDocument/2006/relationships/hyperlink" Target="https://audio.iskcondesiretree.com/01_-_Srila_Prabhupada/01_-_Lectures/01_-_English/01_-_Topic_wise/Srimad_Bhagavatam/Canto-01/SP_SB_1-15-24_Los_Angeles_1973-12-03_You_Think_You_Can_Bluff_the--etc.mp3" TargetMode="External"/><Relationship Id="rId1591" Type="http://schemas.openxmlformats.org/officeDocument/2006/relationships/hyperlink" Target="https://audio.iskcondesiretree.com/01_-_Srila_Prabhupada/01_-_Lectures/01_-_English/02_-_Month_wise/02_-_Feburary/07/Bg-04-01_1974-02-07_BG-VRNDAVAN.MP3" TargetMode="External"/><Relationship Id="rId2228" Type="http://schemas.openxmlformats.org/officeDocument/2006/relationships/hyperlink" Target="https://audio.iskcondesiretree.com/01_-_Srila_Prabhupada/01_-_Lectures/01_-_English/01_-_Topic_wise/Various/SP_Lecture_Melbourne_1974-07-01_To_Students--Talking_to_a_Trashy_Audience.mp3" TargetMode="External"/><Relationship Id="rId2435" Type="http://schemas.openxmlformats.org/officeDocument/2006/relationships/hyperlink" Target="https://audio.iskcondesiretree.com/01_-_Srila_Prabhupada/01_-_Lectures/01_-_English/01_-_Topic_wise/Srimad_Bhagavatam/Canto-01/SP_SB_1-08-33_Mayapur_1974-10-13_The_Whole_Thing_in_One_Word.mp3" TargetMode="External"/><Relationship Id="rId2642" Type="http://schemas.openxmlformats.org/officeDocument/2006/relationships/hyperlink" Target="https://audio.iskcondesiretree.com/01_-_Srila_Prabhupada/01_-_Lectures/01_-_English/01_-_Topic_wise/Srimad_Bhagavatam/Canto-03/SP_SB_3-26-16_Bombay_1974-12-25_Fear--The_Time_Factor.mp3" TargetMode="External"/><Relationship Id="rId3900" Type="http://schemas.openxmlformats.org/officeDocument/2006/relationships/hyperlink" Target="https://audio.iskcondesiretree.com/01_-_Srila_Prabhupada/01_-_Lectures/01_-_English/02_-_Month_wise/10_-_October/20/SB_5-05-01_JOH_1975-10-20_The_Natural_World_Unnatural.mp3" TargetMode="External"/><Relationship Id="rId5798" Type="http://schemas.openxmlformats.org/officeDocument/2006/relationships/hyperlink" Target="https://audio.iskcondesiretree.com/01_-_Srila_Prabhupada/01_-_Lectures/01_-_English/02_-_Month_wise/04_-_April/13/Conv_1977-04-13_R1-BOMBAY.MP3" TargetMode="External"/><Relationship Id="rId90" Type="http://schemas.openxmlformats.org/officeDocument/2006/relationships/hyperlink" Target="https://audio.iskcondesiretree.com/01_-_Srila_Prabhupada/01_-_Lectures/01_-_English/01_-_Topic_wise/Bhagavad_Gita/Chapter-07/SP_BG_07-27-30_New_York_1966-10-23_Discovering_Your_REAL_Interest.mp3" TargetMode="External"/><Relationship Id="rId407" Type="http://schemas.openxmlformats.org/officeDocument/2006/relationships/hyperlink" Target="https://audio.iskcondesiretree.com/01_-_Srila_Prabhupada/01_-_Lectures/01_-_English/02_-_Month_wise/05_-_May/01/Fest_BOS_1969-05-01_Lord_Nrsimhadevas_Appearance.mp3" TargetMode="External"/><Relationship Id="rId614" Type="http://schemas.openxmlformats.org/officeDocument/2006/relationships/hyperlink" Target="https://audio.iskcondesiretree.com/01_-_Srila_Prabhupada/01_-_Lectures/01_-_English/01_-_Topic_wise/Srimad_Bhagavatam/Canto-02/SP_SB_2-03-23_Los_Angeles_1972-06-20_Only_a_Devotee_of_a_Devotee--etc.mp3" TargetMode="External"/><Relationship Id="rId821" Type="http://schemas.openxmlformats.org/officeDocument/2006/relationships/hyperlink" Target="https://audio.iskcondesiretree.com/01_-_Srila_Prabhupada/01_-_Lectures/01_-_English/02_-_Month_wise/11_-_November/14/SB_1-03-01_VRN_1972-11-14_Our_Eternal_Position.mp3" TargetMode="External"/><Relationship Id="rId1037" Type="http://schemas.openxmlformats.org/officeDocument/2006/relationships/hyperlink" Target="https://audio.iskcondesiretree.com/01_-_Srila_Prabhupada/01_-_Lectures/01_-_English/01_-_Topic_wise/Srimad_Bhagavatam/Canto-01/SP_SB_1-10-04_Mayapur_1973-06-19_When_People_Become_Demons.mp3" TargetMode="External"/><Relationship Id="rId1244" Type="http://schemas.openxmlformats.org/officeDocument/2006/relationships/hyperlink" Target="https://audio.iskcondesiretree.com/01_-_Srila_Prabhupada/01_-_Lectures/01_-_English/02_-_Month_wise/09_-_September/02/Bg_02-32_LON_1973-09-02_Government_Must_Be_Very_Strict.mp3" TargetMode="External"/><Relationship Id="rId1451" Type="http://schemas.openxmlformats.org/officeDocument/2006/relationships/hyperlink" Target="https://audio.iskcondesiretree.com/01_-_Srila_Prabhupada/01_-_Lectures/01_-_English/01_-_Topic_wise/Srimad_Bhagavatam/Canto-01/SP_SB_1-15-45_Los_Angeles_1973-12-23_This_Civilization_Will_Not_Help.mp3" TargetMode="External"/><Relationship Id="rId2502" Type="http://schemas.openxmlformats.org/officeDocument/2006/relationships/hyperlink" Target="https://audio.iskcondesiretree.com/01_-_Srila_Prabhupada/01_-_Lectures/01_-_English/02_-_Month_wise/11_-_November/08/SB_3-25-08_BOM_1974-11-08_This_World_Is_Darkness.mp3" TargetMode="External"/><Relationship Id="rId5658" Type="http://schemas.openxmlformats.org/officeDocument/2006/relationships/hyperlink" Target="https://audio.iskcondesiretree.com/01_-_Srila_Prabhupada/01_-_Lectures/01_-_English/02_-_Month_wise/01_-_January/31/Conv_1977-01-31_R2-BHUBANESWAR.MP3" TargetMode="External"/><Relationship Id="rId5865" Type="http://schemas.openxmlformats.org/officeDocument/2006/relationships/hyperlink" Target="https://audio.iskcondesiretree.com/01_-_Srila_Prabhupada/01_-_Lectures/01_-_English/02_-_Month_wise/05_-_May/27/Conv_1977-05-27_R1-VRNDAVAN.MP3" TargetMode="External"/><Relationship Id="rId1104" Type="http://schemas.openxmlformats.org/officeDocument/2006/relationships/hyperlink" Target="https://audio.iskcondesiretree.com/01_-_Srila_Prabhupada/01_-_Lectures/01_-_English/02_-_Month_wise/07_-_July/21/Bg_01-26_LON_1973-07-21_Society_Friendship_and_Love.mp3" TargetMode="External"/><Relationship Id="rId1311" Type="http://schemas.openxmlformats.org/officeDocument/2006/relationships/hyperlink" Target="https://audio.iskcondesiretree.com/01_-_Srila_Prabhupada/01_-_Lectures/01_-_English/01_-_Topic_wise/Bhagavad_Gita/Chapter-13/SP_BG_13-15_Bombay_1973-10-09_God_Has_No_Material_Body.mp3" TargetMode="External"/><Relationship Id="rId4467" Type="http://schemas.openxmlformats.org/officeDocument/2006/relationships/hyperlink" Target="https://audio.iskcondesiretree.com/01_-_Srila_Prabhupada/01_-_Lectures/01_-_English/02_-_Month_wise/04_-_April/13/SB-07-12-02_1976-04-13_SB-BOMBAY.MP3" TargetMode="External"/><Relationship Id="rId4674" Type="http://schemas.openxmlformats.org/officeDocument/2006/relationships/hyperlink" Target="https://audio.iskcondesiretree.com/01_-_Srila_Prabhupada/01_-_Lectures/01_-_English/01_-_Topic_wise/Srimad_Bhagavatam/Canto-06/SP_SB_6-01-33_Honolulu_1976-06-01_New_Orleans_Sex_in_the_Spiritual_World.mp3" TargetMode="External"/><Relationship Id="rId4881" Type="http://schemas.openxmlformats.org/officeDocument/2006/relationships/hyperlink" Target="https://audio.iskcondesiretree.com/01_-_Srila_Prabhupada/01_-_Lectures/01_-_English/02_-_Month_wise/07_-_July/03/Conv_1976-07-03_R1-WASHINGTON%20DC.MP3" TargetMode="External"/><Relationship Id="rId5518" Type="http://schemas.openxmlformats.org/officeDocument/2006/relationships/hyperlink" Target="https://audio.iskcondesiretree.com/01_-_Srila_Prabhupada/01_-_Lectures/01_-_English/02_-_Month_wise/12_-_December/22/Conv_1976-12-22_R1-POONA.MP3" TargetMode="External"/><Relationship Id="rId5725" Type="http://schemas.openxmlformats.org/officeDocument/2006/relationships/hyperlink" Target="https://audio.iskcondesiretree.com/01_-_Srila_Prabhupada/01_-_Lectures/01_-_English/02_-_Month_wise/02_-_Feburary/24/Conv_1977-02-24_R1-MAYAPUR.MP3" TargetMode="External"/><Relationship Id="rId3069" Type="http://schemas.openxmlformats.org/officeDocument/2006/relationships/hyperlink" Target="https://audio.iskcondesiretree.com/01_-_Srila_Prabhupada/01_-_Lectures/01_-_English/02_-_Month_wise/04_-_April/07/MW_HYD_1975-04-07_You_Can_Chant_Even_in_Moscow.mp3" TargetMode="External"/><Relationship Id="rId3276" Type="http://schemas.openxmlformats.org/officeDocument/2006/relationships/hyperlink" Target="https://audio.iskcondesiretree.com/01_-_Srila_Prabhupada/01_-_Lectures/01_-_English/02_-_Month_wise/06_-_June/08/Walk_1975-06-08_MW-HONOLULU.MP3" TargetMode="External"/><Relationship Id="rId3483" Type="http://schemas.openxmlformats.org/officeDocument/2006/relationships/hyperlink" Target="https://audio.iskcondesiretree.com/01_-_Srila_Prabhupada/01_-_Lectures/01_-_English/02_-_Month_wise/07_-_July/10/Conv_1975-07-10_R1-CHICAGO.MP3" TargetMode="External"/><Relationship Id="rId3690" Type="http://schemas.openxmlformats.org/officeDocument/2006/relationships/hyperlink" Target="https://audio.iskcondesiretree.com/01_-_Srila_Prabhupada/01_-_Lectures/01_-_English/01_-_Topic_wise/Srimad_Bhagavatam/Canto-06/SP_SB_6-01-61_Vrindavan_1975-08-28_Sexual_Heart_Disease.mp3" TargetMode="External"/><Relationship Id="rId4327" Type="http://schemas.openxmlformats.org/officeDocument/2006/relationships/hyperlink" Target="https://audio.iskcondesiretree.com/01_-_Srila_Prabhupada/01_-_Lectures/01_-_English/02_-_Month_wise/03_-_March/07/SB_7-09-29_MAY_1976-03-07_The_Clever_One.mp3" TargetMode="External"/><Relationship Id="rId4534" Type="http://schemas.openxmlformats.org/officeDocument/2006/relationships/hyperlink" Target="https://audio.iskcondesiretree.com/01_-_Srila_Prabhupada/01_-_Lectures/01_-_English/02_-_Month_wise/04_-_April/24/Walk_1976-04-24_MW-MELBOURNE.MP3" TargetMode="External"/><Relationship Id="rId5932" Type="http://schemas.openxmlformats.org/officeDocument/2006/relationships/hyperlink" Target="https://audio.iskcondesiretree.com/01_-_Srila_Prabhupada/01_-_Lectures/01_-_English/02_-_Month_wise/10_-_October/06/Conv_1977-10-06_R1-VRNDAVAN.MP3" TargetMode="External"/><Relationship Id="rId197" Type="http://schemas.openxmlformats.org/officeDocument/2006/relationships/hyperlink" Target="https://audio.iskcondesiretree.com/01_-_Srila_Prabhupada/01_-_Lectures/01_-_English/02_-_Month_wise/12_-_December/28/Cc_M_20-354_NY_1966-12-28_Symptoms_of_Saintly_Persons.mp3" TargetMode="External"/><Relationship Id="rId2085" Type="http://schemas.openxmlformats.org/officeDocument/2006/relationships/hyperlink" Target="https://audio.iskcondesiretree.com/01_-_Srila_Prabhupada/01_-_Lectures/01_-_English/02_-_Month_wise/06_-_June/09/SB-02-01-01_1974-06-09_SB-PARIS.MP3" TargetMode="External"/><Relationship Id="rId2292" Type="http://schemas.openxmlformats.org/officeDocument/2006/relationships/hyperlink" Target="https://audio.iskcondesiretree.com/01_-_Srila_Prabhupada/01_-_Lectures/01_-_English/01_-_Topic_wise/Srimad_Bhagavatam/Canto-01/SP_SB_1-02-18_New_Vrindavan_1974-07-19.mp3" TargetMode="External"/><Relationship Id="rId3136" Type="http://schemas.openxmlformats.org/officeDocument/2006/relationships/hyperlink" Target="https://audio.iskcondesiretree.com/01_-_Srila_Prabhupada/01_-_Lectures/01_-_English/02_-_Month_wise/04_-_April/23/SB-01-07-06_1975-04-23_SB-VRNDAVAN.MP3" TargetMode="External"/><Relationship Id="rId3343" Type="http://schemas.openxmlformats.org/officeDocument/2006/relationships/hyperlink" Target="https://audio.iskcondesiretree.com/01_-_Srila_Prabhupada/01_-_Lectures/01_-_English/01_-_Topic_wise/Srimad_Bhagavatam/Canto-06/SP_SB_6-01-09_Los_Angeles_1975-06-22.MP3" TargetMode="External"/><Relationship Id="rId4741" Type="http://schemas.openxmlformats.org/officeDocument/2006/relationships/hyperlink" Target="https://audio.iskcondesiretree.com/01_-_Srila_Prabhupada/01_-_Lectures/01_-_English/02_-_Month_wise/06_-_June/13/SB-06-01-47_1976-06-13_SB-DETROIT.MP3" TargetMode="External"/><Relationship Id="rId264" Type="http://schemas.openxmlformats.org/officeDocument/2006/relationships/hyperlink" Target="https://audio.iskcondesiretree.com/01_-_Srila_Prabhupada/01_-_Lectures/01_-_English/01_-_Topic_wise/Various/SP_Lecture_Seattle_1968-09-25_Spiritual_Liberation_and_Beyond.mp3" TargetMode="External"/><Relationship Id="rId471" Type="http://schemas.openxmlformats.org/officeDocument/2006/relationships/hyperlink" Target="https://audio.iskcondesiretree.com/01_-_Srila_Prabhupada/01_-_Lectures/01_-_English/02_-_Month_wise/09_-_September/11/RC_LON_1969-09-11_Harrison_Lennon_%26_Yoko_Ono.mp3" TargetMode="External"/><Relationship Id="rId2152" Type="http://schemas.openxmlformats.org/officeDocument/2006/relationships/hyperlink" Target="https://audio.iskcondesiretree.com/01_-_Srila_Prabhupada/01_-_Lectures/01_-_English/01_-_Topic_wise/Morning_Walk/SP_Morning_Walk_-_Germany_1974-06-17_Fools%27_Paradise_Lost.mp3" TargetMode="External"/><Relationship Id="rId3550" Type="http://schemas.openxmlformats.org/officeDocument/2006/relationships/hyperlink" Target="https://audio.iskcondesiretree.com/01_-_Srila_Prabhupada/01_-_Lectures/01_-_English/02_-_Month_wise/07_-_July/18/SB_6-01-33_SF_1975-07-18_Catching_the_Tail_of_a_Dog.mp3" TargetMode="External"/><Relationship Id="rId4601" Type="http://schemas.openxmlformats.org/officeDocument/2006/relationships/hyperlink" Target="https://audio.iskcondesiretree.com/01_-_Srila_Prabhupada/01_-_Lectures/01_-_English/02_-_Month_wise/05_-_May/13/SB_6-01-12_HON_1976-05-13_How_Can_One_Become_Civilized.mp3" TargetMode="External"/><Relationship Id="rId124" Type="http://schemas.openxmlformats.org/officeDocument/2006/relationships/hyperlink" Target="https://audio.iskcondesiretree.com/01_-_Srila_Prabhupada/01_-_Lectures/01_-_English/01_-_Topic_wise/Chaitanya_Charitamrita/Madhya_Lila/SP_CC_M_20-121_New_York_1966-11-25_Vedas_Guru_and_Supersoul.mp3" TargetMode="External"/><Relationship Id="rId3203" Type="http://schemas.openxmlformats.org/officeDocument/2006/relationships/hyperlink" Target="https://audio.iskcondesiretree.com/01_-_Srila_Prabhupada/01_-_Lectures/01_-_English/02_-_Month_wise/05_-_May/19/Lect_MEL_1975-05-19_We_Are_Doing_Our_Bit_to_Make_etc.mp3" TargetMode="External"/><Relationship Id="rId3410" Type="http://schemas.openxmlformats.org/officeDocument/2006/relationships/hyperlink" Target="https://audio.iskcondesiretree.com/01_-_Srila_Prabhupada/01_-_Lectures/01_-_English/01_-_Topic_wise/Srimad_Bhagavatam/Canto-06/SP_SB_6-01-18_Denver_1975-07-01_Prasadam_Krishna%27s--etc.mp3" TargetMode="External"/><Relationship Id="rId331" Type="http://schemas.openxmlformats.org/officeDocument/2006/relationships/hyperlink" Target="https://audio.iskcondesiretree.com/01_-_Srila_Prabhupada/01_-_Lectures/01_-_English/01_-_Topic_wise/Interview/SP_Interview_Los_Angeles_1968-12-22_Press--Manifesto_of_Krsna_Consciousness.mp3" TargetMode="External"/><Relationship Id="rId2012" Type="http://schemas.openxmlformats.org/officeDocument/2006/relationships/hyperlink" Target="https://audio.iskcondesiretree.com/01_-_Srila_Prabhupada/01_-_Lectures/01_-_English/02_-_Month_wise/05_-_May/30/Reception_1974-05-30_AR-GENEVA.MP3" TargetMode="External"/><Relationship Id="rId2969" Type="http://schemas.openxmlformats.org/officeDocument/2006/relationships/hyperlink" Target="https://audio.iskcondesiretree.com/01_-_Srila_Prabhupada/01_-_Lectures/01_-_English/02_-_Month_wise/03_-_March/15/Walk_1975-03-15_MW-TEHRAN.MP3" TargetMode="External"/><Relationship Id="rId5168" Type="http://schemas.openxmlformats.org/officeDocument/2006/relationships/hyperlink" Target="https://audio.iskcondesiretree.com/01_-_Srila_Prabhupada/01_-_Lectures/01_-_English/02_-_Month_wise/08_-_August/29/Walk_1976-08-29_MW-DELHI.MP3" TargetMode="External"/><Relationship Id="rId5375" Type="http://schemas.openxmlformats.org/officeDocument/2006/relationships/hyperlink" Target="https://audio.iskcondesiretree.com/01_-_Srila_Prabhupada/01_-_Lectures/01_-_English/02_-_Month_wise/11_-_November/03/SB_5-05-15_VRN_1976-11-03_Not_Brainwashing-Brain_Cleaning.mp3" TargetMode="External"/><Relationship Id="rId5582" Type="http://schemas.openxmlformats.org/officeDocument/2006/relationships/hyperlink" Target="https://audio.iskcondesiretree.com/01_-_Srila_Prabhupada/01_-_Lectures/01_-_English/01_-_Topic_wise/Room_Conversation/SP_Room_Conversation_Bombay_1977-01-09_Yogi--Accept_No_Fakirs_No_Substitutes.mp3" TargetMode="External"/><Relationship Id="rId1778" Type="http://schemas.openxmlformats.org/officeDocument/2006/relationships/hyperlink" Target="https://audio.iskcondesiretree.com/01_-_Srila_Prabhupada/01_-_Lectures/01_-_English/01_-_Topic_wise/Morning_Walk/SP_Morning_Walk_-_Bombay_1974-03-29_Misleading_and_Misled.mp3" TargetMode="External"/><Relationship Id="rId1985" Type="http://schemas.openxmlformats.org/officeDocument/2006/relationships/hyperlink" Target="https://audio.iskcondesiretree.com/01_-_Srila_Prabhupada/01_-_Lectures/01_-_English/01_-_Topic_wise/Bhagavad_Gita/Chapter-04/SP_BG_04-10_Public_Lecture_Rome_1974-05-25.mp3" TargetMode="External"/><Relationship Id="rId2829" Type="http://schemas.openxmlformats.org/officeDocument/2006/relationships/hyperlink" Target="https://audio.iskcondesiretree.com/01_-_Srila_Prabhupada/01_-_Lectures/01_-_English/02_-_Month_wise/02_-_Feburary/21/MW_CAR_1975-02-21_Philosophy_Is_Philosophy.mp3" TargetMode="External"/><Relationship Id="rId4184" Type="http://schemas.openxmlformats.org/officeDocument/2006/relationships/hyperlink" Target="https://audio.iskcondesiretree.com/01_-_Srila_Prabhupada/01_-_Lectures/01_-_English/02_-_Month_wise/01_-_January/15/Conv_1976-01-15_R1-MAYAPUR.MP3" TargetMode="External"/><Relationship Id="rId4391" Type="http://schemas.openxmlformats.org/officeDocument/2006/relationships/hyperlink" Target="https://audio.iskcondesiretree.com/01_-_Srila_Prabhupada/01_-_Lectures/01_-_English/02_-_Month_wise/03_-_March/21/Walk_1976-03-21_MW-MAYAPUR.MP3" TargetMode="External"/><Relationship Id="rId5028" Type="http://schemas.openxmlformats.org/officeDocument/2006/relationships/hyperlink" Target="https://audio.iskcondesiretree.com/01_-_Srila_Prabhupada/01_-_Lectures/01_-_English/02_-_Month_wise/07_-_July/27/Interview_1976-07-27_IV-LONDON.MP3" TargetMode="External"/><Relationship Id="rId5235" Type="http://schemas.openxmlformats.org/officeDocument/2006/relationships/hyperlink" Target="https://audio.iskcondesiretree.com/01_-_Srila_Prabhupada/01_-_Lectures/01_-_English/02_-_Month_wise/09_-_September/16/SB-01-07-19_1976-09-16_SB-VRNDAVAN.MP3" TargetMode="External"/><Relationship Id="rId5442" Type="http://schemas.openxmlformats.org/officeDocument/2006/relationships/hyperlink" Target="https://audio.iskcondesiretree.com/01_-_Srila_Prabhupada/01_-_Lectures/01_-_English/02_-_Month_wise/11_-_November/20/SB-05-05-33_1976-11-20_SB-VRNDAVAN.MP3" TargetMode="External"/><Relationship Id="rId1638" Type="http://schemas.openxmlformats.org/officeDocument/2006/relationships/hyperlink" Target="https://audio.iskcondesiretree.com/01_-_Srila_Prabhupada/01_-_Lectures/01_-_English/02_-_Month_wise/02_-_Feburary/22/Bg_07-07_BOM_1974-02-22_Superior_to_All_Hodgepodge.mp3" TargetMode="External"/><Relationship Id="rId4044" Type="http://schemas.openxmlformats.org/officeDocument/2006/relationships/hyperlink" Target="https://audio.iskcondesiretree.com/01_-_Srila_Prabhupada/01_-_Lectures/01_-_English/02_-_Month_wise/12_-_December/03/SB-07-06-02_1975-12-03_SB-VRNDAVAN.MP3" TargetMode="External"/><Relationship Id="rId4251" Type="http://schemas.openxmlformats.org/officeDocument/2006/relationships/hyperlink" Target="https://audio.iskcondesiretree.com/01_-_Srila_Prabhupada/01_-_Lectures/01_-_English/01_-_Topic_wise/Srimad_Bhagavatam/Canto-07/SP_SB_7-09-12_Mayapur_1976-02-19_Follow_Without_Mental_Concoction.mp3" TargetMode="External"/><Relationship Id="rId5302" Type="http://schemas.openxmlformats.org/officeDocument/2006/relationships/hyperlink" Target="https://audio.iskcondesiretree.com/01_-_Srila_Prabhupada/01_-_Lectures/01_-_English/01_-_Topic_wise/Srimad_Bhagavatam/Canto-01/SP_SB_1-07-45-46_Vrindavan_1976-10-05_Deity_Worship-Not_Idol_Worship.mp3" TargetMode="External"/><Relationship Id="rId1845" Type="http://schemas.openxmlformats.org/officeDocument/2006/relationships/hyperlink" Target="https://audio.iskcondesiretree.com/01_-_Srila_Prabhupada/01_-_Lectures/01_-_English/02_-_Month_wise/04_-_April/08/Walk_1974-04-08_MW-BOMBAY.MP3" TargetMode="External"/><Relationship Id="rId3060" Type="http://schemas.openxmlformats.org/officeDocument/2006/relationships/hyperlink" Target="https://audio.iskcondesiretree.com/01_-_Srila_Prabhupada/01_-_Lectures/01_-_English/01_-_Topic_wise/Various/SP_Lecture_Mayapur_1975-04-06.MP3" TargetMode="External"/><Relationship Id="rId4111" Type="http://schemas.openxmlformats.org/officeDocument/2006/relationships/hyperlink" Target="https://audio.iskcondesiretree.com/01_-_Srila_Prabhupada/01_-_Lectures/01_-_English/01_-_Topic_wise/Bhagavad_Gita/Chapter-16/SP_BG_16-07_Bombay_1975-12-22_Demons_and_Devotees.mp3" TargetMode="External"/><Relationship Id="rId1705" Type="http://schemas.openxmlformats.org/officeDocument/2006/relationships/hyperlink" Target="https://audio.iskcondesiretree.com/01_-_Srila_Prabhupada/01_-_Lectures/01_-_English/02_-_Month_wise/03_-_March/14/MW_VRN_1974-03-14_Varnashram_College_1--Revise_Human_etc.mp3" TargetMode="External"/><Relationship Id="rId1912" Type="http://schemas.openxmlformats.org/officeDocument/2006/relationships/hyperlink" Target="https://audio.iskcondesiretree.com/01_-_Srila_Prabhupada/01_-_Lectures/01_-_English/01_-_Topic_wise/Morning_Walk/SP_Morning_Walk_-_Hyderabad_1974-04-22_If_You_Love_God...Why_Disobey.mp3" TargetMode="External"/><Relationship Id="rId6076" Type="http://schemas.openxmlformats.org/officeDocument/2006/relationships/hyperlink" Target="https://audio.iskcondesiretree.com/01_-_Srila_Prabhupada/01_-_Lectures/01_-_English/01_-_Topic_wise/Krishna_Book/SP_Krsna_Book_Dict_28_-_Releasing_Nanda_Maharaja.mp3" TargetMode="External"/><Relationship Id="rId3877" Type="http://schemas.openxmlformats.org/officeDocument/2006/relationships/hyperlink" Target="https://audio.iskcondesiretree.com/01_-_Srila_Prabhupada/01_-_Lectures/01_-_English/01_-_Topic_wise/Room_Conversation/SP_Room_Conversation_Johannesburg_1975-10-16_People_Follow_Leader.mp3" TargetMode="External"/><Relationship Id="rId4928" Type="http://schemas.openxmlformats.org/officeDocument/2006/relationships/hyperlink" Target="https://audio.iskcondesiretree.com/01_-_Srila_Prabhupada/01_-_Lectures/01_-_English/01_-_Topic_wise/Room_Conversation/SP_Room_Conversation_Washington_DC_1976-07-08_S_Damodar--Life_Comes_By_the--etc.mp3" TargetMode="External"/><Relationship Id="rId5092" Type="http://schemas.openxmlformats.org/officeDocument/2006/relationships/hyperlink" Target="https://audio.iskcondesiretree.com/01_-_Srila_Prabhupada/01_-_Lectures/01_-_English/02_-_Month_wise/08_-_August/11/RC_TEH_1976-08-11_Progress_Means_Problems.mp3" TargetMode="External"/><Relationship Id="rId798" Type="http://schemas.openxmlformats.org/officeDocument/2006/relationships/hyperlink" Target="https://audio.iskcondesiretree.com/01_-_Srila_Prabhupada/01_-_Lectures/01_-_English/02_-_Month_wise/11_-_November/08/NOD_12_VRN_1972-11-08_The_Complete_Science_of_Bhakti-Yoga.mp3" TargetMode="External"/><Relationship Id="rId2479" Type="http://schemas.openxmlformats.org/officeDocument/2006/relationships/hyperlink" Target="https://audio.iskcondesiretree.com/01_-_Srila_Prabhupada/01_-_Lectures/01_-_English/01_-_Topic_wise/Srimad_Bhagavatam/Canto-01/SP_SB_1-08-49_Mayapur_1974-10-29_Devotees_Have_New_Orleans_Debts.mp3" TargetMode="External"/><Relationship Id="rId2686" Type="http://schemas.openxmlformats.org/officeDocument/2006/relationships/hyperlink" Target="https://audio.iskcondesiretree.com/01_-_Srila_Prabhupada/01_-_Lectures/01_-_English/01_-_Topic_wise/Srimad_Bhagavatam/Canto-03/SP_SB_3-26-32_Bombay_1975-01-09_Creation--Sound_Explanation.mp3" TargetMode="External"/><Relationship Id="rId2893" Type="http://schemas.openxmlformats.org/officeDocument/2006/relationships/hyperlink" Target="https://audio.iskcondesiretree.com/01_-_Srila_Prabhupada/01_-_Lectures/01_-_English/02_-_Month_wise/03_-_March/02/Conv_1975-03-02_R2-ATLANTA.MP3" TargetMode="External"/><Relationship Id="rId3737" Type="http://schemas.openxmlformats.org/officeDocument/2006/relationships/hyperlink" Target="https://audio.iskcondesiretree.com/01_-_Srila_Prabhupada/01_-_Lectures/01_-_English/01_-_Topic_wise/Srimad_Bhagavatam/Canto-06/SP_SB_6-02-04_Vrindavan_1975-09-08_Behave_Ideally_or_Don%27t_Preach.mp3" TargetMode="External"/><Relationship Id="rId3944" Type="http://schemas.openxmlformats.org/officeDocument/2006/relationships/hyperlink" Target="https://audio.iskcondesiretree.com/01_-_Srila_Prabhupada/01_-_Lectures/01_-_English/01_-_Topic_wise/Bhagavad_Gita/Chapter-07/SP_BG_07-05_Nairobi_1975-11-01_High_Energy-Low_Energy.mp3" TargetMode="External"/><Relationship Id="rId6143" Type="http://schemas.openxmlformats.org/officeDocument/2006/relationships/hyperlink" Target="https://audio.iskcondesiretree.com/01_-_Srila_Prabhupada/01_-_Lectures/01_-_English/01_-_Topic_wise/Stories/SP_Story_19_Illiterate_brahmana.mp3" TargetMode="External"/><Relationship Id="rId658" Type="http://schemas.openxmlformats.org/officeDocument/2006/relationships/hyperlink" Target="https://audio.iskcondesiretree.com/01_-_Srila_Prabhupada/01_-_Lectures/01_-_English/01_-_Topic_wise/Srimad_Bhagavatam/Canto-01/SP_SB_1-02-21_Los_Angeles_1972-08-24_In_This_Material_World_We--etc.mp3" TargetMode="External"/><Relationship Id="rId865" Type="http://schemas.openxmlformats.org/officeDocument/2006/relationships/hyperlink" Target="https://audio.iskcondesiretree.com/01_-_Srila_Prabhupada/01_-_Lectures/01_-_English/02_-_Month_wise/12_-_December/12/Bg_06-47_AHM_1972-12-12_Blockhead_to_Bhakta.mp3" TargetMode="External"/><Relationship Id="rId1288" Type="http://schemas.openxmlformats.org/officeDocument/2006/relationships/hyperlink" Target="https://audio.iskcondesiretree.com/01_-_Srila_Prabhupada/01_-_Lectures/01_-_English/01_-_Topic_wise/Various/SP_Lecture_Bombay_1973-09-25_To_Lifemembers--Goloka_Vrindavan_Is_Everywhere.mp3" TargetMode="External"/><Relationship Id="rId1495" Type="http://schemas.openxmlformats.org/officeDocument/2006/relationships/hyperlink" Target="https://audio.iskcondesiretree.com/01_-_Srila_Prabhupada/01_-_Lectures/01_-_English/02_-_Month_wise/01_-_January/07/Walk_1974-01-07_MW-LOS_ANGELES.MP3" TargetMode="External"/><Relationship Id="rId2339" Type="http://schemas.openxmlformats.org/officeDocument/2006/relationships/hyperlink" Target="https://audio.iskcondesiretree.com/01_-_Srila_Prabhupada/01_-_Lectures/01_-_English/02_-_Month_wise/08_-_August/10/SB_1-05-29_VRN_1974-08-10_Here_is_a_Disciple_of_Kali.mp3" TargetMode="External"/><Relationship Id="rId2546" Type="http://schemas.openxmlformats.org/officeDocument/2006/relationships/hyperlink" Target="https://audio.iskcondesiretree.com/01_-_Srila_Prabhupada/01_-_Lectures/01_-_English/01_-_Topic_wise/Srimad_Bhagavatam/Canto-03/SP_SB_3-25-23_Bombay_1974-11-23_Devotees_Don%27t_Feel_Suffering.mp3" TargetMode="External"/><Relationship Id="rId2753" Type="http://schemas.openxmlformats.org/officeDocument/2006/relationships/hyperlink" Target="https://audio.iskcondesiretree.com/01_-_Srila_Prabhupada/01_-_Lectures/01_-_English/01_-_Topic_wise/Morning_Walk/SP_Morning_Walk_-_Hawaii_1975-02-03_Must_All_Devotees_Live_in_Temple.mp3" TargetMode="External"/><Relationship Id="rId2960" Type="http://schemas.openxmlformats.org/officeDocument/2006/relationships/hyperlink" Target="https://audio.iskcondesiretree.com/01_-_Srila_Prabhupada/01_-_Lectures/01_-_English/01_-_Topic_wise/Room_Conversation/SP_Room_Conversation_Tehran_1975-03-14_Yoga_Student--The_Clear_Conception_of_God.mp3" TargetMode="External"/><Relationship Id="rId3804" Type="http://schemas.openxmlformats.org/officeDocument/2006/relationships/hyperlink" Target="https://audio.iskcondesiretree.com/01_-_Srila_Prabhupada/01_-_Lectures/01_-_English/02_-_Month_wise/10_-_October/02/PressConf_1975-10-02_PC-MAURITIUS.MP3" TargetMode="External"/><Relationship Id="rId6003" Type="http://schemas.openxmlformats.org/officeDocument/2006/relationships/hyperlink" Target="https://audio.iskcondesiretree.com/01_-_Srila_Prabhupada/01_-_Lectures/01_-_English/02_-_Month_wise/11_-_November/06/Conv_1977-11-06_R2-VRNDAVAN.MP3" TargetMode="External"/><Relationship Id="rId518" Type="http://schemas.openxmlformats.org/officeDocument/2006/relationships/hyperlink" Target="https://audio.iskcondesiretree.com/01_-_Srila_Prabhupada/01_-_Lectures/01_-_English/01_-_Topic_wise/Festivals/SP_Festivals_San_Francisco_1970-07-04_Gundica_Marjana.mp3" TargetMode="External"/><Relationship Id="rId725" Type="http://schemas.openxmlformats.org/officeDocument/2006/relationships/hyperlink" Target="https://audio.iskcondesiretree.com/01_-_Srila_Prabhupada/01_-_Lectures/01_-_English/02_-_Month_wise/10_-_October/06/Addr_LA_1972-10-06_The_Original_Person-Perfect_Knowledge.mp3" TargetMode="External"/><Relationship Id="rId932" Type="http://schemas.openxmlformats.org/officeDocument/2006/relationships/hyperlink" Target="https://audio.iskcondesiretree.com/01_-_Srila_Prabhupada/01_-_Lectures/01_-_English/02_-_Month_wise/04_-_April/05/Arr_NY_1973-04-05_This_Life_is_Not_Very_Congenial.mp3" TargetMode="External"/><Relationship Id="rId1148" Type="http://schemas.openxmlformats.org/officeDocument/2006/relationships/hyperlink" Target="https://audio.iskcondesiretree.com/01_-_Srila_Prabhupada/01_-_Lectures/01_-_English/01_-_Topic_wise/Bhagavad_Gita/Chapter-02/SP_BG_02-07_London_1973-08-07_You_Must_Approach_Krishna.mp3" TargetMode="External"/><Relationship Id="rId1355" Type="http://schemas.openxmlformats.org/officeDocument/2006/relationships/hyperlink" Target="https://audio.iskcondesiretree.com/01_-_Srila_Prabhupada/01_-_Lectures/01_-_English/01_-_Topic_wise/Srimad_Bhagavatam/Canto-02/SP_SB_2-01-05_Delhi_1973-11-08_Hearing_Your_Way_Clear.mp3" TargetMode="External"/><Relationship Id="rId1562" Type="http://schemas.openxmlformats.org/officeDocument/2006/relationships/hyperlink" Target="https://audio.iskcondesiretree.com/01_-_Srila_Prabhupada/01_-_Lectures/01_-_English/02_-_Month_wise/01_-_January/22/MW_HAW_1974-01-22_The_Greatest_Grandest_Father.mp3" TargetMode="External"/><Relationship Id="rId2406" Type="http://schemas.openxmlformats.org/officeDocument/2006/relationships/hyperlink" Target="https://audio.iskcondesiretree.com/01_-_Srila_Prabhupada/01_-_Lectures/01_-_English/01_-_Topic_wise/Srimad_Bhagavatam/Canto-01/SP_SB_1-08-23_Mayapur_1974-10-03_A_Slip_%27Twixt_the_Cup_and_Lip.mp3" TargetMode="External"/><Relationship Id="rId2613" Type="http://schemas.openxmlformats.org/officeDocument/2006/relationships/hyperlink" Target="https://audio.iskcondesiretree.com/01_-_Srila_Prabhupada/01_-_Lectures/01_-_English/02_-_Month_wise/12_-_December/15/SB-03-26-03_1974-12-15_SB-BOMBAY.MP3" TargetMode="External"/><Relationship Id="rId5769" Type="http://schemas.openxmlformats.org/officeDocument/2006/relationships/hyperlink" Target="https://audio.iskcondesiretree.com/01_-_Srila_Prabhupada/01_-_Lectures/01_-_English/02_-_Month_wise/03_-_March/26/Conv_1977-03-26_R3-BOMBAY.MP3" TargetMode="External"/><Relationship Id="rId1008" Type="http://schemas.openxmlformats.org/officeDocument/2006/relationships/hyperlink" Target="https://audio.iskcondesiretree.com/01_-_Srila_Prabhupada/01_-_Lectures/01_-_English/02_-_Month_wise/05_-_May/13/SB_1-08-51_LA_1973-05-13_Responsibilities_of_Fathers_etc.mp3" TargetMode="External"/><Relationship Id="rId1215" Type="http://schemas.openxmlformats.org/officeDocument/2006/relationships/hyperlink" Target="https://audio.iskcondesiretree.com/01_-_Srila_Prabhupada/01_-_Lectures/01_-_English/02_-_Month_wise/08_-_August/24/Bg_02-18_LON_1973-08-24_The_Soul_Will_Not_Be_Killed.mp3" TargetMode="External"/><Relationship Id="rId1422" Type="http://schemas.openxmlformats.org/officeDocument/2006/relationships/hyperlink" Target="https://audio.iskcondesiretree.com/01_-_Srila_Prabhupada/01_-_Lectures/01_-_English/02_-_Month_wise/12_-_December/13/Fest_LA_1973-12-13_Disappearance_Bhaktisiddhanta_Sarasvati.mp3" TargetMode="External"/><Relationship Id="rId2820" Type="http://schemas.openxmlformats.org/officeDocument/2006/relationships/hyperlink" Target="https://audio.iskcondesiretree.com/01_-_Srila_Prabhupada/01_-_Lectures/01_-_English/02_-_Month_wise/02_-_Feburary/19/RC_CAR_1975-02-19_Profs--A_Perfect_Master.mp3" TargetMode="External"/><Relationship Id="rId4578" Type="http://schemas.openxmlformats.org/officeDocument/2006/relationships/hyperlink" Target="https://audio.iskcondesiretree.com/01_-_Srila_Prabhupada/01_-_Lectures/01_-_English/01_-_Topic_wise/Srimad_Bhagavatam/Canto-06/SP_SB_6-01-07_Honolulu_1976-05-08_Why_Are_There_Varieties_of_Life.mp3" TargetMode="External"/><Relationship Id="rId5976" Type="http://schemas.openxmlformats.org/officeDocument/2006/relationships/hyperlink" Target="https://audio.iskcondesiretree.com/01_-_Srila_Prabhupada/01_-_Lectures/01_-_English/02_-_Month_wise/10_-_October/31/Conv_1977-10-31_R1-VRNDAVAN.MP3" TargetMode="External"/><Relationship Id="rId61" Type="http://schemas.openxmlformats.org/officeDocument/2006/relationships/hyperlink" Target="https://audio.iskcondesiretree.com/01_-_Srila_Prabhupada/01_-_Lectures/01_-_English/01_-_Topic_wise/Bhagavad_Gita/Chapter-04/SP_BG_04-20-24_New_York_1966-08-09_Varieties_of_Sacrifice.mp3" TargetMode="External"/><Relationship Id="rId3387" Type="http://schemas.openxmlformats.org/officeDocument/2006/relationships/hyperlink" Target="https://audio.iskcondesiretree.com/01_-_Srila_Prabhupada/01_-_Lectures/01_-_English/02_-_Month_wise/06_-_June/27/Departure_1975-06-27_DP-LOS%20ANGELES.MP3" TargetMode="External"/><Relationship Id="rId4785" Type="http://schemas.openxmlformats.org/officeDocument/2006/relationships/hyperlink" Target="https://audio.iskcondesiretree.com/01_-_Srila_Prabhupada/01_-_Lectures/01_-_English/02_-_Month_wise/06_-_June/19/Lecture_1976-06-19_LE-TORONTO.MP3" TargetMode="External"/><Relationship Id="rId4992" Type="http://schemas.openxmlformats.org/officeDocument/2006/relationships/hyperlink" Target="https://audio.iskcondesiretree.com/01_-_Srila_Prabhupada/01_-_Lectures/01_-_English/02_-_Month_wise/07_-_July/17/RC_NY_1976-07-17_Krishna-Supreme_or_Second-Best.mp3" TargetMode="External"/><Relationship Id="rId5629" Type="http://schemas.openxmlformats.org/officeDocument/2006/relationships/hyperlink" Target="https://audio.iskcondesiretree.com/01_-_Srila_Prabhupada/01_-_Lectures/01_-_English/02_-_Month_wise/01_-_January/24/Lect_BHU_1977-01-24_Unfortunates_Not_Attracted_to_the_etc.mp3" TargetMode="External"/><Relationship Id="rId5836" Type="http://schemas.openxmlformats.org/officeDocument/2006/relationships/hyperlink" Target="https://audio.iskcondesiretree.com/01_-_Srila_Prabhupada/01_-_Lectures/01_-_English/02_-_Month_wise/05_-_May/08/Conv_1977-05-08_R3-RISHIKESH.MP3" TargetMode="External"/><Relationship Id="rId2196" Type="http://schemas.openxmlformats.org/officeDocument/2006/relationships/hyperlink" Target="https://audio.iskcondesiretree.com/01_-_Srila_Prabhupada/01_-_Lectures/01_-_English/01_-_Topic_wise/Bhagavad_Gita/Chapter-03/SP_BG_03-27_Melbourne_1974-06-27_At_Town_Hall--Tiger_or--etc.mp3" TargetMode="External"/><Relationship Id="rId3594" Type="http://schemas.openxmlformats.org/officeDocument/2006/relationships/hyperlink" Target="https://audio.iskcondesiretree.com/01_-_Srila_Prabhupada/01_-_Lectures/01_-_English/02_-_Month_wise/07_-_July/26/SB_6-01-45_LB_1975-07-26_Why_Not_Eternal_Life.mp3" TargetMode="External"/><Relationship Id="rId4438" Type="http://schemas.openxmlformats.org/officeDocument/2006/relationships/hyperlink" Target="https://audio.iskcondesiretree.com/01_-_Srila_Prabhupada/01_-_Lectures/01_-_English/01_-_Topic_wise/Srimad_Bhagavatam/Canto-07/SP_SB_7-09-52_Vrindavan_1976-04-07_Nondevotees--Cruel_Cruel_Cruel.mp3" TargetMode="External"/><Relationship Id="rId4645" Type="http://schemas.openxmlformats.org/officeDocument/2006/relationships/hyperlink" Target="https://audio.iskcondesiretree.com/01_-_Srila_Prabhupada/01_-_Lectures/01_-_English/02_-_Month_wise/05_-_May/25/SB-06-01-25_1976-05-25_SB-HONOLULU.MP3" TargetMode="External"/><Relationship Id="rId4852" Type="http://schemas.openxmlformats.org/officeDocument/2006/relationships/hyperlink" Target="https://audio.iskcondesiretree.com/01_-_Srila_Prabhupada/01_-_Lectures/01_-_English/02_-_Month_wise/06_-_June/28/RC_NV_1976-06-28_Bhavans_Journal-3_Go_to_the_Real_Guru.mp3" TargetMode="External"/><Relationship Id="rId5903" Type="http://schemas.openxmlformats.org/officeDocument/2006/relationships/hyperlink" Target="https://audio.iskcondesiretree.com/01_-_Srila_Prabhupada/01_-_Lectures/01_-_English/02_-_Month_wise/07_-_July/02/DiscussionBhu-mandala_1977-07-02_DC-VRNDAVAN.MP3" TargetMode="External"/><Relationship Id="rId168" Type="http://schemas.openxmlformats.org/officeDocument/2006/relationships/hyperlink" Target="https://audio.iskcondesiretree.com/01_-_Srila_Prabhupada/01_-_Lectures/01_-_English/02_-_Month_wise/12_-_December/16/Bg_09-26_NY_1966-12-16_Do_Everything_As_An_Offering_to_Krsna.mp3" TargetMode="External"/><Relationship Id="rId3247" Type="http://schemas.openxmlformats.org/officeDocument/2006/relationships/hyperlink" Target="https://audio.iskcondesiretree.com/01_-_Srila_Prabhupada/01_-_Lectures/01_-_English/02_-_Month_wise/05_-_May/25/Lect_HON_1975-05-25_Become_a_Devotee-God_Will_Take_Special_Care.mp3" TargetMode="External"/><Relationship Id="rId3454" Type="http://schemas.openxmlformats.org/officeDocument/2006/relationships/hyperlink" Target="https://audio.iskcondesiretree.com/01_-_Srila_Prabhupada/01_-_Lectures/01_-_English/01_-_Topic_wise/Morning_Walk/SP_Morning_Walk_-_Chicago_1975-07-07.MP3" TargetMode="External"/><Relationship Id="rId3661" Type="http://schemas.openxmlformats.org/officeDocument/2006/relationships/hyperlink" Target="https://audio.iskcondesiretree.com/01_-_Srila_Prabhupada/01_-_Lectures/01_-_English/01_-_Topic_wise/Room_Conversation/SP_Room_Conversation_Paris_1975-08-12.MP3" TargetMode="External"/><Relationship Id="rId4505" Type="http://schemas.openxmlformats.org/officeDocument/2006/relationships/hyperlink" Target="https://audio.iskcondesiretree.com/01_-_Srila_Prabhupada/01_-_Lectures/01_-_English/02_-_Month_wise/04_-_April/20/Interview_1976-04-20_R2-MELBOURNE.MP3" TargetMode="External"/><Relationship Id="rId4712" Type="http://schemas.openxmlformats.org/officeDocument/2006/relationships/hyperlink" Target="https://audio.iskcondesiretree.com/01_-_Srila_Prabhupada/01_-_Lectures/01_-_English/02_-_Month_wise/06_-_June/08/SB_6-01-42_LA_1976-06-08_No_Fakir-Go_to_Guru.mp3" TargetMode="External"/><Relationship Id="rId375" Type="http://schemas.openxmlformats.org/officeDocument/2006/relationships/hyperlink" Target="https://audio.iskcondesiretree.com/01_-_Srila_Prabhupada/01_-_Lectures/01_-_English/01_-_Topic_wise/Bhagavad_Gita/Chapter-06/SP_BG_06-16-24_Los_Angeles_1969-02-17_Yoga_System--Keep_This_Useless_Body_Fit.mp3" TargetMode="External"/><Relationship Id="rId582" Type="http://schemas.openxmlformats.org/officeDocument/2006/relationships/hyperlink" Target="https://audio.iskcondesiretree.com/01_-_Srila_Prabhupada/01_-_Lectures/01_-_English/01_-_Topic_wise/Festivals/SP_Festivals_Los_Angeles_1972-05-27_Nrsimhadeva_Appearance--Divinity%2C--etc.mp3" TargetMode="External"/><Relationship Id="rId2056" Type="http://schemas.openxmlformats.org/officeDocument/2006/relationships/hyperlink" Target="https://audio.iskcondesiretree.com/01_-_Srila_Prabhupada/01_-_Lectures/01_-_English/02_-_Month_wise/06_-_June/05/Conv_1974-06-05_R1-GENEVA.MP3" TargetMode="External"/><Relationship Id="rId2263" Type="http://schemas.openxmlformats.org/officeDocument/2006/relationships/hyperlink" Target="https://audio.iskcondesiretree.com/01_-_Srila_Prabhupada/01_-_Lectures/01_-_English/01_-_Topic_wise/Srimad_Bhagavatam/Canto-01/SP_SB_1-16-21_Los_Angeles_1974-07-11_The_Cutthroat_Age--Women_and--etc.mp3" TargetMode="External"/><Relationship Id="rId2470" Type="http://schemas.openxmlformats.org/officeDocument/2006/relationships/hyperlink" Target="https://audio.iskcondesiretree.com/01_-_Srila_Prabhupada/01_-_Lectures/01_-_English/01_-_Topic_wise/Srimad_Bhagavatam/Canto-01/SP_SB_1-08-46_Mayapur_1974-10-26_Politics-Me_King_Others_Killed.mp3" TargetMode="External"/><Relationship Id="rId3107" Type="http://schemas.openxmlformats.org/officeDocument/2006/relationships/hyperlink" Target="https://audio.iskcondesiretree.com/01_-_Srila_Prabhupada/01_-_Lectures/01_-_English/02_-_Month_wise/04_-_April/14/Conv_1975-04-14_R1-HYDERABAD.MP3" TargetMode="External"/><Relationship Id="rId3314" Type="http://schemas.openxmlformats.org/officeDocument/2006/relationships/hyperlink" Target="https://audio.iskcondesiretree.com/01_-_Srila_Prabhupada/01_-_Lectures/01_-_English/01_-_Topic_wise/Srimad_Bhagavatam/Canto-06/SP_SB_6-01-17_Honolulu_1975-06-17_Happiness--Dance_With_Krishna.mp3" TargetMode="External"/><Relationship Id="rId3521" Type="http://schemas.openxmlformats.org/officeDocument/2006/relationships/hyperlink" Target="https://audio.iskcondesiretree.com/01_-_Srila_Prabhupada/01_-_Lectures/01_-_English/02_-_Month_wise/07_-_July/13/SB-06-01-28%E2%80%9329_1975-07-13_SB-PHILADELPHIA.MP3" TargetMode="External"/><Relationship Id="rId235" Type="http://schemas.openxmlformats.org/officeDocument/2006/relationships/hyperlink" Target="https://audio.iskcondesiretree.com/01_-_Srila_Prabhupada/01_-_Lectures/01_-_English/02_-_Month_wise/03_-_March/28/SB_1-03-01_SF_1968-03-28_God_Has_No_Body_Like_Ours.mp3" TargetMode="External"/><Relationship Id="rId442" Type="http://schemas.openxmlformats.org/officeDocument/2006/relationships/hyperlink" Target="https://audio.iskcondesiretree.com/01_-_Srila_Prabhupada/01_-_Lectures/01_-_English/01_-_Topic_wise/Srimad_Bhagavatam/Canto-01/SP_SB_1-05-11_New_Vrindavan_1969-06-10_Spiritual_Aesthetics_-_Swanlike_Men.mp3" TargetMode="External"/><Relationship Id="rId1072" Type="http://schemas.openxmlformats.org/officeDocument/2006/relationships/hyperlink" Target="https://audio.iskcondesiretree.com/01_-_Srila_Prabhupada/01_-_Lectures/01_-_English/01_-_Topic_wise/Bhagavad_Gita/Chapter-01/SP_BG_01-07_London_1973-07-11_Vaisnavism_Is_Not_Cowardism.mp3" TargetMode="External"/><Relationship Id="rId2123" Type="http://schemas.openxmlformats.org/officeDocument/2006/relationships/hyperlink" Target="https://audio.iskcondesiretree.com/01_-_Srila_Prabhupada/01_-_Lectures/01_-_English/02_-_Month_wise/06_-_June/13/Conv_1974-06-13_R2-PARIS.MP3" TargetMode="External"/><Relationship Id="rId2330" Type="http://schemas.openxmlformats.org/officeDocument/2006/relationships/hyperlink" Target="https://audio.iskcondesiretree.com/01_-_Srila_Prabhupada/01_-_Lectures/01_-_English/02_-_Month_wise/08_-_August/09/Bg-07-03_1974-08-09_BG-VRNDAVAN.MP3" TargetMode="External"/><Relationship Id="rId5279" Type="http://schemas.openxmlformats.org/officeDocument/2006/relationships/hyperlink" Target="https://audio.iskcondesiretree.com/01_-_Srila_Prabhupada/01_-_Lectures/01_-_English/02_-_Month_wise/09_-_September/29/RC_VRN_1976-09-29_Doctor-Fact_Faith_Foolishness.mp3" TargetMode="External"/><Relationship Id="rId5486" Type="http://schemas.openxmlformats.org/officeDocument/2006/relationships/hyperlink" Target="https://audio.iskcondesiretree.com/01_-_Srila_Prabhupada/01_-_Lectures/01_-_English/02_-_Month_wise/12_-_December/10/Fest_HYD_1976-12-10_Bhaktisiddhanta_Disappearance.mp3" TargetMode="External"/><Relationship Id="rId5693" Type="http://schemas.openxmlformats.org/officeDocument/2006/relationships/hyperlink" Target="https://audio.iskcondesiretree.com/01_-_Srila_Prabhupada/01_-_Lectures/01_-_English/02_-_Month_wise/02_-_Feburary/11/Conv_1977-02-11_R1-MAYAPUR.MP3" TargetMode="External"/><Relationship Id="rId302" Type="http://schemas.openxmlformats.org/officeDocument/2006/relationships/hyperlink" Target="https://audio.iskcondesiretree.com/01_-_Srila_Prabhupada/01_-_Lectures/01_-_English/01_-_Topic_wise/Bhagavad_Gita/Chapter-02/SP_BG_02-08-12_Los_Angeles_1968-11-27_Revive_Our_Relationship_with_Krishna.mp3" TargetMode="External"/><Relationship Id="rId4088" Type="http://schemas.openxmlformats.org/officeDocument/2006/relationships/hyperlink" Target="https://audio.iskcondesiretree.com/01_-_Srila_Prabhupada/01_-_Lectures/01_-_English/01_-_Topic_wise/Morning_Walk/SP_Morning_Walk_-_Delhi_1975-12-14_Happiness_Is_for_Intelligent.mp3" TargetMode="External"/><Relationship Id="rId4295" Type="http://schemas.openxmlformats.org/officeDocument/2006/relationships/hyperlink" Target="https://audio.iskcondesiretree.com/01_-_Srila_Prabhupada/01_-_Lectures/01_-_English/02_-_Month_wise/02_-_Feburary/28/SB-07-09-21_1976-02-28_SB-MAYAPUR.MP3" TargetMode="External"/><Relationship Id="rId5139" Type="http://schemas.openxmlformats.org/officeDocument/2006/relationships/hyperlink" Target="https://audio.iskcondesiretree.com/01_-_Srila_Prabhupada/01_-_Lectures/01_-_English/02_-_Month_wise/08_-_August/20/Conv_1976-08-20_R1-HYDERABAD.MP3" TargetMode="External"/><Relationship Id="rId5346" Type="http://schemas.openxmlformats.org/officeDocument/2006/relationships/hyperlink" Target="https://audio.iskcondesiretree.com/01_-_Srila_Prabhupada/01_-_Lectures/01_-_English/02_-_Month_wise/10_-_October/25/SB-05-05-03_1976-10-25_SB-VRNDAVAN.MP3" TargetMode="External"/><Relationship Id="rId5553" Type="http://schemas.openxmlformats.org/officeDocument/2006/relationships/hyperlink" Target="https://audio.iskcondesiretree.com/01_-_Srila_Prabhupada/01_-_Lectures/01_-_English/02_-_Month_wise/01_-_January/02/Walk_1977-01-02_MW-BOMBAY.MP3" TargetMode="External"/><Relationship Id="rId1889" Type="http://schemas.openxmlformats.org/officeDocument/2006/relationships/hyperlink" Target="https://audio.iskcondesiretree.com/01_-_Srila_Prabhupada/01_-_Lectures/01_-_English/01_-_Topic_wise/Srimad_Bhagavatam/Canto-01/SP_SB_1-02-06_Hyderabad_1974-04-18_Bhakti_Is_Not_a_Business.mp3" TargetMode="External"/><Relationship Id="rId4155" Type="http://schemas.openxmlformats.org/officeDocument/2006/relationships/hyperlink" Target="https://audio.iskcondesiretree.com/01_-_Srila_Prabhupada/01_-_Lectures/01_-_English/01_-_Topic_wise/Morning_Walk/SP_Morning_Walk_-_Nellore_1976-01-04_Caitanya_Mahaprabhu_Left_the--etc.mp3" TargetMode="External"/><Relationship Id="rId4362" Type="http://schemas.openxmlformats.org/officeDocument/2006/relationships/hyperlink" Target="https://audio.iskcondesiretree.com/01_-_Srila_Prabhupada/01_-_Lectures/01_-_English/02_-_Month_wise/03_-_March/15/Walk_1976-03-15_MW-MAYAPUR.MP3" TargetMode="External"/><Relationship Id="rId5206" Type="http://schemas.openxmlformats.org/officeDocument/2006/relationships/hyperlink" Target="https://audio.iskcondesiretree.com/01_-_Srila_Prabhupada/01_-_Lectures/01_-_English/01_-_Topic_wise/Srimad_Bhagavatam/Canto-01/SP_SB_1-07-10_Vrindavan_1976-09-09_Read_These_Books.mp3" TargetMode="External"/><Relationship Id="rId5760" Type="http://schemas.openxmlformats.org/officeDocument/2006/relationships/hyperlink" Target="https://audio.iskcondesiretree.com/01_-_Srila_Prabhupada/01_-_Lectures/01_-_English/01_-_Topic_wise/Various/SP_Lecture_Bombay_1977-03-24_Krishna%27s_Yoga_System_-_Not_New.mp3" TargetMode="External"/><Relationship Id="rId1749" Type="http://schemas.openxmlformats.org/officeDocument/2006/relationships/hyperlink" Target="https://audio.iskcondesiretree.com/01_-_Srila_Prabhupada/01_-_Lectures/01_-_English/01_-_Topic_wise/Bhagavad_Gita/Chapter-04/SP_BG_04-04_Bombay_1974-03-24_Why_We_Forget_and_God_Doesn%27t.mp3" TargetMode="External"/><Relationship Id="rId1956" Type="http://schemas.openxmlformats.org/officeDocument/2006/relationships/hyperlink" Target="https://audio.iskcondesiretree.com/01_-_Srila_Prabhupada/01_-_Lectures/01_-_English/02_-_Month_wise/05_-_May/05/NrsimhaDeva_Appearance_1974-05-05_NA-BOMBAY.MP3" TargetMode="External"/><Relationship Id="rId3171" Type="http://schemas.openxmlformats.org/officeDocument/2006/relationships/hyperlink" Target="https://audio.iskcondesiretree.com/01_-_Srila_Prabhupada/01_-_Lectures/01_-_English/01_-_Topic_wise/Room_Conversation/SP_Room_Conversation_02_Perth_1975-05-13.MP3" TargetMode="External"/><Relationship Id="rId4015" Type="http://schemas.openxmlformats.org/officeDocument/2006/relationships/hyperlink" Target="https://audio.iskcondesiretree.com/01_-_Srila_Prabhupada/01_-_Lectures/01_-_English/02_-_Month_wise/11_-_November/20/Walk_1975-11-20_MW-BOMBAY.MP3" TargetMode="External"/><Relationship Id="rId5413" Type="http://schemas.openxmlformats.org/officeDocument/2006/relationships/hyperlink" Target="https://audio.iskcondesiretree.com/01_-_Srila_Prabhupada/01_-_Lectures/01_-_English/01_-_Topic_wise/Srimad_Bhagavatam/Canto-05/SP_SB_5-05-26_Vrindavan_1976-11-13_Krishna_Is_Within_the_Atom.mp3" TargetMode="External"/><Relationship Id="rId5620" Type="http://schemas.openxmlformats.org/officeDocument/2006/relationships/hyperlink" Target="https://audio.iskcondesiretree.com/01_-_Srila_Prabhupada/01_-_Lectures/01_-_English/02_-_Month_wise/01_-_January/23/Conv_1977-01-23_R1-BHUBANESWAR.MP3" TargetMode="External"/><Relationship Id="rId1609" Type="http://schemas.openxmlformats.org/officeDocument/2006/relationships/hyperlink" Target="https://audio.iskcondesiretree.com/01_-_Srila_Prabhupada/01_-_Lectures/01_-_English/02_-_Month_wise/02_-_Feburary/12/Bg-04-04_1974-02-12_BG-VRNDAVAN.MP3" TargetMode="External"/><Relationship Id="rId1816" Type="http://schemas.openxmlformats.org/officeDocument/2006/relationships/hyperlink" Target="https://audio.iskcondesiretree.com/01_-_Srila_Prabhupada/01_-_Lectures/01_-_English/02_-_Month_wise/04_-_April/03/Walk_1974-04-03_MW-BOMBAY.MP3" TargetMode="External"/><Relationship Id="rId4222" Type="http://schemas.openxmlformats.org/officeDocument/2006/relationships/hyperlink" Target="https://audio.iskcondesiretree.com/01_-_Srila_Prabhupada/01_-_Lectures/01_-_English/02_-_Month_wise/02_-_Feburary/09/Walk_1976-02-09_MW-MAYAPUR.MP3" TargetMode="External"/><Relationship Id="rId3031" Type="http://schemas.openxmlformats.org/officeDocument/2006/relationships/hyperlink" Target="https://audio.iskcondesiretree.com/01_-_Srila_Prabhupada/01_-_Lectures/01_-_English/01_-_Topic_wise/Morning_Walk/SP_Morning_Walk_-_Mayapur_1975-04-02_Very_Expert_in_Misinterpreting.mp3" TargetMode="External"/><Relationship Id="rId3988" Type="http://schemas.openxmlformats.org/officeDocument/2006/relationships/hyperlink" Target="https://audio.iskcondesiretree.com/01_-_Srila_Prabhupada/01_-_Lectures/01_-_English/02_-_Month_wise/11_-_November/14/SB-05-05-01%E2%80%93Hindi_1975-11-14_SB-BOMBAY.MP3" TargetMode="External"/><Relationship Id="rId6187" Type="http://schemas.openxmlformats.org/officeDocument/2006/relationships/hyperlink" Target="https://audio.iskcondesiretree.com/01_-_Srila_Prabhupada/01_-_Lectures/03_-_Hindi/SP_Hindi_15_Lectures_%26_Conversations.mp3" TargetMode="External"/><Relationship Id="rId2797" Type="http://schemas.openxmlformats.org/officeDocument/2006/relationships/hyperlink" Target="https://audio.iskcondesiretree.com/01_-_Srila_Prabhupada/01_-_Lectures/01_-_English/02_-_Month_wise/02_-_Feburary/13/RC_MEX_1975-02-13_Sanskrit_Prof--Why_Is_There_Anything.mp3" TargetMode="External"/><Relationship Id="rId3848" Type="http://schemas.openxmlformats.org/officeDocument/2006/relationships/hyperlink" Target="https://audio.iskcondesiretree.com/01_-_Srila_Prabhupada/01_-_Lectures/01_-_English/02_-_Month_wise/10_-_October/11/Bg-18-45_1975-10-11_BG-DURBAN.MP3" TargetMode="External"/><Relationship Id="rId6047" Type="http://schemas.openxmlformats.org/officeDocument/2006/relationships/hyperlink" Target="https://audio.iskcondesiretree.com/01_-_Srila_Prabhupada/01_-_Lectures/01_-_English/01_-_Topic_wise/Happening/03-AC_Bhaktivedanta_Swami_-_Chant_to_the_Mercy_of_the_Spiritual_Master.mp3" TargetMode="External"/><Relationship Id="rId769" Type="http://schemas.openxmlformats.org/officeDocument/2006/relationships/hyperlink" Target="https://audio.iskcondesiretree.com/01_-_Srila_Prabhupada/01_-_Lectures/01_-_English/01_-_Topic_wise/Srimad_Bhagavatam/Canto-01/SP_SB_1-02-21_Vrindavan_1972-11-01_Untying_the_Knot_Between--etc.mp3" TargetMode="External"/><Relationship Id="rId976" Type="http://schemas.openxmlformats.org/officeDocument/2006/relationships/hyperlink" Target="https://audio.iskcondesiretree.com/01_-_Srila_Prabhupada/01_-_Lectures/01_-_English/02_-_Month_wise/04_-_April/28/SB_1-08-36_LA_1973-04-28_Just_Go_On_Hearing_About_Krishna.mp3" TargetMode="External"/><Relationship Id="rId1399" Type="http://schemas.openxmlformats.org/officeDocument/2006/relationships/hyperlink" Target="https://audio.iskcondesiretree.com/01_-_Srila_Prabhupada/01_-_Lectures/01_-_English/01_-_Topic_wise/Srimad_Bhagavatam/Canto-01/SP_SB_1-15-28_Los_Angeles_1973-12-06_Who_to_Meditate_On.mp3" TargetMode="External"/><Relationship Id="rId2657" Type="http://schemas.openxmlformats.org/officeDocument/2006/relationships/hyperlink" Target="https://audio.iskcondesiretree.com/01_-_Srila_Prabhupada/01_-_Lectures/01_-_English/01_-_Topic_wise/Srimad_Bhagavatam/Canto-03/SP_SB_3-26-21_Bombay_1974-12-30_The_Only_Way_to_Peace_of_Mind.mp3" TargetMode="External"/><Relationship Id="rId5063" Type="http://schemas.openxmlformats.org/officeDocument/2006/relationships/hyperlink" Target="https://audio.iskcondesiretree.com/01_-_Srila_Prabhupada/01_-_Lectures/01_-_English/02_-_Month_wise/04_-_April/Conv_1976-08-04_R1-NEW%20MAYAPUR.MP3" TargetMode="External"/><Relationship Id="rId5270" Type="http://schemas.openxmlformats.org/officeDocument/2006/relationships/hyperlink" Target="https://audio.iskcondesiretree.com/01_-_Srila_Prabhupada/01_-_Lectures/01_-_English/02_-_Month_wise/09_-_September/27/SB-01-07-32%E2%80%9333_1976-09-27_SB-VRNDAVAN.MP3" TargetMode="External"/><Relationship Id="rId6114" Type="http://schemas.openxmlformats.org/officeDocument/2006/relationships/hyperlink" Target="https://audio.iskcondesiretree.com/01_-_Srila_Prabhupada/01_-_Lectures/01_-_English/01_-_Topic_wise/Krishna_Book/SP_Krsna_Book_Dict_80_-_The_Meeting_of_Krishna_with_Sudama.mp3" TargetMode="External"/><Relationship Id="rId629" Type="http://schemas.openxmlformats.org/officeDocument/2006/relationships/hyperlink" Target="https://audio.iskcondesiretree.com/01_-_Srila_Prabhupada/01_-_Lectures/01_-_English/02_-_Month_wise/06_-_June/29/RC_SD_1972-06-29_Wherever_You_Go_Your_Fortune_or_etc.mp3" TargetMode="External"/><Relationship Id="rId1259" Type="http://schemas.openxmlformats.org/officeDocument/2006/relationships/hyperlink" Target="https://audio.iskcondesiretree.com/01_-_Srila_Prabhupada/01_-_Lectures/01_-_English/01_-_Topic_wise/Srimad_Bhagavatam/Canto-05/SP_SB_5-05-01_Stockholm_1973-09-07_Horrible_Civilization-Going_to_Hell.mp3" TargetMode="External"/><Relationship Id="rId1466" Type="http://schemas.openxmlformats.org/officeDocument/2006/relationships/hyperlink" Target="https://audio.iskcondesiretree.com/01_-_Srila_Prabhupada/01_-_Lectures/01_-_English/02_-_Month_wise/12_-_December/30/SB_1-16-02_LA_1973-12-30_Brahmanas_Slip-Kali-yuga_Starts.mp3" TargetMode="External"/><Relationship Id="rId2864" Type="http://schemas.openxmlformats.org/officeDocument/2006/relationships/hyperlink" Target="https://audio.iskcondesiretree.com/01_-_Srila_Prabhupada/01_-_Lectures/01_-_English/01_-_Topic_wise/Room_Conversation/SP_Room_Conversation_Atlanta_1975-02-28_Svarupa_Damodar--Research_Means_Rascal.mp3" TargetMode="External"/><Relationship Id="rId3708" Type="http://schemas.openxmlformats.org/officeDocument/2006/relationships/hyperlink" Target="https://audio.iskcondesiretree.com/01_-_Srila_Prabhupada/01_-_Lectures/01_-_English/02_-_Month_wise/09_-_September/01/SB_6-01-64_VRN_1975-09-01_Above_Material_Nature.mp3" TargetMode="External"/><Relationship Id="rId3915" Type="http://schemas.openxmlformats.org/officeDocument/2006/relationships/hyperlink" Target="https://audio.iskcondesiretree.com/01_-_Srila_Prabhupada/01_-_Lectures/01_-_English/02_-_Month_wise/10_-_October/26/Walk_1975-10-26_MW-MAURITIUS.MP3" TargetMode="External"/><Relationship Id="rId5130" Type="http://schemas.openxmlformats.org/officeDocument/2006/relationships/hyperlink" Target="https://audio.iskcondesiretree.com/01_-_Srila_Prabhupada/01_-_Lectures/01_-_English/02_-_Month_wise/08_-_August/17/Interview_1976-08-17_IV-HYDERABAD.MP3" TargetMode="External"/><Relationship Id="rId836" Type="http://schemas.openxmlformats.org/officeDocument/2006/relationships/hyperlink" Target="https://audio.iskcondesiretree.com/01_-_Srila_Prabhupada/01_-_Lectures/01_-_English/01_-_Topic_wise/Bhagavad_Gita/Chapter-02/SP_BG_02-20_Hyderabad_1972-11-25_Birth_and_Death_Caused_by_Maya.mp3" TargetMode="External"/><Relationship Id="rId1119" Type="http://schemas.openxmlformats.org/officeDocument/2006/relationships/hyperlink" Target="https://audio.iskcondesiretree.com/01_-_Srila_Prabhupada/01_-_Lectures/01_-_English/02_-_Month_wise/07_-_July/24/RC_LON_1973-07-24_Reporter-Violent_Nonviolence.mp3" TargetMode="External"/><Relationship Id="rId1673" Type="http://schemas.openxmlformats.org/officeDocument/2006/relationships/hyperlink" Target="https://audio.iskcondesiretree.com/01_-_Srila_Prabhupada/01_-_Lectures/01_-_English/02_-_Month_wise/03_-_March/03/Walk_1974-03-03_MW-MAYAPUR.MP3" TargetMode="External"/><Relationship Id="rId1880" Type="http://schemas.openxmlformats.org/officeDocument/2006/relationships/hyperlink" Target="https://audio.iskcondesiretree.com/01_-_Srila_Prabhupada/01_-_Lectures/01_-_English/02_-_Month_wise/04_-_April/16/Bg_04-27_BOM_1974-04-16_Learning_to_Satisfy_the_Right_Senses.mp3" TargetMode="External"/><Relationship Id="rId2517" Type="http://schemas.openxmlformats.org/officeDocument/2006/relationships/hyperlink" Target="https://audio.iskcondesiretree.com/01_-_Srila_Prabhupada/01_-_Lectures/01_-_English/02_-_Month_wise/11_-_November/13/SB_3-25-13_BOM_1974-11-13_Above_Happiness_and_Distress.mp3" TargetMode="External"/><Relationship Id="rId2724" Type="http://schemas.openxmlformats.org/officeDocument/2006/relationships/hyperlink" Target="https://audio.iskcondesiretree.com/01_-_Srila_Prabhupada/01_-_Lectures/01_-_English/02_-_Month_wise/01_-_January/23/Bg_16-07_BOM_1975-01-23_Cornerstone_for_Godly_Civilization.mp3" TargetMode="External"/><Relationship Id="rId2931" Type="http://schemas.openxmlformats.org/officeDocument/2006/relationships/hyperlink" Target="https://audio.iskcondesiretree.com/01_-_Srila_Prabhupada/01_-_Lectures/01_-_English/02_-_Month_wise/03_-_March/09/Bg_07-01_LON_1975-03-09_Attachment_to_the_Supreme.mp3" TargetMode="External"/><Relationship Id="rId903" Type="http://schemas.openxmlformats.org/officeDocument/2006/relationships/hyperlink" Target="https://audio.iskcondesiretree.com/01_-_Srila_Prabhupada/01_-_Lectures/01_-_English/02_-_Month_wise/01_-_January/25/NOD_Lect_CAL_1973-01-25_Remember_Krsna--and_Never_Forget_Him.mp3" TargetMode="External"/><Relationship Id="rId1326" Type="http://schemas.openxmlformats.org/officeDocument/2006/relationships/hyperlink" Target="https://audio.iskcondesiretree.com/01_-_Srila_Prabhupada/01_-_Lectures/01_-_English/02_-_Month_wise/10_-_October/18/Lect_BOM_1973-10-18_At_Bharati_Vidya_Bhavan.mp3" TargetMode="External"/><Relationship Id="rId1533" Type="http://schemas.openxmlformats.org/officeDocument/2006/relationships/hyperlink" Target="https://audio.iskcondesiretree.com/01_-_Srila_Prabhupada/01_-_Lectures/01_-_English/02_-_Month_wise/01_-_January/16/SB-01-16-20_1974-01-16_SB-HONOLULU.MP3" TargetMode="External"/><Relationship Id="rId1740" Type="http://schemas.openxmlformats.org/officeDocument/2006/relationships/hyperlink" Target="https://audio.iskcondesiretree.com/01_-_Srila_Prabhupada/01_-_Lectures/01_-_English/01_-_Topic_wise/Bhagavad_Gita/Chapter-04/SP_BG_04-02_Bombay_1974-03-22_Government%27s_Choice-Krishna--etc.mp3" TargetMode="External"/><Relationship Id="rId4689" Type="http://schemas.openxmlformats.org/officeDocument/2006/relationships/hyperlink" Target="https://audio.iskcondesiretree.com/01_-_Srila_Prabhupada/01_-_Lectures/01_-_English/02_-_Month_wise/06_-_June/04/Walk_1976-06-04_MW-LOS%20ANGELES.MP3" TargetMode="External"/><Relationship Id="rId4896" Type="http://schemas.openxmlformats.org/officeDocument/2006/relationships/hyperlink" Target="https://audio.iskcondesiretree.com/01_-_Srila_Prabhupada/01_-_Lectures/01_-_English/02_-_Month_wise/07_-_July/05/Conv_1976-07-05_R1-WASHINGTON%20DC.MP3" TargetMode="External"/><Relationship Id="rId5947" Type="http://schemas.openxmlformats.org/officeDocument/2006/relationships/hyperlink" Target="https://audio.iskcondesiretree.com/01_-_Srila_Prabhupada/01_-_Lectures/01_-_English/02_-_Month_wise/10_-_October/14/Conv_1977-10-14_R3-VRNDAVAN.MP3" TargetMode="External"/><Relationship Id="rId32" Type="http://schemas.openxmlformats.org/officeDocument/2006/relationships/hyperlink" Target="https://audio.iskcondesiretree.com/01_-_Srila_Prabhupada/01_-_Lectures/01_-_English/01_-_Topic_wise/Bhagavad_Gita/Chapter-02/SP_BG_02-58_New_York_1966-04-27_The_Secret_of_Detachment.mp3" TargetMode="External"/><Relationship Id="rId1600" Type="http://schemas.openxmlformats.org/officeDocument/2006/relationships/hyperlink" Target="https://audio.iskcondesiretree.com/01_-_Srila_Prabhupada/01_-_Lectures/01_-_English/02_-_Month_wise/02_-_Feburary/09/Conv_1974-02-09_R1-VRNDAVAN.MP3" TargetMode="External"/><Relationship Id="rId3498" Type="http://schemas.openxmlformats.org/officeDocument/2006/relationships/hyperlink" Target="https://audio.iskcondesiretree.com/01_-_Srila_Prabhupada/01_-_Lectures/01_-_English/02_-_Month_wise/07_-_July/11/SB_6-01-26_CHI_1975-07-11_An_Ass%27s_Affection.mp3" TargetMode="External"/><Relationship Id="rId4549" Type="http://schemas.openxmlformats.org/officeDocument/2006/relationships/hyperlink" Target="https://audio.iskcondesiretree.com/01_-_Srila_Prabhupada/01_-_Lectures/01_-_English/02_-_Month_wise/04_-_April/27/PressConf_1976-04-27_PC-AUCKLAND.MP3" TargetMode="External"/><Relationship Id="rId4756" Type="http://schemas.openxmlformats.org/officeDocument/2006/relationships/hyperlink" Target="https://audio.iskcondesiretree.com/01_-_Srila_Prabhupada/01_-_Lectures/01_-_English/02_-_Month_wise/06_-_June/15/Initiations_1976-06-15_IN-DETROIT.MP3" TargetMode="External"/><Relationship Id="rId4963" Type="http://schemas.openxmlformats.org/officeDocument/2006/relationships/hyperlink" Target="https://audio.iskcondesiretree.com/01_-_Srila_Prabhupada/01_-_Lectures/01_-_English/02_-_Month_wise/07_-_July/13/CcMadhya-20-107_1976-07-13_CC-NEW%20YORK.MP3" TargetMode="External"/><Relationship Id="rId5807" Type="http://schemas.openxmlformats.org/officeDocument/2006/relationships/hyperlink" Target="https://audio.iskcondesiretree.com/01_-_Srila_Prabhupada/01_-_Lectures/01_-_English/02_-_Month_wise/04_-_April/18/Conv_1977-04-18_R1-BOMBAY.MP3" TargetMode="External"/><Relationship Id="rId3358" Type="http://schemas.openxmlformats.org/officeDocument/2006/relationships/hyperlink" Target="https://audio.iskcondesiretree.com/01_-_Srila_Prabhupada/01_-_Lectures/01_-_English/01_-_Topic_wise/Morning_Walk/SP_Morning_Walk_-_Los_Angeles_1975-06-24.MP3" TargetMode="External"/><Relationship Id="rId3565" Type="http://schemas.openxmlformats.org/officeDocument/2006/relationships/hyperlink" Target="https://audio.iskcondesiretree.com/01_-_Srila_Prabhupada/01_-_Lectures/01_-_English/01_-_Topic_wise/Room_Conversation/SP_Room_Conversation_01_San_Francisco_1975-07-21.MP3" TargetMode="External"/><Relationship Id="rId3772" Type="http://schemas.openxmlformats.org/officeDocument/2006/relationships/hyperlink" Target="https://audio.iskcondesiretree.com/01_-_Srila_Prabhupada/01_-_Lectures/01_-_English/02_-_Month_wise/09_-_September/18/SB_6-02-15_VRN_1975-09-18_The_Glories_of_the_Holy_Name.mp3" TargetMode="External"/><Relationship Id="rId4409" Type="http://schemas.openxmlformats.org/officeDocument/2006/relationships/hyperlink" Target="https://audio.iskcondesiretree.com/01_-_Srila_Prabhupada/01_-_Lectures/01_-_English/01_-_Topic_wise/Morning_Walk/SP_Morning_Walk_-_Delhi_1976-03-26_Impious_and_Pious_are_the_Same.mp3" TargetMode="External"/><Relationship Id="rId4616" Type="http://schemas.openxmlformats.org/officeDocument/2006/relationships/hyperlink" Target="https://audio.iskcondesiretree.com/01_-_Srila_Prabhupada/01_-_Lectures/01_-_English/01_-_Topic_wise/Srimad_Bhagavatam/Canto-06/SP_SB_6-01-18_Honolulu_1976-05-18_Everything_Here_Is_Punishment.mp3" TargetMode="External"/><Relationship Id="rId4823" Type="http://schemas.openxmlformats.org/officeDocument/2006/relationships/hyperlink" Target="https://audio.iskcondesiretree.com/01_-_Srila_Prabhupada/01_-_Lectures/01_-_English/02_-_Month_wise/06_-_June/25/Conv_1976-06-25_MW-NEW%20VRINDAVAN.MP3" TargetMode="External"/><Relationship Id="rId279" Type="http://schemas.openxmlformats.org/officeDocument/2006/relationships/hyperlink" Target="https://audio.iskcondesiretree.com/01_-_Srila_Prabhupada/01_-_Lectures/01_-_English/01_-_Topic_wise/Various/SP_Lecture_Seattle_1968-10-20_Initiation--On_the_Maha-Mantra.mp3" TargetMode="External"/><Relationship Id="rId486" Type="http://schemas.openxmlformats.org/officeDocument/2006/relationships/hyperlink" Target="https://audio.iskcondesiretree.com/01_-_Srila_Prabhupada/01_-_Lectures/01_-_English/01_-_Topic_wise/Srimad_Bhagavatam/Canto-02/SP_SB_2-01-01_Boston_1969-12-22_Self-Realized_vs._Body-Realized.mp3" TargetMode="External"/><Relationship Id="rId693" Type="http://schemas.openxmlformats.org/officeDocument/2006/relationships/hyperlink" Target="https://audio.iskcondesiretree.com/01_-_Srila_Prabhupada/01_-_Lectures/01_-_English/02_-_Month_wise/09_-_September/20/SB_1-03-15_LA_1972-09-20_Don%27t_Be_Carried_Away_by_Maya.mp3" TargetMode="External"/><Relationship Id="rId2167" Type="http://schemas.openxmlformats.org/officeDocument/2006/relationships/hyperlink" Target="https://audio.iskcondesiretree.com/01_-_Srila_Prabhupada/01_-_Lectures/01_-_English/02_-_Month_wise/06_-_June/19/Walk_1974-06-19_MW-GERMANY.MP3" TargetMode="External"/><Relationship Id="rId2374" Type="http://schemas.openxmlformats.org/officeDocument/2006/relationships/hyperlink" Target="https://audio.iskcondesiretree.com/01_-_Srila_Prabhupada/01_-_Lectures/01_-_English/02_-_Month_wise/09_-_September/10/Conv_1974-09-10_GC-VRNDAVAN.MP3" TargetMode="External"/><Relationship Id="rId2581" Type="http://schemas.openxmlformats.org/officeDocument/2006/relationships/hyperlink" Target="https://audio.iskcondesiretree.com/01_-_Srila_Prabhupada/01_-_Lectures/01_-_English/02_-_Month_wise/12_-_December/04/SB_3-25-35_BOM_1974-12-04_Eager_to_Talk_with_Krishna.mp3" TargetMode="External"/><Relationship Id="rId3218" Type="http://schemas.openxmlformats.org/officeDocument/2006/relationships/hyperlink" Target="https://audio.iskcondesiretree.com/01_-_Srila_Prabhupada/01_-_Lectures/01_-_English/01_-_Topic_wise/Srimad_Bhagavatam/Canto-06/SP_SB_6-01-01_Melbourne_1975-05-21_Serve_the_Divine_or_Designations.mp3" TargetMode="External"/><Relationship Id="rId3425" Type="http://schemas.openxmlformats.org/officeDocument/2006/relationships/hyperlink" Target="https://audio.iskcondesiretree.com/01_-_Srila_Prabhupada/01_-_Lectures/01_-_English/02_-_Month_wise/07_-_July/03/MW_DEN_1975-07-03_Sometimes_This_Material_World_Is_etc.mp3" TargetMode="External"/><Relationship Id="rId3632" Type="http://schemas.openxmlformats.org/officeDocument/2006/relationships/hyperlink" Target="https://audio.iskcondesiretree.com/01_-_Srila_Prabhupada/01_-_Lectures/01_-_English/02_-_Month_wise/08_-_August/03/Conv_1975-08-03_CC-DETROIT.MP3" TargetMode="External"/><Relationship Id="rId139" Type="http://schemas.openxmlformats.org/officeDocument/2006/relationships/hyperlink" Target="https://audio.iskcondesiretree.com/01_-_Srila_Prabhupada/01_-_Lectures/01_-_English/01_-_Topic_wise/Chaitanya_Charitamrita/Madhya_Lila/SP_CC_M_20-144_New_York_1966-12-01_Central_Point_of_Attraction_is_Krsna.mp3" TargetMode="External"/><Relationship Id="rId346" Type="http://schemas.openxmlformats.org/officeDocument/2006/relationships/hyperlink" Target="https://audio.iskcondesiretree.com/01_-_Srila_Prabhupada/01_-_Lectures/01_-_English/02_-_Month_wise/01_-_January/01/BG_03-31_LA_1969-01-01_Servant_of_God_or_Dog.mp3" TargetMode="External"/><Relationship Id="rId553" Type="http://schemas.openxmlformats.org/officeDocument/2006/relationships/hyperlink" Target="https://audio.iskcondesiretree.com/01_-_Srila_Prabhupada/01_-_Lectures/01_-_English/02_-_Month_wise/07_-_July/29/Arr_GAI_1971-07-29_Everyone_Has_Got_Love_For_Krishna.mp3" TargetMode="External"/><Relationship Id="rId760" Type="http://schemas.openxmlformats.org/officeDocument/2006/relationships/hyperlink" Target="https://audio.iskcondesiretree.com/01_-_Srila_Prabhupada/01_-_Lectures/01_-_English/01_-_Topic_wise/Nectar_Of_Devotion/SP_NOD_07_Vrindavan_1972-10-30_-_The_Complete_Science_of_Bhakti_Yoga.mp3" TargetMode="External"/><Relationship Id="rId1183" Type="http://schemas.openxmlformats.org/officeDocument/2006/relationships/hyperlink" Target="https://audio.iskcondesiretree.com/01_-_Srila_Prabhupada/01_-_Lectures/01_-_English/02_-_Month_wise/08_-_August/15/Bg_02-09_LON_1973-08-15_Satisfying_the_Senses_and_the_Heart.mp3" TargetMode="External"/><Relationship Id="rId1390" Type="http://schemas.openxmlformats.org/officeDocument/2006/relationships/hyperlink" Target="https://audio.iskcondesiretree.com/01_-_Srila_Prabhupada/01_-_Lectures/01_-_English/02_-_Month_wise/12_-_December/04/SB_1-15-25_LA_1973-12-04_Varnasrama-Overhauling_Hell.mp3" TargetMode="External"/><Relationship Id="rId2027" Type="http://schemas.openxmlformats.org/officeDocument/2006/relationships/hyperlink" Target="https://audio.iskcondesiretree.com/01_-_Srila_Prabhupada/01_-_Lectures/01_-_English/01_-_Topic_wise/Srimad_Bhagavatam/Canto-01/SP_SB_1-13-10_Geneva_1974-06-01_Make_Your_Heart_a_Place_of_Pilgrimage.mp3" TargetMode="External"/><Relationship Id="rId2234" Type="http://schemas.openxmlformats.org/officeDocument/2006/relationships/hyperlink" Target="https://audio.iskcondesiretree.com/01_-_Srila_Prabhupada/01_-_Lectures/01_-_English/01_-_Topic_wise/Room_Conversation/SP_Room_Conversation_Melbourne_1974-07-02_World_Wars_I_and_II--Caused_by--etc.mp3" TargetMode="External"/><Relationship Id="rId2441" Type="http://schemas.openxmlformats.org/officeDocument/2006/relationships/hyperlink" Target="https://audio.iskcondesiretree.com/01_-_Srila_Prabhupada/01_-_Lectures/01_-_English/01_-_Topic_wise/Srimad_Bhagavatam/Canto-01/SP_SB_1-08-35_Mayapur_1974-10-15_Rascal_Surrender.mp3" TargetMode="External"/><Relationship Id="rId5597" Type="http://schemas.openxmlformats.org/officeDocument/2006/relationships/hyperlink" Target="https://audio.iskcondesiretree.com/01_-_Srila_Prabhupada/01_-_Lectures/01_-_English/02_-_Month_wise/01_-_January/16/Conv_1977-01-16_R1-CALCUTTA.MP3" TargetMode="External"/><Relationship Id="rId206" Type="http://schemas.openxmlformats.org/officeDocument/2006/relationships/hyperlink" Target="https://audio.iskcondesiretree.com/01_-_Srila_Prabhupada/01_-_Lectures/01_-_English/01_-_Topic_wise/Bhagavad_Gita/Chapter-10/SP_BG_10-04-05_New_York_1967-01-04_Knowledge--Understanding--etc.mp3" TargetMode="External"/><Relationship Id="rId413" Type="http://schemas.openxmlformats.org/officeDocument/2006/relationships/hyperlink" Target="https://audio.iskcondesiretree.com/01_-_Srila_Prabhupada/01_-_Lectures/01_-_English/01_-_Topic_wise/Festivals/SP_Festivals_Columbus_1969-05-09_Temple_Opening--Religion_Means--etc.mp3" TargetMode="External"/><Relationship Id="rId1043" Type="http://schemas.openxmlformats.org/officeDocument/2006/relationships/hyperlink" Target="https://audio.iskcondesiretree.com/01_-_Srila_Prabhupada/01_-_Lectures/01_-_English/01_-_Topic_wise/Srimad_Bhagavatam/Canto-01/SP_SB_1-10-07_Mayapur_1973-06-22_Independence-More_Dependence.mp3" TargetMode="External"/><Relationship Id="rId4199" Type="http://schemas.openxmlformats.org/officeDocument/2006/relationships/hyperlink" Target="https://audio.iskcondesiretree.com/01_-_Srila_Prabhupada/01_-_Lectures/01_-_English/02_-_Month_wise/01_-_January/22/Walk_1976-01-22_MW-MAYAPUR.MP3" TargetMode="External"/><Relationship Id="rId620" Type="http://schemas.openxmlformats.org/officeDocument/2006/relationships/hyperlink" Target="https://audio.iskcondesiretree.com/01_-_Srila_Prabhupada/01_-_Lectures/01_-_English/01_-_Topic_wise/Srimad_Bhagavatam/Canto-02/SP_SB_2-04-01_Los_Angeles_1972-06-24_Searching_After_Krishna.mp3" TargetMode="External"/><Relationship Id="rId1250" Type="http://schemas.openxmlformats.org/officeDocument/2006/relationships/hyperlink" Target="https://audio.iskcondesiretree.com/01_-_Srila_Prabhupada/01_-_Lectures/01_-_English/01_-_Topic_wise/Arrival_Address/SP_Arrival_Stockholm_1973-09-05_Complete_Freedom.mp3" TargetMode="External"/><Relationship Id="rId2301" Type="http://schemas.openxmlformats.org/officeDocument/2006/relationships/hyperlink" Target="https://audio.iskcondesiretree.com/01_-_Srila_Prabhupada/01_-_Lectures/01_-_English/02_-_Month_wise/08_-_August/02/Bg-04-10_1974-08-02_BG-VRNDAVAN.MP3" TargetMode="External"/><Relationship Id="rId4059" Type="http://schemas.openxmlformats.org/officeDocument/2006/relationships/hyperlink" Target="https://audio.iskcondesiretree.com/01_-_Srila_Prabhupada/01_-_Lectures/01_-_English/02_-_Month_wise/12_-_December/07/MW_DEL_1975-12-07_Scientific_Eggheads-_Manufacture_an_Egg.mp3" TargetMode="External"/><Relationship Id="rId5457" Type="http://schemas.openxmlformats.org/officeDocument/2006/relationships/hyperlink" Target="https://audio.iskcondesiretree.com/01_-_Srila_Prabhupada/01_-_Lectures/01_-_English/02_-_Month_wise/11_-_November/26/SB_5-06-04_VRN_1976-11-26_The_Unchaste_Mind.mp3" TargetMode="External"/><Relationship Id="rId5664" Type="http://schemas.openxmlformats.org/officeDocument/2006/relationships/hyperlink" Target="https://audio.iskcondesiretree.com/01_-_Srila_Prabhupada/01_-_Lectures/01_-_English/01_-_Topic_wise/Morning_Walk/SP_Morning_Walk_-_Bhuvanesvara_1977-02-01_Science_Atheists-Blind_Bluffers.mp3" TargetMode="External"/><Relationship Id="rId5871" Type="http://schemas.openxmlformats.org/officeDocument/2006/relationships/hyperlink" Target="https://audio.iskcondesiretree.com/01_-_Srila_Prabhupada/01_-_Lectures/01_-_English/02_-_Month_wise/05_-_May/29/Conv_1977-05-29_R1-VRNDAVAN.MP3" TargetMode="External"/><Relationship Id="rId1110" Type="http://schemas.openxmlformats.org/officeDocument/2006/relationships/hyperlink" Target="https://audio.iskcondesiretree.com/01_-_Srila_Prabhupada/01_-_Lectures/01_-_English/01_-_Topic_wise/Bhagavad_Gita/Chapter-01/SP_BG_01-30_London_1973-07-23_Expanded_Selfishness.mp3" TargetMode="External"/><Relationship Id="rId4266" Type="http://schemas.openxmlformats.org/officeDocument/2006/relationships/hyperlink" Target="https://audio.iskcondesiretree.com/01_-_Srila_Prabhupada/01_-_Lectures/01_-_English/02_-_Month_wise/02_-_Feburary/21/SB_7-09-14_MAY_1976-02-21_Demoniac--Disturbing_%26_Disturbed.mp3" TargetMode="External"/><Relationship Id="rId4473" Type="http://schemas.openxmlformats.org/officeDocument/2006/relationships/hyperlink" Target="https://audio.iskcondesiretree.com/01_-_Srila_Prabhupada/01_-_Lectures/01_-_English/02_-_Month_wise/04_-_April/14/MW_BOM_1976-04-14_Don%27t_Give_Your_Vote_to_the_Rogues.mp3" TargetMode="External"/><Relationship Id="rId4680" Type="http://schemas.openxmlformats.org/officeDocument/2006/relationships/hyperlink" Target="https://audio.iskcondesiretree.com/01_-_Srila_Prabhupada/01_-_Lectures/01_-_English/02_-_Month_wise/06_-_June/03/Conv_1976-06-03_IV-LOS%20ANGELES.MP3" TargetMode="External"/><Relationship Id="rId5317" Type="http://schemas.openxmlformats.org/officeDocument/2006/relationships/hyperlink" Target="https://audio.iskcondesiretree.com/01_-_Srila_Prabhupada/01_-_Lectures/01_-_English/01_-_Topic_wise/Arrival_Address/SP_Address_Aligarh_1976-10-09_The_Anti-secular_Science.mp3" TargetMode="External"/><Relationship Id="rId5524" Type="http://schemas.openxmlformats.org/officeDocument/2006/relationships/hyperlink" Target="https://audio.iskcondesiretree.com/01_-_Srila_Prabhupada/01_-_Lectures/01_-_English/02_-_Month_wise/12_-_December/25/MW_BOM_1976-12-25_Coverings_Concoctions_Gandhi_etc.mp3" TargetMode="External"/><Relationship Id="rId5731" Type="http://schemas.openxmlformats.org/officeDocument/2006/relationships/hyperlink" Target="https://audio.iskcondesiretree.com/01_-_Srila_Prabhupada/01_-_Lectures/01_-_English/02_-_Month_wise/02_-_Feburary/25/SB-07-09-05_1977-02-25_SB-MAYAPUR.MP3" TargetMode="External"/><Relationship Id="rId1927" Type="http://schemas.openxmlformats.org/officeDocument/2006/relationships/hyperlink" Target="https://audio.iskcondesiretree.com/01_-_Srila_Prabhupada/01_-_Lectures/01_-_English/02_-_Month_wise/04_-_April/24/SB-01-02-10_1974-04-24_SB-HYDERABAD.MP3" TargetMode="External"/><Relationship Id="rId3075" Type="http://schemas.openxmlformats.org/officeDocument/2006/relationships/hyperlink" Target="https://audio.iskcondesiretree.com/01_-_Srila_Prabhupada/01_-_Lectures/01_-_English/02_-_Month_wise/04_-_April/08/Walk_1975-04-08_MW-MAYAPUR.MP3" TargetMode="External"/><Relationship Id="rId3282" Type="http://schemas.openxmlformats.org/officeDocument/2006/relationships/hyperlink" Target="https://audio.iskcondesiretree.com/01_-_Srila_Prabhupada/01_-_Lectures/01_-_English/02_-_Month_wise/06_-_June/11/Walk_1975-06-11_MW-HONOLULU.MP3" TargetMode="External"/><Relationship Id="rId4126" Type="http://schemas.openxmlformats.org/officeDocument/2006/relationships/hyperlink" Target="https://audio.iskcondesiretree.com/01_-_Srila_Prabhupada/01_-_Lectures/01_-_English/02_-_Month_wise/12_-_December/25/Walk_1975-12-25_MW-SANAND.MP3" TargetMode="External"/><Relationship Id="rId4333" Type="http://schemas.openxmlformats.org/officeDocument/2006/relationships/hyperlink" Target="https://audio.iskcondesiretree.com/01_-_Srila_Prabhupada/01_-_Lectures/01_-_English/01_-_Topic_wise/Srimad_Bhagavatam/Canto-07/SP_SB_7-09-31_Mayapur_1976-03-09_First_Lesson--Who_Am_I.mp3" TargetMode="External"/><Relationship Id="rId4540" Type="http://schemas.openxmlformats.org/officeDocument/2006/relationships/hyperlink" Target="https://audio.iskcondesiretree.com/01_-_Srila_Prabhupada/01_-_Lectures/01_-_English/02_-_Month_wise/04_-_April/26/Walk_1976-04-26_MW-MELBOURNE.MP3" TargetMode="External"/><Relationship Id="rId2091" Type="http://schemas.openxmlformats.org/officeDocument/2006/relationships/hyperlink" Target="https://audio.iskcondesiretree.com/01_-_Srila_Prabhupada/01_-_Lectures/01_-_English/01_-_Topic_wise/Room_Conversation/SP_Room_Conversation_Paris_1974-06-11_Let_Cows_Die_Naturally.mp3" TargetMode="External"/><Relationship Id="rId3142" Type="http://schemas.openxmlformats.org/officeDocument/2006/relationships/hyperlink" Target="https://audio.iskcondesiretree.com/01_-_Srila_Prabhupada/01_-_Lectures/01_-_English/01_-_Topic_wise/Various/SP_Lecture_Vrindavan_1975-04-27_Explanation_of_Nrsimha_Vallabha.MP3" TargetMode="External"/><Relationship Id="rId4400" Type="http://schemas.openxmlformats.org/officeDocument/2006/relationships/hyperlink" Target="https://audio.iskcondesiretree.com/01_-_Srila_Prabhupada/01_-_Lectures/01_-_English/01_-_Topic_wise/Bhagavad_Gita/Chapter-02/SP_BG_02-11_Delhi_1976-03-25_Evolution-Darwinian_or_Divine.mp3" TargetMode="External"/><Relationship Id="rId270" Type="http://schemas.openxmlformats.org/officeDocument/2006/relationships/hyperlink" Target="https://audio.iskcondesiretree.com/01_-_Srila_Prabhupada/01_-_Lectures/01_-_English/01_-_Topic_wise/Various/SP_Lecture_Seattle_1968-10-02_The_Pulse_of_Universal_Body.mp3" TargetMode="External"/><Relationship Id="rId3002" Type="http://schemas.openxmlformats.org/officeDocument/2006/relationships/hyperlink" Target="https://audio.iskcondesiretree.com/01_-_Srila_Prabhupada/01_-_Lectures/01_-_English/02_-_Month_wise/03_-_March/28/CcAdi-01-004_1975-03-28_CC-MAYAPUR.MP3" TargetMode="External"/><Relationship Id="rId6158" Type="http://schemas.openxmlformats.org/officeDocument/2006/relationships/hyperlink" Target="https://audio.iskcondesiretree.com/01_-_Srila_Prabhupada/01_-_Lectures/01_-_English/01_-_Topic_wise/Stories/SP_Story_34_Sanatana_%26_Radharani.mp3" TargetMode="External"/><Relationship Id="rId130" Type="http://schemas.openxmlformats.org/officeDocument/2006/relationships/hyperlink" Target="https://audio.iskcondesiretree.com/01_-_Srila_Prabhupada/01_-_Lectures/01_-_English/02_-_Month_wise/11_-_November/27/Bg_09-11_NY_1966-11-27_Find_Real_Pleasure_Serving_Krishna.mp3" TargetMode="External"/><Relationship Id="rId3959" Type="http://schemas.openxmlformats.org/officeDocument/2006/relationships/hyperlink" Target="https://audio.iskcondesiretree.com/01_-_Srila_Prabhupada/01_-_Lectures/01_-_English/02_-_Month_wise/11_-_November/03/MW_BOM_1975-11-03_Peace_in_Society_of_Dogs.mp3" TargetMode="External"/><Relationship Id="rId5174" Type="http://schemas.openxmlformats.org/officeDocument/2006/relationships/hyperlink" Target="https://audio.iskcondesiretree.com/01_-_Srila_Prabhupada/01_-_Lectures/01_-_English/02_-_Month_wise/09_-_September/02/Walk_1976-09-02_MW-DELHI.MP3" TargetMode="External"/><Relationship Id="rId5381" Type="http://schemas.openxmlformats.org/officeDocument/2006/relationships/hyperlink" Target="https://audio.iskcondesiretree.com/01_-_Srila_Prabhupada/01_-_Lectures/01_-_English/02_-_Month_wise/11_-_November/04/SB_5-05-16_VRN_1976-11-04_Envious_Monkey_Business.mp3" TargetMode="External"/><Relationship Id="rId6018" Type="http://schemas.openxmlformats.org/officeDocument/2006/relationships/hyperlink" Target="https://audio.iskcondesiretree.com/01_-_Srila_Prabhupada/01_-_Lectures/01_-_English/02_-_Month_wise/11_-_November/10/Conv_1977-11-10_R3-VRNDAVAN.MP3" TargetMode="External"/><Relationship Id="rId2768" Type="http://schemas.openxmlformats.org/officeDocument/2006/relationships/hyperlink" Target="https://audio.iskcondesiretree.com/01_-_Srila_Prabhupada/01_-_Lectures/01_-_English/01_-_Topic_wise/Bhagavad_Gita/Chapter-16/SP_BG_16-11_Hawaii_1975-02-07_Anxiety_Unlimited.mp3" TargetMode="External"/><Relationship Id="rId2975" Type="http://schemas.openxmlformats.org/officeDocument/2006/relationships/hyperlink" Target="https://audio.iskcondesiretree.com/01_-_Srila_Prabhupada/01_-_Lectures/01_-_English/01_-_Topic_wise/Room_Conversation/SP_Room_Conversation_01_Calcutta_1975-03-21.MP3" TargetMode="External"/><Relationship Id="rId3819" Type="http://schemas.openxmlformats.org/officeDocument/2006/relationships/hyperlink" Target="https://audio.iskcondesiretree.com/01_-_Srila_Prabhupada/01_-_Lectures/01_-_English/02_-_Month_wise/10_-_October/04/SB-07-05-31_1975-10-04_SB-MAURITIUS.MP3" TargetMode="External"/><Relationship Id="rId5034" Type="http://schemas.openxmlformats.org/officeDocument/2006/relationships/hyperlink" Target="https://audio.iskcondesiretree.com/01_-_Srila_Prabhupada/01_-_Lectures/01_-_English/02_-_Month_wise/07_-_July/31/Bg-10-08_1976-07-31_BG-NEW%20MAYAPUR.MP3" TargetMode="External"/><Relationship Id="rId947" Type="http://schemas.openxmlformats.org/officeDocument/2006/relationships/hyperlink" Target="https://audio.iskcondesiretree.com/01_-_Srila_Prabhupada/01_-_Lectures/01_-_English/01_-_Topic_wise/Srimad_Bhagavatam/Canto-01/SP_SB_1-08-23_Los_Angeles_1973-04-15_Beginning_of_Material_Life_is_Envy.mp3" TargetMode="External"/><Relationship Id="rId1577" Type="http://schemas.openxmlformats.org/officeDocument/2006/relationships/hyperlink" Target="https://audio.iskcondesiretree.com/01_-_Srila_Prabhupada/01_-_Lectures/01_-_English/01_-_Topic_wise/Room_Conversation/SP_Room_Conversation_Tokyo_1974-01-30.mp3" TargetMode="External"/><Relationship Id="rId1784" Type="http://schemas.openxmlformats.org/officeDocument/2006/relationships/hyperlink" Target="https://audio.iskcondesiretree.com/01_-_Srila_Prabhupada/01_-_Lectures/01_-_English/01_-_Topic_wise/Morning_Walk/SP_Morning_Walk_-_Bombay_1974-03-30_Lesson_in_Humility_and_Tolerance.mp3" TargetMode="External"/><Relationship Id="rId1991" Type="http://schemas.openxmlformats.org/officeDocument/2006/relationships/hyperlink" Target="https://audio.iskcondesiretree.com/01_-_Srila_Prabhupada/01_-_Lectures/01_-_English/02_-_Month_wise/05_-_May/26/SB-01-02-02_1974-05-26_SB-ROME.MP3" TargetMode="External"/><Relationship Id="rId2628" Type="http://schemas.openxmlformats.org/officeDocument/2006/relationships/hyperlink" Target="https://audio.iskcondesiretree.com/01_-_Srila_Prabhupada/01_-_Lectures/01_-_English/02_-_Month_wise/12_-_December/20/SB-03-26-08_1974-12-20_SB-BOMBAY.MP3" TargetMode="External"/><Relationship Id="rId2835" Type="http://schemas.openxmlformats.org/officeDocument/2006/relationships/hyperlink" Target="https://audio.iskcondesiretree.com/01_-_Srila_Prabhupada/01_-_Lectures/01_-_English/01_-_Topic_wise/Various/SP_Lecture_Caracas_1975-02-22_Initiation--Who_Can_Conquer_God.mp3" TargetMode="External"/><Relationship Id="rId4190" Type="http://schemas.openxmlformats.org/officeDocument/2006/relationships/hyperlink" Target="https://audio.iskcondesiretree.com/01_-_Srila_Prabhupada/01_-_Lectures/01_-_English/02_-_Month_wise/01_-_January/16/Walk_1976-01-16_MW-MAYAPUR.MP3" TargetMode="External"/><Relationship Id="rId5241" Type="http://schemas.openxmlformats.org/officeDocument/2006/relationships/hyperlink" Target="https://audio.iskcondesiretree.com/01_-_Srila_Prabhupada/01_-_Lectures/01_-_English/02_-_Month_wise/09_-_September/17/SB_1-07-20_VRN_1976-09-17_Don%27t_Wait_for_Another_Life.mp3" TargetMode="External"/><Relationship Id="rId76" Type="http://schemas.openxmlformats.org/officeDocument/2006/relationships/hyperlink" Target="https://audio.iskcondesiretree.com/01_-_Srila_Prabhupada/01_-_Lectures/01_-_English/02_-_Month_wise/09_-_September/07/Bg_06-04_NY_1966-09-07_How_One_Should_Perform_Yoga.mp3" TargetMode="External"/><Relationship Id="rId807" Type="http://schemas.openxmlformats.org/officeDocument/2006/relationships/hyperlink" Target="https://audio.iskcondesiretree.com/01_-_Srila_Prabhupada/01_-_Lectures/01_-_English/02_-_Month_wise/11_-_November/10/SB_1-02-31_VRN_1972-11-10_Getting_in_Touch_With_Krishna.mp3" TargetMode="External"/><Relationship Id="rId1437" Type="http://schemas.openxmlformats.org/officeDocument/2006/relationships/hyperlink" Target="https://audio.iskcondesiretree.com/01_-_Srila_Prabhupada/01_-_Lectures/01_-_English/01_-_Topic_wise/Morning_Walk/SP_Morning_Walk_-_Los_Angeles_1973-12-17_Soul_Science.mp3" TargetMode="External"/><Relationship Id="rId1644" Type="http://schemas.openxmlformats.org/officeDocument/2006/relationships/hyperlink" Target="https://audio.iskcondesiretree.com/01_-_Srila_Prabhupada/01_-_Lectures/01_-_English/02_-_Month_wise/02_-_Feburary/23/MW_BOM_1974-02-23_A_Good_Man_%26_a_Kick_in_the_Face.mp3" TargetMode="External"/><Relationship Id="rId1851" Type="http://schemas.openxmlformats.org/officeDocument/2006/relationships/hyperlink" Target="https://audio.iskcondesiretree.com/01_-_Srila_Prabhupada/01_-_Lectures/01_-_English/02_-_Month_wise/04_-_April/10/Bg-04-21_1974-04-10_BG-BOMBAY.MP3" TargetMode="External"/><Relationship Id="rId2902" Type="http://schemas.openxmlformats.org/officeDocument/2006/relationships/hyperlink" Target="https://audio.iskcondesiretree.com/01_-_Srila_Prabhupada/01_-_Lectures/01_-_English/02_-_Month_wise/03_-_March/03/SB-03-12-19_1975-03-03_SB-DALLAS.MP3" TargetMode="External"/><Relationship Id="rId4050" Type="http://schemas.openxmlformats.org/officeDocument/2006/relationships/hyperlink" Target="https://audio.iskcondesiretree.com/01_-_Srila_Prabhupada/01_-_Lectures/01_-_English/02_-_Month_wise/12_-_December/04/SB-07-06-03_1975-12-04_SB-VRNDAVAN.MP3" TargetMode="External"/><Relationship Id="rId5101" Type="http://schemas.openxmlformats.org/officeDocument/2006/relationships/hyperlink" Target="https://audio.iskcondesiretree.com/01_-_Srila_Prabhupada/01_-_Lectures/01_-_English/02_-_Month_wise/08_-_August/12/SB-03-22-22_1976-08-12_SB-TEHRAN.MP3" TargetMode="External"/><Relationship Id="rId1504" Type="http://schemas.openxmlformats.org/officeDocument/2006/relationships/hyperlink" Target="https://audio.iskcondesiretree.com/01_-_Srila_Prabhupada/01_-_Lectures/01_-_English/02_-_Month_wise/01_-_January/09/SB-01-16-12_1974-01-09_SB-LOS_ANGELES.MP3" TargetMode="External"/><Relationship Id="rId1711" Type="http://schemas.openxmlformats.org/officeDocument/2006/relationships/hyperlink" Target="https://audio.iskcondesiretree.com/01_-_Srila_Prabhupada/01_-_Lectures/01_-_English/02_-_Month_wise/03_-_March/15/Conv_1974-03-15_R1-VRNDAVAN.MP3" TargetMode="External"/><Relationship Id="rId4867" Type="http://schemas.openxmlformats.org/officeDocument/2006/relationships/hyperlink" Target="https://audio.iskcondesiretree.com/01_-_Srila_Prabhupada/01_-_Lectures/01_-_English/01_-_Topic_wise/Room_Conversation/SP_Room_Conversation_New_Vrindavan_1976-07-01_Religious_or_Wretched.mp3" TargetMode="External"/><Relationship Id="rId3469" Type="http://schemas.openxmlformats.org/officeDocument/2006/relationships/hyperlink" Target="https://audio.iskcondesiretree.com/01_-_Srila_Prabhupada/01_-_Lectures/01_-_English/01_-_Topic_wise/Srimad_Bhagavatam/Canto-06/SP_SB_6-01-25_Chicago_1975-07-09_Attachment-To_Shadows.mp3" TargetMode="External"/><Relationship Id="rId3676" Type="http://schemas.openxmlformats.org/officeDocument/2006/relationships/hyperlink" Target="https://audio.iskcondesiretree.com/01_-_Srila_Prabhupada/01_-_Lectures/01_-_English/02_-_Month_wise/08_-_August/17/Walk_1975-08-17_MW-BOMBAY.MP3" TargetMode="External"/><Relationship Id="rId5918" Type="http://schemas.openxmlformats.org/officeDocument/2006/relationships/hyperlink" Target="https://audio.iskcondesiretree.com/01_-_Srila_Prabhupada/01_-_Lectures/01_-_English/02_-_Month_wise/07_-_July/17/Conv_1977-07-17_R2-VRNDAVAN.MP3" TargetMode="External"/><Relationship Id="rId6082" Type="http://schemas.openxmlformats.org/officeDocument/2006/relationships/hyperlink" Target="https://audio.iskcondesiretree.com/01_-_Srila_Prabhupada/01_-_Lectures/01_-_English/01_-_Topic_wise/Krishna_Book/SP_Krsna_Book_Dict_38_-_Akrura%27s_Arrival_in_Vrindavan.mp3" TargetMode="External"/><Relationship Id="rId597" Type="http://schemas.openxmlformats.org/officeDocument/2006/relationships/hyperlink" Target="https://audio.iskcondesiretree.com/01_-_Srila_Prabhupada/01_-_Lectures/01_-_English/02_-_Month_wise/06_-_June/12/SB_2-03-17_LA_1972-06-12_If_You_Want_to_Live_Forever.mp3" TargetMode="External"/><Relationship Id="rId2278" Type="http://schemas.openxmlformats.org/officeDocument/2006/relationships/hyperlink" Target="https://audio.iskcondesiretree.com/01_-_Srila_Prabhupada/01_-_Lectures/01_-_English/02_-_Month_wise/07_-_July/13/SB-01-16-23_1974-07-13_SB-LOS%20ANGELES.MP3" TargetMode="External"/><Relationship Id="rId2485" Type="http://schemas.openxmlformats.org/officeDocument/2006/relationships/hyperlink" Target="https://audio.iskcondesiretree.com/01_-_Srila_Prabhupada/01_-_Lectures/01_-_English/01_-_Topic_wise/Srimad_Bhagavatam/Canto-03/SP_SB_3-25-02_Bombay_1974-11-02_Eat_Drink_Be_Merry--%28For--etc.mp3" TargetMode="External"/><Relationship Id="rId3329" Type="http://schemas.openxmlformats.org/officeDocument/2006/relationships/hyperlink" Target="https://audio.iskcondesiretree.com/01_-_Srila_Prabhupada/01_-_Lectures/01_-_English/02_-_Month_wise/06_-_June/20/Arr_LA_1975-06-20_Kindly_Help_Me.mp3" TargetMode="External"/><Relationship Id="rId3883" Type="http://schemas.openxmlformats.org/officeDocument/2006/relationships/hyperlink" Target="https://audio.iskcondesiretree.com/01_-_Srila_Prabhupada/01_-_Lectures/01_-_English/02_-_Month_wise/10_-_October/17/Bg_02-01_JOH_1975-10-17_When_to_Approach_a_Guru.mp3" TargetMode="External"/><Relationship Id="rId4727" Type="http://schemas.openxmlformats.org/officeDocument/2006/relationships/hyperlink" Target="https://audio.iskcondesiretree.com/01_-_Srila_Prabhupada/01_-_Lectures/01_-_English/02_-_Month_wise/06_-_June/10/Initiations_1976-06-10_LOS%20ANGELES.MP3" TargetMode="External"/><Relationship Id="rId4934" Type="http://schemas.openxmlformats.org/officeDocument/2006/relationships/hyperlink" Target="https://audio.iskcondesiretree.com/01_-_Srila_Prabhupada/01_-_Lectures/01_-_English/02_-_Month_wise/07_-_July/08/Interview_1976-07-08_IV-WASHINGTON%20DC.MP3" TargetMode="External"/><Relationship Id="rId457" Type="http://schemas.openxmlformats.org/officeDocument/2006/relationships/hyperlink" Target="https://audio.iskcondesiretree.com/01_-_Srila_Prabhupada/01_-_Lectures/01_-_English/02_-_Month_wise/07_-_July/12/SB_Lect_LA_1969-07-12_This_Life_Is_Very_Valuable.mp3" TargetMode="External"/><Relationship Id="rId1087" Type="http://schemas.openxmlformats.org/officeDocument/2006/relationships/hyperlink" Target="https://audio.iskcondesiretree.com/01_-_Srila_Prabhupada/01_-_Lectures/01_-_English/02_-_Month_wise/07_-_July/14/Bg_01-13_LON_1973-07-14_People_Want_to_Be_Cheated.mp3" TargetMode="External"/><Relationship Id="rId1294" Type="http://schemas.openxmlformats.org/officeDocument/2006/relationships/hyperlink" Target="https://audio.iskcondesiretree.com/01_-_Srila_Prabhupada/01_-_Lectures/01_-_English/02_-_Month_wise/09_-_September/27/Bg_13-04_BOM_1973-09-27_The_Witness_and_the_Wanderer.mp3" TargetMode="External"/><Relationship Id="rId2138" Type="http://schemas.openxmlformats.org/officeDocument/2006/relationships/hyperlink" Target="https://audio.iskcondesiretree.com/01_-_Srila_Prabhupada/01_-_Lectures/01_-_English/02_-_Month_wise/06_-_June/14/SB_2-01-06_PAR_1974-06-14_Do_You_Know_How_to_Die.mp3" TargetMode="External"/><Relationship Id="rId2692" Type="http://schemas.openxmlformats.org/officeDocument/2006/relationships/hyperlink" Target="https://audio.iskcondesiretree.com/01_-_Srila_Prabhupada/01_-_Lectures/01_-_English/01_-_Topic_wise/Srimad_Bhagavatam/Canto-03/SP_SB_3-26-35_Bombay_1975-01-12_Tolerance_of_Matter%27s_Touch.mp3" TargetMode="External"/><Relationship Id="rId3536" Type="http://schemas.openxmlformats.org/officeDocument/2006/relationships/hyperlink" Target="https://audio.iskcondesiretree.com/01_-_Srila_Prabhupada/01_-_Lectures/01_-_English/02_-_Month_wise/07_-_July/16/PressConf_1975-07-16_PC-SAN%20FRANCISCO.MP3" TargetMode="External"/><Relationship Id="rId3743" Type="http://schemas.openxmlformats.org/officeDocument/2006/relationships/hyperlink" Target="https://audio.iskcondesiretree.com/01_-_Srila_Prabhupada/01_-_Lectures/01_-_English/02_-_Month_wise/09_-_September/09/SB_6-02-05_VRN_1975-09-09_In_Contact_with_a_Bona_Fide_Guru.mp3" TargetMode="External"/><Relationship Id="rId3950" Type="http://schemas.openxmlformats.org/officeDocument/2006/relationships/hyperlink" Target="https://audio.iskcondesiretree.com/01_-_Srila_Prabhupada/01_-_Lectures/01_-_English/02_-_Month_wise/11_-_November/01/SB-03-28-21_1975-11-01_SB-NAIROBI.MP3" TargetMode="External"/><Relationship Id="rId664" Type="http://schemas.openxmlformats.org/officeDocument/2006/relationships/hyperlink" Target="https://audio.iskcondesiretree.com/01_-_Srila_Prabhupada/01_-_Lectures/01_-_English/01_-_Topic_wise/Srimad_Bhagavatam/Canto-01/SP_SB_1-02-24_Los_Angeles_1972-08-27_How_to_See_the_Absolute_Truth.mp3" TargetMode="External"/><Relationship Id="rId871" Type="http://schemas.openxmlformats.org/officeDocument/2006/relationships/hyperlink" Target="https://audio.iskcondesiretree.com/01_-_Srila_Prabhupada/01_-_Lectures/01_-_English/02_-_Month_wise/12_-_December/26/NOD_Pg-10_BOM_1972-12-26_Transcendental_Morality.mp3" TargetMode="External"/><Relationship Id="rId2345" Type="http://schemas.openxmlformats.org/officeDocument/2006/relationships/hyperlink" Target="https://audio.iskcondesiretree.com/01_-_Srila_Prabhupada/01_-_Lectures/01_-_English/02_-_Month_wise/08_-_August/11/SB-01-05-30_1974-08-11_SB-VRNDAVAN.MP3" TargetMode="External"/><Relationship Id="rId2552" Type="http://schemas.openxmlformats.org/officeDocument/2006/relationships/hyperlink" Target="https://audio.iskcondesiretree.com/01_-_Srila_Prabhupada/01_-_Lectures/01_-_English/01_-_Topic_wise/Srimad_Bhagavatam/Canto-03/SP_SB_3-25-25_Bombay_1974-11-25_Taste_of_Talks_About_Krishna.mp3" TargetMode="External"/><Relationship Id="rId3603" Type="http://schemas.openxmlformats.org/officeDocument/2006/relationships/hyperlink" Target="https://audio.iskcondesiretree.com/01_-_Srila_Prabhupada/01_-_Lectures/01_-_English/02_-_Month_wise/07_-_July/28/Interv_DAL_1975-07-28_Press_At_Airport_Without_etc.mp3" TargetMode="External"/><Relationship Id="rId3810" Type="http://schemas.openxmlformats.org/officeDocument/2006/relationships/hyperlink" Target="https://audio.iskcondesiretree.com/01_-_Srila_Prabhupada/01_-_Lectures/01_-_English/02_-_Month_wise/10_-_October/03/MW_MAU_1975-10-03_Progress-Die_Quickly.mp3" TargetMode="External"/><Relationship Id="rId317" Type="http://schemas.openxmlformats.org/officeDocument/2006/relationships/hyperlink" Target="https://audio.iskcondesiretree.com/01_-_Srila_Prabhupada/01_-_Lectures/01_-_English/02_-_Month_wise/12_-_December/11/Bg_02-28_LA_1968-12-11_Some_Look_On_the_Soul_As_Amazing.mp3" TargetMode="External"/><Relationship Id="rId524" Type="http://schemas.openxmlformats.org/officeDocument/2006/relationships/hyperlink" Target="https://audio.iskcondesiretree.com/01_-_Srila_Prabhupada/01_-_Lectures/01_-_English/01_-_Topic_wise/Various/SP_Lecture_Bombay_1971-03-17_Take_Shelter_of_the_Six_Goswamis.mp3" TargetMode="External"/><Relationship Id="rId731" Type="http://schemas.openxmlformats.org/officeDocument/2006/relationships/hyperlink" Target="https://audio.iskcondesiretree.com/01_-_Srila_Prabhupada/01_-_Lectures/01_-_English/02_-_Month_wise/10_-_October/20/SB_1-02-09_VRN_1972-10-20_Everyone_Can_Serve_Krishna.mp3" TargetMode="External"/><Relationship Id="rId1154" Type="http://schemas.openxmlformats.org/officeDocument/2006/relationships/hyperlink" Target="https://audio.iskcondesiretree.com/01_-_Srila_Prabhupada/01_-_Lectures/01_-_English/01_-_Topic_wise/Room_Conversation/SP_Room_Conversation_Paris_1973-08-09_Priest_Cardinal_Danielou--Thou--etc.mp3" TargetMode="External"/><Relationship Id="rId1361" Type="http://schemas.openxmlformats.org/officeDocument/2006/relationships/hyperlink" Target="https://audio.iskcondesiretree.com/01_-_Srila_Prabhupada/01_-_Lectures/01_-_English/01_-_Topic_wise/Srimad_Bhagavatam/Canto-01/SP_SB_1-02-06_Delhi_1973-11-12_Toward_Perfect_Peace_of_Mind.mp3" TargetMode="External"/><Relationship Id="rId2205" Type="http://schemas.openxmlformats.org/officeDocument/2006/relationships/hyperlink" Target="https://audio.iskcondesiretree.com/01_-_Srila_Prabhupada/01_-_Lectures/01_-_English/02_-_Month_wise/06_-_June/28/Lecture_1974-06-28_LE-MELBOURNE.MP3" TargetMode="External"/><Relationship Id="rId2412" Type="http://schemas.openxmlformats.org/officeDocument/2006/relationships/hyperlink" Target="https://audio.iskcondesiretree.com/01_-_Srila_Prabhupada/01_-_Lectures/01_-_English/02_-_Month_wise/10_-_October/04/SB_1-08-24_MAY_1974-10-04_Always_Expect_Danger.mp3" TargetMode="External"/><Relationship Id="rId5568" Type="http://schemas.openxmlformats.org/officeDocument/2006/relationships/hyperlink" Target="https://audio.iskcondesiretree.com/01_-_Srila_Prabhupada/01_-_Lectures/01_-_English/02_-_Month_wise/01_-_January/07/Darshan_1977-01-07_ED-BOMBAY.MP3" TargetMode="External"/><Relationship Id="rId5775" Type="http://schemas.openxmlformats.org/officeDocument/2006/relationships/hyperlink" Target="https://audio.iskcondesiretree.com/01_-_Srila_Prabhupada/01_-_Lectures/01_-_English/01_-_Topic_wise/Various/SP_Lecture_Bombay_1977-03-29_We_Have_to_Tolerate.mp3" TargetMode="External"/><Relationship Id="rId5982" Type="http://schemas.openxmlformats.org/officeDocument/2006/relationships/hyperlink" Target="https://audio.iskcondesiretree.com/01_-_Srila_Prabhupada/01_-_Lectures/01_-_English/02_-_Month_wise/11_-_November/02/Conv_1977-11-02_R4-VRNDAVAN.MP3" TargetMode="External"/><Relationship Id="rId1014" Type="http://schemas.openxmlformats.org/officeDocument/2006/relationships/hyperlink" Target="https://audio.iskcondesiretree.com/01_-_Srila_Prabhupada/01_-_Lectures/01_-_English/02_-_Month_wise/05_-_May/15/SB_1-09-01_LA_1973-05-15_Equality-How.mp3" TargetMode="External"/><Relationship Id="rId1221" Type="http://schemas.openxmlformats.org/officeDocument/2006/relationships/hyperlink" Target="https://audio.iskcondesiretree.com/01_-_Srila_Prabhupada/01_-_Lectures/01_-_English/02_-_Month_wise/08_-_August/26/Lect_LON_1973-08-26_The_HK_Movement_What_and_Why.mp3" TargetMode="External"/><Relationship Id="rId4377" Type="http://schemas.openxmlformats.org/officeDocument/2006/relationships/hyperlink" Target="https://audio.iskcondesiretree.com/01_-_Srila_Prabhupada/01_-_Lectures/01_-_English/02_-_Month_wise/03_-_March/17/SB_7-09-39_MAY_1976-03-17_How_Will_They_Become_Brahmanas.mp3" TargetMode="External"/><Relationship Id="rId4584" Type="http://schemas.openxmlformats.org/officeDocument/2006/relationships/hyperlink" Target="https://audio.iskcondesiretree.com/01_-_Srila_Prabhupada/01_-_Lectures/01_-_English/01_-_Topic_wise/Srimad_Bhagavatam/Canto-06/SP_SB_6-01-09_Honolulu_1976-05-10_I_Don%27t_Wish_to_Die--Can_You_Help_Me.mp3" TargetMode="External"/><Relationship Id="rId4791" Type="http://schemas.openxmlformats.org/officeDocument/2006/relationships/hyperlink" Target="https://audio.iskcondesiretree.com/01_-_Srila_Prabhupada/01_-_Lectures/01_-_English/02_-_Month_wise/06_-_June/20/Bg-09-03_1976-06-20_BG-TORONTO.MP3" TargetMode="External"/><Relationship Id="rId5428" Type="http://schemas.openxmlformats.org/officeDocument/2006/relationships/hyperlink" Target="https://audio.iskcondesiretree.com/01_-_Srila_Prabhupada/01_-_Lectures/01_-_English/01_-_Topic_wise/Srimad_Bhagavatam/Canto-05/SP_SB_5-05-29_Vrindavan_1976-11-16_Peace_Impossible.mp3" TargetMode="External"/><Relationship Id="rId5635" Type="http://schemas.openxmlformats.org/officeDocument/2006/relationships/hyperlink" Target="https://audio.iskcondesiretree.com/01_-_Srila_Prabhupada/01_-_Lectures/01_-_English/02_-_Month_wise/01_-_January/25/Walk_1977-01-25_MW-PURI.MP3" TargetMode="External"/><Relationship Id="rId5842" Type="http://schemas.openxmlformats.org/officeDocument/2006/relationships/hyperlink" Target="https://audio.iskcondesiretree.com/01_-_Srila_Prabhupada/01_-_Lectures/01_-_English/02_-_Month_wise/05_-_May/11/RC_HRI_1977-05-11_Krishna_Is_That_One.mp3" TargetMode="External"/><Relationship Id="rId3186" Type="http://schemas.openxmlformats.org/officeDocument/2006/relationships/hyperlink" Target="https://audio.iskcondesiretree.com/01_-_Srila_Prabhupada/01_-_Lectures/01_-_English/02_-_Month_wise/05_-_May/16/Conv_1975-05-16_R1-PERTH.MP3" TargetMode="External"/><Relationship Id="rId3393" Type="http://schemas.openxmlformats.org/officeDocument/2006/relationships/hyperlink" Target="https://audio.iskcondesiretree.com/01_-_Srila_Prabhupada/01_-_Lectures/01_-_English/02_-_Month_wise/06_-_June/28/SB-06-01-15_1975-06-28_SB-DENVER.MP3" TargetMode="External"/><Relationship Id="rId4237" Type="http://schemas.openxmlformats.org/officeDocument/2006/relationships/hyperlink" Target="https://audio.iskcondesiretree.com/01_-_Srila_Prabhupada/01_-_Lectures/01_-_English/02_-_Month_wise/02_-_Feburary/14/SB_7-09-07_MAY_1976-02-14_Making_Faith_Firm.mp3" TargetMode="External"/><Relationship Id="rId4444" Type="http://schemas.openxmlformats.org/officeDocument/2006/relationships/hyperlink" Target="https://audio.iskcondesiretree.com/01_-_Srila_Prabhupada/01_-_Lectures/01_-_English/02_-_Month_wise/04_-_April/07/Walk_1976-04-07_MW-VRNDAVAN.MP3" TargetMode="External"/><Relationship Id="rId4651" Type="http://schemas.openxmlformats.org/officeDocument/2006/relationships/hyperlink" Target="https://audio.iskcondesiretree.com/01_-_Srila_Prabhupada/01_-_Lectures/01_-_English/02_-_Month_wise/05_-_May/26/Walk_1976-05-26_MW-HONOLULU.MP3" TargetMode="External"/><Relationship Id="rId3046" Type="http://schemas.openxmlformats.org/officeDocument/2006/relationships/hyperlink" Target="https://audio.iskcondesiretree.com/01_-_Srila_Prabhupada/01_-_Lectures/01_-_English/01_-_Topic_wise/Room_Conversation/SP_Room_Conversation_Mayapur_1975-04-04_They_Are_Envious_of_Me.mp3" TargetMode="External"/><Relationship Id="rId3253" Type="http://schemas.openxmlformats.org/officeDocument/2006/relationships/hyperlink" Target="https://audio.iskcondesiretree.com/01_-_Srila_Prabhupada/01_-_Lectures/01_-_English/01_-_Topic_wise/Morning_Walk/SP_Morning_Walk_-_Honolulu_1975-05-29.MP3" TargetMode="External"/><Relationship Id="rId3460" Type="http://schemas.openxmlformats.org/officeDocument/2006/relationships/hyperlink" Target="https://audio.iskcondesiretree.com/01_-_Srila_Prabhupada/01_-_Lectures/01_-_English/01_-_Topic_wise/Srimad_Bhagavatam/Canto-06/SP_SB_6-01-24_Chicago_1975-07-08_Family_Life.mp3" TargetMode="External"/><Relationship Id="rId4304" Type="http://schemas.openxmlformats.org/officeDocument/2006/relationships/hyperlink" Target="https://audio.iskcondesiretree.com/01_-_Srila_Prabhupada/01_-_Lectures/01_-_English/02_-_Month_wise/03_-_March/01/SB_7-09-23_MAY_1976-03-01_Krishna_Impersonators_Killed.mp3" TargetMode="External"/><Relationship Id="rId5702" Type="http://schemas.openxmlformats.org/officeDocument/2006/relationships/hyperlink" Target="https://audio.iskcondesiretree.com/01_-_Srila_Prabhupada/01_-_Lectures/01_-_English/02_-_Month_wise/02_-_Feburary/15/Darshan_1977-02-15_ED-MAYAPUR.MP3" TargetMode="External"/><Relationship Id="rId174" Type="http://schemas.openxmlformats.org/officeDocument/2006/relationships/hyperlink" Target="https://audio.iskcondesiretree.com/01_-_Srila_Prabhupada/01_-_Lectures/01_-_English/01_-_Topic_wise/Bhagavad_Gita/Chapter-09/SP_BG_09-27-29_New_York_1966-12-19_Karma_Love_and_Devotion.mp3" TargetMode="External"/><Relationship Id="rId381" Type="http://schemas.openxmlformats.org/officeDocument/2006/relationships/hyperlink" Target="https://audio.iskcondesiretree.com/01_-_Srila_Prabhupada/01_-_Lectures/01_-_English/01_-_Topic_wise/Festivals/SP_Festivals_Hawaii_1969-03-05_Day_After_Gaura_Purnima-01.mp3" TargetMode="External"/><Relationship Id="rId2062" Type="http://schemas.openxmlformats.org/officeDocument/2006/relationships/hyperlink" Target="https://audio.iskcondesiretree.com/01_-_Srila_Prabhupada/01_-_Lectures/01_-_English/01_-_Topic_wise/Bhagavad_Gita/Chapter-13/SP_BG_13-35_Geneva_1974-06-06_Food_and_Freedom.mp3" TargetMode="External"/><Relationship Id="rId3113" Type="http://schemas.openxmlformats.org/officeDocument/2006/relationships/hyperlink" Target="https://audio.iskcondesiretree.com/01_-_Srila_Prabhupada/01_-_Lectures/01_-_English/02_-_Month_wise/04_-_April/15/SB-05-05-03_1975-04-15_SB-HYDERABAD.MP3" TargetMode="External"/><Relationship Id="rId4511" Type="http://schemas.openxmlformats.org/officeDocument/2006/relationships/hyperlink" Target="https://audio.iskcondesiretree.com/01_-_Srila_Prabhupada/01_-_Lectures/01_-_English/02_-_Month_wise/04_-_April/21/MW_MEL_1976-04-21_The_Philosophy_of_Cow_Dung.mp3" TargetMode="External"/><Relationship Id="rId241" Type="http://schemas.openxmlformats.org/officeDocument/2006/relationships/hyperlink" Target="https://audio.iskcondesiretree.com/01_-_Srila_Prabhupada/01_-_Lectures/01_-_English/02_-_Month_wise/06_-_June/16/SB_7-06-03_MON_1968-06-16_Stop_Adjusting_the_Material_World.mp3" TargetMode="External"/><Relationship Id="rId3320" Type="http://schemas.openxmlformats.org/officeDocument/2006/relationships/hyperlink" Target="https://audio.iskcondesiretree.com/01_-_Srila_Prabhupada/01_-_Lectures/01_-_English/02_-_Month_wise/06_-_June/18/Conv_1975-06-18_R1-HONOLULU.MP3" TargetMode="External"/><Relationship Id="rId5078" Type="http://schemas.openxmlformats.org/officeDocument/2006/relationships/hyperlink" Target="https://audio.iskcondesiretree.com/01_-_Srila_Prabhupada/01_-_Lectures/01_-_English/02_-_Month_wise/08_-_August/09/MW_TEH_1976-08-09_A_World_Run_by_Mad_Rascals.mp3" TargetMode="External"/><Relationship Id="rId2879" Type="http://schemas.openxmlformats.org/officeDocument/2006/relationships/hyperlink" Target="https://audio.iskcondesiretree.com/01_-_Srila_Prabhupada/01_-_Lectures/01_-_English/02_-_Month_wise/03_-_March/01/Conv_1975-03-01_R1-ATLANTA.MP3" TargetMode="External"/><Relationship Id="rId5285" Type="http://schemas.openxmlformats.org/officeDocument/2006/relationships/hyperlink" Target="https://audio.iskcondesiretree.com/01_-_Srila_Prabhupada/01_-_Lectures/01_-_English/02_-_Month_wise/09_-_September/30/SB-01-07-38%E2%80%9339_1976-09-30_SB-VRNDAVAN.MP3" TargetMode="External"/><Relationship Id="rId5492" Type="http://schemas.openxmlformats.org/officeDocument/2006/relationships/hyperlink" Target="https://audio.iskcondesiretree.com/01_-_Srila_Prabhupada/01_-_Lectures/01_-_English/02_-_Month_wise/12_-_December/11/Bg_07-06_HYD_1976-12-11_How_Have_We_Become_Bad.mp3" TargetMode="External"/><Relationship Id="rId6129" Type="http://schemas.openxmlformats.org/officeDocument/2006/relationships/hyperlink" Target="https://audio.iskcondesiretree.com/01_-_Srila_Prabhupada/01_-_Lectures/01_-_English/01_-_Topic_wise/Stories/SP_Story_05_Bilvamangala_Thakura.mp3" TargetMode="External"/><Relationship Id="rId101" Type="http://schemas.openxmlformats.org/officeDocument/2006/relationships/hyperlink" Target="https://audio.iskcondesiretree.com/01_-_Srila_Prabhupada/01_-_Lectures/01_-_English/02_-_Month_wise/11_-_November/17/Bg_08-15_NY_1966-11-17_Nature_of_the_Material_World_etc.mp3" TargetMode="External"/><Relationship Id="rId1688" Type="http://schemas.openxmlformats.org/officeDocument/2006/relationships/hyperlink" Target="https://audio.iskcondesiretree.com/01_-_Srila_Prabhupada/01_-_Lectures/01_-_English/02_-_Month_wise/03_-_March/07/Walk_1974-03-07_MW-MAYAPUR.MP3" TargetMode="External"/><Relationship Id="rId1895" Type="http://schemas.openxmlformats.org/officeDocument/2006/relationships/hyperlink" Target="https://audio.iskcondesiretree.com/01_-_Srila_Prabhupada/01_-_Lectures/01_-_English/01_-_Topic_wise/Bhagavad_Gita/Chapter-13/SP_BG_13-03_Hyderabad_1974-04-19_Take_Knowledge_from_Krishna.mp3" TargetMode="External"/><Relationship Id="rId2739" Type="http://schemas.openxmlformats.org/officeDocument/2006/relationships/hyperlink" Target="https://audio.iskcondesiretree.com/01_-_Srila_Prabhupada/01_-_Lectures/01_-_English/02_-_Month_wise/01_-_January/28/Bg_16-08_TOK_1975-01-28_The_Unseen_Controller.mp3" TargetMode="External"/><Relationship Id="rId2946" Type="http://schemas.openxmlformats.org/officeDocument/2006/relationships/hyperlink" Target="https://audio.iskcondesiretree.com/01_-_Srila_Prabhupada/01_-_Lectures/01_-_English/02_-_Month_wise/03_-_March/12/Lect_LON_1975-03-12_Krishna_Candy-Every_Side_Sweet.mp3" TargetMode="External"/><Relationship Id="rId4094" Type="http://schemas.openxmlformats.org/officeDocument/2006/relationships/hyperlink" Target="https://audio.iskcondesiretree.com/01_-_Srila_Prabhupada/01_-_Lectures/01_-_English/01_-_Topic_wise/Morning_Walk/SP_Morning_Walk_-_Bombay_1975-12-16_Scholar-Deviation_from_Krishna.mp3" TargetMode="External"/><Relationship Id="rId5145" Type="http://schemas.openxmlformats.org/officeDocument/2006/relationships/hyperlink" Target="https://audio.iskcondesiretree.com/01_-_Srila_Prabhupada/01_-_Lectures/01_-_English/01_-_Topic_wise/Room_Conversation/SP_Room_Conversation_Hyderabad_1976-08-22_Government_Ministers--Government--etc.mp3" TargetMode="External"/><Relationship Id="rId5352" Type="http://schemas.openxmlformats.org/officeDocument/2006/relationships/hyperlink" Target="https://audio.iskcondesiretree.com/01_-_Srila_Prabhupada/01_-_Lectures/01_-_English/02_-_Month_wise/10_-_October/28/SB_5-05-06_VRN_1976-10-28_Civilization_-_Degradation.mp3" TargetMode="External"/><Relationship Id="rId918" Type="http://schemas.openxmlformats.org/officeDocument/2006/relationships/hyperlink" Target="https://audio.iskcondesiretree.com/01_-_Srila_Prabhupada/01_-_Lectures/01_-_English/01_-_Topic_wise/Nectar_Of_Devotion/SP_NOD_Pg-35_Calcutta_1973-01-31_-_Real_Self_Interest.mp3" TargetMode="External"/><Relationship Id="rId1548" Type="http://schemas.openxmlformats.org/officeDocument/2006/relationships/hyperlink" Target="https://audio.iskcondesiretree.com/01_-_Srila_Prabhupada/01_-_Lectures/01_-_English/02_-_Month_wise/01_-_January/19/SB-01-16-23_1974-01-19_SB-HONOLULU.MP3" TargetMode="External"/><Relationship Id="rId1755" Type="http://schemas.openxmlformats.org/officeDocument/2006/relationships/hyperlink" Target="https://audio.iskcondesiretree.com/01_-_Srila_Prabhupada/01_-_Lectures/01_-_English/01_-_Topic_wise/Bhagavad_Gita/Chapter-04/SP_BG_04-05_Bombay_1974-03-25_Learning_to_Love_Unlimited_One.mp3" TargetMode="External"/><Relationship Id="rId4161" Type="http://schemas.openxmlformats.org/officeDocument/2006/relationships/hyperlink" Target="https://audio.iskcondesiretree.com/01_-_Srila_Prabhupada/01_-_Lectures/01_-_English/01_-_Topic_wise/Srimad_Bhagavatam/Canto-06/SP_SB_6-01-06_Nellore_1976-01-05_Cleansing_Away_Our_Criminality.mp3" TargetMode="External"/><Relationship Id="rId5005" Type="http://schemas.openxmlformats.org/officeDocument/2006/relationships/hyperlink" Target="https://audio.iskcondesiretree.com/01_-_Srila_Prabhupada/01_-_Lectures/01_-_English/02_-_Month_wise/07_-_July/20/Conv_1976-07-20_CR-NEW%20YORK.MP3" TargetMode="External"/><Relationship Id="rId5212" Type="http://schemas.openxmlformats.org/officeDocument/2006/relationships/hyperlink" Target="https://audio.iskcondesiretree.com/01_-_Srila_Prabhupada/01_-_Lectures/01_-_English/02_-_Month_wise/09_-_September/09/SB_1-07-10_VRN_1976-09-09_Read_These_Books.mp3" TargetMode="External"/><Relationship Id="rId1408" Type="http://schemas.openxmlformats.org/officeDocument/2006/relationships/hyperlink" Target="https://audio.iskcondesiretree.com/01_-_Srila_Prabhupada/01_-_Lectures/01_-_English/01_-_Topic_wise/Srimad_Bhagavatam/Canto-01/SP_SB_1-15-31_Los_Angeles_1973-12-09_Illusory_Contemplations.mp3" TargetMode="External"/><Relationship Id="rId1962" Type="http://schemas.openxmlformats.org/officeDocument/2006/relationships/hyperlink" Target="https://audio.iskcondesiretree.com/01_-_Srila_Prabhupada/01_-_Lectures/01_-_English/01_-_Topic_wise/Morning_Walk/SP_Morning_Walk_-_Bombay_1974-05-09.mp3" TargetMode="External"/><Relationship Id="rId2806" Type="http://schemas.openxmlformats.org/officeDocument/2006/relationships/hyperlink" Target="https://audio.iskcondesiretree.com/01_-_Srila_Prabhupada/01_-_Lectures/01_-_English/02_-_Month_wise/02_-_Feburary/15/Bg_02-15_MEX_City_1975-02-15_Immortality..._or_Itching.mp3" TargetMode="External"/><Relationship Id="rId4021" Type="http://schemas.openxmlformats.org/officeDocument/2006/relationships/hyperlink" Target="https://audio.iskcondesiretree.com/01_-_Srila_Prabhupada/01_-_Lectures/01_-_English/02_-_Month_wise/11_-_November/24/Cc_M_20-112_BOM_1975-11-24_You_Can%27t_Demand_Peace.mp3" TargetMode="External"/><Relationship Id="rId47" Type="http://schemas.openxmlformats.org/officeDocument/2006/relationships/hyperlink" Target="https://audio.iskcondesiretree.com/01_-_Srila_Prabhupada/01_-_Lectures/01_-_English/02_-_Month_wise/07_-_July/20/Bg_04-06_NY_1966-07-20_Why_the_Lord_and_His_etc.mp3" TargetMode="External"/><Relationship Id="rId1615" Type="http://schemas.openxmlformats.org/officeDocument/2006/relationships/hyperlink" Target="https://audio.iskcondesiretree.com/01_-_Srila_Prabhupada/01_-_Lectures/01_-_English/02_-_Month_wise/02_-_Feburary/13/Conv_1974-02-13_R1-VRNDAVAN.MP3" TargetMode="External"/><Relationship Id="rId1822" Type="http://schemas.openxmlformats.org/officeDocument/2006/relationships/hyperlink" Target="https://audio.iskcondesiretree.com/01_-_Srila_Prabhupada/01_-_Lectures/01_-_English/01_-_Topic_wise/Bhagavad_Gita/Chapter-04/SP_BG_04-15_Bombay_1974-04-05_Modern_Civilization_Vs._Model--etc.mp3" TargetMode="External"/><Relationship Id="rId4978" Type="http://schemas.openxmlformats.org/officeDocument/2006/relationships/hyperlink" Target="https://audio.iskcondesiretree.com/01_-_Srila_Prabhupada/01_-_Lectures/01_-_English/02_-_Month_wise/07_-_July/15/Conv_1976-07-15_CV-NEW%20YORK.MP3" TargetMode="External"/><Relationship Id="rId6193" Type="http://schemas.openxmlformats.org/officeDocument/2006/relationships/hyperlink" Target="https://audio.iskcondesiretree.com/01_-_Srila_Prabhupada/01_-_Lectures/03_-_Hindi/SP_Hindi_21_Lectures_%26_Conversations.mp3" TargetMode="External"/><Relationship Id="rId3787" Type="http://schemas.openxmlformats.org/officeDocument/2006/relationships/hyperlink" Target="https://audio.iskcondesiretree.com/01_-_Srila_Prabhupada/01_-_Lectures/01_-_English/02_-_Month_wise/09_-_September/26/Walk_1975-09-26_MW-AHMEDABAD.MP3" TargetMode="External"/><Relationship Id="rId3994" Type="http://schemas.openxmlformats.org/officeDocument/2006/relationships/hyperlink" Target="https://audio.iskcondesiretree.com/01_-_Srila_Prabhupada/01_-_Lectures/01_-_English/02_-_Month_wise/11_-_November/16/CcMadhya-20-108_1975-11-16_CC-BOMBAY.MP3" TargetMode="External"/><Relationship Id="rId4838" Type="http://schemas.openxmlformats.org/officeDocument/2006/relationships/hyperlink" Target="https://audio.iskcondesiretree.com/01_-_Srila_Prabhupada/01_-_Lectures/01_-_English/02_-_Month_wise/06_-_June/27/Walk_1976-06-27_MW-NEW%20VRINDAVAN.MP3" TargetMode="External"/><Relationship Id="rId6053" Type="http://schemas.openxmlformats.org/officeDocument/2006/relationships/hyperlink" Target="https://audio.iskcondesiretree.com/01_-_Srila_Prabhupada/01_-_Lectures/01_-_English/01_-_Topic_wise/Krishna_Book/SP_Krsna_Book_Dict_05_-_The_Meeting_of_Nanda_and_Vasudeva.mp3" TargetMode="External"/><Relationship Id="rId2389" Type="http://schemas.openxmlformats.org/officeDocument/2006/relationships/hyperlink" Target="https://audio.iskcondesiretree.com/01_-_Srila_Prabhupada/01_-_Lectures/01_-_English/02_-_Month_wise/09_-_September/27/Arr_MAY_1974-09-27_This_Mission_Will_Be_Successful.mp3" TargetMode="External"/><Relationship Id="rId2596" Type="http://schemas.openxmlformats.org/officeDocument/2006/relationships/hyperlink" Target="https://audio.iskcondesiretree.com/01_-_Srila_Prabhupada/01_-_Lectures/01_-_English/02_-_Month_wise/12_-_December/09/SB_3-25-41_BOM_1974-12-09_Atheists_Overbold.mp3" TargetMode="External"/><Relationship Id="rId3647" Type="http://schemas.openxmlformats.org/officeDocument/2006/relationships/hyperlink" Target="https://audio.iskcondesiretree.com/01_-_Srila_Prabhupada/01_-_Lectures/01_-_English/02_-_Month_wise/08_-_August/06/MW_DET_1975-08-06_Krishna_and_Christ-Father_%26_Son.mp3" TargetMode="External"/><Relationship Id="rId3854" Type="http://schemas.openxmlformats.org/officeDocument/2006/relationships/hyperlink" Target="https://audio.iskcondesiretree.com/01_-_Srila_Prabhupada/01_-_Lectures/01_-_English/01_-_Topic_wise/Room_Conversation/SP_Room_Conversation_Durban_1975-10-13_Why_No_More_Men_from_Apes.mp3" TargetMode="External"/><Relationship Id="rId4905" Type="http://schemas.openxmlformats.org/officeDocument/2006/relationships/hyperlink" Target="https://audio.iskcondesiretree.com/01_-_Srila_Prabhupada/01_-_Lectures/01_-_English/02_-_Month_wise/07_-_July/06/Address_1976-07-06_AD-WASHINGTON%20DC.MP3" TargetMode="External"/><Relationship Id="rId568" Type="http://schemas.openxmlformats.org/officeDocument/2006/relationships/hyperlink" Target="https://audio.iskcondesiretree.com/01_-_Srila_Prabhupada/01_-_Lectures/01_-_English/01_-_Topic_wise/Arrival_Address/SP_Arrival_Los_Angeles_1972-05-18_Seeing_the_Source_of_This_Love.mp3" TargetMode="External"/><Relationship Id="rId775" Type="http://schemas.openxmlformats.org/officeDocument/2006/relationships/hyperlink" Target="https://audio.iskcondesiretree.com/01_-_Srila_Prabhupada/01_-_Lectures/01_-_English/02_-_Month_wise/11_-_November/02/SB_1-02-22_VRN_1972-11-02_Enlivening_to_the_Self.mp3" TargetMode="External"/><Relationship Id="rId982" Type="http://schemas.openxmlformats.org/officeDocument/2006/relationships/hyperlink" Target="https://audio.iskcondesiretree.com/01_-_Srila_Prabhupada/01_-_Lectures/01_-_English/02_-_Month_wise/05_-_May/01/SB_1-08-39_LA_1973-05-01_How_Everything_Can_Become_Beautiful.mp3" TargetMode="External"/><Relationship Id="rId1198" Type="http://schemas.openxmlformats.org/officeDocument/2006/relationships/hyperlink" Target="https://audio.iskcondesiretree.com/01_-_Srila_Prabhupada/01_-_Lectures/01_-_English/01_-_Topic_wise/Festivals/SP_Festivals_London_1973-08-21_Janmastami.mp3" TargetMode="External"/><Relationship Id="rId2249" Type="http://schemas.openxmlformats.org/officeDocument/2006/relationships/hyperlink" Target="https://audio.iskcondesiretree.com/01_-_Srila_Prabhupada/01_-_Lectures/01_-_English/02_-_Month_wise/07_-_July/05/SB_1-08-19_CHI_1974-07-05_For_Dull-Headed_Asses_God_etc.mp3" TargetMode="External"/><Relationship Id="rId2456" Type="http://schemas.openxmlformats.org/officeDocument/2006/relationships/hyperlink" Target="https://audio.iskcondesiretree.com/01_-_Srila_Prabhupada/01_-_Lectures/01_-_English/02_-_Month_wise/10_-_October/21/SB-01-08-41_1974-10-21_SB-MAYAPUR.MP3" TargetMode="External"/><Relationship Id="rId2663" Type="http://schemas.openxmlformats.org/officeDocument/2006/relationships/hyperlink" Target="https://audio.iskcondesiretree.com/01_-_Srila_Prabhupada/01_-_Lectures/01_-_English/02_-_Month_wise/01_-_January/01/SB_3-26-23_BOM_1975-01-01_Slave_vs_Revolting_Mentality.mp3" TargetMode="External"/><Relationship Id="rId2870" Type="http://schemas.openxmlformats.org/officeDocument/2006/relationships/hyperlink" Target="https://audio.iskcondesiretree.com/01_-_Srila_Prabhupada/01_-_Lectures/01_-_English/02_-_Month_wise/02_-_Feburary/28/RC_ATL_1975-02-28_Svarupa_Damodar--Research_Means_Rascal.mp3" TargetMode="External"/><Relationship Id="rId3507" Type="http://schemas.openxmlformats.org/officeDocument/2006/relationships/hyperlink" Target="https://audio.iskcondesiretree.com/01_-_Srila_Prabhupada/01_-_Lectures/01_-_English/02_-_Month_wise/07_-_July/12/SB_6-01-27_PHI_1975-07-12_Asses_All.mp3" TargetMode="External"/><Relationship Id="rId3714" Type="http://schemas.openxmlformats.org/officeDocument/2006/relationships/hyperlink" Target="https://audio.iskcondesiretree.com/01_-_Srila_Prabhupada/01_-_Lectures/01_-_English/01_-_Topic_wise/Srimad_Bhagavatam/Canto-06/SP_SB_6-01-67_Vrindavan_1975-09-03_Life_Is_Very_Risky.mp3" TargetMode="External"/><Relationship Id="rId3921" Type="http://schemas.openxmlformats.org/officeDocument/2006/relationships/hyperlink" Target="https://audio.iskcondesiretree.com/01_-_Srila_Prabhupada/01_-_Lectures/01_-_English/02_-_Month_wise/10_-_October/27/SB_3-12-18_NAI_1975-10-27_Stay_Under_Krishna%27s_Protection.mp3" TargetMode="External"/><Relationship Id="rId6120" Type="http://schemas.openxmlformats.org/officeDocument/2006/relationships/hyperlink" Target="https://audio.iskcondesiretree.com/01_-_Srila_Prabhupada/01_-_Lectures/01_-_English/01_-_Topic_wise/Krishna_Book/SP_Krsna_Book_Dict_86_-_The_Kidnapping_of_Subhadra.mp3" TargetMode="External"/><Relationship Id="rId428" Type="http://schemas.openxmlformats.org/officeDocument/2006/relationships/hyperlink" Target="https://audio.iskcondesiretree.com/01_-_Srila_Prabhupada/01_-_Lectures/01_-_English/01_-_Topic_wise/Room_Conversation/SP_Room_Conversation_Columbus_1969-05-13_Allen_Ginsberg--Walk_Through_Kali_Yuga.mp3" TargetMode="External"/><Relationship Id="rId635" Type="http://schemas.openxmlformats.org/officeDocument/2006/relationships/hyperlink" Target="https://audio.iskcondesiretree.com/01_-_Srila_Prabhupada/01_-_Lectures/01_-_English/01_-_Topic_wise/Festivals/SP_Festivals_San_Diego_1972-07-01_At_Balboa_Park--World_Is_Enchanted_by_Sex.mp3" TargetMode="External"/><Relationship Id="rId842" Type="http://schemas.openxmlformats.org/officeDocument/2006/relationships/hyperlink" Target="https://audio.iskcondesiretree.com/01_-_Srila_Prabhupada/01_-_Lectures/01_-_English/01_-_Topic_wise/Bhagavad_Gita/Chapter-02/SP_BG_02-24_Hyderabad_1972-11-28_Sanatana...Another_Nature.mp3" TargetMode="External"/><Relationship Id="rId1058" Type="http://schemas.openxmlformats.org/officeDocument/2006/relationships/hyperlink" Target="https://audio.iskcondesiretree.com/01_-_Srila_Prabhupada/01_-_Lectures/01_-_English/02_-_Month_wise/07_-_July/07/Bg_01-01_LON_1973-07-07_The_Material_World_Means_etc.mp3" TargetMode="External"/><Relationship Id="rId1265" Type="http://schemas.openxmlformats.org/officeDocument/2006/relationships/hyperlink" Target="https://audio.iskcondesiretree.com/01_-_Srila_Prabhupada/01_-_Lectures/01_-_English/02_-_Month_wise/09_-_September/07/SB_5-05-01_STO_1973-09-07_To_Students-Horrible_etc.mp3" TargetMode="External"/><Relationship Id="rId1472" Type="http://schemas.openxmlformats.org/officeDocument/2006/relationships/hyperlink" Target="https://audio.iskcondesiretree.com/01_-_Srila_Prabhupada/01_-_Lectures/01_-_English/01_-_Topic_wise/Srimad_Bhagavatam/Canto-01/SP_SB_1-16-05_Los_Angeles_1974-01-02_Fish_but_Don%27t_Touch_the_Water.mp3" TargetMode="External"/><Relationship Id="rId2109" Type="http://schemas.openxmlformats.org/officeDocument/2006/relationships/hyperlink" Target="https://audio.iskcondesiretree.com/01_-_Srila_Prabhupada/01_-_Lectures/01_-_English/02_-_Month_wise/06_-_June/12/MW_PAR_1974-06-12_God_Is_Not_Dead-Your_Intelligence_Is_Dead.mp3" TargetMode="External"/><Relationship Id="rId2316" Type="http://schemas.openxmlformats.org/officeDocument/2006/relationships/hyperlink" Target="https://audio.iskcondesiretree.com/01_-_Srila_Prabhupada/01_-_Lectures/01_-_English/01_-_Topic_wise/Room_Conversation/SP_Room_Conversation_01_Vrindavan_1974-08-05.mp3" TargetMode="External"/><Relationship Id="rId2523" Type="http://schemas.openxmlformats.org/officeDocument/2006/relationships/hyperlink" Target="https://audio.iskcondesiretree.com/01_-_Srila_Prabhupada/01_-_Lectures/01_-_English/02_-_Month_wise/11_-_November/15/SB_3-25-15_BOM_1974-11-15_Conditioned_or_Krishnized.mp3" TargetMode="External"/><Relationship Id="rId2730" Type="http://schemas.openxmlformats.org/officeDocument/2006/relationships/hyperlink" Target="https://audio.iskcondesiretree.com/01_-_Srila_Prabhupada/01_-_Lectures/01_-_English/02_-_Month_wise/01_-_January/26/RC_HK_1975-01-26_Children-This_Is_Yoga.mp3" TargetMode="External"/><Relationship Id="rId5679" Type="http://schemas.openxmlformats.org/officeDocument/2006/relationships/hyperlink" Target="https://audio.iskcondesiretree.com/01_-_Srila_Prabhupada/01_-_Lectures/01_-_English/02_-_Month_wise/02_-_Feburary/03/RC_BHU_1977-02-03_Jesus_Christ--We_Give_Christ_All_Honor.mp3" TargetMode="External"/><Relationship Id="rId5886" Type="http://schemas.openxmlformats.org/officeDocument/2006/relationships/hyperlink" Target="https://audio.iskcondesiretree.com/01_-_Srila_Prabhupada/01_-_Lectures/01_-_English/02_-_Month_wise/06_-_June/26/Conv_1977-06-26_R1-VRNDAVAN.MP3" TargetMode="External"/><Relationship Id="rId702" Type="http://schemas.openxmlformats.org/officeDocument/2006/relationships/hyperlink" Target="https://audio.iskcondesiretree.com/01_-_Srila_Prabhupada/01_-_Lectures/01_-_English/01_-_Topic_wise/Srimad_Bhagavatam/Canto-01/SP_SB_1-03-21_Los_Angeles_1972-09-26_Intelligent_Words_for_This_Age.mp3" TargetMode="External"/><Relationship Id="rId1125" Type="http://schemas.openxmlformats.org/officeDocument/2006/relationships/hyperlink" Target="https://audio.iskcondesiretree.com/01_-_Srila_Prabhupada/01_-_Lectures/01_-_English/01_-_Topic_wise/Room_Conversation/SP_Room_Conversation_London_1973-07-26_Schumacher_%26_Popworth--Purifying--etc.mp3" TargetMode="External"/><Relationship Id="rId1332" Type="http://schemas.openxmlformats.org/officeDocument/2006/relationships/hyperlink" Target="https://audio.iskcondesiretree.com/01_-_Srila_Prabhupada/01_-_Lectures/01_-_English/02_-_Month_wise/10_-_October/23/Bg_13-24_BOM_1973-10-23_Solving_the_Problems_of_Life.mp3" TargetMode="External"/><Relationship Id="rId4488" Type="http://schemas.openxmlformats.org/officeDocument/2006/relationships/hyperlink" Target="https://audio.iskcondesiretree.com/01_-_Srila_Prabhupada/01_-_Lectures/01_-_English/01_-_Topic_wise/Srimad_Bhagavatam/Canto-07/SP_SB_7-12-06_Bombay_1976-04-17_Know_Everything_of_Something.mp3" TargetMode="External"/><Relationship Id="rId4695" Type="http://schemas.openxmlformats.org/officeDocument/2006/relationships/hyperlink" Target="https://audio.iskcondesiretree.com/01_-_Srila_Prabhupada/01_-_Lectures/01_-_English/02_-_Month_wise/06_-_June/06/SB-06-01-40_1976-06-06_SB-LOS%20ANGELES.MP3" TargetMode="External"/><Relationship Id="rId5539" Type="http://schemas.openxmlformats.org/officeDocument/2006/relationships/hyperlink" Target="https://audio.iskcondesiretree.com/01_-_Srila_Prabhupada/01_-_Lectures/01_-_English/01_-_Topic_wise/Srimad_Bhagavatam/Canto-05/SP_SB_5-06-11_Bombay_1976-12-29_Soul-Killing_Civilization.mp3" TargetMode="External"/><Relationship Id="rId3297" Type="http://schemas.openxmlformats.org/officeDocument/2006/relationships/hyperlink" Target="https://audio.iskcondesiretree.com/01_-_Srila_Prabhupada/01_-_Lectures/01_-_English/02_-_Month_wise/06_-_June/15/Conv_1975-06-15_R3-HONOLULU.MP3" TargetMode="External"/><Relationship Id="rId4348" Type="http://schemas.openxmlformats.org/officeDocument/2006/relationships/hyperlink" Target="https://audio.iskcondesiretree.com/01_-_Srila_Prabhupada/01_-_Lectures/01_-_English/01_-_Topic_wise/Srimad_Bhagavatam/Canto-07/SP_SB_7-09-34_Mayapur_1976-03-12_Make_Krishna_Smile.mp3" TargetMode="External"/><Relationship Id="rId5746" Type="http://schemas.openxmlformats.org/officeDocument/2006/relationships/hyperlink" Target="https://audio.iskcondesiretree.com/01_-_Srila_Prabhupada/01_-_Lectures/01_-_English/02_-_Month_wise/02_-_Feburary/28/Conv_1977-02-28_R3-MAYAPUR.MP3" TargetMode="External"/><Relationship Id="rId5953" Type="http://schemas.openxmlformats.org/officeDocument/2006/relationships/hyperlink" Target="https://audio.iskcondesiretree.com/01_-_Srila_Prabhupada/01_-_Lectures/01_-_English/02_-_Month_wise/10_-_October/16/Conv_1977-10-16_R3-VRNDAVAN.MP3" TargetMode="External"/><Relationship Id="rId3157" Type="http://schemas.openxmlformats.org/officeDocument/2006/relationships/hyperlink" Target="https://audio.iskcondesiretree.com/01_-_Srila_Prabhupada/01_-_Lectures/01_-_English/02_-_Month_wise/05_-_May/09/Walk_1975-05-09_MW-PERTH.MP3" TargetMode="External"/><Relationship Id="rId4555" Type="http://schemas.openxmlformats.org/officeDocument/2006/relationships/hyperlink" Target="https://audio.iskcondesiretree.com/01_-_Srila_Prabhupada/01_-_Lectures/01_-_English/01_-_Topic_wise/Festivals/SP_Festivals_Fiji_1976-05-02_Deity_Installation_Enjoy--etc.mp3" TargetMode="External"/><Relationship Id="rId4762" Type="http://schemas.openxmlformats.org/officeDocument/2006/relationships/hyperlink" Target="https://audio.iskcondesiretree.com/01_-_Srila_Prabhupada/01_-_Lectures/01_-_English/02_-_Month_wise/06_-_June/16/Conv_1976-06-16_R1-DETROIT.MP3" TargetMode="External"/><Relationship Id="rId5606" Type="http://schemas.openxmlformats.org/officeDocument/2006/relationships/hyperlink" Target="https://audio.iskcondesiretree.com/01_-_Srila_Prabhupada/01_-_Lectures/01_-_English/02_-_Month_wise/01_-_January/20/Walk_1977-01-20_MW-BHUBANESWAR.MP3" TargetMode="External"/><Relationship Id="rId5813" Type="http://schemas.openxmlformats.org/officeDocument/2006/relationships/hyperlink" Target="https://audio.iskcondesiretree.com/01_-_Srila_Prabhupada/01_-_Lectures/01_-_English/02_-_Month_wise/04_-_April/22/Conv_1977-04-22_R1-BOMBAY.MP3" TargetMode="External"/><Relationship Id="rId285" Type="http://schemas.openxmlformats.org/officeDocument/2006/relationships/hyperlink" Target="https://audio.iskcondesiretree.com/01_-_Srila_Prabhupada/01_-_Lectures/01_-_English/01_-_Topic_wise/Srimad_Bhagavatam/Canto-07/SP_SB_7-09-08_Germany_1968-10-21_Nobody_Can_Exist_Without_God.mp3" TargetMode="External"/><Relationship Id="rId3364" Type="http://schemas.openxmlformats.org/officeDocument/2006/relationships/hyperlink" Target="https://audio.iskcondesiretree.com/01_-_Srila_Prabhupada/01_-_Lectures/01_-_English/01_-_Topic_wise/Room_Conversation/SP_Room_Conversation_Los_Angeles_1975-06-25_God_Is_As_Sure_As_Death.mp3" TargetMode="External"/><Relationship Id="rId3571" Type="http://schemas.openxmlformats.org/officeDocument/2006/relationships/hyperlink" Target="https://audio.iskcondesiretree.com/01_-_Srila_Prabhupada/01_-_Lectures/01_-_English/02_-_Month_wise/07_-_July/21/SB-06-01-40_1975-07-21_SB-SAN%20FRANCISCO.MP3" TargetMode="External"/><Relationship Id="rId4208" Type="http://schemas.openxmlformats.org/officeDocument/2006/relationships/hyperlink" Target="https://audio.iskcondesiretree.com/01_-_Srila_Prabhupada/01_-_Lectures/01_-_English/01_-_Topic_wise/Morning_Walk/SP_Morning_Walk_-_Mayapur_1976-02-05_Primordial_Criminality.mp3" TargetMode="External"/><Relationship Id="rId4415" Type="http://schemas.openxmlformats.org/officeDocument/2006/relationships/hyperlink" Target="https://audio.iskcondesiretree.com/01_-_Srila_Prabhupada/01_-_Lectures/01_-_English/01_-_Topic_wise/Srimad_Bhagavatam/Canto-07/SP_SB_7-05-23_Vrindavan_1976-03-31_Hear_from_a_Real_Devotee.mp3" TargetMode="External"/><Relationship Id="rId4622" Type="http://schemas.openxmlformats.org/officeDocument/2006/relationships/hyperlink" Target="https://audio.iskcondesiretree.com/01_-_Srila_Prabhupada/01_-_Lectures/01_-_English/02_-_Month_wise/05_-_May/19/Conv_1976-05-19_R1-HONOLULU.MP3" TargetMode="External"/><Relationship Id="rId492" Type="http://schemas.openxmlformats.org/officeDocument/2006/relationships/hyperlink" Target="https://audio.iskcondesiretree.com/01_-_Srila_Prabhupada/01_-_Lectures/01_-_English/01_-_Topic_wise/Festivals/SP_Festivals_Los_Angeles_1970-02-18_Varaha_Appearance.mp3" TargetMode="External"/><Relationship Id="rId2173" Type="http://schemas.openxmlformats.org/officeDocument/2006/relationships/hyperlink" Target="https://audio.iskcondesiretree.com/01_-_Srila_Prabhupada/01_-_Lectures/01_-_English/02_-_Month_wise/06_-_June/20/Walk_1974-06-20_MW-GERMANY.MP3" TargetMode="External"/><Relationship Id="rId2380" Type="http://schemas.openxmlformats.org/officeDocument/2006/relationships/hyperlink" Target="https://audio.iskcondesiretree.com/01_-_Srila_Prabhupada/01_-_Lectures/01_-_English/01_-_Topic_wise/Bhagavad_Gita/Chapter-04/SP_BG_04-10_Calcutta_1974-09-23_The_World_Is_a_Foreign_Country.mp3" TargetMode="External"/><Relationship Id="rId3017" Type="http://schemas.openxmlformats.org/officeDocument/2006/relationships/hyperlink" Target="https://audio.iskcondesiretree.com/01_-_Srila_Prabhupada/01_-_Lectures/01_-_English/01_-_Topic_wise/Room_Conversation/SP_Room_Conversation_Mayapur_1975-03-31_Conversations_with_Devotees.MP3" TargetMode="External"/><Relationship Id="rId3224" Type="http://schemas.openxmlformats.org/officeDocument/2006/relationships/hyperlink" Target="https://audio.iskcondesiretree.com/01_-_Srila_Prabhupada/01_-_Lectures/01_-_English/01_-_Topic_wise/Morning_Walk/SP_Morning_Walk_-_Melbourne_1975-05-22.MP3" TargetMode="External"/><Relationship Id="rId3431" Type="http://schemas.openxmlformats.org/officeDocument/2006/relationships/hyperlink" Target="https://audio.iskcondesiretree.com/01_-_Srila_Prabhupada/01_-_Lectures/01_-_English/02_-_Month_wise/07_-_July/04/MW_CHI_1975-07-04_Scientists_Controlling_Nature_That_etc.mp3" TargetMode="External"/><Relationship Id="rId145" Type="http://schemas.openxmlformats.org/officeDocument/2006/relationships/hyperlink" Target="https://audio.iskcondesiretree.com/01_-_Srila_Prabhupada/01_-_Lectures/01_-_English/02_-_Month_wise/12_-_December/03/Cc_M_20-146_NY_1966-12-03_Vedic_Knowledge_Points_to_Lord_Krsna.mp3" TargetMode="External"/><Relationship Id="rId352" Type="http://schemas.openxmlformats.org/officeDocument/2006/relationships/hyperlink" Target="https://audio.iskcondesiretree.com/01_-_Srila_Prabhupada/01_-_Lectures/01_-_English/02_-_Month_wise/01_-_January/06/Bg_04-07_LA_1969-01-06_The_Krishna_Consciousness_etc.mp3" TargetMode="External"/><Relationship Id="rId2033" Type="http://schemas.openxmlformats.org/officeDocument/2006/relationships/hyperlink" Target="https://audio.iskcondesiretree.com/01_-_Srila_Prabhupada/01_-_Lectures/01_-_English/01_-_Topic_wise/Morning_Walk/SP_Morning_Walk_-_Geneva_1974-06-02_Fighting_with_This_Maya.mp3" TargetMode="External"/><Relationship Id="rId2240" Type="http://schemas.openxmlformats.org/officeDocument/2006/relationships/hyperlink" Target="https://audio.iskcondesiretree.com/01_-_Srila_Prabhupada/01_-_Lectures/01_-_English/01_-_Topic_wise/Bhagavad_Gita/Chapter-17/SP_BG_17-01-03_Melbourne_1974-07-04_Faith-Blind_and_Sighted.mp3" TargetMode="External"/><Relationship Id="rId5189" Type="http://schemas.openxmlformats.org/officeDocument/2006/relationships/hyperlink" Target="https://audio.iskcondesiretree.com/01_-_Srila_Prabhupada/01_-_Lectures/01_-_English/02_-_Month_wise/09_-_September/05/SB_1-07-06_VRN_1976-09-05_Produce_Grain-Not_Goodyear_Tires.mp3" TargetMode="External"/><Relationship Id="rId5396" Type="http://schemas.openxmlformats.org/officeDocument/2006/relationships/hyperlink" Target="https://audio.iskcondesiretree.com/01_-_Srila_Prabhupada/01_-_Lectures/01_-_English/02_-_Month_wise/11_-_November/08/SB-05-05-20_1976-11-08_SB-VRNDAVAN.MP3" TargetMode="External"/><Relationship Id="rId212" Type="http://schemas.openxmlformats.org/officeDocument/2006/relationships/hyperlink" Target="https://audio.iskcondesiretree.com/01_-_Srila_Prabhupada/01_-_Lectures/01_-_English/01_-_Topic_wise/Chaitanya_Charitamrita/Madhya_Lila/SP_CC_M_22-014_New_York_1967-01-10_Nitya-baddhas_Nitya-muktas.mp3" TargetMode="External"/><Relationship Id="rId1799" Type="http://schemas.openxmlformats.org/officeDocument/2006/relationships/hyperlink" Target="https://audio.iskcondesiretree.com/01_-_Srila_Prabhupada/01_-_Lectures/01_-_English/02_-_Month_wise/04_-_April/01/Bg_04-12_BOM_1974-04-01_Hear_Talk_Chant_Eat_Work_etc.mp3" TargetMode="External"/><Relationship Id="rId2100" Type="http://schemas.openxmlformats.org/officeDocument/2006/relationships/hyperlink" Target="https://audio.iskcondesiretree.com/01_-_Srila_Prabhupada/01_-_Lectures/01_-_English/02_-_Month_wise/06_-_June/11/Walk_1974-06-11_MW-PARIS.MP3" TargetMode="External"/><Relationship Id="rId5049" Type="http://schemas.openxmlformats.org/officeDocument/2006/relationships/hyperlink" Target="https://audio.iskcondesiretree.com/01_-_Srila_Prabhupada/01_-_Lectures/01_-_English/02_-_Month_wise/08_-_August/02/Walk_1976-08-02_MW-NEW%20MAYAPUR.MP3" TargetMode="External"/><Relationship Id="rId5256" Type="http://schemas.openxmlformats.org/officeDocument/2006/relationships/hyperlink" Target="https://audio.iskcondesiretree.com/01_-_Srila_Prabhupada/01_-_Lectures/01_-_English/02_-_Month_wise/09_-_September/23/SB_1-07-26_VRN_1976-09-23_Freedom_Without_Fall-Down.mp3" TargetMode="External"/><Relationship Id="rId5463" Type="http://schemas.openxmlformats.org/officeDocument/2006/relationships/hyperlink" Target="https://audio.iskcondesiretree.com/01_-_Srila_Prabhupada/01_-_Lectures/01_-_English/02_-_Month_wise/11_-_November/28/SB_5-05-06_VRN_1976-11-28_Krishna%27s_Criminal_and_Civil_depts.mp3" TargetMode="External"/><Relationship Id="rId5670" Type="http://schemas.openxmlformats.org/officeDocument/2006/relationships/hyperlink" Target="https://audio.iskcondesiretree.com/01_-_Srila_Prabhupada/01_-_Lectures/01_-_English/02_-_Month_wise/02_-_Feburary/02/Conv_1977-02-02_R2-BHUBANESWAR.MP3" TargetMode="External"/><Relationship Id="rId4065" Type="http://schemas.openxmlformats.org/officeDocument/2006/relationships/hyperlink" Target="https://audio.iskcondesiretree.com/01_-_Srila_Prabhupada/01_-_Lectures/01_-_English/02_-_Month_wise/12_-_December/08/SB_7-06-06_VRN_1975-12-08_The_Victors_and_the_Victimized.mp3" TargetMode="External"/><Relationship Id="rId4272" Type="http://schemas.openxmlformats.org/officeDocument/2006/relationships/hyperlink" Target="https://audio.iskcondesiretree.com/01_-_Srila_Prabhupada/01_-_Lectures/01_-_English/01_-_Topic_wise/Srimad_Bhagavatam/Canto-07/SP_SB_7-09-16_Mayapur_1976-02-23_Spreading_the_Moonlight.mp3" TargetMode="External"/><Relationship Id="rId5116" Type="http://schemas.openxmlformats.org/officeDocument/2006/relationships/hyperlink" Target="https://audio.iskcondesiretree.com/01_-_Srila_Prabhupada/01_-_Lectures/01_-_English/02_-_Month_wise/08_-_August/16/Conv_1976-08-16_R1-BOMBAY.MP3" TargetMode="External"/><Relationship Id="rId5323" Type="http://schemas.openxmlformats.org/officeDocument/2006/relationships/hyperlink" Target="https://audio.iskcondesiretree.com/01_-_Srila_Prabhupada/01_-_Lectures/01_-_English/02_-_Month_wise/10_-_October/09/SB-01-02-05_1976-10-09_SB-ALIGARH.MP3" TargetMode="External"/><Relationship Id="rId1659" Type="http://schemas.openxmlformats.org/officeDocument/2006/relationships/hyperlink" Target="https://audio.iskcondesiretree.com/01_-_Srila_Prabhupada/01_-_Lectures/01_-_English/02_-_Month_wise/02_-_Feburary/27/SB-01-02-06_1974-02-27_SB-CALCUTTA.MP3" TargetMode="External"/><Relationship Id="rId1866" Type="http://schemas.openxmlformats.org/officeDocument/2006/relationships/hyperlink" Target="https://audio.iskcondesiretree.com/01_-_Srila_Prabhupada/01_-_Lectures/01_-_English/01_-_Topic_wise/Morning_Walk/SP_Morning_Walk_-_Bombay_1974-04-13.mp3" TargetMode="External"/><Relationship Id="rId2917" Type="http://schemas.openxmlformats.org/officeDocument/2006/relationships/hyperlink" Target="https://audio.iskcondesiretree.com/01_-_Srila_Prabhupada/01_-_Lectures/01_-_English/01_-_Topic_wise/Srimad_Bhagavatam/Canto-01/SP_SB_1-15-27_New_York_1975-03-06_Blazing_Fire_Within_the_Heart.mp3" TargetMode="External"/><Relationship Id="rId3081" Type="http://schemas.openxmlformats.org/officeDocument/2006/relationships/hyperlink" Target="https://audio.iskcondesiretree.com/01_-_Srila_Prabhupada/01_-_Lectures/01_-_English/01_-_Topic_wise/Srimad_Bhagavatam/Canto-05/SP_SB_5-05-01_Hyderabad_1975-04-10_Gold_Is_Gold_God_Is_God.mp3" TargetMode="External"/><Relationship Id="rId4132" Type="http://schemas.openxmlformats.org/officeDocument/2006/relationships/hyperlink" Target="https://audio.iskcondesiretree.com/01_-_Srila_Prabhupada/01_-_Lectures/01_-_English/02_-_Month_wise/12_-_December/26/Lecture%E2%80%93Hindi_1975-12-26_LE-SANAND.MP3" TargetMode="External"/><Relationship Id="rId5530" Type="http://schemas.openxmlformats.org/officeDocument/2006/relationships/hyperlink" Target="https://audio.iskcondesiretree.com/01_-_Srila_Prabhupada/01_-_Lectures/01_-_English/02_-_Month_wise/12_-_December/26/SB-05-05-02%E2%80%93Hindi_1976-12-26_SB-BOMBAY.MP3" TargetMode="External"/><Relationship Id="rId1519" Type="http://schemas.openxmlformats.org/officeDocument/2006/relationships/hyperlink" Target="https://audio.iskcondesiretree.com/01_-_Srila_Prabhupada/01_-_Lectures/01_-_English/01_-_Topic_wise/Morning_Walk/SP_Morning_Walk_-_Los_Angeles_1974-01-12.mp3" TargetMode="External"/><Relationship Id="rId1726" Type="http://schemas.openxmlformats.org/officeDocument/2006/relationships/hyperlink" Target="https://audio.iskcondesiretree.com/01_-_Srila_Prabhupada/01_-_Lectures/01_-_English/02_-_Month_wise/03_-_March/17/SB-02-01-02_1974-03-17_SB-VRNDAVAN.MP3" TargetMode="External"/><Relationship Id="rId1933" Type="http://schemas.openxmlformats.org/officeDocument/2006/relationships/hyperlink" Target="https://audio.iskcondesiretree.com/01_-_Srila_Prabhupada/01_-_Lectures/01_-_English/02_-_Month_wise/04_-_April/26/Conv_1974-04-26_R1-TIRUPATI.MP3" TargetMode="External"/><Relationship Id="rId6097" Type="http://schemas.openxmlformats.org/officeDocument/2006/relationships/hyperlink" Target="https://audio.iskcondesiretree.com/01_-_Srila_Prabhupada/01_-_Lectures/01_-_English/01_-_Topic_wise/Krishna_Book/SP_Krsna_Book_Dict_53_-_Krishna_Kidnaps_Rukmini.mp3" TargetMode="External"/><Relationship Id="rId18" Type="http://schemas.openxmlformats.org/officeDocument/2006/relationships/hyperlink" Target="https://audio.iskcondesiretree.com/01_-_Srila_Prabhupada/01_-_Lectures/01_-_English/01_-_Topic_wise/Srimad_Bhagavatam/Canto-01/SP_SB_1-02-17_New_York_1966-03-25_Krishna_Is_Omnipotent.mp3" TargetMode="External"/><Relationship Id="rId3898" Type="http://schemas.openxmlformats.org/officeDocument/2006/relationships/hyperlink" Target="https://audio.iskcondesiretree.com/01_-_Srila_Prabhupada/01_-_Lectures/01_-_English/02_-_Month_wise/10_-_October/20/MW_JOH_1975-10-20_I%27m_Happy-I%27m_Fool_Number_One.mp3" TargetMode="External"/><Relationship Id="rId4949" Type="http://schemas.openxmlformats.org/officeDocument/2006/relationships/hyperlink" Target="https://audio.iskcondesiretree.com/01_-_Srila_Prabhupada/01_-_Lectures/01_-_English/02_-_Month_wise/07_-_July/11/CcMadhya-20-105_1976-07-11_CC-NEW%20YORK.MP3" TargetMode="External"/><Relationship Id="rId3758" Type="http://schemas.openxmlformats.org/officeDocument/2006/relationships/hyperlink" Target="https://audio.iskcondesiretree.com/01_-_Srila_Prabhupada/01_-_Lectures/01_-_English/01_-_Topic_wise/Morning_Walk/SP_Morning_Walk_-_Vrindavan_1975-09-15_Successful_Suicide--G-Zero-D.mp3" TargetMode="External"/><Relationship Id="rId3965" Type="http://schemas.openxmlformats.org/officeDocument/2006/relationships/hyperlink" Target="https://audio.iskcondesiretree.com/01_-_Srila_Prabhupada/01_-_Lectures/01_-_English/01_-_Topic_wise/Morning_Walk/SP_Morning_Walk_-_Bombay_1975-11-08_So-Called_Knowledge_Is_Useless.mp3" TargetMode="External"/><Relationship Id="rId4809" Type="http://schemas.openxmlformats.org/officeDocument/2006/relationships/hyperlink" Target="https://audio.iskcondesiretree.com/01_-_Srila_Prabhupada/01_-_Lectures/01_-_English/02_-_Month_wise/06_-_June/22/Walk_1976-06-22_MW-NEW%20VRINDAVAN.MP3" TargetMode="External"/><Relationship Id="rId6164" Type="http://schemas.openxmlformats.org/officeDocument/2006/relationships/hyperlink" Target="https://audio.iskcondesiretree.com/01_-_Srila_Prabhupada/01_-_Lectures/01_-_English/01_-_Topic_wise/Stories/SP_Story_40_Savitri.mp3" TargetMode="External"/><Relationship Id="rId679" Type="http://schemas.openxmlformats.org/officeDocument/2006/relationships/hyperlink" Target="https://audio.iskcondesiretree.com/01_-_Srila_Prabhupada/01_-_Lectures/01_-_English/02_-_Month_wise/09_-_September/07/SB_1-02-09_NV_1972-09-07_The_Art_of_Knowing_What_to_etc.mp3" TargetMode="External"/><Relationship Id="rId886" Type="http://schemas.openxmlformats.org/officeDocument/2006/relationships/hyperlink" Target="https://audio.iskcondesiretree.com/01_-_Srila_Prabhupada/01_-_Lectures/01_-_English/01_-_Topic_wise/Nectar_Of_Devotion/SP_NOD_Pg-13_Bombay_1973-01-04_-_Without_KC_There_Cannot_Be_Bliss.mp3" TargetMode="External"/><Relationship Id="rId2567" Type="http://schemas.openxmlformats.org/officeDocument/2006/relationships/hyperlink" Target="https://audio.iskcondesiretree.com/01_-_Srila_Prabhupada/01_-_Lectures/01_-_English/01_-_Topic_wise/Srimad_Bhagavatam/Canto-03/SP_SB_3-25-30_Bombay_1974-11-30_Understanding-Standing_Under.mp3" TargetMode="External"/><Relationship Id="rId2774" Type="http://schemas.openxmlformats.org/officeDocument/2006/relationships/hyperlink" Target="https://audio.iskcondesiretree.com/01_-_Srila_Prabhupada/01_-_Lectures/01_-_English/02_-_Month_wise/02_-_Feburary/08/Bg_16-13_HAW_1975-02-08_Devotional_and_Demonic_Desires.mp3" TargetMode="External"/><Relationship Id="rId3618" Type="http://schemas.openxmlformats.org/officeDocument/2006/relationships/hyperlink" Target="https://audio.iskcondesiretree.com/01_-_Srila_Prabhupada/01_-_Lectures/01_-_English/02_-_Month_wise/07_-_July/31/Conv_1975-07-31_R1-NEW%20ORLEANS.MP3" TargetMode="External"/><Relationship Id="rId5180" Type="http://schemas.openxmlformats.org/officeDocument/2006/relationships/hyperlink" Target="https://audio.iskcondesiretree.com/01_-_Srila_Prabhupada/01_-_Lectures/01_-_English/01_-_Topic_wise/Room_Conversation/SP_Room_Conversation_Vrindavan_1976-09-04_Happy_Within_Yourself.mp3" TargetMode="External"/><Relationship Id="rId6024" Type="http://schemas.openxmlformats.org/officeDocument/2006/relationships/hyperlink" Target="https://audio.iskcondesiretree.com/01_-_Srila_Prabhupada/01_-_Lectures/01_-_English/02_-_Month_wise/11_-_November/14/ChantingDisappNight_1977-11-14_SP-VRNDAVAN.MP3" TargetMode="External"/><Relationship Id="rId2" Type="http://schemas.openxmlformats.org/officeDocument/2006/relationships/hyperlink" Target="https://audio.iskcondesiretree.com/01_-_Srila_Prabhupada/01_-_Lectures/01_-_English/01_-_Topic_wise/Bhagavad_Gita/More/SP_BG_00-02_New_York_1966-02-19_-20_Intro_2_to_Bhagavad_Gita.mp3" TargetMode="External"/><Relationship Id="rId539" Type="http://schemas.openxmlformats.org/officeDocument/2006/relationships/hyperlink" Target="https://audio.iskcondesiretree.com/01_-_Srila_Prabhupada/01_-_Lectures/01_-_English/02_-_Month_wise/07_-_July/01/Fest_LA_1971-07-01_Ratha_Yatra.mp3" TargetMode="External"/><Relationship Id="rId746" Type="http://schemas.openxmlformats.org/officeDocument/2006/relationships/hyperlink" Target="https://audio.iskcondesiretree.com/01_-_Srila_Prabhupada/01_-_Lectures/01_-_English/01_-_Topic_wise/Nectar_Of_Devotion/SP_NOD_04_Vrindavan_1972-10-26_-_The_Complete_Science_of_Bhakti_Yoga.mp3" TargetMode="External"/><Relationship Id="rId1169" Type="http://schemas.openxmlformats.org/officeDocument/2006/relationships/hyperlink" Target="https://audio.iskcondesiretree.com/01_-_Srila_Prabhupada/01_-_Lectures/01_-_English/01_-_Topic_wise/Room_Conversation/SP_Room_Conversation_Paris_1973-08-12_Recalling_a_Life_of_Pure_Devotion.mp3" TargetMode="External"/><Relationship Id="rId1376" Type="http://schemas.openxmlformats.org/officeDocument/2006/relationships/hyperlink" Target="https://audio.iskcondesiretree.com/01_-_Srila_Prabhupada/01_-_Lectures/01_-_English/02_-_Month_wise/11_-_November/30/SB_1-15-20_LA_1973-11-30_Again_Become_a_Mouse.mp3" TargetMode="External"/><Relationship Id="rId1583" Type="http://schemas.openxmlformats.org/officeDocument/2006/relationships/hyperlink" Target="https://audio.iskcondesiretree.com/01_-_Srila_Prabhupada/01_-_Lectures/01_-_English/01_-_Topic_wise/Bhagavad_Gita/Chapter-07/SP_BG_07-01-05_Hong_Kong_1974-01-31.mp3" TargetMode="External"/><Relationship Id="rId2427" Type="http://schemas.openxmlformats.org/officeDocument/2006/relationships/hyperlink" Target="https://audio.iskcondesiretree.com/01_-_Srila_Prabhupada/01_-_Lectures/01_-_English/02_-_Month_wise/10_-_October/10/SB-01-08-30_1974-10-10_SB-MAYAPUR.MP3" TargetMode="External"/><Relationship Id="rId2981" Type="http://schemas.openxmlformats.org/officeDocument/2006/relationships/hyperlink" Target="https://audio.iskcondesiretree.com/01_-_Srila_Prabhupada/01_-_Lectures/01_-_English/01_-_Topic_wise/Room_Conversation/SP_Room_Conversation_Mayapur_1975-03-23_Bhaktivinode_Predicted_Someone.mp3" TargetMode="External"/><Relationship Id="rId3825" Type="http://schemas.openxmlformats.org/officeDocument/2006/relationships/hyperlink" Target="https://audio.iskcondesiretree.com/01_-_Srila_Prabhupada/01_-_Lectures/01_-_English/02_-_Month_wise/10_-_October/05/Conv_1975-10-05_R1-MAURITIUS.MP3" TargetMode="External"/><Relationship Id="rId5040" Type="http://schemas.openxmlformats.org/officeDocument/2006/relationships/hyperlink" Target="https://audio.iskcondesiretree.com/01_-_Srila_Prabhupada/01_-_Lectures/01_-_English/01_-_Topic_wise/Room_Conversation/SP_Room_Conversation_Paris_1976-08-02_Becoming_Guru.mp3" TargetMode="External"/><Relationship Id="rId953" Type="http://schemas.openxmlformats.org/officeDocument/2006/relationships/hyperlink" Target="https://audio.iskcondesiretree.com/01_-_Srila_Prabhupada/01_-_Lectures/01_-_English/01_-_Topic_wise/Srimad_Bhagavatam/Canto-01/SP_SB_1-08-26_Los_Angeles_1973-04-18_Krishna_Conscious_Communism.mp3" TargetMode="External"/><Relationship Id="rId1029" Type="http://schemas.openxmlformats.org/officeDocument/2006/relationships/hyperlink" Target="https://audio.iskcondesiretree.com/01_-_Srila_Prabhupada/01_-_Lectures/01_-_English/01_-_Topic_wise/Srimad_Bhagavatam/Canto-01/SP_SB_1-09-49_Mayapur_1973-06-15_Ruling_by_Religious_Principles.mp3" TargetMode="External"/><Relationship Id="rId1236" Type="http://schemas.openxmlformats.org/officeDocument/2006/relationships/hyperlink" Target="https://audio.iskcondesiretree.com/01_-_Srila_Prabhupada/01_-_Lectures/01_-_English/02_-_Month_wise/08_-_August/31/Bg_02-30_LON_1973-08-31_Matter_Grows_on_the_Platform_of_Spirit.mp3" TargetMode="External"/><Relationship Id="rId1790" Type="http://schemas.openxmlformats.org/officeDocument/2006/relationships/hyperlink" Target="https://audio.iskcondesiretree.com/01_-_Srila_Prabhupada/01_-_Lectures/01_-_English/01_-_Topic_wise/Morning_Walk/SP_Morning_Walk_-_Bombay_1974-03-31_Take_Shelter_of_Eternal_Life.mp3" TargetMode="External"/><Relationship Id="rId2634" Type="http://schemas.openxmlformats.org/officeDocument/2006/relationships/hyperlink" Target="https://audio.iskcondesiretree.com/01_-_Srila_Prabhupada/01_-_Lectures/01_-_English/02_-_Month_wise/12_-_December/22/SB-03-26-10_1974-12-22_SB-BOMBAY.MP3" TargetMode="External"/><Relationship Id="rId2841" Type="http://schemas.openxmlformats.org/officeDocument/2006/relationships/hyperlink" Target="https://audio.iskcondesiretree.com/01_-_Srila_Prabhupada/01_-_Lectures/01_-_English/01_-_Topic_wise/Srimad_Bhagavatam/Canto-01/SP_SB_1-01-02_Caracas_1975-02-23_You_Are_Always_Dependent_on--etc.mp3" TargetMode="External"/><Relationship Id="rId5997" Type="http://schemas.openxmlformats.org/officeDocument/2006/relationships/hyperlink" Target="https://audio.iskcondesiretree.com/01_-_Srila_Prabhupada/01_-_Lectures/01_-_English/02_-_Month_wise/11_-_November/05/Conv_1977-11-05_R2-VRNDAVAN.MP3" TargetMode="External"/><Relationship Id="rId82" Type="http://schemas.openxmlformats.org/officeDocument/2006/relationships/hyperlink" Target="https://audio.iskcondesiretree.com/01_-_Srila_Prabhupada/01_-_Lectures/01_-_English/01_-_Topic_wise/Bhagavad_Gita/Chapter-06/SP_BG_06-32_New_York_1966-09-14_Yoga_System--Vairagya_It%27s--etc.mp3" TargetMode="External"/><Relationship Id="rId606" Type="http://schemas.openxmlformats.org/officeDocument/2006/relationships/hyperlink" Target="https://audio.iskcondesiretree.com/01_-_Srila_Prabhupada/01_-_Lectures/01_-_English/01_-_Topic_wise/Srimad_Bhagavatam/Canto-02/SP_SB_2-03-20_Los_Angeles_1972-06-16_Ear_Holes_Like_Snake_Holes.mp3" TargetMode="External"/><Relationship Id="rId813" Type="http://schemas.openxmlformats.org/officeDocument/2006/relationships/hyperlink" Target="https://audio.iskcondesiretree.com/01_-_Srila_Prabhupada/01_-_Lectures/01_-_English/01_-_Topic_wise/Srimad_Bhagavatam/Canto-01/SP_SB_1-02-33_Vrindavan_1972-11-12_Subtle_Cosmic_Button-Pusher.mp3" TargetMode="External"/><Relationship Id="rId1443" Type="http://schemas.openxmlformats.org/officeDocument/2006/relationships/hyperlink" Target="https://audio.iskcondesiretree.com/01_-_Srila_Prabhupada/01_-_Lectures/01_-_English/02_-_Month_wise/12_-_December/18/MW_LA_1973-12-18_In_God_We_Trust-Meaning_What.mp3" TargetMode="External"/><Relationship Id="rId1650" Type="http://schemas.openxmlformats.org/officeDocument/2006/relationships/hyperlink" Target="https://audio.iskcondesiretree.com/01_-_Srila_Prabhupada/01_-_Lectures/01_-_English/01_-_Topic_wise/Bhagavad_Gita/Chapter-07/SP_BG_07-11_Bombay_1974-02-25_Unplanned_Unwanted_Children.mp3" TargetMode="External"/><Relationship Id="rId2701" Type="http://schemas.openxmlformats.org/officeDocument/2006/relationships/hyperlink" Target="https://audio.iskcondesiretree.com/01_-_Srila_Prabhupada/01_-_Lectures/01_-_English/01_-_Topic_wise/Srimad_Bhagavatam/Canto-03/SP_SB_3-26-41_Bombay_1975-01-16_Working_of_Universal_Machinery.mp3" TargetMode="External"/><Relationship Id="rId4599" Type="http://schemas.openxmlformats.org/officeDocument/2006/relationships/hyperlink" Target="https://audio.iskcondesiretree.com/01_-_Srila_Prabhupada/01_-_Lectures/01_-_English/02_-_Month_wise/05_-_May/13/Conv_1976-05-13_R1-HONOLULU.MP3" TargetMode="External"/><Relationship Id="rId5857" Type="http://schemas.openxmlformats.org/officeDocument/2006/relationships/hyperlink" Target="https://audio.iskcondesiretree.com/01_-_Srila_Prabhupada/01_-_Lectures/01_-_English/02_-_Month_wise/05_-_May/21/Conv_1977-05-21_R1-VRNDAVAN.MP3" TargetMode="External"/><Relationship Id="rId1303" Type="http://schemas.openxmlformats.org/officeDocument/2006/relationships/hyperlink" Target="https://audio.iskcondesiretree.com/01_-_Srila_Prabhupada/01_-_Lectures/01_-_English/01_-_Topic_wise/Room_Conversation/SP_Room_Conversation_Bombay_1973-10-04_Evolving_Toward_Perfection.mp3" TargetMode="External"/><Relationship Id="rId1510" Type="http://schemas.openxmlformats.org/officeDocument/2006/relationships/hyperlink" Target="https://audio.iskcondesiretree.com/01_-_Srila_Prabhupada/01_-_Lectures/01_-_English/02_-_Month_wise/01_-_January/10/MW_LA_1974-01-10_Good_and_Not-so-good_Brains.mp3" TargetMode="External"/><Relationship Id="rId4459" Type="http://schemas.openxmlformats.org/officeDocument/2006/relationships/hyperlink" Target="https://audio.iskcondesiretree.com/01_-_Srila_Prabhupada/01_-_Lectures/01_-_English/02_-_Month_wise/04_-_April/10/SB-07-09-55_1976-04-10_SB-VRNDAVAN.MP3" TargetMode="External"/><Relationship Id="rId4666" Type="http://schemas.openxmlformats.org/officeDocument/2006/relationships/hyperlink" Target="https://audio.iskcondesiretree.com/01_-_Srila_Prabhupada/01_-_Lectures/01_-_English/02_-_Month_wise/05_-_May/30/SB-06-01-31_1976-05-30_SB-HONOLULU.MP3" TargetMode="External"/><Relationship Id="rId4873" Type="http://schemas.openxmlformats.org/officeDocument/2006/relationships/hyperlink" Target="https://audio.iskcondesiretree.com/01_-_Srila_Prabhupada/01_-_Lectures/01_-_English/02_-_Month_wise/07_-_July/01/SB_7-06-17_NV_1976-07-01_Material_Entrapment.mp3" TargetMode="External"/><Relationship Id="rId5717" Type="http://schemas.openxmlformats.org/officeDocument/2006/relationships/hyperlink" Target="https://audio.iskcondesiretree.com/01_-_Srila_Prabhupada/01_-_Lectures/01_-_English/02_-_Month_wise/02_-_Feburary/18/SB_7-09-04_MAY_1977-02-18_Can_God_Become_Angry.mp3" TargetMode="External"/><Relationship Id="rId5924" Type="http://schemas.openxmlformats.org/officeDocument/2006/relationships/hyperlink" Target="https://audio.iskcondesiretree.com/01_-_Srila_Prabhupada/01_-_Lectures/01_-_English/02_-_Month_wise/08_-_August/08/Conv_1977-08-08_R1-VRNDAVAN.MP3" TargetMode="External"/><Relationship Id="rId3268" Type="http://schemas.openxmlformats.org/officeDocument/2006/relationships/hyperlink" Target="https://audio.iskcondesiretree.com/01_-_Srila_Prabhupada/01_-_Lectures/01_-_English/02_-_Month_wise/06_-_June/07/Conv_1975-06-07_R1-HONOLULU.MP3" TargetMode="External"/><Relationship Id="rId3475" Type="http://schemas.openxmlformats.org/officeDocument/2006/relationships/hyperlink" Target="https://audio.iskcondesiretree.com/01_-_Srila_Prabhupada/01_-_Lectures/01_-_English/02_-_Month_wise/07_-_July/09/PressConf_1975-07-09_PC-CHICAGO.MP3" TargetMode="External"/><Relationship Id="rId3682" Type="http://schemas.openxmlformats.org/officeDocument/2006/relationships/hyperlink" Target="https://audio.iskcondesiretree.com/01_-_Srila_Prabhupada/01_-_Lectures/01_-_English/01_-_Topic_wise/Morning_Walk/SP_Morning_Walk_-_Vrindavan_1975-08-25.MP3" TargetMode="External"/><Relationship Id="rId4319" Type="http://schemas.openxmlformats.org/officeDocument/2006/relationships/hyperlink" Target="https://audio.iskcondesiretree.com/01_-_Srila_Prabhupada/01_-_Lectures/01_-_English/02_-_Month_wise/03_-_March/06/Meeting%E2%80%93Bengali_1976-03-06_ME-MAYAPUR.MP3" TargetMode="External"/><Relationship Id="rId4526" Type="http://schemas.openxmlformats.org/officeDocument/2006/relationships/hyperlink" Target="https://audio.iskcondesiretree.com/01_-_Srila_Prabhupada/01_-_Lectures/01_-_English/02_-_Month_wise/04_-_April/23/Conv_1976-04-23_R2-MELBOURNE.MP3" TargetMode="External"/><Relationship Id="rId4733" Type="http://schemas.openxmlformats.org/officeDocument/2006/relationships/hyperlink" Target="https://audio.iskcondesiretree.com/01_-_Srila_Prabhupada/01_-_Lectures/01_-_English/02_-_Month_wise/06_-_June/11/SB-06-01-45_1976-06-11_SB-LOS%20ANGELES.MP3" TargetMode="External"/><Relationship Id="rId4940" Type="http://schemas.openxmlformats.org/officeDocument/2006/relationships/hyperlink" Target="https://audio.iskcondesiretree.com/01_-_Srila_Prabhupada/01_-_Lectures/01_-_English/02_-_Month_wise/07_-_July/09/Walk_1976-07-09_MW-WASHINGTON%20DC.MP3" TargetMode="External"/><Relationship Id="rId189" Type="http://schemas.openxmlformats.org/officeDocument/2006/relationships/hyperlink" Target="https://audio.iskcondesiretree.com/01_-_Srila_Prabhupada/01_-_Lectures/01_-_English/02_-_Month_wise/12_-_December/24/Cc_M_20-334_NY_1966-12-24_Chant_Holy_Name_Together.mp3" TargetMode="External"/><Relationship Id="rId396" Type="http://schemas.openxmlformats.org/officeDocument/2006/relationships/hyperlink" Target="https://audio.iskcondesiretree.com/01_-_Srila_Prabhupada/01_-_Lectures/01_-_English/02_-_Month_wise/04_-_April/10/SB_2-01-01_NY_1969-04-10_The_Krishna-Approaching_Body.mp3" TargetMode="External"/><Relationship Id="rId2077" Type="http://schemas.openxmlformats.org/officeDocument/2006/relationships/hyperlink" Target="https://audio.iskcondesiretree.com/01_-_Srila_Prabhupada/01_-_Lectures/01_-_English/02_-_Month_wise/06_-_June/08/Arrival_1974-06-08_AR-PARIS.MP3" TargetMode="External"/><Relationship Id="rId2284" Type="http://schemas.openxmlformats.org/officeDocument/2006/relationships/hyperlink" Target="https://audio.iskcondesiretree.com/01_-_Srila_Prabhupada/01_-_Lectures/01_-_English/02_-_Month_wise/07_-_July/14/Chanting%20Cc-Adi%E2%80%9314th%20Ch_1974-07-14_CH-LOS%20ANGELES.MP3" TargetMode="External"/><Relationship Id="rId2491" Type="http://schemas.openxmlformats.org/officeDocument/2006/relationships/hyperlink" Target="https://audio.iskcondesiretree.com/01_-_Srila_Prabhupada/01_-_Lectures/01_-_English/01_-_Topic_wise/Srimad_Bhagavatam/Canto-03/SP_SB_3-25-04_Bombay_1974-11-04_Approach_a_Proper_Guru.mp3" TargetMode="External"/><Relationship Id="rId3128" Type="http://schemas.openxmlformats.org/officeDocument/2006/relationships/hyperlink" Target="https://audio.iskcondesiretree.com/01_-_Srila_Prabhupada/01_-_Lectures/01_-_English/01_-_Topic_wise/Various/SP_Lecture_Vrindavan_1975-04-20_These_Boys_Were_Jagai_%26_Madhai.mp3" TargetMode="External"/><Relationship Id="rId3335" Type="http://schemas.openxmlformats.org/officeDocument/2006/relationships/hyperlink" Target="https://audio.iskcondesiretree.com/01_-_Srila_Prabhupada/01_-_Lectures/01_-_English/01_-_Topic_wise/Morning_Walk/SP_Morning_Walk_-_Los_Angeles_1975-06-21_Struggling_for_Eternality.mp3" TargetMode="External"/><Relationship Id="rId3542" Type="http://schemas.openxmlformats.org/officeDocument/2006/relationships/hyperlink" Target="https://audio.iskcondesiretree.com/01_-_Srila_Prabhupada/01_-_Lectures/01_-_English/02_-_Month_wise/07_-_July/17/MW_SF_1975-07-17_Human_Civilization_Where.mp3" TargetMode="External"/><Relationship Id="rId256" Type="http://schemas.openxmlformats.org/officeDocument/2006/relationships/hyperlink" Target="https://audio.iskcondesiretree.com/01_-_Srila_Prabhupada/01_-_Lectures/01_-_English/01_-_Topic_wise/Srimad_Bhagavatam/Canto-07/SP_SB_7-09-13_Montreal_1968-08-20_Getting_a_Job_with_the--etc.mp3" TargetMode="External"/><Relationship Id="rId463" Type="http://schemas.openxmlformats.org/officeDocument/2006/relationships/hyperlink" Target="https://audio.iskcondesiretree.com/01_-_Srila_Prabhupada/01_-_Lectures/01_-_English/02_-_Month_wise/09_-_September/04/Lect_HAM_1969-09-04_Initiation-The_Sense_to_etc.mp3" TargetMode="External"/><Relationship Id="rId670" Type="http://schemas.openxmlformats.org/officeDocument/2006/relationships/hyperlink" Target="https://audio.iskcondesiretree.com/01_-_Srila_Prabhupada/01_-_Lectures/01_-_English/01_-_Topic_wise/Festivals/SP_Festivals_New_Vrindavan_1972-09-02_Vyasa-puja.mp3" TargetMode="External"/><Relationship Id="rId1093" Type="http://schemas.openxmlformats.org/officeDocument/2006/relationships/hyperlink" Target="https://audio.iskcondesiretree.com/01_-_Srila_Prabhupada/01_-_Lectures/01_-_English/02_-_Month_wise/07_-_July/17/Bg_01-20_LON_1973-07-17_First_Second_and_Third-Class_Rascals.mp3" TargetMode="External"/><Relationship Id="rId2144" Type="http://schemas.openxmlformats.org/officeDocument/2006/relationships/hyperlink" Target="https://audio.iskcondesiretree.com/01_-_Srila_Prabhupada/01_-_Lectures/01_-_English/02_-_Month_wise/06_-_June/15/Conv_1974-06-15_R2-PARIS.MP3" TargetMode="External"/><Relationship Id="rId2351" Type="http://schemas.openxmlformats.org/officeDocument/2006/relationships/hyperlink" Target="https://audio.iskcondesiretree.com/01_-_Srila_Prabhupada/01_-_Lectures/01_-_English/02_-_Month_wise/08_-_August/12/SB-01-05-31_1974-08-12_SB-VRNDAVAN.MP3" TargetMode="External"/><Relationship Id="rId3402" Type="http://schemas.openxmlformats.org/officeDocument/2006/relationships/hyperlink" Target="https://audio.iskcondesiretree.com/01_-_Srila_Prabhupada/01_-_Lectures/01_-_English/02_-_Month_wise/06_-_June/29/Walk_1975-06-29_MW-DENVER.MP3" TargetMode="External"/><Relationship Id="rId4800" Type="http://schemas.openxmlformats.org/officeDocument/2006/relationships/hyperlink" Target="https://audio.iskcondesiretree.com/01_-_Srila_Prabhupada/01_-_Lectures/01_-_English/02_-_Month_wise/06_-_June/21/SB-07-06-05_1976-06-21_SB-TORONTO.MP3" TargetMode="External"/><Relationship Id="rId116" Type="http://schemas.openxmlformats.org/officeDocument/2006/relationships/hyperlink" Target="https://audio.iskcondesiretree.com/01_-_Srila_Prabhupada/01_-_Lectures/01_-_English/01_-_Topic_wise/Bhagavad_Gita/Chapter-09/SP_BG_09-02-05_New_York_1966-11-23_Everything_Is_Resting_On_Krishna-Shine.mp3" TargetMode="External"/><Relationship Id="rId323" Type="http://schemas.openxmlformats.org/officeDocument/2006/relationships/hyperlink" Target="https://audio.iskcondesiretree.com/01_-_Srila_Prabhupada/01_-_Lectures/01_-_English/01_-_Topic_wise/Bhagavad_Gita/Chapter-02/SP_BG_02-46-62_Los_Angeles_1968-12-16_The_Miser_and_the_Mahatma.mp3" TargetMode="External"/><Relationship Id="rId530" Type="http://schemas.openxmlformats.org/officeDocument/2006/relationships/hyperlink" Target="https://audio.iskcondesiretree.com/01_-_Srila_Prabhupada/01_-_Lectures/01_-_English/02_-_Month_wise/05_-_May/28/Lect_LA_1971-05-28_Just_Learn_How_to_Love_Krishna.mp3" TargetMode="External"/><Relationship Id="rId1160" Type="http://schemas.openxmlformats.org/officeDocument/2006/relationships/hyperlink" Target="https://audio.iskcondesiretree.com/01_-_Srila_Prabhupada/01_-_Lectures/01_-_English/02_-_Month_wise/08_-_August/10/Bg_13-01_PAR_1973-08-10_Real_Answers_to_Life%27s_Real_Questions.mp3" TargetMode="External"/><Relationship Id="rId2004" Type="http://schemas.openxmlformats.org/officeDocument/2006/relationships/hyperlink" Target="https://audio.iskcondesiretree.com/01_-_Srila_Prabhupada/01_-_Lectures/01_-_English/02_-_Month_wise/05_-_May/28/SB_1-02-04_ROM_1974-05-28_Riverside_etc.mp3" TargetMode="External"/><Relationship Id="rId2211" Type="http://schemas.openxmlformats.org/officeDocument/2006/relationships/hyperlink" Target="https://audio.iskcondesiretree.com/01_-_Srila_Prabhupada/01_-_Lectures/01_-_English/01_-_Topic_wise/Room_Conversation/SP_Room_Conversation_Melbourne_1974-06-29_Bishop--Original_Sin--Original_Sanctity.mp3" TargetMode="External"/><Relationship Id="rId5367" Type="http://schemas.openxmlformats.org/officeDocument/2006/relationships/hyperlink" Target="https://audio.iskcondesiretree.com/01_-_Srila_Prabhupada/01_-_Lectures/01_-_English/02_-_Month_wise/11_-_November/02/Conv_1976-11-02_R2-VRNDAVAN.MP3" TargetMode="External"/><Relationship Id="rId4176" Type="http://schemas.openxmlformats.org/officeDocument/2006/relationships/hyperlink" Target="https://audio.iskcondesiretree.com/01_-_Srila_Prabhupada/01_-_Lectures/01_-_English/02_-_Month_wise/01_-_January/08/SB_6-01-15_NEL_1976-01-08_Liberation_by_Pure_Understanding.mp3" TargetMode="External"/><Relationship Id="rId5574" Type="http://schemas.openxmlformats.org/officeDocument/2006/relationships/hyperlink" Target="https://audio.iskcondesiretree.com/01_-_Srila_Prabhupada/01_-_Lectures/01_-_English/02_-_Month_wise/01_-_January/08/Conv_1977-01-08_R4-BOMBAY.MP3" TargetMode="External"/><Relationship Id="rId5781" Type="http://schemas.openxmlformats.org/officeDocument/2006/relationships/hyperlink" Target="https://audio.iskcondesiretree.com/01_-_Srila_Prabhupada/01_-_Lectures/01_-_English/02_-_Month_wise/03_-_March/31/Conv_1977-03-31_R2-BOMBAY.MP3" TargetMode="External"/><Relationship Id="rId1020" Type="http://schemas.openxmlformats.org/officeDocument/2006/relationships/hyperlink" Target="https://audio.iskcondesiretree.com/01_-_Srila_Prabhupada/01_-_Lectures/01_-_English/02_-_Month_wise/05_-_May/17/SB_1-09-03_LA_1973-05-17_Qualifications_of_Bhakta_and_Bhagavan.mp3" TargetMode="External"/><Relationship Id="rId1977" Type="http://schemas.openxmlformats.org/officeDocument/2006/relationships/hyperlink" Target="https://audio.iskcondesiretree.com/01_-_Srila_Prabhupada/01_-_Lectures/01_-_English/02_-_Month_wise/05_-_May/24/Conv_1974-05-24_R2-ROME.MP3" TargetMode="External"/><Relationship Id="rId4383" Type="http://schemas.openxmlformats.org/officeDocument/2006/relationships/hyperlink" Target="https://audio.iskcondesiretree.com/01_-_Srila_Prabhupada/01_-_Lectures/01_-_English/02_-_Month_wise/03_-_March/18/SB_7-09-40_MAY_1976-03-18_Serve_One_Master_Or_Many.mp3" TargetMode="External"/><Relationship Id="rId4590" Type="http://schemas.openxmlformats.org/officeDocument/2006/relationships/hyperlink" Target="https://audio.iskcondesiretree.com/01_-_Srila_Prabhupada/01_-_Lectures/01_-_English/02_-_Month_wise/05_-_May/11/SB_6-01-10_HON_1976-05-11_There_Is_No_Culture_%26_Education.mp3" TargetMode="External"/><Relationship Id="rId5227" Type="http://schemas.openxmlformats.org/officeDocument/2006/relationships/hyperlink" Target="https://audio.iskcondesiretree.com/01_-_Srila_Prabhupada/01_-_Lectures/01_-_English/02_-_Month_wise/09_-_September/13/SB-01-07-15_1976-09-13_SB-VRNDAVAN.MP3" TargetMode="External"/><Relationship Id="rId5434" Type="http://schemas.openxmlformats.org/officeDocument/2006/relationships/hyperlink" Target="https://audio.iskcondesiretree.com/01_-_Srila_Prabhupada/01_-_Lectures/01_-_English/02_-_Month_wise/11_-_November/18/SB-05-05-31_1976-11-18_SB-VRNDAVAN.MP3" TargetMode="External"/><Relationship Id="rId5641" Type="http://schemas.openxmlformats.org/officeDocument/2006/relationships/hyperlink" Target="https://audio.iskcondesiretree.com/01_-_Srila_Prabhupada/01_-_Lectures/01_-_English/02_-_Month_wise/01_-_January/27/Conv_1977-01-27_R2-BHUBANESWAR.MP3" TargetMode="External"/><Relationship Id="rId1837" Type="http://schemas.openxmlformats.org/officeDocument/2006/relationships/hyperlink" Target="https://audio.iskcondesiretree.com/01_-_Srila_Prabhupada/01_-_Lectures/01_-_English/02_-_Month_wise/04_-_April/07/Bg-04-18_1974-04-07_BG-BOMBAY.MP3" TargetMode="External"/><Relationship Id="rId3192" Type="http://schemas.openxmlformats.org/officeDocument/2006/relationships/hyperlink" Target="https://audio.iskcondesiretree.com/01_-_Srila_Prabhupada/01_-_Lectures/01_-_English/02_-_Month_wise/05_-_May/17/Conv_1975-05-17_R1-PERTH.MP3" TargetMode="External"/><Relationship Id="rId4036" Type="http://schemas.openxmlformats.org/officeDocument/2006/relationships/hyperlink" Target="https://audio.iskcondesiretree.com/01_-_Srila_Prabhupada/01_-_Lectures/01_-_English/02_-_Month_wise/11_-_November/30/MW_DEL_1975-11-30_Income_Tax_Department-Cheating_Department.mp3" TargetMode="External"/><Relationship Id="rId4243" Type="http://schemas.openxmlformats.org/officeDocument/2006/relationships/hyperlink" Target="https://audio.iskcondesiretree.com/01_-_Srila_Prabhupada/01_-_Lectures/01_-_English/02_-_Month_wise/02_-_Feburary/16/SB_7-09-09_MAY_1976-02-16_Education_Is_Not_Electronic.mp3" TargetMode="External"/><Relationship Id="rId4450" Type="http://schemas.openxmlformats.org/officeDocument/2006/relationships/hyperlink" Target="https://audio.iskcondesiretree.com/01_-_Srila_Prabhupada/01_-_Lectures/01_-_English/02_-_Month_wise/04_-_April/08/Walk_1976-04-08_MW-VRNDAVAN.MP3" TargetMode="External"/><Relationship Id="rId5501" Type="http://schemas.openxmlformats.org/officeDocument/2006/relationships/hyperlink" Target="https://audio.iskcondesiretree.com/01_-_Srila_Prabhupada/01_-_Lectures/01_-_English/02_-_Month_wise/12_-_December/14/Bg-16-07_1976-12-14_BG-HYDERABAD.MP3" TargetMode="External"/><Relationship Id="rId3052" Type="http://schemas.openxmlformats.org/officeDocument/2006/relationships/hyperlink" Target="https://audio.iskcondesiretree.com/01_-_Srila_Prabhupada/01_-_Lectures/01_-_English/02_-_Month_wise/04_-_April/04/Walk_1975-04-04_MW-MAYAPUR.MP3" TargetMode="External"/><Relationship Id="rId4103" Type="http://schemas.openxmlformats.org/officeDocument/2006/relationships/hyperlink" Target="https://audio.iskcondesiretree.com/01_-_Srila_Prabhupada/01_-_Lectures/01_-_English/02_-_Month_wise/12_-_December/18/Walk_1975-12-18_MW-BOMBAY.MP3" TargetMode="External"/><Relationship Id="rId4310" Type="http://schemas.openxmlformats.org/officeDocument/2006/relationships/hyperlink" Target="https://audio.iskcondesiretree.com/01_-_Srila_Prabhupada/01_-_Lectures/01_-_English/02_-_Month_wise/03_-_March/03/Walk_1976-03-03_MW-MAYAPUR.MP3" TargetMode="External"/><Relationship Id="rId180" Type="http://schemas.openxmlformats.org/officeDocument/2006/relationships/hyperlink" Target="https://audio.iskcondesiretree.com/01_-_Srila_Prabhupada/01_-_Lectures/01_-_English/02_-_Month_wise/12_-_December/20/Bg_09-29_NY_1966-12-20_Krishna%27s_Devotion_to_His_Devotee.mp3" TargetMode="External"/><Relationship Id="rId1904" Type="http://schemas.openxmlformats.org/officeDocument/2006/relationships/hyperlink" Target="https://audio.iskcondesiretree.com/01_-_Srila_Prabhupada/01_-_Lectures/01_-_English/02_-_Month_wise/04_-_April/20/Bg-13-04_1974-04-20_BG-HYDERABAD.MP3" TargetMode="External"/><Relationship Id="rId6068" Type="http://schemas.openxmlformats.org/officeDocument/2006/relationships/hyperlink" Target="https://audio.iskcondesiretree.com/01_-_Srila_Prabhupada/01_-_Lectures/01_-_English/01_-_Topic_wise/Krishna_Book/SP_Krsna_Book_Dict_20_-_Description_of_Autumn.mp3" TargetMode="External"/><Relationship Id="rId3869" Type="http://schemas.openxmlformats.org/officeDocument/2006/relationships/hyperlink" Target="https://audio.iskcondesiretree.com/01_-_Srila_Prabhupada/01_-_Lectures/01_-_English/02_-_Month_wise/10_-_October/14/SB-01-07-02%E2%80%9304_1975-10-14_SB-JOHANNESBURG.MP3" TargetMode="External"/><Relationship Id="rId5084" Type="http://schemas.openxmlformats.org/officeDocument/2006/relationships/hyperlink" Target="https://audio.iskcondesiretree.com/01_-_Srila_Prabhupada/01_-_Lectures/01_-_English/02_-_Month_wise/08_-_August/10/Conv_1976-08-10_R1-TEHRAN.MP3" TargetMode="External"/><Relationship Id="rId5291" Type="http://schemas.openxmlformats.org/officeDocument/2006/relationships/hyperlink" Target="https://audio.iskcondesiretree.com/01_-_Srila_Prabhupada/01_-_Lectures/01_-_English/02_-_Month_wise/10_-_October/02/SB-01-07-41%E2%80%9342_1976-10-02_SB-VRNDAVAN.MP3" TargetMode="External"/><Relationship Id="rId6135" Type="http://schemas.openxmlformats.org/officeDocument/2006/relationships/hyperlink" Target="https://audio.iskcondesiretree.com/01_-_Srila_Prabhupada/01_-_Lectures/01_-_English/01_-_Topic_wise/Stories/SP_Story_11_Don%27t_live_don%27t_die.mp3" TargetMode="External"/><Relationship Id="rId997" Type="http://schemas.openxmlformats.org/officeDocument/2006/relationships/hyperlink" Target="https://audio.iskcondesiretree.com/01_-_Srila_Prabhupada/01_-_Lectures/01_-_English/01_-_Topic_wise/Srimad_Bhagavatam/Canto-01/SP_SB_1-08-46_Los_Angeles_1973-05-08_The_Ksatriya_Spirit.mp3" TargetMode="External"/><Relationship Id="rId2678" Type="http://schemas.openxmlformats.org/officeDocument/2006/relationships/hyperlink" Target="https://audio.iskcondesiretree.com/01_-_Srila_Prabhupada/01_-_Lectures/01_-_English/02_-_Month_wise/01_-_January/06/SB-03-26-29_1975-01-06_SB-BOMBAY.MP3" TargetMode="External"/><Relationship Id="rId2885" Type="http://schemas.openxmlformats.org/officeDocument/2006/relationships/hyperlink" Target="https://audio.iskcondesiretree.com/01_-_Srila_Prabhupada/01_-_Lectures/01_-_English/02_-_Month_wise/03_-_March/01/Walk_1975-03-01_MW-ATLANTA.MP3" TargetMode="External"/><Relationship Id="rId3729" Type="http://schemas.openxmlformats.org/officeDocument/2006/relationships/hyperlink" Target="https://audio.iskcondesiretree.com/01_-_Srila_Prabhupada/01_-_Lectures/01_-_English/01_-_Topic_wise/Srimad_Bhagavatam/Canto-06/SP_SB_6-02-02_Vrindavan_1975-09-06_The_Absolute_Science.mp3" TargetMode="External"/><Relationship Id="rId3936" Type="http://schemas.openxmlformats.org/officeDocument/2006/relationships/hyperlink" Target="https://audio.iskcondesiretree.com/01_-_Srila_Prabhupada/01_-_Lectures/01_-_English/02_-_Month_wise/10_-_October/29/SB_3-28-19_NAI_1975-10-29_Krishna%27s_Impression_in_Heart.mp3" TargetMode="External"/><Relationship Id="rId5151" Type="http://schemas.openxmlformats.org/officeDocument/2006/relationships/hyperlink" Target="https://audio.iskcondesiretree.com/01_-_Srila_Prabhupada/01_-_Lectures/01_-_English/02_-_Month_wise/08_-_August/22/Initiations_1976-08-22-IN-HYDERABAD.MP3" TargetMode="External"/><Relationship Id="rId857" Type="http://schemas.openxmlformats.org/officeDocument/2006/relationships/hyperlink" Target="https://audio.iskcondesiretree.com/01_-_Srila_Prabhupada/01_-_Lectures/01_-_English/02_-_Month_wise/12_-_December/08/Lect_AHM_1972-12-08_Sankaracarya_Is_Not_Original.mp3" TargetMode="External"/><Relationship Id="rId1487" Type="http://schemas.openxmlformats.org/officeDocument/2006/relationships/hyperlink" Target="https://audio.iskcondesiretree.com/01_-_Srila_Prabhupada/01_-_Lectures/01_-_English/02_-_Month_wise/01_-_January/05/SB-01-16-08_1974-01-05_SB-LOS_ANGELES.MP3" TargetMode="External"/><Relationship Id="rId1694" Type="http://schemas.openxmlformats.org/officeDocument/2006/relationships/hyperlink" Target="https://audio.iskcondesiretree.com/01_-_Srila_Prabhupada/01_-_Lectures/01_-_English/02_-_Month_wise/03_-_March/09/Walk_1974-03-09_MW-MAYAPUR.MP3" TargetMode="External"/><Relationship Id="rId2538" Type="http://schemas.openxmlformats.org/officeDocument/2006/relationships/hyperlink" Target="https://audio.iskcondesiretree.com/01_-_Srila_Prabhupada/01_-_Lectures/01_-_English/02_-_Month_wise/11_-_November/20/SB_3-25-20_BOM_1974-11-20_How_to_Get_Rid_of_This_Body.mp3" TargetMode="External"/><Relationship Id="rId2745" Type="http://schemas.openxmlformats.org/officeDocument/2006/relationships/hyperlink" Target="https://audio.iskcondesiretree.com/01_-_Srila_Prabhupada/01_-_Lectures/01_-_English/02_-_Month_wise/01_-_January/30/Bg_16-04_HAW_1975-01-30_Become_Devotee_or_Remain_Demon.mp3" TargetMode="External"/><Relationship Id="rId2952" Type="http://schemas.openxmlformats.org/officeDocument/2006/relationships/hyperlink" Target="https://audio.iskcondesiretree.com/01_-_Srila_Prabhupada/01_-_Lectures/01_-_English/02_-_Month_wise/03_-_March/13/Conv_1975-03-13_R1-TEHRAN.MP3" TargetMode="External"/><Relationship Id="rId6202" Type="http://schemas.openxmlformats.org/officeDocument/2006/relationships/hyperlink" Target="https://audio.iskcondesiretree.com/01_-_Srila_Prabhupada/01_-_Lectures/03_-_Hindi/SP_Hindi_30_Lectures_%26_Conversations.mp3" TargetMode="External"/><Relationship Id="rId717" Type="http://schemas.openxmlformats.org/officeDocument/2006/relationships/hyperlink" Target="https://audio.iskcondesiretree.com/01_-_Srila_Prabhupada/01_-_Lectures/01_-_English/02_-_Month_wise/10_-_October/02/SB_1-03-27_LA_1972-10-02_The_Perfect_Philosophy.mp3" TargetMode="External"/><Relationship Id="rId924" Type="http://schemas.openxmlformats.org/officeDocument/2006/relationships/hyperlink" Target="https://audio.iskcondesiretree.com/01_-_Srila_Prabhupada/01_-_Lectures/01_-_English/01_-_Topic_wise/Srimad_Bhagavatam/Canto-01/SP_SB_1-01-19_Auckland_1973-02-20_The_Acharya_Knows_How_to--etc.mp3" TargetMode="External"/><Relationship Id="rId1347" Type="http://schemas.openxmlformats.org/officeDocument/2006/relationships/hyperlink" Target="https://audio.iskcondesiretree.com/01_-_Srila_Prabhupada/01_-_Lectures/01_-_English/02_-_Month_wise/11_-_November/03/Bg_04-18_DEL_1973-11-03_Everyone_Without_Krishna_etc.mp3" TargetMode="External"/><Relationship Id="rId1554" Type="http://schemas.openxmlformats.org/officeDocument/2006/relationships/hyperlink" Target="https://audio.iskcondesiretree.com/01_-_Srila_Prabhupada/01_-_Lectures/01_-_English/02_-_Month_wise/01_-_January/20/SB_1-16-24_HAW_1974-01-20_Finish_the_Business.mp3" TargetMode="External"/><Relationship Id="rId1761" Type="http://schemas.openxmlformats.org/officeDocument/2006/relationships/hyperlink" Target="https://audio.iskcondesiretree.com/01_-_Srila_Prabhupada/01_-_Lectures/01_-_English/01_-_Topic_wise/Morning_Walk/SP_Morning_Walk_-_Bombay_1974-03-26.mp3" TargetMode="External"/><Relationship Id="rId2605" Type="http://schemas.openxmlformats.org/officeDocument/2006/relationships/hyperlink" Target="https://audio.iskcondesiretree.com/01_-_Srila_Prabhupada/01_-_Lectures/01_-_English/02_-_Month_wise/12_-_December/12/SB_3-25-44_BOM_1974-12-12_No_Water_in_the_Desert.mp3" TargetMode="External"/><Relationship Id="rId2812" Type="http://schemas.openxmlformats.org/officeDocument/2006/relationships/hyperlink" Target="https://audio.iskcondesiretree.com/01_-_Srila_Prabhupada/01_-_Lectures/01_-_English/01_-_Topic_wise/Bhagavad_Gita/Chapter-02/SP_BG_02-17_Mexico_City_1975-02-17_Don%27t_Increase_the_Disease.mp3" TargetMode="External"/><Relationship Id="rId5011" Type="http://schemas.openxmlformats.org/officeDocument/2006/relationships/hyperlink" Target="https://audio.iskcondesiretree.com/01_-_Srila_Prabhupada/01_-_Lectures/01_-_English/02_-_Month_wise/07_-_July/23/CcMadhya-20-113_1976-07-23_CC-LONDON.MP3" TargetMode="External"/><Relationship Id="rId5968" Type="http://schemas.openxmlformats.org/officeDocument/2006/relationships/hyperlink" Target="https://audio.iskcondesiretree.com/01_-_Srila_Prabhupada/01_-_Lectures/01_-_English/02_-_Month_wise/10_-_October/26/Conv_1977-10-26_R1-VRNDAVAN.MP3" TargetMode="External"/><Relationship Id="rId53" Type="http://schemas.openxmlformats.org/officeDocument/2006/relationships/hyperlink" Target="https://audio.iskcondesiretree.com/01_-_Srila_Prabhupada/01_-_Lectures/01_-_English/02_-_Month_wise/07_-_July/30/Bg_04-12_NY_1966-07-30_Become_Brahmana_Twice-born.mp3" TargetMode="External"/><Relationship Id="rId1207" Type="http://schemas.openxmlformats.org/officeDocument/2006/relationships/hyperlink" Target="https://audio.iskcondesiretree.com/01_-_Srila_Prabhupada/01_-_Lectures/01_-_English/02_-_Month_wise/08_-_August/22/Bg_02-16_LON_1973-08-22_Nonexistent_and_Existent.mp3" TargetMode="External"/><Relationship Id="rId1414" Type="http://schemas.openxmlformats.org/officeDocument/2006/relationships/hyperlink" Target="https://audio.iskcondesiretree.com/01_-_Srila_Prabhupada/01_-_Lectures/01_-_English/02_-_Month_wise/12_-_December/11/SB_1-15-33_LA_1973-12-11_Separation_and_Search.mp3" TargetMode="External"/><Relationship Id="rId1621" Type="http://schemas.openxmlformats.org/officeDocument/2006/relationships/hyperlink" Target="https://audio.iskcondesiretree.com/01_-_Srila_Prabhupada/01_-_Lectures/01_-_English/02_-_Month_wise/02_-_Feburary/17/Walk_1974-02-17_MW-BOMBAY.MP3" TargetMode="External"/><Relationship Id="rId4777" Type="http://schemas.openxmlformats.org/officeDocument/2006/relationships/hyperlink" Target="https://audio.iskcondesiretree.com/01_-_Srila_Prabhupada/01_-_Lectures/01_-_English/02_-_Month_wise/06_-_June/18/Interview_1976-06-18_IV-TORONTO.MP3" TargetMode="External"/><Relationship Id="rId4984" Type="http://schemas.openxmlformats.org/officeDocument/2006/relationships/hyperlink" Target="https://audio.iskcondesiretree.com/01_-_Srila_Prabhupada/01_-_Lectures/01_-_English/01_-_Topic_wise/Chaitanya_Charitamrita/Madhya_Lila/SP_CC_M_20-110_New_York_1976-07-17_See_Illumination_of_God.mp3" TargetMode="External"/><Relationship Id="rId5828" Type="http://schemas.openxmlformats.org/officeDocument/2006/relationships/hyperlink" Target="https://audio.iskcondesiretree.com/01_-_Srila_Prabhupada/01_-_Lectures/01_-_English/02_-_Month_wise/04_-_April/28/RC_BOM_1977-04-28_Animal_Expertise.mp3" TargetMode="External"/><Relationship Id="rId3379" Type="http://schemas.openxmlformats.org/officeDocument/2006/relationships/hyperlink" Target="https://audio.iskcondesiretree.com/01_-_Srila_Prabhupada/01_-_Lectures/01_-_English/02_-_Month_wise/06_-_June/26/SB_6-01-13_HON_1975-06-26_God_is_not_a_Petty_Thing.mp3" TargetMode="External"/><Relationship Id="rId3586" Type="http://schemas.openxmlformats.org/officeDocument/2006/relationships/hyperlink" Target="https://audio.iskcondesiretree.com/01_-_Srila_Prabhupada/01_-_Lectures/01_-_English/02_-_Month_wise/07_-_July/25/SB-06-01-44_1975-07-25_SB-LOS%20ANGELES.MP3" TargetMode="External"/><Relationship Id="rId3793" Type="http://schemas.openxmlformats.org/officeDocument/2006/relationships/hyperlink" Target="https://audio.iskcondesiretree.com/01_-_Srila_Prabhupada/01_-_Lectures/01_-_English/02_-_Month_wise/09_-_September/29/Walk_1975-09-29_MW-AHMEDABAD.MP3" TargetMode="External"/><Relationship Id="rId4637" Type="http://schemas.openxmlformats.org/officeDocument/2006/relationships/hyperlink" Target="https://audio.iskcondesiretree.com/01_-_Srila_Prabhupada/01_-_Lectures/01_-_English/01_-_Topic_wise/Srimad_Bhagavatam/Canto-06/SP_SB_6-01-23_Honolulu_1976-05-23_Don%27t_Be_a_Hypocrite.mp3" TargetMode="External"/><Relationship Id="rId2188" Type="http://schemas.openxmlformats.org/officeDocument/2006/relationships/hyperlink" Target="https://audio.iskcondesiretree.com/01_-_Srila_Prabhupada/01_-_Lectures/01_-_English/01_-_Topic_wise/Bhagavad_Gita/Chapter-02/SP_BG_02-14_Germany_1974-06-23.mp3" TargetMode="External"/><Relationship Id="rId2395" Type="http://schemas.openxmlformats.org/officeDocument/2006/relationships/hyperlink" Target="https://audio.iskcondesiretree.com/01_-_Srila_Prabhupada/01_-_Lectures/01_-_English/02_-_Month_wise/09_-_September/28/SB_1-08-18_MAY_1974-09-28_Democracy_vs_Divine_Rule.mp3" TargetMode="External"/><Relationship Id="rId3239" Type="http://schemas.openxmlformats.org/officeDocument/2006/relationships/hyperlink" Target="https://audio.iskcondesiretree.com/01_-_Srila_Prabhupada/01_-_Lectures/01_-_English/02_-_Month_wise/05_-_May/24/Bg-07-01_1975-05-24_BG-FIJI.MP3" TargetMode="External"/><Relationship Id="rId3446" Type="http://schemas.openxmlformats.org/officeDocument/2006/relationships/hyperlink" Target="https://audio.iskcondesiretree.com/01_-_Srila_Prabhupada/01_-_Lectures/01_-_English/02_-_Month_wise/07_-_July/05/SB_6-01-21_CHI_1975-07-05_How_to_Prevent_Crime.mp3" TargetMode="External"/><Relationship Id="rId4844" Type="http://schemas.openxmlformats.org/officeDocument/2006/relationships/hyperlink" Target="https://audio.iskcondesiretree.com/01_-_Srila_Prabhupada/01_-_Lectures/01_-_English/01_-_Topic_wise/Room_Conversation/SP_Room_Conversation_New_Vrindavan_1976-06-28_Bhavans_Journal-5_What_Is_the_Sign--etc.mp3" TargetMode="External"/><Relationship Id="rId367" Type="http://schemas.openxmlformats.org/officeDocument/2006/relationships/hyperlink" Target="https://audio.iskcondesiretree.com/01_-_Srila_Prabhupada/01_-_Lectures/01_-_English/01_-_Topic_wise/Bhagavad_Gita/Chapter-06/SP_BG_06-01_Los_Angeles_1969-02-13_Yoga_System--Everything_Is_Spiritual.mp3" TargetMode="External"/><Relationship Id="rId574" Type="http://schemas.openxmlformats.org/officeDocument/2006/relationships/hyperlink" Target="https://audio.iskcondesiretree.com/01_-_Srila_Prabhupada/01_-_Lectures/01_-_English/01_-_Topic_wise/Srimad_Bhagavatam/Canto-02/SP_SB_2-03-02_Los_Angeles_1972-05-20_Why_Are_You_Going_to_Hell.mp3" TargetMode="External"/><Relationship Id="rId2048" Type="http://schemas.openxmlformats.org/officeDocument/2006/relationships/hyperlink" Target="https://audio.iskcondesiretree.com/01_-_Srila_Prabhupada/01_-_Lectures/01_-_English/02_-_Month_wise/06_-_June/04/Conv_1974-06-04_R2-GENEVA.MP3" TargetMode="External"/><Relationship Id="rId2255" Type="http://schemas.openxmlformats.org/officeDocument/2006/relationships/hyperlink" Target="https://audio.iskcondesiretree.com/01_-_Srila_Prabhupada/01_-_Lectures/01_-_English/01_-_Topic_wise/Morning_Walk/SP_Morning_Walk_-_Los_Angeles_1974-07-09.mp3" TargetMode="External"/><Relationship Id="rId3653" Type="http://schemas.openxmlformats.org/officeDocument/2006/relationships/hyperlink" Target="https://audio.iskcondesiretree.com/01_-_Srila_Prabhupada/01_-_Lectures/01_-_English/01_-_Topic_wise/Srimad_Bhagavatam/Canto-06/SP_SB_6-01-55_Paris_1975-08-11_Dangerous_Yogis.mp3" TargetMode="External"/><Relationship Id="rId3860" Type="http://schemas.openxmlformats.org/officeDocument/2006/relationships/hyperlink" Target="https://audio.iskcondesiretree.com/01_-_Srila_Prabhupada/01_-_Lectures/01_-_English/02_-_Month_wise/10_-_October/13/Walk_1975-10-13_MW-DURBAN.MP3" TargetMode="External"/><Relationship Id="rId4704" Type="http://schemas.openxmlformats.org/officeDocument/2006/relationships/hyperlink" Target="https://audio.iskcondesiretree.com/01_-_Srila_Prabhupada/01_-_Lectures/01_-_English/01_-_Topic_wise/Morning_Walk/SP_Morning_Walk_-_Los_Angeles_1976-06-08_Evolutionary_Suffering.mp3" TargetMode="External"/><Relationship Id="rId4911" Type="http://schemas.openxmlformats.org/officeDocument/2006/relationships/hyperlink" Target="https://audio.iskcondesiretree.com/01_-_Srila_Prabhupada/01_-_Lectures/01_-_English/02_-_Month_wise/07_-_July/06/Darshan_1976-07-06_ED-WASHINGTON%20DC.MP3" TargetMode="External"/><Relationship Id="rId227" Type="http://schemas.openxmlformats.org/officeDocument/2006/relationships/hyperlink" Target="https://audio.iskcondesiretree.com/01_-_Srila_Prabhupada/01_-_Lectures/01_-_English/02_-_Month_wise/02_-_Feburary/02/Lect_LA_1968-02-02_Relish_of_Renunciation_Sweetness_etc.mp3" TargetMode="External"/><Relationship Id="rId781" Type="http://schemas.openxmlformats.org/officeDocument/2006/relationships/hyperlink" Target="https://audio.iskcondesiretree.com/01_-_Srila_Prabhupada/01_-_Lectures/01_-_English/01_-_Topic_wise/Srimad_Bhagavatam/Canto-01/SP_SB_1-02-24_Vrindavan_1972-11-04_Rising_Beyond_the_Modes.mp3" TargetMode="External"/><Relationship Id="rId2462" Type="http://schemas.openxmlformats.org/officeDocument/2006/relationships/hyperlink" Target="https://audio.iskcondesiretree.com/01_-_Srila_Prabhupada/01_-_Lectures/01_-_English/02_-_Month_wise/10_-_October/23/SB-01-08-43_1974-10-23_SB-MAYAPUR.MP3" TargetMode="External"/><Relationship Id="rId3306" Type="http://schemas.openxmlformats.org/officeDocument/2006/relationships/hyperlink" Target="https://audio.iskcondesiretree.com/01_-_Srila_Prabhupada/01_-_Lectures/01_-_English/01_-_Topic_wise/Room_Conversation/SP_Room_Converstion_04_Honolulu_1975-06-16.MP3" TargetMode="External"/><Relationship Id="rId3513" Type="http://schemas.openxmlformats.org/officeDocument/2006/relationships/hyperlink" Target="https://audio.iskcondesiretree.com/01_-_Srila_Prabhupada/01_-_Lectures/01_-_English/01_-_Topic_wise/Room_Conversation/SP_Room_Conversation_Philadelphia_1975-07-13_You_Are_Reborn_At_Every_Moment.mp3" TargetMode="External"/><Relationship Id="rId3720" Type="http://schemas.openxmlformats.org/officeDocument/2006/relationships/hyperlink" Target="https://audio.iskcondesiretree.com/01_-_Srila_Prabhupada/01_-_Lectures/01_-_English/02_-_Month_wise/09_-_September/04/SB-06-01-68_1975-09-04_SB-VRNDAVAN.MP3" TargetMode="External"/><Relationship Id="rId434" Type="http://schemas.openxmlformats.org/officeDocument/2006/relationships/hyperlink" Target="https://audio.iskcondesiretree.com/01_-_Srila_Prabhupada/01_-_Lectures/01_-_English/01_-_Topic_wise/Srimad_Bhagavatam/Canto-01/SP_SB_1-05-02_New_Vrindavan_1969-05-23_Don%27t_Change_Activities...--etc.mp3" TargetMode="External"/><Relationship Id="rId641" Type="http://schemas.openxmlformats.org/officeDocument/2006/relationships/hyperlink" Target="https://audio.iskcondesiretree.com/01_-_Srila_Prabhupada/01_-_Lectures/01_-_English/02_-_Month_wise/07_-_July/20/Arr_PAR_1972-07-20_Why_Study_the_Perishable.mp3" TargetMode="External"/><Relationship Id="rId1064" Type="http://schemas.openxmlformats.org/officeDocument/2006/relationships/hyperlink" Target="https://audio.iskcondesiretree.com/01_-_Srila_Prabhupada/01_-_Lectures/01_-_English/02_-_Month_wise/07_-_July/09/RC_LON_1973-07-09_Act_According_to_Krishna%27s_Whims.mp3" TargetMode="External"/><Relationship Id="rId1271" Type="http://schemas.openxmlformats.org/officeDocument/2006/relationships/hyperlink" Target="https://audio.iskcondesiretree.com/01_-_Srila_Prabhupada/01_-_Lectures/01_-_English/01_-_Topic_wise/Various/SP_Lecture_Stockholm_1973-09-09_To_Students_on--etc.mp3" TargetMode="External"/><Relationship Id="rId2115" Type="http://schemas.openxmlformats.org/officeDocument/2006/relationships/hyperlink" Target="https://audio.iskcondesiretree.com/01_-_Srila_Prabhupada/01_-_Lectures/01_-_English/01_-_Topic_wise/Bhagavad_Gita/Chapter-07/SP_BG_07-01_Paris_1974-06-13_Serious_Ones_Will_Come_to--etc.mp3" TargetMode="External"/><Relationship Id="rId2322" Type="http://schemas.openxmlformats.org/officeDocument/2006/relationships/hyperlink" Target="https://audio.iskcondesiretree.com/01_-_Srila_Prabhupada/01_-_Lectures/01_-_English/01_-_Topic_wise/Bhagavad_Gita/Chapter-04/SP_BG_04-14_Vrindavan_1974-08-06_Who_Can_Understand_Krishna.mp3" TargetMode="External"/><Relationship Id="rId5478" Type="http://schemas.openxmlformats.org/officeDocument/2006/relationships/hyperlink" Target="https://audio.iskcondesiretree.com/01_-_Srila_Prabhupada/01_-_Lectures/01_-_English/02_-_Month_wise/12_-_December/07/Walk_1976-12-07_MW-HYDERABAD.MP3" TargetMode="External"/><Relationship Id="rId5685" Type="http://schemas.openxmlformats.org/officeDocument/2006/relationships/hyperlink" Target="https://audio.iskcondesiretree.com/01_-_Srila_Prabhupada/01_-_Lectures/01_-_English/02_-_Month_wise/02_-_Feburary/06/SB-01-08-18%E2%80%93Hindi_1977-02-06_SB-CALCUTTA.MP3" TargetMode="External"/><Relationship Id="rId5892" Type="http://schemas.openxmlformats.org/officeDocument/2006/relationships/hyperlink" Target="https://audio.iskcondesiretree.com/01_-_Srila_Prabhupada/01_-_Lectures/01_-_English/02_-_Month_wise/06_-_June/28/Conv_1977-06-28_R4-VRNDAVAN.MP3" TargetMode="External"/><Relationship Id="rId501" Type="http://schemas.openxmlformats.org/officeDocument/2006/relationships/hyperlink" Target="https://audio.iskcondesiretree.com/01_-_Srila_Prabhupada/01_-_Lectures/01_-_English/02_-_Month_wise/04_-_April/27/Iso_00_LA_1970-04-27_Our_Foolishness_Equals_Our_Defeat.mp3" TargetMode="External"/><Relationship Id="rId1131" Type="http://schemas.openxmlformats.org/officeDocument/2006/relationships/hyperlink" Target="https://audio.iskcondesiretree.com/01_-_Srila_Prabhupada/01_-_Lectures/01_-_English/02_-_Month_wise/07_-_July/28/Bg_01-40_LON_1973-07-28_The_Psychology_of_Chastity.mp3" TargetMode="External"/><Relationship Id="rId4287" Type="http://schemas.openxmlformats.org/officeDocument/2006/relationships/hyperlink" Target="https://audio.iskcondesiretree.com/01_-_Srila_Prabhupada/01_-_Lectures/01_-_English/02_-_Month_wise/02_-_Feburary/26/SB-07-09-19_1976-02-26_SB-MAYAPUR.MP3" TargetMode="External"/><Relationship Id="rId4494" Type="http://schemas.openxmlformats.org/officeDocument/2006/relationships/hyperlink" Target="https://audio.iskcondesiretree.com/01_-_Srila_Prabhupada/01_-_Lectures/01_-_English/01_-_Topic_wise/Arrival_Address/SP_Arrival_Melbourne_1976-04-19_Meaning_of_God.mp3" TargetMode="External"/><Relationship Id="rId5338" Type="http://schemas.openxmlformats.org/officeDocument/2006/relationships/hyperlink" Target="https://audio.iskcondesiretree.com/01_-_Srila_Prabhupada/01_-_Lectures/01_-_English/02_-_Month_wise/10_-_October/17/Addr_CHA_1976-10-17_To_Rotary_Club_Let_Krishna_Speak_etc.mp3" TargetMode="External"/><Relationship Id="rId5545" Type="http://schemas.openxmlformats.org/officeDocument/2006/relationships/hyperlink" Target="https://audio.iskcondesiretree.com/01_-_Srila_Prabhupada/01_-_Lectures/01_-_English/02_-_Month_wise/12_-_December/31/Conv_1976-12-31_R1-BOMBAY.MP3" TargetMode="External"/><Relationship Id="rId5752" Type="http://schemas.openxmlformats.org/officeDocument/2006/relationships/hyperlink" Target="https://audio.iskcondesiretree.com/01_-_Srila_Prabhupada/01_-_Lectures/01_-_English/02_-_Month_wise/03_-_March/01/SB-07-09-09_1977-03-01_SB-MAYAPUR.MP3" TargetMode="External"/><Relationship Id="rId3096" Type="http://schemas.openxmlformats.org/officeDocument/2006/relationships/hyperlink" Target="https://audio.iskcondesiretree.com/01_-_Srila_Prabhupada/01_-_Lectures/01_-_English/02_-_Month_wise/04_-_April/12/RC_HYD_1975-04-12_You_Cannot_Preach_Your_Philosophy.mp3" TargetMode="External"/><Relationship Id="rId4147" Type="http://schemas.openxmlformats.org/officeDocument/2006/relationships/hyperlink" Target="https://audio.iskcondesiretree.com/01_-_Srila_Prabhupada/01_-_Lectures/01_-_English/02_-_Month_wise/01_-_January/02/SB_7-06-01_MAD_1976-01-02_Spiritual_Convalescence_%26_Cure.mp3" TargetMode="External"/><Relationship Id="rId4354" Type="http://schemas.openxmlformats.org/officeDocument/2006/relationships/hyperlink" Target="https://audio.iskcondesiretree.com/01_-_Srila_Prabhupada/01_-_Lectures/01_-_English/02_-_Month_wise/03_-_March/13/Walk_1976-03-13_MW-MAYAPUR.MP3" TargetMode="External"/><Relationship Id="rId4561" Type="http://schemas.openxmlformats.org/officeDocument/2006/relationships/hyperlink" Target="https://audio.iskcondesiretree.com/01_-_Srila_Prabhupada/01_-_Lectures/01_-_English/02_-_Month_wise/05_-_May/03/Conv_1976-05-03_R1-FIJI.MP3" TargetMode="External"/><Relationship Id="rId5405" Type="http://schemas.openxmlformats.org/officeDocument/2006/relationships/hyperlink" Target="https://audio.iskcondesiretree.com/01_-_Srila_Prabhupada/01_-_Lectures/01_-_English/01_-_Topic_wise/Srimad_Bhagavatam/Canto-05/SP_SB_5-05-24_Vrindavan_1976-11-11_Transcendental_Goodness.mp3" TargetMode="External"/><Relationship Id="rId5612" Type="http://schemas.openxmlformats.org/officeDocument/2006/relationships/hyperlink" Target="https://audio.iskcondesiretree.com/01_-_Srila_Prabhupada/01_-_Lectures/01_-_English/02_-_Month_wise/01_-_January/21/Conv_1977-01-21_R6-BHUBANESWAR.MP3" TargetMode="External"/><Relationship Id="rId1948" Type="http://schemas.openxmlformats.org/officeDocument/2006/relationships/hyperlink" Target="https://audio.iskcondesiretree.com/01_-_Srila_Prabhupada/01_-_Lectures/01_-_English/02_-_Month_wise/05_-_May/02/Walk_1974-05-02_MW-BOMBAY.MP3" TargetMode="External"/><Relationship Id="rId3163" Type="http://schemas.openxmlformats.org/officeDocument/2006/relationships/hyperlink" Target="https://audio.iskcondesiretree.com/01_-_Srila_Prabhupada/01_-_Lectures/01_-_English/02_-_Month_wise/05_-_May/11/Walk_1975-05-11_MW-PERTH.MP3" TargetMode="External"/><Relationship Id="rId3370" Type="http://schemas.openxmlformats.org/officeDocument/2006/relationships/hyperlink" Target="https://audio.iskcondesiretree.com/01_-_Srila_Prabhupada/01_-_Lectures/01_-_English/02_-_Month_wise/06_-_June/25/Walk_1975-06-25_MW-LOS%20ANGELES.MP3" TargetMode="External"/><Relationship Id="rId4007" Type="http://schemas.openxmlformats.org/officeDocument/2006/relationships/hyperlink" Target="https://audio.iskcondesiretree.com/01_-_Srila_Prabhupada/01_-_Lectures/01_-_English/02_-_Month_wise/11_-_November/18/Lect_BOM_1975-11-18_Initiation_Sannyasa-Deliver_One_etc.mp3" TargetMode="External"/><Relationship Id="rId4214" Type="http://schemas.openxmlformats.org/officeDocument/2006/relationships/hyperlink" Target="https://audio.iskcondesiretree.com/01_-_Srila_Prabhupada/01_-_Lectures/01_-_English/01_-_Topic_wise/Morning_Walk/SP_Morning_Walk_-_Mayapur_1976-02-06_The_Fighting_Philosophy.mp3" TargetMode="External"/><Relationship Id="rId4421" Type="http://schemas.openxmlformats.org/officeDocument/2006/relationships/hyperlink" Target="https://audio.iskcondesiretree.com/01_-_Srila_Prabhupada/01_-_Lectures/01_-_English/02_-_Month_wise/04_-_April/02/SB_7-09-47_VRN_1976-04-02_Demonic_Habits_Are_Being_Killed.mp3" TargetMode="External"/><Relationship Id="rId291" Type="http://schemas.openxmlformats.org/officeDocument/2006/relationships/hyperlink" Target="https://audio.iskcondesiretree.com/01_-_Srila_Prabhupada/01_-_Lectures/01_-_English/02_-_Month_wise/11_-_November/08/Lect_LA_1968-11-08_Brahma_Samhita_29-The_Spiritual_etc.mp3" TargetMode="External"/><Relationship Id="rId1808" Type="http://schemas.openxmlformats.org/officeDocument/2006/relationships/hyperlink" Target="https://audio.iskcondesiretree.com/01_-_Srila_Prabhupada/01_-_Lectures/01_-_English/02_-_Month_wise/04_-_April/02/Bg_04-13_BOM_1974-04-02_Kill_Krishna_Gita_Commentaries.mp3" TargetMode="External"/><Relationship Id="rId3023" Type="http://schemas.openxmlformats.org/officeDocument/2006/relationships/hyperlink" Target="https://audio.iskcondesiretree.com/01_-_Srila_Prabhupada/01_-_Lectures/01_-_English/01_-_Topic_wise/Room_Conversation/SP_Room_Conversation_Mayapur_1975-04-01_Theologian_Speculators.mp3" TargetMode="External"/><Relationship Id="rId6179" Type="http://schemas.openxmlformats.org/officeDocument/2006/relationships/hyperlink" Target="https://audio.iskcondesiretree.com/01_-_Srila_Prabhupada/01_-_Lectures/03_-_Hindi/SP_Hindi_07_Lectures_%26_Conversations.mp3" TargetMode="External"/><Relationship Id="rId151" Type="http://schemas.openxmlformats.org/officeDocument/2006/relationships/hyperlink" Target="https://audio.iskcondesiretree.com/01_-_Srila_Prabhupada/01_-_Lectures/01_-_English/02_-_Month_wise/12_-_December/06/Bg_09-20_NY_1966-12-06_Heavenly_Planets-Temporary_Happiness.mp3" TargetMode="External"/><Relationship Id="rId3230" Type="http://schemas.openxmlformats.org/officeDocument/2006/relationships/hyperlink" Target="https://audio.iskcondesiretree.com/01_-_Srila_Prabhupada/01_-_Lectures/01_-_English/02_-_Month_wise/05_-_May/22/Conv_1975-05-22_R2-MELBOURNE.MP3" TargetMode="External"/><Relationship Id="rId5195" Type="http://schemas.openxmlformats.org/officeDocument/2006/relationships/hyperlink" Target="https://audio.iskcondesiretree.com/01_-_Srila_Prabhupada/01_-_Lectures/01_-_English/01_-_Topic_wise/Room_Conversation/SP_Room_Conversation_Vrindavan_1976-09-07_Spiritual_Happiness_and_Suicidal_Monkey.mp3" TargetMode="External"/><Relationship Id="rId6039" Type="http://schemas.openxmlformats.org/officeDocument/2006/relationships/hyperlink" Target="https://audio.iskcondesiretree.com/01_-_Srila_Prabhupada/01_-_Lectures/01_-_English/01_-_Topic_wise/Bhagavad_Gita_Recitation/SP_BG_Recitation_Chapter-06_-_Sanskrit.mp3" TargetMode="External"/><Relationship Id="rId2789" Type="http://schemas.openxmlformats.org/officeDocument/2006/relationships/hyperlink" Target="https://audio.iskcondesiretree.com/01_-_Srila_Prabhupada/01_-_Lectures/01_-_English/01_-_Topic_wise/Bhagavad_Gita/Chapter-02/SP_BG_02-12_Mexico_1975-02-12_Don%27t_Be_Animalistic_Scholar.mp3" TargetMode="External"/><Relationship Id="rId2996" Type="http://schemas.openxmlformats.org/officeDocument/2006/relationships/hyperlink" Target="https://audio.iskcondesiretree.com/01_-_Srila_Prabhupada/01_-_Lectures/01_-_English/01_-_Topic_wise/Room_Conversation/SP_Room_Conversation_01_Mayapur_1975-03-27.MP3" TargetMode="External"/><Relationship Id="rId968" Type="http://schemas.openxmlformats.org/officeDocument/2006/relationships/hyperlink" Target="https://audio.iskcondesiretree.com/01_-_Srila_Prabhupada/01_-_Lectures/01_-_English/02_-_Month_wise/04_-_April/24/SB_1-08-32_LA_1973-04-24_Why_Does_the_Unborn_Take_Birth.mp3" TargetMode="External"/><Relationship Id="rId1598" Type="http://schemas.openxmlformats.org/officeDocument/2006/relationships/hyperlink" Target="https://audio.iskcondesiretree.com/01_-_Srila_Prabhupada/01_-_Lectures/01_-_English/02_-_Month_wise/02_-_Feburary/08/Conv_1974-02-08_R2-VRNDAVAN.MP3" TargetMode="External"/><Relationship Id="rId2649" Type="http://schemas.openxmlformats.org/officeDocument/2006/relationships/hyperlink" Target="https://audio.iskcondesiretree.com/01_-_Srila_Prabhupada/01_-_Lectures/01_-_English/02_-_Month_wise/12_-_December/27/SB-03-26-18_1974-12-27_SB-BOMBAY.MP3" TargetMode="External"/><Relationship Id="rId2856" Type="http://schemas.openxmlformats.org/officeDocument/2006/relationships/hyperlink" Target="https://audio.iskcondesiretree.com/01_-_Srila_Prabhupada/01_-_Lectures/01_-_English/02_-_Month_wise/02_-_Feburary/25/Departure_1975-02-25_DP-CARACAS.MP3" TargetMode="External"/><Relationship Id="rId3907" Type="http://schemas.openxmlformats.org/officeDocument/2006/relationships/hyperlink" Target="https://audio.iskcondesiretree.com/01_-_Srila_Prabhupada/01_-_Lectures/01_-_English/02_-_Month_wise/10_-_October/21/Walk_1975-10-21_MW-JOHANNESBURG.MP3" TargetMode="External"/><Relationship Id="rId5055" Type="http://schemas.openxmlformats.org/officeDocument/2006/relationships/hyperlink" Target="https://audio.iskcondesiretree.com/01_-_Srila_Prabhupada/01_-_Lectures/01_-_English/02_-_Month_wise/08_-_August/03/Conv_1976-08-03_R1-NEW%20MAYAPUR.MP3" TargetMode="External"/><Relationship Id="rId5262" Type="http://schemas.openxmlformats.org/officeDocument/2006/relationships/hyperlink" Target="https://audio.iskcondesiretree.com/01_-_Srila_Prabhupada/01_-_Lectures/01_-_English/02_-_Month_wise/09_-_September/25/SB-01-07-28%E2%80%9329_1976-09-25_SB-VRNDAVAN.MP3" TargetMode="External"/><Relationship Id="rId6106" Type="http://schemas.openxmlformats.org/officeDocument/2006/relationships/hyperlink" Target="https://audio.iskcondesiretree.com/01_-_Srila_Prabhupada/01_-_Lectures/01_-_English/01_-_Topic_wise/Krishna_Book/SP_Krsna_Book_Dict_72_-_The_Liberation_of_King_Jarasandha.mp3" TargetMode="External"/><Relationship Id="rId97" Type="http://schemas.openxmlformats.org/officeDocument/2006/relationships/hyperlink" Target="https://audio.iskcondesiretree.com/01_-_Srila_Prabhupada/01_-_Lectures/01_-_English/01_-_Topic_wise/Chaitanya_Charitamrita/Madhya_Lila/SP_CC_M_20-125_New_York_1966-11-16_Engage_Your_Mind_Always_in--etc.mp3" TargetMode="External"/><Relationship Id="rId828" Type="http://schemas.openxmlformats.org/officeDocument/2006/relationships/hyperlink" Target="https://audio.iskcondesiretree.com/01_-_Srila_Prabhupada/01_-_Lectures/01_-_English/01_-_Topic_wise/Bhagavad_Gita/Chapter-02/SP_BG_02-15_Hyderabad_1972-11-21_I_Am_Not_This_Dream.mp3" TargetMode="External"/><Relationship Id="rId1458" Type="http://schemas.openxmlformats.org/officeDocument/2006/relationships/hyperlink" Target="https://audio.iskcondesiretree.com/01_-_Srila_Prabhupada/01_-_Lectures/01_-_English/02_-_Month_wise/12_-_December/26/SB_1-15-49_LA_1973-12-26_What_to_Think_About_at_Death.mp3" TargetMode="External"/><Relationship Id="rId1665" Type="http://schemas.openxmlformats.org/officeDocument/2006/relationships/hyperlink" Target="https://audio.iskcondesiretree.com/01_-_Srila_Prabhupada/01_-_Lectures/01_-_English/01_-_Topic_wise/Chaitanya_Charitamrita/Adi_Lila/SP_CC_A_07-02_Mayapur_1974-03-02.mp3" TargetMode="External"/><Relationship Id="rId1872" Type="http://schemas.openxmlformats.org/officeDocument/2006/relationships/hyperlink" Target="https://audio.iskcondesiretree.com/01_-_Srila_Prabhupada/01_-_Lectures/01_-_English/02_-_Month_wise/04_-_April/14/Bg-04-25_1974-04-14_BG-BOMBAY.MP3" TargetMode="External"/><Relationship Id="rId2509" Type="http://schemas.openxmlformats.org/officeDocument/2006/relationships/hyperlink" Target="https://audio.iskcondesiretree.com/01_-_Srila_Prabhupada/01_-_Lectures/01_-_English/01_-_Topic_wise/Srimad_Bhagavatam/Canto-03/SP_SB_3-25-11_Bombay_1974-11-11_Even_Expert_Swimmers_Struggle.mp3" TargetMode="External"/><Relationship Id="rId2716" Type="http://schemas.openxmlformats.org/officeDocument/2006/relationships/hyperlink" Target="https://audio.iskcondesiretree.com/01_-_Srila_Prabhupada/01_-_Lectures/01_-_English/01_-_Topic_wise/Srimad_Bhagavatam/Canto-03/SP_SB_3-26-46_Bombay_1975-01-21_Putting_Krishna_in_His_Place.mp3" TargetMode="External"/><Relationship Id="rId4071" Type="http://schemas.openxmlformats.org/officeDocument/2006/relationships/hyperlink" Target="https://audio.iskcondesiretree.com/01_-_Srila_Prabhupada/01_-_Lectures/01_-_English/01_-_Topic_wise/Srimad_Bhagavatam/Canto-07/SP_SB_7-06-08_Vrindavan_1975-12-10_Madras_Attachments_in_a_Bad_Age.mp3" TargetMode="External"/><Relationship Id="rId5122" Type="http://schemas.openxmlformats.org/officeDocument/2006/relationships/hyperlink" Target="https://audio.iskcondesiretree.com/01_-_Srila_Prabhupada/01_-_Lectures/01_-_English/01_-_Topic_wise/Chaitanya_Charitamrita/Madhya_Lila/SP_CC_M_20-395_Hyderabad_1976-08-17_Vaisnava_Philosophy.mp3" TargetMode="External"/><Relationship Id="rId1318" Type="http://schemas.openxmlformats.org/officeDocument/2006/relationships/hyperlink" Target="https://audio.iskcondesiretree.com/01_-_Srila_Prabhupada/01_-_Lectures/01_-_English/02_-_Month_wise/10_-_October/12/Bg_13-18_BOM_1973-10-12_Universal_Effulgence_of_Krishna.mp3" TargetMode="External"/><Relationship Id="rId1525" Type="http://schemas.openxmlformats.org/officeDocument/2006/relationships/hyperlink" Target="https://audio.iskcondesiretree.com/01_-_Srila_Prabhupada/01_-_Lectures/01_-_English/02_-_Month_wise/01_-_January/13/SB-01-16-18_1974-01-13_SB-LOS_ANGELES.MP3" TargetMode="External"/><Relationship Id="rId2923" Type="http://schemas.openxmlformats.org/officeDocument/2006/relationships/hyperlink" Target="https://audio.iskcondesiretree.com/01_-_Srila_Prabhupada/01_-_Lectures/01_-_English/02_-_Month_wise/03_-_March/07/SB-Lecture_1975-03-07_SB-NEW%20YORK.MP3" TargetMode="External"/><Relationship Id="rId1732" Type="http://schemas.openxmlformats.org/officeDocument/2006/relationships/hyperlink" Target="https://audio.iskcondesiretree.com/01_-_Srila_Prabhupada/01_-_Lectures/01_-_English/01_-_Topic_wise/Srimad_Bhagavatam/Canto-02/SP_SB_2-01-04_Vrindavan_1974-03-19_A_Madman%27s_So-called_Soldiers.mp3" TargetMode="External"/><Relationship Id="rId4888" Type="http://schemas.openxmlformats.org/officeDocument/2006/relationships/hyperlink" Target="https://audio.iskcondesiretree.com/01_-_Srila_Prabhupada/01_-_Lectures/01_-_English/02_-_Month_wise/07_-_July/04/Conv_1976-07-04_R1-WASHINGTON%20DC.MP3" TargetMode="External"/><Relationship Id="rId5939" Type="http://schemas.openxmlformats.org/officeDocument/2006/relationships/hyperlink" Target="https://audio.iskcondesiretree.com/01_-_Srila_Prabhupada/01_-_Lectures/01_-_English/02_-_Month_wise/10_-_October/11/Conv_1977-10-11_R1-VRNDAVAN.MP3" TargetMode="External"/><Relationship Id="rId24" Type="http://schemas.openxmlformats.org/officeDocument/2006/relationships/hyperlink" Target="https://audio.iskcondesiretree.com/01_-_Srila_Prabhupada/01_-_Lectures/01_-_English/01_-_Topic_wise/Bhagavad_Gita/Chapter-02/SP_BG_02-49_New_York_1966-04-05_One_Should_Spend_All_Energies--etc.mp3" TargetMode="External"/><Relationship Id="rId2299" Type="http://schemas.openxmlformats.org/officeDocument/2006/relationships/hyperlink" Target="https://audio.iskcondesiretree.com/01_-_Srila_Prabhupada/01_-_Lectures/01_-_English/02_-_Month_wise/07_-_July/25/Departure_1974-07-25_DP-NEW%20YORK.MP3" TargetMode="External"/><Relationship Id="rId3697" Type="http://schemas.openxmlformats.org/officeDocument/2006/relationships/hyperlink" Target="https://audio.iskcondesiretree.com/01_-_Srila_Prabhupada/01_-_Lectures/01_-_English/02_-_Month_wise/08_-_August/29/SB-06-01-62_1975-08-29_SB-VRNDAVAN.MP3" TargetMode="External"/><Relationship Id="rId4748" Type="http://schemas.openxmlformats.org/officeDocument/2006/relationships/hyperlink" Target="https://audio.iskcondesiretree.com/01_-_Srila_Prabhupada/01_-_Lectures/01_-_English/02_-_Month_wise/06_-_June/14/SB-06-01-48_1976-06-14_SB-DETROIT.MP3" TargetMode="External"/><Relationship Id="rId4955" Type="http://schemas.openxmlformats.org/officeDocument/2006/relationships/hyperlink" Target="https://audio.iskcondesiretree.com/01_-_Srila_Prabhupada/01_-_Lectures/01_-_English/01_-_Topic_wise/Chaitanya_Charitamrita/Madhya_Lila/SP_CC_M_20-106_New_York_1976-07-12_Occupational_Duty_of_the_Soul.mp3" TargetMode="External"/><Relationship Id="rId3557" Type="http://schemas.openxmlformats.org/officeDocument/2006/relationships/hyperlink" Target="https://audio.iskcondesiretree.com/01_-_Srila_Prabhupada/01_-_Lectures/01_-_English/02_-_Month_wise/07_-_July/19/Walk_1975-07-19_MW-SAN%20FRANCISCO.MP3" TargetMode="External"/><Relationship Id="rId3764" Type="http://schemas.openxmlformats.org/officeDocument/2006/relationships/hyperlink" Target="https://audio.iskcondesiretree.com/01_-_Srila_Prabhupada/01_-_Lectures/01_-_English/01_-_Topic_wise/Morning_Walk/SP_Morning_Walk_-_Vrindavan_1975-09-17.MP3" TargetMode="External"/><Relationship Id="rId3971" Type="http://schemas.openxmlformats.org/officeDocument/2006/relationships/hyperlink" Target="https://audio.iskcondesiretree.com/01_-_Srila_Prabhupada/01_-_Lectures/01_-_English/01_-_Topic_wise/Morning_Walk/SP_Morning_Walk_-_Bombay_1975-11-10_Nationalism_Is_Irrationalism.mp3" TargetMode="External"/><Relationship Id="rId4608" Type="http://schemas.openxmlformats.org/officeDocument/2006/relationships/hyperlink" Target="https://audio.iskcondesiretree.com/01_-_Srila_Prabhupada/01_-_Lectures/01_-_English/02_-_Month_wise/05_-_May/15/MW_HON_1976-05-15_Christians_Don%27t_Accept_Christ.mp3" TargetMode="External"/><Relationship Id="rId4815" Type="http://schemas.openxmlformats.org/officeDocument/2006/relationships/hyperlink" Target="https://audio.iskcondesiretree.com/01_-_Srila_Prabhupada/01_-_Lectures/01_-_English/01_-_Topic_wise/Srimad_Bhagavatam/Canto-07/SP_SB_7-06-08_New_Vrindavan_1976-06-24_The_Greatest_Success_.._But--etc.mp3" TargetMode="External"/><Relationship Id="rId6170" Type="http://schemas.openxmlformats.org/officeDocument/2006/relationships/hyperlink" Target="https://audio.iskcondesiretree.com/01_-_Srila_Prabhupada/01_-_Lectures/01_-_English/01_-_Topic_wise/Stories/SP_Story_46_Simply_wonderful.mp3" TargetMode="External"/><Relationship Id="rId478" Type="http://schemas.openxmlformats.org/officeDocument/2006/relationships/hyperlink" Target="https://audio.iskcondesiretree.com/01_-_Srila_Prabhupada/01_-_Lectures/01_-_English/01_-_Topic_wise/Srimad_Bhagavatam/Canto-05/SP_SB_5-05-02_London_1969-09-17_We_Spirit_Souls_Have_Immense_Power.mp3" TargetMode="External"/><Relationship Id="rId685" Type="http://schemas.openxmlformats.org/officeDocument/2006/relationships/hyperlink" Target="https://audio.iskcondesiretree.com/01_-_Srila_Prabhupada/01_-_Lectures/01_-_English/02_-_Month_wise/09_-_September/16/SB_1-03-10_LA_1972-09-16_Modern_Facilities-Beneficial_etc.mp3" TargetMode="External"/><Relationship Id="rId892" Type="http://schemas.openxmlformats.org/officeDocument/2006/relationships/hyperlink" Target="https://audio.iskcondesiretree.com/01_-_Srila_Prabhupada/01_-_Lectures/01_-_English/01_-_Topic_wise/Nectar_Of_Devotion/SP_NOD_Pg-17_Bombay_1973-01-07_-_Some_how_or_Other-etc.mp3" TargetMode="External"/><Relationship Id="rId2159" Type="http://schemas.openxmlformats.org/officeDocument/2006/relationships/hyperlink" Target="https://audio.iskcondesiretree.com/01_-_Srila_Prabhupada/01_-_Lectures/01_-_English/02_-_Month_wise/06_-_June/18/Bg_02-13_GER_1974-06-18_We_Must_Surrender-God_or_Dog.mp3" TargetMode="External"/><Relationship Id="rId2366" Type="http://schemas.openxmlformats.org/officeDocument/2006/relationships/hyperlink" Target="https://audio.iskcondesiretree.com/01_-_Srila_Prabhupada/01_-_Lectures/01_-_English/02_-_Month_wise/08_-_August/16/Bg-07-10_1974-08-16_BG-VRNDAVAN.MP3" TargetMode="External"/><Relationship Id="rId2573" Type="http://schemas.openxmlformats.org/officeDocument/2006/relationships/hyperlink" Target="https://audio.iskcondesiretree.com/01_-_Srila_Prabhupada/01_-_Lectures/01_-_English/01_-_Topic_wise/Srimad_Bhagavatam/Canto-03/SP_SB_3-25-32_Bombay_1974-12-02_From_Degradation_to_Devotion.mp3" TargetMode="External"/><Relationship Id="rId2780" Type="http://schemas.openxmlformats.org/officeDocument/2006/relationships/hyperlink" Target="https://audio.iskcondesiretree.com/01_-_Srila_Prabhupada/01_-_Lectures/01_-_English/02_-_Month_wise/02_-_Feburary/10/SB-02-08-07_1975-02-10_SB-LOS%20ANGELES.MP3" TargetMode="External"/><Relationship Id="rId3417" Type="http://schemas.openxmlformats.org/officeDocument/2006/relationships/hyperlink" Target="https://audio.iskcondesiretree.com/01_-_Srila_Prabhupada/01_-_Lectures/01_-_English/01_-_Topic_wise/Morning_Walk/SP_Morning_Walk_-_Denver_1975-07-02_Each_Second_a_New_Body.mp3" TargetMode="External"/><Relationship Id="rId3624" Type="http://schemas.openxmlformats.org/officeDocument/2006/relationships/hyperlink" Target="https://audio.iskcondesiretree.com/01_-_Srila_Prabhupada/01_-_Lectures/01_-_English/02_-_Month_wise/08_-_August/01/SB-06-01-49_1975-08-01_SB-NEW%20ORLEANS.MP3" TargetMode="External"/><Relationship Id="rId3831" Type="http://schemas.openxmlformats.org/officeDocument/2006/relationships/hyperlink" Target="https://audio.iskcondesiretree.com/01_-_Srila_Prabhupada/01_-_Lectures/01_-_English/02_-_Month_wise/10_-_October/06/Walk_1975-10-06_MW-DURBAN.MP3" TargetMode="External"/><Relationship Id="rId6030" Type="http://schemas.openxmlformats.org/officeDocument/2006/relationships/hyperlink" Target="https://audio.iskcondesiretree.com/01_-_Srila_Prabhupada/01_-_Lectures/01_-_English/01_-_Topic_wise/Bhagavad_Gita/Chapter-07/SP_BG_07-01_Los_Angeles_1969-02_Bhagavad-gita_As_It_Is--Not--etc.mp3" TargetMode="External"/><Relationship Id="rId338" Type="http://schemas.openxmlformats.org/officeDocument/2006/relationships/hyperlink" Target="https://audio.iskcondesiretree.com/01_-_Srila_Prabhupada/01_-_Lectures/01_-_English/02_-_Month_wise/12_-_December/26/Interv_LA_1968-12-26_Press-LA_Times-Lunacy_of_Moon_Mission.mp3" TargetMode="External"/><Relationship Id="rId545" Type="http://schemas.openxmlformats.org/officeDocument/2006/relationships/hyperlink" Target="https://audio.iskcondesiretree.com/01_-_Srila_Prabhupada/01_-_Lectures/01_-_English/02_-_Month_wise/07_-_July/20/Lect_NY_1971-07-20_Horseless_Carriage_Wingless_etc.mp3" TargetMode="External"/><Relationship Id="rId752" Type="http://schemas.openxmlformats.org/officeDocument/2006/relationships/hyperlink" Target="https://audio.iskcondesiretree.com/01_-_Srila_Prabhupada/01_-_Lectures/01_-_English/01_-_Topic_wise/Nectar_Of_Devotion/SP_NOD_05_Vrindavan_1972-10-28_-_The_Complete_Science_of_Bhakti_Yoga.mp3" TargetMode="External"/><Relationship Id="rId1175" Type="http://schemas.openxmlformats.org/officeDocument/2006/relationships/hyperlink" Target="https://audio.iskcondesiretree.com/01_-_Srila_Prabhupada/01_-_Lectures/01_-_English/01_-_Topic_wise/Room_Conversation/SP_Room_Conversation_Paris_1973-08-13_Rosicrucians--Vague_Bogus_A_Waste_of_Time.mp3" TargetMode="External"/><Relationship Id="rId1382" Type="http://schemas.openxmlformats.org/officeDocument/2006/relationships/hyperlink" Target="https://audio.iskcondesiretree.com/01_-_Srila_Prabhupada/01_-_Lectures/01_-_English/02_-_Month_wise/12_-_December/02/SB_1-15-22_LA_1973-12-02_Intoxication_on_Top_of_Intoxication.mp3" TargetMode="External"/><Relationship Id="rId2019" Type="http://schemas.openxmlformats.org/officeDocument/2006/relationships/hyperlink" Target="https://audio.iskcondesiretree.com/01_-_Srila_Prabhupada/01_-_Lectures/01_-_English/02_-_Month_wise/05_-_May/31/Conv_1974-05-31_R1-GENEVA.MP3" TargetMode="External"/><Relationship Id="rId2226" Type="http://schemas.openxmlformats.org/officeDocument/2006/relationships/hyperlink" Target="https://audio.iskcondesiretree.com/01_-_Srila_Prabhupada/01_-_Lectures/01_-_English/01_-_Topic_wise/Room_Conversation/SP_Room_Conversation_Melbourne_1974-07-01_Bhurijana_and_Others--Cooking_Smoke--etc.mp3" TargetMode="External"/><Relationship Id="rId2433" Type="http://schemas.openxmlformats.org/officeDocument/2006/relationships/hyperlink" Target="https://audio.iskcondesiretree.com/01_-_Srila_Prabhupada/01_-_Lectures/01_-_English/02_-_Month_wise/10_-_October/12/SB-01-08-32_1974-10-12_SB-MAYAPUR.MP3" TargetMode="External"/><Relationship Id="rId2640" Type="http://schemas.openxmlformats.org/officeDocument/2006/relationships/hyperlink" Target="https://audio.iskcondesiretree.com/01_-_Srila_Prabhupada/01_-_Lectures/01_-_English/02_-_Month_wise/12_-_December/24/SB-03-26-15_1974-12-24_SB-BOMBAY.MP3" TargetMode="External"/><Relationship Id="rId5589" Type="http://schemas.openxmlformats.org/officeDocument/2006/relationships/hyperlink" Target="https://audio.iskcondesiretree.com/01_-_Srila_Prabhupada/01_-_Lectures/01_-_English/02_-_Month_wise/01_-_January/10/Conv_1977-01-10_R1-BOMBAY.MP3" TargetMode="External"/><Relationship Id="rId5796" Type="http://schemas.openxmlformats.org/officeDocument/2006/relationships/hyperlink" Target="https://audio.iskcondesiretree.com/01_-_Srila_Prabhupada/01_-_Lectures/01_-_English/02_-_Month_wise/04_-_April/10/Conv_1977-04-10_R2-BOMBAY.MP3" TargetMode="External"/><Relationship Id="rId405" Type="http://schemas.openxmlformats.org/officeDocument/2006/relationships/hyperlink" Target="https://audio.iskcondesiretree.com/01_-_Srila_Prabhupada/01_-_Lectures/01_-_English/01_-_Topic_wise/Festivals/SP_Festivals_Boston_1969-05-01_Lord_Nrsimhadevas_Appearance.mp3" TargetMode="External"/><Relationship Id="rId612" Type="http://schemas.openxmlformats.org/officeDocument/2006/relationships/hyperlink" Target="https://audio.iskcondesiretree.com/01_-_Srila_Prabhupada/01_-_Lectures/01_-_English/01_-_Topic_wise/Srimad_Bhagavatam/Canto-02/SP_SB_2-03-22_Los_Angeles_1972-06-19_Peacock-plume_Eyes.mp3" TargetMode="External"/><Relationship Id="rId1035" Type="http://schemas.openxmlformats.org/officeDocument/2006/relationships/hyperlink" Target="https://audio.iskcondesiretree.com/01_-_Srila_Prabhupada/01_-_Lectures/01_-_English/01_-_Topic_wise/Srimad_Bhagavatam/Canto-01/SP_SB_1-10-03_Mayapur_1973-06-18_God-Conscious_Monarchy.mp3" TargetMode="External"/><Relationship Id="rId1242" Type="http://schemas.openxmlformats.org/officeDocument/2006/relationships/hyperlink" Target="https://audio.iskcondesiretree.com/01_-_Srila_Prabhupada/01_-_Lectures/01_-_English/01_-_Topic_wise/Bhagavad_Gita/Chapter-02/SP_BG_02-32_London_1973-09-02_Government_Must_Be_Very_Strict.mp3" TargetMode="External"/><Relationship Id="rId2500" Type="http://schemas.openxmlformats.org/officeDocument/2006/relationships/hyperlink" Target="https://audio.iskcondesiretree.com/01_-_Srila_Prabhupada/01_-_Lectures/01_-_English/01_-_Topic_wise/Srimad_Bhagavatam/Canto-03/SP_SB_3-25-08_Bombay_1974-11-08_This_World_Is_Darkness.mp3" TargetMode="External"/><Relationship Id="rId4398" Type="http://schemas.openxmlformats.org/officeDocument/2006/relationships/hyperlink" Target="https://audio.iskcondesiretree.com/01_-_Srila_Prabhupada/01_-_Lectures/01_-_English/02_-_Month_wise/03_-_March/23/SB-07-09-43_1976-03-23_SB-CALCUTTA.MP3" TargetMode="External"/><Relationship Id="rId5449" Type="http://schemas.openxmlformats.org/officeDocument/2006/relationships/hyperlink" Target="https://audio.iskcondesiretree.com/01_-_Srila_Prabhupada/01_-_Lectures/01_-_English/02_-_Month_wise/11_-_November/24/Conv_1976-11-24_R1-VRNDAVAN.MP3" TargetMode="External"/><Relationship Id="rId5656" Type="http://schemas.openxmlformats.org/officeDocument/2006/relationships/hyperlink" Target="https://audio.iskcondesiretree.com/01_-_Srila_Prabhupada/01_-_Lectures/01_-_English/01_-_Topic_wise/Room_Conversation/SP_Room_Conversation_Bhuvanesvara_1977-01-31_The_Great_Soul.mp3" TargetMode="External"/><Relationship Id="rId1102" Type="http://schemas.openxmlformats.org/officeDocument/2006/relationships/hyperlink" Target="https://audio.iskcondesiretree.com/01_-_Srila_Prabhupada/01_-_Lectures/01_-_English/01_-_Topic_wise/Bhagavad_Gita/Chapter-01/SP_BG_01-26_London_1973-07-21_Society_Friendship_and_Love.mp3" TargetMode="External"/><Relationship Id="rId4258" Type="http://schemas.openxmlformats.org/officeDocument/2006/relationships/hyperlink" Target="https://audio.iskcondesiretree.com/01_-_Srila_Prabhupada/01_-_Lectures/01_-_English/02_-_Month_wise/02_-_Feburary/20/Walk_1976-02-20_MW-MAYAPUR.MP3" TargetMode="External"/><Relationship Id="rId4465" Type="http://schemas.openxmlformats.org/officeDocument/2006/relationships/hyperlink" Target="https://audio.iskcondesiretree.com/01_-_Srila_Prabhupada/01_-_Lectures/01_-_English/02_-_Month_wise/04_-_April/12/Walk_1976-04-12_MW-BOMBAY.MP3" TargetMode="External"/><Relationship Id="rId5309" Type="http://schemas.openxmlformats.org/officeDocument/2006/relationships/hyperlink" Target="https://audio.iskcondesiretree.com/01_-_Srila_Prabhupada/01_-_Lectures/01_-_English/02_-_Month_wise/10_-_October/06/SB_1-07-47_VRN_1976-10-06_A_Devotee%27s_Heart.mp3" TargetMode="External"/><Relationship Id="rId5863" Type="http://schemas.openxmlformats.org/officeDocument/2006/relationships/hyperlink" Target="https://audio.iskcondesiretree.com/01_-_Srila_Prabhupada/01_-_Lectures/01_-_English/02_-_Month_wise/05_-_May/25/Conv_1977-05-25_R1-VRNDAVAN.MP3" TargetMode="External"/><Relationship Id="rId3067" Type="http://schemas.openxmlformats.org/officeDocument/2006/relationships/hyperlink" Target="https://audio.iskcondesiretree.com/01_-_Srila_Prabhupada/01_-_Lectures/01_-_English/02_-_Month_wise/04_-_April/07/Cc_A_1-14_MAY_1975-04-07_For_Materialists_Stool_Is_Sublime.mp3" TargetMode="External"/><Relationship Id="rId3274" Type="http://schemas.openxmlformats.org/officeDocument/2006/relationships/hyperlink" Target="https://audio.iskcondesiretree.com/01_-_Srila_Prabhupada/01_-_Lectures/01_-_English/02_-_Month_wise/06_-_June/08/SB_6-01-01_HAW_1975-06-08_Saving_the_Independent_from_Hell.mp3" TargetMode="External"/><Relationship Id="rId4118" Type="http://schemas.openxmlformats.org/officeDocument/2006/relationships/hyperlink" Target="https://audio.iskcondesiretree.com/01_-_Srila_Prabhupada/01_-_Lectures/01_-_English/02_-_Month_wise/12_-_December/23/MW_BOM_1975-12-23_Bhakti_Not_Business.mp3" TargetMode="External"/><Relationship Id="rId4672" Type="http://schemas.openxmlformats.org/officeDocument/2006/relationships/hyperlink" Target="https://audio.iskcondesiretree.com/01_-_Srila_Prabhupada/01_-_Lectures/01_-_English/02_-_Month_wise/05_-_May/31/SB_6-01-32_HON_1976-05-31_Everything_working_etc.mp3" TargetMode="External"/><Relationship Id="rId5516" Type="http://schemas.openxmlformats.org/officeDocument/2006/relationships/hyperlink" Target="https://audio.iskcondesiretree.com/01_-_Srila_Prabhupada/01_-_Lectures/01_-_English/02_-_Month_wise/12_-_December/20/Conv_1976-12-20_R1-WARDHA.MP3" TargetMode="External"/><Relationship Id="rId5723" Type="http://schemas.openxmlformats.org/officeDocument/2006/relationships/hyperlink" Target="https://audio.iskcondesiretree.com/01_-_Srila_Prabhupada/01_-_Lectures/01_-_English/02_-_Month_wise/02_-_Feburary/20/Conv_1977-02-20_R1-MAYAPUR.MP3" TargetMode="External"/><Relationship Id="rId5930" Type="http://schemas.openxmlformats.org/officeDocument/2006/relationships/hyperlink" Target="https://audio.iskcondesiretree.com/01_-_Srila_Prabhupada/01_-_Lectures/01_-_English/02_-_Month_wise/10_-_October/03/Conv_1977-10-03_R1-VRNDAVAN.MP3" TargetMode="External"/><Relationship Id="rId195" Type="http://schemas.openxmlformats.org/officeDocument/2006/relationships/hyperlink" Target="https://audio.iskcondesiretree.com/01_-_Srila_Prabhupada/01_-_Lectures/01_-_English/02_-_Month_wise/12_-_December/26/Cc_M_20-353_NY_1966-12-26_Scriptural_Test_for_Avataras.mp3" TargetMode="External"/><Relationship Id="rId1919" Type="http://schemas.openxmlformats.org/officeDocument/2006/relationships/hyperlink" Target="https://audio.iskcondesiretree.com/01_-_Srila_Prabhupada/01_-_Lectures/01_-_English/01_-_Topic_wise/Srimad_Bhagavatam/Canto-01/SP_SB_1-02-09_Hyderabad_1974-04-23_Illusion_Realized.mp3" TargetMode="External"/><Relationship Id="rId3481" Type="http://schemas.openxmlformats.org/officeDocument/2006/relationships/hyperlink" Target="https://audio.iskcondesiretree.com/01_-_Srila_Prabhupada/01_-_Lectures/01_-_English/01_-_Topic_wise/Room_Conversation/SP_Room_Conversation_01_Chicago_1975-07-10.MP3" TargetMode="External"/><Relationship Id="rId4325" Type="http://schemas.openxmlformats.org/officeDocument/2006/relationships/hyperlink" Target="https://audio.iskcondesiretree.com/01_-_Srila_Prabhupada/01_-_Lectures/01_-_English/02_-_Month_wise/03_-_March/07/MW_MAY_1976-03-07_Disciple-Discipline.mp3" TargetMode="External"/><Relationship Id="rId4532" Type="http://schemas.openxmlformats.org/officeDocument/2006/relationships/hyperlink" Target="https://audio.iskcondesiretree.com/01_-_Srila_Prabhupada/01_-_Lectures/01_-_English/02_-_Month_wise/04_-_April/24/Bg_09-05_MEL_1976-04-24_Material_World-Spiritual_World.mp3" TargetMode="External"/><Relationship Id="rId2083" Type="http://schemas.openxmlformats.org/officeDocument/2006/relationships/hyperlink" Target="https://audio.iskcondesiretree.com/01_-_Srila_Prabhupada/01_-_Lectures/01_-_English/02_-_Month_wise/06_-_June/09/MW_GEN_1974-06-09_Psychology_of_the_Human_Animal.mp3" TargetMode="External"/><Relationship Id="rId2290" Type="http://schemas.openxmlformats.org/officeDocument/2006/relationships/hyperlink" Target="https://audio.iskcondesiretree.com/01_-_Srila_Prabhupada/01_-_Lectures/01_-_English/01_-_Topic_wise/Srimad_Bhagavatam/Canto-01/SP_SB_1-02-17_New_Vrindavan_1974-07-18.mp3" TargetMode="External"/><Relationship Id="rId3134" Type="http://schemas.openxmlformats.org/officeDocument/2006/relationships/hyperlink" Target="https://audio.iskcondesiretree.com/01_-_Srila_Prabhupada/01_-_Lectures/01_-_English/01_-_Topic_wise/Morning_Walk/SP_Morning_Walk_-_Vrindavan_1975-04-23.MP3" TargetMode="External"/><Relationship Id="rId3341" Type="http://schemas.openxmlformats.org/officeDocument/2006/relationships/hyperlink" Target="https://audio.iskcondesiretree.com/01_-_Srila_Prabhupada/01_-_Lectures/01_-_English/01_-_Topic_wise/Morning_Walk/SP_Morning_Walk_-_Los_Angeles_1975-06-22_Dedicated_to_the_Supreme_Scientist.mp3" TargetMode="External"/><Relationship Id="rId262" Type="http://schemas.openxmlformats.org/officeDocument/2006/relationships/hyperlink" Target="https://audio.iskcondesiretree.com/01_-_Srila_Prabhupada/01_-_Lectures/01_-_English/01_-_Topic_wise/Bhagavad_Gita/Chapter-07/SP_BG_07-02_San_Francisco_1968-09-11_Ultimate_Understanding--etc.mp3" TargetMode="External"/><Relationship Id="rId2150" Type="http://schemas.openxmlformats.org/officeDocument/2006/relationships/hyperlink" Target="https://audio.iskcondesiretree.com/01_-_Srila_Prabhupada/01_-_Lectures/01_-_English/02_-_Month_wise/06_-_June/16/Bg-02-01%E2%80%9305_1974-06-16_BG-GERMANY.MP3" TargetMode="External"/><Relationship Id="rId3201" Type="http://schemas.openxmlformats.org/officeDocument/2006/relationships/hyperlink" Target="https://audio.iskcondesiretree.com/01_-_Srila_Prabhupada/01_-_Lectures/01_-_English/02_-_Month_wise/05_-_May/19/Conv_1975-05-19_R2-MELBOURNE.MP3" TargetMode="External"/><Relationship Id="rId5099" Type="http://schemas.openxmlformats.org/officeDocument/2006/relationships/hyperlink" Target="https://audio.iskcondesiretree.com/01_-_Srila_Prabhupada/01_-_Lectures/01_-_English/02_-_Month_wise/08_-_August/12/Darshan_1976-08-12_ED-TEHRAN.MP3" TargetMode="External"/><Relationship Id="rId122" Type="http://schemas.openxmlformats.org/officeDocument/2006/relationships/hyperlink" Target="https://audio.iskcondesiretree.com/01_-_Srila_Prabhupada/01_-_Lectures/01_-_English/02_-_Month_wise/11_-_November/24/Bg_09-04_NY_1966-11-24_Krishna_Is_Everywhere_and_etc.mp3" TargetMode="External"/><Relationship Id="rId2010" Type="http://schemas.openxmlformats.org/officeDocument/2006/relationships/hyperlink" Target="https://audio.iskcondesiretree.com/01_-_Srila_Prabhupada/01_-_Lectures/01_-_English/02_-_Month_wise/05_-_May/30/Lect_GEN_1974-05-30_I_See_the_Spirit_Soul.mp3" TargetMode="External"/><Relationship Id="rId5166" Type="http://schemas.openxmlformats.org/officeDocument/2006/relationships/hyperlink" Target="https://audio.iskcondesiretree.com/01_-_Srila_Prabhupada/01_-_Lectures/01_-_English/02_-_Month_wise/08_-_August/27/Walk_1976-08-27_MW-DELHI.MP3" TargetMode="External"/><Relationship Id="rId5373" Type="http://schemas.openxmlformats.org/officeDocument/2006/relationships/hyperlink" Target="https://audio.iskcondesiretree.com/01_-_Srila_Prabhupada/01_-_Lectures/01_-_English/02_-_Month_wise/11_-_November/03/RC_VRN_1976-11-03_Sex_Education-Wasting_Time.mp3" TargetMode="External"/><Relationship Id="rId5580" Type="http://schemas.openxmlformats.org/officeDocument/2006/relationships/hyperlink" Target="https://audio.iskcondesiretree.com/01_-_Srila_Prabhupada/01_-_Lectures/01_-_English/02_-_Month_wise/01_-_January/08/Walk_1977-01-08_MW-BOMBAY.MP3" TargetMode="External"/><Relationship Id="rId1569" Type="http://schemas.openxmlformats.org/officeDocument/2006/relationships/hyperlink" Target="https://audio.iskcondesiretree.com/01_-_Srila_Prabhupada/01_-_Lectures/01_-_English/01_-_Topic_wise/Srimad_Bhagavatam/Canto-01/SP_SB_1-16-35_Hawaii_1974-01-28_Initiations_Make_a_Farce-No--etc.mp3" TargetMode="External"/><Relationship Id="rId2967" Type="http://schemas.openxmlformats.org/officeDocument/2006/relationships/hyperlink" Target="https://audio.iskcondesiretree.com/01_-_Srila_Prabhupada/01_-_Lectures/01_-_English/01_-_Topic_wise/Room_Conversation/SP_Room_Conversation_01_Tehran_1975-03-15.MP3" TargetMode="External"/><Relationship Id="rId4182" Type="http://schemas.openxmlformats.org/officeDocument/2006/relationships/hyperlink" Target="https://audio.iskcondesiretree.com/01_-_Srila_Prabhupada/01_-_Lectures/01_-_English/02_-_Month_wise/01_-_January/13/Walk_1976-01-13_MW-CALCUTTA.MP3" TargetMode="External"/><Relationship Id="rId5026" Type="http://schemas.openxmlformats.org/officeDocument/2006/relationships/hyperlink" Target="https://audio.iskcondesiretree.com/01_-_Srila_Prabhupada/01_-_Lectures/01_-_English/02_-_Month_wise/07_-_July/27/Conv_1976-07-27_R1-LONDON.MP3" TargetMode="External"/><Relationship Id="rId5233" Type="http://schemas.openxmlformats.org/officeDocument/2006/relationships/hyperlink" Target="https://audio.iskcondesiretree.com/01_-_Srila_Prabhupada/01_-_Lectures/01_-_English/01_-_Topic_wise/Srimad_Bhagavatam/Canto-01/SP_SB_1-07-19_Vrindavan_1976-09-16_Hare_Krishna-Lord_and_Potency.mp3" TargetMode="External"/><Relationship Id="rId5440" Type="http://schemas.openxmlformats.org/officeDocument/2006/relationships/hyperlink" Target="https://audio.iskcondesiretree.com/01_-_Srila_Prabhupada/01_-_Lectures/01_-_English/02_-_Month_wise/11_-_November/20/Conv_1976-11-20_R1-VRNDAVAN.MP3" TargetMode="External"/><Relationship Id="rId939" Type="http://schemas.openxmlformats.org/officeDocument/2006/relationships/hyperlink" Target="https://audio.iskcondesiretree.com/01_-_Srila_Prabhupada/01_-_Lectures/01_-_English/01_-_Topic_wise/Arrival_Address/SP_Arrival_Los_Angeles_1973-04-13_My_Lord%2C_I_Don%27t_Want_Anything_Material.mp3" TargetMode="External"/><Relationship Id="rId1776" Type="http://schemas.openxmlformats.org/officeDocument/2006/relationships/hyperlink" Target="https://audio.iskcondesiretree.com/01_-_Srila_Prabhupada/01_-_Lectures/01_-_English/02_-_Month_wise/03_-_March/28/Walk_1974-03-28_MW-BOMBAY.MP3" TargetMode="External"/><Relationship Id="rId1983" Type="http://schemas.openxmlformats.org/officeDocument/2006/relationships/hyperlink" Target="https://audio.iskcondesiretree.com/01_-_Srila_Prabhupada/01_-_Lectures/01_-_English/02_-_Month_wise/05_-_May/24/SB_1-02-06_ROM_1974-05-24_Body-isms_Like_Democracy_etc.mp3" TargetMode="External"/><Relationship Id="rId2827" Type="http://schemas.openxmlformats.org/officeDocument/2006/relationships/hyperlink" Target="https://audio.iskcondesiretree.com/01_-_Srila_Prabhupada/01_-_Lectures/01_-_English/01_-_Topic_wise/Srimad_Bhagavatam/Canto-01/SP_SB_1-01-01_Caracas_1975-02-21_The_Caracas_Is_Ford-But_Ford_Is--etc.mp3" TargetMode="External"/><Relationship Id="rId4042" Type="http://schemas.openxmlformats.org/officeDocument/2006/relationships/hyperlink" Target="https://audio.iskcondesiretree.com/01_-_Srila_Prabhupada/01_-_Lectures/01_-_English/01_-_Topic_wise/Srimad_Bhagavatam/Canto-07/SP_SB_7-06-02_Vrindavan_1975-12-03_Everyone_Is_Dear_to_Krishna.mp3" TargetMode="External"/><Relationship Id="rId68" Type="http://schemas.openxmlformats.org/officeDocument/2006/relationships/hyperlink" Target="https://audio.iskcondesiretree.com/01_-_Srila_Prabhupada/01_-_Lectures/01_-_English/01_-_Topic_wise/Bhagavad_Gita/Chapter-05/SP_BG_05-22_New_York_1966-08-31_Actual_Sense_Pleasure.mp3" TargetMode="External"/><Relationship Id="rId1429" Type="http://schemas.openxmlformats.org/officeDocument/2006/relationships/hyperlink" Target="https://audio.iskcondesiretree.com/01_-_Srila_Prabhupada/01_-_Lectures/01_-_English/01_-_Topic_wise/Morning_Walk/SP_Morning_Walk_-_Los_Angeles_1973-12-15_Philosophy_of_the_Mad.mp3" TargetMode="External"/><Relationship Id="rId1636" Type="http://schemas.openxmlformats.org/officeDocument/2006/relationships/hyperlink" Target="https://audio.iskcondesiretree.com/01_-_Srila_Prabhupada/01_-_Lectures/01_-_English/01_-_Topic_wise/Morning_Walk/SP_Morning_Walk_-_Bombay_1974-02-22.mp3" TargetMode="External"/><Relationship Id="rId1843" Type="http://schemas.openxmlformats.org/officeDocument/2006/relationships/hyperlink" Target="https://audio.iskcondesiretree.com/01_-_Srila_Prabhupada/01_-_Lectures/01_-_English/02_-_Month_wise/04_-_April/08/Bg_04-19_BOM_1974-04-08_Material_Life_Lusty_Desires.mp3" TargetMode="External"/><Relationship Id="rId4999" Type="http://schemas.openxmlformats.org/officeDocument/2006/relationships/hyperlink" Target="https://audio.iskcondesiretree.com/01_-_Srila_Prabhupada/01_-_Lectures/01_-_English/02_-_Month_wise/07_-_July/19/CcMadhya-20-111_1976-07-19_CC-NEW%20YORK.MP3" TargetMode="External"/><Relationship Id="rId5300" Type="http://schemas.openxmlformats.org/officeDocument/2006/relationships/hyperlink" Target="https://audio.iskcondesiretree.com/01_-_Srila_Prabhupada/01_-_Lectures/01_-_English/02_-_Month_wise/10_-_October/04/SB-01-07-44_1976-10-04_SB-VRNDAVAN.MP3" TargetMode="External"/><Relationship Id="rId1703" Type="http://schemas.openxmlformats.org/officeDocument/2006/relationships/hyperlink" Target="https://audio.iskcondesiretree.com/01_-_Srila_Prabhupada/01_-_Lectures/01_-_English/01_-_Topic_wise/Morning_Walk/SP_Morning_Walk_-_Vrindavan_1974-03-14_Varnashram_College_1--Revise_Human--etc.mp3" TargetMode="External"/><Relationship Id="rId1910" Type="http://schemas.openxmlformats.org/officeDocument/2006/relationships/hyperlink" Target="https://audio.iskcondesiretree.com/01_-_Srila_Prabhupada/01_-_Lectures/01_-_English/02_-_Month_wise/04_-_April/21/SB-01-02-07_1974-04-21_SB-HYDERABAD.MP3" TargetMode="External"/><Relationship Id="rId4859" Type="http://schemas.openxmlformats.org/officeDocument/2006/relationships/hyperlink" Target="https://audio.iskcondesiretree.com/01_-_Srila_Prabhupada/01_-_Lectures/01_-_English/02_-_Month_wise/06_-_June/29/Conv_1976-06-29_R1-NEW%20VRINDAVAN.MP3" TargetMode="External"/><Relationship Id="rId3668" Type="http://schemas.openxmlformats.org/officeDocument/2006/relationships/hyperlink" Target="https://audio.iskcondesiretree.com/01_-_Srila_Prabhupada/01_-_Lectures/01_-_English/02_-_Month_wise/08_-_August/13/SB_6-01-55_LON_1975-08-13_Be_a_Helper-Not_the_Whole_Show.mp3" TargetMode="External"/><Relationship Id="rId3875" Type="http://schemas.openxmlformats.org/officeDocument/2006/relationships/hyperlink" Target="https://audio.iskcondesiretree.com/01_-_Srila_Prabhupada/01_-_Lectures/01_-_English/02_-_Month_wise/10_-_October/15/SB-01-07-05%E2%80%9306_1975-10-15_SB-JOHANNESBURG.MP3" TargetMode="External"/><Relationship Id="rId4719" Type="http://schemas.openxmlformats.org/officeDocument/2006/relationships/hyperlink" Target="https://audio.iskcondesiretree.com/01_-_Srila_Prabhupada/01_-_Lectures/01_-_English/02_-_Month_wise/06_-_June/09/RC_LA_1976-06-09_The_Huge_Little_Chance.mp3" TargetMode="External"/><Relationship Id="rId4926" Type="http://schemas.openxmlformats.org/officeDocument/2006/relationships/hyperlink" Target="https://audio.iskcondesiretree.com/01_-_Srila_Prabhupada/01_-_Lectures/01_-_English/01_-_Topic_wise/Chaitanya_Charitamrita/Madhya_Lila/SP_CC_M_20-103_Washington-DC_1976-07-08_Survival_of_the_Fittest.mp3" TargetMode="External"/><Relationship Id="rId6074" Type="http://schemas.openxmlformats.org/officeDocument/2006/relationships/hyperlink" Target="https://audio.iskcondesiretree.com/01_-_Srila_Prabhupada/01_-_Lectures/01_-_English/01_-_Topic_wise/Krishna_Book/SP_Krsna_Book_Dict_26_-_Wonderful_Krishna.mp3" TargetMode="External"/><Relationship Id="rId589" Type="http://schemas.openxmlformats.org/officeDocument/2006/relationships/hyperlink" Target="https://audio.iskcondesiretree.com/01_-_Srila_Prabhupada/01_-_Lectures/01_-_English/01_-_Topic_wise/Srimad_Bhagavatam/Canto-02/SP_SB_2-03-13_Los_Angeles_1972-05-30_A_Devotee_Is_Kind.mp3" TargetMode="External"/><Relationship Id="rId796" Type="http://schemas.openxmlformats.org/officeDocument/2006/relationships/hyperlink" Target="https://audio.iskcondesiretree.com/01_-_Srila_Prabhupada/01_-_Lectures/01_-_English/01_-_Topic_wise/Nectar_Of_Devotion/SP_NOD_12_Vrindavan_1972-11-08_-_The_Complete_Science_of_Bhakti_Yoga.mp3" TargetMode="External"/><Relationship Id="rId2477" Type="http://schemas.openxmlformats.org/officeDocument/2006/relationships/hyperlink" Target="https://audio.iskcondesiretree.com/01_-_Srila_Prabhupada/01_-_Lectures/01_-_English/02_-_Month_wise/10_-_October/28/SB-01-08-48_1974-10-28_SB-MAYAPUR.MP3" TargetMode="External"/><Relationship Id="rId2684" Type="http://schemas.openxmlformats.org/officeDocument/2006/relationships/hyperlink" Target="https://audio.iskcondesiretree.com/01_-_Srila_Prabhupada/01_-_Lectures/01_-_English/02_-_Month_wise/01_-_January/08/SB-03-26-31_1975-01-08_SB-BOMBAY.MP3" TargetMode="External"/><Relationship Id="rId3528" Type="http://schemas.openxmlformats.org/officeDocument/2006/relationships/hyperlink" Target="https://audio.iskcondesiretree.com/01_-_Srila_Prabhupada/01_-_Lectures/01_-_English/02_-_Month_wise/07_-_July/14/Walk_1975-07-14_MW-PHILADELPHIA.MP3" TargetMode="External"/><Relationship Id="rId3735" Type="http://schemas.openxmlformats.org/officeDocument/2006/relationships/hyperlink" Target="https://audio.iskcondesiretree.com/01_-_Srila_Prabhupada/01_-_Lectures/01_-_English/02_-_Month_wise/09_-_September/07/SB-06-02-03_1975-09-07_SB-VRNDAVAN.MP3" TargetMode="External"/><Relationship Id="rId5090" Type="http://schemas.openxmlformats.org/officeDocument/2006/relationships/hyperlink" Target="https://audio.iskcondesiretree.com/01_-_Srila_Prabhupada/01_-_Lectures/01_-_English/02_-_Month_wise/08_-_August/11/Conv_1976-08-11_R1-TEHRAN.MP3" TargetMode="External"/><Relationship Id="rId6141" Type="http://schemas.openxmlformats.org/officeDocument/2006/relationships/hyperlink" Target="https://audio.iskcondesiretree.com/01_-_Srila_Prabhupada/01_-_Lectures/01_-_English/01_-_Topic_wise/Stories/SP_Story_17_Mahabharata.mp3" TargetMode="External"/><Relationship Id="rId449" Type="http://schemas.openxmlformats.org/officeDocument/2006/relationships/hyperlink" Target="https://audio.iskcondesiretree.com/01_-_Srila_Prabhupada/01_-_Lectures/01_-_English/02_-_Month_wise/06_-_June/16/SB_1-05-14_NV_1969-06-16_One_Has_to_Live_in_God.mp3" TargetMode="External"/><Relationship Id="rId656" Type="http://schemas.openxmlformats.org/officeDocument/2006/relationships/hyperlink" Target="https://audio.iskcondesiretree.com/01_-_Srila_Prabhupada/01_-_Lectures/01_-_English/01_-_Topic_wise/Srimad_Bhagavatam/Canto-01/SP_SB_1-02-20_Los_Angeles_1972-08-23_Spiritual_Life_Is_Scientific.mp3" TargetMode="External"/><Relationship Id="rId863" Type="http://schemas.openxmlformats.org/officeDocument/2006/relationships/hyperlink" Target="https://audio.iskcondesiretree.com/01_-_Srila_Prabhupada/01_-_Lectures/01_-_English/02_-_Month_wise/12_-_December/11/Bg_02-02_AHM_1972-12-11_Classless_Aryanism.mp3" TargetMode="External"/><Relationship Id="rId1079" Type="http://schemas.openxmlformats.org/officeDocument/2006/relationships/hyperlink" Target="https://audio.iskcondesiretree.com/01_-_Srila_Prabhupada/01_-_Lectures/01_-_English/02_-_Month_wise/07_-_July/11/RC_LON_1973-07-11_Guest_%26_Devotees-Yoga_Feeling_etc.mp3" TargetMode="External"/><Relationship Id="rId1286" Type="http://schemas.openxmlformats.org/officeDocument/2006/relationships/hyperlink" Target="https://audio.iskcondesiretree.com/01_-_Srila_Prabhupada/01_-_Lectures/01_-_English/01_-_Topic_wise/Bhagavad_Gita/Chapter-13/SP_BG_13-01-02_Bombay_1973-09-25_Knowing_Self_Bodily_%27Land%27--etc.mp3" TargetMode="External"/><Relationship Id="rId1493" Type="http://schemas.openxmlformats.org/officeDocument/2006/relationships/hyperlink" Target="https://audio.iskcondesiretree.com/01_-_Srila_Prabhupada/01_-_Lectures/01_-_English/02_-_Month_wise/01_-_January/07/SB-01-16-10_1974-01-07_SB-LOS_ANGELES.MP3" TargetMode="External"/><Relationship Id="rId2337" Type="http://schemas.openxmlformats.org/officeDocument/2006/relationships/hyperlink" Target="https://audio.iskcondesiretree.com/01_-_Srila_Prabhupada/01_-_Lectures/01_-_English/02_-_Month_wise/08_-_August/10/Bg_07-04_VRN_1974-08-10_Society%2C_Friendship_and_Love.mp3" TargetMode="External"/><Relationship Id="rId2544" Type="http://schemas.openxmlformats.org/officeDocument/2006/relationships/hyperlink" Target="https://audio.iskcondesiretree.com/01_-_Srila_Prabhupada/01_-_Lectures/01_-_English/02_-_Month_wise/11_-_November/22/SB-03-25-22_1974-11-22_SB-BOMBAY.MP3" TargetMode="External"/><Relationship Id="rId2891" Type="http://schemas.openxmlformats.org/officeDocument/2006/relationships/hyperlink" Target="https://audio.iskcondesiretree.com/01_-_Srila_Prabhupada/01_-_Lectures/01_-_English/02_-_Month_wise/03_-_March/02/Bhaktisiddhanta_Appearance_1975-03-02_BA-ATLANTA.MP3" TargetMode="External"/><Relationship Id="rId3942" Type="http://schemas.openxmlformats.org/officeDocument/2006/relationships/hyperlink" Target="https://audio.iskcondesiretree.com/01_-_Srila_Prabhupada/01_-_Lectures/01_-_English/02_-_Month_wise/10_-_October/31/Bg-07-04_1975-10-31_BG-NAIROBI.MP3" TargetMode="External"/><Relationship Id="rId6001" Type="http://schemas.openxmlformats.org/officeDocument/2006/relationships/hyperlink" Target="https://audio.iskcondesiretree.com/01_-_Srila_Prabhupada/01_-_Lectures/01_-_English/02_-_Month_wise/11_-_November/05/Conv_1977-11-05_R6-VRNDAVAN.MP3" TargetMode="External"/><Relationship Id="rId309" Type="http://schemas.openxmlformats.org/officeDocument/2006/relationships/hyperlink" Target="https://audio.iskcondesiretree.com/01_-_Srila_Prabhupada/01_-_Lectures/01_-_English/01_-_Topic_wise/Srimad_Bhagavatam/Canto-02/SP_SB_2-02-05_Los_Angeles_1968-12-02_Serving_Krishna_Not_Ordinary_Thing.mp3" TargetMode="External"/><Relationship Id="rId516" Type="http://schemas.openxmlformats.org/officeDocument/2006/relationships/hyperlink" Target="https://audio.iskcondesiretree.com/01_-_Srila_Prabhupada/01_-_Lectures/01_-_English/01_-_Topic_wise/Srimad_Bhagavatam/Canto-02/SP_SB_2-01-01_Los_Angeles_1970-07-01_Death_Is_As_Sure_As_Death.mp3" TargetMode="External"/><Relationship Id="rId1146" Type="http://schemas.openxmlformats.org/officeDocument/2006/relationships/hyperlink" Target="https://audio.iskcondesiretree.com/01_-_Srila_Prabhupada/01_-_Lectures/01_-_English/01_-_Topic_wise/Bhagavad_Gita/Chapter-02/SP_BG_02-06_London_1973-08-06_How_to_Utilize_Fighting_Spirit.mp3" TargetMode="External"/><Relationship Id="rId2751" Type="http://schemas.openxmlformats.org/officeDocument/2006/relationships/hyperlink" Target="https://audio.iskcondesiretree.com/01_-_Srila_Prabhupada/01_-_Lectures/01_-_English/02_-_Month_wise/02_-_Feburary/02/Bg_16-06_HAW_1975-02-02_Education_in_Becoming_Divine.mp3" TargetMode="External"/><Relationship Id="rId3802" Type="http://schemas.openxmlformats.org/officeDocument/2006/relationships/hyperlink" Target="https://audio.iskcondesiretree.com/01_-_Srila_Prabhupada/01_-_Lectures/01_-_English/02_-_Month_wise/10_-_October/01/Bg_02-11_MAU_1975-10-01_Lament_for_a_Lump.mp3" TargetMode="External"/><Relationship Id="rId723" Type="http://schemas.openxmlformats.org/officeDocument/2006/relationships/hyperlink" Target="https://audio.iskcondesiretree.com/01_-_Srila_Prabhupada/01_-_Lectures/01_-_English/02_-_Month_wise/10_-_October/05/SB_1-03-30_LA_1972-10-05_Krishna_Is_Within_Every_Atom.mp3" TargetMode="External"/><Relationship Id="rId930" Type="http://schemas.openxmlformats.org/officeDocument/2006/relationships/hyperlink" Target="https://audio.iskcondesiretree.com/01_-_Srila_Prabhupada/01_-_Lectures/02_-_Bengali/1973-03-16_Lecture_-_Mayapur.mp3" TargetMode="External"/><Relationship Id="rId1006" Type="http://schemas.openxmlformats.org/officeDocument/2006/relationships/hyperlink" Target="https://audio.iskcondesiretree.com/01_-_Srila_Prabhupada/01_-_Lectures/01_-_English/02_-_Month_wise/05_-_May/13/MW_LA_1973-05-13_Evolution_Devolution_and_Elevation.mp3" TargetMode="External"/><Relationship Id="rId1353" Type="http://schemas.openxmlformats.org/officeDocument/2006/relationships/hyperlink" Target="https://audio.iskcondesiretree.com/01_-_Srila_Prabhupada/01_-_Lectures/01_-_English/01_-_Topic_wise/Srimad_Bhagavatam/Canto-02/SP_SB_2-01-04_Delhi_1973-11-07_The_Anatomy_of_Madness.mp3" TargetMode="External"/><Relationship Id="rId1560" Type="http://schemas.openxmlformats.org/officeDocument/2006/relationships/hyperlink" Target="https://audio.iskcondesiretree.com/01_-_Srila_Prabhupada/01_-_Lectures/01_-_English/02_-_Month_wise/01_-_January/21/Walk_1974-01-21_MW-HONOLULU.MP3" TargetMode="External"/><Relationship Id="rId2404" Type="http://schemas.openxmlformats.org/officeDocument/2006/relationships/hyperlink" Target="https://audio.iskcondesiretree.com/01_-_Srila_Prabhupada/01_-_Lectures/01_-_English/02_-_Month_wise/10_-_October/01/SB-01-08-21_1974-10-01_SB-MAYAPUR.MP3" TargetMode="External"/><Relationship Id="rId2611" Type="http://schemas.openxmlformats.org/officeDocument/2006/relationships/hyperlink" Target="https://audio.iskcondesiretree.com/01_-_Srila_Prabhupada/01_-_Lectures/01_-_English/02_-_Month_wise/12_-_December/14/SB_3-26-02_BOM_1974-12-14_You_Belong_to_Spiritual_World.mp3" TargetMode="External"/><Relationship Id="rId5767" Type="http://schemas.openxmlformats.org/officeDocument/2006/relationships/hyperlink" Target="https://audio.iskcondesiretree.com/01_-_Srila_Prabhupada/01_-_Lectures/01_-_English/02_-_Month_wise/03_-_March/26/Conv_1977-03-26_R1-BOMBAY.MP3" TargetMode="External"/><Relationship Id="rId5974" Type="http://schemas.openxmlformats.org/officeDocument/2006/relationships/hyperlink" Target="https://audio.iskcondesiretree.com/01_-_Srila_Prabhupada/01_-_Lectures/01_-_English/02_-_Month_wise/10_-_October/30/Conv_1977-10-30_R1-VRNDAVAN.MP3" TargetMode="External"/><Relationship Id="rId1213" Type="http://schemas.openxmlformats.org/officeDocument/2006/relationships/hyperlink" Target="https://audio.iskcondesiretree.com/01_-_Srila_Prabhupada/01_-_Lectures/01_-_English/02_-_Month_wise/08_-_August/23/Lect_LON_1973-08-23_What_Is_Religion.mp3" TargetMode="External"/><Relationship Id="rId1420" Type="http://schemas.openxmlformats.org/officeDocument/2006/relationships/hyperlink" Target="https://audio.iskcondesiretree.com/01_-_Srila_Prabhupada/01_-_Lectures/01_-_English/01_-_Topic_wise/Srimad_Bhagavatam/Canto-01/SP_SB_1-15-35_Los_Angeles_1973-12-13_The_Mantra_of_Meekness.mp3" TargetMode="External"/><Relationship Id="rId4369" Type="http://schemas.openxmlformats.org/officeDocument/2006/relationships/hyperlink" Target="https://audio.iskcondesiretree.com/01_-_Srila_Prabhupada/01_-_Lectures/01_-_English/02_-_Month_wise/03_-_March/16/MW_MAY_1976-03-16_What_Is_Next.mp3" TargetMode="External"/><Relationship Id="rId4576" Type="http://schemas.openxmlformats.org/officeDocument/2006/relationships/hyperlink" Target="https://audio.iskcondesiretree.com/01_-_Srila_Prabhupada/01_-_Lectures/01_-_English/02_-_Month_wise/05_-_May/07/SB-06-01-06_1976-05-07_SB-HONOLULU.MP3" TargetMode="External"/><Relationship Id="rId4783" Type="http://schemas.openxmlformats.org/officeDocument/2006/relationships/hyperlink" Target="https://audio.iskcondesiretree.com/01_-_Srila_Prabhupada/01_-_Lectures/01_-_English/02_-_Month_wise/06_-_June/18/Walk_1976-06-18_MW-TORONTO.MP3" TargetMode="External"/><Relationship Id="rId4990" Type="http://schemas.openxmlformats.org/officeDocument/2006/relationships/hyperlink" Target="https://audio.iskcondesiretree.com/01_-_Srila_Prabhupada/01_-_Lectures/01_-_English/02_-_Month_wise/07_-_July/17/Interv_NY_1976-07-17_Trans_India_Magazine_Life_etc.mp3" TargetMode="External"/><Relationship Id="rId5627" Type="http://schemas.openxmlformats.org/officeDocument/2006/relationships/hyperlink" Target="https://audio.iskcondesiretree.com/01_-_Srila_Prabhupada/01_-_Lectures/01_-_English/02_-_Month_wise/01_-_January/24/Conv_1977-01-24_R1-BHUBANESWAR.MP3" TargetMode="External"/><Relationship Id="rId5834" Type="http://schemas.openxmlformats.org/officeDocument/2006/relationships/hyperlink" Target="https://audio.iskcondesiretree.com/01_-_Srila_Prabhupada/01_-_Lectures/01_-_English/02_-_Month_wise/05_-_May/08/Conv_1977-05-08_R1-RISHIKESH.MP3" TargetMode="External"/><Relationship Id="rId3178" Type="http://schemas.openxmlformats.org/officeDocument/2006/relationships/hyperlink" Target="https://audio.iskcondesiretree.com/01_-_Srila_Prabhupada/01_-_Lectures/01_-_English/01_-_Topic_wise/Room_Conversation/SP_Room_Conversation_Perth_1975-05-14_Geographer--No_Grain-Will_You_Eat_Money.mp3" TargetMode="External"/><Relationship Id="rId3385" Type="http://schemas.openxmlformats.org/officeDocument/2006/relationships/hyperlink" Target="https://audio.iskcondesiretree.com/01_-_Srila_Prabhupada/01_-_Lectures/01_-_English/02_-_Month_wise/06_-_June/27/Arr_DEN_1975-06-27_Americans_with_Krsna_Consciousness.mp3" TargetMode="External"/><Relationship Id="rId3592" Type="http://schemas.openxmlformats.org/officeDocument/2006/relationships/hyperlink" Target="https://audio.iskcondesiretree.com/01_-_Srila_Prabhupada/01_-_Lectures/01_-_English/02_-_Month_wise/07_-_July/26/RC_LB_1975-07-26_We_Cannot_Possess_and_Renounce.mp3" TargetMode="External"/><Relationship Id="rId4229" Type="http://schemas.openxmlformats.org/officeDocument/2006/relationships/hyperlink" Target="https://audio.iskcondesiretree.com/01_-_Srila_Prabhupada/01_-_Lectures/01_-_English/02_-_Month_wise/02_-_Feburary/11/SB-07-09-04_1976-02-11_SB-MAYAPUR.MP3" TargetMode="External"/><Relationship Id="rId4436" Type="http://schemas.openxmlformats.org/officeDocument/2006/relationships/hyperlink" Target="https://audio.iskcondesiretree.com/01_-_Srila_Prabhupada/01_-_Lectures/01_-_English/02_-_Month_wise/04_-_April/06/SB-07-09-51_1976-04-06_SB-VRNDAVAN.MP3" TargetMode="External"/><Relationship Id="rId4643" Type="http://schemas.openxmlformats.org/officeDocument/2006/relationships/hyperlink" Target="https://audio.iskcondesiretree.com/01_-_Srila_Prabhupada/01_-_Lectures/01_-_English/02_-_Month_wise/05_-_May/24/SB_6-01-24_HON_1976-05-24_Trade_the_Dark_Well_for_VRN_Forest.mp3" TargetMode="External"/><Relationship Id="rId4850" Type="http://schemas.openxmlformats.org/officeDocument/2006/relationships/hyperlink" Target="https://audio.iskcondesiretree.com/01_-_Srila_Prabhupada/01_-_Lectures/01_-_English/02_-_Month_wise/06_-_June/28/RC_NV_1976-06-28_Bhavans_Journal-1_Society_Going_to_the_Dogs.mp3" TargetMode="External"/><Relationship Id="rId5901" Type="http://schemas.openxmlformats.org/officeDocument/2006/relationships/hyperlink" Target="https://audio.iskcondesiretree.com/01_-_Srila_Prabhupada/01_-_Lectures/01_-_English/02_-_Month_wise/07_-_July/01/Conv_1977-07-01_R6-VRNDAVAN.MP3" TargetMode="External"/><Relationship Id="rId2194" Type="http://schemas.openxmlformats.org/officeDocument/2006/relationships/hyperlink" Target="https://audio.iskcondesiretree.com/01_-_Srila_Prabhupada/01_-_Lectures/01_-_English/02_-_Month_wise/06_-_June/26/SB-02-01-01-05_1974-06-26_SB-MELBOURNE.MP3" TargetMode="External"/><Relationship Id="rId3038" Type="http://schemas.openxmlformats.org/officeDocument/2006/relationships/hyperlink" Target="https://audio.iskcondesiretree.com/01_-_Srila_Prabhupada/01_-_Lectures/01_-_English/01_-_Topic_wise/Morning_Walk/SP_Morning_Walk_-_Mayapur_1975-04-03_The_Return_Ticket_Hell--Heaven--Hell.mp3" TargetMode="External"/><Relationship Id="rId3245" Type="http://schemas.openxmlformats.org/officeDocument/2006/relationships/hyperlink" Target="https://audio.iskcondesiretree.com/01_-_Srila_Prabhupada/01_-_Lectures/01_-_English/02_-_Month_wise/05_-_May/25/Interv_FIJ_1975-05-25_Radio-You_Can_Make_Whole_World_India.mp3" TargetMode="External"/><Relationship Id="rId3452" Type="http://schemas.openxmlformats.org/officeDocument/2006/relationships/hyperlink" Target="https://audio.iskcondesiretree.com/01_-_Srila_Prabhupada/01_-_Lectures/01_-_English/02_-_Month_wise/07_-_July/06/SB_6-01-22_CHI_1975-07-06_Fifth_Class_Education_etc.mp3" TargetMode="External"/><Relationship Id="rId4503" Type="http://schemas.openxmlformats.org/officeDocument/2006/relationships/hyperlink" Target="https://audio.iskcondesiretree.com/01_-_Srila_Prabhupada/01_-_Lectures/01_-_English/02_-_Month_wise/04_-_April/20/Bg_09-02_MEL_1976-04-20_The_King_of_Knowledge.mp3" TargetMode="External"/><Relationship Id="rId4710" Type="http://schemas.openxmlformats.org/officeDocument/2006/relationships/hyperlink" Target="https://audio.iskcondesiretree.com/01_-_Srila_Prabhupada/01_-_Lectures/01_-_English/02_-_Month_wise/06_-_June/08/RC_LA_1976-06-08_Prabhupada%27s_Journey_to_America.mp3" TargetMode="External"/><Relationship Id="rId166" Type="http://schemas.openxmlformats.org/officeDocument/2006/relationships/hyperlink" Target="https://audio.iskcondesiretree.com/01_-_Srila_Prabhupada/01_-_Lectures/01_-_English/01_-_Topic_wise/Bhagavad_Gita/Chapter-09/SP_BG_09-26-27_New_York_1966-12-16_Do_Everything_As_An_Offering_to_Krsna.mp3" TargetMode="External"/><Relationship Id="rId373" Type="http://schemas.openxmlformats.org/officeDocument/2006/relationships/hyperlink" Target="https://audio.iskcondesiretree.com/01_-_Srila_Prabhupada/01_-_Lectures/01_-_English/01_-_Topic_wise/Bhagavad_Gita/Chapter-06/SP_BG_06-13-15_Los_Angeles_1969-02-16_Yoga_System--We_Want_Something--etc.mp3" TargetMode="External"/><Relationship Id="rId580" Type="http://schemas.openxmlformats.org/officeDocument/2006/relationships/hyperlink" Target="https://audio.iskcondesiretree.com/01_-_Srila_Prabhupada/01_-_Lectures/01_-_English/01_-_Topic_wise/Srimad_Bhagavatam/Canto-02/SP_SB_2-03-09_Los_Angeles_1972-05-26_If_You_Actually_Want_Freedom--etc.mp3" TargetMode="External"/><Relationship Id="rId2054" Type="http://schemas.openxmlformats.org/officeDocument/2006/relationships/hyperlink" Target="https://audio.iskcondesiretree.com/01_-_Srila_Prabhupada/01_-_Lectures/01_-_English/01_-_Topic_wise/Room_Conversation/SP_Room_Conversation_Geneva_1974-06-05_Nuclear_Physicist--Spiritual_Physics.mp3" TargetMode="External"/><Relationship Id="rId2261" Type="http://schemas.openxmlformats.org/officeDocument/2006/relationships/hyperlink" Target="https://audio.iskcondesiretree.com/01_-_Srila_Prabhupada/01_-_Lectures/01_-_English/02_-_Month_wise/07_-_July/10/SB-01-16-20_1974-07-10_SB-LOS%20ANGELES.MP3" TargetMode="External"/><Relationship Id="rId3105" Type="http://schemas.openxmlformats.org/officeDocument/2006/relationships/hyperlink" Target="https://audio.iskcondesiretree.com/01_-_Srila_Prabhupada/01_-_Lectures/01_-_English/01_-_Topic_wise/Various/SP_Lecture_Hyderabad_1975-04-14_Let_Us_Become_Dogs_of_Krishna.mp3" TargetMode="External"/><Relationship Id="rId3312" Type="http://schemas.openxmlformats.org/officeDocument/2006/relationships/hyperlink" Target="https://audio.iskcondesiretree.com/01_-_Srila_Prabhupada/01_-_Lectures/01_-_English/01_-_Topic_wise/Morning_Walk/SP_Morning_Walk_-_Honolulu_1975-06-17.MP3" TargetMode="External"/><Relationship Id="rId233" Type="http://schemas.openxmlformats.org/officeDocument/2006/relationships/hyperlink" Target="https://audio.iskcondesiretree.com/01_-_Srila_Prabhupada/01_-_Lectures/01_-_English/02_-_Month_wise/03_-_March/23/MW_SF_1968-03-23_Prayer_for_a_Passionate_Planet.mp3" TargetMode="External"/><Relationship Id="rId440" Type="http://schemas.openxmlformats.org/officeDocument/2006/relationships/hyperlink" Target="https://audio.iskcondesiretree.com/01_-_Srila_Prabhupada/01_-_Lectures/01_-_English/01_-_Topic_wise/Srimad_Bhagavatam/Canto-01/SP_SB_1-05-09_New_Vrindavan_1969-06-06_First_Business--Protect_Your_Soul.mp3" TargetMode="External"/><Relationship Id="rId1070" Type="http://schemas.openxmlformats.org/officeDocument/2006/relationships/hyperlink" Target="https://audio.iskcondesiretree.com/01_-_Srila_Prabhupada/01_-_Lectures/01_-_English/02_-_Month_wise/07_-_July/10/RC_LON_1973-07-10_Prof._Waddell_of_Private_Boys_etc.mp3" TargetMode="External"/><Relationship Id="rId2121" Type="http://schemas.openxmlformats.org/officeDocument/2006/relationships/hyperlink" Target="https://audio.iskcondesiretree.com/01_-_Srila_Prabhupada/01_-_Lectures/01_-_English/02_-_Month_wise/06_-_June/13/Bg_07-01_PAR_1974-06-13_Serious_Ones_Will_Come_to_etc.mp3" TargetMode="External"/><Relationship Id="rId5277" Type="http://schemas.openxmlformats.org/officeDocument/2006/relationships/hyperlink" Target="https://audio.iskcondesiretree.com/01_-_Srila_Prabhupada/01_-_Lectures/01_-_English/01_-_Topic_wise/Srimad_Bhagavatam/Canto-01/SP_SB_1-07-36_Vrindavan_1976-09-29_The_Point--Is_Krishna_Pleased.mp3" TargetMode="External"/><Relationship Id="rId5484" Type="http://schemas.openxmlformats.org/officeDocument/2006/relationships/hyperlink" Target="https://audio.iskcondesiretree.com/01_-_Srila_Prabhupada/01_-_Lectures/01_-_English/02_-_Month_wise/12_-_December/10/Bhaktisiddhanta_Disappearance_1976-12-10_DB-HYDERABAD.MP3" TargetMode="External"/><Relationship Id="rId300" Type="http://schemas.openxmlformats.org/officeDocument/2006/relationships/hyperlink" Target="https://audio.iskcondesiretree.com/01_-_Srila_Prabhupada/01_-_Lectures/01_-_English/01_-_Topic_wise/Bhagavad_Gita/Chapter-02/SP_BG_02-01-10_Los_Angeles_1968-11-25_The_Missing_Self-Understanding.mp3" TargetMode="External"/><Relationship Id="rId4086" Type="http://schemas.openxmlformats.org/officeDocument/2006/relationships/hyperlink" Target="https://audio.iskcondesiretree.com/01_-_Srila_Prabhupada/01_-_Lectures/01_-_English/02_-_Month_wise/12_-_December/12/SB_7-06-10_VRN_1975-12-12_Krishna_and_Non-Krishna_Desires.mp3" TargetMode="External"/><Relationship Id="rId5137" Type="http://schemas.openxmlformats.org/officeDocument/2006/relationships/hyperlink" Target="https://audio.iskcondesiretree.com/01_-_Srila_Prabhupada/01_-_Lectures/01_-_English/02_-_Month_wise/08_-_August/19/Fest_HYD_1976-08-19_Vyasa-puja-How_to_Avoid_Reincarnation.mp3" TargetMode="External"/><Relationship Id="rId5691" Type="http://schemas.openxmlformats.org/officeDocument/2006/relationships/hyperlink" Target="https://audio.iskcondesiretree.com/01_-_Srila_Prabhupada/01_-_Lectures/01_-_English/02_-_Month_wise/02_-_Feburary/10/Walk_1977-02-10_MW-MAYAPUR.MP3" TargetMode="External"/><Relationship Id="rId1887" Type="http://schemas.openxmlformats.org/officeDocument/2006/relationships/hyperlink" Target="https://audio.iskcondesiretree.com/01_-_Srila_Prabhupada/01_-_Lectures/01_-_English/01_-_Topic_wise/Interview/SP_Interview_Hyderabad_1974-04-18_Press--If_You_Want_a_Good_Society.mp3" TargetMode="External"/><Relationship Id="rId2938" Type="http://schemas.openxmlformats.org/officeDocument/2006/relationships/hyperlink" Target="https://audio.iskcondesiretree.com/01_-_Srila_Prabhupada/01_-_Lectures/01_-_English/01_-_Topic_wise/Morning_Walk/SP_Morning_Walk_-_London_1975-03-11_Not_Only_India-The_Whole_World.mp3" TargetMode="External"/><Relationship Id="rId4293" Type="http://schemas.openxmlformats.org/officeDocument/2006/relationships/hyperlink" Target="https://audio.iskcondesiretree.com/01_-_Srila_Prabhupada/01_-_Lectures/01_-_English/02_-_Month_wise/02_-_Feburary/27/Walk_1976-02-27_MW-MAYAPUR.MP3" TargetMode="External"/><Relationship Id="rId5344" Type="http://schemas.openxmlformats.org/officeDocument/2006/relationships/hyperlink" Target="https://audio.iskcondesiretree.com/01_-_Srila_Prabhupada/01_-_Lectures/01_-_English/02_-_Month_wise/10_-_October/23/SB_5-05-01_VRN_1976-10-23_Real_Austerity.mp3" TargetMode="External"/><Relationship Id="rId5551" Type="http://schemas.openxmlformats.org/officeDocument/2006/relationships/hyperlink" Target="https://audio.iskcondesiretree.com/01_-_Srila_Prabhupada/01_-_Lectures/01_-_English/02_-_Month_wise/01_-_January/02/Conv_1977-01-02_R3-BOMBAY.MP3" TargetMode="External"/><Relationship Id="rId1747" Type="http://schemas.openxmlformats.org/officeDocument/2006/relationships/hyperlink" Target="https://audio.iskcondesiretree.com/01_-_Srila_Prabhupada/01_-_Lectures/01_-_English/02_-_Month_wise/03_-_March/23/MW_BOM_1974-03-23_A_Kindly_Slap_for_a_Fool.mp3" TargetMode="External"/><Relationship Id="rId1954" Type="http://schemas.openxmlformats.org/officeDocument/2006/relationships/hyperlink" Target="https://audio.iskcondesiretree.com/01_-_Srila_Prabhupada/01_-_Lectures/01_-_English/01_-_Topic_wise/Morning_Walk/SP_Morning_Walk_-_Bombay_1974-05-05.mp3" TargetMode="External"/><Relationship Id="rId4153" Type="http://schemas.openxmlformats.org/officeDocument/2006/relationships/hyperlink" Target="https://audio.iskcondesiretree.com/01_-_Srila_Prabhupada/01_-_Lectures/01_-_English/02_-_Month_wise/01_-_January/03/RC_NEL_1976-01-03_Napoleon-Drink_Horse_Urine.mp3" TargetMode="External"/><Relationship Id="rId4360" Type="http://schemas.openxmlformats.org/officeDocument/2006/relationships/hyperlink" Target="https://audio.iskcondesiretree.com/01_-_Srila_Prabhupada/01_-_Lectures/01_-_English/02_-_Month_wise/03_-_March/15/SB-07-09-37_1976-03-15_SB-MAYAPUR.MP3" TargetMode="External"/><Relationship Id="rId5204" Type="http://schemas.openxmlformats.org/officeDocument/2006/relationships/hyperlink" Target="https://audio.iskcondesiretree.com/01_-_Srila_Prabhupada/01_-_Lectures/01_-_English/01_-_Topic_wise/Room_Conversation/SP_Room_Conversation_Vrindavan_1976-09-09_Chastity_vs_Change-O-Mania.mp3" TargetMode="External"/><Relationship Id="rId5411" Type="http://schemas.openxmlformats.org/officeDocument/2006/relationships/hyperlink" Target="https://audio.iskcondesiretree.com/01_-_Srila_Prabhupada/01_-_Lectures/01_-_English/02_-_Month_wise/11_-_November/12/SB_5-05-25_VRN_1976-11-12_Hog_Intestines_or_Halava.mp3" TargetMode="External"/><Relationship Id="rId39" Type="http://schemas.openxmlformats.org/officeDocument/2006/relationships/hyperlink" Target="https://audio.iskcondesiretree.com/01_-_Srila_Prabhupada/01_-_Lectures/01_-_English/02_-_Month_wise/05_-_May/25/Bg_03-16_NY_1966-05-25_You_Have_to_Love_Through_God.mp3" TargetMode="External"/><Relationship Id="rId1607" Type="http://schemas.openxmlformats.org/officeDocument/2006/relationships/hyperlink" Target="https://audio.iskcondesiretree.com/01_-_Srila_Prabhupada/01_-_Lectures/01_-_English/01_-_Topic_wise/Bhagavad_Gita/Chapter-04/SP_BG_04-04_Vrindavan_1974-02-12.mp3" TargetMode="External"/><Relationship Id="rId1814" Type="http://schemas.openxmlformats.org/officeDocument/2006/relationships/hyperlink" Target="https://audio.iskcondesiretree.com/01_-_Srila_Prabhupada/01_-_Lectures/01_-_English/02_-_Month_wise/04_-_April/03/Bg_04-14_BOM_1974-04-03_Liberated_By_Understanding_etc.mp3" TargetMode="External"/><Relationship Id="rId4013" Type="http://schemas.openxmlformats.org/officeDocument/2006/relationships/hyperlink" Target="https://audio.iskcondesiretree.com/01_-_Srila_Prabhupada/01_-_Lectures/01_-_English/01_-_Topic_wise/Morning_Walk/SP_Morning_Walk_-_Bombay_1975-11-20_Christ_Survived_the_Cross.mp3" TargetMode="External"/><Relationship Id="rId4220" Type="http://schemas.openxmlformats.org/officeDocument/2006/relationships/hyperlink" Target="https://audio.iskcondesiretree.com/01_-_Srila_Prabhupada/01_-_Lectures/01_-_English/01_-_Topic_wise/Morning_Walk/SP_Morning_Walk_-_Mayapur_1976-02-09_Varnashram_Dharma--How_Necessary.mp3" TargetMode="External"/><Relationship Id="rId3779" Type="http://schemas.openxmlformats.org/officeDocument/2006/relationships/hyperlink" Target="https://audio.iskcondesiretree.com/01_-_Srila_Prabhupada/01_-_Lectures/01_-_English/01_-_Topic_wise/Srimad_Bhagavatam/Canto-06/SP_SB_6-02-17_Vrindavan_1975-09-20_Don%27t_Try_to_Be_Happy_Here.mp3" TargetMode="External"/><Relationship Id="rId6185" Type="http://schemas.openxmlformats.org/officeDocument/2006/relationships/hyperlink" Target="https://audio.iskcondesiretree.com/01_-_Srila_Prabhupada/01_-_Lectures/03_-_Hindi/SP_Hindi_13_Lectures_%26_Conversations.mp3" TargetMode="External"/><Relationship Id="rId2588" Type="http://schemas.openxmlformats.org/officeDocument/2006/relationships/hyperlink" Target="https://audio.iskcondesiretree.com/01_-_Srila_Prabhupada/01_-_Lectures/01_-_English/01_-_Topic_wise/Srimad_Bhagavatam/Canto-03/SP_SB_3-25-38_Bombay_1974-12-07_Krishna%27s_Service-Absolute_Delight.mp3" TargetMode="External"/><Relationship Id="rId3986" Type="http://schemas.openxmlformats.org/officeDocument/2006/relationships/hyperlink" Target="https://audio.iskcondesiretree.com/01_-_Srila_Prabhupada/01_-_Lectures/01_-_English/01_-_Topic_wise/Morning_Walk/SP_Morning_Walk_-_Bombay_1975-11-14_Scientific_Know-Nothings.mp3" TargetMode="External"/><Relationship Id="rId6045" Type="http://schemas.openxmlformats.org/officeDocument/2006/relationships/hyperlink" Target="https://audio.iskcondesiretree.com/01_-_Srila_Prabhupada/01_-_Lectures/01_-_English/01_-_Topic_wise/Happening/01-AC_Bhaktivedanta_Swami_-_Hare_Krishna_Mantra_Chant.mp3" TargetMode="External"/><Relationship Id="rId1397" Type="http://schemas.openxmlformats.org/officeDocument/2006/relationships/hyperlink" Target="https://audio.iskcondesiretree.com/01_-_Srila_Prabhupada/01_-_Lectures/01_-_English/02_-_Month_wise/12_-_December/05/SB_1-15-26_LA_1973-12-05_Making_the_World_Truly_Aryan.mp3" TargetMode="External"/><Relationship Id="rId2795" Type="http://schemas.openxmlformats.org/officeDocument/2006/relationships/hyperlink" Target="https://audio.iskcondesiretree.com/01_-_Srila_Prabhupada/01_-_Lectures/01_-_English/01_-_Topic_wise/Room_Conversation/SP_Room_Conversation_Mexico_1975-02-13_Sanskrit_Prof--Why_Is_There_Anything.mp3" TargetMode="External"/><Relationship Id="rId3639" Type="http://schemas.openxmlformats.org/officeDocument/2006/relationships/hyperlink" Target="https://audio.iskcondesiretree.com/01_-_Srila_Prabhupada/01_-_Lectures/01_-_English/02_-_Month_wise/04_-_April/Walk_1975-08-04_MW-DETROIT.MP3" TargetMode="External"/><Relationship Id="rId3846" Type="http://schemas.openxmlformats.org/officeDocument/2006/relationships/hyperlink" Target="https://audio.iskcondesiretree.com/01_-_Srila_Prabhupada/01_-_Lectures/01_-_English/02_-_Month_wise/10_-_October/10/Walk_1975-10-10_MW-DURBAN.MP3" TargetMode="External"/><Relationship Id="rId5061" Type="http://schemas.openxmlformats.org/officeDocument/2006/relationships/hyperlink" Target="https://audio.iskcondesiretree.com/01_-_Srila_Prabhupada/01_-_Lectures/01_-_English/02_-_Month_wise/04_-_April/Bg-04-24_1976-08-04_BG-NEW%20MAYAPUR.MP3" TargetMode="External"/><Relationship Id="rId6112" Type="http://schemas.openxmlformats.org/officeDocument/2006/relationships/hyperlink" Target="https://audio.iskcondesiretree.com/01_-_Srila_Prabhupada/01_-_Lectures/01_-_English/01_-_Topic_wise/Krishna_Book/SP_Krsna_Book_Dict_78_-_Killing_Dantavakra_and_Viduratha.mp3" TargetMode="External"/><Relationship Id="rId767" Type="http://schemas.openxmlformats.org/officeDocument/2006/relationships/hyperlink" Target="https://audio.iskcondesiretree.com/01_-_Srila_Prabhupada/01_-_Lectures/01_-_English/02_-_Month_wise/10_-_October/31/SB_1-02-20_VRN_1972-10-31_Spiritual_Life_Means_Joyfulness.mp3" TargetMode="External"/><Relationship Id="rId974" Type="http://schemas.openxmlformats.org/officeDocument/2006/relationships/hyperlink" Target="https://audio.iskcondesiretree.com/01_-_Srila_Prabhupada/01_-_Lectures/01_-_English/01_-_Topic_wise/Srimad_Bhagavatam/Canto-01/SP_SB_1-08-36_Los_Angeles_1973-04-28_Just_Go_On_Hearing_About_Krishna.mp3" TargetMode="External"/><Relationship Id="rId2448" Type="http://schemas.openxmlformats.org/officeDocument/2006/relationships/hyperlink" Target="https://audio.iskcondesiretree.com/01_-_Srila_Prabhupada/01_-_Lectures/01_-_English/02_-_Month_wise/10_-_October/16/SB_1-08-36_MAY_1974-10-16_Senses_On_Strike.mp3" TargetMode="External"/><Relationship Id="rId2655" Type="http://schemas.openxmlformats.org/officeDocument/2006/relationships/hyperlink" Target="https://audio.iskcondesiretree.com/01_-_Srila_Prabhupada/01_-_Lectures/01_-_English/02_-_Month_wise/12_-_December/29/SB-03-26-20_1974-12-29_SB-BOMBAY.MP3" TargetMode="External"/><Relationship Id="rId2862" Type="http://schemas.openxmlformats.org/officeDocument/2006/relationships/hyperlink" Target="https://audio.iskcondesiretree.com/01_-_Srila_Prabhupada/01_-_Lectures/01_-_English/02_-_Month_wise/02_-_Feburary/27/Bg_13-04_MIA_1975-02-27_Different_Varieties.mp3" TargetMode="External"/><Relationship Id="rId3706" Type="http://schemas.openxmlformats.org/officeDocument/2006/relationships/hyperlink" Target="https://audio.iskcondesiretree.com/01_-_Srila_Prabhupada/01_-_Lectures/01_-_English/01_-_Topic_wise/Srimad_Bhagavatam/Canto-06/SP_SB_6-01-64_Vrindavan_1975-09-01_Above_Material_Nature.mp3" TargetMode="External"/><Relationship Id="rId3913" Type="http://schemas.openxmlformats.org/officeDocument/2006/relationships/hyperlink" Target="https://audio.iskcondesiretree.com/01_-_Srila_Prabhupada/01_-_Lectures/01_-_English/02_-_Month_wise/10_-_October/26/SB-03-28-17_1975-10-26_SB-NAIROBI.MP3" TargetMode="External"/><Relationship Id="rId627" Type="http://schemas.openxmlformats.org/officeDocument/2006/relationships/hyperlink" Target="https://audio.iskcondesiretree.com/01_-_Srila_Prabhupada/01_-_Lectures/01_-_English/02_-_Month_wise/06_-_June/27/SB_2-04-03_LA_1972-06-27_Make_Krishna_Your_Beloved.mp3" TargetMode="External"/><Relationship Id="rId834" Type="http://schemas.openxmlformats.org/officeDocument/2006/relationships/hyperlink" Target="https://audio.iskcondesiretree.com/01_-_Srila_Prabhupada/01_-_Lectures/01_-_English/02_-_Month_wise/11_-_November/23/Bg_02-18_HYD_1972-11-23_Chant-Cleanse_Your_Brain.mp3" TargetMode="External"/><Relationship Id="rId1257" Type="http://schemas.openxmlformats.org/officeDocument/2006/relationships/hyperlink" Target="https://audio.iskcondesiretree.com/01_-_Srila_Prabhupada/01_-_Lectures/01_-_English/02_-_Month_wise/09_-_September/06/SB_5-05-01_STO_1973-09-06_%27Isms%27_Are_Sense_Gratification.mp3" TargetMode="External"/><Relationship Id="rId1464" Type="http://schemas.openxmlformats.org/officeDocument/2006/relationships/hyperlink" Target="https://audio.iskcondesiretree.com/01_-_Srila_Prabhupada/01_-_Lectures/01_-_English/02_-_Month_wise/12_-_December/29/SB_1-16-01_LA_1973-12-29_The_Best_Form_of_Government.mp3" TargetMode="External"/><Relationship Id="rId1671" Type="http://schemas.openxmlformats.org/officeDocument/2006/relationships/hyperlink" Target="https://audio.iskcondesiretree.com/01_-_Srila_Prabhupada/01_-_Lectures/01_-_English/02_-_Month_wise/03_-_March/03/Cc_A_7-03_MAY_1974-03-03_Stop_Serving_the_Senses.mp3" TargetMode="External"/><Relationship Id="rId2308" Type="http://schemas.openxmlformats.org/officeDocument/2006/relationships/hyperlink" Target="https://audio.iskcondesiretree.com/01_-_Srila_Prabhupada/01_-_Lectures/01_-_English/02_-_Month_wise/08_-_August/03/SB_1-05-22_VRN_1974-08-03_Show_Your_Knowledge%27s_Origin.mp3" TargetMode="External"/><Relationship Id="rId2515" Type="http://schemas.openxmlformats.org/officeDocument/2006/relationships/hyperlink" Target="https://audio.iskcondesiretree.com/01_-_Srila_Prabhupada/01_-_Lectures/01_-_English/01_-_Topic_wise/Srimad_Bhagavatam/Canto-03/SP_SB_3-25-13_Bombay_1974-11-13_Above_Happiness_and_Distress.mp3" TargetMode="External"/><Relationship Id="rId2722" Type="http://schemas.openxmlformats.org/officeDocument/2006/relationships/hyperlink" Target="https://audio.iskcondesiretree.com/01_-_Srila_Prabhupada/01_-_Lectures/01_-_English/01_-_Topic_wise/Bhagavad_Gita/Chapter-16/SP_BG_16-07-09_Bombay_1975-01-23_Cornerstone_for_Godly_Civilization.mp3" TargetMode="External"/><Relationship Id="rId5878" Type="http://schemas.openxmlformats.org/officeDocument/2006/relationships/hyperlink" Target="https://audio.iskcondesiretree.com/01_-_Srila_Prabhupada/01_-_Lectures/01_-_English/02_-_Month_wise/06_-_June/19/Conv_1977-06-19_R1-VRNDAVAN.MP3" TargetMode="External"/><Relationship Id="rId901" Type="http://schemas.openxmlformats.org/officeDocument/2006/relationships/hyperlink" Target="https://audio.iskcondesiretree.com/01_-_Srila_Prabhupada/01_-_Lectures/01_-_English/02_-_Month_wise/01_-_January/14/Lect_BOM_1973-01-14_At_Pandal--It_Is_Not_that_Only_etc.mp3" TargetMode="External"/><Relationship Id="rId1117" Type="http://schemas.openxmlformats.org/officeDocument/2006/relationships/hyperlink" Target="https://audio.iskcondesiretree.com/01_-_Srila_Prabhupada/01_-_Lectures/01_-_English/01_-_Topic_wise/Room_Conversation/SP_Room_Conversation_London_1973-07-24_Reporter--Violent_Nonviolence.mp3" TargetMode="External"/><Relationship Id="rId1324" Type="http://schemas.openxmlformats.org/officeDocument/2006/relationships/hyperlink" Target="https://audio.iskcondesiretree.com/01_-_Srila_Prabhupada/01_-_Lectures/01_-_English/02_-_Month_wise/10_-_October/15/Bg_13-21_BOM_1973-10-15_An_Abominable_Body.mp3" TargetMode="External"/><Relationship Id="rId1531" Type="http://schemas.openxmlformats.org/officeDocument/2006/relationships/hyperlink" Target="https://audio.iskcondesiretree.com/01_-_Srila_Prabhupada/01_-_Lectures/01_-_English/01_-_Topic_wise/Morning_Walk/SP_Morning_Walk_-_Honolulu_1974-01-16.mp3" TargetMode="External"/><Relationship Id="rId4687" Type="http://schemas.openxmlformats.org/officeDocument/2006/relationships/hyperlink" Target="https://audio.iskcondesiretree.com/01_-_Srila_Prabhupada/01_-_Lectures/01_-_English/02_-_Month_wise/06_-_June/04/SB-06-01-38_1976-06-04_SB-LOS%20ANGELES.MP3" TargetMode="External"/><Relationship Id="rId4894" Type="http://schemas.openxmlformats.org/officeDocument/2006/relationships/hyperlink" Target="https://audio.iskcondesiretree.com/01_-_Srila_Prabhupada/01_-_Lectures/01_-_English/02_-_Month_wise/07_-_July/05/Cc_M_20-100_WDC_1976-07-05_Material_Masters-You_Can%27t_Satisfy.mp3" TargetMode="External"/><Relationship Id="rId5738" Type="http://schemas.openxmlformats.org/officeDocument/2006/relationships/hyperlink" Target="https://audio.iskcondesiretree.com/01_-_Srila_Prabhupada/01_-_Lectures/01_-_English/01_-_Topic_wise/Srimad_Bhagavatam/Canto-07/SP_SB_7-09-07_Mayapur_1977-02-27_Touch_Krishna_By_Your_Tongue.mp3" TargetMode="External"/><Relationship Id="rId5945" Type="http://schemas.openxmlformats.org/officeDocument/2006/relationships/hyperlink" Target="https://audio.iskcondesiretree.com/01_-_Srila_Prabhupada/01_-_Lectures/01_-_English/02_-_Month_wise/10_-_October/14/Conv_1977-10-14_R1-VRNDAVAN.MP3" TargetMode="External"/><Relationship Id="rId30" Type="http://schemas.openxmlformats.org/officeDocument/2006/relationships/hyperlink" Target="https://audio.iskcondesiretree.com/01_-_Srila_Prabhupada/01_-_Lectures/01_-_English/01_-_Topic_wise/Bhagavad_Gita/Chapter-02/SP_BG_02-55_New_York_1966-04-19_Engaging_in_Devotional_Service--etc.mp3" TargetMode="External"/><Relationship Id="rId3289" Type="http://schemas.openxmlformats.org/officeDocument/2006/relationships/hyperlink" Target="https://audio.iskcondesiretree.com/01_-_Srila_Prabhupada/01_-_Lectures/01_-_English/01_-_Topic_wise/Morning_Walk/SP_Morning_Walk_-_Honolulu_1975-06-15.MP3" TargetMode="External"/><Relationship Id="rId3496" Type="http://schemas.openxmlformats.org/officeDocument/2006/relationships/hyperlink" Target="https://audio.iskcondesiretree.com/01_-_Srila_Prabhupada/01_-_Lectures/01_-_English/02_-_Month_wise/07_-_July/11/MW_CHI_1975-07-11_Darwin%27s_Speculation_is_Not_Science.mp3" TargetMode="External"/><Relationship Id="rId4547" Type="http://schemas.openxmlformats.org/officeDocument/2006/relationships/hyperlink" Target="https://audio.iskcondesiretree.com/01_-_Srila_Prabhupada/01_-_Lectures/01_-_English/02_-_Month_wise/04_-_April/27/Conv_1976-04-27_R1-AUCKLAND.MP3" TargetMode="External"/><Relationship Id="rId4754" Type="http://schemas.openxmlformats.org/officeDocument/2006/relationships/hyperlink" Target="https://audio.iskcondesiretree.com/01_-_Srila_Prabhupada/01_-_Lectures/01_-_English/02_-_Month_wise/06_-_June/15/Conv_1976-06-15_R2-DETROIT.MP3" TargetMode="External"/><Relationship Id="rId2098" Type="http://schemas.openxmlformats.org/officeDocument/2006/relationships/hyperlink" Target="https://audio.iskcondesiretree.com/01_-_Srila_Prabhupada/01_-_Lectures/01_-_English/02_-_Month_wise/06_-_June/11/SB-02-01-02_1974-06-11_SB-PARIS.MP3" TargetMode="External"/><Relationship Id="rId3149" Type="http://schemas.openxmlformats.org/officeDocument/2006/relationships/hyperlink" Target="https://audio.iskcondesiretree.com/01_-_Srila_Prabhupada/01_-_Lectures/01_-_English/02_-_Month_wise/05_-_May/07/Walk_1975-05-07_MW-PERTH.MP3" TargetMode="External"/><Relationship Id="rId3356" Type="http://schemas.openxmlformats.org/officeDocument/2006/relationships/hyperlink" Target="https://audio.iskcondesiretree.com/01_-_Srila_Prabhupada/01_-_Lectures/01_-_English/02_-_Month_wise/06_-_June/23/SB_6-01-10_LA_1975-06-23_No_Heart_Free_of_Dirt.mp3" TargetMode="External"/><Relationship Id="rId3563" Type="http://schemas.openxmlformats.org/officeDocument/2006/relationships/hyperlink" Target="https://audio.iskcondesiretree.com/01_-_Srila_Prabhupada/01_-_Lectures/01_-_English/02_-_Month_wise/07_-_July/20/Walk_1975-07-20_MW-SAN%20FRANCISCO.MP3" TargetMode="External"/><Relationship Id="rId4407" Type="http://schemas.openxmlformats.org/officeDocument/2006/relationships/hyperlink" Target="https://audio.iskcondesiretree.com/01_-_Srila_Prabhupada/01_-_Lectures/01_-_English/02_-_Month_wise/03_-_March/25/MW_DEL_1976-03-25_Suffering_Is_Your_Creation.mp3" TargetMode="External"/><Relationship Id="rId4961" Type="http://schemas.openxmlformats.org/officeDocument/2006/relationships/hyperlink" Target="https://audio.iskcondesiretree.com/01_-_Srila_Prabhupada/01_-_Lectures/01_-_English/01_-_Topic_wise/Room_Conversation/SP_Room_Conversation_New_York_1976-07-13_Love--Perverted_or_Pure.mp3" TargetMode="External"/><Relationship Id="rId5805" Type="http://schemas.openxmlformats.org/officeDocument/2006/relationships/hyperlink" Target="https://audio.iskcondesiretree.com/01_-_Srila_Prabhupada/01_-_Lectures/01_-_English/02_-_Month_wise/04_-_April/17/RC_BOM_1977-04-17_Beyond_Sense_Perception.mp3" TargetMode="External"/><Relationship Id="rId277" Type="http://schemas.openxmlformats.org/officeDocument/2006/relationships/hyperlink" Target="https://audio.iskcondesiretree.com/01_-_Srila_Prabhupada/01_-_Lectures/01_-_English/02_-_Month_wise/10_-_October/18/Lect_SEA_1968-10-18_Transcendental_Television.mp3" TargetMode="External"/><Relationship Id="rId484" Type="http://schemas.openxmlformats.org/officeDocument/2006/relationships/hyperlink" Target="https://audio.iskcondesiretree.com/01_-_Srila_Prabhupada/01_-_Lectures/01_-_English/01_-_Topic_wise/Festivals/SP_Festivals_Los_Angeles_1969-12-09_Bhaktisiddhanta_Disappearance.mp3" TargetMode="External"/><Relationship Id="rId2165" Type="http://schemas.openxmlformats.org/officeDocument/2006/relationships/hyperlink" Target="https://audio.iskcondesiretree.com/01_-_Srila_Prabhupada/01_-_Lectures/01_-_English/02_-_Month_wise/06_-_June/19/RC_GER_1974-06-19_Prof_Durckheim_1_Outside_the_etc.mp3" TargetMode="External"/><Relationship Id="rId3009" Type="http://schemas.openxmlformats.org/officeDocument/2006/relationships/hyperlink" Target="https://audio.iskcondesiretree.com/01_-_Srila_Prabhupada/01_-_Lectures/01_-_English/01_-_Topic_wise/Room_Conversation/SP_Room_Conversation_Mayapur_1975-03-30_Entering_the_Family_of_Krishna.mp3" TargetMode="External"/><Relationship Id="rId3216" Type="http://schemas.openxmlformats.org/officeDocument/2006/relationships/hyperlink" Target="https://audio.iskcondesiretree.com/01_-_Srila_Prabhupada/01_-_Lectures/01_-_English/01_-_Topic_wise/Morning_Walk/SP_Morning_Walk_-_Melbourne_1975-05-21.MP3" TargetMode="External"/><Relationship Id="rId3770" Type="http://schemas.openxmlformats.org/officeDocument/2006/relationships/hyperlink" Target="https://audio.iskcondesiretree.com/01_-_Srila_Prabhupada/01_-_Lectures/01_-_English/01_-_Topic_wise/Srimad_Bhagavatam/Canto-06/SP_SB_6-02-15_Vrindavan_1975-09-18_The_Glories_of_the_Holy_Name.mp3" TargetMode="External"/><Relationship Id="rId4614" Type="http://schemas.openxmlformats.org/officeDocument/2006/relationships/hyperlink" Target="https://audio.iskcondesiretree.com/01_-_Srila_Prabhupada/01_-_Lectures/01_-_English/02_-_Month_wise/05_-_May/17/Lecture_1976-05-17_LE-HONOLULU.MP3" TargetMode="External"/><Relationship Id="rId4821" Type="http://schemas.openxmlformats.org/officeDocument/2006/relationships/hyperlink" Target="https://audio.iskcondesiretree.com/01_-_Srila_Prabhupada/01_-_Lectures/01_-_English/02_-_Month_wise/06_-_June/24/SB_7-06-08_NV_1976-06-24_The_Greatest_Success_But_etc.mp3" TargetMode="External"/><Relationship Id="rId137" Type="http://schemas.openxmlformats.org/officeDocument/2006/relationships/hyperlink" Target="https://audio.iskcondesiretree.com/01_-_Srila_Prabhupada/01_-_Lectures/01_-_English/02_-_Month_wise/11_-_November/30/Cc_M_20-142_NY_1966-11-30_Liberated-When_One_Tastes_etc.mp3" TargetMode="External"/><Relationship Id="rId344" Type="http://schemas.openxmlformats.org/officeDocument/2006/relationships/hyperlink" Target="https://audio.iskcondesiretree.com/01_-_Srila_Prabhupada/01_-_Lectures/01_-_English/02_-_Month_wise/12_-_December/30/Interv_LA_1968-12-30_Press-New_Cosmic_Star_Progress_etc.mp3" TargetMode="External"/><Relationship Id="rId691" Type="http://schemas.openxmlformats.org/officeDocument/2006/relationships/hyperlink" Target="https://audio.iskcondesiretree.com/01_-_Srila_Prabhupada/01_-_Lectures/01_-_English/02_-_Month_wise/09_-_September/19/SB_1-03-14_LA_1972-09-19_Today%27s_Civilized_Man_Less_etc.mp3" TargetMode="External"/><Relationship Id="rId2025" Type="http://schemas.openxmlformats.org/officeDocument/2006/relationships/hyperlink" Target="https://audio.iskcondesiretree.com/01_-_Srila_Prabhupada/01_-_Lectures/01_-_English/01_-_Topic_wise/Bhagavad_Gita/Chapter-04/SP_BG_04-11_Geneva_1974-06-01_We_Are_Naturally_Jubilant.mp3" TargetMode="External"/><Relationship Id="rId2372" Type="http://schemas.openxmlformats.org/officeDocument/2006/relationships/hyperlink" Target="https://audio.iskcondesiretree.com/01_-_Srila_Prabhupada/01_-_Lectures/01_-_English/02_-_Month_wise/08_-_August/18/Speech_1974-08-18_SP-VRNDAVAN.MP3" TargetMode="External"/><Relationship Id="rId3423" Type="http://schemas.openxmlformats.org/officeDocument/2006/relationships/hyperlink" Target="https://audio.iskcondesiretree.com/01_-_Srila_Prabhupada/01_-_Lectures/01_-_English/02_-_Month_wise/07_-_July/03/Arr_CHI_1975-07-03_My_Mission_Is_To_Stop_the_Crimes_etc.mp3" TargetMode="External"/><Relationship Id="rId3630" Type="http://schemas.openxmlformats.org/officeDocument/2006/relationships/hyperlink" Target="https://audio.iskcondesiretree.com/01_-_Srila_Prabhupada/01_-_Lectures/01_-_English/01_-_Topic_wise/Srimad_Bhagavatam/Canto-06/SP_SB_6-01-50_Detroit_1975-08-03_Live_Happily_and_Go_Back.mp3" TargetMode="External"/><Relationship Id="rId551" Type="http://schemas.openxmlformats.org/officeDocument/2006/relationships/hyperlink" Target="https://audio.iskcondesiretree.com/01_-_Srila_Prabhupada/01_-_Lectures/01_-_English/01_-_Topic_wise/Bhagavad_Gita/Chapter-07/SP_BG_07-01_Gainesville_1971-07-29_This_Movement_Appeals--etc.mp3" TargetMode="External"/><Relationship Id="rId1181" Type="http://schemas.openxmlformats.org/officeDocument/2006/relationships/hyperlink" Target="https://audio.iskcondesiretree.com/01_-_Srila_Prabhupada/01_-_Lectures/01_-_English/02_-_Month_wise/08_-_August/13/RC_PAR_1973-08-13_Sanskrit_Prof_Any_Sane_Man_Will_etc.mp3" TargetMode="External"/><Relationship Id="rId2232" Type="http://schemas.openxmlformats.org/officeDocument/2006/relationships/hyperlink" Target="https://audio.iskcondesiretree.com/01_-_Srila_Prabhupada/01_-_Lectures/01_-_English/02_-_Month_wise/07_-_July/01/RC_MEL_1974-07-01_Bhurijana_and_Others-Cooking_Smoke_etc.mp3" TargetMode="External"/><Relationship Id="rId5388" Type="http://schemas.openxmlformats.org/officeDocument/2006/relationships/hyperlink" Target="https://audio.iskcondesiretree.com/01_-_Srila_Prabhupada/01_-_Lectures/01_-_English/01_-_Topic_wise/Srimad_Bhagavatam/Canto-05/SP_SB_5-05-18_Vrindavan_1976-11-06_Guru_Shouldn%27t_Cheat_Disciple.mp3" TargetMode="External"/><Relationship Id="rId5595" Type="http://schemas.openxmlformats.org/officeDocument/2006/relationships/hyperlink" Target="https://audio.iskcondesiretree.com/01_-_Srila_Prabhupada/01_-_Lectures/01_-_English/02_-_Month_wise/01_-_January/15/Lect_ALL_1977-01-15_At_Kumba_Mela--Avoid_Atheistic_Mahatmas.mp3" TargetMode="External"/><Relationship Id="rId204" Type="http://schemas.openxmlformats.org/officeDocument/2006/relationships/hyperlink" Target="https://audio.iskcondesiretree.com/01_-_Srila_Prabhupada/01_-_Lectures/01_-_English/01_-_Topic_wise/Chaitanya_Charitamrita/Madhya_Lila/SP_CC_M_21-001_New_York_1967-01-03_They_Are_Very_Much_Serious--etc.mp3" TargetMode="External"/><Relationship Id="rId411" Type="http://schemas.openxmlformats.org/officeDocument/2006/relationships/hyperlink" Target="https://audio.iskcondesiretree.com/01_-_Srila_Prabhupada/01_-_Lectures/01_-_English/01_-_Topic_wise/Bhagavad_Gita/Chapter-04/SP_BG_04-01-02_Columbus_1969-05-09_Big_Scholars_Can%27t_Get_What--etc.mp3" TargetMode="External"/><Relationship Id="rId1041" Type="http://schemas.openxmlformats.org/officeDocument/2006/relationships/hyperlink" Target="https://audio.iskcondesiretree.com/01_-_Srila_Prabhupada/01_-_Lectures/01_-_English/01_-_Topic_wise/Srimad_Bhagavatam/Canto-01/SP_SB_1-10-06_Mayapur_1973-06-21_Peaceful_People_in_Kingdom.mp3" TargetMode="External"/><Relationship Id="rId1998" Type="http://schemas.openxmlformats.org/officeDocument/2006/relationships/hyperlink" Target="https://audio.iskcondesiretree.com/01_-_Srila_Prabhupada/01_-_Lectures/01_-_English/02_-_Month_wise/05_-_May/27/Walk_1974-05-27_MW-ROME.MP3" TargetMode="External"/><Relationship Id="rId4197" Type="http://schemas.openxmlformats.org/officeDocument/2006/relationships/hyperlink" Target="https://audio.iskcondesiretree.com/01_-_Srila_Prabhupada/01_-_Lectures/01_-_English/02_-_Month_wise/01_-_January/20/Walk_1976-01-20_MW-MAYAPUR.MP3" TargetMode="External"/><Relationship Id="rId5248" Type="http://schemas.openxmlformats.org/officeDocument/2006/relationships/hyperlink" Target="https://audio.iskcondesiretree.com/01_-_Srila_Prabhupada/01_-_Lectures/01_-_English/01_-_Topic_wise/Srimad_Bhagavatam/Canto-01/SP_SB_1-07-24_Vrindavan_1976-09-21_This_Material_Life_Has_New_Orleans_Value.mp3" TargetMode="External"/><Relationship Id="rId5455" Type="http://schemas.openxmlformats.org/officeDocument/2006/relationships/hyperlink" Target="https://audio.iskcondesiretree.com/01_-_Srila_Prabhupada/01_-_Lectures/01_-_English/01_-_Topic_wise/Srimad_Bhagavatam/Canto-05/SP_SB_5-06-04_Vrindavan_1976-11-26_The_Unchaste_Mind.mp3" TargetMode="External"/><Relationship Id="rId5662" Type="http://schemas.openxmlformats.org/officeDocument/2006/relationships/hyperlink" Target="https://audio.iskcondesiretree.com/01_-_Srila_Prabhupada/01_-_Lectures/01_-_English/02_-_Month_wise/01_-_January/31/VarahaApp_1977-01-31_VA-BHUBANESWAR.MP3" TargetMode="External"/><Relationship Id="rId1858" Type="http://schemas.openxmlformats.org/officeDocument/2006/relationships/hyperlink" Target="https://audio.iskcondesiretree.com/01_-_Srila_Prabhupada/01_-_Lectures/01_-_English/02_-_Month_wise/04_-_April/11/Bg_04-22_BOM_1974-04-11_Envious%2C_Gross-bodily_Religions.mp3" TargetMode="External"/><Relationship Id="rId4057" Type="http://schemas.openxmlformats.org/officeDocument/2006/relationships/hyperlink" Target="https://audio.iskcondesiretree.com/01_-_Srila_Prabhupada/01_-_Lectures/01_-_English/01_-_Topic_wise/Morning_Walk/SP_Morning_Walk_-_Delhi_1975-12-07_Scientific_Eggheads-_Manufacture_an_Egg.mp3" TargetMode="External"/><Relationship Id="rId4264" Type="http://schemas.openxmlformats.org/officeDocument/2006/relationships/hyperlink" Target="https://audio.iskcondesiretree.com/01_-_Srila_Prabhupada/01_-_Lectures/01_-_English/02_-_Month_wise/02_-_Feburary/21/Lect_MAY_1976-02-21_What_to_Fear.mp3" TargetMode="External"/><Relationship Id="rId4471" Type="http://schemas.openxmlformats.org/officeDocument/2006/relationships/hyperlink" Target="https://audio.iskcondesiretree.com/01_-_Srila_Prabhupada/01_-_Lectures/01_-_English/01_-_Topic_wise/Srimad_Bhagavatam/Canto-07/SP_SB_7-12-03_Bombay_1976-04-14_Sex_Life-Spiritual_Life.mp3" TargetMode="External"/><Relationship Id="rId5108" Type="http://schemas.openxmlformats.org/officeDocument/2006/relationships/hyperlink" Target="https://audio.iskcondesiretree.com/01_-_Srila_Prabhupada/01_-_Lectures/01_-_English/02_-_Month_wise/08_-_August/14/Conv%E2%80%93Hindi_1976-08-14_R2-BOMBAY.MP3" TargetMode="External"/><Relationship Id="rId5315" Type="http://schemas.openxmlformats.org/officeDocument/2006/relationships/hyperlink" Target="https://audio.iskcondesiretree.com/01_-_Srila_Prabhupada/01_-_Lectures/01_-_English/02_-_Month_wise/10_-_October/08/SB-01-07-51%E2%80%9352_1976-10-08_SB-VRNDAVAN.MP3" TargetMode="External"/><Relationship Id="rId5522" Type="http://schemas.openxmlformats.org/officeDocument/2006/relationships/hyperlink" Target="https://audio.iskcondesiretree.com/01_-_Srila_Prabhupada/01_-_Lectures/01_-_English/01_-_Topic_wise/Srimad_Bhagavatam/Canto-05/SP_SB_5-05-01_Bombay_1976-12-25_Human--Not_Working_Like_Animal.mp3" TargetMode="External"/><Relationship Id="rId2909" Type="http://schemas.openxmlformats.org/officeDocument/2006/relationships/hyperlink" Target="https://audio.iskcondesiretree.com/01_-_Srila_Prabhupada/01_-_Lectures/01_-_English/02_-_Month_wise/03_-_March/04/Walk_1975-03-04_MW-DALLAS.MP3" TargetMode="External"/><Relationship Id="rId3073" Type="http://schemas.openxmlformats.org/officeDocument/2006/relationships/hyperlink" Target="https://audio.iskcondesiretree.com/01_-_Srila_Prabhupada/01_-_Lectures/01_-_English/02_-_Month_wise/04_-_April/08/Cc_A_1-15_MAY_1975-04-08_Gold_Religion.mp3" TargetMode="External"/><Relationship Id="rId3280" Type="http://schemas.openxmlformats.org/officeDocument/2006/relationships/hyperlink" Target="https://audio.iskcondesiretree.com/01_-_Srila_Prabhupada/01_-_Lectures/01_-_English/01_-_Topic_wise/Room_Conversation/SP_Room_Converstion_01_Honolulu_1975-06-11.MP3" TargetMode="External"/><Relationship Id="rId4124" Type="http://schemas.openxmlformats.org/officeDocument/2006/relationships/hyperlink" Target="https://audio.iskcondesiretree.com/01_-_Srila_Prabhupada/01_-_Lectures/01_-_English/02_-_Month_wise/12_-_December/25/Bg-07-01_1975-12-25_BG-SANAND.MP3" TargetMode="External"/><Relationship Id="rId4331" Type="http://schemas.openxmlformats.org/officeDocument/2006/relationships/hyperlink" Target="https://audio.iskcondesiretree.com/01_-_Srila_Prabhupada/01_-_Lectures/01_-_English/02_-_Month_wise/03_-_March/08/SB_7-09-30_MAY_1976-03-08_Enter_the_Spirit.mp3" TargetMode="External"/><Relationship Id="rId1718" Type="http://schemas.openxmlformats.org/officeDocument/2006/relationships/hyperlink" Target="https://audio.iskcondesiretree.com/01_-_Srila_Prabhupada/01_-_Lectures/01_-_English/02_-_Month_wise/03_-_March/16/Conv_1974-03-16_R1-VRNDAVAN.MP3" TargetMode="External"/><Relationship Id="rId1925" Type="http://schemas.openxmlformats.org/officeDocument/2006/relationships/hyperlink" Target="https://audio.iskcondesiretree.com/01_-_Srila_Prabhupada/01_-_Lectures/01_-_English/01_-_Topic_wise/Morning_Walk/SP_Morning_Walk_-_Hyderabad_1974-04-24.mp3" TargetMode="External"/><Relationship Id="rId3140" Type="http://schemas.openxmlformats.org/officeDocument/2006/relationships/hyperlink" Target="https://audio.iskcondesiretree.com/01_-_Srila_Prabhupada/01_-_Lectures/01_-_English/02_-_Month_wise/04_-_April/24/SB-01-07-07_1975-04-24_SB-VRNDAVAN.MP3" TargetMode="External"/><Relationship Id="rId6089" Type="http://schemas.openxmlformats.org/officeDocument/2006/relationships/hyperlink" Target="https://audio.iskcondesiretree.com/01_-_Srila_Prabhupada/01_-_Lectures/01_-_English/01_-_Topic_wise/Krishna_Book/SP_Krsna_Book_Dict_45_-_Krishna_Recovers_the_Teacher%27s_Son.mp3" TargetMode="External"/><Relationship Id="rId6156" Type="http://schemas.openxmlformats.org/officeDocument/2006/relationships/hyperlink" Target="https://audio.iskcondesiretree.com/01_-_Srila_Prabhupada/01_-_Lectures/01_-_English/01_-_Topic_wise/Stories/SP_Story_32_Radha_and_Krsna_at_Kuruksetra.mp3" TargetMode="External"/><Relationship Id="rId2699" Type="http://schemas.openxmlformats.org/officeDocument/2006/relationships/hyperlink" Target="https://audio.iskcondesiretree.com/01_-_Srila_Prabhupada/01_-_Lectures/01_-_English/02_-_Month_wise/01_-_January/15/SB-03-26-40_1975-01-15_SB-BOMBAY.MP3" TargetMode="External"/><Relationship Id="rId3000" Type="http://schemas.openxmlformats.org/officeDocument/2006/relationships/hyperlink" Target="https://audio.iskcondesiretree.com/01_-_Srila_Prabhupada/01_-_Lectures/01_-_English/01_-_Topic_wise/Chaitanya_Charitamrita/Adi_Lila/SP_CC_A_01-04_Mayapur_1975-03-28_Every_One_of_You--Become_a_Guru.mp3" TargetMode="External"/><Relationship Id="rId3957" Type="http://schemas.openxmlformats.org/officeDocument/2006/relationships/hyperlink" Target="https://audio.iskcondesiretree.com/01_-_Srila_Prabhupada/01_-_Lectures/01_-_English/02_-_Month_wise/11_-_November/03/Cc_M_20-101_BOM_1975-11-03_To_Become_Spiritually_Advanced.mp3" TargetMode="External"/><Relationship Id="rId878" Type="http://schemas.openxmlformats.org/officeDocument/2006/relationships/hyperlink" Target="https://audio.iskcondesiretree.com/01_-_Srila_Prabhupada/01_-_Lectures/01_-_English/01_-_Topic_wise/Bhagavad_Gita/Chapter-13/SP_BG_13-01-02_Bombay_1972-12-29_Bodily_Field_and_the_Tiller.mp3" TargetMode="External"/><Relationship Id="rId2559" Type="http://schemas.openxmlformats.org/officeDocument/2006/relationships/hyperlink" Target="https://audio.iskcondesiretree.com/01_-_Srila_Prabhupada/01_-_Lectures/01_-_English/02_-_Month_wise/11_-_November/27/SB-03-25-27_1974-11-27_SB-BOMBAY.MP3" TargetMode="External"/><Relationship Id="rId2766" Type="http://schemas.openxmlformats.org/officeDocument/2006/relationships/hyperlink" Target="https://audio.iskcondesiretree.com/01_-_Srila_Prabhupada/01_-_Lectures/01_-_English/02_-_Month_wise/02_-_Feburary/06/Bg-16-10_1975-02-06_BG-HONOLULU.MP3" TargetMode="External"/><Relationship Id="rId2973" Type="http://schemas.openxmlformats.org/officeDocument/2006/relationships/hyperlink" Target="https://audio.iskcondesiretree.com/01_-_Srila_Prabhupada/01_-_Lectures/01_-_English/02_-_Month_wise/03_-_March/20/Arrival_1975-03-20_AR-CALCUTTA.MP3" TargetMode="External"/><Relationship Id="rId3817" Type="http://schemas.openxmlformats.org/officeDocument/2006/relationships/hyperlink" Target="https://audio.iskcondesiretree.com/01_-_Srila_Prabhupada/01_-_Lectures/01_-_English/02_-_Month_wise/10_-_October/04/MW_MAU_1975-10-04_The_Modern_Misunderstanding.mp3" TargetMode="External"/><Relationship Id="rId5172" Type="http://schemas.openxmlformats.org/officeDocument/2006/relationships/hyperlink" Target="https://audio.iskcondesiretree.com/01_-_Srila_Prabhupada/01_-_Lectures/01_-_English/02_-_Month_wise/08_-_August/31/Walk_1976-08-31_MW-DELHI.MP3" TargetMode="External"/><Relationship Id="rId6016" Type="http://schemas.openxmlformats.org/officeDocument/2006/relationships/hyperlink" Target="https://audio.iskcondesiretree.com/01_-_Srila_Prabhupada/01_-_Lectures/01_-_English/02_-_Month_wise/11_-_November/10/Conv_1977-11-10_R1-VRNDAVAN.MP3" TargetMode="External"/><Relationship Id="rId738" Type="http://schemas.openxmlformats.org/officeDocument/2006/relationships/hyperlink" Target="https://audio.iskcondesiretree.com/01_-_Srila_Prabhupada/01_-_Lectures/01_-_English/01_-_Topic_wise/Nectar_Of_Devotion/SP_NOD_Vrindavan_1972-10-23_-_An_Advanced_Devotee_Never-etc.mp3" TargetMode="External"/><Relationship Id="rId945" Type="http://schemas.openxmlformats.org/officeDocument/2006/relationships/hyperlink" Target="https://audio.iskcondesiretree.com/01_-_Srila_Prabhupada/01_-_Lectures/01_-_English/02_-_Month_wise/04_-_April/14/Bg_02-13_LA_1973-04-14_The_First_Lesson-Not_This_Body.mp3" TargetMode="External"/><Relationship Id="rId1368" Type="http://schemas.openxmlformats.org/officeDocument/2006/relationships/hyperlink" Target="https://audio.iskcondesiretree.com/01_-_Srila_Prabhupada/01_-_Lectures/01_-_English/02_-_Month_wise/11_-_November/16/SB_1-02-10_DEL_1973-11-16_Love_Comes_from_Krishna.mp3" TargetMode="External"/><Relationship Id="rId1575" Type="http://schemas.openxmlformats.org/officeDocument/2006/relationships/hyperlink" Target="https://audio.iskcondesiretree.com/01_-_Srila_Prabhupada/01_-_Lectures/01_-_English/02_-_Month_wise/01_-_January/29/Arrival_1974-01-29_AR-TOKYO.MP3" TargetMode="External"/><Relationship Id="rId1782" Type="http://schemas.openxmlformats.org/officeDocument/2006/relationships/hyperlink" Target="https://audio.iskcondesiretree.com/01_-_Srila_Prabhupada/01_-_Lectures/01_-_English/02_-_Month_wise/03_-_March/29/Walk_1974-03-29_MW-BOMBAY.MP3" TargetMode="External"/><Relationship Id="rId2419" Type="http://schemas.openxmlformats.org/officeDocument/2006/relationships/hyperlink" Target="https://audio.iskcondesiretree.com/01_-_Srila_Prabhupada/01_-_Lectures/01_-_English/02_-_Month_wise/10_-_October/07/Lecture%E2%80%93Bengali_1974-10-07_LE-MAYAPUR.MP3" TargetMode="External"/><Relationship Id="rId2626" Type="http://schemas.openxmlformats.org/officeDocument/2006/relationships/hyperlink" Target="https://audio.iskcondesiretree.com/01_-_Srila_Prabhupada/01_-_Lectures/01_-_English/02_-_Month_wise/12_-_December/19/SB_3-26-07_BOM_1974-12-19_Tangle_of_Material_Happiness.mp3" TargetMode="External"/><Relationship Id="rId2833" Type="http://schemas.openxmlformats.org/officeDocument/2006/relationships/hyperlink" Target="https://audio.iskcondesiretree.com/01_-_Srila_Prabhupada/01_-_Lectures/01_-_English/02_-_Month_wise/02_-_Feburary/21/Walk_1975-02-21_MW-CARACAS.MP3" TargetMode="External"/><Relationship Id="rId5032" Type="http://schemas.openxmlformats.org/officeDocument/2006/relationships/hyperlink" Target="https://audio.iskcondesiretree.com/01_-_Srila_Prabhupada/01_-_Lectures/01_-_English/02_-_Month_wise/07_-_July/29/Arrival_1976-07-29_AR-NEW%20MAYAPUR.MP3" TargetMode="External"/><Relationship Id="rId5989" Type="http://schemas.openxmlformats.org/officeDocument/2006/relationships/hyperlink" Target="https://audio.iskcondesiretree.com/01_-_Srila_Prabhupada/01_-_Lectures/01_-_English/02_-_Month_wise/11_-_November/03/Conv_1977-11-03_R3-VRNDAVAN.MP3" TargetMode="External"/><Relationship Id="rId74" Type="http://schemas.openxmlformats.org/officeDocument/2006/relationships/hyperlink" Target="https://audio.iskcondesiretree.com/01_-_Srila_Prabhupada/01_-_Lectures/01_-_English/01_-_Topic_wise/Bhagavad_Gita/Chapter-06/SP_BG_06-04-09_New_York_1966-09-07_How_One_Should_Perform_Yoga.mp3" TargetMode="External"/><Relationship Id="rId805" Type="http://schemas.openxmlformats.org/officeDocument/2006/relationships/hyperlink" Target="https://audio.iskcondesiretree.com/01_-_Srila_Prabhupada/01_-_Lectures/01_-_English/01_-_Topic_wise/Srimad_Bhagavatam/Canto-01/SP_SB_1-02-31_Vrindavan_1972-11-10_Getting_in_Touch_With_Krishna.mp3" TargetMode="External"/><Relationship Id="rId1228" Type="http://schemas.openxmlformats.org/officeDocument/2006/relationships/hyperlink" Target="https://audio.iskcondesiretree.com/01_-_Srila_Prabhupada/01_-_Lectures/01_-_English/01_-_Topic_wise/Bhagavad_Gita/Chapter-02/SP_BG_02-28_London_1973-08-30_Materialists--What_Do_They_Know.mp3" TargetMode="External"/><Relationship Id="rId1435" Type="http://schemas.openxmlformats.org/officeDocument/2006/relationships/hyperlink" Target="https://audio.iskcondesiretree.com/01_-_Srila_Prabhupada/01_-_Lectures/01_-_English/02_-_Month_wise/12_-_December/16/MW_LA_1973-12-16_The_Absolute_Need_for_God.mp3" TargetMode="External"/><Relationship Id="rId4798" Type="http://schemas.openxmlformats.org/officeDocument/2006/relationships/hyperlink" Target="https://audio.iskcondesiretree.com/01_-_Srila_Prabhupada/01_-_Lectures/01_-_English/02_-_Month_wise/06_-_June/21/Conv_1976-06-21_CR-TORONTO.MP3" TargetMode="External"/><Relationship Id="rId1642" Type="http://schemas.openxmlformats.org/officeDocument/2006/relationships/hyperlink" Target="https://audio.iskcondesiretree.com/01_-_Srila_Prabhupada/01_-_Lectures/01_-_English/02_-_Month_wise/02_-_Feburary/23/Bg-07-08_1974-02-23_BG-BOMBAY.MP3" TargetMode="External"/><Relationship Id="rId2900" Type="http://schemas.openxmlformats.org/officeDocument/2006/relationships/hyperlink" Target="https://audio.iskcondesiretree.com/01_-_Srila_Prabhupada/01_-_Lectures/01_-_English/02_-_Month_wise/03_-_March/03/Arr_DAL_1975-03-03_Education_Means_Krishna_Consciousness.mp3" TargetMode="External"/><Relationship Id="rId5849" Type="http://schemas.openxmlformats.org/officeDocument/2006/relationships/hyperlink" Target="https://audio.iskcondesiretree.com/01_-_Srila_Prabhupada/01_-_Lectures/01_-_English/01_-_Topic_wise/Room_Conversation/SP_Room_Conversation_Hrisikesh_1977-05-14_Dry_Land_in_Ocean_of_Faults.mp3" TargetMode="External"/><Relationship Id="rId1502" Type="http://schemas.openxmlformats.org/officeDocument/2006/relationships/hyperlink" Target="https://audio.iskcondesiretree.com/01_-_Srila_Prabhupada/01_-_Lectures/01_-_English/01_-_Topic_wise/Srimad_Bhagavatam/Canto-01/SP_SB_1-16-12_Los_Angeles_1974-01-09_Rogues_and_Rascals_Cause_War.mp3" TargetMode="External"/><Relationship Id="rId4658" Type="http://schemas.openxmlformats.org/officeDocument/2006/relationships/hyperlink" Target="https://audio.iskcondesiretree.com/01_-_Srila_Prabhupada/01_-_Lectures/01_-_English/02_-_Month_wise/05_-_May/28/SB_6-01-28_HON_1976-05-28_Killing_the_Soul.mp3" TargetMode="External"/><Relationship Id="rId4865" Type="http://schemas.openxmlformats.org/officeDocument/2006/relationships/hyperlink" Target="https://audio.iskcondesiretree.com/01_-_Srila_Prabhupada/01_-_Lectures/01_-_English/02_-_Month_wise/06_-_June/30/SB-07-06-16_1976-06-30_SB-NEW%20VRINDAVAN.MP3" TargetMode="External"/><Relationship Id="rId5709" Type="http://schemas.openxmlformats.org/officeDocument/2006/relationships/hyperlink" Target="https://audio.iskcondesiretree.com/01_-_Srila_Prabhupada/01_-_Lectures/01_-_English/02_-_Month_wise/02_-_Feburary/17/SB-07-09-03_1977-02-17_SB-MAYAPUR.MP3" TargetMode="External"/><Relationship Id="rId5916" Type="http://schemas.openxmlformats.org/officeDocument/2006/relationships/hyperlink" Target="https://audio.iskcondesiretree.com/01_-_Srila_Prabhupada/01_-_Lectures/01_-_English/02_-_Month_wise/07_-_July/15/Conv_1977-07-15_R1-VRNDAVAN.MP3" TargetMode="External"/><Relationship Id="rId6080" Type="http://schemas.openxmlformats.org/officeDocument/2006/relationships/hyperlink" Target="https://audio.iskcondesiretree.com/01_-_Srila_Prabhupada/01_-_Lectures/01_-_English/01_-_Topic_wise/Krishna_Book/SP_Krsna_Book_Dict_36_-_Kamsa_Sends_Akrura_For_Krishna.mp3" TargetMode="External"/><Relationship Id="rId388" Type="http://schemas.openxmlformats.org/officeDocument/2006/relationships/hyperlink" Target="https://audio.iskcondesiretree.com/01_-_Srila_Prabhupada/01_-_Lectures/01_-_English/02_-_Month_wise/03_-_March/24/SB_7-09-11_HON_1969-03-24_Krishna_Help_Me_Forget_You_etc.mp3" TargetMode="External"/><Relationship Id="rId2069" Type="http://schemas.openxmlformats.org/officeDocument/2006/relationships/hyperlink" Target="https://audio.iskcondesiretree.com/01_-_Srila_Prabhupada/01_-_Lectures/01_-_English/02_-_Month_wise/06_-_June/06/MW_GEN_1974-06-06_One_Machine_Makes_100_Men_Unemployed.mp3" TargetMode="External"/><Relationship Id="rId3467" Type="http://schemas.openxmlformats.org/officeDocument/2006/relationships/hyperlink" Target="https://audio.iskcondesiretree.com/01_-_Srila_Prabhupada/01_-_Lectures/01_-_English/01_-_Topic_wise/Morning_Walk/SP_Morning_Walk_-_Chicago_1975-07-09_All-isms_is_Equal_to_Animalism.mp3" TargetMode="External"/><Relationship Id="rId3674" Type="http://schemas.openxmlformats.org/officeDocument/2006/relationships/hyperlink" Target="https://audio.iskcondesiretree.com/01_-_Srila_Prabhupada/01_-_Lectures/01_-_English/02_-_Month_wise/08_-_August/15/Walk_1975-08-15_MW-BOMBAY.MP3" TargetMode="External"/><Relationship Id="rId3881" Type="http://schemas.openxmlformats.org/officeDocument/2006/relationships/hyperlink" Target="https://audio.iskcondesiretree.com/01_-_Srila_Prabhupada/01_-_Lectures/01_-_English/01_-_Topic_wise/Bhagavad_Gita/Chapter-02/SP_BG_02-01_Johannesburg_1975-10-17_When_to_Approach_a_Guru.mp3" TargetMode="External"/><Relationship Id="rId4518" Type="http://schemas.openxmlformats.org/officeDocument/2006/relationships/hyperlink" Target="https://audio.iskcondesiretree.com/01_-_Srila_Prabhupada/01_-_Lectures/01_-_English/02_-_Month_wise/04_-_April/22/Conv_1976-04-22_R2-MELBOURNE.MP3" TargetMode="External"/><Relationship Id="rId4725" Type="http://schemas.openxmlformats.org/officeDocument/2006/relationships/hyperlink" Target="https://audio.iskcondesiretree.com/01_-_Srila_Prabhupada/01_-_Lectures/01_-_English/02_-_Month_wise/06_-_June/10/Conv_1976-06-10_R1-LOS%20ANGELES.MP3" TargetMode="External"/><Relationship Id="rId4932" Type="http://schemas.openxmlformats.org/officeDocument/2006/relationships/hyperlink" Target="https://audio.iskcondesiretree.com/01_-_Srila_Prabhupada/01_-_Lectures/01_-_English/02_-_Month_wise/07_-_July/08/Conv_1976-07-08_R2-WASHINGTON%20DC.MP3" TargetMode="External"/><Relationship Id="rId595" Type="http://schemas.openxmlformats.org/officeDocument/2006/relationships/hyperlink" Target="https://audio.iskcondesiretree.com/01_-_Srila_Prabhupada/01_-_Lectures/01_-_English/02_-_Month_wise/06_-_June/01/SB_2-03-15_LA_1972-06-01_Devotion_to_Krishna.mp3" TargetMode="External"/><Relationship Id="rId2276" Type="http://schemas.openxmlformats.org/officeDocument/2006/relationships/hyperlink" Target="https://audio.iskcondesiretree.com/01_-_Srila_Prabhupada/01_-_Lectures/01_-_English/02_-_Month_wise/07_-_July/13/Chanting%20Cc-Adi%E2%80%9313th%20Ch_1974-07-13_CH-LOS%20ANGELES.MP3" TargetMode="External"/><Relationship Id="rId2483" Type="http://schemas.openxmlformats.org/officeDocument/2006/relationships/hyperlink" Target="https://audio.iskcondesiretree.com/01_-_Srila_Prabhupada/01_-_Lectures/01_-_English/02_-_Month_wise/11_-_November/01/SB-03-25-01_1974-11-01_SB-BOMBAY.MP3" TargetMode="External"/><Relationship Id="rId2690" Type="http://schemas.openxmlformats.org/officeDocument/2006/relationships/hyperlink" Target="https://audio.iskcondesiretree.com/01_-_Srila_Prabhupada/01_-_Lectures/01_-_English/02_-_Month_wise/01_-_January/11/SB-03-26-34_1975-01-11_SB-BOMBAY.MP3" TargetMode="External"/><Relationship Id="rId3327" Type="http://schemas.openxmlformats.org/officeDocument/2006/relationships/hyperlink" Target="https://audio.iskcondesiretree.com/01_-_Srila_Prabhupada/01_-_Lectures/01_-_English/01_-_Topic_wise/Room_Conversation/SP_Room_Conversation_Los_Angeles_1975-06-20_These_Are_Krishna%27s_Books.mp3" TargetMode="External"/><Relationship Id="rId3534" Type="http://schemas.openxmlformats.org/officeDocument/2006/relationships/hyperlink" Target="https://audio.iskcondesiretree.com/01_-_Srila_Prabhupada/01_-_Lectures/01_-_English/01_-_Topic_wise/Various/SP_Lecture_Press_Conference_San_Francisco_1975-07-16.MP3" TargetMode="External"/><Relationship Id="rId3741" Type="http://schemas.openxmlformats.org/officeDocument/2006/relationships/hyperlink" Target="https://audio.iskcondesiretree.com/01_-_Srila_Prabhupada/01_-_Lectures/01_-_English/01_-_Topic_wise/Srimad_Bhagavatam/Canto-06/SP_SB_6-02-05_Vrindavan_1975-09-09_In_Contact_with_a_Bona_Fide_Guru.mp3" TargetMode="External"/><Relationship Id="rId248" Type="http://schemas.openxmlformats.org/officeDocument/2006/relationships/hyperlink" Target="https://audio.iskcondesiretree.com/01_-_Srila_Prabhupada/01_-_Lectures/01_-_English/01_-_Topic_wise/Festivals/SP_Festivals_Montreal_1968-08-16_Janmastami.mp3" TargetMode="External"/><Relationship Id="rId455" Type="http://schemas.openxmlformats.org/officeDocument/2006/relationships/hyperlink" Target="https://audio.iskcondesiretree.com/01_-_Srila_Prabhupada/01_-_Lectures/01_-_English/02_-_Month_wise/06_-_June/22/SB_1-05-18_NV_1969-06-22_Krishna%27s_Hypnotism.mp3" TargetMode="External"/><Relationship Id="rId662" Type="http://schemas.openxmlformats.org/officeDocument/2006/relationships/hyperlink" Target="https://audio.iskcondesiretree.com/01_-_Srila_Prabhupada/01_-_Lectures/01_-_English/01_-_Topic_wise/Srimad_Bhagavatam/Canto-01/SP_SB_1-02-23_Los_Angeles_1972-08-26_The_Material_World-A_Chance.mp3" TargetMode="External"/><Relationship Id="rId1085" Type="http://schemas.openxmlformats.org/officeDocument/2006/relationships/hyperlink" Target="https://audio.iskcondesiretree.com/01_-_Srila_Prabhupada/01_-_Lectures/01_-_English/02_-_Month_wise/07_-_July/13/Bg_01-11_LON_1973-07-13_Wanting_to_Be_Cheated.mp3" TargetMode="External"/><Relationship Id="rId1292" Type="http://schemas.openxmlformats.org/officeDocument/2006/relationships/hyperlink" Target="https://audio.iskcondesiretree.com/01_-_Srila_Prabhupada/01_-_Lectures/01_-_English/02_-_Month_wise/09_-_September/26/Bg_13-03_BOM_1973-09-26_Forgotten_That_We_Are_Spirit.mp3" TargetMode="External"/><Relationship Id="rId2136" Type="http://schemas.openxmlformats.org/officeDocument/2006/relationships/hyperlink" Target="https://audio.iskcondesiretree.com/01_-_Srila_Prabhupada/01_-_Lectures/01_-_English/02_-_Month_wise/06_-_June/14/RC_PAR_1974-06-14_Prof--In_Every_Town_and_Village.mp3" TargetMode="External"/><Relationship Id="rId2343" Type="http://schemas.openxmlformats.org/officeDocument/2006/relationships/hyperlink" Target="https://audio.iskcondesiretree.com/01_-_Srila_Prabhupada/01_-_Lectures/01_-_English/02_-_Month_wise/08_-_August/11/Bg_07-05_VRN_1974-08-11_God_Is_God-Dog_Is_Dog.mp3" TargetMode="External"/><Relationship Id="rId2550" Type="http://schemas.openxmlformats.org/officeDocument/2006/relationships/hyperlink" Target="https://audio.iskcondesiretree.com/01_-_Srila_Prabhupada/01_-_Lectures/01_-_English/02_-_Month_wise/11_-_November/24/SB-03-25-24_1974-11-24_SB-BOMBAY.MP3" TargetMode="External"/><Relationship Id="rId3601" Type="http://schemas.openxmlformats.org/officeDocument/2006/relationships/hyperlink" Target="https://audio.iskcondesiretree.com/01_-_Srila_Prabhupada/01_-_Lectures/01_-_English/01_-_Topic_wise/Interview/SP_Interview_Dallas_1975-07-28_Press_At_Airport--Without--etc.mp3" TargetMode="External"/><Relationship Id="rId5499" Type="http://schemas.openxmlformats.org/officeDocument/2006/relationships/hyperlink" Target="https://audio.iskcondesiretree.com/01_-_Srila_Prabhupada/01_-_Lectures/01_-_English/02_-_Month_wise/12_-_December/13/Bg_16-06_HYD_1976-12-13_Vedic_Secular_State.mp3" TargetMode="External"/><Relationship Id="rId108" Type="http://schemas.openxmlformats.org/officeDocument/2006/relationships/hyperlink" Target="https://audio.iskcondesiretree.com/01_-_Srila_Prabhupada/01_-_Lectures/01_-_English/01_-_Topic_wise/Bhagavad_Gita/Chapter-08/SP_BG_08-28_09-01_New_York_1966-11-21_This_Knowledge_Is_the_King_of--etc.mp3" TargetMode="External"/><Relationship Id="rId315" Type="http://schemas.openxmlformats.org/officeDocument/2006/relationships/hyperlink" Target="https://audio.iskcondesiretree.com/01_-_Srila_Prabhupada/01_-_Lectures/01_-_English/02_-_Month_wise/12_-_December/09/Fest_LA_1968-12-09_Disappearance_Bhaktisiddhanta_Sarasvati.mp3" TargetMode="External"/><Relationship Id="rId522" Type="http://schemas.openxmlformats.org/officeDocument/2006/relationships/hyperlink" Target="https://audio.iskcondesiretree.com/01_-_Srila_Prabhupada/01_-_Lectures/01_-_English/02_-_Month_wise/02_-_Feburary/15/Fest_GOR_1971-02-15_Bhaktisiddhanta_Appearance_AM.mp3" TargetMode="External"/><Relationship Id="rId1152" Type="http://schemas.openxmlformats.org/officeDocument/2006/relationships/hyperlink" Target="https://audio.iskcondesiretree.com/01_-_Srila_Prabhupada/01_-_Lectures/01_-_English/01_-_Topic_wise/Arrival_Address/SP_Arrival_Paris_1973-08-09_Understand_This_Movement.mp3" TargetMode="External"/><Relationship Id="rId2203" Type="http://schemas.openxmlformats.org/officeDocument/2006/relationships/hyperlink" Target="https://audio.iskcondesiretree.com/01_-_Srila_Prabhupada/01_-_Lectures/01_-_English/02_-_Month_wise/06_-_June/28/Conv_1974-06-28_R1-MELBOURNE.MP3" TargetMode="External"/><Relationship Id="rId2410" Type="http://schemas.openxmlformats.org/officeDocument/2006/relationships/hyperlink" Target="https://audio.iskcondesiretree.com/01_-_Srila_Prabhupada/01_-_Lectures/01_-_English/01_-_Topic_wise/Srimad_Bhagavatam/Canto-01/SP_SB_1-08-24_Mayapur_1974-10-04_Always_Expect_Danger.mp3" TargetMode="External"/><Relationship Id="rId5359" Type="http://schemas.openxmlformats.org/officeDocument/2006/relationships/hyperlink" Target="https://audio.iskcondesiretree.com/01_-_Srila_Prabhupada/01_-_Lectures/01_-_English/01_-_Topic_wise/Srimad_Bhagavatam/Canto-05/SP_SB_5-05-09_Vrindavan_1976-10-31_Being_with_Krishna_Is_Fact.mp3" TargetMode="External"/><Relationship Id="rId5566" Type="http://schemas.openxmlformats.org/officeDocument/2006/relationships/hyperlink" Target="https://audio.iskcondesiretree.com/01_-_Srila_Prabhupada/01_-_Lectures/01_-_English/02_-_Month_wise/01_-_January/06/Conv_1977-01-06_R2-BOMBAY.MP3" TargetMode="External"/><Relationship Id="rId5773" Type="http://schemas.openxmlformats.org/officeDocument/2006/relationships/hyperlink" Target="https://audio.iskcondesiretree.com/01_-_Srila_Prabhupada/01_-_Lectures/01_-_English/02_-_Month_wise/03_-_March/27/Conv_1977-03-27_R3-BOMBAY.MP3" TargetMode="External"/><Relationship Id="rId1012" Type="http://schemas.openxmlformats.org/officeDocument/2006/relationships/hyperlink" Target="https://audio.iskcondesiretree.com/01_-_Srila_Prabhupada/01_-_Lectures/01_-_English/01_-_Topic_wise/Srimad_Bhagavatam/Canto-01/SP_SB_1-09-01_Los_Angeles_1973-05-15_Equality-How.mp3" TargetMode="External"/><Relationship Id="rId4168" Type="http://schemas.openxmlformats.org/officeDocument/2006/relationships/hyperlink" Target="https://audio.iskcondesiretree.com/01_-_Srila_Prabhupada/01_-_Lectures/01_-_English/02_-_Month_wise/01_-_January/07/Conv_1976-01-07_R1-NELLORE.MP3" TargetMode="External"/><Relationship Id="rId4375" Type="http://schemas.openxmlformats.org/officeDocument/2006/relationships/hyperlink" Target="https://audio.iskcondesiretree.com/01_-_Srila_Prabhupada/01_-_Lectures/01_-_English/02_-_Month_wise/03_-_March/17/MW_MAY_1976-03-17_Brain_Is_Already_Created.mp3" TargetMode="External"/><Relationship Id="rId5219" Type="http://schemas.openxmlformats.org/officeDocument/2006/relationships/hyperlink" Target="https://audio.iskcondesiretree.com/01_-_Srila_Prabhupada/01_-_Lectures/01_-_English/02_-_Month_wise/09_-_September/11/SB-01-07-12_1976-09-11_SB-VRNDAVAN.MP3" TargetMode="External"/><Relationship Id="rId5426" Type="http://schemas.openxmlformats.org/officeDocument/2006/relationships/hyperlink" Target="https://audio.iskcondesiretree.com/01_-_Srila_Prabhupada/01_-_Lectures/01_-_English/02_-_Month_wise/11_-_November/15/SB-05-05-28_1976-11-15_SB-VRNDAVAN.MP3" TargetMode="External"/><Relationship Id="rId5980" Type="http://schemas.openxmlformats.org/officeDocument/2006/relationships/hyperlink" Target="https://audio.iskcondesiretree.com/01_-_Srila_Prabhupada/01_-_Lectures/01_-_English/02_-_Month_wise/11_-_November/02/Conv_1977-11-02_R2-VRNDAVAN.MP3" TargetMode="External"/><Relationship Id="rId1969" Type="http://schemas.openxmlformats.org/officeDocument/2006/relationships/hyperlink" Target="https://audio.iskcondesiretree.com/01_-_Srila_Prabhupada/01_-_Lectures/01_-_English/02_-_Month_wise/05_-_May/23/RC_ROM_1974-05-23_Irish_Poet--Dogism_Catism.mp3" TargetMode="External"/><Relationship Id="rId3184" Type="http://schemas.openxmlformats.org/officeDocument/2006/relationships/hyperlink" Target="https://audio.iskcondesiretree.com/01_-_Srila_Prabhupada/01_-_Lectures/01_-_English/01_-_Topic_wise/Room_Conversation/SP_Room_Conversation_01_Perth_1975-05-16.MP3" TargetMode="External"/><Relationship Id="rId4028" Type="http://schemas.openxmlformats.org/officeDocument/2006/relationships/hyperlink" Target="https://audio.iskcondesiretree.com/01_-_Srila_Prabhupada/01_-_Lectures/01_-_English/02_-_Month_wise/11_-_November/26/Walk_1975-11-26_MW-DELHI.MP3" TargetMode="External"/><Relationship Id="rId4235" Type="http://schemas.openxmlformats.org/officeDocument/2006/relationships/hyperlink" Target="https://audio.iskcondesiretree.com/01_-_Srila_Prabhupada/01_-_Lectures/01_-_English/01_-_Topic_wise/Srimad_Bhagavatam/Canto-07/SP_SB_7-09-07_Mayapur_1976-02-14_Making_Faith_Firm.mp3" TargetMode="External"/><Relationship Id="rId4582" Type="http://schemas.openxmlformats.org/officeDocument/2006/relationships/hyperlink" Target="https://audio.iskcondesiretree.com/01_-_Srila_Prabhupada/01_-_Lectures/01_-_English/02_-_Month_wise/05_-_May/09/SB-06-01-08_1976-05-09_SB-HONOLULU.MP3" TargetMode="External"/><Relationship Id="rId5633" Type="http://schemas.openxmlformats.org/officeDocument/2006/relationships/hyperlink" Target="https://audio.iskcondesiretree.com/01_-_Srila_Prabhupada/01_-_Lectures/01_-_English/02_-_Month_wise/01_-_January/25/Conv_1977-01-25_R2-PURI.MP3" TargetMode="External"/><Relationship Id="rId5840" Type="http://schemas.openxmlformats.org/officeDocument/2006/relationships/hyperlink" Target="https://audio.iskcondesiretree.com/01_-_Srila_Prabhupada/01_-_Lectures/01_-_English/01_-_Topic_wise/Room_Conversation/SP_Room_Conversation_Hrisikesh_1977-05-11_Krishna_Is_That_One.mp3" TargetMode="External"/><Relationship Id="rId1829" Type="http://schemas.openxmlformats.org/officeDocument/2006/relationships/hyperlink" Target="https://audio.iskcondesiretree.com/01_-_Srila_Prabhupada/01_-_Lectures/01_-_English/02_-_Month_wise/04_-_April/05/Walk_1974-04-05_MW-BOMBAY.MP3" TargetMode="External"/><Relationship Id="rId3391" Type="http://schemas.openxmlformats.org/officeDocument/2006/relationships/hyperlink" Target="https://audio.iskcondesiretree.com/01_-_Srila_Prabhupada/01_-_Lectures/01_-_English/01_-_Topic_wise/Srimad_Bhagavatam/Canto-06/SP_SB_6-01-15_Denver_1975-06-28_The_Whole_Material_World_is--etc.mp3" TargetMode="External"/><Relationship Id="rId4442" Type="http://schemas.openxmlformats.org/officeDocument/2006/relationships/hyperlink" Target="https://audio.iskcondesiretree.com/01_-_Srila_Prabhupada/01_-_Lectures/01_-_English/02_-_Month_wise/04_-_April/07/SB-07-09-52_1976-04-07_SB-VRNDAVAN.MP3" TargetMode="External"/><Relationship Id="rId5700" Type="http://schemas.openxmlformats.org/officeDocument/2006/relationships/hyperlink" Target="https://audio.iskcondesiretree.com/01_-_Srila_Prabhupada/01_-_Lectures/01_-_English/02_-_Month_wise/02_-_Feburary/14/Conv_1977-02-14_R2-MAYAPUR.MP3" TargetMode="External"/><Relationship Id="rId3044" Type="http://schemas.openxmlformats.org/officeDocument/2006/relationships/hyperlink" Target="https://audio.iskcondesiretree.com/01_-_Srila_Prabhupada/01_-_Lectures/01_-_English/01_-_Topic_wise/Chaitanya_Charitamrita/Adi_Lila/SP_CC_A_01-11_Mayapur_1975-04-04_Update_On_Struggle_Immortal--etc.mp3" TargetMode="External"/><Relationship Id="rId3251" Type="http://schemas.openxmlformats.org/officeDocument/2006/relationships/hyperlink" Target="https://audio.iskcondesiretree.com/01_-_Srila_Prabhupada/01_-_Lectures/01_-_English/01_-_Topic_wise/Morning_Walk/SP_Morning_Walk_-_Honolulu_1975-05-28.MP3" TargetMode="External"/><Relationship Id="rId4302" Type="http://schemas.openxmlformats.org/officeDocument/2006/relationships/hyperlink" Target="https://audio.iskcondesiretree.com/01_-_Srila_Prabhupada/01_-_Lectures/01_-_English/01_-_Topic_wise/Srimad_Bhagavatam/Canto-07/SP_SB_7-09-23_Mayapur_1976-03-01_Krishna_Impersonators_Killed.mp3" TargetMode="External"/><Relationship Id="rId172" Type="http://schemas.openxmlformats.org/officeDocument/2006/relationships/hyperlink" Target="https://audio.iskcondesiretree.com/01_-_Srila_Prabhupada/01_-_Lectures/01_-_English/01_-_Topic_wise/Chaitanya_Charitamrita/Madhya_Lila/SP_CC_M_20-281_New_York_1966-12-18_Manifestation_of_Universe.mp3" TargetMode="External"/><Relationship Id="rId2060" Type="http://schemas.openxmlformats.org/officeDocument/2006/relationships/hyperlink" Target="https://audio.iskcondesiretree.com/01_-_Srila_Prabhupada/01_-_Lectures/01_-_English/02_-_Month_wise/06_-_June/05/RC_GEN_1974-06-05_Protestant_Leaders_Love_God_Love_etc.mp3" TargetMode="External"/><Relationship Id="rId3111" Type="http://schemas.openxmlformats.org/officeDocument/2006/relationships/hyperlink" Target="https://audio.iskcondesiretree.com/01_-_Srila_Prabhupada/01_-_Lectures/01_-_English/02_-_Month_wise/04_-_April/14/RC_HYD_1975-04-14_Supreme_Science%2C_Supreme_Music.mp3" TargetMode="External"/><Relationship Id="rId989" Type="http://schemas.openxmlformats.org/officeDocument/2006/relationships/hyperlink" Target="https://audio.iskcondesiretree.com/01_-_Srila_Prabhupada/01_-_Lectures/01_-_English/01_-_Topic_wise/Morning_Walk/SP_Morning_Walk_-_Los_Angeles_1973-05-05_In_the_Ocean_Frogs_are_Conspicuous--etc.mp3" TargetMode="External"/><Relationship Id="rId2877" Type="http://schemas.openxmlformats.org/officeDocument/2006/relationships/hyperlink" Target="https://audio.iskcondesiretree.com/01_-_Srila_Prabhupada/01_-_Lectures/01_-_English/02_-_Month_wise/03_-_March/01/Cc_A_7-01_ATL_1975-03-01_The_Vulturous_and_the_Virtuous.mp3" TargetMode="External"/><Relationship Id="rId5076" Type="http://schemas.openxmlformats.org/officeDocument/2006/relationships/hyperlink" Target="https://audio.iskcondesiretree.com/01_-_Srila_Prabhupada/01_-_Lectures/01_-_English/02_-_Month_wise/08_-_August/09/Conv_1976-08-09_R1-TEHRAN.MP3" TargetMode="External"/><Relationship Id="rId5283" Type="http://schemas.openxmlformats.org/officeDocument/2006/relationships/hyperlink" Target="https://audio.iskcondesiretree.com/01_-_Srila_Prabhupada/01_-_Lectures/01_-_English/01_-_Topic_wise/Srimad_Bhagavatam/Canto-01/SP_SB_1-07-38_Vrindavan_1976-09-30_Don%27t_Keep_a_Guru_As_Fashion.mp3" TargetMode="External"/><Relationship Id="rId5490" Type="http://schemas.openxmlformats.org/officeDocument/2006/relationships/hyperlink" Target="https://audio.iskcondesiretree.com/01_-_Srila_Prabhupada/01_-_Lectures/01_-_English/01_-_Topic_wise/Bhagavad_Gita/Chapter-07/SP_BG_07-06_Hyderabad_1976-12-11_How_Have_We_Become_Bad.mp3" TargetMode="External"/><Relationship Id="rId6127" Type="http://schemas.openxmlformats.org/officeDocument/2006/relationships/hyperlink" Target="https://audio.iskcondesiretree.com/01_-_Srila_Prabhupada/01_-_Lectures/01_-_English/01_-_Topic_wise/Stories/SP_Story_03_Alexander_the_Great.mp3" TargetMode="External"/><Relationship Id="rId849" Type="http://schemas.openxmlformats.org/officeDocument/2006/relationships/hyperlink" Target="https://audio.iskcondesiretree.com/01_-_Srila_Prabhupada/01_-_Lectures/01_-_English/02_-_Month_wise/11_-_November/30/Bg_02-26_HYD_1972-11-30_Vedic_and_Parampara_System.mp3" TargetMode="External"/><Relationship Id="rId1479" Type="http://schemas.openxmlformats.org/officeDocument/2006/relationships/hyperlink" Target="https://audio.iskcondesiretree.com/01_-_Srila_Prabhupada/01_-_Lectures/01_-_English/02_-_Month_wise/01_-_January/03/SB_1-16-06_LA_1974-01-03_The_Medicine_for_Death.mp3" TargetMode="External"/><Relationship Id="rId1686" Type="http://schemas.openxmlformats.org/officeDocument/2006/relationships/hyperlink" Target="https://audio.iskcondesiretree.com/01_-_Srila_Prabhupada/01_-_Lectures/01_-_English/02_-_Month_wise/03_-_March/07/Cc_A_7-05_MAY_1974-03-07_Krishna_Is_the_Ocean_of_Pleasure.mp3" TargetMode="External"/><Relationship Id="rId3928" Type="http://schemas.openxmlformats.org/officeDocument/2006/relationships/hyperlink" Target="https://audio.iskcondesiretree.com/01_-_Srila_Prabhupada/01_-_Lectures/01_-_English/01_-_Topic_wise/Room_Conversation/SP_Room_Conversation_Nairobi_1975-10-29_Serving_Krishna-Feeding_Stomach.mp3" TargetMode="External"/><Relationship Id="rId4092" Type="http://schemas.openxmlformats.org/officeDocument/2006/relationships/hyperlink" Target="https://audio.iskcondesiretree.com/01_-_Srila_Prabhupada/01_-_Lectures/01_-_English/02_-_Month_wise/12_-_December/14/RC_DEL_1975-12-14_All_Doing_the_Same_Business.mp3" TargetMode="External"/><Relationship Id="rId5143" Type="http://schemas.openxmlformats.org/officeDocument/2006/relationships/hyperlink" Target="https://audio.iskcondesiretree.com/01_-_Srila_Prabhupada/01_-_Lectures/01_-_English/01_-_Topic_wise/Room_Conversation/SP_Room_Conversation_Hyderabad_1976-08-22_A_Favorable_Newspaper_Article.mp3" TargetMode="External"/><Relationship Id="rId5350" Type="http://schemas.openxmlformats.org/officeDocument/2006/relationships/hyperlink" Target="https://audio.iskcondesiretree.com/01_-_Srila_Prabhupada/01_-_Lectures/01_-_English/01_-_Topic_wise/Srimad_Bhagavatam/Canto-05/SP_SB_5-05-06_Vrindavan_1976-10-28_Civilization_%3D_Degradation.mp3" TargetMode="External"/><Relationship Id="rId1339" Type="http://schemas.openxmlformats.org/officeDocument/2006/relationships/hyperlink" Target="https://audio.iskcondesiretree.com/01_-_Srila_Prabhupada/01_-_Lectures/01_-_English/01_-_Topic_wise/Room_Conversation/SP_Room_Conversation_Vrindavan_1973-10-31_Glories_of_the_Supreme_Lord.mp3" TargetMode="External"/><Relationship Id="rId1893" Type="http://schemas.openxmlformats.org/officeDocument/2006/relationships/hyperlink" Target="https://audio.iskcondesiretree.com/01_-_Srila_Prabhupada/01_-_Lectures/01_-_English/02_-_Month_wise/04_-_April/18/SB_1-02-06_HYD_1974-04-18_Bhakti_Is_Not_a_Business.mp3" TargetMode="External"/><Relationship Id="rId2737" Type="http://schemas.openxmlformats.org/officeDocument/2006/relationships/hyperlink" Target="https://audio.iskcondesiretree.com/01_-_Srila_Prabhupada/01_-_Lectures/01_-_English/01_-_Topic_wise/Bhagavad_Gita/Chapter-16/SP_BG_16-08_Tokyo_1975-01-28_The_Unseen_Controller.mp3" TargetMode="External"/><Relationship Id="rId2944" Type="http://schemas.openxmlformats.org/officeDocument/2006/relationships/hyperlink" Target="https://audio.iskcondesiretree.com/01_-_Srila_Prabhupada/01_-_Lectures/01_-_English/01_-_Topic_wise/Various/SP_Lecture_London_1975-03-12_Krishna_Candy-Every_Side_Sweet.mp3" TargetMode="External"/><Relationship Id="rId5003" Type="http://schemas.openxmlformats.org/officeDocument/2006/relationships/hyperlink" Target="https://audio.iskcondesiretree.com/01_-_Srila_Prabhupada/01_-_Lectures/01_-_English/02_-_Month_wise/07_-_July/20/Cc_M_20-112_NY_1976-07-20_Everywhere_His_Mystic_Potency.mp3" TargetMode="External"/><Relationship Id="rId5210" Type="http://schemas.openxmlformats.org/officeDocument/2006/relationships/hyperlink" Target="https://audio.iskcondesiretree.com/01_-_Srila_Prabhupada/01_-_Lectures/01_-_English/02_-_Month_wise/09_-_September/09/RC_VRN_1976-09-09_What_Have_They_%28Godbrothers%29_Done.mp3" TargetMode="External"/><Relationship Id="rId709" Type="http://schemas.openxmlformats.org/officeDocument/2006/relationships/hyperlink" Target="https://audio.iskcondesiretree.com/01_-_Srila_Prabhupada/01_-_Lectures/01_-_English/02_-_Month_wise/09_-_September/29/SB_1-03-24_LA_1972-09-29_Lord_Buddha-Tricking_the_etc.mp3" TargetMode="External"/><Relationship Id="rId916" Type="http://schemas.openxmlformats.org/officeDocument/2006/relationships/hyperlink" Target="https://audio.iskcondesiretree.com/01_-_Srila_Prabhupada/01_-_Lectures/01_-_English/02_-_Month_wise/01_-_January/30/Lect_CAL_1973-01-30_To_Businessmen--Business_%26_etc.mp3" TargetMode="External"/><Relationship Id="rId1546" Type="http://schemas.openxmlformats.org/officeDocument/2006/relationships/hyperlink" Target="https://audio.iskcondesiretree.com/01_-_Srila_Prabhupada/01_-_Lectures/01_-_English/01_-_Topic_wise/Morning_Walk/SP_Morning_Walk_-_Honolulu_1974-01-19.mp3" TargetMode="External"/><Relationship Id="rId1753" Type="http://schemas.openxmlformats.org/officeDocument/2006/relationships/hyperlink" Target="https://audio.iskcondesiretree.com/01_-_Srila_Prabhupada/01_-_Lectures/01_-_English/02_-_Month_wise/03_-_March/24/MW_BOM_1974-03-24_Everyone_Is_Serving.mp3" TargetMode="External"/><Relationship Id="rId1960" Type="http://schemas.openxmlformats.org/officeDocument/2006/relationships/hyperlink" Target="https://audio.iskcondesiretree.com/01_-_Srila_Prabhupada/01_-_Lectures/01_-_English/01_-_Topic_wise/Morning_Walk/SP_Morning_Walk_-_Bombay_1974-05-08.mp3" TargetMode="External"/><Relationship Id="rId2804" Type="http://schemas.openxmlformats.org/officeDocument/2006/relationships/hyperlink" Target="https://audio.iskcondesiretree.com/01_-_Srila_Prabhupada/01_-_Lectures/01_-_English/01_-_Topic_wise/Room_Conversation/SP_Room_Conversation_Mexico_1975-02-15_Philosopher-Yogi--Psychology_for--etc.mp3" TargetMode="External"/><Relationship Id="rId45" Type="http://schemas.openxmlformats.org/officeDocument/2006/relationships/hyperlink" Target="https://audio.iskcondesiretree.com/01_-_Srila_Prabhupada/01_-_Lectures/01_-_English/02_-_Month_wise/07_-_July/18/Bg_04-03_NY_1966-07-18_Forgetfulness_of_the_Lord.mp3" TargetMode="External"/><Relationship Id="rId1406" Type="http://schemas.openxmlformats.org/officeDocument/2006/relationships/hyperlink" Target="https://audio.iskcondesiretree.com/01_-_Srila_Prabhupada/01_-_Lectures/01_-_English/02_-_Month_wise/12_-_December/08/SB_1-15-30_LA_1973-12-08_Hearing_the_Gita_As_Arjuna_Did.mp3" TargetMode="External"/><Relationship Id="rId1613" Type="http://schemas.openxmlformats.org/officeDocument/2006/relationships/hyperlink" Target="https://audio.iskcondesiretree.com/01_-_Srila_Prabhupada/01_-_Lectures/01_-_English/01_-_Topic_wise/Room_Conversation/SP_Room_Conversation_02_Vrindavan_1974-02-13.mp3" TargetMode="External"/><Relationship Id="rId1820" Type="http://schemas.openxmlformats.org/officeDocument/2006/relationships/hyperlink" Target="https://audio.iskcondesiretree.com/01_-_Srila_Prabhupada/01_-_Lectures/01_-_English/02_-_Month_wise/04_-_April/04/MW_BOM_1974-04-04_Unlimited_Is_Not_Impersonal.mp3" TargetMode="External"/><Relationship Id="rId4769" Type="http://schemas.openxmlformats.org/officeDocument/2006/relationships/hyperlink" Target="https://audio.iskcondesiretree.com/01_-_Srila_Prabhupada/01_-_Lectures/01_-_English/02_-_Month_wise/06_-_June/17/SB-07-06-01_1976-06-17_SB-TORONTO.MP3" TargetMode="External"/><Relationship Id="rId4976" Type="http://schemas.openxmlformats.org/officeDocument/2006/relationships/hyperlink" Target="https://audio.iskcondesiretree.com/01_-_Srila_Prabhupada/01_-_Lectures/01_-_English/02_-_Month_wise/07_-_July/15/Cc_M_20-108_NY_1976-07-15_Servant-What_Loss_Master_What_Gain.mp3" TargetMode="External"/><Relationship Id="rId3578" Type="http://schemas.openxmlformats.org/officeDocument/2006/relationships/hyperlink" Target="https://audio.iskcondesiretree.com/01_-_Srila_Prabhupada/01_-_Lectures/01_-_English/01_-_Topic_wise/Morning_Walk/SP_Morning_Walk_-_Los_Angeles_1975-07-24_Progress_Means_When_You_Conquer_Death.mp3" TargetMode="External"/><Relationship Id="rId3785" Type="http://schemas.openxmlformats.org/officeDocument/2006/relationships/hyperlink" Target="https://audio.iskcondesiretree.com/01_-_Srila_Prabhupada/01_-_Lectures/01_-_English/02_-_Month_wise/09_-_September/25/Walk_1975-09-25_MW-AHMEDABAD.MP3" TargetMode="External"/><Relationship Id="rId3992" Type="http://schemas.openxmlformats.org/officeDocument/2006/relationships/hyperlink" Target="https://audio.iskcondesiretree.com/01_-_Srila_Prabhupada/01_-_Lectures/01_-_English/01_-_Topic_wise/Morning_Walk/SP_Morning_Walk_-_Bombay_1975-11-16_Scientists_Goats_Politicians.mp3" TargetMode="External"/><Relationship Id="rId4629" Type="http://schemas.openxmlformats.org/officeDocument/2006/relationships/hyperlink" Target="https://audio.iskcondesiretree.com/01_-_Srila_Prabhupada/01_-_Lectures/01_-_English/02_-_Month_wise/05_-_May/20/SB_6-01-20_HON_1976-05-20_Wasting_Human_Form_of_Life.mp3" TargetMode="External"/><Relationship Id="rId4836" Type="http://schemas.openxmlformats.org/officeDocument/2006/relationships/hyperlink" Target="https://audio.iskcondesiretree.com/01_-_Srila_Prabhupada/01_-_Lectures/01_-_English/02_-_Month_wise/06_-_June/27/SB-07-06-11%E2%80%9313_1976-06-27_SB-NEW%20VRINDAVAN.MP3" TargetMode="External"/><Relationship Id="rId6191" Type="http://schemas.openxmlformats.org/officeDocument/2006/relationships/hyperlink" Target="https://audio.iskcondesiretree.com/01_-_Srila_Prabhupada/01_-_Lectures/03_-_Hindi/SP_Hindi_19_Lectures_%26_Conversations.mp3" TargetMode="External"/><Relationship Id="rId499" Type="http://schemas.openxmlformats.org/officeDocument/2006/relationships/hyperlink" Target="https://audio.iskcondesiretree.com/01_-_Srila_Prabhupada/01_-_Lectures/01_-_English/02_-_Month_wise/04_-_April/16/Lect_LA_1970-04-16_Get_Some_Land_and_a_Cow_and_Find_Your_Spirit.mp3" TargetMode="External"/><Relationship Id="rId2387" Type="http://schemas.openxmlformats.org/officeDocument/2006/relationships/hyperlink" Target="https://audio.iskcondesiretree.com/01_-_Srila_Prabhupada/01_-_Lectures/01_-_English/01_-_Topic_wise/Arrival_Address/SP_Arrival_Mayapur_1974-09-27_This_Mission_Will_Be_Successful.mp3" TargetMode="External"/><Relationship Id="rId2594" Type="http://schemas.openxmlformats.org/officeDocument/2006/relationships/hyperlink" Target="https://audio.iskcondesiretree.com/01_-_Srila_Prabhupada/01_-_Lectures/01_-_English/01_-_Topic_wise/Srimad_Bhagavatam/Canto-03/SP_SB_3-25-41_Bombay_1974-12-09_Atheists...%27Overbold%27.mp3" TargetMode="External"/><Relationship Id="rId3438" Type="http://schemas.openxmlformats.org/officeDocument/2006/relationships/hyperlink" Target="https://audio.iskcondesiretree.com/01_-_Srila_Prabhupada/01_-_Lectures/01_-_English/01_-_Topic_wise/Room_Conversation/SP_Room_Conversation_Chicago_1975-07-05_Editor_of_Playboy_Magazine--Can_a--etc.mp3" TargetMode="External"/><Relationship Id="rId3645" Type="http://schemas.openxmlformats.org/officeDocument/2006/relationships/hyperlink" Target="https://audio.iskcondesiretree.com/01_-_Srila_Prabhupada/01_-_Lectures/01_-_English/02_-_Month_wise/08_-_August/05/Walk_1975-08-05_MW-DETROIT.MP3" TargetMode="External"/><Relationship Id="rId3852" Type="http://schemas.openxmlformats.org/officeDocument/2006/relationships/hyperlink" Target="https://audio.iskcondesiretree.com/01_-_Srila_Prabhupada/01_-_Lectures/01_-_English/01_-_Topic_wise/Bhagavad_Gita/Chapter-13/SP_BG_13-01_Durban_1975-10-13_The_Rented_House.mp3" TargetMode="External"/><Relationship Id="rId6051" Type="http://schemas.openxmlformats.org/officeDocument/2006/relationships/hyperlink" Target="https://audio.iskcondesiretree.com/01_-_Srila_Prabhupada/01_-_Lectures/01_-_English/01_-_Topic_wise/Krishna_Book/SP_Krsna_Book_Dict_03_-_The_Birth_of_Lord_Krishna.mp3" TargetMode="External"/><Relationship Id="rId359" Type="http://schemas.openxmlformats.org/officeDocument/2006/relationships/hyperlink" Target="https://audio.iskcondesiretree.com/01_-_Srila_Prabhupada/01_-_Lectures/01_-_English/01_-_Topic_wise/Festivals/SP_Festivals_Los_Angeles_1969-01-31_Nityananda_Appearance--Song_%26_Purport.mp3" TargetMode="External"/><Relationship Id="rId566" Type="http://schemas.openxmlformats.org/officeDocument/2006/relationships/hyperlink" Target="https://audio.iskcondesiretree.com/01_-_Srila_Prabhupada/01_-_Lectures/01_-_English/01_-_Topic_wise/Various/SP_Lecture_Calcutta_1972-03-06_Elevating_The_Low-Born--_and_the_High-Born.mp3" TargetMode="External"/><Relationship Id="rId773" Type="http://schemas.openxmlformats.org/officeDocument/2006/relationships/hyperlink" Target="https://audio.iskcondesiretree.com/01_-_Srila_Prabhupada/01_-_Lectures/01_-_English/01_-_Topic_wise/Srimad_Bhagavatam/Canto-01/SP_SB_1-02-22_Vrindavan_1972-11-02_Enlivening_to_the_Self.mp3" TargetMode="External"/><Relationship Id="rId1196" Type="http://schemas.openxmlformats.org/officeDocument/2006/relationships/hyperlink" Target="https://audio.iskcondesiretree.com/01_-_Srila_Prabhupada/01_-_Lectures/01_-_English/01_-_Topic_wise/Festivals/SP_Festivals_London_1973-08-21_Deity_Installation--Why_Krishna--etc.mp3" TargetMode="External"/><Relationship Id="rId2247" Type="http://schemas.openxmlformats.org/officeDocument/2006/relationships/hyperlink" Target="https://audio.iskcondesiretree.com/01_-_Srila_Prabhupada/01_-_Lectures/01_-_English/01_-_Topic_wise/Srimad_Bhagavatam/Canto-01/SP_SB_1-08-19_Chicago_1974-07-05_For_Dull-Headed_Asses_God--etc.mp3" TargetMode="External"/><Relationship Id="rId2454" Type="http://schemas.openxmlformats.org/officeDocument/2006/relationships/hyperlink" Target="https://audio.iskcondesiretree.com/01_-_Srila_Prabhupada/01_-_Lectures/01_-_English/02_-_Month_wise/10_-_October/20/SB_1-08-40_MAY_1974-10-20_Modern_Inventions_Make_Hell.mp3" TargetMode="External"/><Relationship Id="rId3505" Type="http://schemas.openxmlformats.org/officeDocument/2006/relationships/hyperlink" Target="https://audio.iskcondesiretree.com/01_-_Srila_Prabhupada/01_-_Lectures/01_-_English/02_-_Month_wise/07_-_July/12/RathaYatra_1975-07-12_RY-PHILADELPHIA.MP3" TargetMode="External"/><Relationship Id="rId4903" Type="http://schemas.openxmlformats.org/officeDocument/2006/relationships/hyperlink" Target="https://audio.iskcondesiretree.com/01_-_Srila_Prabhupada/01_-_Lectures/01_-_English/01_-_Topic_wise/Room_Conversation/SP_Room_Conversation_Washington_DC_1976-07-06_Svarupa_Damodar--Matter_and_the_Glance_of_God.mp3" TargetMode="External"/><Relationship Id="rId219" Type="http://schemas.openxmlformats.org/officeDocument/2006/relationships/hyperlink" Target="https://audio.iskcondesiretree.com/01_-_Srila_Prabhupada/01_-_Lectures/01_-_English/02_-_Month_wise/03_-_March/15/SB_7-07-29_SF_1967-03-15_Here_Is_A_Personality_to_etc.mp3" TargetMode="External"/><Relationship Id="rId426" Type="http://schemas.openxmlformats.org/officeDocument/2006/relationships/hyperlink" Target="https://audio.iskcondesiretree.com/01_-_Srila_Prabhupada/01_-_Lectures/01_-_English/02_-_Month_wise/05_-_May/12/Lect_COL_1969-05-12_To_Students_We_Are_Begging_etc.mp3" TargetMode="External"/><Relationship Id="rId633" Type="http://schemas.openxmlformats.org/officeDocument/2006/relationships/hyperlink" Target="https://audio.iskcondesiretree.com/01_-_Srila_Prabhupada/01_-_Lectures/01_-_English/02_-_Month_wise/06_-_June/30/MW_SD_1972-06-30_Scientists-Envious_Bombastic_Rascals.mp3" TargetMode="External"/><Relationship Id="rId980" Type="http://schemas.openxmlformats.org/officeDocument/2006/relationships/hyperlink" Target="https://audio.iskcondesiretree.com/01_-_Srila_Prabhupada/01_-_Lectures/01_-_English/02_-_Month_wise/04_-_April/30/SB_1-08-38_LA_1973-04-30_Our_Senses_Belong_to_Krishna.mp3" TargetMode="External"/><Relationship Id="rId1056" Type="http://schemas.openxmlformats.org/officeDocument/2006/relationships/hyperlink" Target="https://audio.iskcondesiretree.com/01_-_Srila_Prabhupada/01_-_Lectures/01_-_English/01_-_Topic_wise/Bhagavad_Gita/Chapter-01/SP_BG_01-01_London_1973-07-07_The_Material_World_Means--etc.mp3" TargetMode="External"/><Relationship Id="rId1263" Type="http://schemas.openxmlformats.org/officeDocument/2006/relationships/hyperlink" Target="https://audio.iskcondesiretree.com/01_-_Srila_Prabhupada/01_-_Lectures/01_-_English/02_-_Month_wise/09_-_September/07/Lect_STO_1973-09-07_To_Students_Classless_Society_Impossible.mp3" TargetMode="External"/><Relationship Id="rId2107" Type="http://schemas.openxmlformats.org/officeDocument/2006/relationships/hyperlink" Target="https://audio.iskcondesiretree.com/01_-_Srila_Prabhupada/01_-_Lectures/01_-_English/02_-_Month_wise/06_-_June/12/Conv_1974-06-12_R1-PARIS.MP3" TargetMode="External"/><Relationship Id="rId2314" Type="http://schemas.openxmlformats.org/officeDocument/2006/relationships/hyperlink" Target="https://audio.iskcondesiretree.com/01_-_Srila_Prabhupada/01_-_Lectures/01_-_English/02_-_Month_wise/08_-_August/04/SB_1-05-23_VRN_1974-08-04_Service_to_Devotees-How_Potent.mp3" TargetMode="External"/><Relationship Id="rId2661" Type="http://schemas.openxmlformats.org/officeDocument/2006/relationships/hyperlink" Target="https://audio.iskcondesiretree.com/01_-_Srila_Prabhupada/01_-_Lectures/01_-_English/01_-_Topic_wise/Srimad_Bhagavatam/Canto-03/SP_SB_3-26-23_Bombay_1975-01-01_Slave_vs._Revolting_Mentality.mp3" TargetMode="External"/><Relationship Id="rId3712" Type="http://schemas.openxmlformats.org/officeDocument/2006/relationships/hyperlink" Target="https://audio.iskcondesiretree.com/01_-_Srila_Prabhupada/01_-_Lectures/01_-_English/02_-_Month_wise/09_-_September/02/SB_6-01-66_VRN_1975-09-02_How_to_Degrade_Yourself.mp3" TargetMode="External"/><Relationship Id="rId840" Type="http://schemas.openxmlformats.org/officeDocument/2006/relationships/hyperlink" Target="https://audio.iskcondesiretree.com/01_-_Srila_Prabhupada/01_-_Lectures/01_-_English/01_-_Topic_wise/Bhagavad_Gita/Chapter-02/SP_BG_02-23_Hyderabad_1972-11-27_The_Indestructible_Soul.mp3" TargetMode="External"/><Relationship Id="rId1470" Type="http://schemas.openxmlformats.org/officeDocument/2006/relationships/hyperlink" Target="https://audio.iskcondesiretree.com/01_-_Srila_Prabhupada/01_-_Lectures/01_-_English/02_-_Month_wise/01_-_January/01/SB-01-16-04_1974-01-01-LOS_ANGELES.MP3" TargetMode="External"/><Relationship Id="rId2521" Type="http://schemas.openxmlformats.org/officeDocument/2006/relationships/hyperlink" Target="https://audio.iskcondesiretree.com/01_-_Srila_Prabhupada/01_-_Lectures/01_-_English/01_-_Topic_wise/Srimad_Bhagavatam/Canto-03/SP_SB_3-25-15_Bombay_1974-11-15_Conditioned_or_Krishnized.mp3" TargetMode="External"/><Relationship Id="rId4279" Type="http://schemas.openxmlformats.org/officeDocument/2006/relationships/hyperlink" Target="https://audio.iskcondesiretree.com/01_-_Srila_Prabhupada/01_-_Lectures/01_-_English/01_-_Topic_wise/Srimad_Bhagavatam/Canto-07/SP_SB_7-09-18_Mayapur_1976-02-25_Literature_vs._Litter-ature.mp3" TargetMode="External"/><Relationship Id="rId5677" Type="http://schemas.openxmlformats.org/officeDocument/2006/relationships/hyperlink" Target="https://audio.iskcondesiretree.com/01_-_Srila_Prabhupada/01_-_Lectures/01_-_English/02_-_Month_wise/02_-_Feburary/03/Conv_1977-02-03_R1-BHUBANESWAR.MP3" TargetMode="External"/><Relationship Id="rId5884" Type="http://schemas.openxmlformats.org/officeDocument/2006/relationships/hyperlink" Target="https://audio.iskcondesiretree.com/01_-_Srila_Prabhupada/01_-_Lectures/01_-_English/02_-_Month_wise/06_-_June/23/Conv_1977-06-23_R1-VRNDAVAN.MP3" TargetMode="External"/><Relationship Id="rId700" Type="http://schemas.openxmlformats.org/officeDocument/2006/relationships/hyperlink" Target="https://audio.iskcondesiretree.com/01_-_Srila_Prabhupada/01_-_Lectures/01_-_English/01_-_Topic_wise/Srimad_Bhagavatam/Canto-01/SP_SB_1-03-20_Los_Angeles_1972-09-25_This_Tax_That_Tax-Tax_Tax_Tax.mp3" TargetMode="External"/><Relationship Id="rId1123" Type="http://schemas.openxmlformats.org/officeDocument/2006/relationships/hyperlink" Target="https://audio.iskcondesiretree.com/01_-_Srila_Prabhupada/01_-_Lectures/01_-_English/02_-_Month_wise/07_-_July/25/RC_LON_1973-07-25_Devotee%27s_Mother_and_Jesuit_Priest.mp3" TargetMode="External"/><Relationship Id="rId1330" Type="http://schemas.openxmlformats.org/officeDocument/2006/relationships/hyperlink" Target="https://audio.iskcondesiretree.com/01_-_Srila_Prabhupada/01_-_Lectures/01_-_English/02_-_Month_wise/10_-_October/22/Bg_13-23_BOM_1973-10-22_How_to_Understand_the_Overseer.mp3" TargetMode="External"/><Relationship Id="rId3088" Type="http://schemas.openxmlformats.org/officeDocument/2006/relationships/hyperlink" Target="https://audio.iskcondesiretree.com/01_-_Srila_Prabhupada/01_-_Lectures/01_-_English/01_-_Topic_wise/Room_Conversation/SP_Room_Conversation_02_Hyderabad_1975-04-12.MP3" TargetMode="External"/><Relationship Id="rId4486" Type="http://schemas.openxmlformats.org/officeDocument/2006/relationships/hyperlink" Target="https://audio.iskcondesiretree.com/01_-_Srila_Prabhupada/01_-_Lectures/01_-_English/02_-_Month_wise/04_-_April/16/Walk_1976-04-16_MW-BOMBAY.MP3" TargetMode="External"/><Relationship Id="rId4693" Type="http://schemas.openxmlformats.org/officeDocument/2006/relationships/hyperlink" Target="https://audio.iskcondesiretree.com/01_-_Srila_Prabhupada/01_-_Lectures/01_-_English/02_-_Month_wise/06_-_June/05/Walk_1976-06-05_MW-LOS%20ANGELES.MP3" TargetMode="External"/><Relationship Id="rId5537" Type="http://schemas.openxmlformats.org/officeDocument/2006/relationships/hyperlink" Target="https://audio.iskcondesiretree.com/01_-_Srila_Prabhupada/01_-_Lectures/01_-_English/02_-_Month_wise/12_-_December/28/SB-05-06-10_1976-12-28_SB-BOMBAY.MP3" TargetMode="External"/><Relationship Id="rId5744" Type="http://schemas.openxmlformats.org/officeDocument/2006/relationships/hyperlink" Target="https://audio.iskcondesiretree.com/01_-_Srila_Prabhupada/01_-_Lectures/01_-_English/02_-_Month_wise/02_-_Feburary/28/Conv_1977-02-28_R1-MAYAPUR.MP3" TargetMode="External"/><Relationship Id="rId5951" Type="http://schemas.openxmlformats.org/officeDocument/2006/relationships/hyperlink" Target="https://audio.iskcondesiretree.com/01_-_Srila_Prabhupada/01_-_Lectures/01_-_English/02_-_Month_wise/10_-_October/16/Conv_1977-10-16_R1-VRNDAVAN.MP3" TargetMode="External"/><Relationship Id="rId3295" Type="http://schemas.openxmlformats.org/officeDocument/2006/relationships/hyperlink" Target="https://audio.iskcondesiretree.com/01_-_Srila_Prabhupada/01_-_Lectures/01_-_English/02_-_Month_wise/06_-_June/15/Conv_1975-06-15_R1-HONOLULU.MP3" TargetMode="External"/><Relationship Id="rId4139" Type="http://schemas.openxmlformats.org/officeDocument/2006/relationships/hyperlink" Target="https://audio.iskcondesiretree.com/01_-_Srila_Prabhupada/01_-_Lectures/01_-_English/02_-_Month_wise/12_-_December/28/Bg-07-02%E2%80%93Hindi_1975-12-28_BG-SANAND.MP3" TargetMode="External"/><Relationship Id="rId4346" Type="http://schemas.openxmlformats.org/officeDocument/2006/relationships/hyperlink" Target="https://audio.iskcondesiretree.com/01_-_Srila_Prabhupada/01_-_Lectures/01_-_English/02_-_Month_wise/03_-_March/11/Walk_1976-03-11_MW-MAYAPUR.MP3" TargetMode="External"/><Relationship Id="rId4553" Type="http://schemas.openxmlformats.org/officeDocument/2006/relationships/hyperlink" Target="https://audio.iskcondesiretree.com/01_-_Srila_Prabhupada/01_-_Lectures/01_-_English/02_-_Month_wise/05_-_May/01/Conv_1976-05-01_R1-FIJI.MP3" TargetMode="External"/><Relationship Id="rId4760" Type="http://schemas.openxmlformats.org/officeDocument/2006/relationships/hyperlink" Target="https://audio.iskcondesiretree.com/01_-_Srila_Prabhupada/01_-_Lectures/01_-_English/02_-_Month_wise/06_-_June/15/Walk_1976-06-15_MW-DETROIT.MP3" TargetMode="External"/><Relationship Id="rId5604" Type="http://schemas.openxmlformats.org/officeDocument/2006/relationships/hyperlink" Target="https://audio.iskcondesiretree.com/01_-_Srila_Prabhupada/01_-_Lectures/01_-_English/02_-_Month_wise/01_-_January/20/Conv_1977-01-20_R1-BHUBANESWAR.MP3" TargetMode="External"/><Relationship Id="rId5811" Type="http://schemas.openxmlformats.org/officeDocument/2006/relationships/hyperlink" Target="https://audio.iskcondesiretree.com/01_-_Srila_Prabhupada/01_-_Lectures/01_-_English/02_-_Month_wise/04_-_April/19/Conv_1977-04-19_R3-BOMBAY.MP3" TargetMode="External"/><Relationship Id="rId3155" Type="http://schemas.openxmlformats.org/officeDocument/2006/relationships/hyperlink" Target="https://audio.iskcondesiretree.com/01_-_Srila_Prabhupada/01_-_Lectures/01_-_English/02_-_Month_wise/05_-_May/08/Walk_1975-05-08_MW-PERTH.MP3" TargetMode="External"/><Relationship Id="rId3362" Type="http://schemas.openxmlformats.org/officeDocument/2006/relationships/hyperlink" Target="https://audio.iskcondesiretree.com/01_-_Srila_Prabhupada/01_-_Lectures/01_-_English/02_-_Month_wise/06_-_June/24/Walk_1975-06-24_MW-LOS%20ANGELES.MP3" TargetMode="External"/><Relationship Id="rId4206" Type="http://schemas.openxmlformats.org/officeDocument/2006/relationships/hyperlink" Target="https://audio.iskcondesiretree.com/01_-_Srila_Prabhupada/01_-_Lectures/01_-_English/02_-_Month_wise/02_-_Feburary/04/MW_MAY_1976-02-04_Science_Makes_Everybody_a_Fool.mp3" TargetMode="External"/><Relationship Id="rId4413" Type="http://schemas.openxmlformats.org/officeDocument/2006/relationships/hyperlink" Target="https://audio.iskcondesiretree.com/01_-_Srila_Prabhupada/01_-_Lectures/01_-_English/02_-_Month_wise/03_-_March/26/SB_7-09-44_MAY_1976-03-26_How_to_Get_Krishna%27s_Attention.mp3" TargetMode="External"/><Relationship Id="rId4620" Type="http://schemas.openxmlformats.org/officeDocument/2006/relationships/hyperlink" Target="https://audio.iskcondesiretree.com/01_-_Srila_Prabhupada/01_-_Lectures/01_-_English/02_-_Month_wise/05_-_May/18/SB_6-01-18_HON_1976-05-18_Everything_Here_Is_Punishment.mp3" TargetMode="External"/><Relationship Id="rId283" Type="http://schemas.openxmlformats.org/officeDocument/2006/relationships/hyperlink" Target="https://audio.iskcondesiretree.com/01_-_Srila_Prabhupada/01_-_Lectures/01_-_English/02_-_Month_wise/10_-_October/20/Lect_SEA_1968-10-20_To_Students-From_Tiger_to_Rat.mp3" TargetMode="External"/><Relationship Id="rId490" Type="http://schemas.openxmlformats.org/officeDocument/2006/relationships/hyperlink" Target="https://audio.iskcondesiretree.com/01_-_Srila_Prabhupada/01_-_Lectures/01_-_English/01_-_Topic_wise/Srimad_Bhagavatam/Canto-06/SP_SB_6-01-21_Los_Angeles_1970-01-17_Purity_Made_Easy.mp3" TargetMode="External"/><Relationship Id="rId2171" Type="http://schemas.openxmlformats.org/officeDocument/2006/relationships/hyperlink" Target="https://audio.iskcondesiretree.com/01_-_Srila_Prabhupada/01_-_Lectures/01_-_English/02_-_Month_wise/06_-_June/20/Conv_1974-06-20_R1-GERMANY.MP3" TargetMode="External"/><Relationship Id="rId3015" Type="http://schemas.openxmlformats.org/officeDocument/2006/relationships/hyperlink" Target="https://audio.iskcondesiretree.com/01_-_Srila_Prabhupada/01_-_Lectures/01_-_English/02_-_Month_wise/03_-_March/30/RC_MAY_1975-03-30_Entering_the_Family_of_Krishna.mp3" TargetMode="External"/><Relationship Id="rId3222" Type="http://schemas.openxmlformats.org/officeDocument/2006/relationships/hyperlink" Target="https://audio.iskcondesiretree.com/01_-_Srila_Prabhupada/01_-_Lectures/01_-_English/02_-_Month_wise/05_-_May/21/SB_6-01-01_MEL_1975-05-21_Serve_the_Divine_or_Designations.mp3" TargetMode="External"/><Relationship Id="rId143" Type="http://schemas.openxmlformats.org/officeDocument/2006/relationships/hyperlink" Target="https://audio.iskcondesiretree.com/01_-_Srila_Prabhupada/01_-_Lectures/01_-_English/02_-_Month_wise/12_-_December/02/Bg_09-15_NY_1966-12-02_Everything_Comes_from_God_Including_Maya.mp3" TargetMode="External"/><Relationship Id="rId350" Type="http://schemas.openxmlformats.org/officeDocument/2006/relationships/hyperlink" Target="https://audio.iskcondesiretree.com/01_-_Srila_Prabhupada/01_-_Lectures/01_-_English/02_-_Month_wise/01_-_January/05/Lect_LA_1969-01-05_Purport_to_a_Song_by_Narottama_dasa_Thakura.mp3" TargetMode="External"/><Relationship Id="rId2031" Type="http://schemas.openxmlformats.org/officeDocument/2006/relationships/hyperlink" Target="https://audio.iskcondesiretree.com/01_-_Srila_Prabhupada/01_-_Lectures/01_-_English/02_-_Month_wise/06_-_June/01/SB_1-13-10_GEN_1974-06-01_Make_Your_Heart_a_Place_of_Pilgrimage.mp3" TargetMode="External"/><Relationship Id="rId5187" Type="http://schemas.openxmlformats.org/officeDocument/2006/relationships/hyperlink" Target="https://audio.iskcondesiretree.com/01_-_Srila_Prabhupada/01_-_Lectures/01_-_English/02_-_Month_wise/09_-_September/05/Conv_1976-09-05_R2-VRNDAVAN.MP3" TargetMode="External"/><Relationship Id="rId5394" Type="http://schemas.openxmlformats.org/officeDocument/2006/relationships/hyperlink" Target="https://audio.iskcondesiretree.com/01_-_Srila_Prabhupada/01_-_Lectures/01_-_English/02_-_Month_wise/11_-_November/07/SB_5-05-19_VRN_1976-11-07_Spiritual_Eye_Surgery.mp3" TargetMode="External"/><Relationship Id="rId9" Type="http://schemas.openxmlformats.org/officeDocument/2006/relationships/hyperlink" Target="https://audio.iskcondesiretree.com/01_-_Srila_Prabhupada/01_-_Lectures/01_-_English/02_-_Month_wise/03_-_March/02/Bg_02-07_NY_1966-03-02_Part_2_The_Unavoidable_Battle_etc.mp3" TargetMode="External"/><Relationship Id="rId210" Type="http://schemas.openxmlformats.org/officeDocument/2006/relationships/hyperlink" Target="https://audio.iskcondesiretree.com/01_-_Srila_Prabhupada/01_-_Lectures/01_-_English/01_-_Topic_wise/Chaitanya_Charitamrita/Madhya_Lila/SP_CC_M_22-011_New_York_1967-01-09_They_Think%2C_%E2%80%98We_Are_All_Right%E2%80%99.mp3" TargetMode="External"/><Relationship Id="rId2988" Type="http://schemas.openxmlformats.org/officeDocument/2006/relationships/hyperlink" Target="https://audio.iskcondesiretree.com/01_-_Srila_Prabhupada/01_-_Lectures/01_-_English/02_-_Month_wise/03_-_March/25/CcAdi-01-001_1975-03-25_CC-MAYAPUR.MP3" TargetMode="External"/><Relationship Id="rId5047" Type="http://schemas.openxmlformats.org/officeDocument/2006/relationships/hyperlink" Target="https://audio.iskcondesiretree.com/01_-_Srila_Prabhupada/01_-_Lectures/01_-_English/02_-_Month_wise/08_-_August/02/RC_PAR_1976-08-02_Becoming_Guru.mp3" TargetMode="External"/><Relationship Id="rId5254" Type="http://schemas.openxmlformats.org/officeDocument/2006/relationships/hyperlink" Target="https://audio.iskcondesiretree.com/01_-_Srila_Prabhupada/01_-_Lectures/01_-_English/01_-_Topic_wise/Srimad_Bhagavatam/Canto-01/SP_SB_1-07-26_Vrindavan_1976-09-23_Freedom_Without_Fall-Down.mp3" TargetMode="External"/><Relationship Id="rId1797" Type="http://schemas.openxmlformats.org/officeDocument/2006/relationships/hyperlink" Target="https://audio.iskcondesiretree.com/01_-_Srila_Prabhupada/01_-_Lectures/01_-_English/01_-_Topic_wise/Morning_Walk/SP_Morning_Walk_-_Bombay_1974-04-01_Serve_Krishna_or_Serve_Others.mp3" TargetMode="External"/><Relationship Id="rId2848" Type="http://schemas.openxmlformats.org/officeDocument/2006/relationships/hyperlink" Target="https://audio.iskcondesiretree.com/01_-_Srila_Prabhupada/01_-_Lectures/01_-_English/01_-_Topic_wise/Arrival_Address/SP_Arrival_Miami_1975-02-25_Real_Success_is_to_Get_Out_of_the--etc.mp3" TargetMode="External"/><Relationship Id="rId5461" Type="http://schemas.openxmlformats.org/officeDocument/2006/relationships/hyperlink" Target="https://audio.iskcondesiretree.com/01_-_Srila_Prabhupada/01_-_Lectures/01_-_English/01_-_Topic_wise/Srimad_Bhagavatam/Canto-05/SP_SB_5-05-06_Vrindavan_1976-11-28_Krishna%27s_Criminal_and_Civil_depts.mp3" TargetMode="External"/><Relationship Id="rId89" Type="http://schemas.openxmlformats.org/officeDocument/2006/relationships/hyperlink" Target="https://audio.iskcondesiretree.com/01_-_Srila_Prabhupada/01_-_Lectures/01_-_English/02_-_Month_wise/10_-_October/09/Bg_07-15_NY_1966-10-09_Four_Classes_of_Men_Come_to_God.mp3" TargetMode="External"/><Relationship Id="rId1657" Type="http://schemas.openxmlformats.org/officeDocument/2006/relationships/hyperlink" Target="https://audio.iskcondesiretree.com/01_-_Srila_Prabhupada/01_-_Lectures/01_-_English/02_-_Month_wise/02_-_Feburary/26/Bg_15-01_CAL_1974-02-26_The_Purpose_of_Vedic_Study.mp3" TargetMode="External"/><Relationship Id="rId1864" Type="http://schemas.openxmlformats.org/officeDocument/2006/relationships/hyperlink" Target="https://audio.iskcondesiretree.com/01_-_Srila_Prabhupada/01_-_Lectures/01_-_English/02_-_Month_wise/04_-_April/12/Walk_1974-04-12_MW-BOMBAY.MP3" TargetMode="External"/><Relationship Id="rId2708" Type="http://schemas.openxmlformats.org/officeDocument/2006/relationships/hyperlink" Target="https://audio.iskcondesiretree.com/01_-_Srila_Prabhupada/01_-_Lectures/01_-_English/02_-_Month_wise/01_-_January/18/SB-03-26-43_1975-01-18_SB-BOMBAY.MP3" TargetMode="External"/><Relationship Id="rId2915" Type="http://schemas.openxmlformats.org/officeDocument/2006/relationships/hyperlink" Target="https://audio.iskcondesiretree.com/01_-_Srila_Prabhupada/01_-_Lectures/01_-_English/02_-_Month_wise/03_-_March/05/SB_2-02-05_NY_1975-03-05_How_Shall_I_Be_Maintained.mp3" TargetMode="External"/><Relationship Id="rId4063" Type="http://schemas.openxmlformats.org/officeDocument/2006/relationships/hyperlink" Target="https://audio.iskcondesiretree.com/01_-_Srila_Prabhupada/01_-_Lectures/01_-_English/01_-_Topic_wise/Srimad_Bhagavatam/Canto-07/SP_SB_7-06-06_Vrindavan_1975-12-08_The_Victors_and_the_Victimized.mp3" TargetMode="External"/><Relationship Id="rId4270" Type="http://schemas.openxmlformats.org/officeDocument/2006/relationships/hyperlink" Target="https://audio.iskcondesiretree.com/01_-_Srila_Prabhupada/01_-_Lectures/01_-_English/02_-_Month_wise/02_-_Feburary/22/SB_7-09-15_MAY_1976-02-22_No_Gentleman_Can_Live_Here.mp3" TargetMode="External"/><Relationship Id="rId5114" Type="http://schemas.openxmlformats.org/officeDocument/2006/relationships/hyperlink" Target="https://audio.iskcondesiretree.com/01_-_Srila_Prabhupada/01_-_Lectures/01_-_English/02_-_Month_wise/08_-_August/15/Walk_1976-08-15_MW-BOMBAY.MP3" TargetMode="External"/><Relationship Id="rId5321" Type="http://schemas.openxmlformats.org/officeDocument/2006/relationships/hyperlink" Target="https://audio.iskcondesiretree.com/01_-_Srila_Prabhupada/01_-_Lectures/01_-_English/02_-_Month_wise/10_-_October/09/Conv_1976-10-09_G1-ALIGARH.MP3" TargetMode="External"/><Relationship Id="rId1517" Type="http://schemas.openxmlformats.org/officeDocument/2006/relationships/hyperlink" Target="https://audio.iskcondesiretree.com/01_-_Srila_Prabhupada/01_-_Lectures/01_-_English/02_-_Month_wise/01_-_January/11/SB_1-16-16_LA_1974-01-11_Respects-Who_Will_Chastise.mp3" TargetMode="External"/><Relationship Id="rId1724" Type="http://schemas.openxmlformats.org/officeDocument/2006/relationships/hyperlink" Target="https://audio.iskcondesiretree.com/01_-_Srila_Prabhupada/01_-_Lectures/01_-_English/01_-_Topic_wise/Srimad_Bhagavatam/Canto-02/SP_SB_2-01-02_Vrindavan_1974-03-17_The_Self-Aware_Command_Respect.mp3" TargetMode="External"/><Relationship Id="rId4130" Type="http://schemas.openxmlformats.org/officeDocument/2006/relationships/hyperlink" Target="https://audio.iskcondesiretree.com/01_-_Srila_Prabhupada/01_-_Lectures/01_-_English/02_-_Month_wise/12_-_December/26/Bg_16-07_SAN_1975-12-26_From_Papa-yoni_to_Devata.mp3" TargetMode="External"/><Relationship Id="rId16" Type="http://schemas.openxmlformats.org/officeDocument/2006/relationships/hyperlink" Target="https://audio.iskcondesiretree.com/01_-_Srila_Prabhupada/01_-_Lectures/01_-_English/02_-_Month_wise/03_-_March/11/Bg_02-13_NY_1966-03-11_A_Disturbed_Mind_Is_Due_to_Ignorance.mp3" TargetMode="External"/><Relationship Id="rId1931" Type="http://schemas.openxmlformats.org/officeDocument/2006/relationships/hyperlink" Target="https://audio.iskcondesiretree.com/01_-_Srila_Prabhupada/01_-_Lectures/01_-_English/01_-_Topic_wise/Room_Conversation/SP_Room_Conversation_01_Tirupati_1974-04-26.mp3" TargetMode="External"/><Relationship Id="rId3689" Type="http://schemas.openxmlformats.org/officeDocument/2006/relationships/hyperlink" Target="https://audio.iskcondesiretree.com/01_-_Srila_Prabhupada/01_-_Lectures/01_-_English/01_-_Topic_wise/Morning_Walk/SP_Morning_Walk_-_Vrindavan_1975-08-28.MP3" TargetMode="External"/><Relationship Id="rId3896" Type="http://schemas.openxmlformats.org/officeDocument/2006/relationships/hyperlink" Target="https://audio.iskcondesiretree.com/01_-_Srila_Prabhupada/01_-_Lectures/01_-_English/01_-_Topic_wise/Morning_Walk/SP_Morning_Walk_-_Johannesburg_1975-10-20_I%27m_Happy-I%27m_Fool_Number_One.mp3" TargetMode="External"/><Relationship Id="rId6095" Type="http://schemas.openxmlformats.org/officeDocument/2006/relationships/hyperlink" Target="https://audio.iskcondesiretree.com/01_-_Srila_Prabhupada/01_-_Lectures/01_-_English/01_-_Topic_wise/Krishna_Book/SP_Krsna_Book_Dict_51_-_The_Deliverance_of_Mucukunda.mp3" TargetMode="External"/><Relationship Id="rId2498" Type="http://schemas.openxmlformats.org/officeDocument/2006/relationships/hyperlink" Target="https://audio.iskcondesiretree.com/01_-_Srila_Prabhupada/01_-_Lectures/01_-_English/02_-_Month_wise/11_-_November/07/SB-03-25-07_1974-11-07_SB-BOMBAY.MP3" TargetMode="External"/><Relationship Id="rId3549" Type="http://schemas.openxmlformats.org/officeDocument/2006/relationships/hyperlink" Target="https://audio.iskcondesiretree.com/01_-_Srila_Prabhupada/01_-_Lectures/01_-_English/02_-_Month_wise/07_-_July/18/SB-06-01-33_1975-07-18_SB-SAN%20FRANCISCO.MP3" TargetMode="External"/><Relationship Id="rId4947" Type="http://schemas.openxmlformats.org/officeDocument/2006/relationships/hyperlink" Target="https://audio.iskcondesiretree.com/01_-_Srila_Prabhupada/01_-_Lectures/01_-_English/01_-_Topic_wise/Room_Conversation/SP_Room_Conversation_New_York_1976-07-11_Christ-Our_Guru.mp3" TargetMode="External"/><Relationship Id="rId6162" Type="http://schemas.openxmlformats.org/officeDocument/2006/relationships/hyperlink" Target="https://audio.iskcondesiretree.com/01_-_Srila_Prabhupada/01_-_Lectures/01_-_English/01_-_Topic_wise/Stories/SP_Story_38_16000_wives.mp3" TargetMode="External"/><Relationship Id="rId677" Type="http://schemas.openxmlformats.org/officeDocument/2006/relationships/hyperlink" Target="https://audio.iskcondesiretree.com/01_-_Srila_Prabhupada/01_-_Lectures/01_-_English/02_-_Month_wise/09_-_September/06/SB_1-02-08_NV_1972-09-06_Spiritualize_Your_Subtle_Body.mp3" TargetMode="External"/><Relationship Id="rId2358" Type="http://schemas.openxmlformats.org/officeDocument/2006/relationships/hyperlink" Target="https://audio.iskcondesiretree.com/01_-_Srila_Prabhupada/01_-_Lectures/01_-_English/01_-_Topic_wise/Srimad_Bhagavatam/Canto-01/SP_SB_1-05-33_Vrindavan_1974-08-14_Lower_Planets_or_Liberation.mp3" TargetMode="External"/><Relationship Id="rId3756" Type="http://schemas.openxmlformats.org/officeDocument/2006/relationships/hyperlink" Target="https://audio.iskcondesiretree.com/01_-_Srila_Prabhupada/01_-_Lectures/01_-_English/02_-_Month_wise/09_-_September/13/SB_6-02-11_VRN_1975-09-13_Unalloyed_Peace-How.mp3" TargetMode="External"/><Relationship Id="rId3963" Type="http://schemas.openxmlformats.org/officeDocument/2006/relationships/hyperlink" Target="https://audio.iskcondesiretree.com/01_-_Srila_Prabhupada/01_-_Lectures/01_-_English/02_-_Month_wise/11_-_November/07/MW_BOM_1975-11-07_Discussion_of_Dioramas.mp3" TargetMode="External"/><Relationship Id="rId4807" Type="http://schemas.openxmlformats.org/officeDocument/2006/relationships/hyperlink" Target="https://audio.iskcondesiretree.com/01_-_Srila_Prabhupada/01_-_Lectures/01_-_English/02_-_Month_wise/06_-_June/22/SB_7-06-06_NV_1976-06-22_Modern_Civilization_No_etc.mp3" TargetMode="External"/><Relationship Id="rId6022" Type="http://schemas.openxmlformats.org/officeDocument/2006/relationships/hyperlink" Target="https://audio.iskcondesiretree.com/01_-_Srila_Prabhupada/01_-_Lectures/01_-_English/02_-_Month_wise/11_-_November/13/Conv_1977-11-13_R1-VRNDAVAN.MP3" TargetMode="External"/><Relationship Id="rId884" Type="http://schemas.openxmlformats.org/officeDocument/2006/relationships/hyperlink" Target="https://audio.iskcondesiretree.com/01_-_Srila_Prabhupada/01_-_Lectures/01_-_English/01_-_Topic_wise/Various/SP_Lecture_Bombay_1973-01-03_Brahma-samhita--Nobody_Knows_Krishna.mp3" TargetMode="External"/><Relationship Id="rId2565" Type="http://schemas.openxmlformats.org/officeDocument/2006/relationships/hyperlink" Target="https://audio.iskcondesiretree.com/01_-_Srila_Prabhupada/01_-_Lectures/01_-_English/02_-_Month_wise/11_-_November/29/SB-03-25-29_1974-11-29_SB-BOMBAY.MP3" TargetMode="External"/><Relationship Id="rId2772" Type="http://schemas.openxmlformats.org/officeDocument/2006/relationships/hyperlink" Target="https://audio.iskcondesiretree.com/01_-_Srila_Prabhupada/01_-_Lectures/01_-_English/01_-_Topic_wise/Bhagavad_Gita/Chapter-16/SP_BG_16-13_Hawaii_1975-02-08_Devotional_and_Demonic_Desires.mp3" TargetMode="External"/><Relationship Id="rId3409" Type="http://schemas.openxmlformats.org/officeDocument/2006/relationships/hyperlink" Target="https://audio.iskcondesiretree.com/01_-_Srila_Prabhupada/01_-_Lectures/01_-_English/01_-_Topic_wise/Morning_Walk/SP_Morning_Walk_-_Denver_1975-07-01_Spiritual_Food_and_Finance.mp3" TargetMode="External"/><Relationship Id="rId3616" Type="http://schemas.openxmlformats.org/officeDocument/2006/relationships/hyperlink" Target="https://audio.iskcondesiretree.com/01_-_Srila_Prabhupada/01_-_Lectures/01_-_English/01_-_Topic_wise/Morning_Walk/SP_Morning_Walk_-_Dallas_1975-07-31.MP3" TargetMode="External"/><Relationship Id="rId3823" Type="http://schemas.openxmlformats.org/officeDocument/2006/relationships/hyperlink" Target="https://audio.iskcondesiretree.com/01_-_Srila_Prabhupada/01_-_Lectures/01_-_English/01_-_Topic_wise/Room_Conversation/SP_Room_Conversation_Mauritius_1975-10-05_Blueprint_for_a_Blissful_Life.mp3" TargetMode="External"/><Relationship Id="rId537" Type="http://schemas.openxmlformats.org/officeDocument/2006/relationships/hyperlink" Target="https://audio.iskcondesiretree.com/01_-_Srila_Prabhupada/01_-_Lectures/01_-_English/02_-_Month_wise/06_-_June/27/Lect_SF_1971-06-27_On_Six_Goswamis_etc.mp3" TargetMode="External"/><Relationship Id="rId744" Type="http://schemas.openxmlformats.org/officeDocument/2006/relationships/hyperlink" Target="https://audio.iskcondesiretree.com/01_-_Srila_Prabhupada/01_-_Lectures/01_-_English/02_-_Month_wise/10_-_October/24/NOD_03_VRN_1972-10-24_The_Complete_Science_of_Bhakti_Yoga.mp3" TargetMode="External"/><Relationship Id="rId951" Type="http://schemas.openxmlformats.org/officeDocument/2006/relationships/hyperlink" Target="https://audio.iskcondesiretree.com/01_-_Srila_Prabhupada/01_-_Lectures/01_-_English/01_-_Topic_wise/Srimad_Bhagavatam/Canto-01/SP_SB_1-08-25_Los_Angeles_1973-04-17_Cross_This_Ocean_of_Danger.mp3" TargetMode="External"/><Relationship Id="rId1167" Type="http://schemas.openxmlformats.org/officeDocument/2006/relationships/hyperlink" Target="https://audio.iskcondesiretree.com/01_-_Srila_Prabhupada/01_-_Lectures/01_-_English/02_-_Month_wise/08_-_August/11/RC_PAR_1973-08-11_UNESCO_Worker-Simply_Wasting_Time_etc.mp3" TargetMode="External"/><Relationship Id="rId1374" Type="http://schemas.openxmlformats.org/officeDocument/2006/relationships/hyperlink" Target="https://audio.iskcondesiretree.com/01_-_Srila_Prabhupada/01_-_Lectures/01_-_English/02_-_Month_wise/11_-_November/29/SB_1-15-01_NY_1973-11-29_Very_Intimately_Connected.mp3" TargetMode="External"/><Relationship Id="rId1581" Type="http://schemas.openxmlformats.org/officeDocument/2006/relationships/hyperlink" Target="https://audio.iskcondesiretree.com/01_-_Srila_Prabhupada/01_-_Lectures/01_-_English/02_-_Month_wise/01_-_January/30/SB_1-16-36_TOK_1974-01-30_Kali-yuga--Disagree_with_Guru.mp3" TargetMode="External"/><Relationship Id="rId2218" Type="http://schemas.openxmlformats.org/officeDocument/2006/relationships/hyperlink" Target="https://audio.iskcondesiretree.com/01_-_Srila_Prabhupada/01_-_Lectures/01_-_English/02_-_Month_wise/06_-_June/29/Interv_MEL_1974-06-29_Press-Transcendental_Psychiatry.mp3" TargetMode="External"/><Relationship Id="rId2425" Type="http://schemas.openxmlformats.org/officeDocument/2006/relationships/hyperlink" Target="https://audio.iskcondesiretree.com/01_-_Srila_Prabhupada/01_-_Lectures/01_-_English/02_-_Month_wise/10_-_October/09/SB_1-08-29_MAY_1974-10-09_Krishna%27s_Loving_Impartiality.mp3" TargetMode="External"/><Relationship Id="rId2632" Type="http://schemas.openxmlformats.org/officeDocument/2006/relationships/hyperlink" Target="https://audio.iskcondesiretree.com/01_-_Srila_Prabhupada/01_-_Lectures/01_-_English/02_-_Month_wise/12_-_December/21/SB_3-26-09_BOM_1974-12-21_Controlled_Enjoyer.mp3" TargetMode="External"/><Relationship Id="rId5788" Type="http://schemas.openxmlformats.org/officeDocument/2006/relationships/hyperlink" Target="https://audio.iskcondesiretree.com/01_-_Srila_Prabhupada/01_-_Lectures/01_-_English/02_-_Month_wise/04_-_April/02/Conv_1977-04-02_R1-BOMBAY.MP3" TargetMode="External"/><Relationship Id="rId5995" Type="http://schemas.openxmlformats.org/officeDocument/2006/relationships/hyperlink" Target="https://audio.iskcondesiretree.com/01_-_Srila_Prabhupada/01_-_Lectures/01_-_English/02_-_Month_wise/11_-_November/04/Conv_1977-11-04_R1-VRNDAVAN.MP3" TargetMode="External"/><Relationship Id="rId80" Type="http://schemas.openxmlformats.org/officeDocument/2006/relationships/hyperlink" Target="https://audio.iskcondesiretree.com/01_-_Srila_Prabhupada/01_-_Lectures/01_-_English/01_-_Topic_wise/Bhagavad_Gita/Chapter-06/SP_BG_06-21-25_New_York_1966-09-09_Yoga_System--Searching_After--etc.mp3" TargetMode="External"/><Relationship Id="rId604" Type="http://schemas.openxmlformats.org/officeDocument/2006/relationships/hyperlink" Target="https://audio.iskcondesiretree.com/01_-_Srila_Prabhupada/01_-_Lectures/01_-_English/02_-_Month_wise/06_-_June/15/SB_2-03-19_LA_1972-06-15_A_Thorn_Chewing_etc.mp3" TargetMode="External"/><Relationship Id="rId811" Type="http://schemas.openxmlformats.org/officeDocument/2006/relationships/hyperlink" Target="https://audio.iskcondesiretree.com/01_-_Srila_Prabhupada/01_-_Lectures/01_-_English/02_-_Month_wise/11_-_November/11/SB_1-02-32_VRN_1972-11-11_Oneness_Is_Variety.mp3" TargetMode="External"/><Relationship Id="rId1027" Type="http://schemas.openxmlformats.org/officeDocument/2006/relationships/hyperlink" Target="https://audio.iskcondesiretree.com/01_-_Srila_Prabhupada/01_-_Lectures/01_-_English/01_-_Topic_wise/Srimad_Bhagavatam/Canto-01/SP_SB_1-09-48_Mayapur_1973-06-14_Gandhari-Chaste_and_Faithful.mp3" TargetMode="External"/><Relationship Id="rId1234" Type="http://schemas.openxmlformats.org/officeDocument/2006/relationships/hyperlink" Target="https://audio.iskcondesiretree.com/01_-_Srila_Prabhupada/01_-_Lectures/01_-_English/01_-_Topic_wise/Bhagavad_Gita/Chapter-02/SP_BG_02-30_London_1973-08-31_Matter_Grows_on_the_Platform_of_Spirit.mp3" TargetMode="External"/><Relationship Id="rId1441" Type="http://schemas.openxmlformats.org/officeDocument/2006/relationships/hyperlink" Target="https://audio.iskcondesiretree.com/01_-_Srila_Prabhupada/01_-_Lectures/01_-_English/01_-_Topic_wise/Morning_Walk/SP_Morning_Walk_-_Los_Angeles_1973-12-18_In_God_We_Trust-Meaning_What.mp3" TargetMode="External"/><Relationship Id="rId4597" Type="http://schemas.openxmlformats.org/officeDocument/2006/relationships/hyperlink" Target="https://audio.iskcondesiretree.com/01_-_Srila_Prabhupada/01_-_Lectures/01_-_English/02_-_Month_wise/05_-_May/12/Walk_1976-05-12_MW-HONOLULU.MP3" TargetMode="External"/><Relationship Id="rId5648" Type="http://schemas.openxmlformats.org/officeDocument/2006/relationships/hyperlink" Target="https://audio.iskcondesiretree.com/01_-_Srila_Prabhupada/01_-_Lectures/01_-_English/02_-_Month_wise/01_-_January/29/Conv_1977-01-29_R2-BHUBANESWAR.MP3" TargetMode="External"/><Relationship Id="rId5855" Type="http://schemas.openxmlformats.org/officeDocument/2006/relationships/hyperlink" Target="https://audio.iskcondesiretree.com/01_-_Srila_Prabhupada/01_-_Lectures/01_-_English/02_-_Month_wise/05_-_May/19/Conv_1977-05-19_R1-VRNDAVAN.MP3" TargetMode="External"/><Relationship Id="rId1301" Type="http://schemas.openxmlformats.org/officeDocument/2006/relationships/hyperlink" Target="https://audio.iskcondesiretree.com/01_-_Srila_Prabhupada/01_-_Lectures/01_-_English/01_-_Topic_wise/Bhagavad_Gita/Chapter-13/SP_BG_13-08-12_Bombay_1973-10-02_How_to_Go_Beyond_Your_Destiny.mp3" TargetMode="External"/><Relationship Id="rId3199" Type="http://schemas.openxmlformats.org/officeDocument/2006/relationships/hyperlink" Target="https://audio.iskcondesiretree.com/01_-_Srila_Prabhupada/01_-_Lectures/01_-_English/01_-_Topic_wise/Various/SP_Lecture_Melbourne_1975-05-19_We_Are_Doing_Our_Bit_to_Make--etc.mp3" TargetMode="External"/><Relationship Id="rId4457" Type="http://schemas.openxmlformats.org/officeDocument/2006/relationships/hyperlink" Target="https://audio.iskcondesiretree.com/01_-_Srila_Prabhupada/01_-_Lectures/01_-_English/01_-_Topic_wise/Srimad_Bhagavatam/Canto-07/SP_SB_7-09-55_Vrindavan_1976-04-10_The_Spoiling_Civilization.mp3" TargetMode="External"/><Relationship Id="rId4664" Type="http://schemas.openxmlformats.org/officeDocument/2006/relationships/hyperlink" Target="https://audio.iskcondesiretree.com/01_-_Srila_Prabhupada/01_-_Lectures/01_-_English/01_-_Topic_wise/Srimad_Bhagavatam/Canto-06/SP_SB_6-01-31_Honolulu_1976-05-30_Krishna_Kindly_Marry_Us.mp3" TargetMode="External"/><Relationship Id="rId5508" Type="http://schemas.openxmlformats.org/officeDocument/2006/relationships/hyperlink" Target="https://audio.iskcondesiretree.com/01_-_Srila_Prabhupada/01_-_Lectures/01_-_English/02_-_Month_wise/12_-_December/16/Bg_16-08_HYD_1976-12-16_Deliver_Your_Neighborhood.mp3" TargetMode="External"/><Relationship Id="rId5715" Type="http://schemas.openxmlformats.org/officeDocument/2006/relationships/hyperlink" Target="https://audio.iskcondesiretree.com/01_-_Srila_Prabhupada/01_-_Lectures/01_-_English/02_-_Month_wise/02_-_Feburary/18/Conv_1977-02-18_R4-MAYAPUR.MP3" TargetMode="External"/><Relationship Id="rId3059" Type="http://schemas.openxmlformats.org/officeDocument/2006/relationships/hyperlink" Target="https://audio.iskcondesiretree.com/01_-_Srila_Prabhupada/01_-_Lectures/01_-_English/01_-_Topic_wise/Morning_Walk/SP_Morning_Walk_-_Hyderabad_1975-04-06_A_Perfect_Disciple%27s_Imperfection.mp3" TargetMode="External"/><Relationship Id="rId3266" Type="http://schemas.openxmlformats.org/officeDocument/2006/relationships/hyperlink" Target="https://audio.iskcondesiretree.com/01_-_Srila_Prabhupada/01_-_Lectures/01_-_English/01_-_Topic_wise/Morning_Walk/SP_Morning_Walk_-_Hawaii_1975-06-07_Human_Sheep_and_Jackals.mp3" TargetMode="External"/><Relationship Id="rId3473" Type="http://schemas.openxmlformats.org/officeDocument/2006/relationships/hyperlink" Target="https://audio.iskcondesiretree.com/01_-_Srila_Prabhupada/01_-_Lectures/01_-_English/02_-_Month_wise/07_-_July/09/Interview_1975-07-09_IV-CHICAGO.MP3" TargetMode="External"/><Relationship Id="rId4317" Type="http://schemas.openxmlformats.org/officeDocument/2006/relationships/hyperlink" Target="https://audio.iskcondesiretree.com/01_-_Srila_Prabhupada/01_-_Lectures/01_-_English/02_-_Month_wise/03_-_March/05/Walk_1976-03-05_MW-MAYAPUR.MP3" TargetMode="External"/><Relationship Id="rId4524" Type="http://schemas.openxmlformats.org/officeDocument/2006/relationships/hyperlink" Target="https://audio.iskcondesiretree.com/01_-_Srila_Prabhupada/01_-_Lectures/01_-_English/02_-_Month_wise/04_-_April/23/Bg_09-04_MEL_1976-04-23_God_Is_There_and_Everywhere.mp3" TargetMode="External"/><Relationship Id="rId4871" Type="http://schemas.openxmlformats.org/officeDocument/2006/relationships/hyperlink" Target="https://audio.iskcondesiretree.com/01_-_Srila_Prabhupada/01_-_Lectures/01_-_English/02_-_Month_wise/07_-_July/01/RC_NV_1976-07-01_Religious_or_Wretched.mp3" TargetMode="External"/><Relationship Id="rId5922" Type="http://schemas.openxmlformats.org/officeDocument/2006/relationships/hyperlink" Target="https://audio.iskcondesiretree.com/01_-_Srila_Prabhupada/01_-_Lectures/01_-_English/02_-_Month_wise/07_-_July/27/Conv_1977-07-27_R1-VRNDAVAN.MP3" TargetMode="External"/><Relationship Id="rId187" Type="http://schemas.openxmlformats.org/officeDocument/2006/relationships/hyperlink" Target="https://audio.iskcondesiretree.com/01_-_Srila_Prabhupada/01_-_Lectures/01_-_English/02_-_Month_wise/12_-_December/23/Cc_M_20-330_NY_1966-12-23_Yugavataras-Incarnations_etc.mp3" TargetMode="External"/><Relationship Id="rId394" Type="http://schemas.openxmlformats.org/officeDocument/2006/relationships/hyperlink" Target="https://audio.iskcondesiretree.com/01_-_Srila_Prabhupada/01_-_Lectures/01_-_English/02_-_Month_wise/04_-_April/09/SB_7-06-01_NY_1969-04-09_Why_Are_You_Spoiling_My_Boy.mp3" TargetMode="External"/><Relationship Id="rId2075" Type="http://schemas.openxmlformats.org/officeDocument/2006/relationships/hyperlink" Target="https://audio.iskcondesiretree.com/01_-_Srila_Prabhupada/01_-_Lectures/01_-_English/01_-_Topic_wise/Morning_Walk/SP_Morning_Walk_-_Geneva_1974-06-08_The_Meaning_of_Marriage.mp3" TargetMode="External"/><Relationship Id="rId2282" Type="http://schemas.openxmlformats.org/officeDocument/2006/relationships/hyperlink" Target="https://audio.iskcondesiretree.com/01_-_Srila_Prabhupada/01_-_Lectures/01_-_English/01_-_Topic_wise/Morning_Walk/SP_Morning_Walk_-_Los_Angeles_1974-07-14.mp3" TargetMode="External"/><Relationship Id="rId3126" Type="http://schemas.openxmlformats.org/officeDocument/2006/relationships/hyperlink" Target="https://audio.iskcondesiretree.com/01_-_Srila_Prabhupada/01_-_Lectures/01_-_English/02_-_Month_wise/04_-_April/19/Walk_1975-04-19_MW-VRNDAVAN.MP3" TargetMode="External"/><Relationship Id="rId3680" Type="http://schemas.openxmlformats.org/officeDocument/2006/relationships/hyperlink" Target="https://audio.iskcondesiretree.com/01_-_Srila_Prabhupada/01_-_Lectures/01_-_English/01_-_Topic_wise/Morning_Walk/SP_Morning_Walk_-_Delhi_1975-08-24.MP3" TargetMode="External"/><Relationship Id="rId4731" Type="http://schemas.openxmlformats.org/officeDocument/2006/relationships/hyperlink" Target="https://audio.iskcondesiretree.com/01_-_Srila_Prabhupada/01_-_Lectures/01_-_English/01_-_Topic_wise/Srimad_Bhagavatam/Canto-06/SP_SB_6-01-45_Los_Angeles_1976-06-11_Krishna%27s_Central_Intelligence_Agency.mp3" TargetMode="External"/><Relationship Id="rId254" Type="http://schemas.openxmlformats.org/officeDocument/2006/relationships/hyperlink" Target="https://audio.iskcondesiretree.com/01_-_Srila_Prabhupada/01_-_Lectures/01_-_English/01_-_Topic_wise/Srimad_Bhagavatam/Canto-07/SP_SB_7-09-12_Montreal_1968-08-19_God_Only_Cares_How_Much_You_LOVE_Him.mp3" TargetMode="External"/><Relationship Id="rId1091" Type="http://schemas.openxmlformats.org/officeDocument/2006/relationships/hyperlink" Target="https://audio.iskcondesiretree.com/01_-_Srila_Prabhupada/01_-_Lectures/01_-_English/02_-_Month_wise/07_-_July/16/Bg_01-16_LON_1973-07-16_Everybody_Wants_to_Be_Served.mp3" TargetMode="External"/><Relationship Id="rId3333" Type="http://schemas.openxmlformats.org/officeDocument/2006/relationships/hyperlink" Target="https://audio.iskcondesiretree.com/01_-_Srila_Prabhupada/01_-_Lectures/01_-_English/02_-_Month_wise/06_-_June/20/Departure_1975-06-20_DP-HONOLULU.MP3" TargetMode="External"/><Relationship Id="rId3540" Type="http://schemas.openxmlformats.org/officeDocument/2006/relationships/hyperlink" Target="https://audio.iskcondesiretree.com/01_-_Srila_Prabhupada/01_-_Lectures/01_-_English/01_-_Topic_wise/Morning_Walk/SP_Morning_Walk_-_San_Francisco_1975-07-17_Human_Civilization--Where.mp3" TargetMode="External"/><Relationship Id="rId5298" Type="http://schemas.openxmlformats.org/officeDocument/2006/relationships/hyperlink" Target="https://audio.iskcondesiretree.com/01_-_Srila_Prabhupada/01_-_Lectures/01_-_English/01_-_Topic_wise/Srimad_Bhagavatam/Canto-01/SP_SB_1-07-44_Vrindavan_1976-10-04_To_Serve_Vaisnava_Is_More...mp3" TargetMode="External"/><Relationship Id="rId114" Type="http://schemas.openxmlformats.org/officeDocument/2006/relationships/hyperlink" Target="https://audio.iskcondesiretree.com/01_-_Srila_Prabhupada/01_-_Lectures/01_-_English/02_-_Month_wise/11_-_November/22/Cc_M_20-097_NY_1966-11-22_I_Shall_Give_You_Protection_etc.mp3" TargetMode="External"/><Relationship Id="rId461" Type="http://schemas.openxmlformats.org/officeDocument/2006/relationships/hyperlink" Target="https://audio.iskcondesiretree.com/01_-_Srila_Prabhupada/01_-_Lectures/01_-_English/01_-_Topic_wise/Various/SP_Lecture_Hamburg_1969-09-04_Initiation--The_Sense_to--etc.mp3" TargetMode="External"/><Relationship Id="rId2142" Type="http://schemas.openxmlformats.org/officeDocument/2006/relationships/hyperlink" Target="https://audio.iskcondesiretree.com/01_-_Srila_Prabhupada/01_-_Lectures/01_-_English/01_-_Topic_wise/Srimad_Bhagavatam/Canto-02/SP_SB_2-01-07_Paris_1974-06-15_The_Topmost--etc.mp3" TargetMode="External"/><Relationship Id="rId3400" Type="http://schemas.openxmlformats.org/officeDocument/2006/relationships/hyperlink" Target="https://audio.iskcondesiretree.com/01_-_Srila_Prabhupada/01_-_Lectures/01_-_English/02_-_Month_wise/06_-_June/29/SB-01-02-06_1975-06-29_SF-DENVER.MP3" TargetMode="External"/><Relationship Id="rId321" Type="http://schemas.openxmlformats.org/officeDocument/2006/relationships/hyperlink" Target="https://audio.iskcondesiretree.com/01_-_Srila_Prabhupada/01_-_Lectures/01_-_English/01_-_Topic_wise/Bhagavad_Gita/Chapter-02/SP_BG_02-19-25_Los_Angeles_1968-12-14_Learning_the_Science_of_the_Soul.mp3" TargetMode="External"/><Relationship Id="rId2002" Type="http://schemas.openxmlformats.org/officeDocument/2006/relationships/hyperlink" Target="https://audio.iskcondesiretree.com/01_-_Srila_Prabhupada/01_-_Lectures/01_-_English/02_-_Month_wise/05_-_May/28/MW_ROM_1974-05-28_Stick_to_Your_Principles_People_Will_Come.mp3" TargetMode="External"/><Relationship Id="rId2959" Type="http://schemas.openxmlformats.org/officeDocument/2006/relationships/hyperlink" Target="https://audio.iskcondesiretree.com/01_-_Srila_Prabhupada/01_-_Lectures/01_-_English/01_-_Topic_wise/Morning_Walk/SP_Morning_Walk_-_Tehran_1975-03-14.MP3" TargetMode="External"/><Relationship Id="rId5158" Type="http://schemas.openxmlformats.org/officeDocument/2006/relationships/hyperlink" Target="https://audio.iskcondesiretree.com/01_-_Srila_Prabhupada/01_-_Lectures/01_-_English/02_-_Month_wise/08_-_August/24/Conv_1976-08-24_R2-HYDERABAD.MP3" TargetMode="External"/><Relationship Id="rId5365" Type="http://schemas.openxmlformats.org/officeDocument/2006/relationships/hyperlink" Target="https://audio.iskcondesiretree.com/01_-_Srila_Prabhupada/01_-_Lectures/01_-_English/02_-_Month_wise/11_-_November/01/SB_5-05-10_VRN_1976-11-01_Simple_Living.mp3" TargetMode="External"/><Relationship Id="rId5572" Type="http://schemas.openxmlformats.org/officeDocument/2006/relationships/hyperlink" Target="https://audio.iskcondesiretree.com/01_-_Srila_Prabhupada/01_-_Lectures/01_-_English/02_-_Month_wise/01_-_January/08/Conv_1977-01-08_R2-BOMBAY.MP3" TargetMode="External"/><Relationship Id="rId1768" Type="http://schemas.openxmlformats.org/officeDocument/2006/relationships/hyperlink" Target="https://audio.iskcondesiretree.com/01_-_Srila_Prabhupada/01_-_Lectures/01_-_English/02_-_Month_wise/03_-_March/27/Bg-04-07_1974-03-27_BG-BOMBAY.MP3" TargetMode="External"/><Relationship Id="rId2819" Type="http://schemas.openxmlformats.org/officeDocument/2006/relationships/hyperlink" Target="https://audio.iskcondesiretree.com/01_-_Srila_Prabhupada/01_-_Lectures/01_-_English/02_-_Month_wise/02_-_Feburary/19/Conv_1975-02-19_R1-CARACAS.MP3" TargetMode="External"/><Relationship Id="rId4174" Type="http://schemas.openxmlformats.org/officeDocument/2006/relationships/hyperlink" Target="https://audio.iskcondesiretree.com/01_-_Srila_Prabhupada/01_-_Lectures/01_-_English/02_-_Month_wise/01_-_January/08/RC_NEL_1976-01-08_Special_Eyes.mp3" TargetMode="External"/><Relationship Id="rId4381" Type="http://schemas.openxmlformats.org/officeDocument/2006/relationships/hyperlink" Target="https://audio.iskcondesiretree.com/01_-_Srila_Prabhupada/01_-_Lectures/01_-_English/02_-_Month_wise/03_-_March/18/MW_MAY_1976-03-18_Chance_None_but_One.mp3" TargetMode="External"/><Relationship Id="rId5018" Type="http://schemas.openxmlformats.org/officeDocument/2006/relationships/hyperlink" Target="https://audio.iskcondesiretree.com/01_-_Srila_Prabhupada/01_-_Lectures/01_-_English/02_-_Month_wise/07_-_July/25/Lecture_1976-07-25_L2-LONDON.MP3" TargetMode="External"/><Relationship Id="rId5225" Type="http://schemas.openxmlformats.org/officeDocument/2006/relationships/hyperlink" Target="https://audio.iskcondesiretree.com/01_-_Srila_Prabhupada/01_-_Lectures/01_-_English/01_-_Topic_wise/Srimad_Bhagavatam/Canto-01/SP_SB_1-07-15_Vrindavan_1976-09-13_The_Mammoth_Mantra.mp3" TargetMode="External"/><Relationship Id="rId5432" Type="http://schemas.openxmlformats.org/officeDocument/2006/relationships/hyperlink" Target="https://audio.iskcondesiretree.com/01_-_Srila_Prabhupada/01_-_Lectures/01_-_English/02_-_Month_wise/11_-_November/17/Walk_1976-11-17_MW-VRNDAVANA.MP3" TargetMode="External"/><Relationship Id="rId1628" Type="http://schemas.openxmlformats.org/officeDocument/2006/relationships/hyperlink" Target="https://audio.iskcondesiretree.com/01_-_Srila_Prabhupada/01_-_Lectures/01_-_English/02_-_Month_wise/02_-_Feburary/19/Bg_07-04_BOM_1974-02-19_Chemicals_Come_from_Life.mp3" TargetMode="External"/><Relationship Id="rId1975" Type="http://schemas.openxmlformats.org/officeDocument/2006/relationships/hyperlink" Target="https://audio.iskcondesiretree.com/01_-_Srila_Prabhupada/01_-_Lectures/01_-_English/01_-_Topic_wise/Srimad_Bhagavatam/Canto-01/SP_SB_1-02-06_Rome_1974-05-24_Body-isms_Like_%27Democracy%27--etc.mp3" TargetMode="External"/><Relationship Id="rId3190" Type="http://schemas.openxmlformats.org/officeDocument/2006/relationships/hyperlink" Target="https://audio.iskcondesiretree.com/01_-_Srila_Prabhupada/01_-_Lectures/01_-_English/01_-_Topic_wise/Morning_Walk/SP_Morning_Walk_-_Perth_1975-05-17.MP3" TargetMode="External"/><Relationship Id="rId4034" Type="http://schemas.openxmlformats.org/officeDocument/2006/relationships/hyperlink" Target="https://audio.iskcondesiretree.com/01_-_Srila_Prabhupada/01_-_Lectures/01_-_English/02_-_Month_wise/11_-_November/29/Walk_1975-11-29_MW-DELHI.MP3" TargetMode="External"/><Relationship Id="rId4241" Type="http://schemas.openxmlformats.org/officeDocument/2006/relationships/hyperlink" Target="https://audio.iskcondesiretree.com/01_-_Srila_Prabhupada/01_-_Lectures/01_-_English/01_-_Topic_wise/Srimad_Bhagavatam/Canto-07/SP_SB_7-09-09_Mayapur_1976-02-16_Education_Is_Not_Electronic.mp3" TargetMode="External"/><Relationship Id="rId1835" Type="http://schemas.openxmlformats.org/officeDocument/2006/relationships/hyperlink" Target="https://audio.iskcondesiretree.com/01_-_Srila_Prabhupada/01_-_Lectures/01_-_English/01_-_Topic_wise/Bhagavad_Gita/Chapter-04/SP_BG_04-18_Bombay_1974-04-07_The_Highest_Success_in_Life.mp3" TargetMode="External"/><Relationship Id="rId3050" Type="http://schemas.openxmlformats.org/officeDocument/2006/relationships/hyperlink" Target="https://audio.iskcondesiretree.com/01_-_Srila_Prabhupada/01_-_Lectures/01_-_English/02_-_Month_wise/04_-_April/04/MW_MAY_1975-04-04_Preparing_for_World_War_Three.mp3" TargetMode="External"/><Relationship Id="rId4101" Type="http://schemas.openxmlformats.org/officeDocument/2006/relationships/hyperlink" Target="https://audio.iskcondesiretree.com/01_-_Srila_Prabhupada/01_-_Lectures/01_-_English/02_-_Month_wise/12_-_December/17/SB_7-06-01_BOM_1975-12-17_We_Are_Expansions_of_Radharani.mp3" TargetMode="External"/><Relationship Id="rId1902" Type="http://schemas.openxmlformats.org/officeDocument/2006/relationships/hyperlink" Target="https://audio.iskcondesiretree.com/01_-_Srila_Prabhupada/01_-_Lectures/01_-_English/01_-_Topic_wise/Morning_Walk/SP_Morning_Walk_-_Hyderabad_1974-04-20_You_Have_Not_Seen_God...Liar.mp3" TargetMode="External"/><Relationship Id="rId6066" Type="http://schemas.openxmlformats.org/officeDocument/2006/relationships/hyperlink" Target="https://audio.iskcondesiretree.com/01_-_Srila_Prabhupada/01_-_Lectures/01_-_English/01_-_Topic_wise/Krishna_Book/SP_Krsna_Book_Dict_18_-_The_Killing_the_Demon_Pralambasura.mp3" TargetMode="External"/><Relationship Id="rId3867" Type="http://schemas.openxmlformats.org/officeDocument/2006/relationships/hyperlink" Target="https://audio.iskcondesiretree.com/01_-_Srila_Prabhupada/01_-_Lectures/01_-_English/02_-_Month_wise/10_-_October/14/MW_JOH_1975-10-14_Mischievous_Merit.mp3" TargetMode="External"/><Relationship Id="rId4918" Type="http://schemas.openxmlformats.org/officeDocument/2006/relationships/hyperlink" Target="https://audio.iskcondesiretree.com/01_-_Srila_Prabhupada/01_-_Lectures/01_-_English/02_-_Month_wise/07_-_July/07/Cc_M_20-102_WDC_1976-07-07_Nobody_Is_Fit-Nobody_Survives.mp3" TargetMode="External"/><Relationship Id="rId788" Type="http://schemas.openxmlformats.org/officeDocument/2006/relationships/hyperlink" Target="https://audio.iskcondesiretree.com/01_-_Srila_Prabhupada/01_-_Lectures/01_-_English/01_-_Topic_wise/Nectar_Of_Devotion/SP_NOD_Vrindavan_1972-11-06_-_Advantages_of_Taking_to_Krsna-etc.mp3" TargetMode="External"/><Relationship Id="rId995" Type="http://schemas.openxmlformats.org/officeDocument/2006/relationships/hyperlink" Target="https://audio.iskcondesiretree.com/01_-_Srila_Prabhupada/01_-_Lectures/01_-_English/01_-_Topic_wise/Srimad_Bhagavatam/Canto-01/SP_SB_1-08-45_Los_Angeles_1973-05-07_We_Can_Purchase_Krishna_by_Love.mp3" TargetMode="External"/><Relationship Id="rId2469" Type="http://schemas.openxmlformats.org/officeDocument/2006/relationships/hyperlink" Target="https://audio.iskcondesiretree.com/01_-_Srila_Prabhupada/01_-_Lectures/01_-_English/02_-_Month_wise/10_-_October/25/SB_1-08-45_MAY_1974-10-25_Krishna_Wants_to_Be_Controlled.mp3" TargetMode="External"/><Relationship Id="rId2676" Type="http://schemas.openxmlformats.org/officeDocument/2006/relationships/hyperlink" Target="https://audio.iskcondesiretree.com/01_-_Srila_Prabhupada/01_-_Lectures/01_-_English/02_-_Month_wise/01_-_January/05/SB_3-26-28_BOM_1975-01-05_Centering_the_Central_Sense.mp3" TargetMode="External"/><Relationship Id="rId2883" Type="http://schemas.openxmlformats.org/officeDocument/2006/relationships/hyperlink" Target="https://audio.iskcondesiretree.com/01_-_Srila_Prabhupada/01_-_Lectures/01_-_English/02_-_Month_wise/03_-_March/01/RC_ATL_1975-03-01_Svarupa_Damodar--Origin_of_Specious_Theories.mp3" TargetMode="External"/><Relationship Id="rId3727" Type="http://schemas.openxmlformats.org/officeDocument/2006/relationships/hyperlink" Target="https://audio.iskcondesiretree.com/01_-_Srila_Prabhupada/01_-_Lectures/01_-_English/02_-_Month_wise/09_-_September/05/Walk_1975-09-05_MW-VRNDAVAN.MP3" TargetMode="External"/><Relationship Id="rId3934" Type="http://schemas.openxmlformats.org/officeDocument/2006/relationships/hyperlink" Target="https://audio.iskcondesiretree.com/01_-_Srila_Prabhupada/01_-_Lectures/01_-_English/02_-_Month_wise/10_-_October/29/RC_NAI_1975-10-29_Serving_Krishna-Feeding_Stomach.mp3" TargetMode="External"/><Relationship Id="rId5082" Type="http://schemas.openxmlformats.org/officeDocument/2006/relationships/hyperlink" Target="https://audio.iskcondesiretree.com/01_-_Srila_Prabhupada/01_-_Lectures/01_-_English/01_-_Topic_wise/Room_Conversation/SP_Room_Conversation_Tehran_1976-08-10_Freedom_to_Satisfy_Krishna.mp3" TargetMode="External"/><Relationship Id="rId6133" Type="http://schemas.openxmlformats.org/officeDocument/2006/relationships/hyperlink" Target="https://audio.iskcondesiretree.com/01_-_Srila_Prabhupada/01_-_Lectures/01_-_English/01_-_Topic_wise/Stories/SP_Story_09_Cut_coat_tails.mp3" TargetMode="External"/><Relationship Id="rId648" Type="http://schemas.openxmlformats.org/officeDocument/2006/relationships/hyperlink" Target="https://audio.iskcondesiretree.com/01_-_Srila_Prabhupada/01_-_Lectures/01_-_English/01_-_Topic_wise/Srimad_Bhagavatam/Canto-01/SP_SB_1-02-16_Los_Angeles_1972-08-19_The_Way_to_Go_Back_to_Godhead.mp3" TargetMode="External"/><Relationship Id="rId855" Type="http://schemas.openxmlformats.org/officeDocument/2006/relationships/hyperlink" Target="https://audio.iskcondesiretree.com/01_-_Srila_Prabhupada/01_-_Lectures/01_-_English/02_-_Month_wise/12_-_December/07/Bg_02-01_AHM_1972-12-07_Signs_of_Ignorance_of_Self.mp3" TargetMode="External"/><Relationship Id="rId1278" Type="http://schemas.openxmlformats.org/officeDocument/2006/relationships/hyperlink" Target="https://audio.iskcondesiretree.com/01_-_Srila_Prabhupada/01_-_Lectures/01_-_English/02_-_Month_wise/09_-_September/10/RC_STO_1973-09-10_Psychiatrist-Ours_Is_a_Psychiatric_Movement.mp3" TargetMode="External"/><Relationship Id="rId1485" Type="http://schemas.openxmlformats.org/officeDocument/2006/relationships/hyperlink" Target="https://audio.iskcondesiretree.com/01_-_Srila_Prabhupada/01_-_Lectures/01_-_English/01_-_Topic_wise/Srimad_Bhagavatam/Canto-01/SP_SB_1-16-08_Los_Angeles_1974-01-05_How_to_Stop_Death.mp3" TargetMode="External"/><Relationship Id="rId1692" Type="http://schemas.openxmlformats.org/officeDocument/2006/relationships/hyperlink" Target="https://audio.iskcondesiretree.com/01_-_Srila_Prabhupada/01_-_Lectures/01_-_English/02_-_Month_wise/03_-_March/09/CcAdi-07-007_1974-03-09_CC-MAYAPUR.MP3" TargetMode="External"/><Relationship Id="rId2329" Type="http://schemas.openxmlformats.org/officeDocument/2006/relationships/hyperlink" Target="https://audio.iskcondesiretree.com/01_-_Srila_Prabhupada/01_-_Lectures/01_-_English/01_-_Topic_wise/Srimad_Bhagavatam/Canto-01/SP_SB_1-05-28_Vrindavan_1974-08-09_Secret_of_Supreme_Satisfaction.mp3" TargetMode="External"/><Relationship Id="rId2536" Type="http://schemas.openxmlformats.org/officeDocument/2006/relationships/hyperlink" Target="https://audio.iskcondesiretree.com/01_-_Srila_Prabhupada/01_-_Lectures/01_-_English/01_-_Topic_wise/Srimad_Bhagavatam/Canto-03/SP_SB_3-25-20_Bombay_1974-11-20_How_to_Get_Rid_of_This_Body.mp3" TargetMode="External"/><Relationship Id="rId2743" Type="http://schemas.openxmlformats.org/officeDocument/2006/relationships/hyperlink" Target="https://audio.iskcondesiretree.com/01_-_Srila_Prabhupada/01_-_Lectures/01_-_English/01_-_Topic_wise/Bhagavad_Gita/Chapter-16/SP_BG_16-04_Hawaii_1975-01-30_Become_Devotee_or_Remain_Demon.mp3" TargetMode="External"/><Relationship Id="rId5899" Type="http://schemas.openxmlformats.org/officeDocument/2006/relationships/hyperlink" Target="https://audio.iskcondesiretree.com/01_-_Srila_Prabhupada/01_-_Lectures/01_-_English/02_-_Month_wise/07_-_July/01/Conv_1977-07-01_R4-VRNDAVAN.MP3" TargetMode="External"/><Relationship Id="rId6200" Type="http://schemas.openxmlformats.org/officeDocument/2006/relationships/hyperlink" Target="https://audio.iskcondesiretree.com/01_-_Srila_Prabhupada/01_-_Lectures/03_-_Hindi/SP_Hindi_28_Lectures_%26_Conversations.mp3" TargetMode="External"/><Relationship Id="rId508" Type="http://schemas.openxmlformats.org/officeDocument/2006/relationships/hyperlink" Target="https://audio.iskcondesiretree.com/01_-_Srila_Prabhupada/01_-_Lectures/01_-_English/01_-_Topic_wise/Isopanishad/SP_Isopanisad_02_Los_Angeles_1970-05-06_Everyone_Is_Seeing_Krishna.mp3" TargetMode="External"/><Relationship Id="rId715" Type="http://schemas.openxmlformats.org/officeDocument/2006/relationships/hyperlink" Target="https://audio.iskcondesiretree.com/01_-_Srila_Prabhupada/01_-_Lectures/01_-_English/02_-_Month_wise/10_-_October/01/SB_1-03-26_LA_1972-10-01_First_Educate_People.mp3" TargetMode="External"/><Relationship Id="rId922" Type="http://schemas.openxmlformats.org/officeDocument/2006/relationships/hyperlink" Target="https://audio.iskcondesiretree.com/01_-_Srila_Prabhupada/01_-_Lectures/01_-_English/01_-_Topic_wise/Bhagavad_Gita/Chapter-07/SP_BG_07-01_Sydney_1973-02-16_Connect_With_the_Supreme_Lord.mp3" TargetMode="External"/><Relationship Id="rId1138" Type="http://schemas.openxmlformats.org/officeDocument/2006/relationships/hyperlink" Target="https://audio.iskcondesiretree.com/01_-_Srila_Prabhupada/01_-_Lectures/01_-_English/01_-_Topic_wise/Bhagavad_Gita/Chapter-01/SP_BG_01-45_London_1973-08-01_Krishna%27s_Order_Is_Final.mp3" TargetMode="External"/><Relationship Id="rId1345" Type="http://schemas.openxmlformats.org/officeDocument/2006/relationships/hyperlink" Target="https://audio.iskcondesiretree.com/01_-_Srila_Prabhupada/01_-_Lectures/01_-_English/01_-_Topic_wise/Bhagavad_Gita/Chapter-04/SP_BG_04-18_Delhi_1973-11-03_Everyone_Without_Krishna--etc.mp3" TargetMode="External"/><Relationship Id="rId1552" Type="http://schemas.openxmlformats.org/officeDocument/2006/relationships/hyperlink" Target="https://audio.iskcondesiretree.com/01_-_Srila_Prabhupada/01_-_Lectures/01_-_English/01_-_Topic_wise/Srimad_Bhagavatam/Canto-01/SP_SB_1-16-24_Hawaii_1974-01-20_Finish_the_Business.mp3" TargetMode="External"/><Relationship Id="rId2603" Type="http://schemas.openxmlformats.org/officeDocument/2006/relationships/hyperlink" Target="https://audio.iskcondesiretree.com/01_-_Srila_Prabhupada/01_-_Lectures/01_-_English/01_-_Topic_wise/Srimad_Bhagavatam/Canto-03/SP_SB_3-25-44_Bombay_1974-12-12_New_Orleans_Water_in_the_Desert.mp3" TargetMode="External"/><Relationship Id="rId2950" Type="http://schemas.openxmlformats.org/officeDocument/2006/relationships/hyperlink" Target="https://audio.iskcondesiretree.com/01_-_Srila_Prabhupada/01_-_Lectures/01_-_English/01_-_Topic_wise/Srimad_Bhagavatam/Canto-01/SP_SB_1-10-03-04_Tehran_1975-03-13_Monarchy_%26_Maha-Mantra-Perfect.MP3" TargetMode="External"/><Relationship Id="rId5759" Type="http://schemas.openxmlformats.org/officeDocument/2006/relationships/hyperlink" Target="https://audio.iskcondesiretree.com/01_-_Srila_Prabhupada/01_-_Lectures/01_-_English/02_-_Month_wise/03_-_March/23/SB-02-03-18%E2%80%9319_1977-03-23_SB-BOMBAY.MP3" TargetMode="External"/><Relationship Id="rId1205" Type="http://schemas.openxmlformats.org/officeDocument/2006/relationships/hyperlink" Target="https://audio.iskcondesiretree.com/01_-_Srila_Prabhupada/01_-_Lectures/01_-_English/01_-_Topic_wise/Festivals/SP_Festivals_London_1973-08-22_Vyasa-puja--Thanks_to_the_Original_Guru.mp3" TargetMode="External"/><Relationship Id="rId2810" Type="http://schemas.openxmlformats.org/officeDocument/2006/relationships/hyperlink" Target="https://audio.iskcondesiretree.com/01_-_Srila_Prabhupada/01_-_Lectures/01_-_English/02_-_Month_wise/02_-_Feburary/16/Bg-02-16_1975-02-16_BG-MEXICO%20CITY.MP3" TargetMode="External"/><Relationship Id="rId4568" Type="http://schemas.openxmlformats.org/officeDocument/2006/relationships/hyperlink" Target="https://audio.iskcondesiretree.com/01_-_Srila_Prabhupada/01_-_Lectures/01_-_English/02_-_Month_wise/05_-_May/05/Conv_1976-05-05_R1-HONOLULU.MP3" TargetMode="External"/><Relationship Id="rId5966" Type="http://schemas.openxmlformats.org/officeDocument/2006/relationships/hyperlink" Target="https://audio.iskcondesiretree.com/01_-_Srila_Prabhupada/01_-_Lectures/01_-_English/02_-_Month_wise/10_-_October/25/Conv_1977-10-25_R1-VRNDAVAN.MP3" TargetMode="External"/><Relationship Id="rId51" Type="http://schemas.openxmlformats.org/officeDocument/2006/relationships/hyperlink" Target="https://audio.iskcondesiretree.com/01_-_Srila_Prabhupada/01_-_Lectures/01_-_English/02_-_Month_wise/07_-_July/28/Bg_04-11_NY_1966-07-28_Know_Krishna-Get_Liberation.mp3" TargetMode="External"/><Relationship Id="rId1412" Type="http://schemas.openxmlformats.org/officeDocument/2006/relationships/hyperlink" Target="https://audio.iskcondesiretree.com/01_-_Srila_Prabhupada/01_-_Lectures/01_-_English/01_-_Topic_wise/Srimad_Bhagavatam/Canto-01/SP_SB_1-15-33_Los_Angeles_1973-12-11_Separation_and_Search.mp3" TargetMode="External"/><Relationship Id="rId3377" Type="http://schemas.openxmlformats.org/officeDocument/2006/relationships/hyperlink" Target="https://audio.iskcondesiretree.com/01_-_Srila_Prabhupada/01_-_Lectures/01_-_English/02_-_Month_wise/06_-_June/26/MW_LA_1975-06-26_Hypnotized_by_Television_or_by_Krishna.mp3" TargetMode="External"/><Relationship Id="rId4775" Type="http://schemas.openxmlformats.org/officeDocument/2006/relationships/hyperlink" Target="https://audio.iskcondesiretree.com/01_-_Srila_Prabhupada/01_-_Lectures/01_-_English/02_-_Month_wise/06_-_June/18/Initiations_1976-06-18_IN-TORONTO.MP3" TargetMode="External"/><Relationship Id="rId4982" Type="http://schemas.openxmlformats.org/officeDocument/2006/relationships/hyperlink" Target="https://audio.iskcondesiretree.com/01_-_Srila_Prabhupada/01_-_Lectures/01_-_English/02_-_Month_wise/07_-_July/16/Interview_1976-07-16_IV-NEW%20YORK.MP3" TargetMode="External"/><Relationship Id="rId5619" Type="http://schemas.openxmlformats.org/officeDocument/2006/relationships/hyperlink" Target="https://audio.iskcondesiretree.com/01_-_Srila_Prabhupada/01_-_Lectures/01_-_English/01_-_Topic_wise/Various/SP_Lecture_Bhuvanesvara_1977-01-23_You_Can_Become_Greatest_Devotee.mp3" TargetMode="External"/><Relationship Id="rId5826" Type="http://schemas.openxmlformats.org/officeDocument/2006/relationships/hyperlink" Target="https://audio.iskcondesiretree.com/01_-_Srila_Prabhupada/01_-_Lectures/01_-_English/02_-_Month_wise/04_-_April/28/Conv_1977-04-28_R1-BOMBAY.MP3" TargetMode="External"/><Relationship Id="rId298" Type="http://schemas.openxmlformats.org/officeDocument/2006/relationships/hyperlink" Target="https://audio.iskcondesiretree.com/01_-_Srila_Prabhupada/01_-_Lectures/01_-_English/02_-_Month_wise/11_-_November/18/Fest_LA_1968-11-18_Bhajan%2C_Lect%2C_Kirtan_on_Six_Goswamis.mp3" TargetMode="External"/><Relationship Id="rId3584" Type="http://schemas.openxmlformats.org/officeDocument/2006/relationships/hyperlink" Target="https://audio.iskcondesiretree.com/01_-_Srila_Prabhupada/01_-_Lectures/01_-_English/01_-_Topic_wise/Srimad_Bhagavatam/Canto-06/SP_SB_6-1-44_Los_Angeles_1975-07-25.MP3" TargetMode="External"/><Relationship Id="rId3791" Type="http://schemas.openxmlformats.org/officeDocument/2006/relationships/hyperlink" Target="https://audio.iskcondesiretree.com/01_-_Srila_Prabhupada/01_-_Lectures/01_-_English/02_-_Month_wise/09_-_September/27/Walk_1975-09-27_MW-AHMEDABAD.MP3" TargetMode="External"/><Relationship Id="rId4428" Type="http://schemas.openxmlformats.org/officeDocument/2006/relationships/hyperlink" Target="https://audio.iskcondesiretree.com/01_-_Srila_Prabhupada/01_-_Lectures/01_-_English/02_-_Month_wise/04_-_April/04/SB-07-09-49_1976-04-04_SB-VRNDAVAN.MP3" TargetMode="External"/><Relationship Id="rId4635" Type="http://schemas.openxmlformats.org/officeDocument/2006/relationships/hyperlink" Target="https://audio.iskcondesiretree.com/01_-_Srila_Prabhupada/01_-_Lectures/01_-_English/02_-_Month_wise/05_-_May/22/SB-06-01-22_1976-05-22_SB-HONOLULU.MP3" TargetMode="External"/><Relationship Id="rId4842" Type="http://schemas.openxmlformats.org/officeDocument/2006/relationships/hyperlink" Target="https://audio.iskcondesiretree.com/01_-_Srila_Prabhupada/01_-_Lectures/01_-_English/01_-_Topic_wise/Room_Conversation/SP_Room_Conversation_New_Vrindavan_1976-06-28_Bhavans_Journal-3_Go_to_the_Real_Guru.mp3" TargetMode="External"/><Relationship Id="rId158" Type="http://schemas.openxmlformats.org/officeDocument/2006/relationships/hyperlink" Target="https://audio.iskcondesiretree.com/01_-_Srila_Prabhupada/01_-_Lectures/01_-_English/01_-_Topic_wise/Chaitanya_Charitamrita/Madhya_Lila/SP_CC_M_20-156_New_York_1966-12-11_Intimate_Association_with--etc.mp3" TargetMode="External"/><Relationship Id="rId2186" Type="http://schemas.openxmlformats.org/officeDocument/2006/relationships/hyperlink" Target="https://audio.iskcondesiretree.com/01_-_Srila_Prabhupada/01_-_Lectures/01_-_English/02_-_Month_wise/06_-_June/22/RC_GER_1974-06-22_Monk--Krishna%27s_Name_Accepted_by_Jesus.mp3" TargetMode="External"/><Relationship Id="rId2393" Type="http://schemas.openxmlformats.org/officeDocument/2006/relationships/hyperlink" Target="https://audio.iskcondesiretree.com/01_-_Srila_Prabhupada/01_-_Lectures/01_-_English/01_-_Topic_wise/Srimad_Bhagavatam/Canto-01/SP_SB_1-08-18_Mayapur_1974-09-28_%27Democracy%27_vs._Divine_Rule.mp3" TargetMode="External"/><Relationship Id="rId3237" Type="http://schemas.openxmlformats.org/officeDocument/2006/relationships/hyperlink" Target="https://audio.iskcondesiretree.com/01_-_Srila_Prabhupada/01_-_Lectures/01_-_English/02_-_Month_wise/05_-_May/23/Walk_1975-05-23_MW-MELBOURNE.MP3" TargetMode="External"/><Relationship Id="rId3444" Type="http://schemas.openxmlformats.org/officeDocument/2006/relationships/hyperlink" Target="https://audio.iskcondesiretree.com/01_-_Srila_Prabhupada/01_-_Lectures/01_-_English/02_-_Month_wise/07_-_July/05/RC_CHI_1975-07-05_Editor_of_Playboy_Magazine-Can_a_etc.mp3" TargetMode="External"/><Relationship Id="rId3651" Type="http://schemas.openxmlformats.org/officeDocument/2006/relationships/hyperlink" Target="https://audio.iskcondesiretree.com/01_-_Srila_Prabhupada/01_-_Lectures/01_-_English/02_-_Month_wise/08_-_August/07/Walk_1975-08-07_MW-TORONTO.MP3" TargetMode="External"/><Relationship Id="rId4702" Type="http://schemas.openxmlformats.org/officeDocument/2006/relationships/hyperlink" Target="https://audio.iskcondesiretree.com/01_-_Srila_Prabhupada/01_-_Lectures/01_-_English/02_-_Month_wise/06_-_June/07/SB_6-01-41_LA_1976-06-07_Total_Dependence-Independence.mp3" TargetMode="External"/><Relationship Id="rId365" Type="http://schemas.openxmlformats.org/officeDocument/2006/relationships/hyperlink" Target="https://audio.iskcondesiretree.com/01_-_Srila_Prabhupada/01_-_Lectures/01_-_English/01_-_Topic_wise/Various/SP_Lecture_Los_Angeles_1969-02-10_Our_Natural_Nectarean_Life.mp3" TargetMode="External"/><Relationship Id="rId572" Type="http://schemas.openxmlformats.org/officeDocument/2006/relationships/hyperlink" Target="https://audio.iskcondesiretree.com/01_-_Srila_Prabhupada/01_-_Lectures/01_-_English/01_-_Topic_wise/Srimad_Bhagavatam/Canto-02/SP_SB_2-03-01_Los_Angeles_1972-05-19_Who_Can_Say_%27I%27m_Not_on_the--etc.mp3" TargetMode="External"/><Relationship Id="rId2046" Type="http://schemas.openxmlformats.org/officeDocument/2006/relationships/hyperlink" Target="https://audio.iskcondesiretree.com/01_-_Srila_Prabhupada/01_-_Lectures/01_-_English/01_-_Topic_wise/Srimad_Bhagavatam/Canto-01/SP_SB_1-13-15_Geneva_1974-06-04_Why_One_GBC_Became_a_Sudra.mp3" TargetMode="External"/><Relationship Id="rId2253" Type="http://schemas.openxmlformats.org/officeDocument/2006/relationships/hyperlink" Target="https://audio.iskcondesiretree.com/01_-_Srila_Prabhupada/01_-_Lectures/01_-_English/02_-_Month_wise/07_-_July/08/Arrival_1974-07-08_AR-LOS%20ANGELES.MP3" TargetMode="External"/><Relationship Id="rId2460" Type="http://schemas.openxmlformats.org/officeDocument/2006/relationships/hyperlink" Target="https://audio.iskcondesiretree.com/01_-_Srila_Prabhupada/01_-_Lectures/01_-_English/02_-_Month_wise/10_-_October/22/SB_1-08-42_MAY_1974-10-22_The_Psychology_of_the_Eternal.mp3" TargetMode="External"/><Relationship Id="rId3304" Type="http://schemas.openxmlformats.org/officeDocument/2006/relationships/hyperlink" Target="https://audio.iskcondesiretree.com/01_-_Srila_Prabhupada/01_-_Lectures/01_-_English/01_-_Topic_wise/Room_Conversation/SP_Room_Converstion_02_Honolulu_1975-06-16.MP3" TargetMode="External"/><Relationship Id="rId3511" Type="http://schemas.openxmlformats.org/officeDocument/2006/relationships/hyperlink" Target="https://audio.iskcondesiretree.com/01_-_Srila_Prabhupada/01_-_Lectures/01_-_English/01_-_Topic_wise/Room_Conversation/SP_Room_Conversation_02_Philadelphia_1975-07-13.MP3" TargetMode="External"/><Relationship Id="rId225" Type="http://schemas.openxmlformats.org/officeDocument/2006/relationships/hyperlink" Target="https://audio.iskcondesiretree.com/01_-_Srila_Prabhupada/01_-_Lectures/01_-_English/02_-_Month_wise/04_-_April/05/RC_SF_1967-04-05_Part_2_Outline_of_Lord_Caitanya_Play.mp3" TargetMode="External"/><Relationship Id="rId432" Type="http://schemas.openxmlformats.org/officeDocument/2006/relationships/hyperlink" Target="https://audio.iskcondesiretree.com/01_-_Srila_Prabhupada/01_-_Lectures/01_-_English/02_-_Month_wise/05_-_May/14/Lect_COL_1969-05-14_Caste_System_Cast_Out.mp3" TargetMode="External"/><Relationship Id="rId1062" Type="http://schemas.openxmlformats.org/officeDocument/2006/relationships/hyperlink" Target="https://audio.iskcondesiretree.com/01_-_Srila_Prabhupada/01_-_Lectures/01_-_English/01_-_Topic_wise/Room_Conversation/SP_Room_Conversation_London_1973-07-09_Where_is_the_Education_About_Our_Future_Life.mp3" TargetMode="External"/><Relationship Id="rId2113" Type="http://schemas.openxmlformats.org/officeDocument/2006/relationships/hyperlink" Target="https://audio.iskcondesiretree.com/01_-_Srila_Prabhupada/01_-_Lectures/01_-_English/02_-_Month_wise/06_-_June/12/SB_2-01-03_PAR_1974-06-12_Not_Even_Napoleon_Was_Safe.mp3" TargetMode="External"/><Relationship Id="rId2320" Type="http://schemas.openxmlformats.org/officeDocument/2006/relationships/hyperlink" Target="https://audio.iskcondesiretree.com/01_-_Srila_Prabhupada/01_-_Lectures/01_-_English/02_-_Month_wise/08_-_August/05/SB-01-05-24_1974-08-05_SB-VRNDAVAN.MP3" TargetMode="External"/><Relationship Id="rId5269" Type="http://schemas.openxmlformats.org/officeDocument/2006/relationships/hyperlink" Target="https://audio.iskcondesiretree.com/01_-_Srila_Prabhupada/01_-_Lectures/01_-_English/01_-_Topic_wise/Srimad_Bhagavatam/Canto-01/SP_SB_1-07-32_Vrindavan_1976-09-27_Counteracting_Kali-Yuga.mp3" TargetMode="External"/><Relationship Id="rId5476" Type="http://schemas.openxmlformats.org/officeDocument/2006/relationships/hyperlink" Target="https://audio.iskcondesiretree.com/01_-_Srila_Prabhupada/01_-_Lectures/01_-_English/02_-_Month_wise/12_-_December/05/Walk_1976-12-05_MW-HYDERABAD.MP3" TargetMode="External"/><Relationship Id="rId5683" Type="http://schemas.openxmlformats.org/officeDocument/2006/relationships/hyperlink" Target="https://audio.iskcondesiretree.com/01_-_Srila_Prabhupada/01_-_Lectures/01_-_English/02_-_Month_wise/02_-_Feburary/04/Conv_1977-02-04_R1-CALCUTTA.MP3" TargetMode="External"/><Relationship Id="rId4078" Type="http://schemas.openxmlformats.org/officeDocument/2006/relationships/hyperlink" Target="https://audio.iskcondesiretree.com/01_-_Srila_Prabhupada/01_-_Lectures/01_-_English/02_-_Month_wise/12_-_December/11/MW_VRN_1975-12-11_Knowledge-To_Find_the_Source.mp3" TargetMode="External"/><Relationship Id="rId4285" Type="http://schemas.openxmlformats.org/officeDocument/2006/relationships/hyperlink" Target="https://audio.iskcondesiretree.com/01_-_Srila_Prabhupada/01_-_Lectures/01_-_English/01_-_Topic_wise/Srimad_Bhagavatam/Canto-07/SP_SB_7-09-19_Mayapur_1976-02-26_Remember_the_Titanic.mp3" TargetMode="External"/><Relationship Id="rId4492" Type="http://schemas.openxmlformats.org/officeDocument/2006/relationships/hyperlink" Target="https://audio.iskcondesiretree.com/01_-_Srila_Prabhupada/01_-_Lectures/01_-_English/02_-_Month_wise/04_-_April/17/SB_7-12-06_BOM_1976-04-17_Know_Everything_of_Something.mp3" TargetMode="External"/><Relationship Id="rId5129" Type="http://schemas.openxmlformats.org/officeDocument/2006/relationships/hyperlink" Target="https://audio.iskcondesiretree.com/01_-_Srila_Prabhupada/01_-_Lectures/01_-_English/02_-_Month_wise/08_-_August/17/Interv_HYD_1976-08-17_Press-Spiritual_Re-education_etc.mp3" TargetMode="External"/><Relationship Id="rId5336" Type="http://schemas.openxmlformats.org/officeDocument/2006/relationships/hyperlink" Target="https://audio.iskcondesiretree.com/01_-_Srila_Prabhupada/01_-_Lectures/01_-_English/02_-_Month_wise/10_-_October/16/Interview_1976-10-16_IV-CHANDIGARH.MP3" TargetMode="External"/><Relationship Id="rId5543" Type="http://schemas.openxmlformats.org/officeDocument/2006/relationships/hyperlink" Target="https://audio.iskcondesiretree.com/01_-_Srila_Prabhupada/01_-_Lectures/01_-_English/02_-_Month_wise/12_-_December/29/Walk_1976-12-29_MW-BOMBAY.MP3" TargetMode="External"/><Relationship Id="rId5890" Type="http://schemas.openxmlformats.org/officeDocument/2006/relationships/hyperlink" Target="https://audio.iskcondesiretree.com/01_-_Srila_Prabhupada/01_-_Lectures/01_-_English/02_-_Month_wise/06_-_June/28/Conv_1977-06-28_R2-VRNDAVAN.MP3" TargetMode="External"/><Relationship Id="rId1879" Type="http://schemas.openxmlformats.org/officeDocument/2006/relationships/hyperlink" Target="https://audio.iskcondesiretree.com/01_-_Srila_Prabhupada/01_-_Lectures/01_-_English/02_-_Month_wise/04_-_April/16/Bg-04-27_1974-04-16_BG-BOMBAY.MP3" TargetMode="External"/><Relationship Id="rId3094" Type="http://schemas.openxmlformats.org/officeDocument/2006/relationships/hyperlink" Target="https://audio.iskcondesiretree.com/01_-_Srila_Prabhupada/01_-_Lectures/01_-_English/02_-_Month_wise/04_-_April/12/Conv_1975-04-12_R3-HYDERABAD.MP3" TargetMode="External"/><Relationship Id="rId4145" Type="http://schemas.openxmlformats.org/officeDocument/2006/relationships/hyperlink" Target="https://audio.iskcondesiretree.com/01_-_Srila_Prabhupada/01_-_Lectures/01_-_English/02_-_Month_wise/01_-_January/02/MW_MAD_1976-01-02_Bodily_Spirituality_Exposed.mp3" TargetMode="External"/><Relationship Id="rId5750" Type="http://schemas.openxmlformats.org/officeDocument/2006/relationships/hyperlink" Target="https://audio.iskcondesiretree.com/01_-_Srila_Prabhupada/01_-_Lectures/01_-_English/02_-_Month_wise/03_-_March/01/Conv_1977-03-01_R1-MAYAPUR.MP3" TargetMode="External"/><Relationship Id="rId1739" Type="http://schemas.openxmlformats.org/officeDocument/2006/relationships/hyperlink" Target="https://audio.iskcondesiretree.com/01_-_Srila_Prabhupada/01_-_Lectures/01_-_English/02_-_Month_wise/03_-_March/21/Bg_04-01_BOM_1974-03-21_Take_Perfect_Knowledge.mp3" TargetMode="External"/><Relationship Id="rId1946" Type="http://schemas.openxmlformats.org/officeDocument/2006/relationships/hyperlink" Target="https://audio.iskcondesiretree.com/01_-_Srila_Prabhupada/01_-_Lectures/01_-_English/02_-_Month_wise/05_-_May/01/Walk_1974-05-01_MW-BOMBAY.MP3" TargetMode="External"/><Relationship Id="rId4005" Type="http://schemas.openxmlformats.org/officeDocument/2006/relationships/hyperlink" Target="https://audio.iskcondesiretree.com/01_-_Srila_Prabhupada/01_-_Lectures/01_-_English/01_-_Topic_wise/Various/SP_Lecture_Bombay_1975-11-18_Initiation_Sannyasa--Deliver_One--etc.mp3" TargetMode="External"/><Relationship Id="rId4352" Type="http://schemas.openxmlformats.org/officeDocument/2006/relationships/hyperlink" Target="https://audio.iskcondesiretree.com/01_-_Srila_Prabhupada/01_-_Lectures/01_-_English/02_-_Month_wise/03_-_March/12/Walk_1976-03-12_MW-MAYAPUR.MP3" TargetMode="External"/><Relationship Id="rId5403" Type="http://schemas.openxmlformats.org/officeDocument/2006/relationships/hyperlink" Target="https://audio.iskcondesiretree.com/01_-_Srila_Prabhupada/01_-_Lectures/01_-_English/02_-_Month_wise/11_-_November/10/SB-05-05-23_1976-11-10_SB-VRNDAVAN.MP3" TargetMode="External"/><Relationship Id="rId5610" Type="http://schemas.openxmlformats.org/officeDocument/2006/relationships/hyperlink" Target="https://audio.iskcondesiretree.com/01_-_Srila_Prabhupada/01_-_Lectures/01_-_English/02_-_Month_wise/01_-_January/21/Conv_1977-01-21_R4-BHUBANESWAR.MP3" TargetMode="External"/><Relationship Id="rId1806" Type="http://schemas.openxmlformats.org/officeDocument/2006/relationships/hyperlink" Target="https://audio.iskcondesiretree.com/01_-_Srila_Prabhupada/01_-_Lectures/01_-_English/01_-_Topic_wise/Morning_Walk/SP_Morning_Walk_-_Bombay_1974-04-02_Krishna_Eats_from_Devotee%27s_Hand.mp3" TargetMode="External"/><Relationship Id="rId3161" Type="http://schemas.openxmlformats.org/officeDocument/2006/relationships/hyperlink" Target="https://audio.iskcondesiretree.com/01_-_Srila_Prabhupada/01_-_Lectures/01_-_English/02_-_Month_wise/05_-_May/10/Walk_1975-05-10_MW-PERTH.MP3" TargetMode="External"/><Relationship Id="rId4212" Type="http://schemas.openxmlformats.org/officeDocument/2006/relationships/hyperlink" Target="https://audio.iskcondesiretree.com/01_-_Srila_Prabhupada/01_-_Lectures/01_-_English/02_-_Month_wise/02_-_Feburary/05/MW_MAY_1976-02-05_Primordial_Criminality.mp3" TargetMode="External"/><Relationship Id="rId3021" Type="http://schemas.openxmlformats.org/officeDocument/2006/relationships/hyperlink" Target="https://audio.iskcondesiretree.com/01_-_Srila_Prabhupada/01_-_Lectures/01_-_English/01_-_Topic_wise/Chaitanya_Charitamrita/Adi_Lila/SP_CC_A_01-08_Mayapur_1975-04-01_Spread_Krsna_Consciousness--etc.mp3" TargetMode="External"/><Relationship Id="rId3978" Type="http://schemas.openxmlformats.org/officeDocument/2006/relationships/hyperlink" Target="https://audio.iskcondesiretree.com/01_-_Srila_Prabhupada/01_-_Lectures/01_-_English/01_-_Topic_wise/Morning_Walk/SP_Morning_Walk_-_Bombay_1975-11-12_Maya_and_Her_Ministers.mp3" TargetMode="External"/><Relationship Id="rId6177" Type="http://schemas.openxmlformats.org/officeDocument/2006/relationships/hyperlink" Target="https://audio.iskcondesiretree.com/01_-_Srila_Prabhupada/01_-_Lectures/03_-_Hindi/SP_Hindi_05_Lectures_%26_Conversations.mp3" TargetMode="External"/><Relationship Id="rId899" Type="http://schemas.openxmlformats.org/officeDocument/2006/relationships/hyperlink" Target="https://audio.iskcondesiretree.com/01_-_Srila_Prabhupada/01_-_Lectures/01_-_English/02_-_Month_wise/01_-_January/13/Bg_07-01_BOM_1973-01-13_At_Pandal--Rise_to_Platform_etc.mp3" TargetMode="External"/><Relationship Id="rId2787" Type="http://schemas.openxmlformats.org/officeDocument/2006/relationships/hyperlink" Target="https://audio.iskcondesiretree.com/01_-_Srila_Prabhupada/01_-_Lectures/01_-_English/02_-_Month_wise/02_-_Feburary/11/Bg-02-11_1975-02-11_BG-MEXICO%20CITY.MP3" TargetMode="External"/><Relationship Id="rId3838" Type="http://schemas.openxmlformats.org/officeDocument/2006/relationships/hyperlink" Target="https://audio.iskcondesiretree.com/01_-_Srila_Prabhupada/01_-_Lectures/01_-_English/02_-_Month_wise/10_-_October/08/Walk_1975-10-08_MW-DURBAN.MP3" TargetMode="External"/><Relationship Id="rId5193" Type="http://schemas.openxmlformats.org/officeDocument/2006/relationships/hyperlink" Target="https://audio.iskcondesiretree.com/01_-_Srila_Prabhupada/01_-_Lectures/01_-_English/02_-_Month_wise/09_-_September/06/SB-01-07-07_1976-09-06_SB-VRNDAVAN.MP3" TargetMode="External"/><Relationship Id="rId6037" Type="http://schemas.openxmlformats.org/officeDocument/2006/relationships/hyperlink" Target="https://audio.iskcondesiretree.com/01_-_Srila_Prabhupada/01_-_Lectures/01_-_English/01_-_Topic_wise/Bhagavad_Gita_Recitation/SP_BG_Recitation_Chapter-04_-_Sanskrit.mp3" TargetMode="External"/><Relationship Id="rId759" Type="http://schemas.openxmlformats.org/officeDocument/2006/relationships/hyperlink" Target="https://audio.iskcondesiretree.com/01_-_Srila_Prabhupada/01_-_Lectures/01_-_English/02_-_Month_wise/10_-_October/29/SB_1-02-18_VRN_1972-10-29_All_That_Is_Troublesome_to_etc.mp3" TargetMode="External"/><Relationship Id="rId966" Type="http://schemas.openxmlformats.org/officeDocument/2006/relationships/hyperlink" Target="https://audio.iskcondesiretree.com/01_-_Srila_Prabhupada/01_-_Lectures/01_-_English/02_-_Month_wise/04_-_April/23/SB_1-08-31_LA_1973-04-23_Increase_Your_Love_for_Krishna.mp3" TargetMode="External"/><Relationship Id="rId1389" Type="http://schemas.openxmlformats.org/officeDocument/2006/relationships/hyperlink" Target="https://audio.iskcondesiretree.com/01_-_Srila_Prabhupada/01_-_Lectures/01_-_English/02_-_Month_wise/12_-_December/04/MW_LA_1973-12-04_Sincere_Atheist-Honest_Thief.mp3" TargetMode="External"/><Relationship Id="rId1596" Type="http://schemas.openxmlformats.org/officeDocument/2006/relationships/hyperlink" Target="https://audio.iskcondesiretree.com/01_-_Srila_Prabhupada/01_-_Lectures/01_-_English/02_-_Month_wise/02_-_Feburary/08/Bg-04-02_1974-02-08_BG-VRNDAVAN.MP3" TargetMode="External"/><Relationship Id="rId2647" Type="http://schemas.openxmlformats.org/officeDocument/2006/relationships/hyperlink" Target="https://audio.iskcondesiretree.com/01_-_Srila_Prabhupada/01_-_Lectures/01_-_English/02_-_Month_wise/12_-_December/26/SB_3-26-17_BOM_1974-12-26_Don%27t_Remain_Asleep.mp3" TargetMode="External"/><Relationship Id="rId2994" Type="http://schemas.openxmlformats.org/officeDocument/2006/relationships/hyperlink" Target="https://audio.iskcondesiretree.com/01_-_Srila_Prabhupada/01_-_Lectures/01_-_English/02_-_Month_wise/03_-_March/26/Walk_1975-03-26_MW-MAYAPUR.MP3" TargetMode="External"/><Relationship Id="rId5053" Type="http://schemas.openxmlformats.org/officeDocument/2006/relationships/hyperlink" Target="https://audio.iskcondesiretree.com/01_-_Srila_Prabhupada/01_-_Lectures/01_-_English/02_-_Month_wise/08_-_August/03/Bg-09-34_1976-08-03_BG-NEW%20MAYAPUR.MP3" TargetMode="External"/><Relationship Id="rId5260" Type="http://schemas.openxmlformats.org/officeDocument/2006/relationships/hyperlink" Target="https://audio.iskcondesiretree.com/01_-_Srila_Prabhupada/01_-_Lectures/01_-_English/01_-_Topic_wise/Srimad_Bhagavatam/Canto-01/SP_SB_1-07-28-29_Vrindavan_1976-09-25_Who_Needs_Krishna.mp3" TargetMode="External"/><Relationship Id="rId6104" Type="http://schemas.openxmlformats.org/officeDocument/2006/relationships/hyperlink" Target="https://audio.iskcondesiretree.com/01_-_Srila_Prabhupada/01_-_Lectures/01_-_English/01_-_Topic_wise/Krishna_Book/SP_Krsna_Book_Dict_64_-_The_Story_of_King_Nrga.mp3" TargetMode="External"/><Relationship Id="rId619" Type="http://schemas.openxmlformats.org/officeDocument/2006/relationships/hyperlink" Target="https://audio.iskcondesiretree.com/01_-_Srila_Prabhupada/01_-_Lectures/01_-_English/02_-_Month_wise/06_-_June/23/SB_2-03-25_LA_1972-06-23_Spiritual_Realization_etc.mp3" TargetMode="External"/><Relationship Id="rId1249" Type="http://schemas.openxmlformats.org/officeDocument/2006/relationships/hyperlink" Target="https://audio.iskcondesiretree.com/01_-_Srila_Prabhupada/01_-_Lectures/01_-_English/02_-_Month_wise/09_-_September/04/Bg_02-36_LON_1973-09-04_Compassion_On_the_Battlefield.mp3" TargetMode="External"/><Relationship Id="rId2854" Type="http://schemas.openxmlformats.org/officeDocument/2006/relationships/hyperlink" Target="https://audio.iskcondesiretree.com/01_-_Srila_Prabhupada/01_-_Lectures/01_-_English/02_-_Month_wise/02_-_Feburary/25/Bg-13-01%E2%80%9302_1975-02-25_BG-MIAMI.MP3" TargetMode="External"/><Relationship Id="rId3905" Type="http://schemas.openxmlformats.org/officeDocument/2006/relationships/hyperlink" Target="https://audio.iskcondesiretree.com/01_-_Srila_Prabhupada/01_-_Lectures/01_-_English/02_-_Month_wise/10_-_October/21/MW_JOH_1975-10-21_Abortionists-Kick_Them_in_Nose.mp3" TargetMode="External"/><Relationship Id="rId5120" Type="http://schemas.openxmlformats.org/officeDocument/2006/relationships/hyperlink" Target="https://audio.iskcondesiretree.com/01_-_Srila_Prabhupada/01_-_Lectures/01_-_English/02_-_Month_wise/08_-_August/16/Speech_1976-08-16_SP-HYDERABAD.MP3" TargetMode="External"/><Relationship Id="rId95" Type="http://schemas.openxmlformats.org/officeDocument/2006/relationships/hyperlink" Target="https://audio.iskcondesiretree.com/01_-_Srila_Prabhupada/01_-_Lectures/01_-_English/02_-_Month_wise/11_-_November/15/Bg_08-12_NY_1966-11-15_Make_Sure_to_Pass_that_Final_etc.mp3" TargetMode="External"/><Relationship Id="rId826" Type="http://schemas.openxmlformats.org/officeDocument/2006/relationships/hyperlink" Target="https://audio.iskcondesiretree.com/01_-_Srila_Prabhupada/01_-_Lectures/01_-_English/01_-_Topic_wise/Bhagavad_Gita/Chapter-02/SP_BG_02-13_Hyderabad_1972-11-19_Not_One_Became_Devotee.mp3" TargetMode="External"/><Relationship Id="rId1109" Type="http://schemas.openxmlformats.org/officeDocument/2006/relationships/hyperlink" Target="https://audio.iskcondesiretree.com/01_-_Srila_Prabhupada/01_-_Lectures/01_-_English/02_-_Month_wise/07_-_July/22/RC_LON_1973-07-22_Dr_Arnold_Toynbee_etc.mp3" TargetMode="External"/><Relationship Id="rId1456" Type="http://schemas.openxmlformats.org/officeDocument/2006/relationships/hyperlink" Target="https://audio.iskcondesiretree.com/01_-_Srila_Prabhupada/01_-_Lectures/01_-_English/02_-_Month_wise/12_-_December/25/SB_1-15-47_LA_1973-12-25_Seeing_Krishna_Face_to_Face.mp3" TargetMode="External"/><Relationship Id="rId1663" Type="http://schemas.openxmlformats.org/officeDocument/2006/relationships/hyperlink" Target="https://audio.iskcondesiretree.com/01_-_Srila_Prabhupada/01_-_Lectures/01_-_English/02_-_Month_wise/03_-_March/01/Cc_A_7-01_MAY_1974-03-01_Lord_Caitanya--Not_Killing_etc.mp3" TargetMode="External"/><Relationship Id="rId1870" Type="http://schemas.openxmlformats.org/officeDocument/2006/relationships/hyperlink" Target="https://audio.iskcondesiretree.com/01_-_Srila_Prabhupada/01_-_Lectures/01_-_English/01_-_Topic_wise/Bhagavad_Gita/Chapter-04/SP_BG_04-25_Bombay_1974-04-14.mp3" TargetMode="External"/><Relationship Id="rId2507" Type="http://schemas.openxmlformats.org/officeDocument/2006/relationships/hyperlink" Target="https://audio.iskcondesiretree.com/01_-_Srila_Prabhupada/01_-_Lectures/01_-_English/02_-_Month_wise/11_-_November/10/SB-03-25-10_1974-11-10_SB-BOMBAY.MP3" TargetMode="External"/><Relationship Id="rId2714" Type="http://schemas.openxmlformats.org/officeDocument/2006/relationships/hyperlink" Target="https://audio.iskcondesiretree.com/01_-_Srila_Prabhupada/01_-_Lectures/01_-_English/02_-_Month_wise/01_-_January/20/SB-03-26-45_1975-01-20_SB-BOMBAY.MP3" TargetMode="External"/><Relationship Id="rId2921" Type="http://schemas.openxmlformats.org/officeDocument/2006/relationships/hyperlink" Target="https://audio.iskcondesiretree.com/01_-_Srila_Prabhupada/01_-_Lectures/01_-_English/02_-_Month_wise/03_-_March/06/SB_1-15-27_NY_1975-03-06_Blazing_Fire_Within_the_Heart.mp3" TargetMode="External"/><Relationship Id="rId1316" Type="http://schemas.openxmlformats.org/officeDocument/2006/relationships/hyperlink" Target="https://audio.iskcondesiretree.com/01_-_Srila_Prabhupada/01_-_Lectures/01_-_English/02_-_Month_wise/10_-_October/11/Bg_13-17_BOM_1973-10-11_Krishna_Is_Everywhere_in_Full.mp3" TargetMode="External"/><Relationship Id="rId1523" Type="http://schemas.openxmlformats.org/officeDocument/2006/relationships/hyperlink" Target="https://audio.iskcondesiretree.com/01_-_Srila_Prabhupada/01_-_Lectures/01_-_English/02_-_Month_wise/01_-_January/12/Walk_1974-01-12_MW-LOS_ANGELES.MP3" TargetMode="External"/><Relationship Id="rId1730" Type="http://schemas.openxmlformats.org/officeDocument/2006/relationships/hyperlink" Target="https://audio.iskcondesiretree.com/01_-_Srila_Prabhupada/01_-_Lectures/01_-_English/02_-_Month_wise/03_-_March/18/SB-02-01-03_1974-03-18_SB-VRNDAVAN.MP3" TargetMode="External"/><Relationship Id="rId4679" Type="http://schemas.openxmlformats.org/officeDocument/2006/relationships/hyperlink" Target="https://audio.iskcondesiretree.com/01_-_Srila_Prabhupada/01_-_Lectures/01_-_English/01_-_Topic_wise/Srimad_Bhagavatam/Canto-06/SP_SB_6-01-37_Los_Angeles_1976-06-03_Follow_What_Krishna_Says.mp3" TargetMode="External"/><Relationship Id="rId4886" Type="http://schemas.openxmlformats.org/officeDocument/2006/relationships/hyperlink" Target="https://audio.iskcondesiretree.com/01_-_Srila_Prabhupada/01_-_Lectures/01_-_English/02_-_Month_wise/07_-_July/04/Cc_M_20-098_WDC_1976-07-04_Big_Boon_for_a_Bad_Bunch.mp3" TargetMode="External"/><Relationship Id="rId5937" Type="http://schemas.openxmlformats.org/officeDocument/2006/relationships/hyperlink" Target="https://audio.iskcondesiretree.com/01_-_Srila_Prabhupada/01_-_Lectures/01_-_English/02_-_Month_wise/10_-_October/10/Conv_1977-10-10_R1-VRNDAVAN.MP3" TargetMode="External"/><Relationship Id="rId22" Type="http://schemas.openxmlformats.org/officeDocument/2006/relationships/hyperlink" Target="https://audio.iskcondesiretree.com/01_-_Srila_Prabhupada/01_-_Lectures/01_-_English/01_-_Topic_wise/Bhagavad_Gita/Chapter-02/SP_BG_02-48_New_York_1966-04-01_Keeping_in_Touch_with_the_Supreme.mp3" TargetMode="External"/><Relationship Id="rId3488" Type="http://schemas.openxmlformats.org/officeDocument/2006/relationships/hyperlink" Target="https://audio.iskcondesiretree.com/01_-_Srila_Prabhupada/01_-_Lectures/01_-_English/01_-_Topic_wise/Interview/SP_Interview_Philadelphia_1975-07-11_Press--Spirits_in_Alien_Machines.mp3" TargetMode="External"/><Relationship Id="rId3695" Type="http://schemas.openxmlformats.org/officeDocument/2006/relationships/hyperlink" Target="https://audio.iskcondesiretree.com/01_-_Srila_Prabhupada/01_-_Lectures/01_-_English/01_-_Topic_wise/Srimad_Bhagavatam/Canto-06/SP_SB_6-01-62_Vrindavan_1975-08-29_The_Agitated_Mind.mp3" TargetMode="External"/><Relationship Id="rId4539" Type="http://schemas.openxmlformats.org/officeDocument/2006/relationships/hyperlink" Target="https://audio.iskcondesiretree.com/01_-_Srila_Prabhupada/01_-_Lectures/01_-_English/02_-_Month_wise/04_-_April/26/MW_MEL_1976-04-26_Krishna_Anxiety.mp3" TargetMode="External"/><Relationship Id="rId4746" Type="http://schemas.openxmlformats.org/officeDocument/2006/relationships/hyperlink" Target="https://audio.iskcondesiretree.com/01_-_Srila_Prabhupada/01_-_Lectures/01_-_English/02_-_Month_wise/06_-_June/14/Conv_1976-06-14_R1-DETROIT.MP3" TargetMode="External"/><Relationship Id="rId4953" Type="http://schemas.openxmlformats.org/officeDocument/2006/relationships/hyperlink" Target="https://audio.iskcondesiretree.com/01_-_Srila_Prabhupada/01_-_Lectures/01_-_English/02_-_Month_wise/07_-_July/11/RC_NY_1976-07-11_Christ-Our_Guru.mp3" TargetMode="External"/><Relationship Id="rId2297" Type="http://schemas.openxmlformats.org/officeDocument/2006/relationships/hyperlink" Target="https://audio.iskcondesiretree.com/01_-_Srila_Prabhupada/01_-_Lectures/01_-_English/02_-_Month_wise/07_-_July/24/SB-01-02-20_1974-07-24_SB-NEW%20YORK.MP3" TargetMode="External"/><Relationship Id="rId3348" Type="http://schemas.openxmlformats.org/officeDocument/2006/relationships/hyperlink" Target="https://audio.iskcondesiretree.com/01_-_Srila_Prabhupada/01_-_Lectures/01_-_English/02_-_Month_wise/06_-_June/22/Walk_1975-06-22_MW-LOS%20ANGELES.MP3" TargetMode="External"/><Relationship Id="rId3555" Type="http://schemas.openxmlformats.org/officeDocument/2006/relationships/hyperlink" Target="https://audio.iskcondesiretree.com/01_-_Srila_Prabhupada/01_-_Lectures/01_-_English/02_-_Month_wise/07_-_July/19/SB-06-01-37_1975-07-19_SB-SAN%20FRANCISCO.MP3" TargetMode="External"/><Relationship Id="rId3762" Type="http://schemas.openxmlformats.org/officeDocument/2006/relationships/hyperlink" Target="https://audio.iskcondesiretree.com/01_-_Srila_Prabhupada/01_-_Lectures/01_-_English/02_-_Month_wise/09_-_September/15/SB_6-02-13_VRN_1975-09-15_Seeing_Is_Not_Believing.mp3" TargetMode="External"/><Relationship Id="rId4606" Type="http://schemas.openxmlformats.org/officeDocument/2006/relationships/hyperlink" Target="https://audio.iskcondesiretree.com/01_-_Srila_Prabhupada/01_-_Lectures/01_-_English/01_-_Topic_wise/Morning_Walk/SP_Morning_Walk_-_Honolulu_1976-05-15_Christians_Don%27t_Accept_Christ.mp3" TargetMode="External"/><Relationship Id="rId4813" Type="http://schemas.openxmlformats.org/officeDocument/2006/relationships/hyperlink" Target="https://audio.iskcondesiretree.com/01_-_Srila_Prabhupada/01_-_Lectures/01_-_English/01_-_Topic_wise/Room_Conversation/SP_Room_Conversation_New_Vrindavan_1976-06-24_Plain_Living_High_Thinking.mp3" TargetMode="External"/><Relationship Id="rId269" Type="http://schemas.openxmlformats.org/officeDocument/2006/relationships/hyperlink" Target="https://audio.iskcondesiretree.com/01_-_Srila_Prabhupada/01_-_Lectures/01_-_English/02_-_Month_wise/09_-_September/30/Lect_SEA_1968-09-30_Beyond_Frustration-Science_of_Loving_God.mp3" TargetMode="External"/><Relationship Id="rId476" Type="http://schemas.openxmlformats.org/officeDocument/2006/relationships/hyperlink" Target="https://audio.iskcondesiretree.com/01_-_Srila_Prabhupada/01_-_Lectures/01_-_English/01_-_Topic_wise/Arrival_Address/SP_Address_London_1969-09-16_Go_to_the_Dazzling-bright_Sky_of_Freedom.mp3" TargetMode="External"/><Relationship Id="rId683" Type="http://schemas.openxmlformats.org/officeDocument/2006/relationships/hyperlink" Target="https://audio.iskcondesiretree.com/01_-_Srila_Prabhupada/01_-_Lectures/01_-_English/02_-_Month_wise/09_-_September/13/SB_1-03-07_LA_1972-09-13_Krishna_Will_Save_You.mp3" TargetMode="External"/><Relationship Id="rId890" Type="http://schemas.openxmlformats.org/officeDocument/2006/relationships/hyperlink" Target="https://audio.iskcondesiretree.com/01_-_Srila_Prabhupada/01_-_Lectures/01_-_English/02_-_Month_wise/01_-_January/05/NOD_Lect_BOM_1973-01-05_Why_Krishna_Spoke_to_a_etc.mp3" TargetMode="External"/><Relationship Id="rId2157" Type="http://schemas.openxmlformats.org/officeDocument/2006/relationships/hyperlink" Target="https://audio.iskcondesiretree.com/01_-_Srila_Prabhupada/01_-_Lectures/01_-_English/01_-_Topic_wise/Bhagavad_Gita/Chapter-02/SP_BG_02-13_Germany_1974-06-18_We_Must_Surrender-God_or_Dog.mp3" TargetMode="External"/><Relationship Id="rId2364" Type="http://schemas.openxmlformats.org/officeDocument/2006/relationships/hyperlink" Target="https://audio.iskcondesiretree.com/01_-_Srila_Prabhupada/01_-_Lectures/01_-_English/01_-_Topic_wise/Bhagavad_Gita/Chapter-07/SP_BG_07-10_Vrindavan_1974-08-16.mp3" TargetMode="External"/><Relationship Id="rId2571" Type="http://schemas.openxmlformats.org/officeDocument/2006/relationships/hyperlink" Target="https://audio.iskcondesiretree.com/01_-_Srila_Prabhupada/01_-_Lectures/01_-_English/02_-_Month_wise/12_-_December/01/SB-03-25-31_1974-12-01_SB-BOMBAY.MP3" TargetMode="External"/><Relationship Id="rId3208" Type="http://schemas.openxmlformats.org/officeDocument/2006/relationships/hyperlink" Target="https://audio.iskcondesiretree.com/01_-_Srila_Prabhupada/01_-_Lectures/01_-_English/02_-_Month_wise/05_-_May/19/Walk_1975-05-19_MW-MELBOURNE.MP3" TargetMode="External"/><Relationship Id="rId3415" Type="http://schemas.openxmlformats.org/officeDocument/2006/relationships/hyperlink" Target="https://audio.iskcondesiretree.com/01_-_Srila_Prabhupada/01_-_Lectures/01_-_English/02_-_Month_wise/07_-_July/01/SB_6-01-19_DEN_1975-07-01_Pure_Profit.mp3" TargetMode="External"/><Relationship Id="rId129" Type="http://schemas.openxmlformats.org/officeDocument/2006/relationships/hyperlink" Target="https://audio.iskcondesiretree.com/01_-_Srila_Prabhupada/01_-_Lectures/01_-_English/01_-_Topic_wise/Chaitanya_Charitamrita/Madhya_Lila/SP_CC_M_20-131_New_York_1966-11-27_The_Vedas_Are_Your_Astrologer.mp3" TargetMode="External"/><Relationship Id="rId336" Type="http://schemas.openxmlformats.org/officeDocument/2006/relationships/hyperlink" Target="https://audio.iskcondesiretree.com/01_-_Srila_Prabhupada/01_-_Lectures/01_-_English/02_-_Month_wise/12_-_December/23/Lect_LA_1968-12-23_Message_to_London_Temple.mp3" TargetMode="External"/><Relationship Id="rId543" Type="http://schemas.openxmlformats.org/officeDocument/2006/relationships/hyperlink" Target="https://audio.iskcondesiretree.com/01_-_Srila_Prabhupada/01_-_Lectures/01_-_English/02_-_Month_wise/07_-_July/17/Lect_DET_1971-07-17_Initiation-This_Kartala_Playing_etc.mp3" TargetMode="External"/><Relationship Id="rId1173" Type="http://schemas.openxmlformats.org/officeDocument/2006/relationships/hyperlink" Target="https://audio.iskcondesiretree.com/01_-_Srila_Prabhupada/01_-_Lectures/01_-_English/01_-_Topic_wise/Room_Conversation/SP_Room_Conversation_Paris_1973-08-13_About_Guru_Maharaji--What_to_Do--etc.mp3" TargetMode="External"/><Relationship Id="rId1380" Type="http://schemas.openxmlformats.org/officeDocument/2006/relationships/hyperlink" Target="https://audio.iskcondesiretree.com/01_-_Srila_Prabhupada/01_-_Lectures/01_-_English/01_-_Topic_wise/Srimad_Bhagavatam/Canto-01/SP_SB_1-15-22_Los_Angeles_1973-12-02_Intoxication_on_Top_of_Intoxication.mp3" TargetMode="External"/><Relationship Id="rId2017" Type="http://schemas.openxmlformats.org/officeDocument/2006/relationships/hyperlink" Target="https://audio.iskcondesiretree.com/01_-_Srila_Prabhupada/01_-_Lectures/01_-_English/01_-_Topic_wise/Srimad_Bhagavatam/Canto-01/SP_SB_1-07-06_Geneva_1974-05-31_All_Problems_Are_Illusion.mp3" TargetMode="External"/><Relationship Id="rId2224" Type="http://schemas.openxmlformats.org/officeDocument/2006/relationships/hyperlink" Target="https://audio.iskcondesiretree.com/01_-_Srila_Prabhupada/01_-_Lectures/01_-_English/01_-_Topic_wise/Bhagavad_Gita/Chapter-09/SP_BG_09-01-02_Melbourne_1974-06-30.mp3" TargetMode="External"/><Relationship Id="rId3622" Type="http://schemas.openxmlformats.org/officeDocument/2006/relationships/hyperlink" Target="https://audio.iskcondesiretree.com/01_-_Srila_Prabhupada/01_-_Lectures/01_-_English/01_-_Topic_wise/Various/SP_Lecture_New_Orleans_1975-08-01_Walk_Around_Farm.MP3" TargetMode="External"/><Relationship Id="rId5587" Type="http://schemas.openxmlformats.org/officeDocument/2006/relationships/hyperlink" Target="https://audio.iskcondesiretree.com/01_-_Srila_Prabhupada/01_-_Lectures/01_-_English/02_-_Month_wise/01_-_January/09/RC_BOM_1977-01-09_Yogi-Accept_No_Fakirs%2C_No_Substitutes.mp3" TargetMode="External"/><Relationship Id="rId403" Type="http://schemas.openxmlformats.org/officeDocument/2006/relationships/hyperlink" Target="https://audio.iskcondesiretree.com/01_-_Srila_Prabhupada/01_-_Lectures/01_-_English/01_-_Topic_wise/Room_Conversation/SP_Room_Conversation_Boston_1969-04-29_Hippies_Mayapur_Be_Sinners_But_We_Raise_Them.mp3" TargetMode="External"/><Relationship Id="rId750" Type="http://schemas.openxmlformats.org/officeDocument/2006/relationships/hyperlink" Target="https://audio.iskcondesiretree.com/01_-_Srila_Prabhupada/01_-_Lectures/01_-_English/02_-_Month_wise/10_-_October/27/NOD_Lect_VRN_1972-10-27_From_Low-Grade_Society_to_the_etc.mp3" TargetMode="External"/><Relationship Id="rId1033" Type="http://schemas.openxmlformats.org/officeDocument/2006/relationships/hyperlink" Target="https://audio.iskcondesiretree.com/01_-_Srila_Prabhupada/01_-_Lectures/01_-_English/01_-_Topic_wise/Srimad_Bhagavatam/Canto-01/SP_SB_1-10-02_Mayapur_1973-06-17_Seeing_That_Krishna_Is_Satisfied.mp3" TargetMode="External"/><Relationship Id="rId2431" Type="http://schemas.openxmlformats.org/officeDocument/2006/relationships/hyperlink" Target="https://audio.iskcondesiretree.com/01_-_Srila_Prabhupada/01_-_Lectures/01_-_English/02_-_Month_wise/10_-_October/11/SB_1-08-31_MAY_1974-10-11_A_Devotee_Likes_to_Be_etc.mp3" TargetMode="External"/><Relationship Id="rId4189" Type="http://schemas.openxmlformats.org/officeDocument/2006/relationships/hyperlink" Target="https://audio.iskcondesiretree.com/01_-_Srila_Prabhupada/01_-_Lectures/01_-_English/02_-_Month_wise/01_-_January/16/RC_MAY_1976-01-16_Science-Dogmatic_Foolishness.mp3" TargetMode="External"/><Relationship Id="rId5794" Type="http://schemas.openxmlformats.org/officeDocument/2006/relationships/hyperlink" Target="https://audio.iskcondesiretree.com/01_-_Srila_Prabhupada/01_-_Lectures/01_-_English/02_-_Month_wise/04_-_April/05/Interview_1977-04-05_IV-BOMBAY.MP3" TargetMode="External"/><Relationship Id="rId610" Type="http://schemas.openxmlformats.org/officeDocument/2006/relationships/hyperlink" Target="https://audio.iskcondesiretree.com/01_-_Srila_Prabhupada/01_-_Lectures/01_-_English/01_-_Topic_wise/Srimad_Bhagavatam/Canto-02/SP_SB_2-03-21_Los_Angeles_1972-06-18_Lifting_the_Burden_from_Society.mp3" TargetMode="External"/><Relationship Id="rId1240" Type="http://schemas.openxmlformats.org/officeDocument/2006/relationships/hyperlink" Target="https://audio.iskcondesiretree.com/01_-_Srila_Prabhupada/01_-_Lectures/01_-_English/02_-_Month_wise/09_-_September/01/Bg_02-31_LON_1973-09-01_Duties_of_the_Body_and_Soul.mp3" TargetMode="External"/><Relationship Id="rId4049" Type="http://schemas.openxmlformats.org/officeDocument/2006/relationships/hyperlink" Target="https://audio.iskcondesiretree.com/01_-_Srila_Prabhupada/01_-_Lectures/01_-_English/02_-_Month_wise/12_-_December/04/MW_VRN_1975-12-04_Want_to_Imitate_Rama.mp3" TargetMode="External"/><Relationship Id="rId4396" Type="http://schemas.openxmlformats.org/officeDocument/2006/relationships/hyperlink" Target="https://audio.iskcondesiretree.com/01_-_Srila_Prabhupada/01_-_Lectures/01_-_English/02_-_Month_wise/03_-_March/22/SB_7-09-42_MAY_1976-03-22_Impossible_to_Be_Independent.mp3" TargetMode="External"/><Relationship Id="rId5447" Type="http://schemas.openxmlformats.org/officeDocument/2006/relationships/hyperlink" Target="https://audio.iskcondesiretree.com/01_-_Srila_Prabhupada/01_-_Lectures/01_-_English/02_-_Month_wise/11_-_November/22/SB-05-05-35_1976-11-22_SB-VRNDAVAN.MP3" TargetMode="External"/><Relationship Id="rId5654" Type="http://schemas.openxmlformats.org/officeDocument/2006/relationships/hyperlink" Target="https://audio.iskcondesiretree.com/01_-_Srila_Prabhupada/01_-_Lectures/01_-_English/02_-_Month_wise/01_-_January/30/Walk_1977-01-30_MW-BHUBANESWAR.MP3" TargetMode="External"/><Relationship Id="rId5861" Type="http://schemas.openxmlformats.org/officeDocument/2006/relationships/hyperlink" Target="https://audio.iskcondesiretree.com/01_-_Srila_Prabhupada/01_-_Lectures/01_-_English/02_-_Month_wise/05_-_May/24/Conv_1977-05-24_R3-VRNDAVAN.MP3" TargetMode="External"/><Relationship Id="rId1100" Type="http://schemas.openxmlformats.org/officeDocument/2006/relationships/hyperlink" Target="https://audio.iskcondesiretree.com/01_-_Srila_Prabhupada/01_-_Lectures/01_-_English/01_-_Topic_wise/Bhagavad_Gita/Chapter-01/SP_BG_01-24_London_1973-07-20_If_You_Stay_with--etc.mp3" TargetMode="External"/><Relationship Id="rId4256" Type="http://schemas.openxmlformats.org/officeDocument/2006/relationships/hyperlink" Target="https://audio.iskcondesiretree.com/01_-_Srila_Prabhupada/01_-_Lectures/01_-_English/02_-_Month_wise/02_-_Feburary/20/SB-07-09-13_1976-02-20_SB-MAYAPUR.MP3" TargetMode="External"/><Relationship Id="rId4463" Type="http://schemas.openxmlformats.org/officeDocument/2006/relationships/hyperlink" Target="https://audio.iskcondesiretree.com/01_-_Srila_Prabhupada/01_-_Lectures/01_-_English/02_-_Month_wise/04_-_April/12/SB-07-12-01_1976-04-12_SB-BOMBAY.MP3" TargetMode="External"/><Relationship Id="rId4670" Type="http://schemas.openxmlformats.org/officeDocument/2006/relationships/hyperlink" Target="https://audio.iskcondesiretree.com/01_-_Srila_Prabhupada/01_-_Lectures/01_-_English/02_-_Month_wise/05_-_May/31/Conv_1976-05-31_R1-HONOLULU.MP3" TargetMode="External"/><Relationship Id="rId5307" Type="http://schemas.openxmlformats.org/officeDocument/2006/relationships/hyperlink" Target="https://audio.iskcondesiretree.com/01_-_Srila_Prabhupada/01_-_Lectures/01_-_English/01_-_Topic_wise/Srimad_Bhagavatam/Canto-01/SP_SB_1-07-47_Vrindavan_1976-10-06_A_Devotee%27s_Heart.mp3" TargetMode="External"/><Relationship Id="rId5514" Type="http://schemas.openxmlformats.org/officeDocument/2006/relationships/hyperlink" Target="https://audio.iskcondesiretree.com/01_-_Srila_Prabhupada/01_-_Lectures/01_-_English/02_-_Month_wise/12_-_December/20/Arrival_1976-12-20_AR-BOMBAY.MP3" TargetMode="External"/><Relationship Id="rId5721" Type="http://schemas.openxmlformats.org/officeDocument/2006/relationships/hyperlink" Target="https://audio.iskcondesiretree.com/01_-_Srila_Prabhupada/01_-_Lectures/01_-_English/02_-_Month_wise/02_-_Feburary/19/Conv_1977-02-19_R4-MAYAPUR.MP3" TargetMode="External"/><Relationship Id="rId1917" Type="http://schemas.openxmlformats.org/officeDocument/2006/relationships/hyperlink" Target="https://audio.iskcondesiretree.com/01_-_Srila_Prabhupada/01_-_Lectures/01_-_English/02_-_Month_wise/04_-_April/22/Walk_1974-04-22_MW-HYDERABAD.MP3" TargetMode="External"/><Relationship Id="rId3065" Type="http://schemas.openxmlformats.org/officeDocument/2006/relationships/hyperlink" Target="https://audio.iskcondesiretree.com/01_-_Srila_Prabhupada/01_-_Lectures/01_-_English/01_-_Topic_wise/Chaitanya_Charitamrita/Adi_Lila/SP_CC_A_01-14_Mayapur_1975-04-07_For_Materialists_Stool_Is_Sublime.mp3" TargetMode="External"/><Relationship Id="rId3272" Type="http://schemas.openxmlformats.org/officeDocument/2006/relationships/hyperlink" Target="https://audio.iskcondesiretree.com/01_-_Srila_Prabhupada/01_-_Lectures/01_-_English/01_-_Topic_wise/Morning_Walk/SP_Morning_Walk_-_Honolulu_1975-06-08.MP3" TargetMode="External"/><Relationship Id="rId4116" Type="http://schemas.openxmlformats.org/officeDocument/2006/relationships/hyperlink" Target="https://audio.iskcondesiretree.com/01_-_Srila_Prabhupada/01_-_Lectures/01_-_English/01_-_Topic_wise/Morning_Walk/SP_Morning_Walk_-_Bombay_1975-12-23_Bhakti...Not_Business.mp3" TargetMode="External"/><Relationship Id="rId4323" Type="http://schemas.openxmlformats.org/officeDocument/2006/relationships/hyperlink" Target="https://audio.iskcondesiretree.com/01_-_Srila_Prabhupada/01_-_Lectures/01_-_English/01_-_Topic_wise/Morning_Walk/SP_Morning_Walk_-_Mayapur_1976-03-07_Disciple-Discipline.mp3" TargetMode="External"/><Relationship Id="rId4530" Type="http://schemas.openxmlformats.org/officeDocument/2006/relationships/hyperlink" Target="https://audio.iskcondesiretree.com/01_-_Srila_Prabhupada/01_-_Lectures/01_-_English/01_-_Topic_wise/Morning_Walk/SP_Morning_Walk_-_Melbourne_1976-04-24_Happy_Suffering.mp3" TargetMode="External"/><Relationship Id="rId193" Type="http://schemas.openxmlformats.org/officeDocument/2006/relationships/hyperlink" Target="https://audio.iskcondesiretree.com/01_-_Srila_Prabhupada/01_-_Lectures/01_-_English/01_-_Topic_wise/Chaitanya_Charitamrita/Madhya_Lila/SP_CC_M_20-353_New_York_1966-12-26_Scriptural_Test_for_Avataras.mp3" TargetMode="External"/><Relationship Id="rId2081" Type="http://schemas.openxmlformats.org/officeDocument/2006/relationships/hyperlink" Target="https://audio.iskcondesiretree.com/01_-_Srila_Prabhupada/01_-_Lectures/01_-_English/01_-_Topic_wise/Room_Conversation/SP_Room_Conversation_Paris_1974-06-09_How_to_Experience_the_Supreme.mp3" TargetMode="External"/><Relationship Id="rId3132" Type="http://schemas.openxmlformats.org/officeDocument/2006/relationships/hyperlink" Target="https://audio.iskcondesiretree.com/01_-_Srila_Prabhupada/01_-_Lectures/01_-_English/02_-_Month_wise/04_-_April/20/RC_VRN_1975-04-20_Governor-The_State_Should_Train_Men.mp3" TargetMode="External"/><Relationship Id="rId260" Type="http://schemas.openxmlformats.org/officeDocument/2006/relationships/hyperlink" Target="https://audio.iskcondesiretree.com/01_-_Srila_Prabhupada/01_-_Lectures/01_-_English/01_-_Topic_wise/Bhagavad_Gita/Chapter-07/SP_BG_07-01_San_Francisco_1968-09-10_Yoga--_Our_Confidential--etc.mp3" TargetMode="External"/><Relationship Id="rId5097" Type="http://schemas.openxmlformats.org/officeDocument/2006/relationships/hyperlink" Target="https://audio.iskcondesiretree.com/01_-_Srila_Prabhupada/01_-_Lectures/01_-_English/02_-_Month_wise/08_-_August/12/Conv_1976-08-12_R3-TEHRAN.MP3" TargetMode="External"/><Relationship Id="rId6148" Type="http://schemas.openxmlformats.org/officeDocument/2006/relationships/hyperlink" Target="https://audio.iskcondesiretree.com/01_-_Srila_Prabhupada/01_-_Lectures/01_-_English/01_-_Topic_wise/Stories/SP_Story_24_Jayan_and_a_looks_like_Sri_Caitanya_Mahaprabhu.mp3" TargetMode="External"/><Relationship Id="rId120" Type="http://schemas.openxmlformats.org/officeDocument/2006/relationships/hyperlink" Target="https://audio.iskcondesiretree.com/01_-_Srila_Prabhupada/01_-_Lectures/01_-_English/01_-_Topic_wise/Bhagavad_Gita/Chapter-09/SP_BG_09-04-07_New_York_1966-11-24_Krishna_Is_Everywhere_and--etc.mp3" TargetMode="External"/><Relationship Id="rId2898" Type="http://schemas.openxmlformats.org/officeDocument/2006/relationships/hyperlink" Target="https://audio.iskcondesiretree.com/01_-_Srila_Prabhupada/01_-_Lectures/01_-_English/01_-_Topic_wise/Arrival_Address/SP_Arrival_Dallas_1975-03-03_Education_Means_Krishna_Consciousness.mp3" TargetMode="External"/><Relationship Id="rId3949" Type="http://schemas.openxmlformats.org/officeDocument/2006/relationships/hyperlink" Target="https://audio.iskcondesiretree.com/01_-_Srila_Prabhupada/01_-_Lectures/01_-_English/02_-_Month_wise/11_-_November/01/RC_NAI_1975-11-01_Lord%27s_Gigantic_Body.mp3" TargetMode="External"/><Relationship Id="rId5164" Type="http://schemas.openxmlformats.org/officeDocument/2006/relationships/hyperlink" Target="https://audio.iskcondesiretree.com/01_-_Srila_Prabhupada/01_-_Lectures/01_-_English/02_-_Month_wise/08_-_August/25/Conv_1976-08-25_R1-HYDERABAD.MP3" TargetMode="External"/><Relationship Id="rId6008" Type="http://schemas.openxmlformats.org/officeDocument/2006/relationships/hyperlink" Target="https://audio.iskcondesiretree.com/01_-_Srila_Prabhupada/01_-_Lectures/01_-_English/02_-_Month_wise/11_-_November/07/Conv_1977-11-07_R4-VRNDAVAN.MP3" TargetMode="External"/><Relationship Id="rId2758" Type="http://schemas.openxmlformats.org/officeDocument/2006/relationships/hyperlink" Target="https://audio.iskcondesiretree.com/01_-_Srila_Prabhupada/01_-_Lectures/01_-_English/01_-_Topic_wise/Bhagavad_Gita/Chapter-16/SP_BG_16-08_Hawaii_1975-02-04_Who_Is_Demon_and_Who_Is_Divine.mp3" TargetMode="External"/><Relationship Id="rId2965" Type="http://schemas.openxmlformats.org/officeDocument/2006/relationships/hyperlink" Target="https://audio.iskcondesiretree.com/01_-_Srila_Prabhupada/01_-_Lectures/01_-_English/02_-_Month_wise/03_-_March/14/Walk_1975-03-14_MW-TEHRAN.MP3" TargetMode="External"/><Relationship Id="rId3809" Type="http://schemas.openxmlformats.org/officeDocument/2006/relationships/hyperlink" Target="https://audio.iskcondesiretree.com/01_-_Srila_Prabhupada/01_-_Lectures/01_-_English/01_-_Topic_wise/Morning_Walk/SP_Morning_Walk_-_Mauritius_1975-10-03_The_Great_Ones-All_Rascals.mp3" TargetMode="External"/><Relationship Id="rId5024" Type="http://schemas.openxmlformats.org/officeDocument/2006/relationships/hyperlink" Target="https://audio.iskcondesiretree.com/01_-_Srila_Prabhupada/01_-_Lectures/01_-_English/01_-_Topic_wise/Room_Conversation/SP_Room_Conversation_London_1976-07-27_A_Wrong_Civilization.mp3" TargetMode="External"/><Relationship Id="rId5371" Type="http://schemas.openxmlformats.org/officeDocument/2006/relationships/hyperlink" Target="https://audio.iskcondesiretree.com/01_-_Srila_Prabhupada/01_-_Lectures/01_-_English/02_-_Month_wise/11_-_November/03/Conv_1976-11-03_R1-VRNDAVAN.MP3" TargetMode="External"/><Relationship Id="rId937" Type="http://schemas.openxmlformats.org/officeDocument/2006/relationships/hyperlink" Target="https://audio.iskcondesiretree.com/01_-_Srila_Prabhupada/01_-_Lectures/01_-_English/01_-_Topic_wise/Srimad_Bhagavatam/Canto-01/SP_SB_1-08-20_New_York_1973-04-12_Queen_Kunti%27s_Humility.mp3" TargetMode="External"/><Relationship Id="rId1567" Type="http://schemas.openxmlformats.org/officeDocument/2006/relationships/hyperlink" Target="https://audio.iskcondesiretree.com/01_-_Srila_Prabhupada/01_-_Lectures/01_-_English/02_-_Month_wise/01_-_January/23/SB_1-16-26_HAW_1974-01-23_How_Can_I_Be_God.mp3" TargetMode="External"/><Relationship Id="rId1774" Type="http://schemas.openxmlformats.org/officeDocument/2006/relationships/hyperlink" Target="https://audio.iskcondesiretree.com/01_-_Srila_Prabhupada/01_-_Lectures/01_-_English/02_-_Month_wise/03_-_March/28/Bg-04-08_1974-03-28_BG-BOMBAY.MP3" TargetMode="External"/><Relationship Id="rId1981" Type="http://schemas.openxmlformats.org/officeDocument/2006/relationships/hyperlink" Target="https://audio.iskcondesiretree.com/01_-_Srila_Prabhupada/01_-_Lectures/01_-_English/02_-_Month_wise/05_-_May/24/RC_ROM_1974-05-24_The_Head_of_the_Social_Body_Must_be_Clean.mp3" TargetMode="External"/><Relationship Id="rId2618" Type="http://schemas.openxmlformats.org/officeDocument/2006/relationships/hyperlink" Target="https://audio.iskcondesiretree.com/01_-_Srila_Prabhupada/01_-_Lectures/01_-_English/01_-_Topic_wise/Srimad_Bhagavatam/Canto-03/SP_SB_3-26-05_Bombay_1974-12-17_Crazy_Fellows_and_Colorful_Life.mp3" TargetMode="External"/><Relationship Id="rId2825" Type="http://schemas.openxmlformats.org/officeDocument/2006/relationships/hyperlink" Target="https://audio.iskcondesiretree.com/01_-_Srila_Prabhupada/01_-_Lectures/01_-_English/01_-_Topic_wise/Morning_Walk/SP_Morning_Walk_-_Caracas_1975-02-21_Philosophy_Is_Philosophy.mp3" TargetMode="External"/><Relationship Id="rId4180" Type="http://schemas.openxmlformats.org/officeDocument/2006/relationships/hyperlink" Target="https://audio.iskcondesiretree.com/01_-_Srila_Prabhupada/01_-_Lectures/01_-_English/02_-_Month_wise/01_-_January/12/Walk_1976-01-12_MW-BOMBAY.MP3" TargetMode="External"/><Relationship Id="rId5231" Type="http://schemas.openxmlformats.org/officeDocument/2006/relationships/hyperlink" Target="https://audio.iskcondesiretree.com/01_-_Srila_Prabhupada/01_-_Lectures/01_-_English/02_-_Month_wise/09_-_September/15/SB-01-07-18_1976-09-15_SB-VRNDAVAN.MP3" TargetMode="External"/><Relationship Id="rId66" Type="http://schemas.openxmlformats.org/officeDocument/2006/relationships/hyperlink" Target="https://audio.iskcondesiretree.com/01_-_Srila_Prabhupada/01_-_Lectures/01_-_English/01_-_Topic_wise/Bhagavad_Gita/Chapter-05/SP_BG_05-07-14_New_York_1966-08-27_Krsna_and_We-Very_Intimately_Connected.mp3" TargetMode="External"/><Relationship Id="rId1427" Type="http://schemas.openxmlformats.org/officeDocument/2006/relationships/hyperlink" Target="https://audio.iskcondesiretree.com/01_-_Srila_Prabhupada/01_-_Lectures/01_-_English/02_-_Month_wise/12_-_December/14/MW_LA_1973-12-14_Demons_Elected_by_Demons.mp3" TargetMode="External"/><Relationship Id="rId1634" Type="http://schemas.openxmlformats.org/officeDocument/2006/relationships/hyperlink" Target="https://audio.iskcondesiretree.com/01_-_Srila_Prabhupada/01_-_Lectures/01_-_English/01_-_Topic_wise/Room_Conversation/SP_Room_Conversation_01_Vrindavan_1974-02-21.mp3" TargetMode="External"/><Relationship Id="rId1841" Type="http://schemas.openxmlformats.org/officeDocument/2006/relationships/hyperlink" Target="https://audio.iskcondesiretree.com/01_-_Srila_Prabhupada/01_-_Lectures/01_-_English/01_-_Topic_wise/Morning_Walk/SP_Morning_Walk_-_Bombay_1974-04-08_All_Philosophies_Are_Mayavadi.mp3" TargetMode="External"/><Relationship Id="rId4040" Type="http://schemas.openxmlformats.org/officeDocument/2006/relationships/hyperlink" Target="https://audio.iskcondesiretree.com/01_-_Srila_Prabhupada/01_-_Lectures/01_-_English/02_-_Month_wise/12_-_December/02/SB_7-06-01_VRN_1975-12-02_Here_Is_God-Krishna-Take_It.mp3" TargetMode="External"/><Relationship Id="rId4997" Type="http://schemas.openxmlformats.org/officeDocument/2006/relationships/hyperlink" Target="https://audio.iskcondesiretree.com/01_-_Srila_Prabhupada/01_-_Lectures/01_-_English/02_-_Month_wise/07_-_July/18/RathaYatra_1976-07-18_RY-NEW%20YORK.MP3" TargetMode="External"/><Relationship Id="rId3599" Type="http://schemas.openxmlformats.org/officeDocument/2006/relationships/hyperlink" Target="https://audio.iskcondesiretree.com/01_-_Srila_Prabhupada/01_-_Lectures/01_-_English/02_-_Month_wise/07_-_July/27/SB_6-01-46_SD_1975-07-27_Transcending_All_Misery.mp3" TargetMode="External"/><Relationship Id="rId4857" Type="http://schemas.openxmlformats.org/officeDocument/2006/relationships/hyperlink" Target="https://audio.iskcondesiretree.com/01_-_Srila_Prabhupada/01_-_Lectures/01_-_English/01_-_Topic_wise/Srimad_Bhagavatam/Canto-07/SP_SB_7-06-15_New_Vrindavan_1976-06-29_The_Problem_of_Family_and_Belly.mp3" TargetMode="External"/><Relationship Id="rId1701" Type="http://schemas.openxmlformats.org/officeDocument/2006/relationships/hyperlink" Target="https://audio.iskcondesiretree.com/01_-_Srila_Prabhupada/01_-_Lectures/01_-_English/02_-_Month_wise/03_-_March/13/CcAdi-07-091%E2%80%93092_1974-03-13_CC-VRNDAVAN.MP3" TargetMode="External"/><Relationship Id="rId3459" Type="http://schemas.openxmlformats.org/officeDocument/2006/relationships/hyperlink" Target="https://audio.iskcondesiretree.com/01_-_Srila_Prabhupada/01_-_Lectures/01_-_English/01_-_Topic_wise/Morning_Walk/SP_Morning_Walk_-_Chicago_1975-07-08_How_Blind_People_Are%21.mp3" TargetMode="External"/><Relationship Id="rId3666" Type="http://schemas.openxmlformats.org/officeDocument/2006/relationships/hyperlink" Target="https://audio.iskcondesiretree.com/01_-_Srila_Prabhupada/01_-_Lectures/01_-_English/01_-_Topic_wise/Srimad_Bhagavatam/Canto-06/SP_SB_6-01-55_London_1975-08-13_Be_a_Helper-Not_the_Whole_Show.mp3" TargetMode="External"/><Relationship Id="rId5908" Type="http://schemas.openxmlformats.org/officeDocument/2006/relationships/hyperlink" Target="https://audio.iskcondesiretree.com/01_-_Srila_Prabhupada/01_-_Lectures/01_-_English/02_-_Month_wise/07_-_July/07/Conv_1977-07-07_R1-VRNDAVAN.MP3" TargetMode="External"/><Relationship Id="rId6072" Type="http://schemas.openxmlformats.org/officeDocument/2006/relationships/hyperlink" Target="https://audio.iskcondesiretree.com/01_-_Srila_Prabhupada/01_-_Lectures/01_-_English/01_-_Topic_wise/Krishna_Book/SP_Krsna_Book_Dict_24_-_Worshiping_Govardhana_Hill.mp3" TargetMode="External"/><Relationship Id="rId587" Type="http://schemas.openxmlformats.org/officeDocument/2006/relationships/hyperlink" Target="https://audio.iskcondesiretree.com/01_-_Srila_Prabhupada/01_-_Lectures/01_-_English/01_-_Topic_wise/Srimad_Bhagavatam/Canto-02/SP_SB_2-03-10_Los_Angeles_1972-05-28_Only_a_Devotee_of_Krishna--etc.mp3" TargetMode="External"/><Relationship Id="rId2268" Type="http://schemas.openxmlformats.org/officeDocument/2006/relationships/hyperlink" Target="https://audio.iskcondesiretree.com/01_-_Srila_Prabhupada/01_-_Lectures/01_-_English/01_-_Topic_wise/Srimad_Bhagavatam/Canto-01/SP_SB_1-16-22_Los_Angeles_1974-07-12_Scientists_Philosophers--etc.mp3" TargetMode="External"/><Relationship Id="rId3319" Type="http://schemas.openxmlformats.org/officeDocument/2006/relationships/hyperlink" Target="https://audio.iskcondesiretree.com/01_-_Srila_Prabhupada/01_-_Lectures/01_-_English/01_-_Topic_wise/Room_Conversation/SP_Room_Converstion_01_Honolulu_1975-06-18.MP3" TargetMode="External"/><Relationship Id="rId3873" Type="http://schemas.openxmlformats.org/officeDocument/2006/relationships/hyperlink" Target="https://audio.iskcondesiretree.com/01_-_Srila_Prabhupada/01_-_Lectures/01_-_English/02_-_Month_wise/10_-_October/15/Conv_1975-10-15_R1-JOHANNESBURG.MP3" TargetMode="External"/><Relationship Id="rId4717" Type="http://schemas.openxmlformats.org/officeDocument/2006/relationships/hyperlink" Target="https://audio.iskcondesiretree.com/01_-_Srila_Prabhupada/01_-_Lectures/01_-_English/02_-_Month_wise/06_-_June/09/Conv_1976-06-09_R1-LOS%20ANGELES.MP3" TargetMode="External"/><Relationship Id="rId4924" Type="http://schemas.openxmlformats.org/officeDocument/2006/relationships/hyperlink" Target="https://audio.iskcondesiretree.com/01_-_Srila_Prabhupada/01_-_Lectures/01_-_English/02_-_Month_wise/07_-_July/07/RC_WDC_1976-07-07_Prof--Rascals_Know_Everything_Except_God.mp3" TargetMode="External"/><Relationship Id="rId447" Type="http://schemas.openxmlformats.org/officeDocument/2006/relationships/hyperlink" Target="https://audio.iskcondesiretree.com/01_-_Srila_Prabhupada/01_-_Lectures/01_-_English/02_-_Month_wise/06_-_June/13/SB_1-05-13_NV_1969-06-13_Wonderful_Cure_for_Illusion.mp3" TargetMode="External"/><Relationship Id="rId794" Type="http://schemas.openxmlformats.org/officeDocument/2006/relationships/hyperlink" Target="https://audio.iskcondesiretree.com/01_-_Srila_Prabhupada/01_-_Lectures/01_-_English/02_-_Month_wise/11_-_November/07/NOD_11_VRN_1972-11-07_The_Complete_Science_of_Bhakti-Yoga.mp3" TargetMode="External"/><Relationship Id="rId1077" Type="http://schemas.openxmlformats.org/officeDocument/2006/relationships/hyperlink" Target="https://audio.iskcondesiretree.com/01_-_Srila_Prabhupada/01_-_Lectures/01_-_English/02_-_Month_wise/07_-_July/11/RC_LON_1973-07-11_Educationists-The_Greatest_Gain.mp3" TargetMode="External"/><Relationship Id="rId2128" Type="http://schemas.openxmlformats.org/officeDocument/2006/relationships/hyperlink" Target="https://audio.iskcondesiretree.com/01_-_Srila_Prabhupada/01_-_Lectures/01_-_English/02_-_Month_wise/06_-_June/13/SB_2-01-05_PAR_1974-06-13_Hear%2C_Chant_and_Be_Fearless.mp3" TargetMode="External"/><Relationship Id="rId2475" Type="http://schemas.openxmlformats.org/officeDocument/2006/relationships/hyperlink" Target="https://audio.iskcondesiretree.com/01_-_Srila_Prabhupada/01_-_Lectures/01_-_English/02_-_Month_wise/10_-_October/27/SB_1-08-47_MAY_1974-10-27_Material_Affection_Has_No_Meaning.mp3" TargetMode="External"/><Relationship Id="rId2682" Type="http://schemas.openxmlformats.org/officeDocument/2006/relationships/hyperlink" Target="https://audio.iskcondesiretree.com/01_-_Srila_Prabhupada/01_-_Lectures/01_-_English/02_-_Month_wise/01_-_January/07/SB_3-26-30_BOM_1975-01-07_We_Should_Have_Firm_Faith.mp3" TargetMode="External"/><Relationship Id="rId3526" Type="http://schemas.openxmlformats.org/officeDocument/2006/relationships/hyperlink" Target="https://audio.iskcondesiretree.com/01_-_Srila_Prabhupada/01_-_Lectures/01_-_English/02_-_Month_wise/07_-_July/14/SB-06-01-30_1975-07-14_SB-PHILADELPHIA.MP3" TargetMode="External"/><Relationship Id="rId3733" Type="http://schemas.openxmlformats.org/officeDocument/2006/relationships/hyperlink" Target="https://audio.iskcondesiretree.com/01_-_Srila_Prabhupada/01_-_Lectures/01_-_English/02_-_Month_wise/09_-_September/06/Walk_1975-09-06_MW-VRNDAVAN.MP3" TargetMode="External"/><Relationship Id="rId3940" Type="http://schemas.openxmlformats.org/officeDocument/2006/relationships/hyperlink" Target="https://audio.iskcondesiretree.com/01_-_Srila_Prabhupada/01_-_Lectures/01_-_English/02_-_Month_wise/10_-_October/30/SB_3-28-20_NAI_1975-10-30_A_Most_Moving_Statue.mp3" TargetMode="External"/><Relationship Id="rId654" Type="http://schemas.openxmlformats.org/officeDocument/2006/relationships/hyperlink" Target="https://audio.iskcondesiretree.com/01_-_Srila_Prabhupada/01_-_Lectures/01_-_English/01_-_Topic_wise/Srimad_Bhagavatam/Canto-01/SP_SB_1-02-19_Los_Angeles_1972-08-22_The_Bhakti_Lift_to_Love_and--etc.mp3" TargetMode="External"/><Relationship Id="rId861" Type="http://schemas.openxmlformats.org/officeDocument/2006/relationships/hyperlink" Target="https://audio.iskcondesiretree.com/01_-_Srila_Prabhupada/01_-_Lectures/01_-_English/02_-_Month_wise/12_-_December/10/Bg_18-67_AHM_1972-12-10_Human_Form_of_Life_Is_for.mp3" TargetMode="External"/><Relationship Id="rId1284" Type="http://schemas.openxmlformats.org/officeDocument/2006/relationships/hyperlink" Target="https://audio.iskcondesiretree.com/01_-_Srila_Prabhupada/01_-_Lectures/01_-_English/01_-_Topic_wise/Bhagavad_Gita/Chapter-13/SP_BG_13-01_Bombay_1973-09-24_Material_Happiness_Is_Not_All.mp3" TargetMode="External"/><Relationship Id="rId1491" Type="http://schemas.openxmlformats.org/officeDocument/2006/relationships/hyperlink" Target="https://audio.iskcondesiretree.com/01_-_Srila_Prabhupada/01_-_Lectures/01_-_English/01_-_Topic_wise/Srimad_Bhagavatam/Canto-01/SP_SB_1-16-10_Los_Angeles_1974-01-07_Pariksit%27s_Answer_to_Kali.mp3" TargetMode="External"/><Relationship Id="rId2335" Type="http://schemas.openxmlformats.org/officeDocument/2006/relationships/hyperlink" Target="https://audio.iskcondesiretree.com/01_-_Srila_Prabhupada/01_-_Lectures/01_-_English/01_-_Topic_wise/Srimad_Bhagavatam/Canto-01/SP_SB_1-05-29_Vrindavan_1974-08-10_Here_is_a_Disciple_of_Kali.mp3" TargetMode="External"/><Relationship Id="rId2542" Type="http://schemas.openxmlformats.org/officeDocument/2006/relationships/hyperlink" Target="https://audio.iskcondesiretree.com/01_-_Srila_Prabhupada/01_-_Lectures/01_-_English/01_-_Topic_wise/Srimad_Bhagavatam/Canto-03/SP_SB_3-25-22_Bombay_1974-11-22_The_Only_Rescu.mp3" TargetMode="External"/><Relationship Id="rId3800" Type="http://schemas.openxmlformats.org/officeDocument/2006/relationships/hyperlink" Target="https://audio.iskcondesiretree.com/01_-_Srila_Prabhupada/01_-_Lectures/01_-_English/02_-_Month_wise/10_-_October/01/Arrival_1975-10-01_AR-MAURITIUS.MP3" TargetMode="External"/><Relationship Id="rId5698" Type="http://schemas.openxmlformats.org/officeDocument/2006/relationships/hyperlink" Target="https://audio.iskcondesiretree.com/01_-_Srila_Prabhupada/01_-_Lectures/01_-_English/02_-_Month_wise/02_-_Feburary/12/SB_7-09-02_BHU_1977-02-12_Lakshmi_and_Narayan.mp3" TargetMode="External"/><Relationship Id="rId307" Type="http://schemas.openxmlformats.org/officeDocument/2006/relationships/hyperlink" Target="https://audio.iskcondesiretree.com/01_-_Srila_Prabhupada/01_-_Lectures/01_-_English/02_-_Month_wise/12_-_December/01/Lect_LA_1968-12-01_Initiation-The_Path_of_Purification.mp3" TargetMode="External"/><Relationship Id="rId514" Type="http://schemas.openxmlformats.org/officeDocument/2006/relationships/hyperlink" Target="https://audio.iskcondesiretree.com/01_-_Srila_Prabhupada/01_-_Lectures/01_-_English/01_-_Topic_wise/Nectar_Of_Devotion/SP_NOD_Los_Angles_1970-06-23_-_We_Don%27t_Want_Petty_Gods.mp3" TargetMode="External"/><Relationship Id="rId721" Type="http://schemas.openxmlformats.org/officeDocument/2006/relationships/hyperlink" Target="https://audio.iskcondesiretree.com/01_-_Srila_Prabhupada/01_-_Lectures/01_-_English/02_-_Month_wise/10_-_October/04/SB_1-03-29_LA_1972-10-04_God_Is_Everywhere.mp3" TargetMode="External"/><Relationship Id="rId1144" Type="http://schemas.openxmlformats.org/officeDocument/2006/relationships/hyperlink" Target="https://audio.iskcondesiretree.com/01_-_Srila_Prabhupada/01_-_Lectures/01_-_English/01_-_Topic_wise/Bhagavad_Gita/Chapter-02/SP_BG_02-04-05_London_1973-08-05_When_to_Reject_Guru.mp3" TargetMode="External"/><Relationship Id="rId1351" Type="http://schemas.openxmlformats.org/officeDocument/2006/relationships/hyperlink" Target="https://audio.iskcondesiretree.com/01_-_Srila_Prabhupada/01_-_Lectures/01_-_English/01_-_Topic_wise/Srimad_Bhagavatam/Canto-02/SP_SB_2-01-03_Delhi_1973-11-06_The_Sighted_and_the_Blind.mp3" TargetMode="External"/><Relationship Id="rId2402" Type="http://schemas.openxmlformats.org/officeDocument/2006/relationships/hyperlink" Target="https://audio.iskcondesiretree.com/01_-_Srila_Prabhupada/01_-_Lectures/01_-_English/02_-_Month_wise/09_-_September/30/SB_1-08-20_MAY_1974-09-30_To_Be_Understood_by_Anyone.mp3" TargetMode="External"/><Relationship Id="rId5558" Type="http://schemas.openxmlformats.org/officeDocument/2006/relationships/hyperlink" Target="https://audio.iskcondesiretree.com/01_-_Srila_Prabhupada/01_-_Lectures/01_-_English/02_-_Month_wise/01_-_January/04/MW_BOM_1977-01-04_Can_You_Know_You_Are_Liberated.mp3" TargetMode="External"/><Relationship Id="rId5765" Type="http://schemas.openxmlformats.org/officeDocument/2006/relationships/hyperlink" Target="https://audio.iskcondesiretree.com/01_-_Srila_Prabhupada/01_-_Lectures/01_-_English/02_-_Month_wise/03_-_March/25/SB_5-05-01_BOM_1977-03-25_Don%27t_Live_the_Life_of_a_Hog.mp3" TargetMode="External"/><Relationship Id="rId5972" Type="http://schemas.openxmlformats.org/officeDocument/2006/relationships/hyperlink" Target="https://audio.iskcondesiretree.com/01_-_Srila_Prabhupada/01_-_Lectures/01_-_English/02_-_Month_wise/10_-_October/28/Conv_1977-10-28_R2-VRNDAVAN.MP3" TargetMode="External"/><Relationship Id="rId1004" Type="http://schemas.openxmlformats.org/officeDocument/2006/relationships/hyperlink" Target="https://audio.iskcondesiretree.com/01_-_Srila_Prabhupada/01_-_Lectures/01_-_English/01_-_Topic_wise/Morning_Walk/SP_Morning_Walk_-_Los_Angeles_1973-05-13_Sudras_Hear_from_Scientists.mp3" TargetMode="External"/><Relationship Id="rId1211" Type="http://schemas.openxmlformats.org/officeDocument/2006/relationships/hyperlink" Target="https://audio.iskcondesiretree.com/01_-_Srila_Prabhupada/01_-_Lectures/01_-_English/01_-_Topic_wise/Various/SP_Lecture_London_1973-08-23_What_Is_Religion.mp3" TargetMode="External"/><Relationship Id="rId4367" Type="http://schemas.openxmlformats.org/officeDocument/2006/relationships/hyperlink" Target="https://audio.iskcondesiretree.com/01_-_Srila_Prabhupada/01_-_Lectures/01_-_English/02_-_Month_wise/03_-_March/16/Initiations_1976-03-16_IN-MAYAPUR.MP3" TargetMode="External"/><Relationship Id="rId4574" Type="http://schemas.openxmlformats.org/officeDocument/2006/relationships/hyperlink" Target="https://audio.iskcondesiretree.com/01_-_Srila_Prabhupada/01_-_Lectures/01_-_English/01_-_Topic_wise/Srimad_Bhagavatam/Canto-06/SP_SB_6-01-06_Honolulu_1976-05-07_Saved_from_Severe_Punishment.mp3" TargetMode="External"/><Relationship Id="rId4781" Type="http://schemas.openxmlformats.org/officeDocument/2006/relationships/hyperlink" Target="https://audio.iskcondesiretree.com/01_-_Srila_Prabhupada/01_-_Lectures/01_-_English/02_-_Month_wise/06_-_June/18/SB-07-06-02_1976-06-18_SB-TORONTO.MP3" TargetMode="External"/><Relationship Id="rId5418" Type="http://schemas.openxmlformats.org/officeDocument/2006/relationships/hyperlink" Target="https://audio.iskcondesiretree.com/01_-_Srila_Prabhupada/01_-_Lectures/01_-_English/01_-_Topic_wise/Srimad_Bhagavatam/Canto-05/SP_SB_5-05-27_Vrindavan_1976-11-14_The_Greatest_Bewilderment.mp3" TargetMode="External"/><Relationship Id="rId5625" Type="http://schemas.openxmlformats.org/officeDocument/2006/relationships/hyperlink" Target="https://audio.iskcondesiretree.com/01_-_Srila_Prabhupada/01_-_Lectures/01_-_English/01_-_Topic_wise/Various/SP_Lecture_Bhuvanesvara_1977-01-24_Unfortunates_Not_Attracted_to_the--etc.mp3" TargetMode="External"/><Relationship Id="rId5832" Type="http://schemas.openxmlformats.org/officeDocument/2006/relationships/hyperlink" Target="https://audio.iskcondesiretree.com/01_-_Srila_Prabhupada/01_-_Lectures/01_-_English/02_-_Month_wise/05_-_May/02/Conv_1977-05-02_R1-BOMBAY.MP3" TargetMode="External"/><Relationship Id="rId3176" Type="http://schemas.openxmlformats.org/officeDocument/2006/relationships/hyperlink" Target="https://audio.iskcondesiretree.com/01_-_Srila_Prabhupada/01_-_Lectures/01_-_English/02_-_Month_wise/05_-_May/13/Walk_1975-05-13_MW-PERTH.MP3" TargetMode="External"/><Relationship Id="rId3383" Type="http://schemas.openxmlformats.org/officeDocument/2006/relationships/hyperlink" Target="https://audio.iskcondesiretree.com/01_-_Srila_Prabhupada/01_-_Lectures/01_-_English/01_-_Topic_wise/Morning_Walk/SP_Morning_Walk_-_Atlanta_1975-06-27.MP3" TargetMode="External"/><Relationship Id="rId3590" Type="http://schemas.openxmlformats.org/officeDocument/2006/relationships/hyperlink" Target="https://audio.iskcondesiretree.com/01_-_Srila_Prabhupada/01_-_Lectures/01_-_English/01_-_Topic_wise/Srimad_Bhagavatam/Canto-06/SP_SB_6-01-45_Laguna_Beach_1975-07-26_Why_Not_Eternal_Life.mp3" TargetMode="External"/><Relationship Id="rId4227" Type="http://schemas.openxmlformats.org/officeDocument/2006/relationships/hyperlink" Target="https://audio.iskcondesiretree.com/01_-_Srila_Prabhupada/01_-_Lectures/01_-_English/02_-_Month_wise/02_-_Feburary/10/SB_7-09-03_MAY_1976-02-10_Never_Think_%27I_Have_Become_Big.mp3" TargetMode="External"/><Relationship Id="rId4434" Type="http://schemas.openxmlformats.org/officeDocument/2006/relationships/hyperlink" Target="https://audio.iskcondesiretree.com/01_-_Srila_Prabhupada/01_-_Lectures/01_-_English/02_-_Month_wise/04_-_April/06/Conv%E2%80%93Hindi_1976-04-06_R1-VRNDAVAN.MP3" TargetMode="External"/><Relationship Id="rId2192" Type="http://schemas.openxmlformats.org/officeDocument/2006/relationships/hyperlink" Target="https://audio.iskcondesiretree.com/01_-_Srila_Prabhupada/01_-_Lectures/01_-_English/02_-_Month_wise/06_-_June/25/Bg_13-22_MEL_1974-06-25_Material_Enjoyment-More_Bodies.mp3" TargetMode="External"/><Relationship Id="rId3036" Type="http://schemas.openxmlformats.org/officeDocument/2006/relationships/hyperlink" Target="https://audio.iskcondesiretree.com/01_-_Srila_Prabhupada/01_-_Lectures/01_-_English/01_-_Topic_wise/Chaitanya_Charitamrita/Adi_Lila/SP_CC_A_01-10_Mayapur_1975-04-03_Getting_God_to_Talk_to_You.mp3" TargetMode="External"/><Relationship Id="rId3243" Type="http://schemas.openxmlformats.org/officeDocument/2006/relationships/hyperlink" Target="https://audio.iskcondesiretree.com/01_-_Srila_Prabhupada/01_-_Lectures/01_-_English/01_-_Topic_wise/Various/SP_Lecture_Honolulu_1975-05-25_Become_a_Devotee-God_Will_Take_Special_Care.mp3" TargetMode="External"/><Relationship Id="rId4641" Type="http://schemas.openxmlformats.org/officeDocument/2006/relationships/hyperlink" Target="https://audio.iskcondesiretree.com/01_-_Srila_Prabhupada/01_-_Lectures/01_-_English/02_-_Month_wise/05_-_May/24/Conv_1976-05-24_R1-HONOLULU.MP3" TargetMode="External"/><Relationship Id="rId164" Type="http://schemas.openxmlformats.org/officeDocument/2006/relationships/hyperlink" Target="https://audio.iskcondesiretree.com/01_-_Srila_Prabhupada/01_-_Lectures/01_-_English/01_-_Topic_wise/Chaitanya_Charitamrita/Madhya_Lila/SP_CC_M_20-172_New_York_1966-12-14_Krishna%27s_Original--etc.mp3" TargetMode="External"/><Relationship Id="rId371" Type="http://schemas.openxmlformats.org/officeDocument/2006/relationships/hyperlink" Target="https://audio.iskcondesiretree.com/01_-_Srila_Prabhupada/01_-_Lectures/01_-_English/01_-_Topic_wise/Bhagavad_Gita/Chapter-06/SP_BG_06-06_Los_Angeles_1969-02-15_Yoga_System--Conquering_the_Mind.mp3" TargetMode="External"/><Relationship Id="rId2052" Type="http://schemas.openxmlformats.org/officeDocument/2006/relationships/hyperlink" Target="https://audio.iskcondesiretree.com/01_-_Srila_Prabhupada/01_-_Lectures/01_-_English/02_-_Month_wise/06_-_June/04/SB_1-13-15_GEN_1974-06-04_Why_One_GBC_Became_a_Sudra.mp3" TargetMode="External"/><Relationship Id="rId3450" Type="http://schemas.openxmlformats.org/officeDocument/2006/relationships/hyperlink" Target="https://audio.iskcondesiretree.com/01_-_Srila_Prabhupada/01_-_Lectures/01_-_English/02_-_Month_wise/07_-_July/06/MW_CHI_1975-07-06_These_Demonic_Communists_Should_Be_Finished.mp3" TargetMode="External"/><Relationship Id="rId4501" Type="http://schemas.openxmlformats.org/officeDocument/2006/relationships/hyperlink" Target="https://audio.iskcondesiretree.com/01_-_Srila_Prabhupada/01_-_Lectures/01_-_English/01_-_Topic_wise/Room_Conversation/SP_Room_Conversation_Melbourne_1976-04-20_Who_Is_Within_the_Body.mp3" TargetMode="External"/><Relationship Id="rId3103" Type="http://schemas.openxmlformats.org/officeDocument/2006/relationships/hyperlink" Target="https://audio.iskcondesiretree.com/01_-_Srila_Prabhupada/01_-_Lectures/01_-_English/01_-_Topic_wise/Room_Conversation/SP_Room_Conversation_Hyderabad_1975-04-14_Supreme_Science_Supreme_Music.mp3" TargetMode="External"/><Relationship Id="rId3310" Type="http://schemas.openxmlformats.org/officeDocument/2006/relationships/hyperlink" Target="https://audio.iskcondesiretree.com/01_-_Srila_Prabhupada/01_-_Lectures/01_-_English/02_-_Month_wise/06_-_June/16/Conv_1975-06-16_R4-HONOLULU.MP3" TargetMode="External"/><Relationship Id="rId5068" Type="http://schemas.openxmlformats.org/officeDocument/2006/relationships/hyperlink" Target="https://audio.iskcondesiretree.com/01_-_Srila_Prabhupada/01_-_Lectures/01_-_English/02_-_Month_wise/08_-_August/07/Conv_1976-08-07_R1-TEHRAN.MP3" TargetMode="External"/><Relationship Id="rId231" Type="http://schemas.openxmlformats.org/officeDocument/2006/relationships/hyperlink" Target="https://audio.iskcondesiretree.com/01_-_Srila_Prabhupada/01_-_Lectures/01_-_English/02_-_Month_wise/03_-_March/15/SB_7-06-01_SF_1968-03-15_A_Way_to_Spend_Your_Time.mp3" TargetMode="External"/><Relationship Id="rId2869" Type="http://schemas.openxmlformats.org/officeDocument/2006/relationships/hyperlink" Target="https://audio.iskcondesiretree.com/01_-_Srila_Prabhupada/01_-_Lectures/01_-_English/02_-_Month_wise/02_-_Feburary/28/PurportParamaKoruna_1975-02-28_PU-ATLANTA.MP3" TargetMode="External"/><Relationship Id="rId5275" Type="http://schemas.openxmlformats.org/officeDocument/2006/relationships/hyperlink" Target="https://audio.iskcondesiretree.com/01_-_Srila_Prabhupada/01_-_Lectures/01_-_English/01_-_Topic_wise/Room_Conversation/SP_Room_Conversation_Vrindavan_1976-09-29_Doctor_-_Fact_Faith_Foolishness.mp3" TargetMode="External"/><Relationship Id="rId5482" Type="http://schemas.openxmlformats.org/officeDocument/2006/relationships/hyperlink" Target="https://audio.iskcondesiretree.com/01_-_Srila_Prabhupada/01_-_Lectures/01_-_English/01_-_Topic_wise/Room_Conversation/SP_Room_Conversation_Hyderabad_1976-12-10_Scientists_Etiquette_Don%27t_Talk_of_God.mp3" TargetMode="External"/><Relationship Id="rId6119" Type="http://schemas.openxmlformats.org/officeDocument/2006/relationships/hyperlink" Target="https://audio.iskcondesiretree.com/01_-_Srila_Prabhupada/01_-_Lectures/01_-_English/01_-_Topic_wise/Krishna_Book/SP_Krsna_Book_Dict_85_-_Instructions_For_Vasudeva.mp3" TargetMode="External"/><Relationship Id="rId1678" Type="http://schemas.openxmlformats.org/officeDocument/2006/relationships/hyperlink" Target="https://audio.iskcondesiretree.com/01_-_Srila_Prabhupada/01_-_Lectures/01_-_English/02_-_Month_wise/03_-_March/04/Walk_1974-03-04_MW-MAYAPUR.MP3" TargetMode="External"/><Relationship Id="rId1885" Type="http://schemas.openxmlformats.org/officeDocument/2006/relationships/hyperlink" Target="https://audio.iskcondesiretree.com/01_-_Srila_Prabhupada/01_-_Lectures/01_-_English/02_-_Month_wise/04_-_April/17/Bg_04-28_BOM_1974-04-17_The_Magic_of_Krsna_Consciousness.mp3" TargetMode="External"/><Relationship Id="rId2729" Type="http://schemas.openxmlformats.org/officeDocument/2006/relationships/hyperlink" Target="https://audio.iskcondesiretree.com/01_-_Srila_Prabhupada/01_-_Lectures/01_-_English/02_-_Month_wise/01_-_January/26/Darshan_1975-01-26_CD-HONG%20KONG.MP3" TargetMode="External"/><Relationship Id="rId2936" Type="http://schemas.openxmlformats.org/officeDocument/2006/relationships/hyperlink" Target="https://audio.iskcondesiretree.com/01_-_Srila_Prabhupada/01_-_Lectures/01_-_English/02_-_Month_wise/03_-_March/10/Bg_07-02_LON_1975-03-10_Mad_After_the_Disease.mp3" TargetMode="External"/><Relationship Id="rId4084" Type="http://schemas.openxmlformats.org/officeDocument/2006/relationships/hyperlink" Target="https://audio.iskcondesiretree.com/01_-_Srila_Prabhupada/01_-_Lectures/01_-_English/02_-_Month_wise/12_-_December/12/MW_VRN_1975-12-12_Our_Gross_and_Subtle_Toys.mp3" TargetMode="External"/><Relationship Id="rId4291" Type="http://schemas.openxmlformats.org/officeDocument/2006/relationships/hyperlink" Target="https://audio.iskcondesiretree.com/01_-_Srila_Prabhupada/01_-_Lectures/01_-_English/02_-_Month_wise/02_-_Feburary/27/SB-07-09-20_1976-02-27_SB-MAYAPUR.MP3" TargetMode="External"/><Relationship Id="rId5135" Type="http://schemas.openxmlformats.org/officeDocument/2006/relationships/hyperlink" Target="https://audio.iskcondesiretree.com/01_-_Srila_Prabhupada/01_-_Lectures/01_-_English/02_-_Month_wise/08_-_August/19/Conv_1976-08-19_R1-HYDERABAD.MP3" TargetMode="External"/><Relationship Id="rId5342" Type="http://schemas.openxmlformats.org/officeDocument/2006/relationships/hyperlink" Target="https://audio.iskcondesiretree.com/01_-_Srila_Prabhupada/01_-_Lectures/01_-_English/01_-_Topic_wise/Srimad_Bhagavatam/Canto-05/SP_SB_5-05-01_Vrindavan_1976-10-23_Real_Austerity.mp3" TargetMode="External"/><Relationship Id="rId908" Type="http://schemas.openxmlformats.org/officeDocument/2006/relationships/hyperlink" Target="https://audio.iskcondesiretree.com/01_-_Srila_Prabhupada/01_-_Lectures/01_-_English/02_-_Month_wise/01_-_January/27/Bg_07-01_CAL_1973-01-27_The_Only_Way_to_Understand_God.mp3" TargetMode="External"/><Relationship Id="rId1538" Type="http://schemas.openxmlformats.org/officeDocument/2006/relationships/hyperlink" Target="https://audio.iskcondesiretree.com/01_-_Srila_Prabhupada/01_-_Lectures/01_-_English/02_-_Month_wise/01_-_January/17/SB_1-16-21_HAW_1974-01-17_Unlawful_Meat-eaters_Restricted.mp3" TargetMode="External"/><Relationship Id="rId4151" Type="http://schemas.openxmlformats.org/officeDocument/2006/relationships/hyperlink" Target="https://audio.iskcondesiretree.com/01_-_Srila_Prabhupada/01_-_Lectures/01_-_English/02_-_Month_wise/01_-_January/03/Conv_1976-01-03_R1-NELLORE.MP3" TargetMode="External"/><Relationship Id="rId5202" Type="http://schemas.openxmlformats.org/officeDocument/2006/relationships/hyperlink" Target="https://audio.iskcondesiretree.com/01_-_Srila_Prabhupada/01_-_Lectures/01_-_English/02_-_Month_wise/09_-_September/07/SB_1-07-08_VRN_1976-09-07_Our_Condition-Precarious.mp3" TargetMode="External"/><Relationship Id="rId1745" Type="http://schemas.openxmlformats.org/officeDocument/2006/relationships/hyperlink" Target="https://audio.iskcondesiretree.com/01_-_Srila_Prabhupada/01_-_Lectures/01_-_English/02_-_Month_wise/03_-_March/23/Bg-04-03_1974-03-23_BG-BOMBAY.MP3" TargetMode="External"/><Relationship Id="rId1952" Type="http://schemas.openxmlformats.org/officeDocument/2006/relationships/hyperlink" Target="https://audio.iskcondesiretree.com/01_-_Srila_Prabhupada/01_-_Lectures/01_-_English/02_-_Month_wise/05_-_May/04/Walk_1974-05-04_MW-BOMBAY.MP3" TargetMode="External"/><Relationship Id="rId4011" Type="http://schemas.openxmlformats.org/officeDocument/2006/relationships/hyperlink" Target="https://audio.iskcondesiretree.com/01_-_Srila_Prabhupada/01_-_Lectures/01_-_English/02_-_Month_wise/11_-_November/19/MW_BOM_1975-11-19_Everyone_Knows_Your_Philosophy.mp3" TargetMode="External"/><Relationship Id="rId37" Type="http://schemas.openxmlformats.org/officeDocument/2006/relationships/hyperlink" Target="https://audio.iskcondesiretree.com/01_-_Srila_Prabhupada/01_-_Lectures/01_-_English/02_-_Month_wise/05_-_May/23/Bg_03-13_NY_1966-05-23_Karma-yoga_Becoming_God%27s_Yes_Man.mp3" TargetMode="External"/><Relationship Id="rId1605" Type="http://schemas.openxmlformats.org/officeDocument/2006/relationships/hyperlink" Target="https://audio.iskcondesiretree.com/01_-_Srila_Prabhupada/01_-_Lectures/01_-_English/02_-_Month_wise/02_-_Feburary/11/Bhaktisiddhanta_Appearance_1974-02-11_BA-VRNDAVAN.MP3" TargetMode="External"/><Relationship Id="rId1812" Type="http://schemas.openxmlformats.org/officeDocument/2006/relationships/hyperlink" Target="https://audio.iskcondesiretree.com/01_-_Srila_Prabhupada/01_-_Lectures/01_-_English/01_-_Topic_wise/Morning_Walk/SP_Morning_Walk_-_Bombay_1974-04-03_Brahman_is_Impersonal_But--etc.mp3" TargetMode="External"/><Relationship Id="rId4968" Type="http://schemas.openxmlformats.org/officeDocument/2006/relationships/hyperlink" Target="https://audio.iskcondesiretree.com/01_-_Srila_Prabhupada/01_-_Lectures/01_-_English/01_-_Topic_wise/Interview/SP_Interview_New_York_1976-07-14_Press--Newsweek_Magazine--Are--etc.mp3" TargetMode="External"/><Relationship Id="rId6183" Type="http://schemas.openxmlformats.org/officeDocument/2006/relationships/hyperlink" Target="https://audio.iskcondesiretree.com/01_-_Srila_Prabhupada/01_-_Lectures/03_-_Hindi/SP_Hindi_11_Lectures_%26_Conversations.mp3" TargetMode="External"/><Relationship Id="rId3777" Type="http://schemas.openxmlformats.org/officeDocument/2006/relationships/hyperlink" Target="https://audio.iskcondesiretree.com/01_-_Srila_Prabhupada/01_-_Lectures/01_-_English/02_-_Month_wise/09_-_September/19/SB_6-02-16_VRN_1975-09-19_Krishna_in_Outlaw_Country.mp3" TargetMode="External"/><Relationship Id="rId3984" Type="http://schemas.openxmlformats.org/officeDocument/2006/relationships/hyperlink" Target="https://audio.iskcondesiretree.com/01_-_Srila_Prabhupada/01_-_Lectures/01_-_English/02_-_Month_wise/11_-_November/13/MW_BOM_1975-11-13_Anyone_Who_is_Not_a_Devotee_Is_a_Rascal.mp3" TargetMode="External"/><Relationship Id="rId4828" Type="http://schemas.openxmlformats.org/officeDocument/2006/relationships/hyperlink" Target="https://audio.iskcondesiretree.com/01_-_Srila_Prabhupada/01_-_Lectures/01_-_English/02_-_Month_wise/06_-_June/26/Bg-16-01-16_1976-06-26_GD-NEW%20VRINDAVAN.MP3" TargetMode="External"/><Relationship Id="rId698" Type="http://schemas.openxmlformats.org/officeDocument/2006/relationships/hyperlink" Target="https://audio.iskcondesiretree.com/01_-_Srila_Prabhupada/01_-_Lectures/01_-_English/01_-_Topic_wise/Srimad_Bhagavatam/Canto-01/SP_SB_1-03-19_Los_Angeles_1972-09-24_Offering_Everything_to_Krishna.mp3" TargetMode="External"/><Relationship Id="rId2379" Type="http://schemas.openxmlformats.org/officeDocument/2006/relationships/hyperlink" Target="https://audio.iskcondesiretree.com/01_-_Srila_Prabhupada/01_-_Lectures/01_-_English/02_-_Month_wise/09_-_September/22/Bg-13-26_1974-09-22_BG-DELHI.MP3" TargetMode="External"/><Relationship Id="rId2586" Type="http://schemas.openxmlformats.org/officeDocument/2006/relationships/hyperlink" Target="https://audio.iskcondesiretree.com/01_-_Srila_Prabhupada/01_-_Lectures/01_-_English/02_-_Month_wise/12_-_December/06/SB-03-25-37_1974-12-06_SB-BOMBAY.MP3" TargetMode="External"/><Relationship Id="rId2793" Type="http://schemas.openxmlformats.org/officeDocument/2006/relationships/hyperlink" Target="https://audio.iskcondesiretree.com/01_-_Srila_Prabhupada/01_-_Lectures/01_-_English/02_-_Month_wise/02_-_Feburary/12/Conv_1975-02-12_R1-MEXICO%20CITY.MP3" TargetMode="External"/><Relationship Id="rId3637" Type="http://schemas.openxmlformats.org/officeDocument/2006/relationships/hyperlink" Target="https://audio.iskcondesiretree.com/01_-_Srila_Prabhupada/01_-_Lectures/01_-_English/01_-_Topic_wise/Srimad_Bhagavatam/Canto-06/SP_SB_6-01-51_Detroit_1975-08-04_All_Wrapped_Up_in_Matter.mp3" TargetMode="External"/><Relationship Id="rId3844" Type="http://schemas.openxmlformats.org/officeDocument/2006/relationships/hyperlink" Target="https://audio.iskcondesiretree.com/01_-_Srila_Prabhupada/01_-_Lectures/01_-_English/02_-_Month_wise/10_-_October/10/Conv_1975-10-10_R1-DURBAN.MP3" TargetMode="External"/><Relationship Id="rId6043" Type="http://schemas.openxmlformats.org/officeDocument/2006/relationships/hyperlink" Target="https://audio.iskcondesiretree.com/01_-_Srila_Prabhupada/01_-_Lectures/01_-_English/01_-_Topic_wise/Bhagavad_Gita_Recitation/SP_BG_Recitation_Chapter-10_-_Sanskrit.mp3" TargetMode="External"/><Relationship Id="rId558" Type="http://schemas.openxmlformats.org/officeDocument/2006/relationships/hyperlink" Target="https://audio.iskcondesiretree.com/01_-_Srila_Prabhupada/01_-_Lectures/01_-_English/01_-_Topic_wise/Bhagavad_Gita/Chapter-07/SP_BG_07-01_London_1971-08-04_Beauty_of_Brahminical_Culture.mp3" TargetMode="External"/><Relationship Id="rId765" Type="http://schemas.openxmlformats.org/officeDocument/2006/relationships/hyperlink" Target="https://audio.iskcondesiretree.com/01_-_Srila_Prabhupada/01_-_Lectures/01_-_English/01_-_Topic_wise/Srimad_Bhagavatam/Canto-01/SP_SB_1-02-20_Vrindavan_1972-10-31_Spiritual_Life_Means_Joyfulness.mp3" TargetMode="External"/><Relationship Id="rId972" Type="http://schemas.openxmlformats.org/officeDocument/2006/relationships/hyperlink" Target="https://audio.iskcondesiretree.com/01_-_Srila_Prabhupada/01_-_Lectures/01_-_English/02_-_Month_wise/04_-_April/26/SB_1-08-34_LA_1973-04-26_Seeing_the_World%27s_Soul.mp3" TargetMode="External"/><Relationship Id="rId1188" Type="http://schemas.openxmlformats.org/officeDocument/2006/relationships/hyperlink" Target="https://audio.iskcondesiretree.com/01_-_Srila_Prabhupada/01_-_Lectures/01_-_English/01_-_Topic_wise/Bhagavad_Gita/Chapter-02/SP_BG_02-12_London_1973-08-18_What_Abortionists_Don%27t_Know.mp3" TargetMode="External"/><Relationship Id="rId1395" Type="http://schemas.openxmlformats.org/officeDocument/2006/relationships/hyperlink" Target="https://audio.iskcondesiretree.com/01_-_Srila_Prabhupada/01_-_Lectures/01_-_English/02_-_Month_wise/12_-_December/05/MW_LA_1973-12-05_Don%27t_Do_Your_Own_Thing.mp3" TargetMode="External"/><Relationship Id="rId2239" Type="http://schemas.openxmlformats.org/officeDocument/2006/relationships/hyperlink" Target="https://audio.iskcondesiretree.com/01_-_Srila_Prabhupada/01_-_Lectures/01_-_English/02_-_Month_wise/07_-_July/02/RC_MEL_1974-07-02_World_Wars_I_and_II-Caused_by_etc.mp3" TargetMode="External"/><Relationship Id="rId2446" Type="http://schemas.openxmlformats.org/officeDocument/2006/relationships/hyperlink" Target="https://audio.iskcondesiretree.com/01_-_Srila_Prabhupada/01_-_Lectures/01_-_English/02_-_Month_wise/10_-_October/16/Lecture%E2%80%93Bengali_1974-10-16_LE-MAYAPUR.MP3" TargetMode="External"/><Relationship Id="rId2653" Type="http://schemas.openxmlformats.org/officeDocument/2006/relationships/hyperlink" Target="https://audio.iskcondesiretree.com/01_-_Srila_Prabhupada/01_-_Lectures/01_-_English/02_-_Month_wise/12_-_December/28/SB_3-26-19_BOM_1974-12-28_This_Society_Needs_Some_Brains.mp3" TargetMode="External"/><Relationship Id="rId2860" Type="http://schemas.openxmlformats.org/officeDocument/2006/relationships/hyperlink" Target="https://audio.iskcondesiretree.com/01_-_Srila_Prabhupada/01_-_Lectures/01_-_English/01_-_Topic_wise/Bhagavad_Gita/Chapter-13/SP_BG_13-04_Miami_1975-02-27_Different_Varieties.mp3" TargetMode="External"/><Relationship Id="rId3704" Type="http://schemas.openxmlformats.org/officeDocument/2006/relationships/hyperlink" Target="https://audio.iskcondesiretree.com/01_-_Srila_Prabhupada/01_-_Lectures/01_-_English/02_-_Month_wise/08_-_August/31/Lecture%E2%80%93Hindi_1975-08-31_LE-VRNDAVAN.MP3" TargetMode="External"/><Relationship Id="rId6110" Type="http://schemas.openxmlformats.org/officeDocument/2006/relationships/hyperlink" Target="https://audio.iskcondesiretree.com/01_-_Srila_Prabhupada/01_-_Lectures/01_-_English/01_-_Topic_wise/Krishna_Book/SP_Krsna_Book_Dict_76_-_Battle_Between_Salva_and_the_Yadus.mp3" TargetMode="External"/><Relationship Id="rId418" Type="http://schemas.openxmlformats.org/officeDocument/2006/relationships/hyperlink" Target="https://audio.iskcondesiretree.com/01_-_Srila_Prabhupada/01_-_Lectures/01_-_English/02_-_Month_wise/05_-_May/10/RC_COL_1969-05-10_Follow_Christ_or_Buddha_or_Krishna_etc.mp3" TargetMode="External"/><Relationship Id="rId625" Type="http://schemas.openxmlformats.org/officeDocument/2006/relationships/hyperlink" Target="https://audio.iskcondesiretree.com/01_-_Srila_Prabhupada/01_-_Lectures/01_-_English/02_-_Month_wise/06_-_June/26/SB_2-04-02_LA_1972-06-26_Fight_for_Freedom.mp3" TargetMode="External"/><Relationship Id="rId832" Type="http://schemas.openxmlformats.org/officeDocument/2006/relationships/hyperlink" Target="https://audio.iskcondesiretree.com/01_-_Srila_Prabhupada/01_-_Lectures/01_-_English/01_-_Topic_wise/Bhagavad_Gita/Chapter-02/SP_BG_02-18_Hyderabad_1972-11-23_Chant-Cleanse_Your_Brain.mp3" TargetMode="External"/><Relationship Id="rId1048" Type="http://schemas.openxmlformats.org/officeDocument/2006/relationships/hyperlink" Target="https://audio.iskcondesiretree.com/01_-_Srila_Prabhupada/01_-_Lectures/01_-_English/02_-_Month_wise/06_-_June/26/SB_1-10-13_MAY_1973-06-26_Associating_with_Krishna.mp3" TargetMode="External"/><Relationship Id="rId1255" Type="http://schemas.openxmlformats.org/officeDocument/2006/relationships/hyperlink" Target="https://audio.iskcondesiretree.com/01_-_Srila_Prabhupada/01_-_Lectures/01_-_English/01_-_Topic_wise/Various/SP_Lecture_Stockholm_1973-09-06_To_Students--Brahma_Samhita.mp3" TargetMode="External"/><Relationship Id="rId1462" Type="http://schemas.openxmlformats.org/officeDocument/2006/relationships/hyperlink" Target="https://audio.iskcondesiretree.com/01_-_Srila_Prabhupada/01_-_Lectures/01_-_English/02_-_Month_wise/12_-_December/28/SB_1-15-51_LA_1973-12-28_How_to_Become_Very_Dear_to_God.mp3" TargetMode="External"/><Relationship Id="rId2306" Type="http://schemas.openxmlformats.org/officeDocument/2006/relationships/hyperlink" Target="https://audio.iskcondesiretree.com/01_-_Srila_Prabhupada/01_-_Lectures/01_-_English/02_-_Month_wise/08_-_August/03/Bg_04-11_VRN_1974-08-03_This_Skin_Suffering_This_etc.mp3" TargetMode="External"/><Relationship Id="rId2513" Type="http://schemas.openxmlformats.org/officeDocument/2006/relationships/hyperlink" Target="https://audio.iskcondesiretree.com/01_-_Srila_Prabhupada/01_-_Lectures/01_-_English/02_-_Month_wise/11_-_November/12/SB-03-25-12_1974-11-12_SB-BOMBAY.MP3" TargetMode="External"/><Relationship Id="rId3911" Type="http://schemas.openxmlformats.org/officeDocument/2006/relationships/hyperlink" Target="https://audio.iskcondesiretree.com/01_-_Srila_Prabhupada/01_-_Lectures/01_-_English/02_-_Month_wise/10_-_October/25/Walk_1975-10-25_MW-MAURITIUS.MP3" TargetMode="External"/><Relationship Id="rId5669" Type="http://schemas.openxmlformats.org/officeDocument/2006/relationships/hyperlink" Target="https://audio.iskcondesiretree.com/01_-_Srila_Prabhupada/01_-_Lectures/01_-_English/02_-_Month_wise/02_-_Feburary/02/Conv_1977-02-02_R1-BHUBANESWAR.MP3" TargetMode="External"/><Relationship Id="rId5876" Type="http://schemas.openxmlformats.org/officeDocument/2006/relationships/hyperlink" Target="https://audio.iskcondesiretree.com/01_-_Srila_Prabhupada/01_-_Lectures/01_-_English/02_-_Month_wise/06_-_June/17/Conv_1977-06-17_R1-VRNDAVAN.MP3" TargetMode="External"/><Relationship Id="rId1115" Type="http://schemas.openxmlformats.org/officeDocument/2006/relationships/hyperlink" Target="https://audio.iskcondesiretree.com/01_-_Srila_Prabhupada/01_-_Lectures/01_-_English/02_-_Month_wise/07_-_July/23/SB_1-02-06_LON_1973-07-23_East_and_West_Should_Cooperate.mp3" TargetMode="External"/><Relationship Id="rId1322" Type="http://schemas.openxmlformats.org/officeDocument/2006/relationships/hyperlink" Target="https://audio.iskcondesiretree.com/01_-_Srila_Prabhupada/01_-_Lectures/01_-_English/02_-_Month_wise/10_-_October/14/Bg_13-20_BOM_1973-10-14_The_Enjoying_Spirit.mp3" TargetMode="External"/><Relationship Id="rId2720" Type="http://schemas.openxmlformats.org/officeDocument/2006/relationships/hyperlink" Target="https://audio.iskcondesiretree.com/01_-_Srila_Prabhupada/01_-_Lectures/01_-_English/02_-_Month_wise/01_-_January/22/SB-03-26-47_1975-01-22_SB-BOMBAY.MP3" TargetMode="External"/><Relationship Id="rId4478" Type="http://schemas.openxmlformats.org/officeDocument/2006/relationships/hyperlink" Target="https://audio.iskcondesiretree.com/01_-_Srila_Prabhupada/01_-_Lectures/01_-_English/01_-_Topic_wise/Srimad_Bhagavatam/Canto-07/SP_SB_7-12-04_Bombay_1976-04-15_Shortcut_Your_Necessities.mp3" TargetMode="External"/><Relationship Id="rId5529" Type="http://schemas.openxmlformats.org/officeDocument/2006/relationships/hyperlink" Target="https://audio.iskcondesiretree.com/01_-_Srila_Prabhupada/01_-_Lectures/01_-_English/02_-_Month_wise/12_-_December/26/Conv_1976-12-26_R3-BOMBAY.MP3" TargetMode="External"/><Relationship Id="rId3287" Type="http://schemas.openxmlformats.org/officeDocument/2006/relationships/hyperlink" Target="https://audio.iskcondesiretree.com/01_-_Srila_Prabhupada/01_-_Lectures/01_-_English/02_-_Month_wise/06_-_June/14/Conv_1975-06-14_R1-HONOLULU.MP3" TargetMode="External"/><Relationship Id="rId4338" Type="http://schemas.openxmlformats.org/officeDocument/2006/relationships/hyperlink" Target="https://audio.iskcondesiretree.com/01_-_Srila_Prabhupada/01_-_Lectures/01_-_English/02_-_Month_wise/03_-_March/10/SB-07-09-32_1976-03-10_SB-MAYAPUR.MP3" TargetMode="External"/><Relationship Id="rId4685" Type="http://schemas.openxmlformats.org/officeDocument/2006/relationships/hyperlink" Target="https://audio.iskcondesiretree.com/01_-_Srila_Prabhupada/01_-_Lectures/01_-_English/01_-_Topic_wise/Srimad_Bhagavatam/Canto-06/SP_SB_6-01-38_Los_Angeles_1976-06-04_Jeweled_Snakes.mp3" TargetMode="External"/><Relationship Id="rId4892" Type="http://schemas.openxmlformats.org/officeDocument/2006/relationships/hyperlink" Target="https://audio.iskcondesiretree.com/01_-_Srila_Prabhupada/01_-_Lectures/01_-_English/01_-_Topic_wise/Morning_Walk/SP_Morning_Walk_-_Washington_DC_1976-07-05_Bengalis--Spoiled_by_Vivekananda.mp3" TargetMode="External"/><Relationship Id="rId5736" Type="http://schemas.openxmlformats.org/officeDocument/2006/relationships/hyperlink" Target="https://audio.iskcondesiretree.com/01_-_Srila_Prabhupada/01_-_Lectures/01_-_English/02_-_Month_wise/02_-_Feburary/26/SB-07-09-06_1977-02-26_SB-MAYAPUR.MP3" TargetMode="External"/><Relationship Id="rId5943" Type="http://schemas.openxmlformats.org/officeDocument/2006/relationships/hyperlink" Target="https://audio.iskcondesiretree.com/01_-_Srila_Prabhupada/01_-_Lectures/01_-_English/02_-_Month_wise/10_-_October/13/Conv_1977-10-13_R2-VRNDAVAN.MP3" TargetMode="External"/><Relationship Id="rId2096" Type="http://schemas.openxmlformats.org/officeDocument/2006/relationships/hyperlink" Target="https://audio.iskcondesiretree.com/01_-_Srila_Prabhupada/01_-_Lectures/01_-_English/02_-_Month_wise/06_-_June/11/RC_PAR_1974-06-11_Let_Cows_Die_Naturally.mp3" TargetMode="External"/><Relationship Id="rId3494" Type="http://schemas.openxmlformats.org/officeDocument/2006/relationships/hyperlink" Target="https://audio.iskcondesiretree.com/01_-_Srila_Prabhupada/01_-_Lectures/01_-_English/02_-_Month_wise/07_-_July/11/Initiations_1975-07-11_IN-CHICAGO.MP3" TargetMode="External"/><Relationship Id="rId4545" Type="http://schemas.openxmlformats.org/officeDocument/2006/relationships/hyperlink" Target="https://audio.iskcondesiretree.com/01_-_Srila_Prabhupada/01_-_Lectures/01_-_English/02_-_Month_wise/04_-_April/27/Arrival_1976-04-27_AR-AUCKLAND.MP3" TargetMode="External"/><Relationship Id="rId4752" Type="http://schemas.openxmlformats.org/officeDocument/2006/relationships/hyperlink" Target="https://audio.iskcondesiretree.com/01_-_Srila_Prabhupada/01_-_Lectures/01_-_English/02_-_Month_wise/06_-_June/15/Bg-02-01%E2%80%9312_1976-06-15_BG-DETROIT.MP3" TargetMode="External"/><Relationship Id="rId5803" Type="http://schemas.openxmlformats.org/officeDocument/2006/relationships/hyperlink" Target="https://audio.iskcondesiretree.com/01_-_Srila_Prabhupada/01_-_Lectures/01_-_English/02_-_Month_wise/04_-_April/17/Conv_1977-04-17_R1-BOMBAY.MP3" TargetMode="External"/><Relationship Id="rId3147" Type="http://schemas.openxmlformats.org/officeDocument/2006/relationships/hyperlink" Target="https://audio.iskcondesiretree.com/01_-_Srila_Prabhupada/01_-_Lectures/01_-_English/02_-_Month_wise/05_-_May/06/Darshan_1975-05-06_ED-PERTH.MP3" TargetMode="External"/><Relationship Id="rId3354" Type="http://schemas.openxmlformats.org/officeDocument/2006/relationships/hyperlink" Target="https://audio.iskcondesiretree.com/01_-_Srila_Prabhupada/01_-_Lectures/01_-_English/02_-_Month_wise/06_-_June/23/RC_LA_1975-06-23_Philosopher--Bad_Allowed_by_the_All-Good.mp3" TargetMode="External"/><Relationship Id="rId3561" Type="http://schemas.openxmlformats.org/officeDocument/2006/relationships/hyperlink" Target="https://audio.iskcondesiretree.com/01_-_Srila_Prabhupada/01_-_Lectures/01_-_English/02_-_Month_wise/07_-_July/20/SB-06-01-39_1975-07-20_SB-SAN%20FRANCISCO.MP3" TargetMode="External"/><Relationship Id="rId4405" Type="http://schemas.openxmlformats.org/officeDocument/2006/relationships/hyperlink" Target="https://audio.iskcondesiretree.com/01_-_Srila_Prabhupada/01_-_Lectures/01_-_English/02_-_Month_wise/03_-_March/25/Conv_1976-03-25_R1-DELHI.MP3" TargetMode="External"/><Relationship Id="rId4612" Type="http://schemas.openxmlformats.org/officeDocument/2006/relationships/hyperlink" Target="https://audio.iskcondesiretree.com/01_-_Srila_Prabhupada/01_-_Lectures/01_-_English/02_-_Month_wise/05_-_May/16/SB-06-01-16_1976-05-16_SB-HONOLULU.MP3" TargetMode="External"/><Relationship Id="rId275" Type="http://schemas.openxmlformats.org/officeDocument/2006/relationships/hyperlink" Target="https://audio.iskcondesiretree.com/01_-_Srila_Prabhupada/01_-_Lectures/01_-_English/02_-_Month_wise/10_-_October/07/Lect_SEA_1968-10-07_It_is_Very_Pleasant_to_Become_a_etc.mp3" TargetMode="External"/><Relationship Id="rId482" Type="http://schemas.openxmlformats.org/officeDocument/2006/relationships/hyperlink" Target="https://audio.iskcondesiretree.com/01_-_Srila_Prabhupada/01_-_Lectures/01_-_English/01_-_Topic_wise/Festivals/SP_Festivals_London_1969-09-23_Bhaktivinode_Appearance.mp3" TargetMode="External"/><Relationship Id="rId2163" Type="http://schemas.openxmlformats.org/officeDocument/2006/relationships/hyperlink" Target="https://audio.iskcondesiretree.com/01_-_Srila_Prabhupada/01_-_Lectures/01_-_English/02_-_Month_wise/06_-_June/19/Conv_1974-06-19_R1-GERMANY.MP3" TargetMode="External"/><Relationship Id="rId2370" Type="http://schemas.openxmlformats.org/officeDocument/2006/relationships/hyperlink" Target="https://audio.iskcondesiretree.com/01_-_Srila_Prabhupada/01_-_Lectures/01_-_English/02_-_Month_wise/08_-_August/17/SB-01-05-36_1974-08-17_SB-VRNDAVAN.MP3" TargetMode="External"/><Relationship Id="rId3007" Type="http://schemas.openxmlformats.org/officeDocument/2006/relationships/hyperlink" Target="https://audio.iskcondesiretree.com/01_-_Srila_Prabhupada/01_-_Lectures/01_-_English/02_-_Month_wise/03_-_March/29/Lecture_1975-03-29_LE-MAYAPUR.MP3" TargetMode="External"/><Relationship Id="rId3214" Type="http://schemas.openxmlformats.org/officeDocument/2006/relationships/hyperlink" Target="https://audio.iskcondesiretree.com/01_-_Srila_Prabhupada/01_-_Lectures/01_-_English/02_-_Month_wise/05_-_May/20/SB%E2%80%9306-01-01%E2%80%9304_1975-05-20_SB-MELBOURNE.MP3" TargetMode="External"/><Relationship Id="rId3421" Type="http://schemas.openxmlformats.org/officeDocument/2006/relationships/hyperlink" Target="https://audio.iskcondesiretree.com/01_-_Srila_Prabhupada/01_-_Lectures/01_-_English/01_-_Topic_wise/Arrival_Address/SP_Arrival_Chicago_1975-07-03_My_Mission_Is_To_Stop_the_Crimes--etc.mp3" TargetMode="External"/><Relationship Id="rId135" Type="http://schemas.openxmlformats.org/officeDocument/2006/relationships/hyperlink" Target="https://audio.iskcondesiretree.com/01_-_Srila_Prabhupada/01_-_Lectures/01_-_English/02_-_Month_wise/11_-_November/29/Cc_M_20-137_NY_1966-11-29_This_System_Is_Called_Abhideya.mp3" TargetMode="External"/><Relationship Id="rId342" Type="http://schemas.openxmlformats.org/officeDocument/2006/relationships/hyperlink" Target="https://audio.iskcondesiretree.com/01_-_Srila_Prabhupada/01_-_Lectures/01_-_English/01_-_Topic_wise/Interview/SP_Interview_Los_Angeles_1968-12-30_Press-New_Cosmic_Star--Progress--etc.mp3" TargetMode="External"/><Relationship Id="rId2023" Type="http://schemas.openxmlformats.org/officeDocument/2006/relationships/hyperlink" Target="https://audio.iskcondesiretree.com/01_-_Srila_Prabhupada/01_-_Lectures/01_-_English/02_-_Month_wise/05_-_May/31/SB-01-07-06_1974-05-31_SB-GENEVA.MP3" TargetMode="External"/><Relationship Id="rId2230" Type="http://schemas.openxmlformats.org/officeDocument/2006/relationships/hyperlink" Target="https://audio.iskcondesiretree.com/01_-_Srila_Prabhupada/01_-_Lectures/01_-_English/02_-_Month_wise/07_-_July/01/Lect_MEL_1974-07-01_To_Students-Talking_to_a_Trashy_Audience.mp3" TargetMode="External"/><Relationship Id="rId5179" Type="http://schemas.openxmlformats.org/officeDocument/2006/relationships/hyperlink" Target="https://audio.iskcondesiretree.com/01_-_Srila_Prabhupada/01_-_Lectures/01_-_English/02_-_Month_wise/09_-_September/03/Conv_1976-09-03_R1-VRNDAVAN.MP3" TargetMode="External"/><Relationship Id="rId5386" Type="http://schemas.openxmlformats.org/officeDocument/2006/relationships/hyperlink" Target="https://audio.iskcondesiretree.com/01_-_Srila_Prabhupada/01_-_Lectures/01_-_English/02_-_Month_wise/11_-_November/05/SB-05-05-17_1976-11-05_SB-VRNDAVAN.MP3" TargetMode="External"/><Relationship Id="rId5593" Type="http://schemas.openxmlformats.org/officeDocument/2006/relationships/hyperlink" Target="https://audio.iskcondesiretree.com/01_-_Srila_Prabhupada/01_-_Lectures/01_-_English/01_-_Topic_wise/Various/SP_Lecture_Allahabad_1977-01-15_At_Kumba_Mela--Avoid_Atheistic_Mahatmas.mp3" TargetMode="External"/><Relationship Id="rId202" Type="http://schemas.openxmlformats.org/officeDocument/2006/relationships/hyperlink" Target="https://audio.iskcondesiretree.com/01_-_Srila_Prabhupada/01_-_Lectures/01_-_English/01_-_Topic_wise/Bhagavad_Gita/Chapter-10/SP_BG_10-02-03_New_York_1967-01-01_The_Process_for_Understanding_God.mp3" TargetMode="External"/><Relationship Id="rId4195" Type="http://schemas.openxmlformats.org/officeDocument/2006/relationships/hyperlink" Target="https://audio.iskcondesiretree.com/01_-_Srila_Prabhupada/01_-_Lectures/01_-_English/02_-_Month_wise/01_-_January/19/Conv_1976-01-19_R1-MAYAPUR.MP3" TargetMode="External"/><Relationship Id="rId5039" Type="http://schemas.openxmlformats.org/officeDocument/2006/relationships/hyperlink" Target="https://audio.iskcondesiretree.com/01_-_Srila_Prabhupada/01_-_Lectures/01_-_English/01_-_Topic_wise/Morning_Walk/SP_Morning_Walk_-_Paris_1976-08-02_Master%3DSlave.mp3" TargetMode="External"/><Relationship Id="rId5246" Type="http://schemas.openxmlformats.org/officeDocument/2006/relationships/hyperlink" Target="https://audio.iskcondesiretree.com/01_-_Srila_Prabhupada/01_-_Lectures/01_-_English/02_-_Month_wise/09_-_September/20/SB-01-07-23_1976-09-20_SB-VRNDAVAN.MP3" TargetMode="External"/><Relationship Id="rId5453" Type="http://schemas.openxmlformats.org/officeDocument/2006/relationships/hyperlink" Target="https://audio.iskcondesiretree.com/01_-_Srila_Prabhupada/01_-_Lectures/01_-_English/02_-_Month_wise/11_-_November/25/SB-05-06-03_1976-11-25_SB-VRNDAVAN.MP3" TargetMode="External"/><Relationship Id="rId1789" Type="http://schemas.openxmlformats.org/officeDocument/2006/relationships/hyperlink" Target="https://audio.iskcondesiretree.com/01_-_Srila_Prabhupada/01_-_Lectures/01_-_English/01_-_Topic_wise/Bhagavad_Gita/Chapter-04/SP_BG_04-11_Bombay_1974-03-31_Krishna_Will_Accept_you_Any--etc.mp3" TargetMode="External"/><Relationship Id="rId1996" Type="http://schemas.openxmlformats.org/officeDocument/2006/relationships/hyperlink" Target="https://audio.iskcondesiretree.com/01_-_Srila_Prabhupada/01_-_Lectures/01_-_English/02_-_Month_wise/05_-_May/27/SB-01-02-03_1974-05-27_SB-ROME.MP3" TargetMode="External"/><Relationship Id="rId4055" Type="http://schemas.openxmlformats.org/officeDocument/2006/relationships/hyperlink" Target="https://audio.iskcondesiretree.com/01_-_Srila_Prabhupada/01_-_Lectures/01_-_English/02_-_Month_wise/12_-_December/05/SB_7-06-04_VRN_1975-12-05_How_to_Waste_Your_Life.mp3" TargetMode="External"/><Relationship Id="rId4262" Type="http://schemas.openxmlformats.org/officeDocument/2006/relationships/hyperlink" Target="https://audio.iskcondesiretree.com/01_-_Srila_Prabhupada/01_-_Lectures/01_-_English/02_-_Month_wise/02_-_Feburary/21/Bhaktisiddhanta_Appearance_1976-02-21_BA-MAYAPUR.MP3" TargetMode="External"/><Relationship Id="rId5106" Type="http://schemas.openxmlformats.org/officeDocument/2006/relationships/hyperlink" Target="https://audio.iskcondesiretree.com/01_-_Srila_Prabhupada/01_-_Lectures/01_-_English/01_-_Topic_wise/Room_Conversation/SP_Room_Conversation_Bombay_1976-08-14_Spreading_Krishna%27s_Instructions.mp3" TargetMode="External"/><Relationship Id="rId5660" Type="http://schemas.openxmlformats.org/officeDocument/2006/relationships/hyperlink" Target="https://audio.iskcondesiretree.com/01_-_Srila_Prabhupada/01_-_Lectures/01_-_English/02_-_Month_wise/01_-_January/31/Fest_BHU_1977-01-31_On_the_Advent_of_Lord_Varaha.mp3" TargetMode="External"/><Relationship Id="rId1649" Type="http://schemas.openxmlformats.org/officeDocument/2006/relationships/hyperlink" Target="https://audio.iskcondesiretree.com/01_-_Srila_Prabhupada/01_-_Lectures/01_-_English/01_-_Topic_wise/Bhagavad_Gita/Chapter-07/SP_BG_07-11-12_Bombay_1974-02-25_Unplanned_Unwanted_Children.mp3" TargetMode="External"/><Relationship Id="rId1856" Type="http://schemas.openxmlformats.org/officeDocument/2006/relationships/hyperlink" Target="https://audio.iskcondesiretree.com/01_-_Srila_Prabhupada/01_-_Lectures/01_-_English/01_-_Topic_wise/Morning_Walk/SP_Morning_Walk_-_Bombay_1974-04-11.mp3" TargetMode="External"/><Relationship Id="rId2907" Type="http://schemas.openxmlformats.org/officeDocument/2006/relationships/hyperlink" Target="https://audio.iskcondesiretree.com/01_-_Srila_Prabhupada/01_-_Lectures/01_-_English/02_-_Month_wise/03_-_March/04/CcAdi-01-015_1975-03-04_CC-DALLAS.MP3" TargetMode="External"/><Relationship Id="rId3071" Type="http://schemas.openxmlformats.org/officeDocument/2006/relationships/hyperlink" Target="https://audio.iskcondesiretree.com/01_-_Srila_Prabhupada/01_-_Lectures/01_-_English/01_-_Topic_wise/Chaitanya_Charitamrita/Adi_Lila/SP_CC_A_01-15_Mayapur_1975-04-08_Gold_Religion.mp3" TargetMode="External"/><Relationship Id="rId5313" Type="http://schemas.openxmlformats.org/officeDocument/2006/relationships/hyperlink" Target="https://audio.iskcondesiretree.com/01_-_Srila_Prabhupada/01_-_Lectures/01_-_English/01_-_Topic_wise/Srimad_Bhagavatam/Canto-01/SP_SB_1-07-51-52_Vrindavan_1976-10-08_Anyone_Can_Become_Devotee.mp3" TargetMode="External"/><Relationship Id="rId5520" Type="http://schemas.openxmlformats.org/officeDocument/2006/relationships/hyperlink" Target="https://audio.iskcondesiretree.com/01_-_Srila_Prabhupada/01_-_Lectures/01_-_English/02_-_Month_wise/12_-_December/24/SB-05-05-01%E2%80%93Hindi_1976-12-24_SB-BOMBAY.MP3" TargetMode="External"/><Relationship Id="rId1509" Type="http://schemas.openxmlformats.org/officeDocument/2006/relationships/hyperlink" Target="https://audio.iskcondesiretree.com/01_-_Srila_Prabhupada/01_-_Lectures/01_-_English/02_-_Month_wise/01_-_January/10/Initiations_1974-01-10_IN-LOS_ANGELES.MP3" TargetMode="External"/><Relationship Id="rId1716" Type="http://schemas.openxmlformats.org/officeDocument/2006/relationships/hyperlink" Target="https://audio.iskcondesiretree.com/01_-_Srila_Prabhupada/01_-_Lectures/01_-_English/01_-_Topic_wise/Room_Conversation/SP_Room_Conversation_02_Vrindavan_1974-03-16.mp3" TargetMode="External"/><Relationship Id="rId1923" Type="http://schemas.openxmlformats.org/officeDocument/2006/relationships/hyperlink" Target="https://audio.iskcondesiretree.com/01_-_Srila_Prabhupada/01_-_Lectures/01_-_English/02_-_Month_wise/04_-_April/23/SB_1-02-09_HYD_1974-04-23_Illusion_Realized.mp3" TargetMode="External"/><Relationship Id="rId4122" Type="http://schemas.openxmlformats.org/officeDocument/2006/relationships/hyperlink" Target="https://audio.iskcondesiretree.com/01_-_Srila_Prabhupada/01_-_Lectures/01_-_English/02_-_Month_wise/12_-_December/24/Walk_1975-12-24_MW-BOMBAY.MP3" TargetMode="External"/><Relationship Id="rId3888" Type="http://schemas.openxmlformats.org/officeDocument/2006/relationships/hyperlink" Target="https://audio.iskcondesiretree.com/01_-_Srila_Prabhupada/01_-_Lectures/01_-_English/02_-_Month_wise/10_-_October/18/Bg-16-06_1975-10-18_BG-JOHANNESBURG.MP3" TargetMode="External"/><Relationship Id="rId4939" Type="http://schemas.openxmlformats.org/officeDocument/2006/relationships/hyperlink" Target="https://audio.iskcondesiretree.com/01_-_Srila_Prabhupada/01_-_Lectures/01_-_English/02_-_Month_wise/07_-_July/09/Conv_1976-07-09_R1-NEW%20YORK.MP3" TargetMode="External"/><Relationship Id="rId6087" Type="http://schemas.openxmlformats.org/officeDocument/2006/relationships/hyperlink" Target="https://audio.iskcondesiretree.com/01_-_Srila_Prabhupada/01_-_Lectures/01_-_English/01_-_Topic_wise/Krishna_Book/SP_Krsna_Book_Dict_43_-_Killing_the_Elephant_Kuvalayapida.mp3" TargetMode="External"/><Relationship Id="rId2697" Type="http://schemas.openxmlformats.org/officeDocument/2006/relationships/hyperlink" Target="https://audio.iskcondesiretree.com/01_-_Srila_Prabhupada/01_-_Lectures/01_-_English/02_-_Month_wise/01_-_January/14/SB_3-26-39_BOM_1975-01-14_Forest_Fire_of_False_Ego.mp3" TargetMode="External"/><Relationship Id="rId3748" Type="http://schemas.openxmlformats.org/officeDocument/2006/relationships/hyperlink" Target="https://audio.iskcondesiretree.com/01_-_Srila_Prabhupada/01_-_Lectures/01_-_English/01_-_Topic_wise/Srimad_Bhagavatam/Canto-06/SP_SB_6-02-08_Vrindavan_1975-09-11_Chant_Hare_Krishna-No_Loss.mp3" TargetMode="External"/><Relationship Id="rId6154" Type="http://schemas.openxmlformats.org/officeDocument/2006/relationships/hyperlink" Target="https://audio.iskcondesiretree.com/01_-_Srila_Prabhupada/01_-_Lectures/01_-_English/01_-_Topic_wise/Stories/SP_Story_30_Mrgari_the_hunter.mp3" TargetMode="External"/><Relationship Id="rId669" Type="http://schemas.openxmlformats.org/officeDocument/2006/relationships/hyperlink" Target="https://audio.iskcondesiretree.com/01_-_Srila_Prabhupada/01_-_Lectures/01_-_English/02_-_Month_wise/08_-_August/31/Addr_NV_1972-08-31_Just_Hear_About_Krishna.mp3" TargetMode="External"/><Relationship Id="rId876" Type="http://schemas.openxmlformats.org/officeDocument/2006/relationships/hyperlink" Target="https://audio.iskcondesiretree.com/01_-_Srila_Prabhupada/01_-_Lectures/01_-_English/02_-_Month_wise/12_-_December/28/NOD_Lect_BOM_1972-12-28_Surrender_to_Krishna_or_Crocodiles.mp3" TargetMode="External"/><Relationship Id="rId1299" Type="http://schemas.openxmlformats.org/officeDocument/2006/relationships/hyperlink" Target="https://audio.iskcondesiretree.com/01_-_Srila_Prabhupada/01_-_Lectures/01_-_English/02_-_Month_wise/09_-_September/29/Bg_13-06_BOM_1973-09-29_Nothing_Is_Material.mp3" TargetMode="External"/><Relationship Id="rId2557" Type="http://schemas.openxmlformats.org/officeDocument/2006/relationships/hyperlink" Target="https://audio.iskcondesiretree.com/01_-_Srila_Prabhupada/01_-_Lectures/01_-_English/02_-_Month_wise/11_-_November/26/SB_3-25-26_BOM_1974-11-26_Krishna_Gratification.mp3" TargetMode="External"/><Relationship Id="rId3608" Type="http://schemas.openxmlformats.org/officeDocument/2006/relationships/hyperlink" Target="https://audio.iskcondesiretree.com/01_-_Srila_Prabhupada/01_-_Lectures/01_-_English/02_-_Month_wise/07_-_July/29/SB-06-01-47_1975-07-29_SB-DALLAS.MP3" TargetMode="External"/><Relationship Id="rId3955" Type="http://schemas.openxmlformats.org/officeDocument/2006/relationships/hyperlink" Target="https://audio.iskcondesiretree.com/01_-_Srila_Prabhupada/01_-_Lectures/01_-_English/01_-_Topic_wise/Chaitanya_Charitamrita/Madhya_Lila/SP_CC_M_20-101_Bombay_1975-11-03_To_Become_Spiritually_Advanced.mp3" TargetMode="External"/><Relationship Id="rId5170" Type="http://schemas.openxmlformats.org/officeDocument/2006/relationships/hyperlink" Target="https://audio.iskcondesiretree.com/01_-_Srila_Prabhupada/01_-_Lectures/01_-_English/02_-_Month_wise/08_-_August/31/Initiations_1976-08-31_IN-DELHI.MP3" TargetMode="External"/><Relationship Id="rId6014" Type="http://schemas.openxmlformats.org/officeDocument/2006/relationships/hyperlink" Target="https://audio.iskcondesiretree.com/01_-_Srila_Prabhupada/01_-_Lectures/01_-_English/02_-_Month_wise/11_-_November/09/Conv_1977-11-09_R3-VRNDAVAN.MP3" TargetMode="External"/><Relationship Id="rId529" Type="http://schemas.openxmlformats.org/officeDocument/2006/relationships/hyperlink" Target="https://audio.iskcondesiretree.com/01_-_Srila_Prabhupada/01_-_Lectures/01_-_English/01_-_Topic_wise/Various/SP_Lecture_Los_Angeles_1971-05-28_The_Most_Wonderful_Thing--And_One--etc.mp3" TargetMode="External"/><Relationship Id="rId736" Type="http://schemas.openxmlformats.org/officeDocument/2006/relationships/hyperlink" Target="https://audio.iskcondesiretree.com/01_-_Srila_Prabhupada/01_-_Lectures/01_-_English/01_-_Topic_wise/Srimad_Bhagavatam/Canto-01/SP_SB_1-02-11_Vrindavan_1972-10-22_The_Last_Word_in_Understanding.mp3" TargetMode="External"/><Relationship Id="rId1159" Type="http://schemas.openxmlformats.org/officeDocument/2006/relationships/hyperlink" Target="https://audio.iskcondesiretree.com/01_-_Srila_Prabhupada/01_-_Lectures/01_-_English/01_-_Topic_wise/Room_Conversation/SP_Room_Conversation_Paris_1973-08-10_Daughter_of_French_Author--Doggish_Knowledge.mp3" TargetMode="External"/><Relationship Id="rId1366" Type="http://schemas.openxmlformats.org/officeDocument/2006/relationships/hyperlink" Target="https://audio.iskcondesiretree.com/01_-_Srila_Prabhupada/01_-_Lectures/01_-_English/02_-_Month_wise/11_-_November/14/SB_1-02-09_DEL_1973-11-14_Real_Dharma-It%27s_Not_Karma.mp3" TargetMode="External"/><Relationship Id="rId2417" Type="http://schemas.openxmlformats.org/officeDocument/2006/relationships/hyperlink" Target="https://audio.iskcondesiretree.com/01_-_Srila_Prabhupada/01_-_Lectures/01_-_English/02_-_Month_wise/10_-_October/06/SB-01-08-26_1974-10-06_SB-MAYAPUR.MP3" TargetMode="External"/><Relationship Id="rId2764" Type="http://schemas.openxmlformats.org/officeDocument/2006/relationships/hyperlink" Target="https://audio.iskcondesiretree.com/01_-_Srila_Prabhupada/01_-_Lectures/01_-_English/02_-_Month_wise/02_-_Feburary/05/Bg_16-09_HAW_1975-02-05_The_Demonic-No_Sense_of_God.mp3" TargetMode="External"/><Relationship Id="rId2971" Type="http://schemas.openxmlformats.org/officeDocument/2006/relationships/hyperlink" Target="https://audio.iskcondesiretree.com/01_-_Srila_Prabhupada/01_-_Lectures/01_-_English/01_-_Topic_wise/Arrival_Address/SP_Arrival_Address_Calcutta_1975-03-20.MP3" TargetMode="External"/><Relationship Id="rId3815" Type="http://schemas.openxmlformats.org/officeDocument/2006/relationships/hyperlink" Target="https://audio.iskcondesiretree.com/01_-_Srila_Prabhupada/01_-_Lectures/01_-_English/01_-_Topic_wise/Srimad_Bhagavatam/Canto-07/SP_SB_7-05-31_Mauritius_1975-10-04_Books_for_the_Blind.mp3" TargetMode="External"/><Relationship Id="rId5030" Type="http://schemas.openxmlformats.org/officeDocument/2006/relationships/hyperlink" Target="https://audio.iskcondesiretree.com/01_-_Srila_Prabhupada/01_-_Lectures/01_-_English/02_-_Month_wise/07_-_July/27/RC_LON_1976-07-27_A_Wrong_Civilization.mp3" TargetMode="External"/><Relationship Id="rId943" Type="http://schemas.openxmlformats.org/officeDocument/2006/relationships/hyperlink" Target="https://audio.iskcondesiretree.com/01_-_Srila_Prabhupada/01_-_Lectures/01_-_English/01_-_Topic_wise/Bhagavad_Gita/Chapter-02/SP_BG_02-13_Los_Angeles_1973-04-14_The_First_Lesson-Not_This_Body.mp3" TargetMode="External"/><Relationship Id="rId1019" Type="http://schemas.openxmlformats.org/officeDocument/2006/relationships/hyperlink" Target="https://audio.iskcondesiretree.com/01_-_Srila_Prabhupada/01_-_Lectures/01_-_English/02_-_Month_wise/05_-_May/17/MW_LA_1973-05-17_Taking_the_Mystery_Out_of_Mystic_Power.mp3" TargetMode="External"/><Relationship Id="rId1573" Type="http://schemas.openxmlformats.org/officeDocument/2006/relationships/hyperlink" Target="https://audio.iskcondesiretree.com/01_-_Srila_Prabhupada/01_-_Lectures/01_-_English/02_-_Month_wise/01_-_January/28/SB_1-16-35_HAW_1974-01-28_Initiations_Make_a_Farce-No_etc.mp3" TargetMode="External"/><Relationship Id="rId1780" Type="http://schemas.openxmlformats.org/officeDocument/2006/relationships/hyperlink" Target="https://audio.iskcondesiretree.com/01_-_Srila_Prabhupada/01_-_Lectures/01_-_English/02_-_Month_wise/03_-_March/29/Bg_04-09_BOM_1974-03-29_Cheater_Leaders.mp3" TargetMode="External"/><Relationship Id="rId2624" Type="http://schemas.openxmlformats.org/officeDocument/2006/relationships/hyperlink" Target="https://audio.iskcondesiretree.com/01_-_Srila_Prabhupada/01_-_Lectures/01_-_English/01_-_Topic_wise/Srimad_Bhagavatam/Canto-03/SP_SB_3-26-07_Bombay_1974-12-19_Tangle_of_Material_Happiness.mp3" TargetMode="External"/><Relationship Id="rId2831" Type="http://schemas.openxmlformats.org/officeDocument/2006/relationships/hyperlink" Target="https://audio.iskcondesiretree.com/01_-_Srila_Prabhupada/01_-_Lectures/01_-_English/02_-_Month_wise/02_-_Feburary/21/SB-01-01-01_1975-02-21_SB-CARACAS.MP3" TargetMode="External"/><Relationship Id="rId5987" Type="http://schemas.openxmlformats.org/officeDocument/2006/relationships/hyperlink" Target="https://audio.iskcondesiretree.com/01_-_Srila_Prabhupada/01_-_Lectures/01_-_English/02_-_Month_wise/11_-_November/03/Conv_1977-11-03_R1-VRNDAVAN.MP3" TargetMode="External"/><Relationship Id="rId72" Type="http://schemas.openxmlformats.org/officeDocument/2006/relationships/hyperlink" Target="https://audio.iskcondesiretree.com/01_-_Srila_Prabhupada/01_-_Lectures/01_-_English/01_-_Topic_wise/Bhagavad_Gita/Chapter-06/SP_BG_06-04-09_New_York_1966-09-04_Engaging_the_Mind_in_Krsna_Consciousness.mp3" TargetMode="External"/><Relationship Id="rId803" Type="http://schemas.openxmlformats.org/officeDocument/2006/relationships/hyperlink" Target="https://audio.iskcondesiretree.com/01_-_Srila_Prabhupada/01_-_Lectures/01_-_English/02_-_Month_wise/11_-_November/09/SB_1-02-30_VRN_1972-11-09_We_Are_Controlled.mp3" TargetMode="External"/><Relationship Id="rId1226" Type="http://schemas.openxmlformats.org/officeDocument/2006/relationships/hyperlink" Target="https://audio.iskcondesiretree.com/01_-_Srila_Prabhupada/01_-_Lectures/01_-_English/01_-_Topic_wise/Bhagavad_Gita/Chapter-02/SP_BG_02-26-27_London_1973-08-29_Why_Lament_Over_Chemicals.mp3" TargetMode="External"/><Relationship Id="rId1433" Type="http://schemas.openxmlformats.org/officeDocument/2006/relationships/hyperlink" Target="https://audio.iskcondesiretree.com/01_-_Srila_Prabhupada/01_-_Lectures/01_-_English/01_-_Topic_wise/Morning_Walk/SP_Morning_Walk_-_Los_Angeles_1973-12-16_The_Absolute_Need_for_God.mp3" TargetMode="External"/><Relationship Id="rId1640" Type="http://schemas.openxmlformats.org/officeDocument/2006/relationships/hyperlink" Target="https://audio.iskcondesiretree.com/01_-_Srila_Prabhupada/01_-_Lectures/01_-_English/01_-_Topic_wise/Bhagavad_Gita/Chapter-07/SP_BG_07-08_Bombay_1974-02-23_Try_to_Experience_Krishna.mp3" TargetMode="External"/><Relationship Id="rId4589" Type="http://schemas.openxmlformats.org/officeDocument/2006/relationships/hyperlink" Target="https://audio.iskcondesiretree.com/01_-_Srila_Prabhupada/01_-_Lectures/01_-_English/02_-_Month_wise/05_-_May/11/SB-06-01-10_1976-05-11_SB-HONOLULU.MP3" TargetMode="External"/><Relationship Id="rId4796" Type="http://schemas.openxmlformats.org/officeDocument/2006/relationships/hyperlink" Target="https://audio.iskcondesiretree.com/01_-_Srila_Prabhupada/01_-_Lectures/01_-_English/01_-_Topic_wise/Morning_Walk/SP_Morning_Walk_-_Toronto_1976-06-21_Everyone_Wants_to_Become_Krishna.mp3" TargetMode="External"/><Relationship Id="rId5847" Type="http://schemas.openxmlformats.org/officeDocument/2006/relationships/hyperlink" Target="https://audio.iskcondesiretree.com/01_-_Srila_Prabhupada/01_-_Lectures/01_-_English/02_-_Month_wise/05_-_May/13/Darshan_1977-05-13_ED-RISHIKESH.MP3" TargetMode="External"/><Relationship Id="rId1500" Type="http://schemas.openxmlformats.org/officeDocument/2006/relationships/hyperlink" Target="https://audio.iskcondesiretree.com/01_-_Srila_Prabhupada/01_-_Lectures/01_-_English/02_-_Month_wise/01_-_January/08/Walk_1974-01-08_MW-LOS_ANGELES.MP3" TargetMode="External"/><Relationship Id="rId3398" Type="http://schemas.openxmlformats.org/officeDocument/2006/relationships/hyperlink" Target="https://audio.iskcondesiretree.com/01_-_Srila_Prabhupada/01_-_Lectures/01_-_English/01_-_Topic_wise/Srimad_Bhagavatam/Canto-06/SP_SB_6-1-16_Denver_1975-06-29.MP3" TargetMode="External"/><Relationship Id="rId4449" Type="http://schemas.openxmlformats.org/officeDocument/2006/relationships/hyperlink" Target="https://audio.iskcondesiretree.com/01_-_Srila_Prabhupada/01_-_Lectures/01_-_English/02_-_Month_wise/04_-_April/08/Speech%E2%80%93Hindi_1976-04-08_SP-VRNDAVAN.MP3" TargetMode="External"/><Relationship Id="rId4656" Type="http://schemas.openxmlformats.org/officeDocument/2006/relationships/hyperlink" Target="https://audio.iskcondesiretree.com/01_-_Srila_Prabhupada/01_-_Lectures/01_-_English/01_-_Topic_wise/Srimad_Bhagavatam/Canto-06/SP_SB_6-01-28_Honolulu_1976-05-28_Killing_the_Soul.mp3" TargetMode="External"/><Relationship Id="rId4863" Type="http://schemas.openxmlformats.org/officeDocument/2006/relationships/hyperlink" Target="https://audio.iskcondesiretree.com/01_-_Srila_Prabhupada/01_-_Lectures/01_-_English/02_-_Month_wise/06_-_June/30/BhavanJournalQuestionnaire-02_1976-06-30_BJ-NEW%20VRINDAVAN.MP3" TargetMode="External"/><Relationship Id="rId5707" Type="http://schemas.openxmlformats.org/officeDocument/2006/relationships/hyperlink" Target="https://audio.iskcondesiretree.com/01_-_Srila_Prabhupada/01_-_Lectures/01_-_English/01_-_Topic_wise/Srimad_Bhagavatam/Canto-07/SP_SB_7-09-03_Mayapur_1977-02-17_Easily_Available_for_Devotees.mp3" TargetMode="External"/><Relationship Id="rId5914" Type="http://schemas.openxmlformats.org/officeDocument/2006/relationships/hyperlink" Target="https://audio.iskcondesiretree.com/01_-_Srila_Prabhupada/01_-_Lectures/01_-_English/02_-_Month_wise/07_-_July/14/Conv_1977-07-14_R1-VRNDAVAN.MP3" TargetMode="External"/><Relationship Id="rId3258" Type="http://schemas.openxmlformats.org/officeDocument/2006/relationships/hyperlink" Target="https://audio.iskcondesiretree.com/01_-_Srila_Prabhupada/01_-_Lectures/01_-_English/02_-_Month_wise/06_-_June/01/SB-03-28-01_1975-06-01_SB-HONOLULU.MP3" TargetMode="External"/><Relationship Id="rId3465" Type="http://schemas.openxmlformats.org/officeDocument/2006/relationships/hyperlink" Target="https://audio.iskcondesiretree.com/01_-_Srila_Prabhupada/01_-_Lectures/01_-_English/01_-_Topic_wise/Interview/SP_Interview_Chicago_1975-07-09_Press--A_Higher_Philosophy.mp3" TargetMode="External"/><Relationship Id="rId3672" Type="http://schemas.openxmlformats.org/officeDocument/2006/relationships/hyperlink" Target="https://audio.iskcondesiretree.com/01_-_Srila_Prabhupada/01_-_Lectures/01_-_English/02_-_Month_wise/08_-_August/14/SB_6-01-56_BOM_1975-08-14_Skin_Expert_to_Soul_Expert.mp3" TargetMode="External"/><Relationship Id="rId4309" Type="http://schemas.openxmlformats.org/officeDocument/2006/relationships/hyperlink" Target="https://audio.iskcondesiretree.com/01_-_Srila_Prabhupada/01_-_Lectures/01_-_English/02_-_Month_wise/03_-_March/02/Walk_1976-03-02_MW-MAYAPUR.MP3" TargetMode="External"/><Relationship Id="rId4516" Type="http://schemas.openxmlformats.org/officeDocument/2006/relationships/hyperlink" Target="https://audio.iskcondesiretree.com/01_-_Srila_Prabhupada/01_-_Lectures/01_-_English/02_-_Month_wise/04_-_April/22/Bg_09-04_MEL_1976-04-22_Civilized_Evolution.mp3" TargetMode="External"/><Relationship Id="rId4723" Type="http://schemas.openxmlformats.org/officeDocument/2006/relationships/hyperlink" Target="https://audio.iskcondesiretree.com/01_-_Srila_Prabhupada/01_-_Lectures/01_-_English/01_-_Topic_wise/Srimad_Bhagavatam/Canto-06/SP_SB_6-01-44_Los_Angeles_1976-06-10_Lion-killer_Rabbit.mp3" TargetMode="External"/><Relationship Id="rId179" Type="http://schemas.openxmlformats.org/officeDocument/2006/relationships/hyperlink" Target="https://audio.iskcondesiretree.com/01_-_Srila_Prabhupada/01_-_Lectures/01_-_English/01_-_Topic_wise/Chaitanya_Charitamrita/Madhya_Lila/SP_CC_M_20-298_New_York_1966-12-20_Gunavataras--The--etc.mp3" TargetMode="External"/><Relationship Id="rId386" Type="http://schemas.openxmlformats.org/officeDocument/2006/relationships/hyperlink" Target="https://audio.iskcondesiretree.com/01_-_Srila_Prabhupada/01_-_Lectures/01_-_English/02_-_Month_wise/03_-_March/23/Lect_HON_1969-03-23_Everyone_Can_Get_the_Highest_etc.mp3" TargetMode="External"/><Relationship Id="rId593" Type="http://schemas.openxmlformats.org/officeDocument/2006/relationships/hyperlink" Target="https://audio.iskcondesiretree.com/01_-_Srila_Prabhupada/01_-_Lectures/01_-_English/02_-_Month_wise/05_-_May/31/SB_2-03-14_LA_1972-05-31_If_You_Actually_Feel_for_People.mp3" TargetMode="External"/><Relationship Id="rId2067" Type="http://schemas.openxmlformats.org/officeDocument/2006/relationships/hyperlink" Target="https://audio.iskcondesiretree.com/01_-_Srila_Prabhupada/01_-_Lectures/01_-_English/02_-_Month_wise/06_-_June/06/Lect_GEN_1974-06-06_To_World_Health_etc.mp3" TargetMode="External"/><Relationship Id="rId2274" Type="http://schemas.openxmlformats.org/officeDocument/2006/relationships/hyperlink" Target="https://audio.iskcondesiretree.com/01_-_Srila_Prabhupada/01_-_Lectures/01_-_English/01_-_Topic_wise/Morning_Walk/SP_Morning_Walk_-_Los_Angeles_1974-07-13_We_Going_to_Produce_Vaishnava_Heroes.mp3" TargetMode="External"/><Relationship Id="rId2481" Type="http://schemas.openxmlformats.org/officeDocument/2006/relationships/hyperlink" Target="https://audio.iskcondesiretree.com/01_-_Srila_Prabhupada/01_-_Lectures/01_-_English/02_-_Month_wise/10_-_October/29/SB_1-08-49_MAY_1974-10-29_Devotees_Have_No_Debts.mp3" TargetMode="External"/><Relationship Id="rId3118" Type="http://schemas.openxmlformats.org/officeDocument/2006/relationships/hyperlink" Target="https://audio.iskcondesiretree.com/01_-_Srila_Prabhupada/01_-_Lectures/01_-_English/02_-_Month_wise/04_-_April/17/Bg_09-01_VRN_1975-04-17_How_to_Become_Non-Envious.mp3" TargetMode="External"/><Relationship Id="rId3325" Type="http://schemas.openxmlformats.org/officeDocument/2006/relationships/hyperlink" Target="https://audio.iskcondesiretree.com/01_-_Srila_Prabhupada/01_-_Lectures/01_-_English/01_-_Topic_wise/Arrival_Address/SP_Arrival_Los_Angeles_1975-06-20_Kindly_Help_Me.mp3" TargetMode="External"/><Relationship Id="rId3532" Type="http://schemas.openxmlformats.org/officeDocument/2006/relationships/hyperlink" Target="https://audio.iskcondesiretree.com/01_-_Srila_Prabhupada/01_-_Lectures/01_-_English/01_-_Topic_wise/Morning_Walk/SP_Morning_Walk_-_San_Francisco_1975-07-16_Become_a_Tree_at_the_University.mp3" TargetMode="External"/><Relationship Id="rId4930" Type="http://schemas.openxmlformats.org/officeDocument/2006/relationships/hyperlink" Target="https://audio.iskcondesiretree.com/01_-_Srila_Prabhupada/01_-_Lectures/01_-_English/02_-_Month_wise/07_-_July/08/CcMadhya-20-103_1976-07-08_CC-WASHINGTON%20DC.MP3" TargetMode="External"/><Relationship Id="rId246" Type="http://schemas.openxmlformats.org/officeDocument/2006/relationships/hyperlink" Target="https://audio.iskcondesiretree.com/01_-_Srila_Prabhupada/01_-_Lectures/01_-_English/01_-_Topic_wise/Bhagavad_Gita/Chapter-04/SP_BG_04-07_Montreal_1968-08-13_The_Divine_Descent_of_Our_Duty.mp3" TargetMode="External"/><Relationship Id="rId453" Type="http://schemas.openxmlformats.org/officeDocument/2006/relationships/hyperlink" Target="https://audio.iskcondesiretree.com/01_-_Srila_Prabhupada/01_-_Lectures/01_-_English/02_-_Month_wise/06_-_June/19/SB_1-05-15_NV_1969-06-19_At_Least_Lift_Your_Anchor.mp3" TargetMode="External"/><Relationship Id="rId660" Type="http://schemas.openxmlformats.org/officeDocument/2006/relationships/hyperlink" Target="https://audio.iskcondesiretree.com/01_-_Srila_Prabhupada/01_-_Lectures/01_-_English/01_-_Topic_wise/Srimad_Bhagavatam/Canto-01/SP_SB_1-02-22_Los_Angeles_1972-08-25_A_First-class_Devotee_Is--etc.mp3" TargetMode="External"/><Relationship Id="rId1083" Type="http://schemas.openxmlformats.org/officeDocument/2006/relationships/hyperlink" Target="https://audio.iskcondesiretree.com/01_-_Srila_Prabhupada/01_-_Lectures/01_-_English/02_-_Month_wise/07_-_July/12/RC_LON_1973-07-12_Schoolmaster-Krishna-More_than_Nirvana.mp3" TargetMode="External"/><Relationship Id="rId1290" Type="http://schemas.openxmlformats.org/officeDocument/2006/relationships/hyperlink" Target="https://audio.iskcondesiretree.com/01_-_Srila_Prabhupada/01_-_Lectures/01_-_English/02_-_Month_wise/09_-_September/25/Lect_BOM_1973-09-25_To_Lifemembers-Goloka_VRN_Is_Everywhere.mp3" TargetMode="External"/><Relationship Id="rId2134" Type="http://schemas.openxmlformats.org/officeDocument/2006/relationships/hyperlink" Target="https://audio.iskcondesiretree.com/01_-_Srila_Prabhupada/01_-_Lectures/01_-_English/02_-_Month_wise/06_-_June/14/Lecture_1974-06-14_LE-PARIS.MP3" TargetMode="External"/><Relationship Id="rId2341" Type="http://schemas.openxmlformats.org/officeDocument/2006/relationships/hyperlink" Target="https://audio.iskcondesiretree.com/01_-_Srila_Prabhupada/01_-_Lectures/01_-_English/01_-_Topic_wise/Srimad_Bhagavatam/Canto-01/SP_SB_1-05-30_Vrindavan_1974-08-11_Mahatma_Speaks_in_Krishna%27s_Favor.mp3" TargetMode="External"/><Relationship Id="rId5497" Type="http://schemas.openxmlformats.org/officeDocument/2006/relationships/hyperlink" Target="https://audio.iskcondesiretree.com/01_-_Srila_Prabhupada/01_-_Lectures/01_-_English/01_-_Topic_wise/Bhagavad_Gita/Chapter-16/SP_BG_16-06_Hyderabad_1976-12-13_Vedic_Secular_State.mp3" TargetMode="External"/><Relationship Id="rId106" Type="http://schemas.openxmlformats.org/officeDocument/2006/relationships/hyperlink" Target="https://audio.iskcondesiretree.com/01_-_Srila_Prabhupada/01_-_Lectures/01_-_English/01_-_Topic_wise/Bhagavad_Gita/Chapter-08/SP_BG_08-22-27_New_York_1966-11-20_Only_by_Bhakti_Can_One_Enter--etc.mp3" TargetMode="External"/><Relationship Id="rId313" Type="http://schemas.openxmlformats.org/officeDocument/2006/relationships/hyperlink" Target="https://audio.iskcondesiretree.com/01_-_Srila_Prabhupada/01_-_Lectures/01_-_English/02_-_Month_wise/12_-_December/06/Bg_02-26_LA_1968-12-06_Evolution_and_Other_Rubbish.mp3" TargetMode="External"/><Relationship Id="rId1150" Type="http://schemas.openxmlformats.org/officeDocument/2006/relationships/hyperlink" Target="https://audio.iskcondesiretree.com/01_-_Srila_Prabhupada/01_-_Lectures/01_-_English/01_-_Topic_wise/Bhagavad_Gita/Chapter-02/SP_BG_02-08_London_1973-08-08_Surpassing_These_Senses.mp3" TargetMode="External"/><Relationship Id="rId4099" Type="http://schemas.openxmlformats.org/officeDocument/2006/relationships/hyperlink" Target="https://audio.iskcondesiretree.com/01_-_Srila_Prabhupada/01_-_Lectures/01_-_English/01_-_Topic_wise/Srimad_Bhagavatam/Canto-07/SP_SB_7-06-01_Bombay_1975-12-17_We_Are_Expansions_of_Radharani.mp3" TargetMode="External"/><Relationship Id="rId5357" Type="http://schemas.openxmlformats.org/officeDocument/2006/relationships/hyperlink" Target="https://audio.iskcondesiretree.com/01_-_Srila_Prabhupada/01_-_Lectures/01_-_English/02_-_Month_wise/10_-_October/30/SB-05-05-08_1976-10-30_SB-VRNDAVAN.MP3" TargetMode="External"/><Relationship Id="rId520" Type="http://schemas.openxmlformats.org/officeDocument/2006/relationships/hyperlink" Target="https://audio.iskcondesiretree.com/01_-_Srila_Prabhupada/01_-_Lectures/01_-_English/01_-_Topic_wise/Festivals/SP_Festivals_Gorakhpur_1971-02-15_Bhaktisiddhanta_Appearance_AM.mp3" TargetMode="External"/><Relationship Id="rId2201" Type="http://schemas.openxmlformats.org/officeDocument/2006/relationships/hyperlink" Target="https://audio.iskcondesiretree.com/01_-_Srila_Prabhupada/01_-_Lectures/01_-_English/01_-_Topic_wise/Room_Conversation/SP_Room_Conversation_Melbourne_1974-06-28_Priest--Tests_for_Godliness.mp3" TargetMode="External"/><Relationship Id="rId5564" Type="http://schemas.openxmlformats.org/officeDocument/2006/relationships/hyperlink" Target="https://audio.iskcondesiretree.com/01_-_Srila_Prabhupada/01_-_Lectures/01_-_English/02_-_Month_wise/01_-_January/05/RC_BOM_1977-01-05_Krishna_Gives_Sincere_Right_Guru.mp3" TargetMode="External"/><Relationship Id="rId5771" Type="http://schemas.openxmlformats.org/officeDocument/2006/relationships/hyperlink" Target="https://audio.iskcondesiretree.com/01_-_Srila_Prabhupada/01_-_Lectures/01_-_English/02_-_Month_wise/03_-_March/27/Conv_1977-03-27_R1-BOMBAY.MP3" TargetMode="External"/><Relationship Id="rId1010" Type="http://schemas.openxmlformats.org/officeDocument/2006/relationships/hyperlink" Target="https://audio.iskcondesiretree.com/01_-_Srila_Prabhupada/01_-_Lectures/01_-_English/02_-_Month_wise/05_-_May/14/SB_1-08-52_LA_1973-05-14_Slaughterhouse_Victims_Were_etc.mp3" TargetMode="External"/><Relationship Id="rId1967" Type="http://schemas.openxmlformats.org/officeDocument/2006/relationships/hyperlink" Target="https://audio.iskcondesiretree.com/01_-_Srila_Prabhupada/01_-_Lectures/01_-_English/01_-_Topic_wise/Room_Conversation/SP_Room_Conversation_Rome_1974-05-23_Irish_Poet--Dog-ism_Cat-ism.mp3" TargetMode="External"/><Relationship Id="rId4166" Type="http://schemas.openxmlformats.org/officeDocument/2006/relationships/hyperlink" Target="https://audio.iskcondesiretree.com/01_-_Srila_Prabhupada/01_-_Lectures/01_-_English/02_-_Month_wise/01_-_January/06/Walk_1976-01-06_MW-NELLORE.MP3" TargetMode="External"/><Relationship Id="rId4373" Type="http://schemas.openxmlformats.org/officeDocument/2006/relationships/hyperlink" Target="https://audio.iskcondesiretree.com/01_-_Srila_Prabhupada/01_-_Lectures/01_-_English/01_-_Topic_wise/Morning_Walk/SP_Morning_Walk_-_Mayapur_1976-03-17_Brain_Is_Already_Created.mp3" TargetMode="External"/><Relationship Id="rId4580" Type="http://schemas.openxmlformats.org/officeDocument/2006/relationships/hyperlink" Target="https://audio.iskcondesiretree.com/01_-_Srila_Prabhupada/01_-_Lectures/01_-_English/02_-_Month_wise/05_-_May/08/SB_6-01-07_HON_1976-05-08_Why_Are_There_Varieties_of_Life.mp3" TargetMode="External"/><Relationship Id="rId5217" Type="http://schemas.openxmlformats.org/officeDocument/2006/relationships/hyperlink" Target="https://audio.iskcondesiretree.com/01_-_Srila_Prabhupada/01_-_Lectures/01_-_English/02_-_Month_wise/09_-_September/11/Conv_1976-09-11_R1-VRNDAVAN.MP3" TargetMode="External"/><Relationship Id="rId5424" Type="http://schemas.openxmlformats.org/officeDocument/2006/relationships/hyperlink" Target="https://audio.iskcondesiretree.com/01_-_Srila_Prabhupada/01_-_Lectures/01_-_English/01_-_Topic_wise/Srimad_Bhagavatam/Canto-05/SP_SB_5-05-28_Vrindavan_1976-11-15_Maharajas_and_Maha-rascals.mp3" TargetMode="External"/><Relationship Id="rId5631" Type="http://schemas.openxmlformats.org/officeDocument/2006/relationships/hyperlink" Target="https://audio.iskcondesiretree.com/01_-_Srila_Prabhupada/01_-_Lectures/01_-_English/01_-_Topic_wise/Room_Conversation/SP_Room_Conversation_Bhuvanesvara_1977-01-25_Sex_and_Salt_Mayapur_Be_Bad_for_You_Not_Krishna.mp3" TargetMode="External"/><Relationship Id="rId4026" Type="http://schemas.openxmlformats.org/officeDocument/2006/relationships/hyperlink" Target="https://audio.iskcondesiretree.com/01_-_Srila_Prabhupada/01_-_Lectures/01_-_English/01_-_Topic_wise/Morning_Walk/SP_Morning_Walk_-_Delhi_1975-11-26_Other_Religious_Systems_Have_No_Knowledge.mp3" TargetMode="External"/><Relationship Id="rId4440" Type="http://schemas.openxmlformats.org/officeDocument/2006/relationships/hyperlink" Target="https://audio.iskcondesiretree.com/01_-_Srila_Prabhupada/01_-_Lectures/01_-_English/02_-_Month_wise/04_-_April/07/Lect_VRN_1976-04-07_The_Guru%27s_Business_is_Not_to_etc.mp3" TargetMode="External"/><Relationship Id="rId3042" Type="http://schemas.openxmlformats.org/officeDocument/2006/relationships/hyperlink" Target="https://audio.iskcondesiretree.com/01_-_Srila_Prabhupada/01_-_Lectures/01_-_English/02_-_Month_wise/04_-_April/03/MW_MAY_1975-04-03_The_Return_Ticket_Hell_Heaven_Hell.mp3" TargetMode="External"/><Relationship Id="rId6198" Type="http://schemas.openxmlformats.org/officeDocument/2006/relationships/hyperlink" Target="https://audio.iskcondesiretree.com/01_-_Srila_Prabhupada/01_-_Lectures/03_-_Hindi/SP_Hindi_26_Lectures_%26_Conversations.mp3" TargetMode="External"/><Relationship Id="rId3859" Type="http://schemas.openxmlformats.org/officeDocument/2006/relationships/hyperlink" Target="https://audio.iskcondesiretree.com/01_-_Srila_Prabhupada/01_-_Lectures/01_-_English/02_-_Month_wise/10_-_October/13/RC_DUR_1975-10-13_Why_No_More_Men_from_Apes.mp3" TargetMode="External"/><Relationship Id="rId5281" Type="http://schemas.openxmlformats.org/officeDocument/2006/relationships/hyperlink" Target="https://audio.iskcondesiretree.com/01_-_Srila_Prabhupada/01_-_Lectures/01_-_English/02_-_Month_wise/09_-_September/29/SB_1-07-36_VRN_1976-09-29_The_Point-Is_Krishna_Pleased.mp3" TargetMode="External"/><Relationship Id="rId2875" Type="http://schemas.openxmlformats.org/officeDocument/2006/relationships/hyperlink" Target="https://audio.iskcondesiretree.com/01_-_Srila_Prabhupada/01_-_Lectures/01_-_English/01_-_Topic_wise/Room_Conversation/SP_Room_Conversation_Atlanta_1975-03-01_Svarupa_Damodar--Origin_of_Specious_Theories.mp3" TargetMode="External"/><Relationship Id="rId3926" Type="http://schemas.openxmlformats.org/officeDocument/2006/relationships/hyperlink" Target="https://audio.iskcondesiretree.com/01_-_Srila_Prabhupada/01_-_Lectures/01_-_English/02_-_Month_wise/10_-_October/28/Walk_1975-10-28_MW-NAIROBI.MP3" TargetMode="External"/><Relationship Id="rId847" Type="http://schemas.openxmlformats.org/officeDocument/2006/relationships/hyperlink" Target="https://audio.iskcondesiretree.com/01_-_Srila_Prabhupada/01_-_Lectures/01_-_English/02_-_Month_wise/11_-_November/29/Bg_02-25_HYD_1972-11-29_Transfer_Your_Love_to_Krishna.mp3" TargetMode="External"/><Relationship Id="rId1477" Type="http://schemas.openxmlformats.org/officeDocument/2006/relationships/hyperlink" Target="https://audio.iskcondesiretree.com/01_-_Srila_Prabhupada/01_-_Lectures/01_-_English/02_-_Month_wise/01_-_January/03/MW_LA_1974-01-03_Cats_Dogs_Camels%2C_Goats_%26_Madmen.mp3" TargetMode="External"/><Relationship Id="rId1891" Type="http://schemas.openxmlformats.org/officeDocument/2006/relationships/hyperlink" Target="https://audio.iskcondesiretree.com/01_-_Srila_Prabhupada/01_-_Lectures/01_-_English/02_-_Month_wise/04_-_April/18/Interview_1974-04-18-PC-HYDERABAD.MP3" TargetMode="External"/><Relationship Id="rId2528" Type="http://schemas.openxmlformats.org/officeDocument/2006/relationships/hyperlink" Target="https://audio.iskcondesiretree.com/01_-_Srila_Prabhupada/01_-_Lectures/01_-_English/02_-_Month_wise/11_-_November/17/SB-03-25-17_1974-11-17_SB-BOMBAY.MP3" TargetMode="External"/><Relationship Id="rId2942" Type="http://schemas.openxmlformats.org/officeDocument/2006/relationships/hyperlink" Target="https://audio.iskcondesiretree.com/01_-_Srila_Prabhupada/01_-_Lectures/01_-_English/02_-_Month_wise/03_-_March/11/Walk_1975-03-11_MW-LONDON.MP3" TargetMode="External"/><Relationship Id="rId914" Type="http://schemas.openxmlformats.org/officeDocument/2006/relationships/hyperlink" Target="https://audio.iskcondesiretree.com/01_-_Srila_Prabhupada/01_-_Lectures/01_-_English/01_-_Topic_wise/Nectar_Of_Devotion/SP_NOD_Pg-33_Calcutta_1973-01-30_-_A_Devotee%27s_Pleasure.mp3" TargetMode="External"/><Relationship Id="rId1544" Type="http://schemas.openxmlformats.org/officeDocument/2006/relationships/hyperlink" Target="https://audio.iskcondesiretree.com/01_-_Srila_Prabhupada/01_-_Lectures/01_-_English/02_-_Month_wise/01_-_January/18/SB_1-16-22_HAW_1974-01-18_Cow_Killing-Rascal_Government.mp3" TargetMode="External"/><Relationship Id="rId5001" Type="http://schemas.openxmlformats.org/officeDocument/2006/relationships/hyperlink" Target="https://audio.iskcondesiretree.com/01_-_Srila_Prabhupada/01_-_Lectures/01_-_English/02_-_Month_wise/07_-_July/19/Conv_1976-07-19_R2-NEW%20YORK.MP3" TargetMode="External"/><Relationship Id="rId1611" Type="http://schemas.openxmlformats.org/officeDocument/2006/relationships/hyperlink" Target="https://audio.iskcondesiretree.com/01_-_Srila_Prabhupada/01_-_Lectures/01_-_English/01_-_Topic_wise/Bhagavad_Gita/Chapter-04/SP_BG_04-05_Vrindavan_1974-02-13.mp3" TargetMode="External"/><Relationship Id="rId4767" Type="http://schemas.openxmlformats.org/officeDocument/2006/relationships/hyperlink" Target="https://audio.iskcondesiretree.com/01_-_Srila_Prabhupada/01_-_Lectures/01_-_English/02_-_Month_wise/06_-_June/17/Conv_1976-06-17_R2-TORONTO.MP3" TargetMode="External"/><Relationship Id="rId5818" Type="http://schemas.openxmlformats.org/officeDocument/2006/relationships/hyperlink" Target="https://audio.iskcondesiretree.com/01_-_Srila_Prabhupada/01_-_Lectures/01_-_English/01_-_Topic_wise/Room_Conversation/SP_Room_Conversation_Bombay_1977-04-24_Service_to_Man-Service_to_God.mp3" TargetMode="External"/><Relationship Id="rId3369" Type="http://schemas.openxmlformats.org/officeDocument/2006/relationships/hyperlink" Target="https://audio.iskcondesiretree.com/01_-_Srila_Prabhupada/01_-_Lectures/01_-_English/02_-_Month_wise/06_-_June/25/SB_6-01-12_LA_1975-06-25_Repent_Sinners_How.mp3" TargetMode="External"/><Relationship Id="rId2385" Type="http://schemas.openxmlformats.org/officeDocument/2006/relationships/hyperlink" Target="https://audio.iskcondesiretree.com/01_-_Srila_Prabhupada/01_-_Lectures/01_-_English/02_-_Month_wise/09_-_September/26/SB-01-02-18_1974-09-26_SB-CALCUTTA.MP3" TargetMode="External"/><Relationship Id="rId3783" Type="http://schemas.openxmlformats.org/officeDocument/2006/relationships/hyperlink" Target="https://audio.iskcondesiretree.com/01_-_Srila_Prabhupada/01_-_Lectures/01_-_English/02_-_Month_wise/09_-_September/25/Bg-07-01%E2%80%93Hindi_1975-09-25_BG-AHMEDABAD.MP3" TargetMode="External"/><Relationship Id="rId4834" Type="http://schemas.openxmlformats.org/officeDocument/2006/relationships/hyperlink" Target="https://audio.iskcondesiretree.com/01_-_Srila_Prabhupada/01_-_Lectures/01_-_English/01_-_Topic_wise/Srimad_Bhagavatam/Canto-07/SP_SB_7-06-11_New_Vrindavan_1976-06-27_Natural_Detachment.mp3" TargetMode="External"/><Relationship Id="rId357" Type="http://schemas.openxmlformats.org/officeDocument/2006/relationships/hyperlink" Target="https://audio.iskcondesiretree.com/01_-_Srila_Prabhupada/01_-_Lectures/01_-_English/01_-_Topic_wise/Bhagavad_Gita/Chapter-04/SP_BG_04-19-25_Los_Angeles_1969-01-10_Curing_the_Material_Disease.mp3" TargetMode="External"/><Relationship Id="rId2038" Type="http://schemas.openxmlformats.org/officeDocument/2006/relationships/hyperlink" Target="https://audio.iskcondesiretree.com/01_-_Srila_Prabhupada/01_-_Lectures/01_-_English/02_-_Month_wise/06_-_June/02/Walk_1974-06-02_MW-GENEVA.MP3" TargetMode="External"/><Relationship Id="rId3436" Type="http://schemas.openxmlformats.org/officeDocument/2006/relationships/hyperlink" Target="https://audio.iskcondesiretree.com/01_-_Srila_Prabhupada/01_-_Lectures/01_-_English/01_-_Topic_wise/Morning_Walk/SP_Morning_Walk_-_Chicago_1975-07-05_The_Rarest_Books_in_the_World.mp3" TargetMode="External"/><Relationship Id="rId3850" Type="http://schemas.openxmlformats.org/officeDocument/2006/relationships/hyperlink" Target="https://audio.iskcondesiretree.com/01_-_Srila_Prabhupada/01_-_Lectures/01_-_English/02_-_Month_wise/10_-_October/12/Walk_1975-10-12_MW-DURBAN.MP3" TargetMode="External"/><Relationship Id="rId4901" Type="http://schemas.openxmlformats.org/officeDocument/2006/relationships/hyperlink" Target="https://audio.iskcondesiretree.com/01_-_Srila_Prabhupada/01_-_Lectures/01_-_English/02_-_Month_wise/07_-_July/05/RC_WDC_1976-07-05_Prof-Righteous-Roguish.mp3" TargetMode="External"/><Relationship Id="rId771" Type="http://schemas.openxmlformats.org/officeDocument/2006/relationships/hyperlink" Target="https://audio.iskcondesiretree.com/01_-_Srila_Prabhupada/01_-_Lectures/01_-_English/02_-_Month_wise/11_-_November/01/SB_1-02-21_VRN_1972-11-01_Untying_the_Knot_Between_etc.mp3" TargetMode="External"/><Relationship Id="rId2452" Type="http://schemas.openxmlformats.org/officeDocument/2006/relationships/hyperlink" Target="https://audio.iskcondesiretree.com/01_-_Srila_Prabhupada/01_-_Lectures/01_-_English/01_-_Topic_wise/Srimad_Bhagavatam/Canto-01/SP_SB_1-08-40_Mayapur_1974-10-20_Modern_Inventions_Make_Hell.mp3" TargetMode="External"/><Relationship Id="rId3503" Type="http://schemas.openxmlformats.org/officeDocument/2006/relationships/hyperlink" Target="https://audio.iskcondesiretree.com/01_-_Srila_Prabhupada/01_-_Lectures/01_-_English/02_-_Month_wise/07_-_July/12/Fest_PHI_1975-07-12_Ratha-yatra-Glimpse_of_the_Spiritual_World.mp3" TargetMode="External"/><Relationship Id="rId424" Type="http://schemas.openxmlformats.org/officeDocument/2006/relationships/hyperlink" Target="https://audio.iskcondesiretree.com/01_-_Srila_Prabhupada/01_-_Lectures/01_-_English/01_-_Topic_wise/Room_Conversation/SP_Room_Conversation_Columbus_1969-05-12_Allen_Ginsberg--Our_Krishna_is_Love.mp3" TargetMode="External"/><Relationship Id="rId1054" Type="http://schemas.openxmlformats.org/officeDocument/2006/relationships/hyperlink" Target="https://audio.iskcondesiretree.com/01_-_Srila_Prabhupada/01_-_Lectures/01_-_English/02_-_Month_wise/06_-_June/30/Bg_09-11_CAL_1973-06-30_If_You_Want_to_Remain_Mudha.mp3" TargetMode="External"/><Relationship Id="rId2105" Type="http://schemas.openxmlformats.org/officeDocument/2006/relationships/hyperlink" Target="https://audio.iskcondesiretree.com/01_-_Srila_Prabhupada/01_-_Lectures/01_-_English/01_-_Topic_wise/Various/SP_Car_Conversation_Paris_1974-06-12.mp3" TargetMode="External"/><Relationship Id="rId5675" Type="http://schemas.openxmlformats.org/officeDocument/2006/relationships/hyperlink" Target="https://audio.iskcondesiretree.com/01_-_Srila_Prabhupada/01_-_Lectures/01_-_English/02_-_Month_wise/02_-_Feburary/02/Walk_1977-02-02_MW-BHUBANESWAR.MP3" TargetMode="External"/><Relationship Id="rId1121" Type="http://schemas.openxmlformats.org/officeDocument/2006/relationships/hyperlink" Target="https://audio.iskcondesiretree.com/01_-_Srila_Prabhupada/01_-_Lectures/01_-_English/01_-_Topic_wise/Room_Conversation/SP_Room_Conversation_London_1973-07-25_Devotee%27s_Mother_and_Jesuit_Priest.mp3" TargetMode="External"/><Relationship Id="rId4277" Type="http://schemas.openxmlformats.org/officeDocument/2006/relationships/hyperlink" Target="https://audio.iskcondesiretree.com/01_-_Srila_Prabhupada/01_-_Lectures/01_-_English/02_-_Month_wise/02_-_Feburary/24/SB_7-09-17_MAY_1976-02-24_Crushed_by_the_Wheel_of_Time.mp3" TargetMode="External"/><Relationship Id="rId4691" Type="http://schemas.openxmlformats.org/officeDocument/2006/relationships/hyperlink" Target="https://audio.iskcondesiretree.com/01_-_Srila_Prabhupada/01_-_Lectures/01_-_English/02_-_Month_wise/06_-_June/05/SB-06-01-39_1976-06-05_SB-LOS%20ANGELES.MP3" TargetMode="External"/><Relationship Id="rId5328" Type="http://schemas.openxmlformats.org/officeDocument/2006/relationships/hyperlink" Target="https://audio.iskcondesiretree.com/01_-_Srila_Prabhupada/01_-_Lectures/01_-_English/01_-_Topic_wise/Room_Conversation/SP_Room_Conversation_Chandigarh_1976-10-14_Next_Body-Are_You_Not_Afraid.mp3" TargetMode="External"/><Relationship Id="rId5742" Type="http://schemas.openxmlformats.org/officeDocument/2006/relationships/hyperlink" Target="https://audio.iskcondesiretree.com/01_-_Srila_Prabhupada/01_-_Lectures/01_-_English/02_-_Month_wise/02_-_Feburary/27/SB_7-09-07_MAY_1977-02-27_Touch_Krishna_By_Your_Tongue.mp3" TargetMode="External"/><Relationship Id="rId3293" Type="http://schemas.openxmlformats.org/officeDocument/2006/relationships/hyperlink" Target="https://audio.iskcondesiretree.com/01_-_Srila_Prabhupada/01_-_Lectures/01_-_English/01_-_Topic_wise/Room_Conversation/SP_Room_Converstion_04_Honolulu_1975-06-15.MP3" TargetMode="External"/><Relationship Id="rId4344" Type="http://schemas.openxmlformats.org/officeDocument/2006/relationships/hyperlink" Target="https://audio.iskcondesiretree.com/01_-_Srila_Prabhupada/01_-_Lectures/01_-_English/02_-_Month_wise/03_-_March/11/SB-07-09-33_1976-03-11_SB-MAYAPUR.MP3" TargetMode="External"/><Relationship Id="rId1938" Type="http://schemas.openxmlformats.org/officeDocument/2006/relationships/hyperlink" Target="https://audio.iskcondesiretree.com/01_-_Srila_Prabhupada/01_-_Lectures/01_-_English/02_-_Month_wise/04_-_April/27/Bg_07-01_HYD_1974-04-27_Krishna_in_His_Vibration_Form.mp3" TargetMode="External"/><Relationship Id="rId3360" Type="http://schemas.openxmlformats.org/officeDocument/2006/relationships/hyperlink" Target="https://audio.iskcondesiretree.com/01_-_Srila_Prabhupada/01_-_Lectures/01_-_English/02_-_Month_wise/06_-_June/24/Conv_1975-06-24_GC-LOS%20ANGELES.MP3" TargetMode="External"/><Relationship Id="rId281" Type="http://schemas.openxmlformats.org/officeDocument/2006/relationships/hyperlink" Target="https://audio.iskcondesiretree.com/01_-_Srila_Prabhupada/01_-_Lectures/01_-_English/02_-_Month_wise/10_-_October/20/Lect_SEA_1968-10-20_Initiation-Counteract_Age_of_Quarrel.mp3" TargetMode="External"/><Relationship Id="rId3013" Type="http://schemas.openxmlformats.org/officeDocument/2006/relationships/hyperlink" Target="https://audio.iskcondesiretree.com/01_-_Srila_Prabhupada/01_-_Lectures/01_-_English/02_-_Month_wise/03_-_March/30/Conv_1975-03-30_R1-MAYAPUR.MP3" TargetMode="External"/><Relationship Id="rId4411" Type="http://schemas.openxmlformats.org/officeDocument/2006/relationships/hyperlink" Target="https://audio.iskcondesiretree.com/01_-_Srila_Prabhupada/01_-_Lectures/01_-_English/02_-_Month_wise/03_-_March/26/MW_DEL_1976-03-26_Impious_and_Pious_are_the_Same.mp3" TargetMode="External"/><Relationship Id="rId6169" Type="http://schemas.openxmlformats.org/officeDocument/2006/relationships/hyperlink" Target="https://audio.iskcondesiretree.com/01_-_Srila_Prabhupada/01_-_Lectures/01_-_English/01_-_Topic_wise/Stories/SP_Story_45_Yogi_who_could_walk_on_water.mp3" TargetMode="External"/><Relationship Id="rId2779" Type="http://schemas.openxmlformats.org/officeDocument/2006/relationships/hyperlink" Target="https://audio.iskcondesiretree.com/01_-_Srila_Prabhupada/01_-_Lectures/01_-_English/01_-_Topic_wise/Srimad_Bhagavatam/Canto-02/SP_SB_2-08-07_Los_Angeles_1975-02-10_What_Caused_Our_Coming_Here.mp3" TargetMode="External"/><Relationship Id="rId5185" Type="http://schemas.openxmlformats.org/officeDocument/2006/relationships/hyperlink" Target="https://audio.iskcondesiretree.com/01_-_Srila_Prabhupada/01_-_Lectures/01_-_English/02_-_Month_wise/09_-_September/04/SB_1-07-05_VRN_1976-09-04_Human_Life-Understand_God.mp3" TargetMode="External"/><Relationship Id="rId1795" Type="http://schemas.openxmlformats.org/officeDocument/2006/relationships/hyperlink" Target="https://audio.iskcondesiretree.com/01_-_Srila_Prabhupada/01_-_Lectures/01_-_English/01_-_Topic_wise/Bhagavad_Gita/Chapter-04/SP_BG_04-12_Bombay_1974-04-01_Hear_Talk_Chant_Eat_Work--etc.mp3" TargetMode="External"/><Relationship Id="rId2846" Type="http://schemas.openxmlformats.org/officeDocument/2006/relationships/hyperlink" Target="https://audio.iskcondesiretree.com/01_-_Srila_Prabhupada/01_-_Lectures/01_-_English/02_-_Month_wise/02_-_Feburary/24/SB-01-01-03_1975-02-24_SB-CARACAS.MP3" TargetMode="External"/><Relationship Id="rId5252" Type="http://schemas.openxmlformats.org/officeDocument/2006/relationships/hyperlink" Target="https://audio.iskcondesiretree.com/01_-_Srila_Prabhupada/01_-_Lectures/01_-_English/02_-_Month_wise/09_-_September/22/SB-01-07-25_1976-09-22_SB-VRNDAVAN.MP3" TargetMode="External"/><Relationship Id="rId87" Type="http://schemas.openxmlformats.org/officeDocument/2006/relationships/hyperlink" Target="https://audio.iskcondesiretree.com/01_-_Srila_Prabhupada/01_-_Lectures/01_-_English/02_-_Month_wise/10_-_October/02/Bg_07-08_NY_1966-10-02_Remembering_Krishna_24_Hours_a_Day.mp3" TargetMode="External"/><Relationship Id="rId818" Type="http://schemas.openxmlformats.org/officeDocument/2006/relationships/hyperlink" Target="https://audio.iskcondesiretree.com/01_-_Srila_Prabhupada/01_-_Lectures/01_-_English/02_-_Month_wise/11_-_November/13/NOD_15_VRN_1972-11-13_The_Complete_Science_of_Bhakti-Yoga.mp3" TargetMode="External"/><Relationship Id="rId1448" Type="http://schemas.openxmlformats.org/officeDocument/2006/relationships/hyperlink" Target="https://audio.iskcondesiretree.com/01_-_Srila_Prabhupada/01_-_Lectures/01_-_English/02_-_Month_wise/12_-_December/20/SB_1-15-42_LA_1973-12-20_Trust_a_God_You_Don%27t_Know.mp3" TargetMode="External"/><Relationship Id="rId1862" Type="http://schemas.openxmlformats.org/officeDocument/2006/relationships/hyperlink" Target="https://audio.iskcondesiretree.com/01_-_Srila_Prabhupada/01_-_Lectures/01_-_English/02_-_Month_wise/04_-_April/12/Bg-04-23_1974-04-12_BG-BOMBAY.MP3" TargetMode="External"/><Relationship Id="rId2913" Type="http://schemas.openxmlformats.org/officeDocument/2006/relationships/hyperlink" Target="https://audio.iskcondesiretree.com/01_-_Srila_Prabhupada/01_-_Lectures/01_-_English/02_-_Month_wise/03_-_March/05/Interview_1975-03-05_IV-NEW%20YORK.MP3" TargetMode="External"/><Relationship Id="rId1515" Type="http://schemas.openxmlformats.org/officeDocument/2006/relationships/hyperlink" Target="https://audio.iskcondesiretree.com/01_-_Srila_Prabhupada/01_-_Lectures/01_-_English/01_-_Topic_wise/Srimad_Bhagavatam/Canto-01/SP_SB_1-16-16_Los_Angeles_1974-01-11_Respects-Who_Will_Chastise.mp3" TargetMode="External"/><Relationship Id="rId6093" Type="http://schemas.openxmlformats.org/officeDocument/2006/relationships/hyperlink" Target="https://audio.iskcondesiretree.com/01_-_Srila_Prabhupada/01_-_Lectures/01_-_English/01_-_Topic_wise/Krishna_Book/SP_Krsna_Book_Dict_49_-_Ill-Motivated_Dhrtarastra.mp3" TargetMode="External"/><Relationship Id="rId3687" Type="http://schemas.openxmlformats.org/officeDocument/2006/relationships/hyperlink" Target="https://audio.iskcondesiretree.com/01_-_Srila_Prabhupada/01_-_Lectures/01_-_English/01_-_Topic_wise/Morning_Walk/SP_Morning_Walk_-_Vrindavan_1975-08-27.MP3" TargetMode="External"/><Relationship Id="rId4738" Type="http://schemas.openxmlformats.org/officeDocument/2006/relationships/hyperlink" Target="https://audio.iskcondesiretree.com/01_-_Srila_Prabhupada/01_-_Lectures/01_-_English/02_-_Month_wise/06_-_June/12/SB-06-01-46_1976-06-12_SB-DETROIT.MP3" TargetMode="External"/><Relationship Id="rId2289" Type="http://schemas.openxmlformats.org/officeDocument/2006/relationships/hyperlink" Target="https://audio.iskcondesiretree.com/01_-_Srila_Prabhupada/01_-_Lectures/01_-_English/02_-_Month_wise/07_-_July/15/Departure_1974-07-15_DP-LOS%20ANGELES.MP3" TargetMode="External"/><Relationship Id="rId3754" Type="http://schemas.openxmlformats.org/officeDocument/2006/relationships/hyperlink" Target="https://audio.iskcondesiretree.com/01_-_Srila_Prabhupada/01_-_Lectures/01_-_English/02_-_Month_wise/09_-_September/13/MW_VRN_1975-09-13_Who_Made_You_Embodied.mp3" TargetMode="External"/><Relationship Id="rId4805" Type="http://schemas.openxmlformats.org/officeDocument/2006/relationships/hyperlink" Target="https://audio.iskcondesiretree.com/01_-_Srila_Prabhupada/01_-_Lectures/01_-_English/02_-_Month_wise/06_-_June/22/RC_NV_1976-06-22_Cloudburst_vs_Tap_Water.mp3" TargetMode="External"/><Relationship Id="rId6160" Type="http://schemas.openxmlformats.org/officeDocument/2006/relationships/hyperlink" Target="https://audio.iskcondesiretree.com/01_-_Srila_Prabhupada/01_-_Lectures/01_-_English/01_-_Topic_wise/Stories/SP_Story_36_Shah_Jahan.mp3" TargetMode="External"/><Relationship Id="rId675" Type="http://schemas.openxmlformats.org/officeDocument/2006/relationships/hyperlink" Target="https://audio.iskcondesiretree.com/01_-_Srila_Prabhupada/01_-_Lectures/01_-_English/02_-_Month_wise/09_-_September/05/SB_1-02-06_NV_1972-09-05_This_Nice_Car_Is_Rotten.mp3" TargetMode="External"/><Relationship Id="rId2356" Type="http://schemas.openxmlformats.org/officeDocument/2006/relationships/hyperlink" Target="https://audio.iskcondesiretree.com/01_-_Srila_Prabhupada/01_-_Lectures/01_-_English/02_-_Month_wise/08_-_August/13/SB-01-05-32_1974-08-13_SB-VRNDAVAN.MP3" TargetMode="External"/><Relationship Id="rId2770" Type="http://schemas.openxmlformats.org/officeDocument/2006/relationships/hyperlink" Target="https://audio.iskcondesiretree.com/01_-_Srila_Prabhupada/01_-_Lectures/01_-_English/02_-_Month_wise/02_-_Feburary/07/Bg_16-11_HAW_1975-02-07_Anxiety_Unlimited.mp3" TargetMode="External"/><Relationship Id="rId3407" Type="http://schemas.openxmlformats.org/officeDocument/2006/relationships/hyperlink" Target="https://audio.iskcondesiretree.com/01_-_Srila_Prabhupada/01_-_Lectures/01_-_English/02_-_Month_wise/06_-_June/30/SB_6-01-17_DEN_1975-06-30_Who_Is_a_True_Christian.mp3" TargetMode="External"/><Relationship Id="rId3821" Type="http://schemas.openxmlformats.org/officeDocument/2006/relationships/hyperlink" Target="https://audio.iskcondesiretree.com/01_-_Srila_Prabhupada/01_-_Lectures/01_-_English/02_-_Month_wise/10_-_October/04/Walk_1975-10-04_MW-MAURITIUS.MP3" TargetMode="External"/><Relationship Id="rId328" Type="http://schemas.openxmlformats.org/officeDocument/2006/relationships/hyperlink" Target="https://audio.iskcondesiretree.com/01_-_Srila_Prabhupada/01_-_Lectures/01_-_English/02_-_Month_wise/12_-_December/19/Lect_LA_1968-12-19_Initiation-Avoiding_the_Ten_Offenses.mp3" TargetMode="External"/><Relationship Id="rId742" Type="http://schemas.openxmlformats.org/officeDocument/2006/relationships/hyperlink" Target="https://audio.iskcondesiretree.com/01_-_Srila_Prabhupada/01_-_Lectures/01_-_English/01_-_Topic_wise/Nectar_Of_Devotion/SP_NOD_03_Vrindavan_1972-10-24_-_The_Complete_Science_of_Bhakti_Yoga.mp3" TargetMode="External"/><Relationship Id="rId1372" Type="http://schemas.openxmlformats.org/officeDocument/2006/relationships/hyperlink" Target="https://audio.iskcondesiretree.com/01_-_Srila_Prabhupada/01_-_Lectures/01_-_English/02_-_Month_wise/11_-_November/25/SB_1-10-04_LON_1973-11-25_Get_Necessities_from_the_Land.mp3" TargetMode="External"/><Relationship Id="rId2009" Type="http://schemas.openxmlformats.org/officeDocument/2006/relationships/hyperlink" Target="https://audio.iskcondesiretree.com/01_-_Srila_Prabhupada/01_-_Lectures/01_-_English/01_-_Topic_wise/Various/SP_Lecture_Geneva_1974-05-30_I_See_the_Spirit_Soul.mp3" TargetMode="External"/><Relationship Id="rId2423" Type="http://schemas.openxmlformats.org/officeDocument/2006/relationships/hyperlink" Target="https://audio.iskcondesiretree.com/01_-_Srila_Prabhupada/01_-_Lectures/01_-_English/01_-_Topic_wise/Srimad_Bhagavatam/Canto-01/SP_SB_1-08-29_Mayapur_1974-10-09_Krishna%27s_Loving_Impartiality.mp3" TargetMode="External"/><Relationship Id="rId5579" Type="http://schemas.openxmlformats.org/officeDocument/2006/relationships/hyperlink" Target="https://audio.iskcondesiretree.com/01_-_Srila_Prabhupada/01_-_Lectures/01_-_English/02_-_Month_wise/01_-_January/08/RC_BOM_1977-01-08_Relief_from_the_Body.mp3" TargetMode="External"/><Relationship Id="rId1025" Type="http://schemas.openxmlformats.org/officeDocument/2006/relationships/hyperlink" Target="https://audio.iskcondesiretree.com/01_-_Srila_Prabhupada/01_-_Lectures/01_-_English/01_-_Topic_wise/Srimad_Bhagavatam/Canto-01/SP_SB_1-09-40_New_York_1973-05-22_We_Alone_Teach_%27You%27re_Not_This_Body%27.mp3" TargetMode="External"/><Relationship Id="rId4595" Type="http://schemas.openxmlformats.org/officeDocument/2006/relationships/hyperlink" Target="https://audio.iskcondesiretree.com/01_-_Srila_Prabhupada/01_-_Lectures/01_-_English/02_-_Month_wise/05_-_May/12/SB-06-01-11_1976-05-12_SB-HONOLULU.MP3" TargetMode="External"/><Relationship Id="rId5646" Type="http://schemas.openxmlformats.org/officeDocument/2006/relationships/hyperlink" Target="https://audio.iskcondesiretree.com/01_-_Srila_Prabhupada/01_-_Lectures/01_-_English/02_-_Month_wise/01_-_January/29/Bg-07-01_1977-01-29_BG-BHUBANESWAR.MP3" TargetMode="External"/><Relationship Id="rId5993" Type="http://schemas.openxmlformats.org/officeDocument/2006/relationships/hyperlink" Target="https://audio.iskcondesiretree.com/01_-_Srila_Prabhupada/01_-_Lectures/01_-_English/02_-_Month_wise/11_-_November/03/Conv_1977-11-03_R7-VRNDAVAN.MP3" TargetMode="External"/><Relationship Id="rId3197" Type="http://schemas.openxmlformats.org/officeDocument/2006/relationships/hyperlink" Target="https://audio.iskcondesiretree.com/01_-_Srila_Prabhupada/01_-_Lectures/01_-_English/01_-_Topic_wise/Room_Conversation/SP_Room_Conversation_Melbourne_1975-05-19_When_Looking_Inward_is_Looking_Outward.mp3" TargetMode="External"/><Relationship Id="rId4248" Type="http://schemas.openxmlformats.org/officeDocument/2006/relationships/hyperlink" Target="https://audio.iskcondesiretree.com/01_-_Srila_Prabhupada/01_-_Lectures/01_-_English/02_-_Month_wise/02_-_Feburary/18/SB-07-09-11_1976-02-18_SB-MAYAPUR.MP3" TargetMode="External"/><Relationship Id="rId4662" Type="http://schemas.openxmlformats.org/officeDocument/2006/relationships/hyperlink" Target="https://audio.iskcondesiretree.com/01_-_Srila_Prabhupada/01_-_Lectures/01_-_English/02_-_Month_wise/05_-_May/29/SB_6-01-30_HON_1976-05-29_He%27s_Chanting_Narayana_Take_Him.mp3" TargetMode="External"/><Relationship Id="rId5713" Type="http://schemas.openxmlformats.org/officeDocument/2006/relationships/hyperlink" Target="https://audio.iskcondesiretree.com/01_-_Srila_Prabhupada/01_-_Lectures/01_-_English/02_-_Month_wise/02_-_Feburary/18/Conv_1977-02-18_R2-MAYAPUR.MP3" TargetMode="External"/><Relationship Id="rId185" Type="http://schemas.openxmlformats.org/officeDocument/2006/relationships/hyperlink" Target="https://audio.iskcondesiretree.com/01_-_Srila_Prabhupada/01_-_Lectures/01_-_English/02_-_Month_wise/12_-_December/22/Cc_M_20-318_NY_1966-12-22_Manvantara-Avataras_etc.mp3" TargetMode="External"/><Relationship Id="rId1909" Type="http://schemas.openxmlformats.org/officeDocument/2006/relationships/hyperlink" Target="https://audio.iskcondesiretree.com/01_-_Srila_Prabhupada/01_-_Lectures/01_-_English/01_-_Topic_wise/Srimad_Bhagavatam/Canto-01/SP_SB_1-02-07_Hyderabad_1974-04-21_Understand_Your_Position.mp3" TargetMode="External"/><Relationship Id="rId3264" Type="http://schemas.openxmlformats.org/officeDocument/2006/relationships/hyperlink" Target="https://audio.iskcondesiretree.com/01_-_Srila_Prabhupada/01_-_Lectures/01_-_English/01_-_Topic_wise/Morning_Walk/SP_Morning_Walk_-_Honolulu_1975-06-04.MP3" TargetMode="External"/><Relationship Id="rId4315" Type="http://schemas.openxmlformats.org/officeDocument/2006/relationships/hyperlink" Target="https://audio.iskcondesiretree.com/01_-_Srila_Prabhupada/01_-_Lectures/01_-_English/02_-_Month_wise/03_-_March/05/SB-07-09-27_1976-03-05_SB-MAYAPUR.MP3" TargetMode="External"/><Relationship Id="rId2280" Type="http://schemas.openxmlformats.org/officeDocument/2006/relationships/hyperlink" Target="https://audio.iskcondesiretree.com/01_-_Srila_Prabhupada/01_-_Lectures/01_-_English/02_-_Month_wise/07_-_July/13/Walk_1974-07-13_MW-LOS%20ANGELES.MP3" TargetMode="External"/><Relationship Id="rId3331" Type="http://schemas.openxmlformats.org/officeDocument/2006/relationships/hyperlink" Target="https://audio.iskcondesiretree.com/01_-_Srila_Prabhupada/01_-_Lectures/01_-_English/02_-_Month_wise/06_-_June/20/Arrival_1975-06-20_AR-LOS%20ANGELES.MP3" TargetMode="External"/><Relationship Id="rId252" Type="http://schemas.openxmlformats.org/officeDocument/2006/relationships/hyperlink" Target="https://audio.iskcondesiretree.com/01_-_Srila_Prabhupada/01_-_Lectures/01_-_English/01_-_Topic_wise/Srimad_Bhagavatam/Canto-07/SP_SB_7-09-12_Montreal_1968-08-18_God_is_Dead--The_Vulture%27s_Curse.mp3" TargetMode="External"/><Relationship Id="rId5089" Type="http://schemas.openxmlformats.org/officeDocument/2006/relationships/hyperlink" Target="https://audio.iskcondesiretree.com/01_-_Srila_Prabhupada/01_-_Lectures/01_-_English/01_-_Topic_wise/Room_Conversation/SP_Room_Conversation_Tehran_1976-08-11_Progress_Means_Problems.mp3" TargetMode="External"/><Relationship Id="rId1699" Type="http://schemas.openxmlformats.org/officeDocument/2006/relationships/hyperlink" Target="https://audio.iskcondesiretree.com/01_-_Srila_Prabhupada/01_-_Lectures/01_-_English/01_-_Topic_wise/Morning_Walk/SP_Morning_Walk_-_Vrindavan_1974-03-13.mp3" TargetMode="External"/><Relationship Id="rId2000" Type="http://schemas.openxmlformats.org/officeDocument/2006/relationships/hyperlink" Target="https://audio.iskcondesiretree.com/01_-_Srila_Prabhupada/01_-_Lectures/01_-_English/01_-_Topic_wise/Srimad_Bhagavatam/Canto-01/SP_SB_1-02-04_Rome_1974-05-28_%27Riverside--etc.mp3" TargetMode="External"/><Relationship Id="rId5156" Type="http://schemas.openxmlformats.org/officeDocument/2006/relationships/hyperlink" Target="https://audio.iskcondesiretree.com/01_-_Srila_Prabhupada/01_-_Lectures/01_-_English/01_-_Topic_wise/Room_Conversation/SP_Room_Conversation_Hyderabad_1976-08-24_Sweepers_Lepers_and_Government_Ministers.mp3" TargetMode="External"/><Relationship Id="rId5570" Type="http://schemas.openxmlformats.org/officeDocument/2006/relationships/hyperlink" Target="https://audio.iskcondesiretree.com/01_-_Srila_Prabhupada/01_-_Lectures/01_-_English/01_-_Topic_wise/Room_Conversation/SP_Room_Conversation_Bombay_1977-01-08_Relief_from_the_Body.mp3" TargetMode="External"/><Relationship Id="rId4172" Type="http://schemas.openxmlformats.org/officeDocument/2006/relationships/hyperlink" Target="https://audio.iskcondesiretree.com/01_-_Srila_Prabhupada/01_-_Lectures/01_-_English/01_-_Topic_wise/Srimad_Bhagavatam/Canto-06/SP_SB_6-01-15_Nellore_1976-01-08_Liberation_by_Pure_Understanding.mp3" TargetMode="External"/><Relationship Id="rId5223" Type="http://schemas.openxmlformats.org/officeDocument/2006/relationships/hyperlink" Target="https://audio.iskcondesiretree.com/01_-_Srila_Prabhupada/01_-_Lectures/01_-_English/02_-_Month_wise/09_-_September/12/SB-01-07-13%E2%80%9314_1976-09-12_SB-VRNDAVAN.MP3" TargetMode="External"/><Relationship Id="rId1766" Type="http://schemas.openxmlformats.org/officeDocument/2006/relationships/hyperlink" Target="https://audio.iskcondesiretree.com/01_-_Srila_Prabhupada/01_-_Lectures/01_-_English/01_-_Topic_wise/Morning_Walk/SP_Morning_Walk_-_Bombay_1974-03-27.mp3" TargetMode="External"/><Relationship Id="rId2817" Type="http://schemas.openxmlformats.org/officeDocument/2006/relationships/hyperlink" Target="https://audio.iskcondesiretree.com/01_-_Srila_Prabhupada/01_-_Lectures/01_-_English/01_-_Topic_wise/Room_Conversation/SP_Room_Conversation_Caracas_1975-02-19_Profs--A_Perfect_Master.mp3" TargetMode="External"/><Relationship Id="rId58" Type="http://schemas.openxmlformats.org/officeDocument/2006/relationships/hyperlink" Target="https://audio.iskcondesiretree.com/01_-_Srila_Prabhupada/01_-_Lectures/01_-_English/01_-_Topic_wise/Bhagavad_Gita/Chapter-04/SP_BG_04-19-22_New_York_1966-08-08_How_to_Satisfy_Krishna.mp3" TargetMode="External"/><Relationship Id="rId1419" Type="http://schemas.openxmlformats.org/officeDocument/2006/relationships/hyperlink" Target="https://audio.iskcondesiretree.com/01_-_Srila_Prabhupada/01_-_Lectures/01_-_English/01_-_Topic_wise/Morning_Walk/SP_Morning_Walk_-_Los_Angeles_1973-12-13_America_Has_to_Stop_Demonism.mp3" TargetMode="External"/><Relationship Id="rId1833" Type="http://schemas.openxmlformats.org/officeDocument/2006/relationships/hyperlink" Target="https://audio.iskcondesiretree.com/01_-_Srila_Prabhupada/01_-_Lectures/01_-_English/02_-_Month_wise/04_-_April/06/Bg_04-17_BOM_1974-04-06_How_to_Act-How_Not_to_Act.mp3" TargetMode="External"/><Relationship Id="rId4989" Type="http://schemas.openxmlformats.org/officeDocument/2006/relationships/hyperlink" Target="https://audio.iskcondesiretree.com/01_-_Srila_Prabhupada/01_-_Lectures/01_-_English/02_-_Month_wise/07_-_July/17/Conv_1976-07-17_R1-NEW%20YORK.MP3" TargetMode="External"/><Relationship Id="rId1900" Type="http://schemas.openxmlformats.org/officeDocument/2006/relationships/hyperlink" Target="https://audio.iskcondesiretree.com/01_-_Srila_Prabhupada/01_-_Lectures/01_-_English/02_-_Month_wise/04_-_April/19/Walk_1974-04-19_MW-HYDERABAD.MP3" TargetMode="External"/><Relationship Id="rId3658" Type="http://schemas.openxmlformats.org/officeDocument/2006/relationships/hyperlink" Target="https://audio.iskcondesiretree.com/01_-_Srila_Prabhupada/01_-_Lectures/01_-_English/02_-_Month_wise/08_-_August/11/SB-06-01-55_1975-08-11_SB-PARIS.MP3" TargetMode="External"/><Relationship Id="rId4709" Type="http://schemas.openxmlformats.org/officeDocument/2006/relationships/hyperlink" Target="https://audio.iskcondesiretree.com/01_-_Srila_Prabhupada/01_-_Lectures/01_-_English/02_-_Month_wise/06_-_June/08/MW_LA_1976-06-08_Evolutionary_Suffering.mp3" TargetMode="External"/><Relationship Id="rId6064" Type="http://schemas.openxmlformats.org/officeDocument/2006/relationships/hyperlink" Target="https://audio.iskcondesiretree.com/01_-_Srila_Prabhupada/01_-_Lectures/01_-_English/01_-_Topic_wise/Krishna_Book/SP_Krsna_Book_Dict_16_-_The_Subduing_Kaliya.mp3" TargetMode="External"/><Relationship Id="rId579" Type="http://schemas.openxmlformats.org/officeDocument/2006/relationships/hyperlink" Target="https://audio.iskcondesiretree.com/01_-_Srila_Prabhupada/01_-_Lectures/01_-_English/02_-_Month_wise/05_-_May/22/SB_2-03-01_LA_1972-05-22_If_You_Want_Vagina_Instead_of_Krishna.mp3" TargetMode="External"/><Relationship Id="rId993" Type="http://schemas.openxmlformats.org/officeDocument/2006/relationships/hyperlink" Target="https://audio.iskcondesiretree.com/01_-_Srila_Prabhupada/01_-_Lectures/01_-_English/01_-_Topic_wise/Srimad_Bhagavatam/Canto-01/SP_SB_1-08-44_Los_Angeles_1973-05-06_Approaching_All-Good_Absolute.mp3" TargetMode="External"/><Relationship Id="rId2674" Type="http://schemas.openxmlformats.org/officeDocument/2006/relationships/hyperlink" Target="https://audio.iskcondesiretree.com/01_-_Srila_Prabhupada/01_-_Lectures/01_-_English/01_-_Topic_wise/Srimad_Bhagavatam/Canto-03/SP_SB_3-26-28_Bombay_1975-01-05_Centering_the_Central_Sense.mp3" TargetMode="External"/><Relationship Id="rId5080" Type="http://schemas.openxmlformats.org/officeDocument/2006/relationships/hyperlink" Target="https://audio.iskcondesiretree.com/01_-_Srila_Prabhupada/01_-_Lectures/01_-_English/02_-_Month_wise/08_-_August/09/RC_TEH_1976-08-09_The_Good_of_Humanity.mp3" TargetMode="External"/><Relationship Id="rId6131" Type="http://schemas.openxmlformats.org/officeDocument/2006/relationships/hyperlink" Target="https://audio.iskcondesiretree.com/01_-_Srila_Prabhupada/01_-_Lectures/01_-_English/01_-_Topic_wise/Stories/SP_Story_07_The_Brahmana_and_the_Cobbler.mp3" TargetMode="External"/><Relationship Id="rId646" Type="http://schemas.openxmlformats.org/officeDocument/2006/relationships/hyperlink" Target="https://audio.iskcondesiretree.com/01_-_Srila_Prabhupada/01_-_Lectures/01_-_English/01_-_Topic_wise/Srimad_Bhagavatam/Canto-01/SP_SB_1-02-15_Los_Angeles_1972-08-18_Cutting_the_Knots_of_Karma.mp3" TargetMode="External"/><Relationship Id="rId1276" Type="http://schemas.openxmlformats.org/officeDocument/2006/relationships/hyperlink" Target="https://audio.iskcondesiretree.com/01_-_Srila_Prabhupada/01_-_Lectures/01_-_English/01_-_Topic_wise/Srimad_Bhagavatam/Canto-05/SP_SB_5-05-01_Stockholm_1973-09-10_In_Ignorance_All_Is_Defeat.mp3" TargetMode="External"/><Relationship Id="rId2327" Type="http://schemas.openxmlformats.org/officeDocument/2006/relationships/hyperlink" Target="https://audio.iskcondesiretree.com/01_-_Srila_Prabhupada/01_-_Lectures/01_-_English/02_-_Month_wise/08_-_August/06/SB_1-05-25_VRN_1974-08-06_Self_Attraction-Dirty_or_Divine.mp3" TargetMode="External"/><Relationship Id="rId3725" Type="http://schemas.openxmlformats.org/officeDocument/2006/relationships/hyperlink" Target="https://audio.iskcondesiretree.com/01_-_Srila_Prabhupada/01_-_Lectures/01_-_English/02_-_Month_wise/09_-_September/05/SB-06-02-01_1975-09-05_SB-VRNDAVAN.MP3" TargetMode="External"/><Relationship Id="rId1690" Type="http://schemas.openxmlformats.org/officeDocument/2006/relationships/hyperlink" Target="https://audio.iskcondesiretree.com/01_-_Srila_Prabhupada/01_-_Lectures/01_-_English/01_-_Topic_wise/Morning_Walk/SP_Morning_Walk_-_Mayapur_1974-03-09_The_Spirit_of_the_Law.mp3" TargetMode="External"/><Relationship Id="rId2741" Type="http://schemas.openxmlformats.org/officeDocument/2006/relationships/hyperlink" Target="https://audio.iskcondesiretree.com/01_-_Srila_Prabhupada/01_-_Lectures/01_-_English/02_-_Month_wise/01_-_January/29/Bg-16-01%E2%80%9303_1975-01-29_BG-HONOLULU.MP3" TargetMode="External"/><Relationship Id="rId5897" Type="http://schemas.openxmlformats.org/officeDocument/2006/relationships/hyperlink" Target="https://audio.iskcondesiretree.com/01_-_Srila_Prabhupada/01_-_Lectures/01_-_English/02_-_Month_wise/07_-_July/01/Conv_1977-07-01_R2-VRNDAVAN.MP3" TargetMode="External"/><Relationship Id="rId713" Type="http://schemas.openxmlformats.org/officeDocument/2006/relationships/hyperlink" Target="https://audio.iskcondesiretree.com/01_-_Srila_Prabhupada/01_-_Lectures/01_-_English/02_-_Month_wise/09_-_September/30/SB_1-03-25_LA_1972-09-30_The_Folly_of_Our_Age.mp3" TargetMode="External"/><Relationship Id="rId1343" Type="http://schemas.openxmlformats.org/officeDocument/2006/relationships/hyperlink" Target="https://audio.iskcondesiretree.com/01_-_Srila_Prabhupada/01_-_Lectures/01_-_English/01_-_Topic_wise/Room_Conversation/SP_Room_Conversation_Delhi_1973-11-02_High_Words_Will_Not_Do.mp3" TargetMode="External"/><Relationship Id="rId4499" Type="http://schemas.openxmlformats.org/officeDocument/2006/relationships/hyperlink" Target="https://audio.iskcondesiretree.com/01_-_Srila_Prabhupada/01_-_Lectures/01_-_English/02_-_Month_wise/04_-_April/19/Bg_09-01_MEL_1976-04-19_Craft_vs._Knowledge.mp3" TargetMode="External"/><Relationship Id="rId5964" Type="http://schemas.openxmlformats.org/officeDocument/2006/relationships/hyperlink" Target="https://audio.iskcondesiretree.com/01_-_Srila_Prabhupada/01_-_Lectures/01_-_English/02_-_Month_wise/10_-_October/22/Dictation-SB_1977-10-22_SB-VRNDAVAN.MP3" TargetMode="External"/><Relationship Id="rId1410" Type="http://schemas.openxmlformats.org/officeDocument/2006/relationships/hyperlink" Target="https://audio.iskcondesiretree.com/01_-_Srila_Prabhupada/01_-_Lectures/01_-_English/02_-_Month_wise/12_-_December/09/SB_1-15-31_LA_1973-12-09_Illusory_Contemplations.mp3" TargetMode="External"/><Relationship Id="rId4566" Type="http://schemas.openxmlformats.org/officeDocument/2006/relationships/hyperlink" Target="https://audio.iskcondesiretree.com/01_-_Srila_Prabhupada/01_-_Lectures/01_-_English/02_-_Month_wise/05_-_May/04/Conv_1976-05-04_R1-HONOLULU.MP3" TargetMode="External"/><Relationship Id="rId4980" Type="http://schemas.openxmlformats.org/officeDocument/2006/relationships/hyperlink" Target="https://audio.iskcondesiretree.com/01_-_Srila_Prabhupada/01_-_Lectures/01_-_English/02_-_Month_wise/07_-_July/16/Conv_1976-07-16_R1-NEW%20YORK.MP3" TargetMode="External"/><Relationship Id="rId5617" Type="http://schemas.openxmlformats.org/officeDocument/2006/relationships/hyperlink" Target="https://audio.iskcondesiretree.com/01_-_Srila_Prabhupada/01_-_Lectures/01_-_English/02_-_Month_wise/01_-_January/22/Conv_1977-01-22_R2-BHUBANESWAR.MP3" TargetMode="External"/><Relationship Id="rId3168" Type="http://schemas.openxmlformats.org/officeDocument/2006/relationships/hyperlink" Target="https://audio.iskcondesiretree.com/01_-_Srila_Prabhupada/01_-_Lectures/01_-_English/02_-_Month_wise/05_-_May/12/Walk_1975-05-12_MW-PERTH.MP3" TargetMode="External"/><Relationship Id="rId3582" Type="http://schemas.openxmlformats.org/officeDocument/2006/relationships/hyperlink" Target="https://audio.iskcondesiretree.com/01_-_Srila_Prabhupada/01_-_Lectures/01_-_English/02_-_Month_wise/07_-_July/24/Walk_1975-07-24_MW-LOS%20ANGELES.MP3" TargetMode="External"/><Relationship Id="rId4219" Type="http://schemas.openxmlformats.org/officeDocument/2006/relationships/hyperlink" Target="https://audio.iskcondesiretree.com/01_-_Srila_Prabhupada/01_-_Lectures/01_-_English/02_-_Month_wise/02_-_Feburary/08/SB_7-09-01_MAY_1976-02-08_Don%27t_Make_Krishna_Unhappy.mp3" TargetMode="External"/><Relationship Id="rId4633" Type="http://schemas.openxmlformats.org/officeDocument/2006/relationships/hyperlink" Target="https://audio.iskcondesiretree.com/01_-_Srila_Prabhupada/01_-_Lectures/01_-_English/02_-_Month_wise/05_-_May/21/SB_6-01-21_HON_1976-05-21_True_Guru.mp3" TargetMode="External"/><Relationship Id="rId2184" Type="http://schemas.openxmlformats.org/officeDocument/2006/relationships/hyperlink" Target="https://audio.iskcondesiretree.com/01_-_Srila_Prabhupada/01_-_Lectures/01_-_English/02_-_Month_wise/06_-_June/22/Conv_1974-06-22_R1-GERMANY.MP3" TargetMode="External"/><Relationship Id="rId3235" Type="http://schemas.openxmlformats.org/officeDocument/2006/relationships/hyperlink" Target="https://audio.iskcondesiretree.com/01_-_Srila_Prabhupada/01_-_Lectures/01_-_English/01_-_Topic_wise/Morning_Walk/SP_Morning_Walk_-_Melbourne_1975-05-23_The_One_Way_to_Rectify_Rascals.mp3" TargetMode="External"/><Relationship Id="rId156" Type="http://schemas.openxmlformats.org/officeDocument/2006/relationships/hyperlink" Target="https://audio.iskcondesiretree.com/01_-_Srila_Prabhupada/01_-_Lectures/01_-_English/01_-_Topic_wise/Bhagavad_Gita/Chapter-09/SP_BG_09-23_New_York_1966-12-10_I_Am_the_Only_Enjoyer_and_the--etc.mp3" TargetMode="External"/><Relationship Id="rId570" Type="http://schemas.openxmlformats.org/officeDocument/2006/relationships/hyperlink" Target="https://audio.iskcondesiretree.com/01_-_Srila_Prabhupada/01_-_Lectures/01_-_English/02_-_Month_wise/05_-_May/18/Arr_LA_1972-05-18_Seeing_the_Source_of_This_Love.mp3" TargetMode="External"/><Relationship Id="rId2251" Type="http://schemas.openxmlformats.org/officeDocument/2006/relationships/hyperlink" Target="https://audio.iskcondesiretree.com/01_-_Srila_Prabhupada/01_-_Lectures/01_-_English/01_-_Topic_wise/Room_Conversation/SP_Room_Conversation_01_Los_Angeles_1974-07-08.mp3" TargetMode="External"/><Relationship Id="rId3302" Type="http://schemas.openxmlformats.org/officeDocument/2006/relationships/hyperlink" Target="https://audio.iskcondesiretree.com/01_-_Srila_Prabhupada/01_-_Lectures/01_-_English/01_-_Topic_wise/Morning_Walk/SP_Morning_Walk_-_Honolulu_1975-06-16.MP3" TargetMode="External"/><Relationship Id="rId4700" Type="http://schemas.openxmlformats.org/officeDocument/2006/relationships/hyperlink" Target="https://audio.iskcondesiretree.com/01_-_Srila_Prabhupada/01_-_Lectures/01_-_English/02_-_Month_wise/06_-_June/07/MW_LA_1976-06-07_Spiritual_Pursuit-_Purifying_or_Putrefying.mp3" TargetMode="External"/><Relationship Id="rId223" Type="http://schemas.openxmlformats.org/officeDocument/2006/relationships/hyperlink" Target="https://audio.iskcondesiretree.com/01_-_Srila_Prabhupada/01_-_Lectures/01_-_English/01_-_Topic_wise/Room_Conversation/SP_Room_Conversation_Sanand_Francisco_1967-04-05_Part_2_Outline_of_Lord_Caitanya_Play.mp3" TargetMode="External"/><Relationship Id="rId4076" Type="http://schemas.openxmlformats.org/officeDocument/2006/relationships/hyperlink" Target="https://audio.iskcondesiretree.com/01_-_Srila_Prabhupada/01_-_Lectures/01_-_English/01_-_Topic_wise/Morning_Walk/SP_Morning_Walk_-_Vrindavan_1975-12-11_Knowledge-To_Find_the_Source.mp3" TargetMode="External"/><Relationship Id="rId5474" Type="http://schemas.openxmlformats.org/officeDocument/2006/relationships/hyperlink" Target="https://audio.iskcondesiretree.com/01_-_Srila_Prabhupada/01_-_Lectures/01_-_English/02_-_Month_wise/12_-_December/04/Walk_1976-12-04_MW-HYDERABAD.MP3" TargetMode="External"/><Relationship Id="rId4490" Type="http://schemas.openxmlformats.org/officeDocument/2006/relationships/hyperlink" Target="https://audio.iskcondesiretree.com/01_-_Srila_Prabhupada/01_-_Lectures/01_-_English/02_-_Month_wise/04_-_April/17/MW_BOM_1976-04-17_How_to_Use_This_Body.mp3" TargetMode="External"/><Relationship Id="rId5127" Type="http://schemas.openxmlformats.org/officeDocument/2006/relationships/hyperlink" Target="https://audio.iskcondesiretree.com/01_-_Srila_Prabhupada/01_-_Lectures/01_-_English/02_-_Month_wise/08_-_August/17/CcMadhya-20-395_1976-08-17_CC-HYDERABAD.MP3" TargetMode="External"/><Relationship Id="rId5541" Type="http://schemas.openxmlformats.org/officeDocument/2006/relationships/hyperlink" Target="https://audio.iskcondesiretree.com/01_-_Srila_Prabhupada/01_-_Lectures/01_-_English/02_-_Month_wise/12_-_December/29/SB-05-06-11_1976-12-29_SB-BOMBAY.MP3" TargetMode="External"/><Relationship Id="rId1737" Type="http://schemas.openxmlformats.org/officeDocument/2006/relationships/hyperlink" Target="https://audio.iskcondesiretree.com/01_-_Srila_Prabhupada/01_-_Lectures/01_-_English/01_-_Topic_wise/Bhagavad_Gita/Chapter-04/SP_BG_04-01_Bombay_1974-03-21_Take_Perfect_Knowledge.mp3" TargetMode="External"/><Relationship Id="rId3092" Type="http://schemas.openxmlformats.org/officeDocument/2006/relationships/hyperlink" Target="https://audio.iskcondesiretree.com/01_-_Srila_Prabhupada/01_-_Lectures/01_-_English/02_-_Month_wise/04_-_April/12/Conv_1975-04-12_R1-HYDERABAD.MP3" TargetMode="External"/><Relationship Id="rId4143" Type="http://schemas.openxmlformats.org/officeDocument/2006/relationships/hyperlink" Target="https://audio.iskcondesiretree.com/01_-_Srila_Prabhupada/01_-_Lectures/01_-_English/01_-_Topic_wise/Morning_Walk/SP_Morning_Walk_-_Madras_1976-01-02_Bodily_Spirituality_Exposed.mp3" TargetMode="External"/><Relationship Id="rId29" Type="http://schemas.openxmlformats.org/officeDocument/2006/relationships/hyperlink" Target="https://audio.iskcondesiretree.com/01_-_Srila_Prabhupada/01_-_Lectures/01_-_English/02_-_Month_wise/04_-_April/15/Bg_02-55_NY_1966-04-15_Coming_Off_the_Mental_Platform.mp3" TargetMode="External"/><Relationship Id="rId4210" Type="http://schemas.openxmlformats.org/officeDocument/2006/relationships/hyperlink" Target="https://audio.iskcondesiretree.com/01_-_Srila_Prabhupada/01_-_Lectures/01_-_English/02_-_Month_wise/02_-_Feburary/05/Initiations_1976-02-05_IN-MAYAPUR.MP3" TargetMode="External"/><Relationship Id="rId1804" Type="http://schemas.openxmlformats.org/officeDocument/2006/relationships/hyperlink" Target="https://audio.iskcondesiretree.com/01_-_Srila_Prabhupada/01_-_Lectures/01_-_English/02_-_Month_wise/04_-_April/01/Walk_1974-04-01_MW-BOMBAY.MP3" TargetMode="External"/><Relationship Id="rId3976" Type="http://schemas.openxmlformats.org/officeDocument/2006/relationships/hyperlink" Target="https://audio.iskcondesiretree.com/01_-_Srila_Prabhupada/01_-_Lectures/01_-_English/02_-_Month_wise/11_-_November/11/Walk_1975-11-11_MW-BOMBAY.MP3" TargetMode="External"/><Relationship Id="rId6035" Type="http://schemas.openxmlformats.org/officeDocument/2006/relationships/hyperlink" Target="https://audio.iskcondesiretree.com/01_-_Srila_Prabhupada/01_-_Lectures/01_-_English/01_-_Topic_wise/Bhagavad_Gita_Recitation/SP_BG_Recitation_Chapter-02_-_Sanskrit.mp3" TargetMode="External"/><Relationship Id="rId897" Type="http://schemas.openxmlformats.org/officeDocument/2006/relationships/hyperlink" Target="https://audio.iskcondesiretree.com/01_-_Srila_Prabhupada/01_-_Lectures/01_-_English/02_-_Month_wise/01_-_January/12/SB_Lect_BOM_1973-01-12_At_Pandal--Glories_of_Srimad-Bhagavatam.mp3" TargetMode="External"/><Relationship Id="rId2578" Type="http://schemas.openxmlformats.org/officeDocument/2006/relationships/hyperlink" Target="https://audio.iskcondesiretree.com/01_-_Srila_Prabhupada/01_-_Lectures/01_-_English/02_-_Month_wise/12_-_December/03/SB_3-25-33_BOM_1974-12-03_How_to_Dissolve_Our_Suffering.mp3" TargetMode="External"/><Relationship Id="rId2992" Type="http://schemas.openxmlformats.org/officeDocument/2006/relationships/hyperlink" Target="https://audio.iskcondesiretree.com/01_-_Srila_Prabhupada/01_-_Lectures/01_-_English/02_-_Month_wise/03_-_March/26/Cc_A_1-02_MAY_1975-03-26_The_Darkness_Dispellers.mp3" TargetMode="External"/><Relationship Id="rId3629" Type="http://schemas.openxmlformats.org/officeDocument/2006/relationships/hyperlink" Target="https://audio.iskcondesiretree.com/01_-_Srila_Prabhupada/01_-_Lectures/01_-_English/01_-_Topic_wise/Srimad_Bhagavatam/Canto-01/SP_SB_1-2-9_Detroit_1975-08-03_University_Lecture.MP3" TargetMode="External"/><Relationship Id="rId5051" Type="http://schemas.openxmlformats.org/officeDocument/2006/relationships/hyperlink" Target="https://audio.iskcondesiretree.com/01_-_Srila_Prabhupada/01_-_Lectures/01_-_English/01_-_Topic_wise/Room_Conversation/SP_Room_Conversation_New_Mayapur_1976-08-03_Prodigal_Sons_and_Silly_Jackals.mp3" TargetMode="External"/><Relationship Id="rId964" Type="http://schemas.openxmlformats.org/officeDocument/2006/relationships/hyperlink" Target="https://audio.iskcondesiretree.com/01_-_Srila_Prabhupada/01_-_Lectures/01_-_English/02_-_Month_wise/04_-_April/22/SB_1-08-30_LA_1973-04-22_Chant_Chant_Chant_Can%27t_etc.mp3" TargetMode="External"/><Relationship Id="rId1594" Type="http://schemas.openxmlformats.org/officeDocument/2006/relationships/hyperlink" Target="https://audio.iskcondesiretree.com/01_-_Srila_Prabhupada/01_-_Lectures/01_-_English/01_-_Topic_wise/Room_Conversation/SP_Room_Conversation_01_Vrindavan_1974-02-08.mp3" TargetMode="External"/><Relationship Id="rId2645" Type="http://schemas.openxmlformats.org/officeDocument/2006/relationships/hyperlink" Target="https://audio.iskcondesiretree.com/01_-_Srila_Prabhupada/01_-_Lectures/01_-_English/01_-_Topic_wise/Srimad_Bhagavatam/Canto-03/SP_SB_3-26-17_Bombay_1974-12-26_Don%27t_Remain_Asleep.mp3" TargetMode="External"/><Relationship Id="rId6102" Type="http://schemas.openxmlformats.org/officeDocument/2006/relationships/hyperlink" Target="https://audio.iskcondesiretree.com/01_-_Srila_Prabhupada/01_-_Lectures/01_-_English/01_-_Topic_wise/Krishna_Book/SP_Krsna_Book_Dict_62_-_The_Meeting_of_Usa_and_Anirudha.mp3" TargetMode="External"/><Relationship Id="rId617" Type="http://schemas.openxmlformats.org/officeDocument/2006/relationships/hyperlink" Target="https://audio.iskcondesiretree.com/01_-_Srila_Prabhupada/01_-_Lectures/01_-_English/02_-_Month_wise/06_-_June/22/SB_2-03-24_LA_1972-06-22_Steel_framed_Hearts.mp3" TargetMode="External"/><Relationship Id="rId1247" Type="http://schemas.openxmlformats.org/officeDocument/2006/relationships/hyperlink" Target="https://audio.iskcondesiretree.com/01_-_Srila_Prabhupada/01_-_Lectures/01_-_English/02_-_Month_wise/09_-_September/03/Bg_02-33_LON_1973-09-03_Dishonor_Is_Worse_than_Death.mp3" TargetMode="External"/><Relationship Id="rId1661" Type="http://schemas.openxmlformats.org/officeDocument/2006/relationships/hyperlink" Target="https://audio.iskcondesiretree.com/01_-_Srila_Prabhupada/01_-_Lectures/01_-_English/01_-_Topic_wise/Chaitanya_Charitamrita/Adi_Lila/SP_CC_A_07-01_Mayapur_1974-03-01_Lord_Caitanya--Not%20Killing--etc.mp3" TargetMode="External"/><Relationship Id="rId2712" Type="http://schemas.openxmlformats.org/officeDocument/2006/relationships/hyperlink" Target="https://audio.iskcondesiretree.com/01_-_Srila_Prabhupada/01_-_Lectures/01_-_English/02_-_Month_wise/01_-_January/19/SB_3-26-44_BOM_1975-01-19_Pure_Love.mp3" TargetMode="External"/><Relationship Id="rId5868" Type="http://schemas.openxmlformats.org/officeDocument/2006/relationships/hyperlink" Target="https://audio.iskcondesiretree.com/01_-_Srila_Prabhupada/01_-_Lectures/01_-_English/02_-_Month_wise/05_-_May/28/Conv_1977-05-28_R1-VRNDAVAN.MP3" TargetMode="External"/><Relationship Id="rId1314" Type="http://schemas.openxmlformats.org/officeDocument/2006/relationships/hyperlink" Target="https://audio.iskcondesiretree.com/01_-_Srila_Prabhupada/01_-_Lectures/01_-_English/02_-_Month_wise/10_-_October/10/Bg_13-16_BOM_1973-10-10_The_Supreme_Truth_Is_a_Person.mp3" TargetMode="External"/><Relationship Id="rId4884" Type="http://schemas.openxmlformats.org/officeDocument/2006/relationships/hyperlink" Target="https://audio.iskcondesiretree.com/01_-_Srila_Prabhupada/01_-_Lectures/01_-_English/02_-_Month_wise/07_-_July/03/Walk_1976-07-03_MW-WASHINGTON%20DC.MP3" TargetMode="External"/><Relationship Id="rId5935" Type="http://schemas.openxmlformats.org/officeDocument/2006/relationships/hyperlink" Target="https://audio.iskcondesiretree.com/01_-_Srila_Prabhupada/01_-_Lectures/01_-_English/02_-_Month_wise/10_-_October/08/Conv_1977-10-08_R2-VRNDAVAN.MP3" TargetMode="External"/><Relationship Id="rId3486" Type="http://schemas.openxmlformats.org/officeDocument/2006/relationships/hyperlink" Target="https://audio.iskcondesiretree.com/01_-_Srila_Prabhupada/01_-_Lectures/01_-_English/01_-_Topic_wise/Arrival_Address/SP_Arrival_Philadelphia_1975-07-11.MP3" TargetMode="External"/><Relationship Id="rId4537" Type="http://schemas.openxmlformats.org/officeDocument/2006/relationships/hyperlink" Target="https://audio.iskcondesiretree.com/01_-_Srila_Prabhupada/01_-_Lectures/01_-_English/02_-_Month_wise/04_-_April/26/Bg-09-10_1976-04-26_BG-MELBOURNE.MP3" TargetMode="External"/><Relationship Id="rId20" Type="http://schemas.openxmlformats.org/officeDocument/2006/relationships/hyperlink" Target="https://audio.iskcondesiretree.com/01_-_Srila_Prabhupada/01_-_Lectures/01_-_English/01_-_Topic_wise/Bhagavad_Gita/Chapter-02/SP_BG_02-47_New_York_1966-03-28_Soul%27s_Constitutional_Position.mp3" TargetMode="External"/><Relationship Id="rId2088" Type="http://schemas.openxmlformats.org/officeDocument/2006/relationships/hyperlink" Target="https://audio.iskcondesiretree.com/01_-_Srila_Prabhupada/01_-_Lectures/01_-_English/01_-_Topic_wise/Room_Conversation/SP_Room_Conversation_01_Paris_1974-06-10.mp3" TargetMode="External"/><Relationship Id="rId3139" Type="http://schemas.openxmlformats.org/officeDocument/2006/relationships/hyperlink" Target="https://audio.iskcondesiretree.com/01_-_Srila_Prabhupada/01_-_Lectures/01_-_English/01_-_Topic_wise/Srimad_Bhagavatam/Canto-01/SP_SB_1-07-07_Vrindavan_1975-04-24_Curing_Our_Heart_Disease.mp3" TargetMode="External"/><Relationship Id="rId4951" Type="http://schemas.openxmlformats.org/officeDocument/2006/relationships/hyperlink" Target="https://audio.iskcondesiretree.com/01_-_Srila_Prabhupada/01_-_Lectures/01_-_English/02_-_Month_wise/07_-_July/11/RC_NY_1976-07-11_Animal_Killers_Will_Never_Understand_God.mp3" TargetMode="External"/><Relationship Id="rId474" Type="http://schemas.openxmlformats.org/officeDocument/2006/relationships/hyperlink" Target="https://audio.iskcondesiretree.com/01_-_Srila_Prabhupada/01_-_Lectures/01_-_English/01_-_Topic_wise/Various/SP_Lecture_London_1969-09-15_At_Conway_Hall--I_Teach_What_You--etc.mp3" TargetMode="External"/><Relationship Id="rId2155" Type="http://schemas.openxmlformats.org/officeDocument/2006/relationships/hyperlink" Target="https://audio.iskcondesiretree.com/01_-_Srila_Prabhupada/01_-_Lectures/01_-_English/02_-_Month_wise/06_-_June/17/MW_GER_1974-06-17_Fools%27_Paradise_Lost.mp3" TargetMode="External"/><Relationship Id="rId3553" Type="http://schemas.openxmlformats.org/officeDocument/2006/relationships/hyperlink" Target="https://audio.iskcondesiretree.com/01_-_Srila_Prabhupada/01_-_Lectures/01_-_English/01_-_Topic_wise/Srimad_Bhagavatam/Canto-06/SP_SB_6-01-37_San_Francisco_1975-07-19_Irreligious_Religion.mp3" TargetMode="External"/><Relationship Id="rId4604" Type="http://schemas.openxmlformats.org/officeDocument/2006/relationships/hyperlink" Target="https://audio.iskcondesiretree.com/01_-_Srila_Prabhupada/01_-_Lectures/01_-_English/02_-_Month_wise/05_-_May/14/SB-06-01-12%E2%80%9314_1976-05-14_SB-HONOLULU.MP3" TargetMode="External"/><Relationship Id="rId127" Type="http://schemas.openxmlformats.org/officeDocument/2006/relationships/hyperlink" Target="https://audio.iskcondesiretree.com/01_-_Srila_Prabhupada/01_-_Lectures/01_-_English/02_-_Month_wise/11_-_November/26/Cc_M_20-124_NY_1966-11-26_Back_to_Godhead-Life%27s_Ultimate_Goal.mp3" TargetMode="External"/><Relationship Id="rId3206" Type="http://schemas.openxmlformats.org/officeDocument/2006/relationships/hyperlink" Target="https://audio.iskcondesiretree.com/01_-_Srila_Prabhupada/01_-_Lectures/01_-_English/02_-_Month_wise/05_-_May/19/RC_MEL_1975-05-19_When_Looking_Inward_is_Looking_Outward.mp3" TargetMode="External"/><Relationship Id="rId3620" Type="http://schemas.openxmlformats.org/officeDocument/2006/relationships/hyperlink" Target="https://audio.iskcondesiretree.com/01_-_Srila_Prabhupada/01_-_Lectures/01_-_English/01_-_Topic_wise/Room_Conversation/SP_Room_Conversation_01_New_Orleans_1975-08-01.MP3" TargetMode="External"/><Relationship Id="rId541" Type="http://schemas.openxmlformats.org/officeDocument/2006/relationships/hyperlink" Target="https://audio.iskcondesiretree.com/01_-_Srila_Prabhupada/01_-_Lectures/01_-_English/02_-_Month_wise/07_-_July/15/SB_6-01-11_NY_1971-07-15_Karma_and_Again-and-Again_Cures.mp3" TargetMode="External"/><Relationship Id="rId1171" Type="http://schemas.openxmlformats.org/officeDocument/2006/relationships/hyperlink" Target="https://audio.iskcondesiretree.com/01_-_Srila_Prabhupada/01_-_Lectures/01_-_English/02_-_Month_wise/08_-_August/12/RC_PAR_1973-08-12_Recalling_a_Life_of_Pure_Devotion.mp3" TargetMode="External"/><Relationship Id="rId2222" Type="http://schemas.openxmlformats.org/officeDocument/2006/relationships/hyperlink" Target="https://audio.iskcondesiretree.com/01_-_Srila_Prabhupada/01_-_Lectures/01_-_English/02_-_Month_wise/06_-_June/29/RC_MEL_1974-06-29_Transcendental_Psychiatry.mp3" TargetMode="External"/><Relationship Id="rId5378" Type="http://schemas.openxmlformats.org/officeDocument/2006/relationships/hyperlink" Target="https://audio.iskcondesiretree.com/01_-_Srila_Prabhupada/01_-_Lectures/01_-_English/02_-_Month_wise/11_-_November/04/Conv_1976-11-04_R1-VRNDAVAN.MP3" TargetMode="External"/><Relationship Id="rId5792" Type="http://schemas.openxmlformats.org/officeDocument/2006/relationships/hyperlink" Target="https://audio.iskcondesiretree.com/01_-_Srila_Prabhupada/01_-_Lectures/01_-_English/02_-_Month_wise/04_-_April/05/Conv_1977-04-05_R2-BOMBAY.MP3" TargetMode="External"/><Relationship Id="rId1988" Type="http://schemas.openxmlformats.org/officeDocument/2006/relationships/hyperlink" Target="https://audio.iskcondesiretree.com/01_-_Srila_Prabhupada/01_-_Lectures/01_-_English/02_-_Month_wise/05_-_May/25/Walk_1974-05-25_MW-ROME.MP3" TargetMode="External"/><Relationship Id="rId4394" Type="http://schemas.openxmlformats.org/officeDocument/2006/relationships/hyperlink" Target="https://audio.iskcondesiretree.com/01_-_Srila_Prabhupada/01_-_Lectures/01_-_English/02_-_Month_wise/03_-_March/22/Conv%E2%80%93Bengali_1976-03-22_R1-MAYAPUR.MP3" TargetMode="External"/><Relationship Id="rId5445" Type="http://schemas.openxmlformats.org/officeDocument/2006/relationships/hyperlink" Target="https://audio.iskcondesiretree.com/01_-_Srila_Prabhupada/01_-_Lectures/01_-_English/02_-_Month_wise/11_-_November/21/SB-05-05-34_1976-11-21_SB-VRNDAVAN.MP3" TargetMode="External"/><Relationship Id="rId4047" Type="http://schemas.openxmlformats.org/officeDocument/2006/relationships/hyperlink" Target="https://audio.iskcondesiretree.com/01_-_Srila_Prabhupada/01_-_Lectures/01_-_English/01_-_Topic_wise/Morning_Walk/SP_Morning_Walk_-_Vrindavan_1975-12-04_Want_to_Imitate_Rama.mp3" TargetMode="External"/><Relationship Id="rId4461" Type="http://schemas.openxmlformats.org/officeDocument/2006/relationships/hyperlink" Target="https://audio.iskcondesiretree.com/01_-_Srila_Prabhupada/01_-_Lectures/01_-_English/02_-_Month_wise/04_-_April/10/Walk_1976-04-10_MW-VRNDAVAN.MP3" TargetMode="External"/><Relationship Id="rId5512" Type="http://schemas.openxmlformats.org/officeDocument/2006/relationships/hyperlink" Target="https://audio.iskcondesiretree.com/01_-_Srila_Prabhupada/01_-_Lectures/01_-_English/02_-_Month_wise/12_-_December/17/Bg-03-25_1976-12-17_BG-HYDERABAD.MP3" TargetMode="External"/><Relationship Id="rId3063" Type="http://schemas.openxmlformats.org/officeDocument/2006/relationships/hyperlink" Target="https://audio.iskcondesiretree.com/01_-_Srila_Prabhupada/01_-_Lectures/01_-_English/02_-_Month_wise/04_-_April/06/MW_HYD_1975-04-06_A_Perfect_Disciple%27s_Imperfection.mp3" TargetMode="External"/><Relationship Id="rId4114" Type="http://schemas.openxmlformats.org/officeDocument/2006/relationships/hyperlink" Target="https://audio.iskcondesiretree.com/01_-_Srila_Prabhupada/01_-_Lectures/01_-_English/02_-_Month_wise/12_-_December/22/Bg_16-07_BOM_1975-12-22_Demons_and_Devotees.mp3" TargetMode="External"/><Relationship Id="rId1708" Type="http://schemas.openxmlformats.org/officeDocument/2006/relationships/hyperlink" Target="https://audio.iskcondesiretree.com/01_-_Srila_Prabhupada/01_-_Lectures/01_-_English/01_-_Topic_wise/Morning_Walk/SP_Morning_Walk_-_Vrindavan_1974-03-15_Varnashram_College_2--One--etc.mp3" TargetMode="External"/><Relationship Id="rId3130" Type="http://schemas.openxmlformats.org/officeDocument/2006/relationships/hyperlink" Target="https://audio.iskcondesiretree.com/01_-_Srila_Prabhupada/01_-_Lectures/01_-_English/02_-_Month_wise/04_-_April/20/Conv_1975-04-20_R1-VRNDAVAN.MP3" TargetMode="External"/><Relationship Id="rId2896" Type="http://schemas.openxmlformats.org/officeDocument/2006/relationships/hyperlink" Target="https://audio.iskcondesiretree.com/01_-_Srila_Prabhupada/01_-_Lectures/01_-_English/02_-_Month_wise/03_-_March/02/Lecture_1975-03-02_LE-ATLANTA.MP3" TargetMode="External"/><Relationship Id="rId3947" Type="http://schemas.openxmlformats.org/officeDocument/2006/relationships/hyperlink" Target="https://audio.iskcondesiretree.com/01_-_Srila_Prabhupada/01_-_Lectures/01_-_English/02_-_Month_wise/11_-_November/01/Bg-07-05_1975-11-01_BG-NAIROBI.MP3" TargetMode="External"/><Relationship Id="rId868" Type="http://schemas.openxmlformats.org/officeDocument/2006/relationships/hyperlink" Target="https://audio.iskcondesiretree.com/01_-_Srila_Prabhupada/01_-_Lectures/01_-_English/01_-_Topic_wise/Bhagavad_Gita/Chapter-07/SP_BG_07-01_Ahmedabad_1972-12-14_Theory_of_Uncertainty.mp3" TargetMode="External"/><Relationship Id="rId1498" Type="http://schemas.openxmlformats.org/officeDocument/2006/relationships/hyperlink" Target="https://audio.iskcondesiretree.com/01_-_Srila_Prabhupada/01_-_Lectures/01_-_English/02_-_Month_wise/01_-_January/08/SB-01-16-11_1974-01-08_SB-LOS_ANGELES.MP3" TargetMode="External"/><Relationship Id="rId2549" Type="http://schemas.openxmlformats.org/officeDocument/2006/relationships/hyperlink" Target="https://audio.iskcondesiretree.com/01_-_Srila_Prabhupada/01_-_Lectures/01_-_English/01_-_Topic_wise/Srimad_Bhagavatam/Canto-03/SP_SB_3-25-24_Bombay_1974-11-24_Association_of_Devotees.mp3" TargetMode="External"/><Relationship Id="rId2963" Type="http://schemas.openxmlformats.org/officeDocument/2006/relationships/hyperlink" Target="https://audio.iskcondesiretree.com/01_-_Srila_Prabhupada/01_-_Lectures/01_-_English/02_-_Month_wise/03_-_March/14/Conv_1975-03-14_R2-TEHRAN.MP3" TargetMode="External"/><Relationship Id="rId6006" Type="http://schemas.openxmlformats.org/officeDocument/2006/relationships/hyperlink" Target="https://audio.iskcondesiretree.com/01_-_Srila_Prabhupada/01_-_Lectures/01_-_English/02_-_Month_wise/11_-_November/07/Conv_1977-11-07_R2-VRNDAVAN.MP3" TargetMode="External"/><Relationship Id="rId935" Type="http://schemas.openxmlformats.org/officeDocument/2006/relationships/hyperlink" Target="https://audio.iskcondesiretree.com/01_-_Srila_Prabhupada/01_-_Lectures/01_-_English/01_-_Topic_wise/Srimad_Bhagavatam/Canto-01/SP_SB_1-08-18_New_York_1973-04-10_How_to_See_Greatness_of_God.mp3" TargetMode="External"/><Relationship Id="rId1565" Type="http://schemas.openxmlformats.org/officeDocument/2006/relationships/hyperlink" Target="https://audio.iskcondesiretree.com/01_-_Srila_Prabhupada/01_-_Lectures/01_-_English/01_-_Topic_wise/Srimad_Bhagavatam/Canto-01/SP_SB_1-16-26_Hawaii_1974-01-23_How_Can_I_Be_God.mp3" TargetMode="External"/><Relationship Id="rId2616" Type="http://schemas.openxmlformats.org/officeDocument/2006/relationships/hyperlink" Target="https://audio.iskcondesiretree.com/01_-_Srila_Prabhupada/01_-_Lectures/01_-_English/02_-_Month_wise/12_-_December/16/SB-03-26-04_1974-12-16_SB-BOMBAY.MP3" TargetMode="External"/><Relationship Id="rId5022" Type="http://schemas.openxmlformats.org/officeDocument/2006/relationships/hyperlink" Target="https://audio.iskcondesiretree.com/01_-_Srila_Prabhupada/01_-_Lectures/01_-_English/02_-_Month_wise/07_-_July/26/Conv_1976-07-26_R2-LONDON.MP3" TargetMode="External"/><Relationship Id="rId1218" Type="http://schemas.openxmlformats.org/officeDocument/2006/relationships/hyperlink" Target="https://audio.iskcondesiretree.com/01_-_Srila_Prabhupada/01_-_Lectures/01_-_English/01_-_Topic_wise/Bhagavad_Gita/Chapter-02/SP_BG_02-21-22_London_1973-08-26_Your_Body_Is_Ready_Sir--Come%21.mp3" TargetMode="External"/><Relationship Id="rId1632" Type="http://schemas.openxmlformats.org/officeDocument/2006/relationships/hyperlink" Target="https://audio.iskcondesiretree.com/01_-_Srila_Prabhupada/01_-_Lectures/01_-_English/02_-_Month_wise/02_-_Feburary/20/Bg-07-05_1974-02-20_BG-BOMBAY.MP3" TargetMode="External"/><Relationship Id="rId4788" Type="http://schemas.openxmlformats.org/officeDocument/2006/relationships/hyperlink" Target="https://audio.iskcondesiretree.com/01_-_Srila_Prabhupada/01_-_Lectures/01_-_English/02_-_Month_wise/06_-_June/19/Walk_1976-06-19_MW-TORONTO.MP3" TargetMode="External"/><Relationship Id="rId5839" Type="http://schemas.openxmlformats.org/officeDocument/2006/relationships/hyperlink" Target="https://audio.iskcondesiretree.com/01_-_Srila_Prabhupada/01_-_Lectures/01_-_English/02_-_Month_wise/05_-_May/09/RC_HRI_1977-05-09_Don%27t_Be_a_Dog-Be_a_Guru.mp3" TargetMode="External"/><Relationship Id="rId4855" Type="http://schemas.openxmlformats.org/officeDocument/2006/relationships/hyperlink" Target="https://audio.iskcondesiretree.com/01_-_Srila_Prabhupada/01_-_Lectures/01_-_English/02_-_Month_wise/06_-_June/28/SB-07-06-14_1976-06-28_SB-NEW%20VRINDAVAN.MP3" TargetMode="External"/><Relationship Id="rId5906" Type="http://schemas.openxmlformats.org/officeDocument/2006/relationships/hyperlink" Target="https://audio.iskcondesiretree.com/01_-_Srila_Prabhupada/01_-_Lectures/01_-_English/02_-_Month_wise/07_-_July/05/DiscussionBhu-mandala_1977-07-05_DC-VRNDAVAN.MP3" TargetMode="External"/><Relationship Id="rId3457" Type="http://schemas.openxmlformats.org/officeDocument/2006/relationships/hyperlink" Target="https://audio.iskcondesiretree.com/01_-_Srila_Prabhupada/01_-_Lectures/01_-_English/02_-_Month_wise/07_-_July/07/SB_6-01-23_CHI_1975-07-07_Time_and_Tide_Wait_for_No_Man.mp3" TargetMode="External"/><Relationship Id="rId3871" Type="http://schemas.openxmlformats.org/officeDocument/2006/relationships/hyperlink" Target="https://audio.iskcondesiretree.com/01_-_Srila_Prabhupada/01_-_Lectures/01_-_English/01_-_Topic_wise/Room_Conversation/SP_Room_Conversation_Durban_1975-10-15_Dogs%27_Obstinacy.mp3" TargetMode="External"/><Relationship Id="rId4508" Type="http://schemas.openxmlformats.org/officeDocument/2006/relationships/hyperlink" Target="https://audio.iskcondesiretree.com/01_-_Srila_Prabhupada/01_-_Lectures/01_-_English/01_-_Topic_wise/Morning_Walk/SP_Morning_Walk_-_Melbourne_1976-04-21_The_Philosophy_of_Cow_Dung.mp3" TargetMode="External"/><Relationship Id="rId4922" Type="http://schemas.openxmlformats.org/officeDocument/2006/relationships/hyperlink" Target="https://audio.iskcondesiretree.com/01_-_Srila_Prabhupada/01_-_Lectures/01_-_English/02_-_Month_wise/07_-_July/07/Darshan_1976-07-07_ED-WASHINGTON%20DC.MP3" TargetMode="External"/><Relationship Id="rId378" Type="http://schemas.openxmlformats.org/officeDocument/2006/relationships/hyperlink" Target="https://audio.iskcondesiretree.com/01_-_Srila_Prabhupada/01_-_Lectures/01_-_English/02_-_Month_wise/02_-_Feburary/18/Bg_06-25_LA_1969-02-18_Yoga_System--Be_Self-Centered.mp3" TargetMode="External"/><Relationship Id="rId792" Type="http://schemas.openxmlformats.org/officeDocument/2006/relationships/hyperlink" Target="https://audio.iskcondesiretree.com/01_-_Srila_Prabhupada/01_-_Lectures/01_-_English/01_-_Topic_wise/Nectar_Of_Devotion/SP_NOD_11_Vrindavan_1972-11-07_-_The_Complete_Science_of_Bhakti_Yoga.mp3" TargetMode="External"/><Relationship Id="rId2059" Type="http://schemas.openxmlformats.org/officeDocument/2006/relationships/hyperlink" Target="https://audio.iskcondesiretree.com/01_-_Srila_Prabhupada/01_-_Lectures/01_-_English/02_-_Month_wise/06_-_June/05/RC_GEN_1974-06-05_Nuclear_Physicist_Spiritual_Physics.mp3" TargetMode="External"/><Relationship Id="rId2473" Type="http://schemas.openxmlformats.org/officeDocument/2006/relationships/hyperlink" Target="https://audio.iskcondesiretree.com/01_-_Srila_Prabhupada/01_-_Lectures/01_-_English/01_-_Topic_wise/Srimad_Bhagavatam/Canto-01/SP_SB_1-08-47_Mayapur_1974-10-27_Material_Affection_Has_New_Orleans_Meaning.mp3" TargetMode="External"/><Relationship Id="rId3524" Type="http://schemas.openxmlformats.org/officeDocument/2006/relationships/hyperlink" Target="https://audio.iskcondesiretree.com/01_-_Srila_Prabhupada/01_-_Lectures/01_-_English/01_-_Topic_wise/Srimad_Bhagavatam/Canto-06/SP_SB_6-01-30_Philadelphia_1975-07-14_Stop_Wasting_Your_Time--etc.mp3" TargetMode="External"/><Relationship Id="rId445" Type="http://schemas.openxmlformats.org/officeDocument/2006/relationships/hyperlink" Target="https://audio.iskcondesiretree.com/01_-_Srila_Prabhupada/01_-_Lectures/01_-_English/02_-_Month_wise/06_-_June/11/SB_1-05-12_NV_1969-06-11_Unnecessary_Necessities_and_etc.mp3" TargetMode="External"/><Relationship Id="rId1075" Type="http://schemas.openxmlformats.org/officeDocument/2006/relationships/hyperlink" Target="https://audio.iskcondesiretree.com/01_-_Srila_Prabhupada/01_-_Lectures/01_-_English/01_-_Topic_wise/Room_Conversation/SP_Room_Conversation_London_1973-07-11_Guest_%26_Devotees--Yoga_Feeling--etc.mp3" TargetMode="External"/><Relationship Id="rId2126" Type="http://schemas.openxmlformats.org/officeDocument/2006/relationships/hyperlink" Target="https://audio.iskcondesiretree.com/01_-_Srila_Prabhupada/01_-_Lectures/01_-_English/02_-_Month_wise/06_-_June/13/RC_PAR_1974-06-13_Russian_Orthodox_Church_Moral_etc.mp3" TargetMode="External"/><Relationship Id="rId2540" Type="http://schemas.openxmlformats.org/officeDocument/2006/relationships/hyperlink" Target="https://audio.iskcondesiretree.com/01_-_Srila_Prabhupada/01_-_Lectures/01_-_English/02_-_Month_wise/11_-_November/21/SB-03-25-21_1974-11-21_SB-BOMBAY.MP3" TargetMode="External"/><Relationship Id="rId5696" Type="http://schemas.openxmlformats.org/officeDocument/2006/relationships/hyperlink" Target="https://audio.iskcondesiretree.com/01_-_Srila_Prabhupada/01_-_Lectures/01_-_English/02_-_Month_wise/02_-_Feburary/12/Conv_1977-02-12_R1-MAYAPUR.MP3" TargetMode="External"/><Relationship Id="rId512" Type="http://schemas.openxmlformats.org/officeDocument/2006/relationships/hyperlink" Target="https://audio.iskcondesiretree.com/01_-_Srila_Prabhupada/01_-_Lectures/01_-_English/01_-_Topic_wise/Isopanishad/SP_Isopanisad_15_Los_Angeles_1970-05-18_The_Senses_Defanged.mp3" TargetMode="External"/><Relationship Id="rId1142" Type="http://schemas.openxmlformats.org/officeDocument/2006/relationships/hyperlink" Target="https://audio.iskcondesiretree.com/01_-_Srila_Prabhupada/01_-_Lectures/01_-_English/01_-_Topic_wise/Bhagavad_Gita/Chapter-02/SP_BG_02-03_London_1973-08-04_Special_Senses_Are_Required.mp3" TargetMode="External"/><Relationship Id="rId4298" Type="http://schemas.openxmlformats.org/officeDocument/2006/relationships/hyperlink" Target="https://audio.iskcondesiretree.com/01_-_Srila_Prabhupada/01_-_Lectures/01_-_English/01_-_Topic_wise/Srimad_Bhagavatam/Canto-07/SP_SB_7-09-22_Mayapur_1976-02-29_It_Is_Not_Alright.mp3" TargetMode="External"/><Relationship Id="rId5349" Type="http://schemas.openxmlformats.org/officeDocument/2006/relationships/hyperlink" Target="https://audio.iskcondesiretree.com/01_-_Srila_Prabhupada/01_-_Lectures/01_-_English/02_-_Month_wise/10_-_October/27/SB-05-05-05_1976-10-27_SB-VRNDAVAN.MP3" TargetMode="External"/><Relationship Id="rId4365" Type="http://schemas.openxmlformats.org/officeDocument/2006/relationships/hyperlink" Target="https://audio.iskcondesiretree.com/01_-_Srila_Prabhupada/01_-_Lectures/01_-_English/01_-_Topic_wise/Various/SP_Lecture_Mayapur_1976-03-16_Initiation_Sannyasa--No_Ism--No_Schism.mp3" TargetMode="External"/><Relationship Id="rId5763" Type="http://schemas.openxmlformats.org/officeDocument/2006/relationships/hyperlink" Target="https://audio.iskcondesiretree.com/01_-_Srila_Prabhupada/01_-_Lectures/01_-_English/02_-_Month_wise/03_-_March/24/SB-02-03-20_1977-03-24_SB-BOMBAY.MP3" TargetMode="External"/><Relationship Id="rId1959" Type="http://schemas.openxmlformats.org/officeDocument/2006/relationships/hyperlink" Target="https://audio.iskcondesiretree.com/01_-_Srila_Prabhupada/01_-_Lectures/01_-_English/02_-_Month_wise/05_-_May/06/Walk_1974-05-06_MW-BOMBAY.MP3" TargetMode="External"/><Relationship Id="rId4018" Type="http://schemas.openxmlformats.org/officeDocument/2006/relationships/hyperlink" Target="https://audio.iskcondesiretree.com/01_-_Srila_Prabhupada/01_-_Lectures/01_-_English/02_-_Month_wise/11_-_November/21/Walk_1975-11-21_MW-BOMBAY.MP3" TargetMode="External"/><Relationship Id="rId5416" Type="http://schemas.openxmlformats.org/officeDocument/2006/relationships/hyperlink" Target="https://audio.iskcondesiretree.com/01_-_Srila_Prabhupada/01_-_Lectures/01_-_English/02_-_Month_wise/11_-_November/13/SB-05-05-26_1976-11-13_SB-VRNDAVAN.MP3" TargetMode="External"/><Relationship Id="rId5830" Type="http://schemas.openxmlformats.org/officeDocument/2006/relationships/hyperlink" Target="https://audio.iskcondesiretree.com/01_-_Srila_Prabhupada/01_-_Lectures/01_-_English/02_-_Month_wise/04_-_April/30/Conv_1977-04-30_R1-BOMBAY.MP3" TargetMode="External"/><Relationship Id="rId3381" Type="http://schemas.openxmlformats.org/officeDocument/2006/relationships/hyperlink" Target="https://audio.iskcondesiretree.com/01_-_Srila_Prabhupada/01_-_Lectures/01_-_English/01_-_Topic_wise/Arrival_Address/SP_Arrival_Delhi_1975-06-27_Americans_with_Krsna_Consciousness.mp3" TargetMode="External"/><Relationship Id="rId4432" Type="http://schemas.openxmlformats.org/officeDocument/2006/relationships/hyperlink" Target="https://audio.iskcondesiretree.com/01_-_Srila_Prabhupada/01_-_Lectures/01_-_English/02_-_Month_wise/04_-_April/05/Walk_1976-04-05-MW-VRNDAVAN.MP3" TargetMode="External"/><Relationship Id="rId3034" Type="http://schemas.openxmlformats.org/officeDocument/2006/relationships/hyperlink" Target="https://audio.iskcondesiretree.com/01_-_Srila_Prabhupada/01_-_Lectures/01_-_English/02_-_Month_wise/04_-_April/02/MW_MAY_1975-04-02_Very_Expert_in_Misinterpreting.mp3" TargetMode="External"/><Relationship Id="rId2050" Type="http://schemas.openxmlformats.org/officeDocument/2006/relationships/hyperlink" Target="https://audio.iskcondesiretree.com/01_-_Srila_Prabhupada/01_-_Lectures/01_-_English/02_-_Month_wise/06_-_June/04/RC_GEN_1974-06-04_Prof_of_Sanskrit-Avatars_Come_to_etc.mp3" TargetMode="External"/><Relationship Id="rId3101" Type="http://schemas.openxmlformats.org/officeDocument/2006/relationships/hyperlink" Target="https://audio.iskcondesiretree.com/01_-_Srila_Prabhupada/01_-_Lectures/01_-_English/02_-_Month_wise/04_-_April/13/SB_5-05-02_HYD_1975-04-13_Liberation_Meaning_What.mp3" TargetMode="External"/><Relationship Id="rId5273" Type="http://schemas.openxmlformats.org/officeDocument/2006/relationships/hyperlink" Target="https://audio.iskcondesiretree.com/01_-_Srila_Prabhupada/01_-_Lectures/01_-_English/02_-_Month_wise/09_-_September/28/SB-01-07-34%E2%80%9335_1976-09-28_SB-VRNDAVAN.MP3" TargetMode="External"/><Relationship Id="rId839" Type="http://schemas.openxmlformats.org/officeDocument/2006/relationships/hyperlink" Target="https://audio.iskcondesiretree.com/01_-_Srila_Prabhupada/01_-_Lectures/01_-_English/02_-_Month_wise/11_-_November/26/Bg_02-22_HYD_1972-11-26_Rain_Depends_on_Krishna-Not_etc.mp3" TargetMode="External"/><Relationship Id="rId1469" Type="http://schemas.openxmlformats.org/officeDocument/2006/relationships/hyperlink" Target="https://audio.iskcondesiretree.com/01_-_Srila_Prabhupada/01_-_Lectures/01_-_English/01_-_Topic_wise/Srimad_Bhagavatam/Canto-01/SP_SB_1-16-04_Los_Angeles_1974-01-01_Kali_Began_with_Animal_Killing.mp3" TargetMode="External"/><Relationship Id="rId2867" Type="http://schemas.openxmlformats.org/officeDocument/2006/relationships/hyperlink" Target="https://audio.iskcondesiretree.com/01_-_Srila_Prabhupada/01_-_Lectures/01_-_English/02_-_Month_wise/02_-_Feburary/28/Arrival_1975-02-28_AR-ATLANTA.MP3" TargetMode="External"/><Relationship Id="rId3918" Type="http://schemas.openxmlformats.org/officeDocument/2006/relationships/hyperlink" Target="https://audio.iskcondesiretree.com/01_-_Srila_Prabhupada/01_-_Lectures/01_-_English/02_-_Month_wise/10_-_October/27/Bg-07-01_1975-10-27_BG-NAIROBI.MP3" TargetMode="External"/><Relationship Id="rId5340" Type="http://schemas.openxmlformats.org/officeDocument/2006/relationships/hyperlink" Target="https://audio.iskcondesiretree.com/01_-_Srila_Prabhupada/01_-_Lectures/01_-_English/02_-_Month_wise/10_-_October/18/Bg-13-08%E2%80%9312%E2%80%93Hindi_1976-10-18_BG-CHANDIGARH.MP3" TargetMode="External"/><Relationship Id="rId1883" Type="http://schemas.openxmlformats.org/officeDocument/2006/relationships/hyperlink" Target="https://audio.iskcondesiretree.com/01_-_Srila_Prabhupada/01_-_Lectures/01_-_English/01_-_Topic_wise/Morning_Walk/SP_Morning_Walk_-_Bombay_1974-04-17.mp3" TargetMode="External"/><Relationship Id="rId2934" Type="http://schemas.openxmlformats.org/officeDocument/2006/relationships/hyperlink" Target="https://audio.iskcondesiretree.com/01_-_Srila_Prabhupada/01_-_Lectures/01_-_English/01_-_Topic_wise/Bhagavad_Gita/Chapter-07/SP_BG_07-02_London_1975-03-10_Madras_After_the_Disease.mp3" TargetMode="External"/><Relationship Id="rId906" Type="http://schemas.openxmlformats.org/officeDocument/2006/relationships/hyperlink" Target="https://audio.iskcondesiretree.com/01_-_Srila_Prabhupada/01_-_Lectures/01_-_English/01_-_Topic_wise/Bhagavad_Gita/Chapter-07/SP_BG_07-01_Calcutta_1973-01-27_The_Only_Way_to_Understand_God.mp3" TargetMode="External"/><Relationship Id="rId1536" Type="http://schemas.openxmlformats.org/officeDocument/2006/relationships/hyperlink" Target="https://audio.iskcondesiretree.com/01_-_Srila_Prabhupada/01_-_Lectures/01_-_English/01_-_Topic_wise/Srimad_Bhagavatam/Canto-01/SP_SB_1-16-21_Hawaii_1974-01-17_Unlawful_Meat-eaters_Restricted.mp3" TargetMode="External"/><Relationship Id="rId1950" Type="http://schemas.openxmlformats.org/officeDocument/2006/relationships/hyperlink" Target="https://audio.iskcondesiretree.com/01_-_Srila_Prabhupada/01_-_Lectures/01_-_English/02_-_Month_wise/05_-_May/03/Walk_1974-05-03_MW-BOMBAY.MP3" TargetMode="External"/><Relationship Id="rId1603" Type="http://schemas.openxmlformats.org/officeDocument/2006/relationships/hyperlink" Target="https://audio.iskcondesiretree.com/01_-_Srila_Prabhupada/01_-_Lectures/01_-_English/01_-_Topic_wise/Festivals/SP_Festivals_Vrindavan_1974-02-11_Appearance_Day_of_Srila_Bhaktisiddhanta_Sarasvati_Thakura.mp3" TargetMode="External"/><Relationship Id="rId4759" Type="http://schemas.openxmlformats.org/officeDocument/2006/relationships/hyperlink" Target="https://audio.iskcondesiretree.com/01_-_Srila_Prabhupada/01_-_Lectures/01_-_English/02_-_Month_wise/06_-_June/15/SB_6-01-49_DET_1976-06-15_Deity_Installation_Sense_etc.mp3" TargetMode="External"/><Relationship Id="rId3775" Type="http://schemas.openxmlformats.org/officeDocument/2006/relationships/hyperlink" Target="https://audio.iskcondesiretree.com/01_-_Srila_Prabhupada/01_-_Lectures/01_-_English/01_-_Topic_wise/Srimad_Bhagavatam/Canto-06/SP_SB_6-02-16_Vrindavan_1975-09-19_Krishna_in_Outlaw_Country.mp3" TargetMode="External"/><Relationship Id="rId4826" Type="http://schemas.openxmlformats.org/officeDocument/2006/relationships/hyperlink" Target="https://audio.iskcondesiretree.com/01_-_Srila_Prabhupada/01_-_Lectures/01_-_English/02_-_Month_wise/06_-_June/25/SB_7-06-09_NV_1976-06-25_I_Love_My_Sense_Gratification.mp3" TargetMode="External"/><Relationship Id="rId6181" Type="http://schemas.openxmlformats.org/officeDocument/2006/relationships/hyperlink" Target="https://audio.iskcondesiretree.com/01_-_Srila_Prabhupada/01_-_Lectures/03_-_Hindi/SP_Hindi_09_Lectures_%26_Conversations.mp3" TargetMode="External"/><Relationship Id="rId696" Type="http://schemas.openxmlformats.org/officeDocument/2006/relationships/hyperlink" Target="https://audio.iskcondesiretree.com/01_-_Srila_Prabhupada/01_-_Lectures/01_-_English/01_-_Topic_wise/Srimad_Bhagavatam/Canto-01/SP_SB_1-03-17_Los_Angeles_1972-09-22_Ideal_Married_Life.mp3" TargetMode="External"/><Relationship Id="rId2377" Type="http://schemas.openxmlformats.org/officeDocument/2006/relationships/hyperlink" Target="https://audio.iskcondesiretree.com/01_-_Srila_Prabhupada/01_-_Lectures/01_-_English/02_-_Month_wise/09_-_September/11/Conv_1974-09-11_GC-VRNDAVAN.MP3" TargetMode="External"/><Relationship Id="rId2791" Type="http://schemas.openxmlformats.org/officeDocument/2006/relationships/hyperlink" Target="https://audio.iskcondesiretree.com/01_-_Srila_Prabhupada/01_-_Lectures/01_-_English/02_-_Month_wise/02_-_Feburary/12/Bg-02-12_1975-02-12_BG-MEXICO%20CITY.MP3" TargetMode="External"/><Relationship Id="rId3428" Type="http://schemas.openxmlformats.org/officeDocument/2006/relationships/hyperlink" Target="https://audio.iskcondesiretree.com/01_-_Srila_Prabhupada/01_-_Lectures/01_-_English/01_-_Topic_wise/Room_Conversation/SP_Room_Conversation_Chicago_1975-07-04_Mayor_of_Evanston--Administrators--etc.mp3" TargetMode="External"/><Relationship Id="rId349" Type="http://schemas.openxmlformats.org/officeDocument/2006/relationships/hyperlink" Target="https://audio.iskcondesiretree.com/01_-_Srila_Prabhupada/01_-_Lectures/01_-_English/01_-_Topic_wise/Various/SP_Lecture_Los_Angeles_1969-01-05_Purport_to_a_Song_by_Narottama_dasa_Thakura.mp3" TargetMode="External"/><Relationship Id="rId763" Type="http://schemas.openxmlformats.org/officeDocument/2006/relationships/hyperlink" Target="https://audio.iskcondesiretree.com/01_-_Srila_Prabhupada/01_-_Lectures/01_-_English/02_-_Month_wise/10_-_October/30/SB_1-02-19_VRN_1972-10-30_Above_Nature%27s_Modes_to_Happiness.mp3" TargetMode="External"/><Relationship Id="rId1393" Type="http://schemas.openxmlformats.org/officeDocument/2006/relationships/hyperlink" Target="https://audio.iskcondesiretree.com/01_-_Srila_Prabhupada/01_-_Lectures/01_-_English/01_-_Topic_wise/Srimad_Bhagavatam/Canto-01/SP_SB_1-15-26_Los_Angeles_1973-12-05_Making_the_World_Truly_Aryan.mp3" TargetMode="External"/><Relationship Id="rId2444" Type="http://schemas.openxmlformats.org/officeDocument/2006/relationships/hyperlink" Target="https://audio.iskcondesiretree.com/01_-_Srila_Prabhupada/01_-_Lectures/01_-_English/02_-_Month_wise/10_-_October/15/SB_1-08-35_MAY_1974-10-15_Rascal_Surrender.mp3" TargetMode="External"/><Relationship Id="rId3842" Type="http://schemas.openxmlformats.org/officeDocument/2006/relationships/hyperlink" Target="https://audio.iskcondesiretree.com/01_-_Srila_Prabhupada/01_-_Lectures/01_-_English/02_-_Month_wise/10_-_October/09/Walk_1975-10-09_MW-DURBAN.MP3" TargetMode="External"/><Relationship Id="rId416" Type="http://schemas.openxmlformats.org/officeDocument/2006/relationships/hyperlink" Target="https://audio.iskcondesiretree.com/01_-_Srila_Prabhupada/01_-_Lectures/01_-_English/01_-_Topic_wise/Room_Conversation/SP_Room_Conversation_Columbus_1969-05-10_Follow_Christ_or_Buddha_or_Krishna--etc.mp3" TargetMode="External"/><Relationship Id="rId1046" Type="http://schemas.openxmlformats.org/officeDocument/2006/relationships/hyperlink" Target="https://audio.iskcondesiretree.com/01_-_Srila_Prabhupada/01_-_Lectures/01_-_English/02_-_Month_wise/06_-_June/25/SB_1-10-11_MAY_1973-06-25_Satsanga_Asatsanga.mp3" TargetMode="External"/><Relationship Id="rId830" Type="http://schemas.openxmlformats.org/officeDocument/2006/relationships/hyperlink" Target="https://audio.iskcondesiretree.com/01_-_Srila_Prabhupada/01_-_Lectures/01_-_English/01_-_Topic_wise/Bhagavad_Gita/Chapter-02/SP_BG_02-17_Hyderabad_1972-11-22_Material_Body_Is_Dead_Body.mp3" TargetMode="External"/><Relationship Id="rId1460" Type="http://schemas.openxmlformats.org/officeDocument/2006/relationships/hyperlink" Target="https://audio.iskcondesiretree.com/01_-_Srila_Prabhupada/01_-_Lectures/01_-_English/02_-_Month_wise/12_-_December/27/SB_1-15-50_LA_1973-12-27_Simply_Depending_On_Krishna.mp3" TargetMode="External"/><Relationship Id="rId2511" Type="http://schemas.openxmlformats.org/officeDocument/2006/relationships/hyperlink" Target="https://audio.iskcondesiretree.com/01_-_Srila_Prabhupada/01_-_Lectures/01_-_English/02_-_Month_wise/11_-_November/11/SB_3-25-11_BOM_1974-11-11_Even_Expert_Swimmers_Struggle.mp3" TargetMode="External"/><Relationship Id="rId5667" Type="http://schemas.openxmlformats.org/officeDocument/2006/relationships/hyperlink" Target="https://audio.iskcondesiretree.com/01_-_Srila_Prabhupada/01_-_Lectures/01_-_English/01_-_Topic_wise/Festivals/SP_Festivals_Bhuvanesvara_1977-02-02_Nityananda_Appearance.mp3" TargetMode="External"/><Relationship Id="rId1113" Type="http://schemas.openxmlformats.org/officeDocument/2006/relationships/hyperlink" Target="https://audio.iskcondesiretree.com/01_-_Srila_Prabhupada/01_-_Lectures/01_-_English/02_-_Month_wise/07_-_July/23/Bg_01-30_LON_1973-07-23_Expanded_Selfishness.mp3" TargetMode="External"/><Relationship Id="rId4269" Type="http://schemas.openxmlformats.org/officeDocument/2006/relationships/hyperlink" Target="https://audio.iskcondesiretree.com/01_-_Srila_Prabhupada/01_-_Lectures/01_-_English/02_-_Month_wise/02_-_Feburary/22/SB-07-09-15_1976-02-22_SB-MAYAPUR.MP3" TargetMode="External"/><Relationship Id="rId4683" Type="http://schemas.openxmlformats.org/officeDocument/2006/relationships/hyperlink" Target="https://audio.iskcondesiretree.com/01_-_Srila_Prabhupada/01_-_Lectures/01_-_English/02_-_Month_wise/06_-_June/03/SB_6-01-37_LA_1976-06-03_Follow_What_Krishna_Says.mp3" TargetMode="External"/><Relationship Id="rId5734" Type="http://schemas.openxmlformats.org/officeDocument/2006/relationships/hyperlink" Target="https://audio.iskcondesiretree.com/01_-_Srila_Prabhupada/01_-_Lectures/01_-_English/02_-_Month_wise/02_-_Feburary/26/Darshan_1977-02-26_ED-MAYAPUR.MP3" TargetMode="External"/><Relationship Id="rId3285" Type="http://schemas.openxmlformats.org/officeDocument/2006/relationships/hyperlink" Target="https://audio.iskcondesiretree.com/01_-_Srila_Prabhupada/01_-_Lectures/01_-_English/01_-_Topic_wise/Morning_Walk/SP_Morning_Walk_-_Honolulu_1975-06-14.MP3" TargetMode="External"/><Relationship Id="rId4336" Type="http://schemas.openxmlformats.org/officeDocument/2006/relationships/hyperlink" Target="https://audio.iskcondesiretree.com/01_-_Srila_Prabhupada/01_-_Lectures/01_-_English/02_-_Month_wise/03_-_March/09/Walk_1976-03-09_MW-MAYAPUR.MP3" TargetMode="External"/><Relationship Id="rId4750" Type="http://schemas.openxmlformats.org/officeDocument/2006/relationships/hyperlink" Target="https://audio.iskcondesiretree.com/01_-_Srila_Prabhupada/01_-_Lectures/01_-_English/01_-_Topic_wise/Room_Conversation/SP_Room_Conversation_Detroit_1976-06-15_Priests--Handicapped_By_Mundane_Piety.mp3" TargetMode="External"/><Relationship Id="rId5801" Type="http://schemas.openxmlformats.org/officeDocument/2006/relationships/hyperlink" Target="https://audio.iskcondesiretree.com/01_-_Srila_Prabhupada/01_-_Lectures/01_-_English/01_-_Topic_wise/Room_Conversation/SP_Room_Conversation_Bombay_1977-04-17_Beyond_Sense_Perception.mp3" TargetMode="External"/><Relationship Id="rId3352" Type="http://schemas.openxmlformats.org/officeDocument/2006/relationships/hyperlink" Target="https://audio.iskcondesiretree.com/01_-_Srila_Prabhupada/01_-_Lectures/01_-_English/02_-_Month_wise/06_-_June/23/Conv_1975-06-23_R1-LOS%20ANGELES.MP3" TargetMode="External"/><Relationship Id="rId4403" Type="http://schemas.openxmlformats.org/officeDocument/2006/relationships/hyperlink" Target="https://audio.iskcondesiretree.com/01_-_Srila_Prabhupada/01_-_Lectures/01_-_English/02_-_Month_wise/03_-_March/25/Bg-02-11_1976-03-25_BG-DELHI.MP3" TargetMode="External"/><Relationship Id="rId273" Type="http://schemas.openxmlformats.org/officeDocument/2006/relationships/hyperlink" Target="https://audio.iskcondesiretree.com/01_-_Srila_Prabhupada/01_-_Lectures/01_-_English/02_-_Month_wise/10_-_October/04/Lect_SEA_1968-10-04_If_You_Know_Krishna%2C_You_Know_Everything.mp3" TargetMode="External"/><Relationship Id="rId3005" Type="http://schemas.openxmlformats.org/officeDocument/2006/relationships/hyperlink" Target="https://audio.iskcondesiretree.com/01_-_Srila_Prabhupada/01_-_Lectures/01_-_English/02_-_Month_wise/03_-_March/29/Cc_A_1-05_MAY_1975-03-29_Science_of_Supreme_Pleasure.mp3" TargetMode="External"/><Relationship Id="rId340" Type="http://schemas.openxmlformats.org/officeDocument/2006/relationships/hyperlink" Target="https://audio.iskcondesiretree.com/01_-_Srila_Prabhupada/01_-_Lectures/01_-_English/02_-_Month_wise/12_-_December/27/Bg_03-11_LA_1968-12-27_There_Is_No_Overpopulation.mp3" TargetMode="External"/><Relationship Id="rId2021" Type="http://schemas.openxmlformats.org/officeDocument/2006/relationships/hyperlink" Target="https://audio.iskcondesiretree.com/01_-_Srila_Prabhupada/01_-_Lectures/01_-_English/02_-_Month_wise/05_-_May/31/RC_GEN_1974-05-31_Hatha-yoga_Teacher_Submission_etc.mp3" TargetMode="External"/><Relationship Id="rId5177" Type="http://schemas.openxmlformats.org/officeDocument/2006/relationships/hyperlink" Target="https://audio.iskcondesiretree.com/01_-_Srila_Prabhupada/01_-_Lectures/01_-_English/02_-_Month_wise/09_-_September/03/Bg-07-15_1976-09-03_BG-VRNDAVAN.MP3" TargetMode="External"/><Relationship Id="rId4193" Type="http://schemas.openxmlformats.org/officeDocument/2006/relationships/hyperlink" Target="https://audio.iskcondesiretree.com/01_-_Srila_Prabhupada/01_-_Lectures/01_-_English/02_-_Month_wise/01_-_January/18/Conv_1976-01-18_R1-MAYAPUR.MP3" TargetMode="External"/><Relationship Id="rId5591" Type="http://schemas.openxmlformats.org/officeDocument/2006/relationships/hyperlink" Target="https://audio.iskcondesiretree.com/01_-_Srila_Prabhupada/01_-_Lectures/01_-_English/02_-_Month_wise/01_-_January/13/Conv_1977-01-13_R1-ALLAHABAD.MP3" TargetMode="External"/><Relationship Id="rId1787" Type="http://schemas.openxmlformats.org/officeDocument/2006/relationships/hyperlink" Target="https://audio.iskcondesiretree.com/01_-_Srila_Prabhupada/01_-_Lectures/01_-_English/02_-_Month_wise/03_-_March/30/MW_BOM_1974-03-30_Lesson_in_Humility_and_Tolerance.mp3" TargetMode="External"/><Relationship Id="rId2838" Type="http://schemas.openxmlformats.org/officeDocument/2006/relationships/hyperlink" Target="https://audio.iskcondesiretree.com/01_-_Srila_Prabhupada/01_-_Lectures/01_-_English/02_-_Month_wise/02_-_Feburary/22/Lect_CAR_1975-02-22_Initiation--Who_Can_Conquer_God.mp3" TargetMode="External"/><Relationship Id="rId5244" Type="http://schemas.openxmlformats.org/officeDocument/2006/relationships/hyperlink" Target="https://audio.iskcondesiretree.com/01_-_Srila_Prabhupada/01_-_Lectures/01_-_English/02_-_Month_wise/09_-_September/18/SB_1-07-22_VRN_1976-09-18_Material_Advancement-Suffering.mp3" TargetMode="External"/><Relationship Id="rId79" Type="http://schemas.openxmlformats.org/officeDocument/2006/relationships/hyperlink" Target="https://audio.iskcondesiretree.com/01_-_Srila_Prabhupada/01_-_Lectures/01_-_English/02_-_Month_wise/09_-_September/08/Lect_NY_1966-09-08_Introduction_to_Maha_mantra.mp3" TargetMode="External"/><Relationship Id="rId1854" Type="http://schemas.openxmlformats.org/officeDocument/2006/relationships/hyperlink" Target="https://audio.iskcondesiretree.com/01_-_Srila_Prabhupada/01_-_Lectures/01_-_English/02_-_Month_wise/04_-_April/10/Walk_1974-04-10_MW-BOMBAY.MP3" TargetMode="External"/><Relationship Id="rId2905" Type="http://schemas.openxmlformats.org/officeDocument/2006/relationships/hyperlink" Target="https://audio.iskcondesiretree.com/01_-_Srila_Prabhupada/01_-_Lectures/01_-_English/01_-_Topic_wise/Morning_Walk/SP_Morning_Walk_-_Dallas_1975-03-04_Life-Work_Hard_and_Sin.mp3" TargetMode="External"/><Relationship Id="rId4260" Type="http://schemas.openxmlformats.org/officeDocument/2006/relationships/hyperlink" Target="https://audio.iskcondesiretree.com/01_-_Srila_Prabhupada/01_-_Lectures/01_-_English/01_-_Topic_wise/Srimad_Bhagavatam/Canto-07/SP_SB_7-09-14_Mayapur_1976-02-21_Demoniac--Disturbing_%26_Disturbed.mp3" TargetMode="External"/><Relationship Id="rId5311" Type="http://schemas.openxmlformats.org/officeDocument/2006/relationships/hyperlink" Target="https://audio.iskcondesiretree.com/01_-_Srila_Prabhupada/01_-_Lectures/01_-_English/01_-_Topic_wise/Srimad_Bhagavatam/Canto-01/SP_SB_1-07-49_Vrindavan_1976-10-07_Love_God_Love_His_Dog.mp3" TargetMode="External"/><Relationship Id="rId1507" Type="http://schemas.openxmlformats.org/officeDocument/2006/relationships/hyperlink" Target="https://audio.iskcondesiretree.com/01_-_Srila_Prabhupada/01_-_Lectures/01_-_English/01_-_Topic_wise/Morning_Walk/SP_Morning_Walk_-_Los_Angeles_1974-01-10_Good_and_Not-so-good_Brains.mp3" TargetMode="External"/><Relationship Id="rId1921" Type="http://schemas.openxmlformats.org/officeDocument/2006/relationships/hyperlink" Target="https://audio.iskcondesiretree.com/01_-_Srila_Prabhupada/01_-_Lectures/01_-_English/02_-_Month_wise/04_-_April/23/MW_HYD_1974-04-23_Protect_Against_Degradation.mp3" TargetMode="External"/><Relationship Id="rId3679" Type="http://schemas.openxmlformats.org/officeDocument/2006/relationships/hyperlink" Target="https://audio.iskcondesiretree.com/01_-_Srila_Prabhupada/01_-_Lectures/01_-_English/02_-_Month_wise/08_-_August/21/Conv_1975-08-21_R1-BOMBAY.MP3" TargetMode="External"/><Relationship Id="rId6085" Type="http://schemas.openxmlformats.org/officeDocument/2006/relationships/hyperlink" Target="https://audio.iskcondesiretree.com/01_-_Srila_Prabhupada/01_-_Lectures/01_-_English/01_-_Topic_wise/Krishna_Book/SP_Krsna_Book_Dict_41_-_Krishna_Enters_Mathura.mp3" TargetMode="External"/><Relationship Id="rId6152" Type="http://schemas.openxmlformats.org/officeDocument/2006/relationships/hyperlink" Target="https://audio.iskcondesiretree.com/01_-_Srila_Prabhupada/01_-_Lectures/01_-_English/01_-_Topic_wise/Stories/SP_Story_28_Mira_bhai_%26_Rupa_Gosvami.mp3" TargetMode="External"/><Relationship Id="rId1297" Type="http://schemas.openxmlformats.org/officeDocument/2006/relationships/hyperlink" Target="https://audio.iskcondesiretree.com/01_-_Srila_Prabhupada/01_-_Lectures/01_-_English/01_-_Topic_wise/Bhagavad_Gita/Chapter-13/SP_BG_13-06-07_Bombay_1973-09-29_Surrender_to_the_Supreme_Person.mp3" TargetMode="External"/><Relationship Id="rId2695" Type="http://schemas.openxmlformats.org/officeDocument/2006/relationships/hyperlink" Target="https://audio.iskcondesiretree.com/01_-_Srila_Prabhupada/01_-_Lectures/01_-_English/01_-_Topic_wise/Srimad_Bhagavatam/Canto-03/SP_SB_3-26-39_Bombay_1975-01-14_Forest_Fire_of_False_Ego.mp3" TargetMode="External"/><Relationship Id="rId3746" Type="http://schemas.openxmlformats.org/officeDocument/2006/relationships/hyperlink" Target="https://audio.iskcondesiretree.com/01_-_Srila_Prabhupada/01_-_Lectures/01_-_English/02_-_Month_wise/09_-_September/10/SB-06-02-07_1975-09-10_SB-VRNDAVAN.MP3" TargetMode="External"/><Relationship Id="rId667" Type="http://schemas.openxmlformats.org/officeDocument/2006/relationships/hyperlink" Target="https://audio.iskcondesiretree.com/01_-_Srila_Prabhupada/01_-_Lectures/01_-_English/02_-_Month_wise/08_-_August/28/SB_1-02-25_LA_1972-08-28_Paltry_Research_Work.mp3" TargetMode="External"/><Relationship Id="rId2348" Type="http://schemas.openxmlformats.org/officeDocument/2006/relationships/hyperlink" Target="https://audio.iskcondesiretree.com/01_-_Srila_Prabhupada/01_-_Lectures/01_-_English/01_-_Topic_wise/Srimad_Bhagavatam/Canto-01/SP_SB_1-05-31_Vrindavan_1974-08-12.mp3" TargetMode="External"/><Relationship Id="rId2762" Type="http://schemas.openxmlformats.org/officeDocument/2006/relationships/hyperlink" Target="https://audio.iskcondesiretree.com/01_-_Srila_Prabhupada/01_-_Lectures/01_-_English/01_-_Topic_wise/Bhagavad_Gita/Chapter-16/SP_BG_16-09_Hawaii_1975-02-05_The_Demonic-No_Sense_of_God.mp3" TargetMode="External"/><Relationship Id="rId3813" Type="http://schemas.openxmlformats.org/officeDocument/2006/relationships/hyperlink" Target="https://audio.iskcondesiretree.com/01_-_Srila_Prabhupada/01_-_Lectures/01_-_English/01_-_Topic_wise/Morning_Walk/SP_Morning_Walk_-_Mauritius_1975-10-04_The_Modern_Misunderstanding.mp3" TargetMode="External"/><Relationship Id="rId734" Type="http://schemas.openxmlformats.org/officeDocument/2006/relationships/hyperlink" Target="https://audio.iskcondesiretree.com/01_-_Srila_Prabhupada/01_-_Lectures/01_-_English/02_-_Month_wise/10_-_October/21/NOD_02_VRN_1972-10-21_The_Complete_Science_of_Bhakti-Yoga.mp3" TargetMode="External"/><Relationship Id="rId1364" Type="http://schemas.openxmlformats.org/officeDocument/2006/relationships/hyperlink" Target="https://audio.iskcondesiretree.com/01_-_Srila_Prabhupada/01_-_Lectures/01_-_English/02_-_Month_wise/11_-_November/13/SB_1-02-07_DEL_1973-11-13_Understand_God_from_God.mp3" TargetMode="External"/><Relationship Id="rId2415" Type="http://schemas.openxmlformats.org/officeDocument/2006/relationships/hyperlink" Target="https://audio.iskcondesiretree.com/01_-_Srila_Prabhupada/01_-_Lectures/01_-_English/02_-_Month_wise/10_-_October/05/SB_1-08-25_VRN_1974-10-05_Reincarnation-Very_Risky.mp3" TargetMode="External"/><Relationship Id="rId5985" Type="http://schemas.openxmlformats.org/officeDocument/2006/relationships/hyperlink" Target="https://audio.iskcondesiretree.com/01_-_Srila_Prabhupada/01_-_Lectures/01_-_English/02_-_Month_wise/11_-_November/02/Conv_1977-11-02_R7-VRNDAVAN.MP3" TargetMode="External"/><Relationship Id="rId70" Type="http://schemas.openxmlformats.org/officeDocument/2006/relationships/hyperlink" Target="https://audio.iskcondesiretree.com/01_-_Srila_Prabhupada/01_-_Lectures/01_-_English/01_-_Topic_wise/Bhagavad_Gita/Chapter-06/SP_BG_06-01-04_New_York_1966-09-02_You_Serve_Krishna_or_Maya.mp3" TargetMode="External"/><Relationship Id="rId801" Type="http://schemas.openxmlformats.org/officeDocument/2006/relationships/hyperlink" Target="https://audio.iskcondesiretree.com/01_-_Srila_Prabhupada/01_-_Lectures/01_-_English/01_-_Topic_wise/Srimad_Bhagavatam/Canto-01/SP_SB_1-02-30_Vrindavan_1972-11-09_We_Are_Controlled.mp3" TargetMode="External"/><Relationship Id="rId1017" Type="http://schemas.openxmlformats.org/officeDocument/2006/relationships/hyperlink" Target="https://audio.iskcondesiretree.com/01_-_Srila_Prabhupada/01_-_Lectures/01_-_English/01_-_Topic_wise/Morning_Walk/SP_Morning_Walk_-_Los_Angeles_1973-05-17_Taking_the_Mystery_Out_of_Mystic_Power.mp3" TargetMode="External"/><Relationship Id="rId1431" Type="http://schemas.openxmlformats.org/officeDocument/2006/relationships/hyperlink" Target="https://audio.iskcondesiretree.com/01_-_Srila_Prabhupada/01_-_Lectures/01_-_English/02_-_Month_wise/12_-_December/15/MW_LA_1973-12-15_Philosophy_of_the_Mad.mp3" TargetMode="External"/><Relationship Id="rId4587" Type="http://schemas.openxmlformats.org/officeDocument/2006/relationships/hyperlink" Target="https://audio.iskcondesiretree.com/01_-_Srila_Prabhupada/01_-_Lectures/01_-_English/01_-_Topic_wise/Srimad_Bhagavatam/Canto-06/SP_SB_6-01-10_Honolulu_1976-05-11_There_Is_New_Orleans_Culture_%26_Education.mp3" TargetMode="External"/><Relationship Id="rId5638" Type="http://schemas.openxmlformats.org/officeDocument/2006/relationships/hyperlink" Target="https://audio.iskcondesiretree.com/01_-_Srila_Prabhupada/01_-_Lectures/01_-_English/02_-_Month_wise/01_-_January/26/Conv_1977-01-26_R1-PURI.MP3" TargetMode="External"/><Relationship Id="rId3189" Type="http://schemas.openxmlformats.org/officeDocument/2006/relationships/hyperlink" Target="https://audio.iskcondesiretree.com/01_-_Srila_Prabhupada/01_-_Lectures/01_-_English/02_-_Month_wise/05_-_May/16/Walk_1975-05-16_MW-PERTH.MP3" TargetMode="External"/><Relationship Id="rId4654" Type="http://schemas.openxmlformats.org/officeDocument/2006/relationships/hyperlink" Target="https://audio.iskcondesiretree.com/01_-_Srila_Prabhupada/01_-_Lectures/01_-_English/02_-_Month_wise/05_-_May/27/SB_6-01-27_HON_1976-05-27_God_Is_Not_Dead-You_Are_Dead.mp3" TargetMode="External"/><Relationship Id="rId3256" Type="http://schemas.openxmlformats.org/officeDocument/2006/relationships/hyperlink" Target="https://audio.iskcondesiretree.com/01_-_Srila_Prabhupada/01_-_Lectures/01_-_English/02_-_Month_wise/05_-_May/31/Walk_1975-05-31_MW-HONOLULU.MP3" TargetMode="External"/><Relationship Id="rId4307" Type="http://schemas.openxmlformats.org/officeDocument/2006/relationships/hyperlink" Target="https://audio.iskcondesiretree.com/01_-_Srila_Prabhupada/01_-_Lectures/01_-_English/02_-_Month_wise/03_-_March/02/SB-07-09-24_1976-03-02_SB-MAYAPUR.MP3" TargetMode="External"/><Relationship Id="rId5705" Type="http://schemas.openxmlformats.org/officeDocument/2006/relationships/hyperlink" Target="https://audio.iskcondesiretree.com/01_-_Srila_Prabhupada/01_-_Lectures/01_-_English/02_-_Month_wise/02_-_Feburary/16/Conv_1977-02-16_R2-MAYAPUR.MP3" TargetMode="External"/><Relationship Id="rId177" Type="http://schemas.openxmlformats.org/officeDocument/2006/relationships/hyperlink" Target="https://audio.iskcondesiretree.com/01_-_Srila_Prabhupada/01_-_Lectures/01_-_English/02_-_Month_wise/12_-_December/19/Cc_M_20-294_NY_1966-12-19_Lilavataras-No_End_to_Them.mp3" TargetMode="External"/><Relationship Id="rId591" Type="http://schemas.openxmlformats.org/officeDocument/2006/relationships/hyperlink" Target="https://audio.iskcondesiretree.com/01_-_Srila_Prabhupada/01_-_Lectures/01_-_English/01_-_Topic_wise/Srimad_Bhagavatam/Canto-02/SP_SB_2-03-14-15_Los_Angeles_1972-05-31_If_You_Actually_Feel_for_People.mp3" TargetMode="External"/><Relationship Id="rId2272" Type="http://schemas.openxmlformats.org/officeDocument/2006/relationships/hyperlink" Target="https://audio.iskcondesiretree.com/01_-_Srila_Prabhupada/01_-_Lectures/01_-_English/02_-_Month_wise/07_-_July/12/Walk_1974-07-12_MW-LOS%20ANGELES.MP3" TargetMode="External"/><Relationship Id="rId3670" Type="http://schemas.openxmlformats.org/officeDocument/2006/relationships/hyperlink" Target="https://audio.iskcondesiretree.com/01_-_Srila_Prabhupada/01_-_Lectures/01_-_English/01_-_Topic_wise/Srimad_Bhagavatam/Canto-06/SP_SB_6-01-56_Bombay_1975-08-14_Skin_Expert_to_Soul_Expert.mp3" TargetMode="External"/><Relationship Id="rId4721" Type="http://schemas.openxmlformats.org/officeDocument/2006/relationships/hyperlink" Target="https://audio.iskcondesiretree.com/01_-_Srila_Prabhupada/01_-_Lectures/01_-_English/02_-_Month_wise/06_-_June/09/SB_6-01-43_LA_1976-06-09_Better_Without_Disturbance.mp3" TargetMode="External"/><Relationship Id="rId244" Type="http://schemas.openxmlformats.org/officeDocument/2006/relationships/hyperlink" Target="https://audio.iskcondesiretree.com/01_-_Srila_Prabhupada/01_-_Lectures/01_-_English/01_-_Topic_wise/Srimad_Bhagavatam/Canto-07/SP_SB_7-09-10_Montreal_1968-07-12_The_Difference_Between_a--etc.mp3" TargetMode="External"/><Relationship Id="rId3323" Type="http://schemas.openxmlformats.org/officeDocument/2006/relationships/hyperlink" Target="https://audio.iskcondesiretree.com/01_-_Srila_Prabhupada/01_-_Lectures/01_-_English/02_-_Month_wise/06_-_June/19/Walk_1975-06-19_MW-HONOLULU.MP3" TargetMode="External"/><Relationship Id="rId5495" Type="http://schemas.openxmlformats.org/officeDocument/2006/relationships/hyperlink" Target="https://audio.iskcondesiretree.com/01_-_Srila_Prabhupada/01_-_Lectures/01_-_English/02_-_Month_wise/12_-_December/12/Bg_02-12_HYD_1976-12-12_The_Minister_of_Defense_Has_etc.mp3" TargetMode="External"/><Relationship Id="rId311" Type="http://schemas.openxmlformats.org/officeDocument/2006/relationships/hyperlink" Target="https://audio.iskcondesiretree.com/01_-_Srila_Prabhupada/01_-_Lectures/01_-_English/02_-_Month_wise/12_-_December/02/SB_2-02-05_LA_1968-12-02_Serving_Krishna_Not_Ordinary_Thing.mp3" TargetMode="External"/><Relationship Id="rId4097" Type="http://schemas.openxmlformats.org/officeDocument/2006/relationships/hyperlink" Target="https://audio.iskcondesiretree.com/01_-_Srila_Prabhupada/01_-_Lectures/01_-_English/02_-_Month_wise/12_-_December/16/Walk_1975-12-16_MW-BOMBAY.MP3" TargetMode="External"/><Relationship Id="rId5148" Type="http://schemas.openxmlformats.org/officeDocument/2006/relationships/hyperlink" Target="https://audio.iskcondesiretree.com/01_-_Srila_Prabhupada/01_-_Lectures/01_-_English/02_-_Month_wise/08_-_August/22/Conv_1976-08-22_R1-HYDERABAD.MP3" TargetMode="External"/><Relationship Id="rId5562" Type="http://schemas.openxmlformats.org/officeDocument/2006/relationships/hyperlink" Target="https://audio.iskcondesiretree.com/01_-_Srila_Prabhupada/01_-_Lectures/01_-_English/02_-_Month_wise/01_-_January/05/Conv_1977-01-05_R2-BOMBAY.MP3" TargetMode="External"/><Relationship Id="rId1758" Type="http://schemas.openxmlformats.org/officeDocument/2006/relationships/hyperlink" Target="https://audio.iskcondesiretree.com/01_-_Srila_Prabhupada/01_-_Lectures/01_-_English/02_-_Month_wise/03_-_March/25/Bg_04-05_BOM_1974-03-25_Learning_to_Love_Unlimited_One.mp3" TargetMode="External"/><Relationship Id="rId2809" Type="http://schemas.openxmlformats.org/officeDocument/2006/relationships/hyperlink" Target="https://audio.iskcondesiretree.com/01_-_Srila_Prabhupada/01_-_Lectures/01_-_English/01_-_Topic_wise/Bhagavad_Gita/Chapter-02/SP_BG_02-16_Mexico_City_1975-02-16_Any_Understanding_of_God.mp3" TargetMode="External"/><Relationship Id="rId4164" Type="http://schemas.openxmlformats.org/officeDocument/2006/relationships/hyperlink" Target="https://audio.iskcondesiretree.com/01_-_Srila_Prabhupada/01_-_Lectures/01_-_English/01_-_Topic_wise/Morning_Walk/SP_Morning_Walk_-_Nellore_1976-01-06_Why_Not_Become_a_Wise_Man.mp3" TargetMode="External"/><Relationship Id="rId5215" Type="http://schemas.openxmlformats.org/officeDocument/2006/relationships/hyperlink" Target="https://audio.iskcondesiretree.com/01_-_Srila_Prabhupada/01_-_Lectures/01_-_English/02_-_Month_wise/09_-_September/10/SB_1-07-11_VRN_1976-09-10_When_Mad_Is_Not_Bad.mp3" TargetMode="External"/><Relationship Id="rId3180" Type="http://schemas.openxmlformats.org/officeDocument/2006/relationships/hyperlink" Target="https://audio.iskcondesiretree.com/01_-_Srila_Prabhupada/01_-_Lectures/01_-_English/02_-_Month_wise/05_-_May/14/Walk_1975-05-14_MW-PERTH.MP3" TargetMode="External"/><Relationship Id="rId4231" Type="http://schemas.openxmlformats.org/officeDocument/2006/relationships/hyperlink" Target="https://audio.iskcondesiretree.com/01_-_Srila_Prabhupada/01_-_Lectures/01_-_English/01_-_Topic_wise/Morning_Walk/SP_Morning_Walk_-_Mayapur_1976-02-12_Laziness_Is_Less_than_Demonic.mp3" TargetMode="External"/><Relationship Id="rId1825" Type="http://schemas.openxmlformats.org/officeDocument/2006/relationships/hyperlink" Target="https://audio.iskcondesiretree.com/01_-_Srila_Prabhupada/01_-_Lectures/01_-_English/02_-_Month_wise/04_-_April/05/Bg-04-16_1974-04-05_BG-BOMBAY.MP3" TargetMode="External"/><Relationship Id="rId3997" Type="http://schemas.openxmlformats.org/officeDocument/2006/relationships/hyperlink" Target="https://audio.iskcondesiretree.com/01_-_Srila_Prabhupada/01_-_Lectures/01_-_English/02_-_Month_wise/11_-_November/16/Walk_1975-11-16_MW-BOMBAY.MP3" TargetMode="External"/><Relationship Id="rId6056" Type="http://schemas.openxmlformats.org/officeDocument/2006/relationships/hyperlink" Target="https://audio.iskcondesiretree.com/01_-_Srila_Prabhupada/01_-_Lectures/01_-_English/01_-_Topic_wise/Krishna_Book/SP_Krsna_Book_Dict_08_-_Vision_of_the_Universal_Form.mp3" TargetMode="External"/><Relationship Id="rId2599" Type="http://schemas.openxmlformats.org/officeDocument/2006/relationships/hyperlink" Target="https://audio.iskcondesiretree.com/01_-_Srila_Prabhupada/01_-_Lectures/01_-_English/02_-_Month_wise/12_-_December/10/SB_3-25-42_BOM_1974-12-10_Don%27t_Take_Krishna_Lightly.mp3" TargetMode="External"/><Relationship Id="rId985" Type="http://schemas.openxmlformats.org/officeDocument/2006/relationships/hyperlink" Target="https://audio.iskcondesiretree.com/01_-_Srila_Prabhupada/01_-_Lectures/01_-_English/01_-_Topic_wise/Srimad_Bhagavatam/Canto-01/SP_SB_1-08-41_Los_Angeles_1973-05-03_The_Greatest_Enemy_of_Human_Society.mp3" TargetMode="External"/><Relationship Id="rId2666" Type="http://schemas.openxmlformats.org/officeDocument/2006/relationships/hyperlink" Target="https://audio.iskcondesiretree.com/01_-_Srila_Prabhupada/01_-_Lectures/01_-_English/02_-_Month_wise/01_-_January/02/SB_3-26-25_BOM_1975-01-02_Secret_of_Satisfying_Everyone.mp3" TargetMode="External"/><Relationship Id="rId3717" Type="http://schemas.openxmlformats.org/officeDocument/2006/relationships/hyperlink" Target="https://audio.iskcondesiretree.com/01_-_Srila_Prabhupada/01_-_Lectures/01_-_English/02_-_Month_wise/09_-_September/03/Walk_1975-09-03_MW-VRNDAVAN.MP3" TargetMode="External"/><Relationship Id="rId5072" Type="http://schemas.openxmlformats.org/officeDocument/2006/relationships/hyperlink" Target="https://audio.iskcondesiretree.com/01_-_Srila_Prabhupada/01_-_Lectures/01_-_English/01_-_Topic_wise/Morning_Walk/SP_Morning_Walk_-_Tehran_1976-08-09_A_World_Run_by_Mad_Rascals.mp3" TargetMode="External"/><Relationship Id="rId6123" Type="http://schemas.openxmlformats.org/officeDocument/2006/relationships/hyperlink" Target="https://audio.iskcondesiretree.com/01_-_Srila_Prabhupada/01_-_Lectures/01_-_English/01_-_Topic_wise/Krishna_Book/SP_Krsna_Book_Dict_89_-_The_Superexcellent_Power_of_Krishna.mp3" TargetMode="External"/><Relationship Id="rId638" Type="http://schemas.openxmlformats.org/officeDocument/2006/relationships/hyperlink" Target="https://audio.iskcondesiretree.com/01_-_Srila_Prabhupada/01_-_Lectures/01_-_English/01_-_Topic_wise/Festivals/SP_Festivals_London_1972-07-13_Ratha_Yatra_Parts_1_%26_2.mp3" TargetMode="External"/><Relationship Id="rId1268" Type="http://schemas.openxmlformats.org/officeDocument/2006/relationships/hyperlink" Target="https://audio.iskcondesiretree.com/01_-_Srila_Prabhupada/01_-_Lectures/01_-_English/02_-_Month_wise/09_-_September/08/Bg_07-01_STO_1973-09-08_At_University_What_Supreme_etc.mp3" TargetMode="External"/><Relationship Id="rId1682" Type="http://schemas.openxmlformats.org/officeDocument/2006/relationships/hyperlink" Target="https://audio.iskcondesiretree.com/01_-_Srila_Prabhupada/01_-_Lectures/01_-_English/02_-_Month_wise/03_-_March/06/MW_MAY_1974-03-06_Americans_Must_Smell_a_Machine.mp3" TargetMode="External"/><Relationship Id="rId2319" Type="http://schemas.openxmlformats.org/officeDocument/2006/relationships/hyperlink" Target="https://audio.iskcondesiretree.com/01_-_Srila_Prabhupada/01_-_Lectures/01_-_English/02_-_Month_wise/08_-_August/05/Conv_1974-08-05_R1-VRNDAVAN.MP3" TargetMode="External"/><Relationship Id="rId2733" Type="http://schemas.openxmlformats.org/officeDocument/2006/relationships/hyperlink" Target="https://audio.iskcondesiretree.com/01_-_Srila_Prabhupada/01_-_Lectures/01_-_English/02_-_Month_wise/01_-_January/27/Bg-16-07_1975-01-27_BG-TOKYO.MP3" TargetMode="External"/><Relationship Id="rId5889" Type="http://schemas.openxmlformats.org/officeDocument/2006/relationships/hyperlink" Target="https://audio.iskcondesiretree.com/01_-_Srila_Prabhupada/01_-_Lectures/01_-_English/02_-_Month_wise/06_-_June/28/Conv_1977-06-28_R1-VRNDAVAN.MP3" TargetMode="External"/><Relationship Id="rId705" Type="http://schemas.openxmlformats.org/officeDocument/2006/relationships/hyperlink" Target="https://audio.iskcondesiretree.com/01_-_Srila_Prabhupada/01_-_Lectures/01_-_English/02_-_Month_wise/09_-_September/27/SB_1-03-22_LA_1972-09-27_Incarnation_of_God_Isn%27t_Cheap.mp3" TargetMode="External"/><Relationship Id="rId1335" Type="http://schemas.openxmlformats.org/officeDocument/2006/relationships/hyperlink" Target="https://audio.iskcondesiretree.com/01_-_Srila_Prabhupada/01_-_Lectures/01_-_English/01_-_Topic_wise/Room_Conversation/SP_Room_Conversation_Bombay_1973-10-26_At_Airport--That_Is_Not_Perfection.mp3" TargetMode="External"/><Relationship Id="rId2800" Type="http://schemas.openxmlformats.org/officeDocument/2006/relationships/hyperlink" Target="https://audio.iskcondesiretree.com/01_-_Srila_Prabhupada/01_-_Lectures/01_-_English/02_-_Month_wise/02_-_Feburary/14/Bg-02-14_1975-02-14_BG-MEXICO%20CITY.MP3" TargetMode="External"/><Relationship Id="rId5956" Type="http://schemas.openxmlformats.org/officeDocument/2006/relationships/hyperlink" Target="https://audio.iskcondesiretree.com/01_-_Srila_Prabhupada/01_-_Lectures/01_-_English/02_-_Month_wise/10_-_October/18/Conv_1977-10-18_R1-VRNDAVAN.MP3" TargetMode="External"/><Relationship Id="rId41" Type="http://schemas.openxmlformats.org/officeDocument/2006/relationships/hyperlink" Target="https://audio.iskcondesiretree.com/01_-_Srila_Prabhupada/01_-_Lectures/01_-_English/02_-_Month_wise/05_-_May/27/Bg_03-17_NY_1966-05-27_Bhagavad-gita_for_the_Common_Man.mp3" TargetMode="External"/><Relationship Id="rId1402" Type="http://schemas.openxmlformats.org/officeDocument/2006/relationships/hyperlink" Target="https://audio.iskcondesiretree.com/01_-_Srila_Prabhupada/01_-_Lectures/01_-_English/01_-_Topic_wise/Srimad_Bhagavatam/Canto-01/SP_SB_1-15-29_Los_Angeles_1973-12-07_Becoming_Anxiety-Less.mp3" TargetMode="External"/><Relationship Id="rId4558" Type="http://schemas.openxmlformats.org/officeDocument/2006/relationships/hyperlink" Target="https://audio.iskcondesiretree.com/01_-_Srila_Prabhupada/01_-_Lectures/01_-_English/02_-_Month_wise/05_-_May/02/Fest_FIJ_1976-05-02_Deity_Installation_Enjoy_etc.mp3" TargetMode="External"/><Relationship Id="rId4972" Type="http://schemas.openxmlformats.org/officeDocument/2006/relationships/hyperlink" Target="https://audio.iskcondesiretree.com/01_-_Srila_Prabhupada/01_-_Lectures/01_-_English/02_-_Month_wise/07_-_July/14/Interview_1976-07-14_IV-NEW%20YORK.MP3" TargetMode="External"/><Relationship Id="rId5609" Type="http://schemas.openxmlformats.org/officeDocument/2006/relationships/hyperlink" Target="https://audio.iskcondesiretree.com/01_-_Srila_Prabhupada/01_-_Lectures/01_-_English/02_-_Month_wise/01_-_January/21/Conv_1977-01-21_R3-BHUBANESWAR.MP3" TargetMode="External"/><Relationship Id="rId3574" Type="http://schemas.openxmlformats.org/officeDocument/2006/relationships/hyperlink" Target="https://audio.iskcondesiretree.com/01_-_Srila_Prabhupada/01_-_Lectures/01_-_English/01_-_Topic_wise/Srimad_Bhagavatam/Canto-06/SP_SB_6-1-41_Los_Angeles_1975-07-22.MP3" TargetMode="External"/><Relationship Id="rId4625" Type="http://schemas.openxmlformats.org/officeDocument/2006/relationships/hyperlink" Target="https://audio.iskcondesiretree.com/01_-_Srila_Prabhupada/01_-_Lectures/01_-_English/01_-_Topic_wise/Srimad_Bhagavatam/Canto-06/SP_SB_6-01-20_Honolulu_1976-05-20_Wasting_Human_Form_of_Life.mp3" TargetMode="External"/><Relationship Id="rId495" Type="http://schemas.openxmlformats.org/officeDocument/2006/relationships/hyperlink" Target="https://audio.iskcondesiretree.com/01_-_Srila_Prabhupada/01_-_Lectures/01_-_English/01_-_Topic_wise/Various/SP_Lecture_Los_Angeles_1970-02-20_Initiation_Sannyasa--The_Spiritual--etc.mp3" TargetMode="External"/><Relationship Id="rId2176" Type="http://schemas.openxmlformats.org/officeDocument/2006/relationships/hyperlink" Target="https://audio.iskcondesiretree.com/01_-_Srila_Prabhupada/01_-_Lectures/01_-_English/02_-_Month_wise/06_-_June/21/Bg_02-14_GER_1974-06-21_Our_Real_Business.mp3" TargetMode="External"/><Relationship Id="rId2590" Type="http://schemas.openxmlformats.org/officeDocument/2006/relationships/hyperlink" Target="https://audio.iskcondesiretree.com/01_-_Srila_Prabhupada/01_-_Lectures/01_-_English/02_-_Month_wise/12_-_December/07/SB_3-25-38_BOM_1974-12-07_Krishna%27s_Service-Absolute_Delight.mp3" TargetMode="External"/><Relationship Id="rId3227" Type="http://schemas.openxmlformats.org/officeDocument/2006/relationships/hyperlink" Target="https://audio.iskcondesiretree.com/01_-_Srila_Prabhupada/01_-_Lectures/01_-_English/01_-_Topic_wise/Srimad_Bhagavatam/Canto-06/SP_SB_6-01-01-02_Melbourne_1975-05-22_Hog%27s_Life-_Eat_Any_Damned_Food.MP3" TargetMode="External"/><Relationship Id="rId3641" Type="http://schemas.openxmlformats.org/officeDocument/2006/relationships/hyperlink" Target="https://audio.iskcondesiretree.com/01_-_Srila_Prabhupada/01_-_Lectures/01_-_English/01_-_Topic_wise/Morning_Walk/SP_Morning_Walk_-_Detroit_1975-08-05.MP3" TargetMode="External"/><Relationship Id="rId148" Type="http://schemas.openxmlformats.org/officeDocument/2006/relationships/hyperlink" Target="https://audio.iskcondesiretree.com/01_-_Srila_Prabhupada/01_-_Lectures/01_-_English/01_-_Topic_wise/Chaitanya_Charitamrita/Madhya_Lila/SP_CC_M_20-152_New_York_1966-12-05_Krishna-Source_of_Everything.mp3" TargetMode="External"/><Relationship Id="rId562" Type="http://schemas.openxmlformats.org/officeDocument/2006/relationships/hyperlink" Target="https://audio.iskcondesiretree.com/01_-_Srila_Prabhupada/01_-_Lectures/01_-_English/02_-_Month_wise/02_-_Feburary/23/Bg_16-05_CAL_1972-02-23_Some_Way_or_Other_Become_etc.mp3" TargetMode="External"/><Relationship Id="rId1192" Type="http://schemas.openxmlformats.org/officeDocument/2006/relationships/hyperlink" Target="https://audio.iskcondesiretree.com/01_-_Srila_Prabhupada/01_-_Lectures/01_-_English/01_-_Topic_wise/Bhagavad_Gita/Chapter-02/SP_BG_02-14_London_1973-08-20_The_Skin_Disease.mp3" TargetMode="External"/><Relationship Id="rId2243" Type="http://schemas.openxmlformats.org/officeDocument/2006/relationships/hyperlink" Target="https://audio.iskcondesiretree.com/01_-_Srila_Prabhupada/01_-_Lectures/01_-_English/02_-_Month_wise/07_-_July/04/Bg_17-01_MEL_1974-07-04_Faith-Blind_and_Sighted.mp3" TargetMode="External"/><Relationship Id="rId5399" Type="http://schemas.openxmlformats.org/officeDocument/2006/relationships/hyperlink" Target="https://audio.iskcondesiretree.com/01_-_Srila_Prabhupada/01_-_Lectures/01_-_English/02_-_Month_wise/11_-_November/09/SB-05-05-21%E2%80%9322_1976-11-09_SB-VRNDAVAN.MP3" TargetMode="External"/><Relationship Id="rId215" Type="http://schemas.openxmlformats.org/officeDocument/2006/relationships/hyperlink" Target="https://audio.iskcondesiretree.com/01_-_Srila_Prabhupada/01_-_Lectures/01_-_English/02_-_Month_wise/01_-_January/11/Cc_M_22-021_NY_1967-01-11_Devotional_Service_Will_etc.mp3" TargetMode="External"/><Relationship Id="rId2310" Type="http://schemas.openxmlformats.org/officeDocument/2006/relationships/hyperlink" Target="https://audio.iskcondesiretree.com/01_-_Srila_Prabhupada/01_-_Lectures/01_-_English/01_-_Topic_wise/Srimad_Bhagavatam/Canto-01/SP_SB_1-05-23_Vrindavan_1974-08-04_Service_to_Devotees-How_Potent.mp3" TargetMode="External"/><Relationship Id="rId5466" Type="http://schemas.openxmlformats.org/officeDocument/2006/relationships/hyperlink" Target="https://audio.iskcondesiretree.com/01_-_Srila_Prabhupada/01_-_Lectures/01_-_English/02_-_Month_wise/11_-_November/29/SB_5-06-07_VRN_1976-11-29_Mayavadis_Think_Krishna_Is_Maya.mp3" TargetMode="External"/><Relationship Id="rId4068" Type="http://schemas.openxmlformats.org/officeDocument/2006/relationships/hyperlink" Target="https://audio.iskcondesiretree.com/01_-_Srila_Prabhupada/01_-_Lectures/01_-_English/02_-_Month_wise/12_-_December/09/SB_7-06-07_VRN_1975-12-09_We%27re_Taking_Death_As_Life.mp3" TargetMode="External"/><Relationship Id="rId4482" Type="http://schemas.openxmlformats.org/officeDocument/2006/relationships/hyperlink" Target="https://audio.iskcondesiretree.com/01_-_Srila_Prabhupada/01_-_Lectures/01_-_English/02_-_Month_wise/04_-_April/15/Walk_1976-04-15_MW-BOMBAY.MP3" TargetMode="External"/><Relationship Id="rId5119" Type="http://schemas.openxmlformats.org/officeDocument/2006/relationships/hyperlink" Target="https://audio.iskcondesiretree.com/01_-_Srila_Prabhupada/01_-_Lectures/01_-_English/02_-_Month_wise/08_-_August/16/RC_BOM_1976-08-16_Prestige-No_Match_for_Karma.mp3" TargetMode="External"/><Relationship Id="rId5880" Type="http://schemas.openxmlformats.org/officeDocument/2006/relationships/hyperlink" Target="https://audio.iskcondesiretree.com/01_-_Srila_Prabhupada/01_-_Lectures/01_-_English/02_-_Month_wise/06_-_June/20/Conv_1977-06-20_R1-VRNDAVAN.MP3" TargetMode="External"/><Relationship Id="rId3084" Type="http://schemas.openxmlformats.org/officeDocument/2006/relationships/hyperlink" Target="https://audio.iskcondesiretree.com/01_-_Srila_Prabhupada/01_-_Lectures/01_-_English/01_-_Topic_wise/Srimad_Bhagavatam/Canto-05/SP_SB_5-05-02_Hyderabad_1975-04-11_Don%27t_Kill_Yourself.mp3" TargetMode="External"/><Relationship Id="rId4135" Type="http://schemas.openxmlformats.org/officeDocument/2006/relationships/hyperlink" Target="https://audio.iskcondesiretree.com/01_-_Srila_Prabhupada/01_-_Lectures/01_-_English/01_-_Topic_wise/Various/SP_Lecture_Sanand_1975-12-27_Attachment_to_Krishna_Is_Natural.mp3" TargetMode="External"/><Relationship Id="rId5533" Type="http://schemas.openxmlformats.org/officeDocument/2006/relationships/hyperlink" Target="https://audio.iskcondesiretree.com/01_-_Srila_Prabhupada/01_-_Lectures/01_-_English/02_-_Month_wise/12_-_December/27/Conv_1976-12-27_R3-BOMBAY.MP3" TargetMode="External"/><Relationship Id="rId1729" Type="http://schemas.openxmlformats.org/officeDocument/2006/relationships/hyperlink" Target="https://audio.iskcondesiretree.com/01_-_Srila_Prabhupada/01_-_Lectures/01_-_English/01_-_Topic_wise/Morning_Walk/SP_Morning_Walk_-_Vrindavan_1974-03-18.mp3" TargetMode="External"/><Relationship Id="rId5600" Type="http://schemas.openxmlformats.org/officeDocument/2006/relationships/hyperlink" Target="https://audio.iskcondesiretree.com/01_-_Srila_Prabhupada/01_-_Lectures/01_-_English/02_-_Month_wise/01_-_January/19/Arrival_1977-01-19_AR-BHUBANESWAR.MP3" TargetMode="External"/><Relationship Id="rId3151" Type="http://schemas.openxmlformats.org/officeDocument/2006/relationships/hyperlink" Target="https://audio.iskcondesiretree.com/01_-_Srila_Prabhupada/01_-_Lectures/01_-_English/01_-_Topic_wise/Room_Conversation/SP_Room_Conversation_Perth_1975-05-08_Philosopher--Drug_Philosophy_---etc.mp3" TargetMode="External"/><Relationship Id="rId4202" Type="http://schemas.openxmlformats.org/officeDocument/2006/relationships/hyperlink" Target="https://audio.iskcondesiretree.com/01_-_Srila_Prabhupada/01_-_Lectures/01_-_English/01_-_Topic_wise/Morning_Walk/SP_Morning_Walk_-_Mayapur_1976-02-03_You_Scientists_Make_the_Sun_Rise_at--etc.mp3" TargetMode="External"/><Relationship Id="rId3968" Type="http://schemas.openxmlformats.org/officeDocument/2006/relationships/hyperlink" Target="https://audio.iskcondesiretree.com/01_-_Srila_Prabhupada/01_-_Lectures/01_-_English/01_-_Topic_wise/Chaitanya_Charitamrita/Madhya_Lila/SP_CC_M_20-100_Bombay_1975-11-09_How_to_Accept_the_Lord%27s_Instruction.mp3" TargetMode="External"/><Relationship Id="rId5" Type="http://schemas.openxmlformats.org/officeDocument/2006/relationships/hyperlink" Target="https://audio.iskcondesiretree.com/01_-_Srila_Prabhupada/01_-_Lectures/01_-_English/02_-_Month_wise/02_-_Feburary/19/Bg_00-02_NY_1966-02-19_20_Intro_2--_to_Bhagavad_Gita.mp3" TargetMode="External"/><Relationship Id="rId889" Type="http://schemas.openxmlformats.org/officeDocument/2006/relationships/hyperlink" Target="https://audio.iskcondesiretree.com/01_-_Srila_Prabhupada/01_-_Lectures/01_-_English/01_-_Topic_wise/Nectar_Of_Devotion/SP_NOD_Pg-14_Bombay_1973-01-05_-_Invoking_Natural_Love_to_Krishna.mp3" TargetMode="External"/><Relationship Id="rId5390" Type="http://schemas.openxmlformats.org/officeDocument/2006/relationships/hyperlink" Target="https://audio.iskcondesiretree.com/01_-_Srila_Prabhupada/01_-_Lectures/01_-_English/02_-_Month_wise/11_-_November/06/SB-05-05-18_1976-11-06_SB-VRNDAVAN.MP3" TargetMode="External"/><Relationship Id="rId6027" Type="http://schemas.openxmlformats.org/officeDocument/2006/relationships/hyperlink" Target="https://audio.iskcondesiretree.com/01_-_Srila_Prabhupada/01_-_Lectures/01_-_English/01_-_Topic_wise/Various/SP_Lecture_New_York_1966-05-00_Getting_the_Higher_Taste--Control_the_Tongue.mp3" TargetMode="External"/><Relationship Id="rId1586" Type="http://schemas.openxmlformats.org/officeDocument/2006/relationships/hyperlink" Target="https://audio.iskcondesiretree.com/01_-_Srila_Prabhupada/01_-_Lectures/01_-_English/01_-_Topic_wise/Room_Conversation/SP_Room_Conversation_Vrindavan_1974-02-06_Gurudas--Krishna_%26_Guru-Not_in_Every_Birth.mp3" TargetMode="External"/><Relationship Id="rId2984" Type="http://schemas.openxmlformats.org/officeDocument/2006/relationships/hyperlink" Target="https://audio.iskcondesiretree.com/01_-_Srila_Prabhupada/01_-_Lectures/01_-_English/02_-_Month_wise/03_-_March/23/SB-01-02-08%E2%80%93Hindi_1975-03-23_SB-CALCUTTA.MP3" TargetMode="External"/><Relationship Id="rId5043" Type="http://schemas.openxmlformats.org/officeDocument/2006/relationships/hyperlink" Target="https://audio.iskcondesiretree.com/01_-_Srila_Prabhupada/01_-_Lectures/01_-_English/02_-_Month_wise/08_-_August/02/Conv_1976-08-02_R2-NEW%20MAYAPUR.MP3" TargetMode="External"/><Relationship Id="rId609" Type="http://schemas.openxmlformats.org/officeDocument/2006/relationships/hyperlink" Target="https://audio.iskcondesiretree.com/01_-_Srila_Prabhupada/01_-_Lectures/01_-_English/02_-_Month_wise/06_-_June/17/SB_2-03-20_LA_1972-06-17_Criminal_Enjoyment.mp3" TargetMode="External"/><Relationship Id="rId956" Type="http://schemas.openxmlformats.org/officeDocument/2006/relationships/hyperlink" Target="https://audio.iskcondesiretree.com/01_-_Srila_Prabhupada/01_-_Lectures/01_-_English/01_-_Topic_wise/Srimad_Bhagavatam/Canto-01/SP_SB_1-08-27_Los_Angeles_1973-04-19_Predominator_to_Predominated.mp3" TargetMode="External"/><Relationship Id="rId1239" Type="http://schemas.openxmlformats.org/officeDocument/2006/relationships/hyperlink" Target="https://audio.iskcondesiretree.com/01_-_Srila_Prabhupada/01_-_Lectures/01_-_English/01_-_Topic_wise/Room_Conversation/SP_Room_Conversation_London_1973-09-01_Radharani_Recommends_to_Krishna.mp3" TargetMode="External"/><Relationship Id="rId2637" Type="http://schemas.openxmlformats.org/officeDocument/2006/relationships/hyperlink" Target="https://audio.iskcondesiretree.com/01_-_Srila_Prabhupada/01_-_Lectures/01_-_English/02_-_Month_wise/12_-_December/23/SB-03-26-11%E2%80%9314_1974-12-23_SB-BOMBAY.MP3" TargetMode="External"/><Relationship Id="rId5110" Type="http://schemas.openxmlformats.org/officeDocument/2006/relationships/hyperlink" Target="https://audio.iskcondesiretree.com/01_-_Srila_Prabhupada/01_-_Lectures/01_-_English/02_-_Month_wise/08_-_August/14/MW_BOM_1976-08-14_Cow_Care.mp3" TargetMode="External"/><Relationship Id="rId1653" Type="http://schemas.openxmlformats.org/officeDocument/2006/relationships/hyperlink" Target="https://audio.iskcondesiretree.com/01_-_Srila_Prabhupada/01_-_Lectures/01_-_English/02_-_Month_wise/02_-_Feburary/25/Bg_07-11_BOM_1974-02-25_Unplanned_Unwanted_Children.mp3" TargetMode="External"/><Relationship Id="rId2704" Type="http://schemas.openxmlformats.org/officeDocument/2006/relationships/hyperlink" Target="https://audio.iskcondesiretree.com/01_-_Srila_Prabhupada/01_-_Lectures/01_-_English/01_-_Topic_wise/Srimad_Bhagavatam/Canto-03/SP_SB_3-26-42_Bombay_1975-01-17_Universal_Mixer_%26_Taste_Maker.mp3" TargetMode="External"/><Relationship Id="rId1306" Type="http://schemas.openxmlformats.org/officeDocument/2006/relationships/hyperlink" Target="https://audio.iskcondesiretree.com/01_-_Srila_Prabhupada/01_-_Lectures/01_-_English/02_-_Month_wise/10_-_October/05/Bg_13-08_BOM_1973-10-05_You_Have_to_Approach_an_Acarya.mp3" TargetMode="External"/><Relationship Id="rId1720" Type="http://schemas.openxmlformats.org/officeDocument/2006/relationships/hyperlink" Target="https://audio.iskcondesiretree.com/01_-_Srila_Prabhupada/01_-_Lectures/01_-_English/02_-_Month_wise/03_-_March/16/SB-02-01-01_1974-03-16_SB-VRNDAVAN.MP3" TargetMode="External"/><Relationship Id="rId4876" Type="http://schemas.openxmlformats.org/officeDocument/2006/relationships/hyperlink" Target="https://audio.iskcondesiretree.com/01_-_Srila_Prabhupada/01_-_Lectures/01_-_English/02_-_Month_wise/07_-_July/02/Arrival_1976-07-02_AR-WASHINGTON%20DC.MP3" TargetMode="External"/><Relationship Id="rId5927" Type="http://schemas.openxmlformats.org/officeDocument/2006/relationships/hyperlink" Target="https://audio.iskcondesiretree.com/01_-_Srila_Prabhupada/01_-_Lectures/01_-_English/02_-_Month_wise/08_-_August/17/Conv_1977-08-17_R1-VRNDAVAN.MP3" TargetMode="External"/><Relationship Id="rId12" Type="http://schemas.openxmlformats.org/officeDocument/2006/relationships/hyperlink" Target="https://audio.iskcondesiretree.com/01_-_Srila_Prabhupada/01_-_Lectures/01_-_English/02_-_Month_wise/03_-_March/04/Bg_02-11_NY_1966-03-04_The_Fragrance_of_the_Soul_etc.mp3" TargetMode="External"/><Relationship Id="rId3478" Type="http://schemas.openxmlformats.org/officeDocument/2006/relationships/hyperlink" Target="https://audio.iskcondesiretree.com/01_-_Srila_Prabhupada/01_-_Lectures/01_-_English/02_-_Month_wise/07_-_July/09/SB_6-01-25_CHI_1975-07-09_Attachment-To_Shadows.mp3" TargetMode="External"/><Relationship Id="rId3892" Type="http://schemas.openxmlformats.org/officeDocument/2006/relationships/hyperlink" Target="https://audio.iskcondesiretree.com/01_-_Srila_Prabhupada/01_-_Lectures/01_-_English/01_-_Topic_wise/Bhagavad_Gita/Chapter-04/SP_BG_04-13_Johannesburg_1975-10-19_Sunday_Feast--Cat_and_Dog_Society.mp3" TargetMode="External"/><Relationship Id="rId4529" Type="http://schemas.openxmlformats.org/officeDocument/2006/relationships/hyperlink" Target="https://audio.iskcondesiretree.com/01_-_Srila_Prabhupada/01_-_Lectures/01_-_English/01_-_Topic_wise/Bhagavad_Gita/Chapter-09/SP_BG_09-05_Melbourne_1976-04-24_Material_World-Spiritual_World.mp3" TargetMode="External"/><Relationship Id="rId4943" Type="http://schemas.openxmlformats.org/officeDocument/2006/relationships/hyperlink" Target="https://audio.iskcondesiretree.com/01_-_Srila_Prabhupada/01_-_Lectures/01_-_English/02_-_Month_wise/07_-_July/10/Walk_1976-07-10_MW-NEW%20YORK.MP3" TargetMode="External"/><Relationship Id="rId399" Type="http://schemas.openxmlformats.org/officeDocument/2006/relationships/hyperlink" Target="https://audio.iskcondesiretree.com/01_-_Srila_Prabhupada/01_-_Lectures/01_-_English/01_-_Topic_wise/Srimad_Bhagavatam/Canto-11/SP_SB_11-03-21_New_York_1969-04-13_Commanders-in-Chief_in_the--etc.mp3" TargetMode="External"/><Relationship Id="rId2494" Type="http://schemas.openxmlformats.org/officeDocument/2006/relationships/hyperlink" Target="https://audio.iskcondesiretree.com/01_-_Srila_Prabhupada/01_-_Lectures/01_-_English/01_-_Topic_wise/Srimad_Bhagavatam/Canto-03/SP_SB_3-25-05_Bombay_1974-11-05_An_%27Independent%27_Woman--etc.mp3" TargetMode="External"/><Relationship Id="rId3545" Type="http://schemas.openxmlformats.org/officeDocument/2006/relationships/hyperlink" Target="https://audio.iskcondesiretree.com/01_-_Srila_Prabhupada/01_-_Lectures/01_-_English/02_-_Month_wise/07_-_July/17/Walk_1975-07-17_MW-SAN%20FRANCISCO.MP3" TargetMode="External"/><Relationship Id="rId466" Type="http://schemas.openxmlformats.org/officeDocument/2006/relationships/hyperlink" Target="https://audio.iskcondesiretree.com/01_-_Srila_Prabhupada/01_-_Lectures/01_-_English/01_-_Topic_wise/Bhagavad_Gita/Chapter-07/SP_BG_07-14_Hamburg_1969-09-08_Let_Us_Die_Like--etc.mp3" TargetMode="External"/><Relationship Id="rId880" Type="http://schemas.openxmlformats.org/officeDocument/2006/relationships/hyperlink" Target="https://audio.iskcondesiretree.com/01_-_Srila_Prabhupada/01_-_Lectures/01_-_English/01_-_Topic_wise/Bhagavad_Gita/Chapter-13/SP_BG_13-03_Bombay_1972-12-30_Occupant_and_Owner_of_Body.mp3" TargetMode="External"/><Relationship Id="rId1096" Type="http://schemas.openxmlformats.org/officeDocument/2006/relationships/hyperlink" Target="https://audio.iskcondesiretree.com/01_-_Srila_Prabhupada/01_-_Lectures/01_-_English/01_-_Topic_wise/Bhagavad_Gita/Chapter-01/SP_BG_01-23_London_1973-07-19_How_to_Enjoy_Real_Bliss.mp3" TargetMode="External"/><Relationship Id="rId2147" Type="http://schemas.openxmlformats.org/officeDocument/2006/relationships/hyperlink" Target="https://audio.iskcondesiretree.com/01_-_Srila_Prabhupada/01_-_Lectures/01_-_English/02_-_Month_wise/06_-_June/15/SB-02-01-07_1974-06-15_SB-PARIS.MP3" TargetMode="External"/><Relationship Id="rId2561" Type="http://schemas.openxmlformats.org/officeDocument/2006/relationships/hyperlink" Target="https://audio.iskcondesiretree.com/01_-_Srila_Prabhupada/01_-_Lectures/01_-_English/01_-_Topic_wise/Srimad_Bhagavatam/Canto-03/SP_SB_3-25-28_Bombay_1974-11-28_You_Must_Go_to_a_Guru.mp3" TargetMode="External"/><Relationship Id="rId119" Type="http://schemas.openxmlformats.org/officeDocument/2006/relationships/hyperlink" Target="https://audio.iskcondesiretree.com/01_-_Srila_Prabhupada/01_-_Lectures/01_-_English/02_-_Month_wise/11_-_November/23/Cc_M_20-118_NY_1966-11-23_Material_Infection_Equals_etc.mp3" TargetMode="External"/><Relationship Id="rId533" Type="http://schemas.openxmlformats.org/officeDocument/2006/relationships/hyperlink" Target="https://audio.iskcondesiretree.com/01_-_Srila_Prabhupada/01_-_Lectures/01_-_English/01_-_Topic_wise/Festivals/SP_Festivals_San_Francisco_1971-06-27_Ratha-yatra--Spiritualize_Your--etc.mp3" TargetMode="External"/><Relationship Id="rId1163" Type="http://schemas.openxmlformats.org/officeDocument/2006/relationships/hyperlink" Target="https://audio.iskcondesiretree.com/01_-_Srila_Prabhupada/01_-_Lectures/01_-_English/01_-_Topic_wise/Room_Conversation/SP_Room_Conversation_Paris_1973-08-11_Our_Freedom-God%27s_Flaw.mp3" TargetMode="External"/><Relationship Id="rId2214" Type="http://schemas.openxmlformats.org/officeDocument/2006/relationships/hyperlink" Target="https://audio.iskcondesiretree.com/01_-_Srila_Prabhupada/01_-_Lectures/01_-_English/02_-_Month_wise/06_-_June/29/Bg_07-01_MEL_1974-06-29_Surrounded_by_Krishna_Atmosphere.mp3" TargetMode="External"/><Relationship Id="rId3612" Type="http://schemas.openxmlformats.org/officeDocument/2006/relationships/hyperlink" Target="https://audio.iskcondesiretree.com/01_-_Srila_Prabhupada/01_-_Lectures/01_-_English/01_-_Topic_wise/Srimad_Bhagavatam/Canto-06/SP_SB_6-01-48_Dallas_1975-07-30_Part_and_Parcel_of_Krishna.mp3" TargetMode="External"/><Relationship Id="rId5784" Type="http://schemas.openxmlformats.org/officeDocument/2006/relationships/hyperlink" Target="https://audio.iskcondesiretree.com/01_-_Srila_Prabhupada/01_-_Lectures/01_-_English/01_-_Topic_wise/Various/SP_Lecture_Bombay_1977-04-01_Higher_Knowledge.mp3" TargetMode="External"/><Relationship Id="rId600" Type="http://schemas.openxmlformats.org/officeDocument/2006/relationships/hyperlink" Target="https://audio.iskcondesiretree.com/01_-_Srila_Prabhupada/01_-_Lectures/01_-_English/01_-_Topic_wise/Srimad_Bhagavatam/Canto-02/SP_SB_2-03-19_Los_Angeles_1972-06-13_Doghouse_or_Igloo-_Home_Sweet_Home.mp3" TargetMode="External"/><Relationship Id="rId1230" Type="http://schemas.openxmlformats.org/officeDocument/2006/relationships/hyperlink" Target="https://audio.iskcondesiretree.com/01_-_Srila_Prabhupada/01_-_Lectures/01_-_English/01_-_Topic_wise/Room_Conversation/SP_Room_Conversation_London_1973-08-30_Schoolmaster--Everybody_Is_Chanting.mp3" TargetMode="External"/><Relationship Id="rId4386" Type="http://schemas.openxmlformats.org/officeDocument/2006/relationships/hyperlink" Target="https://audio.iskcondesiretree.com/01_-_Srila_Prabhupada/01_-_Lectures/01_-_English/02_-_Month_wise/03_-_March/19/SB-07-09-41_1976-03-19_SB-MAYAPUR.MP3" TargetMode="External"/><Relationship Id="rId5437" Type="http://schemas.openxmlformats.org/officeDocument/2006/relationships/hyperlink" Target="https://audio.iskcondesiretree.com/01_-_Srila_Prabhupada/01_-_Lectures/01_-_English/02_-_Month_wise/11_-_November/19/SB_5-05-32_VRN_1976-11-19_Krishna_Movement_Can%27t_Be_Killed.mp3" TargetMode="External"/><Relationship Id="rId5851" Type="http://schemas.openxmlformats.org/officeDocument/2006/relationships/hyperlink" Target="https://audio.iskcondesiretree.com/01_-_Srila_Prabhupada/01_-_Lectures/01_-_English/02_-_Month_wise/05_-_May/14/RC_HRI_1977-05-14_Dry_Land_in_Ocean_of_Faults.mp3" TargetMode="External"/><Relationship Id="rId4039" Type="http://schemas.openxmlformats.org/officeDocument/2006/relationships/hyperlink" Target="https://audio.iskcondesiretree.com/01_-_Srila_Prabhupada/01_-_Lectures/01_-_English/02_-_Month_wise/12_-_December/02/SB-07-06-01_1975-12-02_SB-VRNDAVAN.MP3" TargetMode="External"/><Relationship Id="rId4453" Type="http://schemas.openxmlformats.org/officeDocument/2006/relationships/hyperlink" Target="https://audio.iskcondesiretree.com/01_-_Srila_Prabhupada/01_-_Lectures/01_-_English/02_-_Month_wise/04_-_April/09/SB-07-09-54_1976-04-09_SB-VRNDAVAN.MP3" TargetMode="External"/><Relationship Id="rId5504" Type="http://schemas.openxmlformats.org/officeDocument/2006/relationships/hyperlink" Target="https://audio.iskcondesiretree.com/01_-_Srila_Prabhupada/01_-_Lectures/01_-_English/02_-_Month_wise/12_-_December/15/Bg-16-07_1976-12-15_BG-HYDERABAD.MP3" TargetMode="External"/><Relationship Id="rId3055" Type="http://schemas.openxmlformats.org/officeDocument/2006/relationships/hyperlink" Target="https://audio.iskcondesiretree.com/01_-_Srila_Prabhupada/01_-_Lectures/01_-_English/02_-_Month_wise/04_-_April/05/Cc_A_1-12_MAY_1975-04-05_Big_Chunk-Big_Chumps-Big_Controller.mp3" TargetMode="External"/><Relationship Id="rId4106" Type="http://schemas.openxmlformats.org/officeDocument/2006/relationships/hyperlink" Target="https://audio.iskcondesiretree.com/01_-_Srila_Prabhupada/01_-_Lectures/01_-_English/01_-_Topic_wise/Morning_Walk/SP_Morning_Walk_-_Bombay_1975-12-20_God_and_Guru-No_Substitutes.mp3" TargetMode="External"/><Relationship Id="rId4520" Type="http://schemas.openxmlformats.org/officeDocument/2006/relationships/hyperlink" Target="https://audio.iskcondesiretree.com/01_-_Srila_Prabhupada/01_-_Lectures/01_-_English/02_-_Month_wise/04_-_April/22/Interv_MEL_1976-04-22_Press-First_Understand_Your_Self.mp3" TargetMode="External"/><Relationship Id="rId390" Type="http://schemas.openxmlformats.org/officeDocument/2006/relationships/hyperlink" Target="https://audio.iskcondesiretree.com/01_-_Srila_Prabhupada/01_-_Lectures/01_-_English/02_-_Month_wise/03_-_March/27/Fest_HAW_1969-03-27_Rama_Navami.mp3" TargetMode="External"/><Relationship Id="rId2071" Type="http://schemas.openxmlformats.org/officeDocument/2006/relationships/hyperlink" Target="https://audio.iskcondesiretree.com/01_-_Srila_Prabhupada/01_-_Lectures/01_-_English/01_-_Topic_wise/Bhagavad_Gita/Chapter-08/SP_BG_08-01_Geneva_1974-06-07_Women_Should_Give_Birth_Soon.mp3" TargetMode="External"/><Relationship Id="rId3122" Type="http://schemas.openxmlformats.org/officeDocument/2006/relationships/hyperlink" Target="https://audio.iskcondesiretree.com/01_-_Srila_Prabhupada/01_-_Lectures/01_-_English/02_-_Month_wise/04_-_April/18/SB_1-07-06_VRN_1975-04-18_Unwanted_Nonsense_and_Freedom.mp3" TargetMode="External"/><Relationship Id="rId5294" Type="http://schemas.openxmlformats.org/officeDocument/2006/relationships/hyperlink" Target="https://audio.iskcondesiretree.com/01_-_Srila_Prabhupada/01_-_Lectures/01_-_English/01_-_Topic_wise/Srimad_Bhagavatam/Canto-01/SP_SB_1-07-43_Vrindavan_1976-10-03_Husband_Wife_and_Happy_Home.mp3" TargetMode="External"/><Relationship Id="rId110" Type="http://schemas.openxmlformats.org/officeDocument/2006/relationships/hyperlink" Target="https://audio.iskcondesiretree.com/01_-_Srila_Prabhupada/01_-_Lectures/01_-_English/01_-_Topic_wise/Bhagavad_Gita/Chapter-09/SP_BG_09-02_New_York_1966-11-22_It_Is_Everlasting_and_It_Is--etc.mp3" TargetMode="External"/><Relationship Id="rId2888" Type="http://schemas.openxmlformats.org/officeDocument/2006/relationships/hyperlink" Target="https://audio.iskcondesiretree.com/01_-_Srila_Prabhupada/01_-_Lectures/01_-_English/01_-_Topic_wise/Room_Conversation/SP_Room_Conversation_01_Atlanta_1975-03-02.MP3" TargetMode="External"/><Relationship Id="rId3939" Type="http://schemas.openxmlformats.org/officeDocument/2006/relationships/hyperlink" Target="https://audio.iskcondesiretree.com/01_-_Srila_Prabhupada/01_-_Lectures/01_-_English/02_-_Month_wise/10_-_October/30/SB-03-28-20_1975-10-30_SB-NAIROBI.MP3" TargetMode="External"/><Relationship Id="rId2955" Type="http://schemas.openxmlformats.org/officeDocument/2006/relationships/hyperlink" Target="https://audio.iskcondesiretree.com/01_-_Srila_Prabhupada/01_-_Lectures/01_-_English/02_-_Month_wise/03_-_March/13/RC_TEH_1975-03-13_Indians--Only_Krishna_Should_Be_Satisfied.mp3" TargetMode="External"/><Relationship Id="rId5361" Type="http://schemas.openxmlformats.org/officeDocument/2006/relationships/hyperlink" Target="https://audio.iskcondesiretree.com/01_-_Srila_Prabhupada/01_-_Lectures/01_-_English/02_-_Month_wise/10_-_October/31/SB-05-05-09_1976-10-31_SB-VRNDAVAN.MP3" TargetMode="External"/><Relationship Id="rId927" Type="http://schemas.openxmlformats.org/officeDocument/2006/relationships/hyperlink" Target="https://audio.iskcondesiretree.com/01_-_Srila_Prabhupada/01_-_Lectures/01_-_English/02_-_Month_wise/03_-_March/06/Bg_10-01_CAL_1973-03-06_More_or_Less_Demons--Still_etc.mp3" TargetMode="External"/><Relationship Id="rId1557" Type="http://schemas.openxmlformats.org/officeDocument/2006/relationships/hyperlink" Target="https://audio.iskcondesiretree.com/01_-_Srila_Prabhupada/01_-_Lectures/01_-_English/01_-_Topic_wise/Srimad_Bhagavatam/Canto-01/SP_SB_1-16-25_Hawaii_1974-01-21_Finding_Happiness.mp3" TargetMode="External"/><Relationship Id="rId1971" Type="http://schemas.openxmlformats.org/officeDocument/2006/relationships/hyperlink" Target="https://audio.iskcondesiretree.com/01_-_Srila_Prabhupada/01_-_Lectures/01_-_English/01_-_Topic_wise/Room_Conversation/SP_Room_Conversation_02_Rome_1974-05-24.mp3" TargetMode="External"/><Relationship Id="rId2608" Type="http://schemas.openxmlformats.org/officeDocument/2006/relationships/hyperlink" Target="https://audio.iskcondesiretree.com/01_-_Srila_Prabhupada/01_-_Lectures/01_-_English/02_-_Month_wise/12_-_December/13/SB_3-26-01_BOM_1974-12-13_Getting_Uncontaminated.mp3" TargetMode="External"/><Relationship Id="rId5014" Type="http://schemas.openxmlformats.org/officeDocument/2006/relationships/hyperlink" Target="https://audio.iskcondesiretree.com/01_-_Srila_Prabhupada/01_-_Lectures/01_-_English/02_-_Month_wise/07_-_July/24/Conv_1976-07-24_R1-LONDON.MP3" TargetMode="External"/><Relationship Id="rId1624" Type="http://schemas.openxmlformats.org/officeDocument/2006/relationships/hyperlink" Target="https://audio.iskcondesiretree.com/01_-_Srila_Prabhupada/01_-_Lectures/01_-_English/02_-_Month_wise/02_-_Feburary/18/Bg_07-03_BOM_1974-02-18_One_in_Many_Million.mp3" TargetMode="External"/><Relationship Id="rId4030" Type="http://schemas.openxmlformats.org/officeDocument/2006/relationships/hyperlink" Target="https://audio.iskcondesiretree.com/01_-_Srila_Prabhupada/01_-_Lectures/01_-_English/02_-_Month_wise/11_-_November/28/SB-05-05-01_1975-11-28_SB-DELHI.MP3" TargetMode="External"/><Relationship Id="rId3796" Type="http://schemas.openxmlformats.org/officeDocument/2006/relationships/hyperlink" Target="https://audio.iskcondesiretree.com/01_-_Srila_Prabhupada/01_-_Lectures/01_-_English/01_-_Topic_wise/Arrival_Address/SP_Arrival_Mauritius_1975-10-01_This_Body_Is_a_Bag.mp3" TargetMode="External"/><Relationship Id="rId2398" Type="http://schemas.openxmlformats.org/officeDocument/2006/relationships/hyperlink" Target="https://audio.iskcondesiretree.com/01_-_Srila_Prabhupada/01_-_Lectures/01_-_English/02_-_Month_wise/09_-_September/29/SB-01-08-19_1974-09-29_SB-MAYAPUR.MP3" TargetMode="External"/><Relationship Id="rId3449" Type="http://schemas.openxmlformats.org/officeDocument/2006/relationships/hyperlink" Target="https://audio.iskcondesiretree.com/01_-_Srila_Prabhupada/01_-_Lectures/01_-_English/01_-_Topic_wise/Srimad_Bhagavatam/Canto-06/SP_SB_6-01-22_Chicago_1975-07-06_Fifth_Class_Education...--etc.mp3" TargetMode="External"/><Relationship Id="rId4847" Type="http://schemas.openxmlformats.org/officeDocument/2006/relationships/hyperlink" Target="https://audio.iskcondesiretree.com/01_-_Srila_Prabhupada/01_-_Lectures/01_-_English/02_-_Month_wise/06_-_June/28/Bg_16-17_NV_1976-06-28_Dishonesty_Starts_from_Government.mp3" TargetMode="External"/><Relationship Id="rId3863" Type="http://schemas.openxmlformats.org/officeDocument/2006/relationships/hyperlink" Target="https://audio.iskcondesiretree.com/01_-_Srila_Prabhupada/01_-_Lectures/01_-_English/01_-_Topic_wise/Srimad_Bhagavatam/Canto-01/SP_SB_1-07-02-04_Durban_1975-10-14_Seeing_Krishna_24_Hours_a_Day.MP3" TargetMode="External"/><Relationship Id="rId4914" Type="http://schemas.openxmlformats.org/officeDocument/2006/relationships/hyperlink" Target="https://audio.iskcondesiretree.com/01_-_Srila_Prabhupada/01_-_Lectures/01_-_English/01_-_Topic_wise/Chaitanya_Charitamrita/Madhya_Lila/SP_CC_M_20-102_Washington-DC_1976-07-07_Nobody_Is_Fit--Nobody_Survives.mp3" TargetMode="External"/><Relationship Id="rId784" Type="http://schemas.openxmlformats.org/officeDocument/2006/relationships/hyperlink" Target="https://audio.iskcondesiretree.com/01_-_Srila_Prabhupada/01_-_Lectures/01_-_English/01_-_Topic_wise/Nectar_Of_Devotion/SP_NOD_10_Vrindavan_1972-11-05_-_The_Complete_Science_of_Bhakti_Yoga.mp3" TargetMode="External"/><Relationship Id="rId1067" Type="http://schemas.openxmlformats.org/officeDocument/2006/relationships/hyperlink" Target="https://audio.iskcondesiretree.com/01_-_Srila_Prabhupada/01_-_Lectures/01_-_English/01_-_Topic_wise/Bhagavad_Gita/Chapter-01/SP_BG_01-04_London_1973-07-10_Everything_Even--etc.mp3" TargetMode="External"/><Relationship Id="rId2465" Type="http://schemas.openxmlformats.org/officeDocument/2006/relationships/hyperlink" Target="https://audio.iskcondesiretree.com/01_-_Srila_Prabhupada/01_-_Lectures/01_-_English/02_-_Month_wise/10_-_October/24/SB-01-08-44_1974-10-24_SB-MAYAPUR.MP3" TargetMode="External"/><Relationship Id="rId3516" Type="http://schemas.openxmlformats.org/officeDocument/2006/relationships/hyperlink" Target="https://audio.iskcondesiretree.com/01_-_Srila_Prabhupada/01_-_Lectures/01_-_English/02_-_Month_wise/07_-_July/13/Conv_1975-07-13_R2-PHILADELPHIA.MP3" TargetMode="External"/><Relationship Id="rId3930" Type="http://schemas.openxmlformats.org/officeDocument/2006/relationships/hyperlink" Target="https://audio.iskcondesiretree.com/01_-_Srila_Prabhupada/01_-_Lectures/01_-_English/02_-_Month_wise/10_-_October/29/Bg-07-03_1975-10-29_BG-NAIROBI.MP3" TargetMode="External"/><Relationship Id="rId437" Type="http://schemas.openxmlformats.org/officeDocument/2006/relationships/hyperlink" Target="https://audio.iskcondesiretree.com/01_-_Srila_Prabhupada/01_-_Lectures/01_-_English/02_-_Month_wise/05_-_May/24/SB_1-05-08_NV_1969-05-24_Sky_Flowers_and_Horse_Eggs.mp3" TargetMode="External"/><Relationship Id="rId851" Type="http://schemas.openxmlformats.org/officeDocument/2006/relationships/hyperlink" Target="https://audio.iskcondesiretree.com/01_-_Srila_Prabhupada/01_-_Lectures/01_-_English/02_-_Month_wise/12_-_December/05/Lect_AHM_1972-12-05_At_Rotary_Club-There_Are_So_Many_Anomalies.mp3" TargetMode="External"/><Relationship Id="rId1481" Type="http://schemas.openxmlformats.org/officeDocument/2006/relationships/hyperlink" Target="https://audio.iskcondesiretree.com/01_-_Srila_Prabhupada/01_-_Lectures/01_-_English/01_-_Topic_wise/Srimad_Bhagavatam/Canto-01/SP_SB_1-16-07_Los_Angeles_1974-01-04_Inevitable_Death_and_a_Way_Out.mp3" TargetMode="External"/><Relationship Id="rId2118" Type="http://schemas.openxmlformats.org/officeDocument/2006/relationships/hyperlink" Target="https://audio.iskcondesiretree.com/01_-_Srila_Prabhupada/01_-_Lectures/01_-_English/01_-_Topic_wise/Room_Conversation/SP_Room_Conversation_Paris_1974-06-13_Russian_Orthodox_Church--Moral--etc.mp3" TargetMode="External"/><Relationship Id="rId2532" Type="http://schemas.openxmlformats.org/officeDocument/2006/relationships/hyperlink" Target="https://audio.iskcondesiretree.com/01_-_Srila_Prabhupada/01_-_Lectures/01_-_English/02_-_Month_wise/11_-_November/18/SB_3-25-18_BOM_1974-11-18_Nobody%27s_Servant_but_Krishna%27s.mp3" TargetMode="External"/><Relationship Id="rId5688" Type="http://schemas.openxmlformats.org/officeDocument/2006/relationships/hyperlink" Target="https://audio.iskcondesiretree.com/01_-_Srila_Prabhupada/01_-_Lectures/01_-_English/02_-_Month_wise/02_-_Feburary/08/Bhaktisiddhanta_Appearance_1977-02-08_BA-MAYAPUR.MP3" TargetMode="External"/><Relationship Id="rId504" Type="http://schemas.openxmlformats.org/officeDocument/2006/relationships/hyperlink" Target="https://audio.iskcondesiretree.com/01_-_Srila_Prabhupada/01_-_Lectures/01_-_English/01_-_Topic_wise/Isopanishad/SP_Isopanisad_01_Los_Angeles_1970-04-30_Our_Defeat.mp3" TargetMode="External"/><Relationship Id="rId1134" Type="http://schemas.openxmlformats.org/officeDocument/2006/relationships/hyperlink" Target="https://audio.iskcondesiretree.com/01_-_Srila_Prabhupada/01_-_Lectures/01_-_English/01_-_Topic_wise/Bhagavad_Gita/Chapter-01/SP_BG_01-43_London_1973-07-30_There_Is_Only_One_Remedy.mp3" TargetMode="External"/><Relationship Id="rId5755" Type="http://schemas.openxmlformats.org/officeDocument/2006/relationships/hyperlink" Target="https://audio.iskcondesiretree.com/01_-_Srila_Prabhupada/01_-_Lectures/01_-_English/02_-_Month_wise/03_-_March/04/Conv_1977-03-04_R1-MAYAPUR.MP3" TargetMode="External"/><Relationship Id="rId1201" Type="http://schemas.openxmlformats.org/officeDocument/2006/relationships/hyperlink" Target="https://audio.iskcondesiretree.com/01_-_Srila_Prabhupada/01_-_Lectures/01_-_English/02_-_Month_wise/08_-_August/21/Fest_LON_1973-08-21_Deity_Installation.mp3" TargetMode="External"/><Relationship Id="rId4357" Type="http://schemas.openxmlformats.org/officeDocument/2006/relationships/hyperlink" Target="https://audio.iskcondesiretree.com/01_-_Srila_Prabhupada/01_-_Lectures/01_-_English/02_-_Month_wise/03_-_March/14/SB_7-09-36_MAY_1976-03-14_Simple_Boy-Real_God.mp3" TargetMode="External"/><Relationship Id="rId4771" Type="http://schemas.openxmlformats.org/officeDocument/2006/relationships/hyperlink" Target="https://audio.iskcondesiretree.com/01_-_Srila_Prabhupada/01_-_Lectures/01_-_English/01_-_Topic_wise/Room_Conversation/SP_Room_Conversation_Toronto_1976-06-18_Don%27t_Screw_Out_Your_Concocted_Meaning.mp3" TargetMode="External"/><Relationship Id="rId5408" Type="http://schemas.openxmlformats.org/officeDocument/2006/relationships/hyperlink" Target="https://audio.iskcondesiretree.com/01_-_Srila_Prabhupada/01_-_Lectures/01_-_English/02_-_Month_wise/11_-_November/11/SB_5-05-24_VRN_1976-11-11_Transcendental_Goodness.mp3" TargetMode="External"/><Relationship Id="rId3373" Type="http://schemas.openxmlformats.org/officeDocument/2006/relationships/hyperlink" Target="https://audio.iskcondesiretree.com/01_-_Srila_Prabhupada/01_-_Lectures/01_-_English/01_-_Topic_wise/Room_Conversation/SP_Room_Conversation_02_Los_Angeles_1975-06-26.MP3" TargetMode="External"/><Relationship Id="rId4424" Type="http://schemas.openxmlformats.org/officeDocument/2006/relationships/hyperlink" Target="https://audio.iskcondesiretree.com/01_-_Srila_Prabhupada/01_-_Lectures/01_-_English/02_-_Month_wise/04_-_April/03/Walk_1976-04-03_MW-VRNDAVAN.MP3" TargetMode="External"/><Relationship Id="rId5822" Type="http://schemas.openxmlformats.org/officeDocument/2006/relationships/hyperlink" Target="https://audio.iskcondesiretree.com/01_-_Srila_Prabhupada/01_-_Lectures/01_-_English/02_-_Month_wise/04_-_April/25/Conv_1977-04-25_R1-BOMBAY.MP3" TargetMode="External"/><Relationship Id="rId294" Type="http://schemas.openxmlformats.org/officeDocument/2006/relationships/hyperlink" Target="https://audio.iskcondesiretree.com/01_-_Srila_Prabhupada/01_-_Lectures/01_-_English/01_-_Topic_wise/Various/SP_Lecture_Los_Angeles_1968-11-15_Dipping_Into_Ocean_of_Love_of_Krishna.mp3" TargetMode="External"/><Relationship Id="rId3026" Type="http://schemas.openxmlformats.org/officeDocument/2006/relationships/hyperlink" Target="https://audio.iskcondesiretree.com/01_-_Srila_Prabhupada/01_-_Lectures/01_-_English/02_-_Month_wise/04_-_April/01/Conv_1975-04-01_R1-MAYAPUR.MP3" TargetMode="External"/><Relationship Id="rId361" Type="http://schemas.openxmlformats.org/officeDocument/2006/relationships/hyperlink" Target="https://audio.iskcondesiretree.com/01_-_Srila_Prabhupada/01_-_Lectures/01_-_English/01_-_Topic_wise/Festivals/SP_Festivals_Los_Angeles_1969-02-07_Bhaktisiddhanta_Appearance.mp3" TargetMode="External"/><Relationship Id="rId2042" Type="http://schemas.openxmlformats.org/officeDocument/2006/relationships/hyperlink" Target="https://audio.iskcondesiretree.com/01_-_Srila_Prabhupada/01_-_Lectures/01_-_English/02_-_Month_wise/06_-_June/03/SB_1-13-12_GEN_1974-06-03_Dear_Words_for_Dormant_Hearts.mp3" TargetMode="External"/><Relationship Id="rId3440" Type="http://schemas.openxmlformats.org/officeDocument/2006/relationships/hyperlink" Target="https://audio.iskcondesiretree.com/01_-_Srila_Prabhupada/01_-_Lectures/01_-_English/02_-_Month_wise/07_-_July/05/Conv_1975-07-05_R1-CHICAGO.MP3" TargetMode="External"/><Relationship Id="rId5198" Type="http://schemas.openxmlformats.org/officeDocument/2006/relationships/hyperlink" Target="https://audio.iskcondesiretree.com/01_-_Srila_Prabhupada/01_-_Lectures/01_-_English/02_-_Month_wise/09_-_September/07/Conv_1976-09-07_G2-VRNDAVAN.MP3" TargetMode="External"/><Relationship Id="rId2859" Type="http://schemas.openxmlformats.org/officeDocument/2006/relationships/hyperlink" Target="https://audio.iskcondesiretree.com/01_-_Srila_Prabhupada/01_-_Lectures/01_-_English/02_-_Month_wise/02_-_Feburary/26/Bg_13-03_MIA_1975-02-26_We_Need_to_Satisfy_Our_Lord.mp3" TargetMode="External"/><Relationship Id="rId5265" Type="http://schemas.openxmlformats.org/officeDocument/2006/relationships/hyperlink" Target="https://audio.iskcondesiretree.com/01_-_Srila_Prabhupada/01_-_Lectures/01_-_English/01_-_Topic_wise/Srimad_Bhagavatam/Canto-01/SP_SB_1-07-30_Vrindavan_1976-09-26_Why_Make_Krishna_Impersonal.mp3" TargetMode="External"/><Relationship Id="rId1875" Type="http://schemas.openxmlformats.org/officeDocument/2006/relationships/hyperlink" Target="https://audio.iskcondesiretree.com/01_-_Srila_Prabhupada/01_-_Lectures/01_-_English/02_-_Month_wise/04_-_April/15/Bg-04-26_1974-04-15_BG-BOMBAY.MP3" TargetMode="External"/><Relationship Id="rId4281" Type="http://schemas.openxmlformats.org/officeDocument/2006/relationships/hyperlink" Target="https://audio.iskcondesiretree.com/01_-_Srila_Prabhupada/01_-_Lectures/01_-_English/02_-_Month_wise/02_-_Feburary/25/SB-07-09-18_1976-02-25_SB-MAYAPUR.MP3" TargetMode="External"/><Relationship Id="rId5332" Type="http://schemas.openxmlformats.org/officeDocument/2006/relationships/hyperlink" Target="https://audio.iskcondesiretree.com/01_-_Srila_Prabhupada/01_-_Lectures/01_-_English/02_-_Month_wise/10_-_October/15/Bg-07-01%E2%80%93Hindi_1976-10-15_BG-CHANDIGARH.MP3" TargetMode="External"/><Relationship Id="rId1528" Type="http://schemas.openxmlformats.org/officeDocument/2006/relationships/hyperlink" Target="https://audio.iskcondesiretree.com/01_-_Srila_Prabhupada/01_-_Lectures/01_-_English/02_-_Month_wise/01_-_January/15/SB-01-16-19_1974-01-15_SB-HONOLULU.MP3" TargetMode="External"/><Relationship Id="rId2926" Type="http://schemas.openxmlformats.org/officeDocument/2006/relationships/hyperlink" Target="https://audio.iskcondesiretree.com/01_-_Srila_Prabhupada/01_-_Lectures/01_-_English/02_-_Month_wise/03_-_March/08/Arrival_1975-03-08_AR-LONDON.MP3" TargetMode="External"/><Relationship Id="rId1942" Type="http://schemas.openxmlformats.org/officeDocument/2006/relationships/hyperlink" Target="https://audio.iskcondesiretree.com/01_-_Srila_Prabhupada/01_-_Lectures/01_-_English/01_-_Topic_wise/Morning_Walk/SP_Morning_Walk_-_Hyderabad_1974-04-29_Miracles_and_MIRACLES.mp3" TargetMode="External"/><Relationship Id="rId4001" Type="http://schemas.openxmlformats.org/officeDocument/2006/relationships/hyperlink" Target="https://audio.iskcondesiretree.com/01_-_Srila_Prabhupada/01_-_Lectures/01_-_English/02_-_Month_wise/11_-_November/17/CcMadhya-20-110%E2%80%93111_1975-11-17_CC-BOMBAY.MP3" TargetMode="External"/><Relationship Id="rId6173" Type="http://schemas.openxmlformats.org/officeDocument/2006/relationships/hyperlink" Target="https://audio.iskcondesiretree.com/01_-_Srila_Prabhupada/01_-_Lectures/03_-_Hindi/SP_Hindi_01_Lectures_%26_Conversations.mp3" TargetMode="External"/><Relationship Id="rId3767" Type="http://schemas.openxmlformats.org/officeDocument/2006/relationships/hyperlink" Target="https://audio.iskcondesiretree.com/01_-_Srila_Prabhupada/01_-_Lectures/01_-_English/02_-_Month_wise/09_-_September/17/SB_6-02-14_VRN_1975-09-17_Non-Anxiety-Ask_for_It_by_Name.mp3" TargetMode="External"/><Relationship Id="rId4818" Type="http://schemas.openxmlformats.org/officeDocument/2006/relationships/hyperlink" Target="https://audio.iskcondesiretree.com/01_-_Srila_Prabhupada/01_-_Lectures/01_-_English/02_-_Month_wise/06_-_June/24/RC_NV_1976-06-24_Plain_Living_High_Thinking.mp3" TargetMode="External"/><Relationship Id="rId688" Type="http://schemas.openxmlformats.org/officeDocument/2006/relationships/hyperlink" Target="https://audio.iskcondesiretree.com/01_-_Srila_Prabhupada/01_-_Lectures/01_-_English/01_-_Topic_wise/Srimad_Bhagavatam/Canto-01/SP_SB_1-03-13_Los_Angeles_1972-09-18_You_Must_First_Be_Gentle.mp3" TargetMode="External"/><Relationship Id="rId2369" Type="http://schemas.openxmlformats.org/officeDocument/2006/relationships/hyperlink" Target="https://audio.iskcondesiretree.com/01_-_Srila_Prabhupada/01_-_Lectures/01_-_English/01_-_Topic_wise/Srimad_Bhagavatam/Canto-01/SP_SB_1-05-36_Vrindavan_1974-08-17.mp3" TargetMode="External"/><Relationship Id="rId2783" Type="http://schemas.openxmlformats.org/officeDocument/2006/relationships/hyperlink" Target="https://audio.iskcondesiretree.com/01_-_Srila_Prabhupada/01_-_Lectures/01_-_English/01_-_Topic_wise/Arrival_Address/SP_Arrival_Mexico_1975-02-11_No_Sex_Life_in_the_Spirit_Soul.mp3" TargetMode="External"/><Relationship Id="rId3834" Type="http://schemas.openxmlformats.org/officeDocument/2006/relationships/hyperlink" Target="https://audio.iskcondesiretree.com/01_-_Srila_Prabhupada/01_-_Lectures/01_-_English/02_-_Month_wise/10_-_October/07/Lecture_1975-10-07_LE-DURBAN.MP3" TargetMode="External"/><Relationship Id="rId755" Type="http://schemas.openxmlformats.org/officeDocument/2006/relationships/hyperlink" Target="https://audio.iskcondesiretree.com/01_-_Srila_Prabhupada/01_-_Lectures/01_-_English/02_-_Month_wise/10_-_October/28/SB_1-02-17_VRN_1972-10-28_Taking_Help_from_the_Friend_etc.mp3" TargetMode="External"/><Relationship Id="rId1385" Type="http://schemas.openxmlformats.org/officeDocument/2006/relationships/hyperlink" Target="https://audio.iskcondesiretree.com/01_-_Srila_Prabhupada/01_-_Lectures/01_-_English/02_-_Month_wise/12_-_December/03/MW_LA_1973-12-03_Amino_Asses.mp3" TargetMode="External"/><Relationship Id="rId2436" Type="http://schemas.openxmlformats.org/officeDocument/2006/relationships/hyperlink" Target="https://audio.iskcondesiretree.com/01_-_Srila_Prabhupada/01_-_Lectures/01_-_English/02_-_Month_wise/10_-_October/13/SB-01-08-33_1974-10-13_SB-MAYAPUR.MP3" TargetMode="External"/><Relationship Id="rId2850" Type="http://schemas.openxmlformats.org/officeDocument/2006/relationships/hyperlink" Target="https://audio.iskcondesiretree.com/01_-_Srila_Prabhupada/01_-_Lectures/01_-_English/01_-_Topic_wise/Bhagavad_Gita/Chapter-13/SP_BG_13-01_Miami_1975-02-25_Technical_Education--etc.mp3" TargetMode="External"/><Relationship Id="rId91" Type="http://schemas.openxmlformats.org/officeDocument/2006/relationships/hyperlink" Target="https://audio.iskcondesiretree.com/01_-_Srila_Prabhupada/01_-_Lectures/01_-_English/02_-_Month_wise/10_-_October/23/Bg_07-28_NY_1966-10-23_Discovering_Your_REAL_Interest.mp3" TargetMode="External"/><Relationship Id="rId408" Type="http://schemas.openxmlformats.org/officeDocument/2006/relationships/hyperlink" Target="https://audio.iskcondesiretree.com/01_-_Srila_Prabhupada/01_-_Lectures/01_-_English/02_-_Month_wise/05_-_May/01/Lect_BOS_1969-05-01_Krishna_Conscious_Very_Kind.mp3" TargetMode="External"/><Relationship Id="rId822" Type="http://schemas.openxmlformats.org/officeDocument/2006/relationships/hyperlink" Target="https://audio.iskcondesiretree.com/01_-_Srila_Prabhupada/01_-_Lectures/01_-_English/01_-_Topic_wise/Bhagavad_Gita/Chapter-02/SP_BG_02-12_Hyderabad_1972-11-17_Meaning_of_Dhira.mp3" TargetMode="External"/><Relationship Id="rId1038" Type="http://schemas.openxmlformats.org/officeDocument/2006/relationships/hyperlink" Target="https://audio.iskcondesiretree.com/01_-_Srila_Prabhupada/01_-_Lectures/01_-_English/02_-_Month_wise/06_-_June/19/SB_1-10-04_MAY_1973-06-19_When_People_Become_Demons.mp3" TargetMode="External"/><Relationship Id="rId1452" Type="http://schemas.openxmlformats.org/officeDocument/2006/relationships/hyperlink" Target="https://audio.iskcondesiretree.com/01_-_Srila_Prabhupada/01_-_Lectures/01_-_English/02_-_Month_wise/12_-_December/23/SB_1-15-45_LA_1973-12-23_This_Civilization_Will_Not_Help.mp3" TargetMode="External"/><Relationship Id="rId2503" Type="http://schemas.openxmlformats.org/officeDocument/2006/relationships/hyperlink" Target="https://audio.iskcondesiretree.com/01_-_Srila_Prabhupada/01_-_Lectures/01_-_English/01_-_Topic_wise/Srimad_Bhagavatam/Canto-03/SP_SB_3-25-09_Bombay_1974-11-09_%27Advanced%27_Equals_Ass.mp3" TargetMode="External"/><Relationship Id="rId3901" Type="http://schemas.openxmlformats.org/officeDocument/2006/relationships/hyperlink" Target="https://audio.iskcondesiretree.com/01_-_Srila_Prabhupada/01_-_Lectures/01_-_English/02_-_Month_wise/10_-_October/20/Walk_1975-10-20_MW-JOHANNESBURG.MP3" TargetMode="External"/><Relationship Id="rId5659" Type="http://schemas.openxmlformats.org/officeDocument/2006/relationships/hyperlink" Target="https://audio.iskcondesiretree.com/01_-_Srila_Prabhupada/01_-_Lectures/01_-_English/02_-_Month_wise/01_-_January/31/Conv_1977-01-31_R3-BHUBANESWAR.MP3" TargetMode="External"/><Relationship Id="rId1105" Type="http://schemas.openxmlformats.org/officeDocument/2006/relationships/hyperlink" Target="https://audio.iskcondesiretree.com/01_-_Srila_Prabhupada/01_-_Lectures/01_-_English/02_-_Month_wise/07_-_July/21/RC_LON_1973-07-21_Alastair_Hardy-It_Is_Also_Vedic_Literature.mp3" TargetMode="External"/><Relationship Id="rId3277" Type="http://schemas.openxmlformats.org/officeDocument/2006/relationships/hyperlink" Target="https://audio.iskcondesiretree.com/01_-_Srila_Prabhupada/01_-_Lectures/01_-_English/01_-_Topic_wise/Morning_Walk/SP_Morning_Walk_-_Honolulu_1975-06-10.MP3" TargetMode="External"/><Relationship Id="rId4675" Type="http://schemas.openxmlformats.org/officeDocument/2006/relationships/hyperlink" Target="https://audio.iskcondesiretree.com/01_-_Srila_Prabhupada/01_-_Lectures/01_-_English/02_-_Month_wise/06_-_June/01/SB-06-01-33_1976-06-01_SB-HONOLULU.MP3" TargetMode="External"/><Relationship Id="rId5726" Type="http://schemas.openxmlformats.org/officeDocument/2006/relationships/hyperlink" Target="https://audio.iskcondesiretree.com/01_-_Srila_Prabhupada/01_-_Lectures/01_-_English/02_-_Month_wise/02_-_Feburary/24/Darshan_1977-02-24_ED-MAYAPUR.MP3" TargetMode="External"/><Relationship Id="rId198" Type="http://schemas.openxmlformats.org/officeDocument/2006/relationships/hyperlink" Target="https://audio.iskcondesiretree.com/01_-_Srila_Prabhupada/01_-_Lectures/01_-_English/01_-_Topic_wise/Chaitanya_Charitamrita/Madhya_Lila/SP_CC_M_20-360_New_York_1966-12-30_What_Is_the_Use_of_Becoming--etc.mp3" TargetMode="External"/><Relationship Id="rId3691" Type="http://schemas.openxmlformats.org/officeDocument/2006/relationships/hyperlink" Target="https://audio.iskcondesiretree.com/01_-_Srila_Prabhupada/01_-_Lectures/01_-_English/02_-_Month_wise/08_-_August/28/SB-06-01-61_1975-08-28_SB-VRNDAVAN.MP3" TargetMode="External"/><Relationship Id="rId4328" Type="http://schemas.openxmlformats.org/officeDocument/2006/relationships/hyperlink" Target="https://audio.iskcondesiretree.com/01_-_Srila_Prabhupada/01_-_Lectures/01_-_English/02_-_Month_wise/03_-_March/07/Walk_1976-03-07_MW-MAYAPUR.MP3" TargetMode="External"/><Relationship Id="rId4742" Type="http://schemas.openxmlformats.org/officeDocument/2006/relationships/hyperlink" Target="https://audio.iskcondesiretree.com/01_-_Srila_Prabhupada/01_-_Lectures/01_-_English/02_-_Month_wise/06_-_June/13/SB_6-01-47_DET_1976-06-13_Animal_Killers_Cannot_Understand_God.mp3" TargetMode="External"/><Relationship Id="rId2293" Type="http://schemas.openxmlformats.org/officeDocument/2006/relationships/hyperlink" Target="https://audio.iskcondesiretree.com/01_-_Srila_Prabhupada/01_-_Lectures/01_-_English/02_-_Month_wise/07_-_July/19/SB-01-02-18_1974-07-19_SB-NEW%20VRINDAVAN.MP3" TargetMode="External"/><Relationship Id="rId3344" Type="http://schemas.openxmlformats.org/officeDocument/2006/relationships/hyperlink" Target="https://audio.iskcondesiretree.com/01_-_Srila_Prabhupada/01_-_Lectures/01_-_English/02_-_Month_wise/06_-_June/22/Conv_1975-06-22_GC-LOS%20ANGELES.MP3" TargetMode="External"/><Relationship Id="rId265" Type="http://schemas.openxmlformats.org/officeDocument/2006/relationships/hyperlink" Target="https://audio.iskcondesiretree.com/01_-_Srila_Prabhupada/01_-_Lectures/01_-_English/02_-_Month_wise/09_-_September/25/Lect_SEA_1968-09-25_Spiritual_Liberation_and_Beyond.mp3" TargetMode="External"/><Relationship Id="rId2360" Type="http://schemas.openxmlformats.org/officeDocument/2006/relationships/hyperlink" Target="https://audio.iskcondesiretree.com/01_-_Srila_Prabhupada/01_-_Lectures/01_-_English/02_-_Month_wise/08_-_August/14/SB_1-05-33_VRN_1974-08-14_Lower_Planets_or_Liberation.mp3" TargetMode="External"/><Relationship Id="rId3411" Type="http://schemas.openxmlformats.org/officeDocument/2006/relationships/hyperlink" Target="https://audio.iskcondesiretree.com/01_-_Srila_Prabhupada/01_-_Lectures/01_-_English/01_-_Topic_wise/Srimad_Bhagavatam/Canto-06/SP_SB_6-01-19_Denver_1975-07-01_Pure_Profit.mp3" TargetMode="External"/><Relationship Id="rId332" Type="http://schemas.openxmlformats.org/officeDocument/2006/relationships/hyperlink" Target="https://audio.iskcondesiretree.com/01_-_Srila_Prabhupada/01_-_Lectures/01_-_English/02_-_Month_wise/12_-_December/22/Interv_LA_1968-12-22_Press--Manifesto_of_Krsna_Consciousness.mp3" TargetMode="External"/><Relationship Id="rId2013" Type="http://schemas.openxmlformats.org/officeDocument/2006/relationships/hyperlink" Target="https://audio.iskcondesiretree.com/01_-_Srila_Prabhupada/01_-_Lectures/01_-_English/02_-_Month_wise/05_-_May/30/Walk_1974-05-30_MW-ROME.MP3" TargetMode="External"/><Relationship Id="rId5169" Type="http://schemas.openxmlformats.org/officeDocument/2006/relationships/hyperlink" Target="https://audio.iskcondesiretree.com/01_-_Srila_Prabhupada/01_-_Lectures/01_-_English/02_-_Month_wise/08_-_August/30/Walk_1976-08-30_MW-DELHI.MP3" TargetMode="External"/><Relationship Id="rId5583" Type="http://schemas.openxmlformats.org/officeDocument/2006/relationships/hyperlink" Target="https://audio.iskcondesiretree.com/01_-_Srila_Prabhupada/01_-_Lectures/01_-_English/02_-_Month_wise/01_-_January/09/Conv_1977-01-09_R1-BOMBAY.MP3" TargetMode="External"/><Relationship Id="rId4185" Type="http://schemas.openxmlformats.org/officeDocument/2006/relationships/hyperlink" Target="https://audio.iskcondesiretree.com/01_-_Srila_Prabhupada/01_-_Lectures/01_-_English/02_-_Month_wise/01_-_January/15/Speech_1976-01-15_SE-MAYAPUR.MP3" TargetMode="External"/><Relationship Id="rId5236" Type="http://schemas.openxmlformats.org/officeDocument/2006/relationships/hyperlink" Target="https://audio.iskcondesiretree.com/01_-_Srila_Prabhupada/01_-_Lectures/01_-_English/02_-_Month_wise/09_-_September/16/SB_1-07-19_VRN_1976-09-16_Hare_Krishna-Lord_and_Potency.mp3" TargetMode="External"/><Relationship Id="rId1779" Type="http://schemas.openxmlformats.org/officeDocument/2006/relationships/hyperlink" Target="https://audio.iskcondesiretree.com/01_-_Srila_Prabhupada/01_-_Lectures/01_-_English/02_-_Month_wise/03_-_March/29/Bg-04-09_1974-03-29_BG-BOMBAY.MP3" TargetMode="External"/><Relationship Id="rId4252" Type="http://schemas.openxmlformats.org/officeDocument/2006/relationships/hyperlink" Target="https://audio.iskcondesiretree.com/01_-_Srila_Prabhupada/01_-_Lectures/01_-_English/02_-_Month_wise/02_-_Feburary/19/SB-07-09-12_1976-02-19_SB-MAYAPUR.MP3" TargetMode="External"/><Relationship Id="rId5650" Type="http://schemas.openxmlformats.org/officeDocument/2006/relationships/hyperlink" Target="https://audio.iskcondesiretree.com/01_-_Srila_Prabhupada/01_-_Lectures/01_-_English/01_-_Topic_wise/Morning_Walk/SP_Morning_Walk_-_Bhuvanesvara_1977-01-30_Meaninglessness_Has_Hidden_Meaning.mp3" TargetMode="External"/><Relationship Id="rId1846" Type="http://schemas.openxmlformats.org/officeDocument/2006/relationships/hyperlink" Target="https://audio.iskcondesiretree.com/01_-_Srila_Prabhupada/01_-_Lectures/01_-_English/01_-_Topic_wise/Bhagavad_Gita/Chapter-04/SP_BG_04-20_Bombay_1974-04-09_Mundane_and_Divine_Dividends.mp3" TargetMode="External"/><Relationship Id="rId5303" Type="http://schemas.openxmlformats.org/officeDocument/2006/relationships/hyperlink" Target="https://audio.iskcondesiretree.com/01_-_Srila_Prabhupada/01_-_Lectures/01_-_English/01_-_Topic_wise/Srimad_Bhagavatam/Canto-01/SP_SB_1-07-45_Vrindavan_1976-10-05_Deity_Worship-Not_Idol_Worship.mp3" TargetMode="External"/><Relationship Id="rId1913" Type="http://schemas.openxmlformats.org/officeDocument/2006/relationships/hyperlink" Target="https://audio.iskcondesiretree.com/01_-_Srila_Prabhupada/01_-_Lectures/01_-_English/01_-_Topic_wise/Srimad_Bhagavatam/Canto-01/SP_SB_1-02-08_Hyderabad_1974-04-22_Duty...or_a_Waste_of_Time.mp3" TargetMode="External"/><Relationship Id="rId6077" Type="http://schemas.openxmlformats.org/officeDocument/2006/relationships/hyperlink" Target="https://audio.iskcondesiretree.com/01_-_Srila_Prabhupada/01_-_Lectures/01_-_English/01_-_Topic_wise/Krishna_Book/SP_Krsna_Book_Dict_29_-_The_Rasa_Dance_-_Introduction.mp3" TargetMode="External"/><Relationship Id="rId2687" Type="http://schemas.openxmlformats.org/officeDocument/2006/relationships/hyperlink" Target="https://audio.iskcondesiretree.com/01_-_Srila_Prabhupada/01_-_Lectures/01_-_English/02_-_Month_wise/01_-_January/09/SB-03-26-32_1975-01-09_SB-BOMBAY.MP3" TargetMode="External"/><Relationship Id="rId3738" Type="http://schemas.openxmlformats.org/officeDocument/2006/relationships/hyperlink" Target="https://audio.iskcondesiretree.com/01_-_Srila_Prabhupada/01_-_Lectures/01_-_English/02_-_Month_wise/09_-_September/08/SB-06-02-04_1975-09-08_SB-VRNDAVAN.MP3" TargetMode="External"/><Relationship Id="rId5093" Type="http://schemas.openxmlformats.org/officeDocument/2006/relationships/hyperlink" Target="https://audio.iskcondesiretree.com/01_-_Srila_Prabhupada/01_-_Lectures/01_-_English/02_-_Month_wise/08_-_August/11/Walk_1976-08-11_MW-TEHRAN.MP3" TargetMode="External"/><Relationship Id="rId6144" Type="http://schemas.openxmlformats.org/officeDocument/2006/relationships/hyperlink" Target="https://audio.iskcondesiretree.com/01_-_Srila_Prabhupada/01_-_Lectures/01_-_English/01_-_Topic_wise/Stories/SP_Story_20_Jackal_king.mp3" TargetMode="External"/><Relationship Id="rId659" Type="http://schemas.openxmlformats.org/officeDocument/2006/relationships/hyperlink" Target="https://audio.iskcondesiretree.com/01_-_Srila_Prabhupada/01_-_Lectures/01_-_English/02_-_Month_wise/08_-_August/24/SB_1-02-21_LA_1972-08-24_In_This_Material_World_We_etc.mp3" TargetMode="External"/><Relationship Id="rId1289" Type="http://schemas.openxmlformats.org/officeDocument/2006/relationships/hyperlink" Target="https://audio.iskcondesiretree.com/01_-_Srila_Prabhupada/01_-_Lectures/01_-_English/02_-_Month_wise/09_-_September/25/Bg_13-01_BOM_1973-09-25_Knowing_Self%2C_Bodily_Land_etc.mp3" TargetMode="External"/><Relationship Id="rId5160" Type="http://schemas.openxmlformats.org/officeDocument/2006/relationships/hyperlink" Target="https://audio.iskcondesiretree.com/01_-_Srila_Prabhupada/01_-_Lectures/01_-_English/02_-_Month_wise/08_-_August/24/RC_HYD_1976-08-24_Sweepers_Lepers_and_Government_Ministers.mp3" TargetMode="External"/><Relationship Id="rId1356" Type="http://schemas.openxmlformats.org/officeDocument/2006/relationships/hyperlink" Target="https://audio.iskcondesiretree.com/01_-_Srila_Prabhupada/01_-_Lectures/01_-_English/02_-_Month_wise/11_-_November/08/SB_2-01-05_DEL_1973-11-08_Hearing_Your_Way_Clear.mp3" TargetMode="External"/><Relationship Id="rId2754" Type="http://schemas.openxmlformats.org/officeDocument/2006/relationships/hyperlink" Target="https://audio.iskcondesiretree.com/01_-_Srila_Prabhupada/01_-_Lectures/01_-_English/02_-_Month_wise/02_-_Feburary/03/Bg-16-07_1975-02-03_BG-HONOLULU.MP3" TargetMode="External"/><Relationship Id="rId3805" Type="http://schemas.openxmlformats.org/officeDocument/2006/relationships/hyperlink" Target="https://audio.iskcondesiretree.com/01_-_Srila_Prabhupada/01_-_Lectures/01_-_English/02_-_Month_wise/10_-_October/02/SB-07-05-30_1975-10-02_SB-MAURITIUS.MP3" TargetMode="External"/><Relationship Id="rId726" Type="http://schemas.openxmlformats.org/officeDocument/2006/relationships/hyperlink" Target="https://audio.iskcondesiretree.com/01_-_Srila_Prabhupada/01_-_Lectures/01_-_English/01_-_Topic_wise/Festivals/SP_Festivals_Vrindavan_1972-10-19_Krsna_Dasa_Kaviraja_Appearance.mp3" TargetMode="External"/><Relationship Id="rId1009" Type="http://schemas.openxmlformats.org/officeDocument/2006/relationships/hyperlink" Target="https://audio.iskcondesiretree.com/01_-_Srila_Prabhupada/01_-_Lectures/01_-_English/01_-_Topic_wise/Srimad_Bhagavatam/Canto-01/SP_SB_1-08-52_Los_Angeles_1973-05-14_Slaughterhouse_Victims_Were--etc.mp3" TargetMode="External"/><Relationship Id="rId1770" Type="http://schemas.openxmlformats.org/officeDocument/2006/relationships/hyperlink" Target="https://audio.iskcondesiretree.com/01_-_Srila_Prabhupada/01_-_Lectures/01_-_English/02_-_Month_wise/03_-_March/27/Conv_1974-03-27_RF-BOMBAY.MP3" TargetMode="External"/><Relationship Id="rId2407" Type="http://schemas.openxmlformats.org/officeDocument/2006/relationships/hyperlink" Target="https://audio.iskcondesiretree.com/01_-_Srila_Prabhupada/01_-_Lectures/01_-_English/02_-_Month_wise/10_-_October/03/Lecture%E2%80%93Bengali_1974-10-03_LE-MAYAPUR.MP3" TargetMode="External"/><Relationship Id="rId2821" Type="http://schemas.openxmlformats.org/officeDocument/2006/relationships/hyperlink" Target="https://audio.iskcondesiretree.com/01_-_Srila_Prabhupada/01_-_Lectures/01_-_English/02_-_Month_wise/02_-_Feburary/19/RC_CAR_1975-02-19_Profs--One_Perfect_Can_Teach_Thousands.mp3" TargetMode="External"/><Relationship Id="rId5977" Type="http://schemas.openxmlformats.org/officeDocument/2006/relationships/hyperlink" Target="https://audio.iskcondesiretree.com/01_-_Srila_Prabhupada/01_-_Lectures/01_-_English/02_-_Month_wise/10_-_October/31/Conv_1977-10-31_R2-VRNDAVAN.MP3" TargetMode="External"/><Relationship Id="rId62" Type="http://schemas.openxmlformats.org/officeDocument/2006/relationships/hyperlink" Target="https://audio.iskcondesiretree.com/01_-_Srila_Prabhupada/01_-_Lectures/01_-_English/02_-_Month_wise/08_-_August/09/Bg_04-20_NY_1966-08-09_Varieties_of_Sacrifice.mp3" TargetMode="External"/><Relationship Id="rId1423" Type="http://schemas.openxmlformats.org/officeDocument/2006/relationships/hyperlink" Target="https://audio.iskcondesiretree.com/01_-_Srila_Prabhupada/01_-_Lectures/01_-_English/02_-_Month_wise/12_-_December/13/MW_LA_1973-12-13_America_Has_to_Stop_Demonism.mp3" TargetMode="External"/><Relationship Id="rId4579" Type="http://schemas.openxmlformats.org/officeDocument/2006/relationships/hyperlink" Target="https://audio.iskcondesiretree.com/01_-_Srila_Prabhupada/01_-_Lectures/01_-_English/02_-_Month_wise/05_-_May/08/SB-06-01-07_1976-05-08_SB-HONOLULU.MP3" TargetMode="External"/><Relationship Id="rId4993" Type="http://schemas.openxmlformats.org/officeDocument/2006/relationships/hyperlink" Target="https://audio.iskcondesiretree.com/01_-_Srila_Prabhupada/01_-_Lectures/01_-_English/02_-_Month_wise/07_-_July/17/Walk_1976-07-17_MW-NEW%20YORK.MP3" TargetMode="External"/><Relationship Id="rId3595" Type="http://schemas.openxmlformats.org/officeDocument/2006/relationships/hyperlink" Target="https://audio.iskcondesiretree.com/01_-_Srila_Prabhupada/01_-_Lectures/01_-_English/02_-_Month_wise/07_-_July/26/Walk_1975-07-26_MW-LAGUNA%20BEACH.MP3" TargetMode="External"/><Relationship Id="rId4646" Type="http://schemas.openxmlformats.org/officeDocument/2006/relationships/hyperlink" Target="https://audio.iskcondesiretree.com/01_-_Srila_Prabhupada/01_-_Lectures/01_-_English/02_-_Month_wise/05_-_May/25/SB_6-01-25_HON_1976-05-25_Hiranyakasipu_vs_Prahlada.mp3" TargetMode="External"/><Relationship Id="rId2197" Type="http://schemas.openxmlformats.org/officeDocument/2006/relationships/hyperlink" Target="https://audio.iskcondesiretree.com/01_-_Srila_Prabhupada/01_-_Lectures/01_-_English/01_-_Topic_wise/Morning_Walk/SP_Morning_Walk_-_Melbourne_1974-06-27.mp3" TargetMode="External"/><Relationship Id="rId3248" Type="http://schemas.openxmlformats.org/officeDocument/2006/relationships/hyperlink" Target="https://audio.iskcondesiretree.com/01_-_Srila_Prabhupada/01_-_Lectures/01_-_English/02_-_Month_wise/05_-_May/25/Lecture_1975-05-25_LE-HONOLULU.MP3" TargetMode="External"/><Relationship Id="rId3662" Type="http://schemas.openxmlformats.org/officeDocument/2006/relationships/hyperlink" Target="https://audio.iskcondesiretree.com/01_-_Srila_Prabhupada/01_-_Lectures/01_-_English/02_-_Month_wise/08_-_August/12/Conv_1975-08-12_R1-PARIS.MP3" TargetMode="External"/><Relationship Id="rId4713" Type="http://schemas.openxmlformats.org/officeDocument/2006/relationships/hyperlink" Target="https://audio.iskcondesiretree.com/01_-_Srila_Prabhupada/01_-_Lectures/01_-_English/02_-_Month_wise/06_-_June/08/Walk_1976-06-08_MW-LOS%20ANGELES.MP3" TargetMode="External"/><Relationship Id="rId169" Type="http://schemas.openxmlformats.org/officeDocument/2006/relationships/hyperlink" Target="https://audio.iskcondesiretree.com/01_-_Srila_Prabhupada/01_-_Lectures/01_-_English/02_-_Month_wise/12_-_December/16/Cc_M_20-245_NY_1966-12-16_Six_Types_of_Avataras.mp3" TargetMode="External"/><Relationship Id="rId583" Type="http://schemas.openxmlformats.org/officeDocument/2006/relationships/hyperlink" Target="https://audio.iskcondesiretree.com/01_-_Srila_Prabhupada/01_-_Lectures/01_-_English/01_-_Topic_wise/Various/SP_Lecture_Los_Angeles_1972-05-27_Initiation--This_Foolish_Civilization.mp3" TargetMode="External"/><Relationship Id="rId2264" Type="http://schemas.openxmlformats.org/officeDocument/2006/relationships/hyperlink" Target="https://audio.iskcondesiretree.com/01_-_Srila_Prabhupada/01_-_Lectures/01_-_English/02_-_Month_wise/07_-_July/11/SB-01-16-21_1974-07-11_SB-LOS%20ANGELES.MP3" TargetMode="External"/><Relationship Id="rId3315" Type="http://schemas.openxmlformats.org/officeDocument/2006/relationships/hyperlink" Target="https://audio.iskcondesiretree.com/01_-_Srila_Prabhupada/01_-_Lectures/01_-_English/02_-_Month_wise/06_-_June/17/Conv_1975-06-17_R1-HONOLULU.MP3" TargetMode="External"/><Relationship Id="rId236" Type="http://schemas.openxmlformats.org/officeDocument/2006/relationships/hyperlink" Target="https://audio.iskcondesiretree.com/01_-_Srila_Prabhupada/01_-_Lectures/01_-_English/01_-_Topic_wise/Various/SP_Lecture_San_Francisco_1968-04-02_Skyscraper_Civilization_vs_Soul--etc.mp3" TargetMode="External"/><Relationship Id="rId650" Type="http://schemas.openxmlformats.org/officeDocument/2006/relationships/hyperlink" Target="https://audio.iskcondesiretree.com/01_-_Srila_Prabhupada/01_-_Lectures/01_-_English/01_-_Topic_wise/Srimad_Bhagavatam/Canto-01/SP_SB_1-02-17_Los_Angeles_1972-08-20_Krsna_Is_Selfish--_He_Wants--etc.mp3" TargetMode="External"/><Relationship Id="rId1280" Type="http://schemas.openxmlformats.org/officeDocument/2006/relationships/hyperlink" Target="https://audio.iskcondesiretree.com/01_-_Srila_Prabhupada/01_-_Lectures/01_-_English/01_-_Topic_wise/Bhagavad_Gita/Chapter-02/SP_BG_02-39_London_1973-09-12_Supreme_Deceiver_and_Lover.mp3" TargetMode="External"/><Relationship Id="rId2331" Type="http://schemas.openxmlformats.org/officeDocument/2006/relationships/hyperlink" Target="https://audio.iskcondesiretree.com/01_-_Srila_Prabhupada/01_-_Lectures/01_-_English/02_-_Month_wise/08_-_August/09/Bg_07-03_VRN_1974-08-09_Abominable_Ananda.mp3" TargetMode="External"/><Relationship Id="rId5487" Type="http://schemas.openxmlformats.org/officeDocument/2006/relationships/hyperlink" Target="https://audio.iskcondesiretree.com/01_-_Srila_Prabhupada/01_-_Lectures/01_-_English/02_-_Month_wise/12_-_December/10/Lect_HYD_1976-12-10_Hearing_Srila_Bhaktisiddhanta_Was_My_Hobby.mp3" TargetMode="External"/><Relationship Id="rId303" Type="http://schemas.openxmlformats.org/officeDocument/2006/relationships/hyperlink" Target="https://audio.iskcondesiretree.com/01_-_Srila_Prabhupada/01_-_Lectures/01_-_English/02_-_Month_wise/11_-_November/27/Bg_02-08_LA_1968-11-27_Revive_Our_Relationship_with_Krishna.mp3" TargetMode="External"/><Relationship Id="rId4089" Type="http://schemas.openxmlformats.org/officeDocument/2006/relationships/hyperlink" Target="https://audio.iskcondesiretree.com/01_-_Srila_Prabhupada/01_-_Lectures/01_-_English/01_-_Topic_wise/Room_Conversation/SP_Room_Conversation_Delhi_1975-12-14_All_Doing_the_Same_Business.mp3" TargetMode="External"/><Relationship Id="rId5554" Type="http://schemas.openxmlformats.org/officeDocument/2006/relationships/hyperlink" Target="https://audio.iskcondesiretree.com/01_-_Srila_Prabhupada/01_-_Lectures/01_-_English/02_-_Month_wise/01_-_January/03/Conv_1977-01-03_R1-BOMBAY.MP3" TargetMode="External"/><Relationship Id="rId1000" Type="http://schemas.openxmlformats.org/officeDocument/2006/relationships/hyperlink" Target="https://audio.iskcondesiretree.com/01_-_Srila_Prabhupada/01_-_Lectures/01_-_English/02_-_Month_wise/05_-_May/10/SB_1-08-48_LA_1973-05-10_This_Body_Belongs_to_Others.mp3" TargetMode="External"/><Relationship Id="rId4156" Type="http://schemas.openxmlformats.org/officeDocument/2006/relationships/hyperlink" Target="https://audio.iskcondesiretree.com/01_-_Srila_Prabhupada/01_-_Lectures/01_-_English/01_-_Topic_wise/Various/SP_Lecture_Nellore_1976-01-04_Teach_What_Krishna_Has_Said.mp3" TargetMode="External"/><Relationship Id="rId4570" Type="http://schemas.openxmlformats.org/officeDocument/2006/relationships/hyperlink" Target="https://audio.iskcondesiretree.com/01_-_Srila_Prabhupada/01_-_Lectures/01_-_English/01_-_Topic_wise/Srimad_Bhagavatam/Canto-06/SP_SB_6-01-02_Honolulu_1976-05-06_Know_Krishna...or_New_Orleans_Way_Out.mp3" TargetMode="External"/><Relationship Id="rId5207" Type="http://schemas.openxmlformats.org/officeDocument/2006/relationships/hyperlink" Target="https://audio.iskcondesiretree.com/01_-_Srila_Prabhupada/01_-_Lectures/01_-_English/02_-_Month_wise/09_-_September/09/Conv_1976-09-09_R1-VRNDAVAN.MP3" TargetMode="External"/><Relationship Id="rId5621" Type="http://schemas.openxmlformats.org/officeDocument/2006/relationships/hyperlink" Target="https://audio.iskcondesiretree.com/01_-_Srila_Prabhupada/01_-_Lectures/01_-_English/02_-_Month_wise/01_-_January/23/Conv_1977-01-23_R2-BHUBANESWAR.MP3" TargetMode="External"/><Relationship Id="rId1817" Type="http://schemas.openxmlformats.org/officeDocument/2006/relationships/hyperlink" Target="https://audio.iskcondesiretree.com/01_-_Srila_Prabhupada/01_-_Lectures/01_-_English/01_-_Topic_wise/Bhagavad_Gita/Chapter-04/SP_BG_04-15_Bombay_1974-04-04.mp3" TargetMode="External"/><Relationship Id="rId3172" Type="http://schemas.openxmlformats.org/officeDocument/2006/relationships/hyperlink" Target="https://audio.iskcondesiretree.com/01_-_Srila_Prabhupada/01_-_Lectures/01_-_English/01_-_Topic_wise/Room_Conversation/SP_Room_Conversation_03_Perth_1975-05-13.MP3" TargetMode="External"/><Relationship Id="rId4223" Type="http://schemas.openxmlformats.org/officeDocument/2006/relationships/hyperlink" Target="https://audio.iskcondesiretree.com/01_-_Srila_Prabhupada/01_-_Lectures/01_-_English/01_-_Topic_wise/Morning_Walk/SP_Morning_Walk_-_Mayapur_1976-02-10_Ten-Handed_Krishna.mp3" TargetMode="External"/><Relationship Id="rId160" Type="http://schemas.openxmlformats.org/officeDocument/2006/relationships/hyperlink" Target="https://audio.iskcondesiretree.com/01_-_Srila_Prabhupada/01_-_Lectures/01_-_English/01_-_Topic_wise/Bhagavad_Gita/Chapter-09/SP_BG_09-24-26_New_York_1966-12-12_Those_Who_Do_Not_Recognize_My--etc.mp3" TargetMode="External"/><Relationship Id="rId3989" Type="http://schemas.openxmlformats.org/officeDocument/2006/relationships/hyperlink" Target="https://audio.iskcondesiretree.com/01_-_Srila_Prabhupada/01_-_Lectures/01_-_English/02_-_Month_wise/11_-_November/14/Walk_1975-11-14_MW-BOMBAY.MP3" TargetMode="External"/><Relationship Id="rId6048" Type="http://schemas.openxmlformats.org/officeDocument/2006/relationships/hyperlink" Target="https://audio.iskcondesiretree.com/01_-_Srila_Prabhupada/01_-_Lectures/01_-_English/01_-_Topic_wise/Krishna_Book/SP_Krsna_Book_Dict_00_-_Introduction.mp3" TargetMode="External"/><Relationship Id="rId5064" Type="http://schemas.openxmlformats.org/officeDocument/2006/relationships/hyperlink" Target="https://audio.iskcondesiretree.com/01_-_Srila_Prabhupada/01_-_Lectures/01_-_English/02_-_Month_wise/08_-_August/04/Bg_04-24_NM_1976-08-04_Krishna_is_there_But_You_etc.mp3" TargetMode="External"/><Relationship Id="rId6115" Type="http://schemas.openxmlformats.org/officeDocument/2006/relationships/hyperlink" Target="https://audio.iskcondesiretree.com/01_-_Srila_Prabhupada/01_-_Lectures/01_-_English/01_-_Topic_wise/Krishna_Book/SP_Krsna_Book_Dict_81_-_Brahmana_Sudama_Benedicted.mp3" TargetMode="External"/><Relationship Id="rId977" Type="http://schemas.openxmlformats.org/officeDocument/2006/relationships/hyperlink" Target="https://audio.iskcondesiretree.com/01_-_Srila_Prabhupada/01_-_Lectures/01_-_English/01_-_Topic_wise/Srimad_Bhagavatam/Canto-01/SP_SB_1-08-37_Los_Angeles_1973-04-29_We_Are_in_Dangerous_Position.mp3" TargetMode="External"/><Relationship Id="rId2658" Type="http://schemas.openxmlformats.org/officeDocument/2006/relationships/hyperlink" Target="https://audio.iskcondesiretree.com/01_-_Srila_Prabhupada/01_-_Lectures/01_-_English/02_-_Month_wise/12_-_December/30/SB-03-26-21_1974-12-30_SB-BOMBAY.MP3" TargetMode="External"/><Relationship Id="rId3709" Type="http://schemas.openxmlformats.org/officeDocument/2006/relationships/hyperlink" Target="https://audio.iskcondesiretree.com/01_-_Srila_Prabhupada/01_-_Lectures/01_-_English/02_-_Month_wise/09_-_September/01/Walk_1975-09-01_MW-VRNDAVAN.MP3" TargetMode="External"/><Relationship Id="rId4080" Type="http://schemas.openxmlformats.org/officeDocument/2006/relationships/hyperlink" Target="https://audio.iskcondesiretree.com/01_-_Srila_Prabhupada/01_-_Lectures/01_-_English/02_-_Month_wise/12_-_December/11/SB_7-06-09_VRN_1975-12-11_Attachment_Education.mp3" TargetMode="External"/><Relationship Id="rId1674" Type="http://schemas.openxmlformats.org/officeDocument/2006/relationships/hyperlink" Target="https://audio.iskcondesiretree.com/01_-_Srila_Prabhupada/01_-_Lectures/01_-_English/01_-_Topic_wise/Chaitanya_Charitamrita/Adi_Lila/SP_CC_A_07-04_Mayapur_1974-03-04_No_Mills%2C_No--etc.mp3" TargetMode="External"/><Relationship Id="rId2725" Type="http://schemas.openxmlformats.org/officeDocument/2006/relationships/hyperlink" Target="https://audio.iskcondesiretree.com/01_-_Srila_Prabhupada/01_-_Lectures/01_-_English/01_-_Topic_wise/Bhagavad_Gita/Chapter-07/SP_BG_07-01_Hong_Kong_1975-01-25_Transfer_Your_Attachment.mp3" TargetMode="External"/><Relationship Id="rId5131" Type="http://schemas.openxmlformats.org/officeDocument/2006/relationships/hyperlink" Target="https://audio.iskcondesiretree.com/01_-_Srila_Prabhupada/01_-_Lectures/01_-_English/01_-_Topic_wise/Festivals/SP_Festivals_Hyderabad_1976-08-18_Temple_Opening--Krishna--etc.mp3" TargetMode="External"/><Relationship Id="rId1327" Type="http://schemas.openxmlformats.org/officeDocument/2006/relationships/hyperlink" Target="https://audio.iskcondesiretree.com/01_-_Srila_Prabhupada/01_-_Lectures/01_-_English/01_-_Topic_wise/Bhagavad_Gita/Chapter-13/SP_BG_13-22_Bombay_1973-10-20_Through_the_Modes_of_Nature.mp3" TargetMode="External"/><Relationship Id="rId1741" Type="http://schemas.openxmlformats.org/officeDocument/2006/relationships/hyperlink" Target="https://audio.iskcondesiretree.com/01_-_Srila_Prabhupada/01_-_Lectures/01_-_English/02_-_Month_wise/03_-_March/22/Bg-04-02_1974-03-22_BG-BOMBAY.MP3" TargetMode="External"/><Relationship Id="rId4897" Type="http://schemas.openxmlformats.org/officeDocument/2006/relationships/hyperlink" Target="https://audio.iskcondesiretree.com/01_-_Srila_Prabhupada/01_-_Lectures/01_-_English/02_-_Month_wise/07_-_July/05/Conv_1976-07-05_R2-WASHINGTON%20DC.MP3" TargetMode="External"/><Relationship Id="rId5948" Type="http://schemas.openxmlformats.org/officeDocument/2006/relationships/hyperlink" Target="https://audio.iskcondesiretree.com/01_-_Srila_Prabhupada/01_-_Lectures/01_-_English/02_-_Month_wise/10_-_October/15/Conv_1977-10-15_R1-VRNDAVAN.MP3" TargetMode="External"/><Relationship Id="rId33" Type="http://schemas.openxmlformats.org/officeDocument/2006/relationships/hyperlink" Target="https://audio.iskcondesiretree.com/01_-_Srila_Prabhupada/01_-_Lectures/01_-_English/02_-_Month_wise/04_-_April/27/Bg_02-58_NY_1966-04-27_The_Secret_of_Detachment.mp3" TargetMode="External"/><Relationship Id="rId3499" Type="http://schemas.openxmlformats.org/officeDocument/2006/relationships/hyperlink" Target="https://audio.iskcondesiretree.com/01_-_Srila_Prabhupada/01_-_Lectures/01_-_English/02_-_Month_wise/07_-_July/11/Walk_1975-07-11_MW-CHICAGO.MP3" TargetMode="External"/><Relationship Id="rId3566" Type="http://schemas.openxmlformats.org/officeDocument/2006/relationships/hyperlink" Target="https://audio.iskcondesiretree.com/01_-_Srila_Prabhupada/01_-_Lectures/01_-_English/01_-_Topic_wise/Srimad_Bhagavatam/Canto-06/SP_SB_6-01-40_San_Francisco_1975-07-21_God_Is_Krishna-Satan_Is_Maya.mp3" TargetMode="External"/><Relationship Id="rId4964" Type="http://schemas.openxmlformats.org/officeDocument/2006/relationships/hyperlink" Target="https://audio.iskcondesiretree.com/01_-_Srila_Prabhupada/01_-_Lectures/01_-_English/02_-_Month_wise/07_-_July/13/Darshan_1976-07-13_ED-NEW%20YORK.MP3" TargetMode="External"/><Relationship Id="rId487" Type="http://schemas.openxmlformats.org/officeDocument/2006/relationships/hyperlink" Target="https://audio.iskcondesiretree.com/01_-_Srila_Prabhupada/01_-_Lectures/01_-_English/02_-_Month_wise/12_-_December/22/SB_2-01-01_BOS_1969-12-22_Self-Realized_vs_Body_Realized.mp3" TargetMode="External"/><Relationship Id="rId2168" Type="http://schemas.openxmlformats.org/officeDocument/2006/relationships/hyperlink" Target="https://audio.iskcondesiretree.com/01_-_Srila_Prabhupada/01_-_Lectures/01_-_English/01_-_Topic_wise/Morning_Walk/SP_Morning_Walk_-_Germany_1974-06-20_Different_Bodies_%C3%A2%E2%82%AC%E2%80%9C_Different_Bothers.mp3" TargetMode="External"/><Relationship Id="rId3219" Type="http://schemas.openxmlformats.org/officeDocument/2006/relationships/hyperlink" Target="https://audio.iskcondesiretree.com/01_-_Srila_Prabhupada/01_-_Lectures/01_-_English/02_-_Month_wise/05_-_May/21/Conv_1975-05-21_R1-MELBOURNE.MP3" TargetMode="External"/><Relationship Id="rId3980" Type="http://schemas.openxmlformats.org/officeDocument/2006/relationships/hyperlink" Target="https://audio.iskcondesiretree.com/01_-_Srila_Prabhupada/01_-_Lectures/01_-_English/02_-_Month_wise/11_-_November/12/CcMadhya-20-120_1975-11-12_CC-BOMBAY.MP3" TargetMode="External"/><Relationship Id="rId4617" Type="http://schemas.openxmlformats.org/officeDocument/2006/relationships/hyperlink" Target="https://audio.iskcondesiretree.com/01_-_Srila_Prabhupada/01_-_Lectures/01_-_English/02_-_Month_wise/05_-_May/18/Conv_1976-05-18_R1-HONOLULU.MP3" TargetMode="External"/><Relationship Id="rId1184" Type="http://schemas.openxmlformats.org/officeDocument/2006/relationships/hyperlink" Target="https://audio.iskcondesiretree.com/01_-_Srila_Prabhupada/01_-_Lectures/01_-_English/01_-_Topic_wise/Bhagavad_Gita/Chapter-02/SP_BG_02-10_London_1973-08-16_Arjuna_Playing_the_Role_of_a_Rascal.mp3" TargetMode="External"/><Relationship Id="rId2582" Type="http://schemas.openxmlformats.org/officeDocument/2006/relationships/hyperlink" Target="https://audio.iskcondesiretree.com/01_-_Srila_Prabhupada/01_-_Lectures/01_-_English/01_-_Topic_wise/Srimad_Bhagavatam/Canto-03/SP_SB_3-25-36_Bombay_1974-12-05_The_Lord_Is_Charming.mp3" TargetMode="External"/><Relationship Id="rId3633" Type="http://schemas.openxmlformats.org/officeDocument/2006/relationships/hyperlink" Target="https://audio.iskcondesiretree.com/01_-_Srila_Prabhupada/01_-_Lectures/01_-_English/02_-_Month_wise/08_-_August/03/SB-01-02-09_1975-08-03_S2-DETROIT.MP3" TargetMode="External"/><Relationship Id="rId554" Type="http://schemas.openxmlformats.org/officeDocument/2006/relationships/hyperlink" Target="https://audio.iskcondesiretree.com/01_-_Srila_Prabhupada/01_-_Lectures/01_-_English/02_-_Month_wise/07_-_July/29/Bg_07-01_GAI_1971-07-29_This_Movement_Appeals_etc.mp3" TargetMode="External"/><Relationship Id="rId2235" Type="http://schemas.openxmlformats.org/officeDocument/2006/relationships/hyperlink" Target="https://audio.iskcondesiretree.com/01_-_Srila_Prabhupada/01_-_Lectures/01_-_English/02_-_Month_wise/07_-_July/02/Bg-16-07%E2%80%9323_1974-07-02_R2-MELBOURNE.MP3" TargetMode="External"/><Relationship Id="rId3700" Type="http://schemas.openxmlformats.org/officeDocument/2006/relationships/hyperlink" Target="https://audio.iskcondesiretree.com/01_-_Srila_Prabhupada/01_-_Lectures/01_-_English/01_-_Topic_wise/Srimad_Bhagavatam/Canto-06/SP_SB_6-01-63_Vrindavan_1975-08-30_Haunted_Enjoyment.mp3" TargetMode="External"/><Relationship Id="rId207" Type="http://schemas.openxmlformats.org/officeDocument/2006/relationships/hyperlink" Target="https://audio.iskcondesiretree.com/01_-_Srila_Prabhupada/01_-_Lectures/01_-_English/01_-_Topic_wise/Chaitanya_Charitamrita/Madhya_Lila/SP_CC_M_21-013_New_York_1967-01-04_Brahma_and_Indra_Were_Astonished.mp3" TargetMode="External"/><Relationship Id="rId621" Type="http://schemas.openxmlformats.org/officeDocument/2006/relationships/hyperlink" Target="https://audio.iskcondesiretree.com/01_-_Srila_Prabhupada/01_-_Lectures/01_-_English/02_-_Month_wise/06_-_June/24/SB_2-04-01_LA_1972-06-24_Searching_After_Krishna.mp3" TargetMode="External"/><Relationship Id="rId1251" Type="http://schemas.openxmlformats.org/officeDocument/2006/relationships/hyperlink" Target="https://audio.iskcondesiretree.com/01_-_Srila_Prabhupada/01_-_Lectures/01_-_English/01_-_Topic_wise/Festivals/SP_Festivals_London_1973-09-05_Appearance_Day_of_Srimati_Radharani.mp3" TargetMode="External"/><Relationship Id="rId2302" Type="http://schemas.openxmlformats.org/officeDocument/2006/relationships/hyperlink" Target="https://audio.iskcondesiretree.com/01_-_Srila_Prabhupada/01_-_Lectures/01_-_English/02_-_Month_wise/08_-_August/02/Bg_04-10_VRN_1974-08-02_No_Question_of_Happiness_Here.mp3" TargetMode="External"/><Relationship Id="rId5458" Type="http://schemas.openxmlformats.org/officeDocument/2006/relationships/hyperlink" Target="https://audio.iskcondesiretree.com/01_-_Srila_Prabhupada/01_-_Lectures/01_-_English/01_-_Topic_wise/Srimad_Bhagavatam/Canto-05/SP_SB_5-06-05_Vrindavan_1976-11-27_Divine_Couple.mp3" TargetMode="External"/><Relationship Id="rId5872" Type="http://schemas.openxmlformats.org/officeDocument/2006/relationships/hyperlink" Target="https://audio.iskcondesiretree.com/01_-_Srila_Prabhupada/01_-_Lectures/01_-_English/02_-_Month_wise/05_-_May/29/Conv_1977-05-29_R2-VRNDAVAN.MP3" TargetMode="External"/><Relationship Id="rId4474" Type="http://schemas.openxmlformats.org/officeDocument/2006/relationships/hyperlink" Target="https://audio.iskcondesiretree.com/01_-_Srila_Prabhupada/01_-_Lectures/01_-_English/02_-_Month_wise/04_-_April/14/SB-07-12-03_1976-04-14_SB-BOMBAY.MP3" TargetMode="External"/><Relationship Id="rId5525" Type="http://schemas.openxmlformats.org/officeDocument/2006/relationships/hyperlink" Target="https://audio.iskcondesiretree.com/01_-_Srila_Prabhupada/01_-_Lectures/01_-_English/02_-_Month_wise/12_-_December/25/SB-05-05-01_1976-12-25_SB-BOMBAY.MP3" TargetMode="External"/><Relationship Id="rId3076" Type="http://schemas.openxmlformats.org/officeDocument/2006/relationships/hyperlink" Target="https://audio.iskcondesiretree.com/01_-_Srila_Prabhupada/01_-_Lectures/01_-_English/01_-_Topic_wise/Chaitanya_Charitamrita/Adi_Lila/SP_CC_A_01-16_Hyderabad_1975-04-09_Window_to_the_Spiritual_World.mp3" TargetMode="External"/><Relationship Id="rId3490" Type="http://schemas.openxmlformats.org/officeDocument/2006/relationships/hyperlink" Target="https://audio.iskcondesiretree.com/01_-_Srila_Prabhupada/01_-_Lectures/01_-_English/01_-_Topic_wise/Srimad_Bhagavatam/Canto-06/SP_SB_6-01-26_Chicago_1975-07-11_An_Ass%27s_Affection.mp3" TargetMode="External"/><Relationship Id="rId4127" Type="http://schemas.openxmlformats.org/officeDocument/2006/relationships/hyperlink" Target="https://audio.iskcondesiretree.com/01_-_Srila_Prabhupada/01_-_Lectures/01_-_English/01_-_Topic_wise/Bhagavad_Gita/Chapter-16/SP_BG_16-07_Sanand_1975-12-26_From_Papa-yoni_to_Devata.mp3" TargetMode="External"/><Relationship Id="rId4541" Type="http://schemas.openxmlformats.org/officeDocument/2006/relationships/hyperlink" Target="https://audio.iskcondesiretree.com/01_-_Srila_Prabhupada/01_-_Lectures/01_-_English/01_-_Topic_wise/Arrival_Address/SP_Address_Auckland_1976-04-27_Boat_Breeze_and_Captain.mp3" TargetMode="External"/><Relationship Id="rId2092" Type="http://schemas.openxmlformats.org/officeDocument/2006/relationships/hyperlink" Target="https://audio.iskcondesiretree.com/01_-_Srila_Prabhupada/01_-_Lectures/01_-_English/01_-_Topic_wise/Room_Conversation/SP_Room_Conversation_Paris_1974-06-11_Slaughterhouse_Civilization.mp3" TargetMode="External"/><Relationship Id="rId3143" Type="http://schemas.openxmlformats.org/officeDocument/2006/relationships/hyperlink" Target="https://audio.iskcondesiretree.com/01_-_Srila_Prabhupada/01_-_Lectures/01_-_English/02_-_Month_wise/04_-_April/27/Speech_1975-04-27_SP-VRNDAVAN.MP3" TargetMode="External"/><Relationship Id="rId131" Type="http://schemas.openxmlformats.org/officeDocument/2006/relationships/hyperlink" Target="https://audio.iskcondesiretree.com/01_-_Srila_Prabhupada/01_-_Lectures/01_-_English/02_-_Month_wise/11_-_November/27/Cc_M_20-131_NY_1966-11-27_The_Vedas_Are_Your_Astrologer.mp3" TargetMode="External"/><Relationship Id="rId3210" Type="http://schemas.openxmlformats.org/officeDocument/2006/relationships/hyperlink" Target="https://audio.iskcondesiretree.com/01_-_Srila_Prabhupada/01_-_Lectures/01_-_English/01_-_Topic_wise/Room_Conversation/SP_Room_Converstion_01_Melbourne_1975-05-20.MP3" TargetMode="External"/><Relationship Id="rId2976" Type="http://schemas.openxmlformats.org/officeDocument/2006/relationships/hyperlink" Target="https://audio.iskcondesiretree.com/01_-_Srila_Prabhupada/01_-_Lectures/01_-_English/02_-_Month_wise/03_-_March/21/Conv_1975-03-21_R1-CALCUTTA.MP3" TargetMode="External"/><Relationship Id="rId5382" Type="http://schemas.openxmlformats.org/officeDocument/2006/relationships/hyperlink" Target="https://audio.iskcondesiretree.com/01_-_Srila_Prabhupada/01_-_Lectures/01_-_English/01_-_Topic_wise/Room_Conversation/SP_Room_Conversation_Vrindavan_1976-11-05_Gurukula_Guidelines.mp3" TargetMode="External"/><Relationship Id="rId6019" Type="http://schemas.openxmlformats.org/officeDocument/2006/relationships/hyperlink" Target="https://audio.iskcondesiretree.com/01_-_Srila_Prabhupada/01_-_Lectures/01_-_English/02_-_Month_wise/11_-_November/11/Conv_1977-11-11_R1-VRNDAVAN.MP3" TargetMode="External"/><Relationship Id="rId948" Type="http://schemas.openxmlformats.org/officeDocument/2006/relationships/hyperlink" Target="https://audio.iskcondesiretree.com/01_-_Srila_Prabhupada/01_-_Lectures/01_-_English/02_-_Month_wise/04_-_April/15/SB_1-08-23_LA_1973-04-15_Beginning_of_Material_Life_is_Envy.mp3" TargetMode="External"/><Relationship Id="rId1578" Type="http://schemas.openxmlformats.org/officeDocument/2006/relationships/hyperlink" Target="https://audio.iskcondesiretree.com/01_-_Srila_Prabhupada/01_-_Lectures/01_-_English/01_-_Topic_wise/Srimad_Bhagavatam/Canto-01/SP_SB_1-16-36_Tokyo_1974-01-30_Kali-yuga--Disagree_with_Guru.mp3" TargetMode="External"/><Relationship Id="rId1992" Type="http://schemas.openxmlformats.org/officeDocument/2006/relationships/hyperlink" Target="https://audio.iskcondesiretree.com/01_-_Srila_Prabhupada/01_-_Lectures/01_-_English/02_-_Month_wise/05_-_May/26/SB_1-02-02_ROM_1974-05-26_The_Supreme_Destination_Is_etc.mp3" TargetMode="External"/><Relationship Id="rId2629" Type="http://schemas.openxmlformats.org/officeDocument/2006/relationships/hyperlink" Target="https://audio.iskcondesiretree.com/01_-_Srila_Prabhupada/01_-_Lectures/01_-_English/02_-_Month_wise/12_-_December/20/SB_3-26-08_BOM_1974-12-20_The_Enjoyer_Mentality.mp3" TargetMode="External"/><Relationship Id="rId5035" Type="http://schemas.openxmlformats.org/officeDocument/2006/relationships/hyperlink" Target="https://audio.iskcondesiretree.com/01_-_Srila_Prabhupada/01_-_Lectures/01_-_English/02_-_Month_wise/07_-_July/31/Conv_1976-07-31_R1-NEW%20MAYAPUR.MP3" TargetMode="External"/><Relationship Id="rId1645" Type="http://schemas.openxmlformats.org/officeDocument/2006/relationships/hyperlink" Target="https://audio.iskcondesiretree.com/01_-_Srila_Prabhupada/01_-_Lectures/01_-_English/02_-_Month_wise/02_-_Feburary/23/Walk_1974-02-23_MW-BOMBAY.MP3" TargetMode="External"/><Relationship Id="rId4051" Type="http://schemas.openxmlformats.org/officeDocument/2006/relationships/hyperlink" Target="https://audio.iskcondesiretree.com/01_-_Srila_Prabhupada/01_-_Lectures/01_-_English/02_-_Month_wise/12_-_December/04/SB_7-06-03_VRN_1975-12-04_Our_Human_Opportunity.mp3" TargetMode="External"/><Relationship Id="rId5102" Type="http://schemas.openxmlformats.org/officeDocument/2006/relationships/hyperlink" Target="https://audio.iskcondesiretree.com/01_-_Srila_Prabhupada/01_-_Lectures/01_-_English/02_-_Month_wise/08_-_August/12/Walk_1976-08-12_MW-TEHRAN.MP3" TargetMode="External"/><Relationship Id="rId1712" Type="http://schemas.openxmlformats.org/officeDocument/2006/relationships/hyperlink" Target="https://audio.iskcondesiretree.com/01_-_Srila_Prabhupada/01_-_Lectures/01_-_English/02_-_Month_wise/03_-_March/15/MW_VRN_1974-03-15_Varnashram_College_2--One_etc.mp3" TargetMode="External"/><Relationship Id="rId4868" Type="http://schemas.openxmlformats.org/officeDocument/2006/relationships/hyperlink" Target="https://audio.iskcondesiretree.com/01_-_Srila_Prabhupada/01_-_Lectures/01_-_English/01_-_Topic_wise/Srimad_Bhagavatam/Canto-07/SP_SB_7-06-17_New_Vrindavan_1976-07-01_Material_Entrapment.mp3" TargetMode="External"/><Relationship Id="rId5919" Type="http://schemas.openxmlformats.org/officeDocument/2006/relationships/hyperlink" Target="https://audio.iskcondesiretree.com/01_-_Srila_Prabhupada/01_-_Lectures/01_-_English/02_-_Month_wise/07_-_July/19/Conv_1977-07-19_R1-VRNDAVAN.MP3" TargetMode="External"/><Relationship Id="rId3884" Type="http://schemas.openxmlformats.org/officeDocument/2006/relationships/hyperlink" Target="https://audio.iskcondesiretree.com/01_-_Srila_Prabhupada/01_-_Lectures/01_-_English/02_-_Month_wise/10_-_October/17/Conv_1975-10-17_R1-JOHANNESBURG.MP3" TargetMode="External"/><Relationship Id="rId4935" Type="http://schemas.openxmlformats.org/officeDocument/2006/relationships/hyperlink" Target="https://audio.iskcondesiretree.com/01_-_Srila_Prabhupada/01_-_Lectures/01_-_English/02_-_Month_wise/07_-_July/08/RC_WDC_1976-07-08_Government_of_the_Rascals_by_the_Rascals.mp3" TargetMode="External"/><Relationship Id="rId2486" Type="http://schemas.openxmlformats.org/officeDocument/2006/relationships/hyperlink" Target="https://audio.iskcondesiretree.com/01_-_Srila_Prabhupada/01_-_Lectures/01_-_English/02_-_Month_wise/11_-_November/02/SB-03-25-02_1974-11-02_SB-BOMBAY.MP3" TargetMode="External"/><Relationship Id="rId3537" Type="http://schemas.openxmlformats.org/officeDocument/2006/relationships/hyperlink" Target="https://audio.iskcondesiretree.com/01_-_Srila_Prabhupada/01_-_Lectures/01_-_English/02_-_Month_wise/07_-_July/16/SB-06-01-31_1975-07-16_SB-SAN%20FRANCISCO.MP3" TargetMode="External"/><Relationship Id="rId3951" Type="http://schemas.openxmlformats.org/officeDocument/2006/relationships/hyperlink" Target="https://audio.iskcondesiretree.com/01_-_Srila_Prabhupada/01_-_Lectures/01_-_English/02_-_Month_wise/11_-_November/01/SB_3-28-21_NAI_1975-11-01_Why_Pay_Electric_etc.mp3" TargetMode="External"/><Relationship Id="rId458" Type="http://schemas.openxmlformats.org/officeDocument/2006/relationships/hyperlink" Target="https://audio.iskcondesiretree.com/01_-_Srila_Prabhupada/01_-_Lectures/01_-_English/01_-_Topic_wise/Festivals/SP_Festivals_Los_Angeles_1969-07-16_Deity_Installation.mp3" TargetMode="External"/><Relationship Id="rId872" Type="http://schemas.openxmlformats.org/officeDocument/2006/relationships/hyperlink" Target="https://audio.iskcondesiretree.com/01_-_Srila_Prabhupada/01_-_Lectures/01_-_English/01_-_Topic_wise/Nectar_Of_Devotion/SP_NOD_Pg-12_Bombay_1972-12-27_-_Real_Liberation_Is_Bhakti_Yoga.mp3" TargetMode="External"/><Relationship Id="rId1088" Type="http://schemas.openxmlformats.org/officeDocument/2006/relationships/hyperlink" Target="https://audio.iskcondesiretree.com/01_-_Srila_Prabhupada/01_-_Lectures/01_-_English/01_-_Topic_wise/Bhagavad_Gita/Chapter-01/SP_BG_01-15_London_1973-07-15_Spiritual--etc.mp3" TargetMode="External"/><Relationship Id="rId2139" Type="http://schemas.openxmlformats.org/officeDocument/2006/relationships/hyperlink" Target="https://audio.iskcondesiretree.com/01_-_Srila_Prabhupada/01_-_Lectures/01_-_English/02_-_Month_wise/06_-_June/14/Walk_1974-06-14_MW-PARIS.MP3" TargetMode="External"/><Relationship Id="rId2553" Type="http://schemas.openxmlformats.org/officeDocument/2006/relationships/hyperlink" Target="https://audio.iskcondesiretree.com/01_-_Srila_Prabhupada/01_-_Lectures/01_-_English/02_-_Month_wise/11_-_November/25/SB-03-25-25_1974-11-25_SB-BOMBAY.MP3" TargetMode="External"/><Relationship Id="rId3604" Type="http://schemas.openxmlformats.org/officeDocument/2006/relationships/hyperlink" Target="https://audio.iskcondesiretree.com/01_-_Srila_Prabhupada/01_-_Lectures/01_-_English/02_-_Month_wise/07_-_July/28/PressConf_1975-07-28_PC-DALLAS.MP3" TargetMode="External"/><Relationship Id="rId6010" Type="http://schemas.openxmlformats.org/officeDocument/2006/relationships/hyperlink" Target="https://audio.iskcondesiretree.com/01_-_Srila_Prabhupada/01_-_Lectures/01_-_English/02_-_Month_wise/11_-_November/08/Conv_1977-11-08_R1-VRNDAVAN.MP3" TargetMode="External"/><Relationship Id="rId525" Type="http://schemas.openxmlformats.org/officeDocument/2006/relationships/hyperlink" Target="https://audio.iskcondesiretree.com/01_-_Srila_Prabhupada/01_-_Lectures/01_-_English/02_-_Month_wise/03_-_March/17/Lect_BOM_1971-03-17_Take_Shelter_of_the_Six_Goswamis.mp3" TargetMode="External"/><Relationship Id="rId1155" Type="http://schemas.openxmlformats.org/officeDocument/2006/relationships/hyperlink" Target="https://audio.iskcondesiretree.com/01_-_Srila_Prabhupada/01_-_Lectures/01_-_English/02_-_Month_wise/08_-_August/09/Arr_PAR_1973-08-09_Understand_This_Movement.mp3" TargetMode="External"/><Relationship Id="rId2206" Type="http://schemas.openxmlformats.org/officeDocument/2006/relationships/hyperlink" Target="https://audio.iskcondesiretree.com/01_-_Srila_Prabhupada/01_-_Lectures/01_-_English/02_-_Month_wise/06_-_June/28/RC_MEL_1974-06-28_Priest--Tests_for_Godliness.mp3" TargetMode="External"/><Relationship Id="rId2620" Type="http://schemas.openxmlformats.org/officeDocument/2006/relationships/hyperlink" Target="https://audio.iskcondesiretree.com/01_-_Srila_Prabhupada/01_-_Lectures/01_-_English/02_-_Month_wise/12_-_December/17/SB_3-26-05_BOM_1974-12-17_Crazy_Fellows_and_Colorful_Life.mp3" TargetMode="External"/><Relationship Id="rId5776" Type="http://schemas.openxmlformats.org/officeDocument/2006/relationships/hyperlink" Target="https://audio.iskcondesiretree.com/01_-_Srila_Prabhupada/01_-_Lectures/01_-_English/02_-_Month_wise/03_-_March/29/Conv_1977-03-29_R1-BOMBAY.MP3" TargetMode="External"/><Relationship Id="rId1222" Type="http://schemas.openxmlformats.org/officeDocument/2006/relationships/hyperlink" Target="https://audio.iskcondesiretree.com/01_-_Srila_Prabhupada/01_-_Lectures/01_-_English/01_-_Topic_wise/Bhagavad_Gita/Chapter-02/SP_BG_02-23-24_London_1973-08-27_You_Are_a_Sample_of_Krishna.mp3" TargetMode="External"/><Relationship Id="rId4378" Type="http://schemas.openxmlformats.org/officeDocument/2006/relationships/hyperlink" Target="https://audio.iskcondesiretree.com/01_-_Srila_Prabhupada/01_-_Lectures/01_-_English/02_-_Month_wise/03_-_March/17/Walk_1976-03-17_MW-MAYAPUR.MP3" TargetMode="External"/><Relationship Id="rId5429" Type="http://schemas.openxmlformats.org/officeDocument/2006/relationships/hyperlink" Target="https://audio.iskcondesiretree.com/01_-_Srila_Prabhupada/01_-_Lectures/01_-_English/02_-_Month_wise/11_-_November/16/SB-05-05-29_1976-11-16_SB-VRNDAVAN.MP3" TargetMode="External"/><Relationship Id="rId3394" Type="http://schemas.openxmlformats.org/officeDocument/2006/relationships/hyperlink" Target="https://audio.iskcondesiretree.com/01_-_Srila_Prabhupada/01_-_Lectures/01_-_English/02_-_Month_wise/06_-_June/28/SB_6-01-15_DEN_1975-06-28_The_Whole_Material_World_is_etc.mp3" TargetMode="External"/><Relationship Id="rId4792" Type="http://schemas.openxmlformats.org/officeDocument/2006/relationships/hyperlink" Target="https://audio.iskcondesiretree.com/01_-_Srila_Prabhupada/01_-_Lectures/01_-_English/02_-_Month_wise/06_-_June/20/Lect_TOR_1976-06-20_Sunday_Feast-Don%27t_Forget_Your_Heritage.mp3" TargetMode="External"/><Relationship Id="rId5843" Type="http://schemas.openxmlformats.org/officeDocument/2006/relationships/hyperlink" Target="https://audio.iskcondesiretree.com/01_-_Srila_Prabhupada/01_-_Lectures/01_-_English/01_-_Topic_wise/Room_Conversation/SP_Room_Conversation_Hrisikesh_1977-05-12_Every_Village_Neighborhood_Home--etc.mp3" TargetMode="External"/><Relationship Id="rId3047" Type="http://schemas.openxmlformats.org/officeDocument/2006/relationships/hyperlink" Target="https://audio.iskcondesiretree.com/01_-_Srila_Prabhupada/01_-_Lectures/01_-_English/02_-_Month_wise/04_-_April/04/Cc_A_1-11_MAY_1975-04-04_Update_On_Struggle_Immortal_etc.mp3" TargetMode="External"/><Relationship Id="rId4445" Type="http://schemas.openxmlformats.org/officeDocument/2006/relationships/hyperlink" Target="https://audio.iskcondesiretree.com/01_-_Srila_Prabhupada/01_-_Lectures/01_-_English/01_-_Topic_wise/Srimad_Bhagavatam/Canto-07/SP_SB_7-09-53_Vrindavan_1976-04-08_Please_Krishna_See_Krishna.mp3" TargetMode="External"/><Relationship Id="rId5910" Type="http://schemas.openxmlformats.org/officeDocument/2006/relationships/hyperlink" Target="https://audio.iskcondesiretree.com/01_-_Srila_Prabhupada/01_-_Lectures/01_-_English/02_-_Month_wise/07_-_July/07/Conv_1977-07-07_R3-VRNDAVAN.MP3" TargetMode="External"/><Relationship Id="rId3461" Type="http://schemas.openxmlformats.org/officeDocument/2006/relationships/hyperlink" Target="https://audio.iskcondesiretree.com/01_-_Srila_Prabhupada/01_-_Lectures/01_-_English/02_-_Month_wise/07_-_July/08/MW_CHI_1975-07-08_How_Blind_People_Are.mp3" TargetMode="External"/><Relationship Id="rId4512" Type="http://schemas.openxmlformats.org/officeDocument/2006/relationships/hyperlink" Target="https://audio.iskcondesiretree.com/01_-_Srila_Prabhupada/01_-_Lectures/01_-_English/02_-_Month_wise/04_-_April/21/Walk_1976-04-21_MW-MELBOURNE.MP3" TargetMode="External"/><Relationship Id="rId382" Type="http://schemas.openxmlformats.org/officeDocument/2006/relationships/hyperlink" Target="https://audio.iskcondesiretree.com/01_-_Srila_Prabhupada/01_-_Lectures/01_-_English/01_-_Topic_wise/Festivals/SP_Festivals_Hawaii_1969-03-05_Day_After_Gaura_Purnima-02.mp3" TargetMode="External"/><Relationship Id="rId2063" Type="http://schemas.openxmlformats.org/officeDocument/2006/relationships/hyperlink" Target="https://audio.iskcondesiretree.com/01_-_Srila_Prabhupada/01_-_Lectures/01_-_English/01_-_Topic_wise/Morning_Walk/SP_Morning_Walk_-_Geneva_1974-06-06_One_Machine_Makes_100_Men_Unemployed.mp3" TargetMode="External"/><Relationship Id="rId3114" Type="http://schemas.openxmlformats.org/officeDocument/2006/relationships/hyperlink" Target="https://audio.iskcondesiretree.com/01_-_Srila_Prabhupada/01_-_Lectures/01_-_English/02_-_Month_wise/04_-_April/15/SB_5-05-02_HYD_1975-04-15_How_to_Find_a_Grhasta-mahatma.mp3" TargetMode="External"/><Relationship Id="rId2130" Type="http://schemas.openxmlformats.org/officeDocument/2006/relationships/hyperlink" Target="https://audio.iskcondesiretree.com/01_-_Srila_Prabhupada/01_-_Lectures/01_-_English/01_-_Topic_wise/Morning_Walk/SP_Morning_Walk_-_Paris_1974-06-14_The_Nonsectarian_Signboard.mp3" TargetMode="External"/><Relationship Id="rId5286" Type="http://schemas.openxmlformats.org/officeDocument/2006/relationships/hyperlink" Target="https://audio.iskcondesiretree.com/01_-_Srila_Prabhupada/01_-_Lectures/01_-_English/02_-_Month_wise/09_-_September/30/SB_1-07-38_VRN_1976-09-30_Don%27t_Keep_a_Guru_As_Fashion.mp3" TargetMode="External"/><Relationship Id="rId102" Type="http://schemas.openxmlformats.org/officeDocument/2006/relationships/hyperlink" Target="https://audio.iskcondesiretree.com/01_-_Srila_Prabhupada/01_-_Lectures/01_-_English/01_-_Topic_wise/Bhagavad_Gita/Chapter-08/SP_BG_08-20-22_New_York_1966-11-18_There_Is_Another--etc.mp3" TargetMode="External"/><Relationship Id="rId5353" Type="http://schemas.openxmlformats.org/officeDocument/2006/relationships/hyperlink" Target="https://audio.iskcondesiretree.com/01_-_Srila_Prabhupada/01_-_Lectures/01_-_English/01_-_Topic_wise/Srimad_Bhagavatam/Canto-05/SP_SB_5-05-07_Vrindavan_1976-10-29_Fully_Extended_Self-Interest.mp3" TargetMode="External"/><Relationship Id="rId1896" Type="http://schemas.openxmlformats.org/officeDocument/2006/relationships/hyperlink" Target="https://audio.iskcondesiretree.com/01_-_Srila_Prabhupada/01_-_Lectures/01_-_English/01_-_Topic_wise/Morning_Walk/SP_Morning_Walk_-_Hyderabad_1974-04-19.mp3" TargetMode="External"/><Relationship Id="rId2947" Type="http://schemas.openxmlformats.org/officeDocument/2006/relationships/hyperlink" Target="https://audio.iskcondesiretree.com/01_-_Srila_Prabhupada/01_-_Lectures/01_-_English/01_-_Topic_wise/Morning_Walk/SP_Morning_Walk_-_Tehran_1975-03-13.MP3" TargetMode="External"/><Relationship Id="rId5006" Type="http://schemas.openxmlformats.org/officeDocument/2006/relationships/hyperlink" Target="https://audio.iskcondesiretree.com/01_-_Srila_Prabhupada/01_-_Lectures/01_-_English/02_-_Month_wise/07_-_July/20/Walk_1976-07-20_MW-NEW%20YORK.MP3" TargetMode="External"/><Relationship Id="rId919" Type="http://schemas.openxmlformats.org/officeDocument/2006/relationships/hyperlink" Target="https://audio.iskcondesiretree.com/01_-_Srila_Prabhupada/01_-_Lectures/01_-_English/01_-_Topic_wise/Various/SP_Lecture_Calcutta_1973-01-31_At_Indo-American--etc.mp3" TargetMode="External"/><Relationship Id="rId1549" Type="http://schemas.openxmlformats.org/officeDocument/2006/relationships/hyperlink" Target="https://audio.iskcondesiretree.com/01_-_Srila_Prabhupada/01_-_Lectures/01_-_English/02_-_Month_wise/01_-_January/19/SB_1-16-23_HAW_1974-01-19_Beware_the_Busy_Fool.mp3" TargetMode="External"/><Relationship Id="rId1963" Type="http://schemas.openxmlformats.org/officeDocument/2006/relationships/hyperlink" Target="https://audio.iskcondesiretree.com/01_-_Srila_Prabhupada/01_-_Lectures/01_-_English/02_-_Month_wise/05_-_May/09/Walk_1974-05-09_MW-BOMBAY.MP3" TargetMode="External"/><Relationship Id="rId4022" Type="http://schemas.openxmlformats.org/officeDocument/2006/relationships/hyperlink" Target="https://audio.iskcondesiretree.com/01_-_Srila_Prabhupada/01_-_Lectures/01_-_English/02_-_Month_wise/11_-_November/24/CcMadhya-06-154_1975-11-24_CC-BOMBAY.MP3" TargetMode="External"/><Relationship Id="rId5420" Type="http://schemas.openxmlformats.org/officeDocument/2006/relationships/hyperlink" Target="https://audio.iskcondesiretree.com/01_-_Srila_Prabhupada/01_-_Lectures/01_-_English/02_-_Month_wise/11_-_November/14/Conv_1976-11-14_R2-VRNDAVAN.MP3" TargetMode="External"/><Relationship Id="rId1616" Type="http://schemas.openxmlformats.org/officeDocument/2006/relationships/hyperlink" Target="https://audio.iskcondesiretree.com/01_-_Srila_Prabhupada/01_-_Lectures/01_-_English/02_-_Month_wise/02_-_Feburary/13/Conv_1974-02-13_R2-VRNDAVAN.MP3" TargetMode="External"/><Relationship Id="rId3788" Type="http://schemas.openxmlformats.org/officeDocument/2006/relationships/hyperlink" Target="https://audio.iskcondesiretree.com/01_-_Srila_Prabhupada/01_-_Lectures/01_-_English/01_-_Topic_wise/Morning_Walk/SP_Morning_Walk_-_Ahmedabad_1975-09-27.MP3" TargetMode="External"/><Relationship Id="rId4839" Type="http://schemas.openxmlformats.org/officeDocument/2006/relationships/hyperlink" Target="https://audio.iskcondesiretree.com/01_-_Srila_Prabhupada/01_-_Lectures/01_-_English/01_-_Topic_wise/Bhagavad_Gita/Chapter-16/SP_BG_16-13-17_New_Vrindavan_1976-06-28_Dishonesty_Starts_from_Government.mp3" TargetMode="External"/><Relationship Id="rId6194" Type="http://schemas.openxmlformats.org/officeDocument/2006/relationships/hyperlink" Target="https://audio.iskcondesiretree.com/01_-_Srila_Prabhupada/01_-_Lectures/03_-_Hindi/SP_Hindi_22_Lectures_%26_Conversations.mp3" TargetMode="External"/><Relationship Id="rId3855" Type="http://schemas.openxmlformats.org/officeDocument/2006/relationships/hyperlink" Target="https://audio.iskcondesiretree.com/01_-_Srila_Prabhupada/01_-_Lectures/01_-_English/02_-_Month_wise/10_-_October/13/Bg-13-01%E2%80%9303_1975-10-13_BG-DURBAN.MP3" TargetMode="External"/><Relationship Id="rId776" Type="http://schemas.openxmlformats.org/officeDocument/2006/relationships/hyperlink" Target="https://audio.iskcondesiretree.com/01_-_Srila_Prabhupada/01_-_Lectures/01_-_English/01_-_Topic_wise/Nectar_Of_Devotion/SP_NOD_Vrindavan_1972-11-03_-_People_Want_Hodge_podge_Not-etc.mp3" TargetMode="External"/><Relationship Id="rId2457" Type="http://schemas.openxmlformats.org/officeDocument/2006/relationships/hyperlink" Target="https://audio.iskcondesiretree.com/01_-_Srila_Prabhupada/01_-_Lectures/01_-_English/02_-_Month_wise/10_-_October/21/SB_1-08-41_MAY_1974-10-21_The_Ropes_of_Affection.mp3" TargetMode="External"/><Relationship Id="rId3508" Type="http://schemas.openxmlformats.org/officeDocument/2006/relationships/hyperlink" Target="https://audio.iskcondesiretree.com/01_-_Srila_Prabhupada/01_-_Lectures/01_-_English/02_-_Month_wise/07_-_July/12/Walk_1975-07-12_MW-PHILADELPHIA.MP3" TargetMode="External"/><Relationship Id="rId4906" Type="http://schemas.openxmlformats.org/officeDocument/2006/relationships/hyperlink" Target="https://audio.iskcondesiretree.com/01_-_Srila_Prabhupada/01_-_Lectures/01_-_English/02_-_Month_wise/07_-_July/06/CcMadhya-20-101_1976-07-06_CC-WASHINGTON%20DC.MP3" TargetMode="External"/><Relationship Id="rId429" Type="http://schemas.openxmlformats.org/officeDocument/2006/relationships/hyperlink" Target="https://audio.iskcondesiretree.com/01_-_Srila_Prabhupada/01_-_Lectures/01_-_English/02_-_Month_wise/05_-_May/13/RC_COL_1969-05-13_Allen_Ginsberg-Walk_Through_Kali_Yuga.mp3" TargetMode="External"/><Relationship Id="rId1059" Type="http://schemas.openxmlformats.org/officeDocument/2006/relationships/hyperlink" Target="https://audio.iskcondesiretree.com/01_-_Srila_Prabhupada/01_-_Lectures/01_-_English/01_-_Topic_wise/Bhagavad_Gita/Chapter-01/SP_BG_01-02-03_London_1973-07-09_Death_Is_God.mp3" TargetMode="External"/><Relationship Id="rId1473" Type="http://schemas.openxmlformats.org/officeDocument/2006/relationships/hyperlink" Target="https://audio.iskcondesiretree.com/01_-_Srila_Prabhupada/01_-_Lectures/01_-_English/02_-_Month_wise/01_-_January/02/SB-01-16-05_1974-01-02_SB-LOS_ANGELES.MP3" TargetMode="External"/><Relationship Id="rId2871" Type="http://schemas.openxmlformats.org/officeDocument/2006/relationships/hyperlink" Target="https://audio.iskcondesiretree.com/01_-_Srila_Prabhupada/01_-_Lectures/04_-_Translation/Portuguese/More/SP_Various_-_Conversation_-_1975-02-28_Atlanta.mp3" TargetMode="External"/><Relationship Id="rId3922" Type="http://schemas.openxmlformats.org/officeDocument/2006/relationships/hyperlink" Target="https://audio.iskcondesiretree.com/01_-_Srila_Prabhupada/01_-_Lectures/04_-_Translation/Portuguese/by_Lilananda_Prabhu/SP_BG_07-01_NAI_1975-10-27_Sempre_Pense_em_Krsna.mp3" TargetMode="External"/><Relationship Id="rId843" Type="http://schemas.openxmlformats.org/officeDocument/2006/relationships/hyperlink" Target="https://audio.iskcondesiretree.com/01_-_Srila_Prabhupada/01_-_Lectures/01_-_English/02_-_Month_wise/11_-_November/28/Bg_02-24_HYD_1972-11-28_Sanatana_Another_Nature.mp3" TargetMode="External"/><Relationship Id="rId1126" Type="http://schemas.openxmlformats.org/officeDocument/2006/relationships/hyperlink" Target="https://audio.iskcondesiretree.com/01_-_Srila_Prabhupada/01_-_Lectures/01_-_English/02_-_Month_wise/07_-_July/26/Bg_01-36_LON_1973-07-26_Devotee_Has_All_Good_Qualities.mp3" TargetMode="External"/><Relationship Id="rId2524" Type="http://schemas.openxmlformats.org/officeDocument/2006/relationships/hyperlink" Target="https://audio.iskcondesiretree.com/01_-_Srila_Prabhupada/01_-_Lectures/01_-_English/01_-_Topic_wise/Srimad_Bhagavatam/Canto-03/SP_SB_3-25-16_Bombay_1974-11-16_Mind_Is_Covered_by_Dirty_Things.mp3" TargetMode="External"/><Relationship Id="rId910" Type="http://schemas.openxmlformats.org/officeDocument/2006/relationships/hyperlink" Target="https://audio.iskcondesiretree.com/01_-_Srila_Prabhupada/01_-_Lectures/01_-_English/01_-_Topic_wise/Nectar_Of_Devotion/SP_NOD_Pg-32_Calcutta_1973-01-29_-_Three_Kinds_of_Happiness.mp3" TargetMode="External"/><Relationship Id="rId1540" Type="http://schemas.openxmlformats.org/officeDocument/2006/relationships/hyperlink" Target="https://audio.iskcondesiretree.com/01_-_Srila_Prabhupada/01_-_Lectures/01_-_English/01_-_Topic_wise/Srimad_Bhagavatam/Canto-01/SP_SB_1-16-22_Hawaii_1974-01-18_Cow_Killing-Rascal_Government.mp3" TargetMode="External"/><Relationship Id="rId4696" Type="http://schemas.openxmlformats.org/officeDocument/2006/relationships/hyperlink" Target="https://audio.iskcondesiretree.com/01_-_Srila_Prabhupada/01_-_Lectures/01_-_English/02_-_Month_wise/06_-_June/06/SB_6-01-40_LA_1976-06-06_Graduates_of_Transcendental_Tech.mp3" TargetMode="External"/><Relationship Id="rId5747" Type="http://schemas.openxmlformats.org/officeDocument/2006/relationships/hyperlink" Target="https://audio.iskcondesiretree.com/01_-_Srila_Prabhupada/01_-_Lectures/01_-_English/02_-_Month_wise/02_-_Feburary/28/SB-07-09-08_1977-02-28_SB-MAYAPUR.MP3" TargetMode="External"/><Relationship Id="rId3298" Type="http://schemas.openxmlformats.org/officeDocument/2006/relationships/hyperlink" Target="https://audio.iskcondesiretree.com/01_-_Srila_Prabhupada/01_-_Lectures/01_-_English/02_-_Month_wise/06_-_June/15/Conv_1975-06-15_R4-HONOLULU.MP3" TargetMode="External"/><Relationship Id="rId4349" Type="http://schemas.openxmlformats.org/officeDocument/2006/relationships/hyperlink" Target="https://audio.iskcondesiretree.com/01_-_Srila_Prabhupada/01_-_Lectures/01_-_English/02_-_Month_wise/03_-_March/12/MW_MAY_1976-03-12_One_Should_Give_to_Temple.mp3" TargetMode="External"/><Relationship Id="rId4763" Type="http://schemas.openxmlformats.org/officeDocument/2006/relationships/hyperlink" Target="https://audio.iskcondesiretree.com/01_-_Srila_Prabhupada/01_-_Lectures/01_-_English/02_-_Month_wise/06_-_June/16/SB-06-01-50_1976-06-16_SB-DETROIT.MP3" TargetMode="External"/><Relationship Id="rId5814" Type="http://schemas.openxmlformats.org/officeDocument/2006/relationships/hyperlink" Target="https://audio.iskcondesiretree.com/01_-_Srila_Prabhupada/01_-_Lectures/01_-_English/02_-_Month_wise/04_-_April/22/Conv_1977-04-22_R2-BOMBAY.MP3" TargetMode="External"/><Relationship Id="rId3365" Type="http://schemas.openxmlformats.org/officeDocument/2006/relationships/hyperlink" Target="https://audio.iskcondesiretree.com/01_-_Srila_Prabhupada/01_-_Lectures/01_-_English/01_-_Topic_wise/Srimad_Bhagavatam/Canto-06/SP_SB_6-01-12_Los_Angeles_1975-06-25_Repent_Sinners--How.mp3" TargetMode="External"/><Relationship Id="rId4416" Type="http://schemas.openxmlformats.org/officeDocument/2006/relationships/hyperlink" Target="https://audio.iskcondesiretree.com/01_-_Srila_Prabhupada/01_-_Lectures/01_-_English/02_-_Month_wise/03_-_March/31/SB-07-05-23%E2%80%9324_1976-03-31_SB-VRNDAVAN.MP3" TargetMode="External"/><Relationship Id="rId4830" Type="http://schemas.openxmlformats.org/officeDocument/2006/relationships/hyperlink" Target="https://audio.iskcondesiretree.com/01_-_Srila_Prabhupada/01_-_Lectures/01_-_English/02_-_Month_wise/06_-_June/26/Conv_1976-06-26_R1-NEW%20VRINDAVAN.MP3" TargetMode="External"/><Relationship Id="rId286" Type="http://schemas.openxmlformats.org/officeDocument/2006/relationships/hyperlink" Target="https://audio.iskcondesiretree.com/01_-_Srila_Prabhupada/01_-_Lectures/01_-_English/02_-_Month_wise/10_-_October/21/Fest_SEA_1968-10-21_Disappearance_of_Keshava_Maharaja.mp3" TargetMode="External"/><Relationship Id="rId2381" Type="http://schemas.openxmlformats.org/officeDocument/2006/relationships/hyperlink" Target="https://audio.iskcondesiretree.com/01_-_Srila_Prabhupada/01_-_Lectures/01_-_English/02_-_Month_wise/09_-_September/23/Bg-04-10_1974-09-23_BG-CALCUTTA.MP3" TargetMode="External"/><Relationship Id="rId3018" Type="http://schemas.openxmlformats.org/officeDocument/2006/relationships/hyperlink" Target="https://audio.iskcondesiretree.com/01_-_Srila_Prabhupada/01_-_Lectures/01_-_English/02_-_Month_wise/03_-_March/31/Cc_A_1-07_MAY_1975-03-31_Ever_Expanding_Life_with_Krishna.mp3" TargetMode="External"/><Relationship Id="rId3432" Type="http://schemas.openxmlformats.org/officeDocument/2006/relationships/hyperlink" Target="https://audio.iskcondesiretree.com/01_-_Srila_Prabhupada/01_-_Lectures/01_-_English/02_-_Month_wise/07_-_July/04/RC_CHI_1975-07-04_Mayor_of_Evanston-Administrators_etc.mp3" TargetMode="External"/><Relationship Id="rId353" Type="http://schemas.openxmlformats.org/officeDocument/2006/relationships/hyperlink" Target="https://audio.iskcondesiretree.com/01_-_Srila_Prabhupada/01_-_Lectures/01_-_English/01_-_Topic_wise/Various/SP_Lecture_New_York_1969-01-07_Purport_to_a_Song_by_Govinda_Dasa.mp3" TargetMode="External"/><Relationship Id="rId2034" Type="http://schemas.openxmlformats.org/officeDocument/2006/relationships/hyperlink" Target="https://audio.iskcondesiretree.com/01_-_Srila_Prabhupada/01_-_Lectures/01_-_English/01_-_Topic_wise/Srimad_Bhagavatam/Canto-01/SP_SB_1-13-11_Geneva_1974-06-02_Your_Qualification-Renouncing.mp3" TargetMode="External"/><Relationship Id="rId420" Type="http://schemas.openxmlformats.org/officeDocument/2006/relationships/hyperlink" Target="https://audio.iskcondesiretree.com/01_-_Srila_Prabhupada/01_-_Lectures/01_-_English/01_-_Topic_wise/Arrival_Address/SP_Address_Columbus_1969-05-11_Addr_to_Indian_Association.mp3" TargetMode="External"/><Relationship Id="rId1050" Type="http://schemas.openxmlformats.org/officeDocument/2006/relationships/hyperlink" Target="https://audio.iskcondesiretree.com/01_-_Srila_Prabhupada/01_-_Lectures/01_-_English/02_-_Month_wise/06_-_June/27/SB_1-10-14_MAY_1973-06-27_Truly_Selfless_Love.mp3" TargetMode="External"/><Relationship Id="rId2101" Type="http://schemas.openxmlformats.org/officeDocument/2006/relationships/hyperlink" Target="https://audio.iskcondesiretree.com/01_-_Srila_Prabhupada/01_-_Lectures/01_-_English/01_-_Topic_wise/Morning_Walk/SP_Morning_Walk_-_Paris_1974-06-12_God_Is_Not_Dead-Your_Intelligence_Is_Dead.mp3" TargetMode="External"/><Relationship Id="rId5257" Type="http://schemas.openxmlformats.org/officeDocument/2006/relationships/hyperlink" Target="https://audio.iskcondesiretree.com/01_-_Srila_Prabhupada/01_-_Lectures/01_-_English/01_-_Topic_wise/Srimad_Bhagavatam/Canto-01/SP_SB_1-07-27_Vrindavan_1976-09-24_Krishna-Blessing_or_Burden.mp3" TargetMode="External"/><Relationship Id="rId5671" Type="http://schemas.openxmlformats.org/officeDocument/2006/relationships/hyperlink" Target="https://audio.iskcondesiretree.com/01_-_Srila_Prabhupada/01_-_Lectures/01_-_English/02_-_Month_wise/02_-_Feburary/02/Fest_BHU_1977-02-02_Nityananda_Appearance.mp3" TargetMode="External"/><Relationship Id="rId1867" Type="http://schemas.openxmlformats.org/officeDocument/2006/relationships/hyperlink" Target="https://audio.iskcondesiretree.com/01_-_Srila_Prabhupada/01_-_Lectures/01_-_English/02_-_Month_wise/04_-_April/13/Bg-04-24_1974-04-13_BG-BOMBAY.MP3" TargetMode="External"/><Relationship Id="rId2918" Type="http://schemas.openxmlformats.org/officeDocument/2006/relationships/hyperlink" Target="https://audio.iskcondesiretree.com/01_-_Srila_Prabhupada/01_-_Lectures/01_-_English/01_-_Topic_wise/Srimad_Bhagavatam/Canto-02/SP_SB_2-02-06_New_York_1975-03-06.MP3" TargetMode="External"/><Relationship Id="rId4273" Type="http://schemas.openxmlformats.org/officeDocument/2006/relationships/hyperlink" Target="https://audio.iskcondesiretree.com/01_-_Srila_Prabhupada/01_-_Lectures/01_-_English/02_-_Month_wise/02_-_Feburary/23/SB-07-09-16_1976-02-23_SB-MAYAPUR.MP3" TargetMode="External"/><Relationship Id="rId5324" Type="http://schemas.openxmlformats.org/officeDocument/2006/relationships/hyperlink" Target="https://audio.iskcondesiretree.com/01_-_Srila_Prabhupada/01_-_Lectures/01_-_English/02_-_Month_wise/10_-_October/09/SB_1-02-05_ALI_1976-10-09_The_Religion_Above_All_Cheating.mp3" TargetMode="External"/><Relationship Id="rId1934" Type="http://schemas.openxmlformats.org/officeDocument/2006/relationships/hyperlink" Target="https://audio.iskcondesiretree.com/01_-_Srila_Prabhupada/01_-_Lectures/01_-_English/02_-_Month_wise/04_-_April/26/Interview_1974-04-26_IV-TIRUPATI.MP3" TargetMode="External"/><Relationship Id="rId4340" Type="http://schemas.openxmlformats.org/officeDocument/2006/relationships/hyperlink" Target="https://audio.iskcondesiretree.com/01_-_Srila_Prabhupada/01_-_Lectures/01_-_English/02_-_Month_wise/03_-_March/10/Walk_1976-03-10_MW-MAYAPUR.MP3" TargetMode="External"/><Relationship Id="rId6098" Type="http://schemas.openxmlformats.org/officeDocument/2006/relationships/hyperlink" Target="https://audio.iskcondesiretree.com/01_-_Srila_Prabhupada/01_-_Lectures/01_-_English/01_-_Topic_wise/Krishna_Book/SP_Krsna_Book_Dict_54_-_Krishna_Defeats_All_Princes.mp3" TargetMode="External"/><Relationship Id="rId6165" Type="http://schemas.openxmlformats.org/officeDocument/2006/relationships/hyperlink" Target="https://audio.iskcondesiretree.com/01_-_Srila_Prabhupada/01_-_Lectures/01_-_English/01_-_Topic_wise/Stories/SP_Story_41_Thief_to_Vrindavana.mp3" TargetMode="External"/><Relationship Id="rId3759" Type="http://schemas.openxmlformats.org/officeDocument/2006/relationships/hyperlink" Target="https://audio.iskcondesiretree.com/01_-_Srila_Prabhupada/01_-_Lectures/01_-_English/01_-_Topic_wise/Srimad_Bhagavatam/Canto-06/SP_SB_6-02-13_Vrindavan_1975-09-15_Seeing_Is_Not_Believing.mp3" TargetMode="External"/><Relationship Id="rId5181" Type="http://schemas.openxmlformats.org/officeDocument/2006/relationships/hyperlink" Target="https://audio.iskcondesiretree.com/01_-_Srila_Prabhupada/01_-_Lectures/01_-_English/01_-_Topic_wise/Srimad_Bhagavatam/Canto-01/SP_SB_1-07-05_Vrindavan_1976-09-04_Human_Life-Understand_God.mp3" TargetMode="External"/><Relationship Id="rId2775" Type="http://schemas.openxmlformats.org/officeDocument/2006/relationships/hyperlink" Target="https://audio.iskcondesiretree.com/01_-_Srila_Prabhupada/01_-_Lectures/01_-_English/01_-_Topic_wise/Arrival_Address/SP_Arrival_Los_Angeles_1975-02-09_Krishna_Consciousness_Is_in_Everyone%27s_Heart.mp3" TargetMode="External"/><Relationship Id="rId3826" Type="http://schemas.openxmlformats.org/officeDocument/2006/relationships/hyperlink" Target="https://audio.iskcondesiretree.com/01_-_Srila_Prabhupada/01_-_Lectures/01_-_English/02_-_Month_wise/10_-_October/05/MW_MAU_1975-10-05_Human_Life-Don%27t_Miss_the_Boat.mp3" TargetMode="External"/><Relationship Id="rId747" Type="http://schemas.openxmlformats.org/officeDocument/2006/relationships/hyperlink" Target="https://audio.iskcondesiretree.com/01_-_Srila_Prabhupada/01_-_Lectures/01_-_English/02_-_Month_wise/10_-_October/26/NOD_04_VRN_1972-10-26_The_Complete_Science_of_Bhakti-Yoga.mp3" TargetMode="External"/><Relationship Id="rId1377" Type="http://schemas.openxmlformats.org/officeDocument/2006/relationships/hyperlink" Target="https://audio.iskcondesiretree.com/01_-_Srila_Prabhupada/01_-_Lectures/01_-_English/01_-_Topic_wise/Srimad_Bhagavatam/Canto-01/SP_SB_1-15-21_Los_Angeles_1973-12-01_Civilization_Minus_Krishna.mp3" TargetMode="External"/><Relationship Id="rId1791" Type="http://schemas.openxmlformats.org/officeDocument/2006/relationships/hyperlink" Target="https://audio.iskcondesiretree.com/01_-_Srila_Prabhupada/01_-_Lectures/01_-_English/02_-_Month_wise/03_-_March/31/Bg-04-11_1974-03-31_BG-BOMBAY.MP3" TargetMode="External"/><Relationship Id="rId2428" Type="http://schemas.openxmlformats.org/officeDocument/2006/relationships/hyperlink" Target="https://audio.iskcondesiretree.com/01_-_Srila_Prabhupada/01_-_Lectures/01_-_English/02_-_Month_wise/10_-_October/10/SB_1-08-30_MAY_1974-10-10_Krishna%27s_Active_Inactivity.mp3" TargetMode="External"/><Relationship Id="rId2842" Type="http://schemas.openxmlformats.org/officeDocument/2006/relationships/hyperlink" Target="https://audio.iskcondesiretree.com/01_-_Srila_Prabhupada/01_-_Lectures/01_-_English/02_-_Month_wise/02_-_Feburary/23/SB-01-01-02_1975-02-23_SB-CARACAS.MP3" TargetMode="External"/><Relationship Id="rId5998" Type="http://schemas.openxmlformats.org/officeDocument/2006/relationships/hyperlink" Target="https://audio.iskcondesiretree.com/01_-_Srila_Prabhupada/01_-_Lectures/01_-_English/02_-_Month_wise/11_-_November/05/Conv_1977-11-05_R3-VRNDAVAN.MP3" TargetMode="External"/><Relationship Id="rId83" Type="http://schemas.openxmlformats.org/officeDocument/2006/relationships/hyperlink" Target="https://audio.iskcondesiretree.com/01_-_Srila_Prabhupada/01_-_Lectures/01_-_English/02_-_Month_wise/09_-_September/14/Bg_06-32_NY_1966-09-14_Yoga_System-Vairagya_It%27s_etc.mp3" TargetMode="External"/><Relationship Id="rId814" Type="http://schemas.openxmlformats.org/officeDocument/2006/relationships/hyperlink" Target="https://audio.iskcondesiretree.com/01_-_Srila_Prabhupada/01_-_Lectures/01_-_English/02_-_Month_wise/11_-_November/12/NOD_14_VRN_1972-11-12_The_Complete_Science_of_Bhakti-Yoga.mp3" TargetMode="External"/><Relationship Id="rId1444" Type="http://schemas.openxmlformats.org/officeDocument/2006/relationships/hyperlink" Target="https://audio.iskcondesiretree.com/01_-_Srila_Prabhupada/01_-_Lectures/01_-_English/02_-_Month_wise/12_-_December/18/SB_1-15-40_LA_1973-12-18_Bondage_and_Freedom.mp3" TargetMode="External"/><Relationship Id="rId1511" Type="http://schemas.openxmlformats.org/officeDocument/2006/relationships/hyperlink" Target="https://audio.iskcondesiretree.com/01_-_Srila_Prabhupada/01_-_Lectures/01_-_English/02_-_Month_wise/01_-_January/10/SB-01-16-13%E2%80%9315_1974-01-10_SB-LOS_ANGELES.MP3" TargetMode="External"/><Relationship Id="rId4667" Type="http://schemas.openxmlformats.org/officeDocument/2006/relationships/hyperlink" Target="https://audio.iskcondesiretree.com/01_-_Srila_Prabhupada/01_-_Lectures/01_-_English/02_-_Month_wise/05_-_May/30/SB_6-01-31_HON_1976-05-30_Krishna%2C_Kindly_Marry_Us.mp3" TargetMode="External"/><Relationship Id="rId5718" Type="http://schemas.openxmlformats.org/officeDocument/2006/relationships/hyperlink" Target="https://audio.iskcondesiretree.com/01_-_Srila_Prabhupada/01_-_Lectures/01_-_English/02_-_Month_wise/02_-_Feburary/19/Conv_1977-02-19_R1-MAYAPUR.MP3" TargetMode="External"/><Relationship Id="rId3269" Type="http://schemas.openxmlformats.org/officeDocument/2006/relationships/hyperlink" Target="https://audio.iskcondesiretree.com/01_-_Srila_Prabhupada/01_-_Lectures/01_-_English/02_-_Month_wise/06_-_June/07/MW_HAW_1975-06-07_Human_Sheep_and_Jackals.mp3" TargetMode="External"/><Relationship Id="rId3683" Type="http://schemas.openxmlformats.org/officeDocument/2006/relationships/hyperlink" Target="https://audio.iskcondesiretree.com/01_-_Srila_Prabhupada/01_-_Lectures/01_-_English/02_-_Month_wise/08_-_August/25/Walk_1975-08-25_MW-VRNDAVAN.MP3" TargetMode="External"/><Relationship Id="rId2285" Type="http://schemas.openxmlformats.org/officeDocument/2006/relationships/hyperlink" Target="https://audio.iskcondesiretree.com/01_-_Srila_Prabhupada/01_-_Lectures/01_-_English/02_-_Month_wise/07_-_July/14/SB-01-16-24_1974-07-14_SB-LOS%20ANGELES.MP3" TargetMode="External"/><Relationship Id="rId3336" Type="http://schemas.openxmlformats.org/officeDocument/2006/relationships/hyperlink" Target="https://audio.iskcondesiretree.com/01_-_Srila_Prabhupada/01_-_Lectures/01_-_English/01_-_Topic_wise/Srimad_Bhagavatam/Canto-06/SP_SB_6-01-08_Los_Angeles_1975-06-21_A_Vaisnavas_Concern.mp3" TargetMode="External"/><Relationship Id="rId4734" Type="http://schemas.openxmlformats.org/officeDocument/2006/relationships/hyperlink" Target="https://audio.iskcondesiretree.com/01_-_Srila_Prabhupada/01_-_Lectures/01_-_English/02_-_Month_wise/06_-_June/11/SB_6-01-45_LA_1976-06-11_Krishna%27s_Central_Intelligence_Agency.mp3" TargetMode="External"/><Relationship Id="rId257" Type="http://schemas.openxmlformats.org/officeDocument/2006/relationships/hyperlink" Target="https://audio.iskcondesiretree.com/01_-_Srila_Prabhupada/01_-_Lectures/01_-_English/02_-_Month_wise/08_-_August/20/SB_7-09-13_MON_1968-08-20_Getting_a_Job_with_the_etc.mp3" TargetMode="External"/><Relationship Id="rId3750" Type="http://schemas.openxmlformats.org/officeDocument/2006/relationships/hyperlink" Target="https://audio.iskcondesiretree.com/01_-_Srila_Prabhupada/01_-_Lectures/01_-_English/02_-_Month_wise/09_-_September/11/SB_6-02-08_VRN_1975-09-11_Chant_Hare_Krishna-No_Loss.mp3" TargetMode="External"/><Relationship Id="rId4801" Type="http://schemas.openxmlformats.org/officeDocument/2006/relationships/hyperlink" Target="https://audio.iskcondesiretree.com/01_-_Srila_Prabhupada/01_-_Lectures/01_-_English/02_-_Month_wise/06_-_June/21/Walk_1976-06-21_MW-TORONTO.MP3" TargetMode="External"/><Relationship Id="rId671" Type="http://schemas.openxmlformats.org/officeDocument/2006/relationships/hyperlink" Target="https://audio.iskcondesiretree.com/01_-_Srila_Prabhupada/01_-_Lectures/01_-_English/02_-_Month_wise/09_-_September/02/Fest_NV_1972-09-02_Vyasa-puja.mp3" TargetMode="External"/><Relationship Id="rId2352" Type="http://schemas.openxmlformats.org/officeDocument/2006/relationships/hyperlink" Target="https://audio.iskcondesiretree.com/01_-_Srila_Prabhupada/01_-_Lectures/01_-_English/01_-_Topic_wise/Bhagavad_Gita/Chapter-07/SP_BG_07-07_Vrindavan_1974-08-13_Everything_Is_Resting_On_Krishna.mp3" TargetMode="External"/><Relationship Id="rId3403" Type="http://schemas.openxmlformats.org/officeDocument/2006/relationships/hyperlink" Target="https://audio.iskcondesiretree.com/01_-_Srila_Prabhupada/01_-_Lectures/01_-_English/01_-_Topic_wise/Morning_Walk/SP_Morning_Walk_-_Denver_1975-06-30_Most_Powerful_Personality.mp3" TargetMode="External"/><Relationship Id="rId324" Type="http://schemas.openxmlformats.org/officeDocument/2006/relationships/hyperlink" Target="https://audio.iskcondesiretree.com/01_-_Srila_Prabhupada/01_-_Lectures/01_-_English/02_-_Month_wise/12_-_December/16/Bg_02-46_LA_1968-12-16_The_Miser_and_the_Mahatma.mp3" TargetMode="External"/><Relationship Id="rId2005" Type="http://schemas.openxmlformats.org/officeDocument/2006/relationships/hyperlink" Target="https://audio.iskcondesiretree.com/01_-_Srila_Prabhupada/01_-_Lectures/01_-_English/02_-_Month_wise/05_-_May/28/Walk_1974-05-28_MW-ROME.MP3" TargetMode="External"/><Relationship Id="rId5575" Type="http://schemas.openxmlformats.org/officeDocument/2006/relationships/hyperlink" Target="https://audio.iskcondesiretree.com/01_-_Srila_Prabhupada/01_-_Lectures/01_-_English/02_-_Month_wise/01_-_January/08/Conv_1977-01-08_R5-BOMBAY.MP3" TargetMode="External"/><Relationship Id="rId1021" Type="http://schemas.openxmlformats.org/officeDocument/2006/relationships/hyperlink" Target="https://audio.iskcondesiretree.com/01_-_Srila_Prabhupada/01_-_Lectures/01_-_English/01_-_Topic_wise/Various/SP_Lecture_Dallas_1973-05-19_Why_We_Can%27t_Forget_About_God.mp3" TargetMode="External"/><Relationship Id="rId4177" Type="http://schemas.openxmlformats.org/officeDocument/2006/relationships/hyperlink" Target="https://audio.iskcondesiretree.com/01_-_Srila_Prabhupada/01_-_Lectures/01_-_English/02_-_Month_wise/01_-_January/08/Walk_1976-01-08_MW-NELLORE.MP3" TargetMode="External"/><Relationship Id="rId4591" Type="http://schemas.openxmlformats.org/officeDocument/2006/relationships/hyperlink" Target="https://audio.iskcondesiretree.com/01_-_Srila_Prabhupada/01_-_Lectures/01_-_English/01_-_Topic_wise/Morning_Walk/SP_Morning_Walk_-_Honolulu_1976-05-12_Dance_Eat_and_Live_Eternally.mp3" TargetMode="External"/><Relationship Id="rId5228" Type="http://schemas.openxmlformats.org/officeDocument/2006/relationships/hyperlink" Target="https://audio.iskcondesiretree.com/01_-_Srila_Prabhupada/01_-_Lectures/01_-_English/02_-_Month_wise/09_-_September/13/SB_1-07-15_VRN_1976-09-13_The_Mammoth_Mantra.mp3" TargetMode="External"/><Relationship Id="rId5642" Type="http://schemas.openxmlformats.org/officeDocument/2006/relationships/hyperlink" Target="https://audio.iskcondesiretree.com/01_-_Srila_Prabhupada/01_-_Lectures/01_-_English/02_-_Month_wise/01_-_January/27/Conv_1977-01-27_R2-PURI.MP3" TargetMode="External"/><Relationship Id="rId3193" Type="http://schemas.openxmlformats.org/officeDocument/2006/relationships/hyperlink" Target="https://audio.iskcondesiretree.com/01_-_Srila_Prabhupada/01_-_Lectures/01_-_English/02_-_Month_wise/05_-_May/17/Walk_1975-05-17_MW-PERTH.MP3" TargetMode="External"/><Relationship Id="rId4244" Type="http://schemas.openxmlformats.org/officeDocument/2006/relationships/hyperlink" Target="https://audio.iskcondesiretree.com/01_-_Srila_Prabhupada/01_-_Lectures/01_-_English/01_-_Topic_wise/Srimad_Bhagavatam/Canto-07/SP_SB_7-09-10_Mayapur_1976-02-17_Every_Dog_Has_His_Pride.mp3" TargetMode="External"/><Relationship Id="rId1838" Type="http://schemas.openxmlformats.org/officeDocument/2006/relationships/hyperlink" Target="https://audio.iskcondesiretree.com/01_-_Srila_Prabhupada/01_-_Lectures/01_-_English/02_-_Month_wise/04_-_April/07/Bg_04-18_BOM_1974-04-07_The_Highest_Success_in_Life.mp3" TargetMode="External"/><Relationship Id="rId3260" Type="http://schemas.openxmlformats.org/officeDocument/2006/relationships/hyperlink" Target="https://audio.iskcondesiretree.com/01_-_Srila_Prabhupada/01_-_Lectures/01_-_English/01_-_Topic_wise/Morning_Walk/SP_Morning_Walk_-_Honolulu_1975-06-02.MP3" TargetMode="External"/><Relationship Id="rId4311" Type="http://schemas.openxmlformats.org/officeDocument/2006/relationships/hyperlink" Target="https://audio.iskcondesiretree.com/01_-_Srila_Prabhupada/01_-_Lectures/01_-_English/01_-_Topic_wise/Srimad_Bhagavatam/Canto-07/SP_SB_7-09-26_Mayapur_1976-03-04_Krishna%27s_Touch.mp3" TargetMode="External"/><Relationship Id="rId181" Type="http://schemas.openxmlformats.org/officeDocument/2006/relationships/hyperlink" Target="https://audio.iskcondesiretree.com/01_-_Srila_Prabhupada/01_-_Lectures/01_-_English/02_-_Month_wise/12_-_December/20/Cc_M_20-298_NY_1966-12-20_Gunavataras-The_etc.mp3" TargetMode="External"/><Relationship Id="rId1905" Type="http://schemas.openxmlformats.org/officeDocument/2006/relationships/hyperlink" Target="https://audio.iskcondesiretree.com/01_-_Srila_Prabhupada/01_-_Lectures/01_-_English/02_-_Month_wise/04_-_April/20/Bg_13-04_HYD_1974-04-20_The_Knowledge_from_Narayana.mp3" TargetMode="External"/><Relationship Id="rId6069" Type="http://schemas.openxmlformats.org/officeDocument/2006/relationships/hyperlink" Target="https://audio.iskcondesiretree.com/01_-_Srila_Prabhupada/01_-_Lectures/01_-_English/01_-_Topic_wise/Krishna_Book/SP_Krsna_Book_Dict_21_-_The_Gopis_Attracted_by_the_Flute.mp3" TargetMode="External"/><Relationship Id="rId5085" Type="http://schemas.openxmlformats.org/officeDocument/2006/relationships/hyperlink" Target="https://audio.iskcondesiretree.com/01_-_Srila_Prabhupada/01_-_Lectures/01_-_English/02_-_Month_wise/08_-_August/10/Darshan_1976-08-10_ED-TEHRAN.MP3" TargetMode="External"/><Relationship Id="rId998" Type="http://schemas.openxmlformats.org/officeDocument/2006/relationships/hyperlink" Target="https://audio.iskcondesiretree.com/01_-_Srila_Prabhupada/01_-_Lectures/01_-_English/02_-_Month_wise/05_-_May/08/SB_1-08-46_LA_1973-05-08_The_Ksatriya_Spirit.mp3" TargetMode="External"/><Relationship Id="rId2679" Type="http://schemas.openxmlformats.org/officeDocument/2006/relationships/hyperlink" Target="https://audio.iskcondesiretree.com/01_-_Srila_Prabhupada/01_-_Lectures/01_-_English/02_-_Month_wise/01_-_January/06/SB_3-26-29_BOM_1975-01-06_This_Body_Is_Imitation.mp3" TargetMode="External"/><Relationship Id="rId6136" Type="http://schemas.openxmlformats.org/officeDocument/2006/relationships/hyperlink" Target="https://audio.iskcondesiretree.com/01_-_Srila_Prabhupada/01_-_Lectures/01_-_English/01_-_Topic_wise/Stories/SP_Story_12_Dr.mp3" TargetMode="External"/><Relationship Id="rId1695" Type="http://schemas.openxmlformats.org/officeDocument/2006/relationships/hyperlink" Target="https://audio.iskcondesiretree.com/01_-_Srila_Prabhupada/01_-_Lectures/01_-_English/02_-_Month_wise/03_-_March/10/Lecture%E2%80%93Bengali_1974-03-10_LE-CALCUTTA.MP3" TargetMode="External"/><Relationship Id="rId2746" Type="http://schemas.openxmlformats.org/officeDocument/2006/relationships/hyperlink" Target="https://audio.iskcondesiretree.com/01_-_Srila_Prabhupada/01_-_Lectures/01_-_English/01_-_Topic_wise/Bhagavad_Gita/Chapter-16/SP_BG_16-05_Hawaii_1975-01-31_Becoming_a_Dog.mp3" TargetMode="External"/><Relationship Id="rId5152" Type="http://schemas.openxmlformats.org/officeDocument/2006/relationships/hyperlink" Target="https://audio.iskcondesiretree.com/01_-_Srila_Prabhupada/01_-_Lectures/01_-_English/02_-_Month_wise/08_-_August/22/RC_HYD_1976-08-22_A_Favorable_Newspaper_Article.mp3" TargetMode="External"/><Relationship Id="rId6203" Type="http://schemas.openxmlformats.org/officeDocument/2006/relationships/hyperlink" Target="https://audio.iskcondesiretree.com/01_-_Srila_Prabhupada/01_-_Lectures/03_-_Hindi/SP_Hindi_31_Lectures_%26_Conversations.mp3" TargetMode="External"/><Relationship Id="rId718" Type="http://schemas.openxmlformats.org/officeDocument/2006/relationships/hyperlink" Target="https://audio.iskcondesiretree.com/01_-_Srila_Prabhupada/01_-_Lectures/01_-_English/01_-_Topic_wise/Srimad_Bhagavatam/Canto-01/SP_SB_1-03-28_Los_Angeles_1972-10-03_ISKCON_Is_Incarnation_of_Krishna.mp3" TargetMode="External"/><Relationship Id="rId1348" Type="http://schemas.openxmlformats.org/officeDocument/2006/relationships/hyperlink" Target="https://audio.iskcondesiretree.com/01_-_Srila_Prabhupada/01_-_Lectures/01_-_English/02_-_Month_wise/11_-_November/03/RC_DEL_1973-11-03_Krishna%27s_Special_Favor_Upon_Srila_Prabhupada.mp3" TargetMode="External"/><Relationship Id="rId1762" Type="http://schemas.openxmlformats.org/officeDocument/2006/relationships/hyperlink" Target="https://audio.iskcondesiretree.com/01_-_Srila_Prabhupada/01_-_Lectures/01_-_English/02_-_Month_wise/03_-_March/26/Bg-04-06_1974-03-26_BG-BOMBAY.MP3" TargetMode="External"/><Relationship Id="rId1415" Type="http://schemas.openxmlformats.org/officeDocument/2006/relationships/hyperlink" Target="https://audio.iskcondesiretree.com/01_-_Srila_Prabhupada/01_-_Lectures/01_-_English/01_-_Topic_wise/Srimad_Bhagavatam/Canto-01/SP_SB_1-15-34_Los_Angeles_1973-12-12_Demonic_Means_Puffed_Up.mp3" TargetMode="External"/><Relationship Id="rId2813" Type="http://schemas.openxmlformats.org/officeDocument/2006/relationships/hyperlink" Target="https://audio.iskcondesiretree.com/01_-_Srila_Prabhupada/01_-_Lectures/01_-_English/02_-_Month_wise/02_-_Feburary/17/Bg-02-17_1975-02-17_BG-MEXICO%20CITY.MP3" TargetMode="External"/><Relationship Id="rId5969" Type="http://schemas.openxmlformats.org/officeDocument/2006/relationships/hyperlink" Target="https://audio.iskcondesiretree.com/01_-_Srila_Prabhupada/01_-_Lectures/01_-_English/02_-_Month_wise/10_-_October/27/Conv_1977-10-27_R1-VRNDAVAN.MP3" TargetMode="External"/><Relationship Id="rId54" Type="http://schemas.openxmlformats.org/officeDocument/2006/relationships/hyperlink" Target="https://audio.iskcondesiretree.com/01_-_Srila_Prabhupada/01_-_Lectures/01_-_English/01_-_Topic_wise/Bhagavad_Gita/Chapter-04/SP_BG_04-13-14_New_York_1966-08-01_Divisions_of_Human_Society.mp3" TargetMode="External"/><Relationship Id="rId4985" Type="http://schemas.openxmlformats.org/officeDocument/2006/relationships/hyperlink" Target="https://audio.iskcondesiretree.com/01_-_Srila_Prabhupada/01_-_Lectures/01_-_English/01_-_Topic_wise/Interview/SP_Interview_New_York_1976-07-17_Trans_India_Magazine--Life%2C--etc.mp3" TargetMode="External"/><Relationship Id="rId2189" Type="http://schemas.openxmlformats.org/officeDocument/2006/relationships/hyperlink" Target="https://audio.iskcondesiretree.com/01_-_Srila_Prabhupada/01_-_Lectures/01_-_English/02_-_Month_wise/06_-_June/23/Bg-02-14_1974-06-23_BG-GERMANY.MP3" TargetMode="External"/><Relationship Id="rId3587" Type="http://schemas.openxmlformats.org/officeDocument/2006/relationships/hyperlink" Target="https://audio.iskcondesiretree.com/01_-_Srila_Prabhupada/01_-_Lectures/01_-_English/02_-_Month_wise/07_-_July/25/Walk_1975-07-25_MW-LOS%20ANGELES.MP3" TargetMode="External"/><Relationship Id="rId4638" Type="http://schemas.openxmlformats.org/officeDocument/2006/relationships/hyperlink" Target="https://audio.iskcondesiretree.com/01_-_Srila_Prabhupada/01_-_Lectures/01_-_English/02_-_Month_wise/05_-_May/23/SB-06-01-23_1976-05-23_SB-HONOLULU.MP3" TargetMode="External"/><Relationship Id="rId6060" Type="http://schemas.openxmlformats.org/officeDocument/2006/relationships/hyperlink" Target="https://audio.iskcondesiretree.com/01_-_Srila_Prabhupada/01_-_Lectures/01_-_English/01_-_Topic_wise/Krishna_Book/SP_Krsna_Book_Dict_12_-_The_Killing_of_the_Aghasura_Demon.mp3" TargetMode="External"/><Relationship Id="rId3654" Type="http://schemas.openxmlformats.org/officeDocument/2006/relationships/hyperlink" Target="https://audio.iskcondesiretree.com/01_-_Srila_Prabhupada/01_-_Lectures/01_-_English/01_-_Topic_wise/Srimad_Bhagavatam/Canto-06/SP_SB_6-12-24-35_Paris_1975-08-11.MP3" TargetMode="External"/><Relationship Id="rId4705" Type="http://schemas.openxmlformats.org/officeDocument/2006/relationships/hyperlink" Target="https://audio.iskcondesiretree.com/01_-_Srila_Prabhupada/01_-_Lectures/01_-_English/01_-_Topic_wise/Room_Conversation/SP_Room_Conversation_Los_Angeles_1976-06-08_Prabhupada%27s_Journey_to_America.mp3" TargetMode="External"/><Relationship Id="rId575" Type="http://schemas.openxmlformats.org/officeDocument/2006/relationships/hyperlink" Target="https://audio.iskcondesiretree.com/01_-_Srila_Prabhupada/01_-_Lectures/01_-_English/02_-_Month_wise/05_-_May/20/SB_2-03-02_LA_1972-05-20_Why_Are_You_Going_to_Hell.mp3" TargetMode="External"/><Relationship Id="rId2256" Type="http://schemas.openxmlformats.org/officeDocument/2006/relationships/hyperlink" Target="https://audio.iskcondesiretree.com/01_-_Srila_Prabhupada/01_-_Lectures/01_-_English/01_-_Topic_wise/Srimad_Bhagavatam/Canto-01/SP_SB_1-16-19_Los_Angeles_1974-07-09_Everyone_Is_Spirit-Servant.mp3" TargetMode="External"/><Relationship Id="rId2670" Type="http://schemas.openxmlformats.org/officeDocument/2006/relationships/hyperlink" Target="https://audio.iskcondesiretree.com/01_-_Srila_Prabhupada/01_-_Lectures/01_-_English/02_-_Month_wise/01_-_January/03/SB_3-26-26_BOM_1975-01-03_Breaking_Our_Karmic_Chains.mp3" TargetMode="External"/><Relationship Id="rId3307" Type="http://schemas.openxmlformats.org/officeDocument/2006/relationships/hyperlink" Target="https://audio.iskcondesiretree.com/01_-_Srila_Prabhupada/01_-_Lectures/01_-_English/02_-_Month_wise/06_-_June/16/Conv_1975-06-16_R1-HONOLULU.MP3" TargetMode="External"/><Relationship Id="rId3721" Type="http://schemas.openxmlformats.org/officeDocument/2006/relationships/hyperlink" Target="https://audio.iskcondesiretree.com/01_-_Srila_Prabhupada/01_-_Lectures/01_-_English/02_-_Month_wise/09_-_September/04/SB_6-01-68_VRN_1975-09-04_Don%27t_Infect_Yourself_with_etc.mp3" TargetMode="External"/><Relationship Id="rId228" Type="http://schemas.openxmlformats.org/officeDocument/2006/relationships/hyperlink" Target="https://audio.iskcondesiretree.com/01_-_Srila_Prabhupada/01_-_Lectures/01_-_English/01_-_Topic_wise/Interview/SP_Interview_San_Francisco_1968-03-09_Radio--KPFK_LA--Transfer_Your--etc.mp3" TargetMode="External"/><Relationship Id="rId642" Type="http://schemas.openxmlformats.org/officeDocument/2006/relationships/hyperlink" Target="https://audio.iskcondesiretree.com/01_-_Srila_Prabhupada/01_-_Lectures/01_-_English/01_-_Topic_wise/Srimad_Bhagavatam/Canto-01/SP_SB_1-02-12_Los_Angeles_1972-08-15_Become_Very_Eager_to_See_Krishna.mp3" TargetMode="External"/><Relationship Id="rId1272" Type="http://schemas.openxmlformats.org/officeDocument/2006/relationships/hyperlink" Target="https://audio.iskcondesiretree.com/01_-_Srila_Prabhupada/01_-_Lectures/01_-_English/02_-_Month_wise/09_-_September/09/Lect_STO_1973-09-09_To_Students_on_etc.mp3" TargetMode="External"/><Relationship Id="rId2323" Type="http://schemas.openxmlformats.org/officeDocument/2006/relationships/hyperlink" Target="https://audio.iskcondesiretree.com/01_-_Srila_Prabhupada/01_-_Lectures/01_-_English/01_-_Topic_wise/Srimad_Bhagavatam/Canto-01/SP_SB_1-05-25_Vrindavan_1974-08-06_Self_Attraction-Dirty_or_Divine.mp3" TargetMode="External"/><Relationship Id="rId5479" Type="http://schemas.openxmlformats.org/officeDocument/2006/relationships/hyperlink" Target="https://audio.iskcondesiretree.com/01_-_Srila_Prabhupada/01_-_Lectures/01_-_English/02_-_Month_wise/12_-_December/09/Conv_1976-12-09_R1-HYDERABAD.MP3" TargetMode="External"/><Relationship Id="rId5893" Type="http://schemas.openxmlformats.org/officeDocument/2006/relationships/hyperlink" Target="https://audio.iskcondesiretree.com/01_-_Srila_Prabhupada/01_-_Lectures/01_-_English/02_-_Month_wise/06_-_June/30/Conv_1977-06-30_R1-VRNDAVAN.MP3" TargetMode="External"/><Relationship Id="rId4495" Type="http://schemas.openxmlformats.org/officeDocument/2006/relationships/hyperlink" Target="https://audio.iskcondesiretree.com/01_-_Srila_Prabhupada/01_-_Lectures/01_-_English/01_-_Topic_wise/Bhagavad_Gita/Chapter-09/SP_BG_09-01_Melbourne_1976-04-19_Craft_vs._Knowledge.mp3" TargetMode="External"/><Relationship Id="rId5546" Type="http://schemas.openxmlformats.org/officeDocument/2006/relationships/hyperlink" Target="https://audio.iskcondesiretree.com/01_-_Srila_Prabhupada/01_-_Lectures/01_-_English/02_-_Month_wise/12_-_December/31/Conv_1976-12-31_R2-BOMBAY.MP3" TargetMode="External"/><Relationship Id="rId3097" Type="http://schemas.openxmlformats.org/officeDocument/2006/relationships/hyperlink" Target="https://audio.iskcondesiretree.com/01_-_Srila_Prabhupada/01_-_Lectures/01_-_English/02_-_Month_wise/04_-_April/12/SB-05-05-02_1975-04-12_SB-HYDERABAD.MP3" TargetMode="External"/><Relationship Id="rId4148" Type="http://schemas.openxmlformats.org/officeDocument/2006/relationships/hyperlink" Target="https://audio.iskcondesiretree.com/01_-_Srila_Prabhupada/01_-_Lectures/01_-_English/02_-_Month_wise/01_-_January/02/Walk_1976-01-02_MW-MADRAS.MP3" TargetMode="External"/><Relationship Id="rId5960" Type="http://schemas.openxmlformats.org/officeDocument/2006/relationships/hyperlink" Target="https://audio.iskcondesiretree.com/01_-_Srila_Prabhupada/01_-_Lectures/01_-_English/02_-_Month_wise/10_-_October/20/Conv_1977-10-20_R1-VRNDAVAN.MP3" TargetMode="External"/><Relationship Id="rId3164" Type="http://schemas.openxmlformats.org/officeDocument/2006/relationships/hyperlink" Target="https://audio.iskcondesiretree.com/01_-_Srila_Prabhupada/01_-_Lectures/01_-_English/01_-_Topic_wise/Morning_Walk/SP_Morning_Walk_-_Perth_1975-05-12.MP3" TargetMode="External"/><Relationship Id="rId4562" Type="http://schemas.openxmlformats.org/officeDocument/2006/relationships/hyperlink" Target="https://audio.iskcondesiretree.com/01_-_Srila_Prabhupada/01_-_Lectures/01_-_English/02_-_Month_wise/05_-_May/03/Conv_1976-05-03_R1-HONOLULU.MP3" TargetMode="External"/><Relationship Id="rId5613" Type="http://schemas.openxmlformats.org/officeDocument/2006/relationships/hyperlink" Target="https://audio.iskcondesiretree.com/01_-_Srila_Prabhupada/01_-_Lectures/01_-_English/02_-_Month_wise/01_-_January/21/Lecture_1977-01-21_LE-BHUBANESWAR.MP3" TargetMode="External"/><Relationship Id="rId1809" Type="http://schemas.openxmlformats.org/officeDocument/2006/relationships/hyperlink" Target="https://audio.iskcondesiretree.com/01_-_Srila_Prabhupada/01_-_Lectures/01_-_English/02_-_Month_wise/04_-_April/02/MW_BOM_1974-04-02_Krishna_Eats_from_Devotee%27s_Hand.mp3" TargetMode="External"/><Relationship Id="rId4215" Type="http://schemas.openxmlformats.org/officeDocument/2006/relationships/hyperlink" Target="https://audio.iskcondesiretree.com/01_-_Srila_Prabhupada/01_-_Lectures/01_-_English/02_-_Month_wise/02_-_Feburary/06/MW_MAY_1976-02-06_The_Fighting_Philosophy.mp3" TargetMode="External"/><Relationship Id="rId2180" Type="http://schemas.openxmlformats.org/officeDocument/2006/relationships/hyperlink" Target="https://audio.iskcondesiretree.com/01_-_Srila_Prabhupada/01_-_Lectures/01_-_English/01_-_Topic_wise/Morning_Walk/SP_Morning_Walk_-_Germany_1974-06-22.mp3" TargetMode="External"/><Relationship Id="rId3231" Type="http://schemas.openxmlformats.org/officeDocument/2006/relationships/hyperlink" Target="https://audio.iskcondesiretree.com/01_-_Srila_Prabhupada/01_-_Lectures/01_-_English/02_-_Month_wise/05_-_May/22/RC_MEL_1975-05-22_Lawyers-If_One_Doesn%27t_Know_What_etc.mp3" TargetMode="External"/><Relationship Id="rId152" Type="http://schemas.openxmlformats.org/officeDocument/2006/relationships/hyperlink" Target="https://audio.iskcondesiretree.com/01_-_Srila_Prabhupada/01_-_Lectures/01_-_English/01_-_Topic_wise/Chaitanya_Charitamrita/Madhya_Lila/SP_CC_M_20-154_New_York_1966-12-07_Can_There_Be_Peace_Without--etc.mp3" TargetMode="External"/><Relationship Id="rId2997" Type="http://schemas.openxmlformats.org/officeDocument/2006/relationships/hyperlink" Target="https://audio.iskcondesiretree.com/01_-_Srila_Prabhupada/01_-_Lectures/01_-_English/02_-_Month_wise/03_-_March/27/Cc_A_1-03_MAY_1975-03-27_My_My_My_What_Ignorance.mp3" TargetMode="External"/><Relationship Id="rId969" Type="http://schemas.openxmlformats.org/officeDocument/2006/relationships/hyperlink" Target="https://audio.iskcondesiretree.com/01_-_Srila_Prabhupada/01_-_Lectures/01_-_English/01_-_Topic_wise/Srimad_Bhagavatam/Canto-01/SP_SB_1-08-33_Los_Angeles_1973-04-25_Converting_Crows_Into_Swans.mp3" TargetMode="External"/><Relationship Id="rId1599" Type="http://schemas.openxmlformats.org/officeDocument/2006/relationships/hyperlink" Target="https://audio.iskcondesiretree.com/01_-_Srila_Prabhupada/01_-_Lectures/01_-_English/01_-_Topic_wise/Room_Conversation/SP_Room_Conversation_Vrindavan_1974-02-09.mp3" TargetMode="External"/><Relationship Id="rId5056" Type="http://schemas.openxmlformats.org/officeDocument/2006/relationships/hyperlink" Target="https://audio.iskcondesiretree.com/01_-_Srila_Prabhupada/01_-_Lectures/01_-_English/02_-_Month_wise/08_-_August/03/Conv_1976-08-03_R2-NEW%20MAYAPUR.MP3" TargetMode="External"/><Relationship Id="rId5470" Type="http://schemas.openxmlformats.org/officeDocument/2006/relationships/hyperlink" Target="https://audio.iskcondesiretree.com/01_-_Srila_Prabhupada/01_-_Lectures/01_-_English/01_-_Topic_wise/Room_Conversation/SP_Room_Conversation_Hyderabad_1976-12-03_Evening_Darshan.mp3" TargetMode="External"/><Relationship Id="rId6107" Type="http://schemas.openxmlformats.org/officeDocument/2006/relationships/hyperlink" Target="https://audio.iskcondesiretree.com/01_-_Srila_Prabhupada/01_-_Lectures/01_-_English/01_-_Topic_wise/Krishna_Book/SP_Krsna_Book_Dict_73_-_Krishna_Returns_To_Hastinapura.mp3" TargetMode="External"/><Relationship Id="rId4072" Type="http://schemas.openxmlformats.org/officeDocument/2006/relationships/hyperlink" Target="https://audio.iskcondesiretree.com/01_-_Srila_Prabhupada/01_-_Lectures/01_-_English/02_-_Month_wise/12_-_December/10/MW_VRN_1975-12-10_Why_Doesn%27t_Swamiji_Like_Women.mp3" TargetMode="External"/><Relationship Id="rId5123" Type="http://schemas.openxmlformats.org/officeDocument/2006/relationships/hyperlink" Target="https://audio.iskcondesiretree.com/01_-_Srila_Prabhupada/01_-_Lectures/01_-_English/01_-_Topic_wise/Interview/SP_Interview_Hyderabad_1976-08-17_Press--Spiritual_Re-education--etc.mp3" TargetMode="External"/><Relationship Id="rId1666" Type="http://schemas.openxmlformats.org/officeDocument/2006/relationships/hyperlink" Target="https://audio.iskcondesiretree.com/01_-_Srila_Prabhupada/01_-_Lectures/01_-_English/01_-_Topic_wise/Morning_Walk/SP_Morning_Walk_-_Mayapur_1974-03-02.mp3" TargetMode="External"/><Relationship Id="rId2717" Type="http://schemas.openxmlformats.org/officeDocument/2006/relationships/hyperlink" Target="https://audio.iskcondesiretree.com/01_-_Srila_Prabhupada/01_-_Lectures/01_-_English/02_-_Month_wise/01_-_January/21/SB-03-26-46_1975-01-21_SB-BOMBAY.MP3" TargetMode="External"/><Relationship Id="rId1319" Type="http://schemas.openxmlformats.org/officeDocument/2006/relationships/hyperlink" Target="https://audio.iskcondesiretree.com/01_-_Srila_Prabhupada/01_-_Lectures/01_-_English/01_-_Topic_wise/Bhagavad_Gita/Chapter-13/SP_BG_13-19_Bombay_1973-10-13_Object_of_Knowledge.mp3" TargetMode="External"/><Relationship Id="rId1733" Type="http://schemas.openxmlformats.org/officeDocument/2006/relationships/hyperlink" Target="https://audio.iskcondesiretree.com/01_-_Srila_Prabhupada/01_-_Lectures/01_-_English/02_-_Month_wise/03_-_March/19/SB-02-01-04_1974-03-19_SB-VRNDAVAN.MP3" TargetMode="External"/><Relationship Id="rId4889" Type="http://schemas.openxmlformats.org/officeDocument/2006/relationships/hyperlink" Target="https://audio.iskcondesiretree.com/01_-_Srila_Prabhupada/01_-_Lectures/01_-_English/02_-_Month_wise/07_-_July/04/LifeComesFromLife_1976-07-04_SS-WASHINGTON%20DC.MP3" TargetMode="External"/><Relationship Id="rId25" Type="http://schemas.openxmlformats.org/officeDocument/2006/relationships/hyperlink" Target="https://audio.iskcondesiretree.com/01_-_Srila_Prabhupada/01_-_Lectures/01_-_English/02_-_Month_wise/04_-_April/05/Bg_02-49_NY_1966-04-05_One_Should_Spend_All_Energies_etc.mp3" TargetMode="External"/><Relationship Id="rId1800" Type="http://schemas.openxmlformats.org/officeDocument/2006/relationships/hyperlink" Target="https://audio.iskcondesiretree.com/01_-_Srila_Prabhupada/01_-_Lectures/01_-_English/02_-_Month_wise/04_-_April/01/CornerStone_1974-04-01_CS-BOMBAY.MP3" TargetMode="External"/><Relationship Id="rId4956" Type="http://schemas.openxmlformats.org/officeDocument/2006/relationships/hyperlink" Target="https://audio.iskcondesiretree.com/01_-_Srila_Prabhupada/01_-_Lectures/01_-_English/02_-_Month_wise/07_-_July/12/Bg-play_1976-07-12_BG-NEW%20YORK.MP3" TargetMode="External"/><Relationship Id="rId3558" Type="http://schemas.openxmlformats.org/officeDocument/2006/relationships/hyperlink" Target="https://audio.iskcondesiretree.com/01_-_Srila_Prabhupada/01_-_Lectures/01_-_English/01_-_Topic_wise/Morning_Walk/SP_Morning_Walk_-_San_Francisco_1975-07-20_Life_from_Chemicals-Prove_by_Experiment.mp3" TargetMode="External"/><Relationship Id="rId3972" Type="http://schemas.openxmlformats.org/officeDocument/2006/relationships/hyperlink" Target="https://audio.iskcondesiretree.com/01_-_Srila_Prabhupada/01_-_Lectures/01_-_English/02_-_Month_wise/11_-_November/10/MW_BOM_1975-11-10_Nationalism_Is_Irrationalism.mp3" TargetMode="External"/><Relationship Id="rId4609" Type="http://schemas.openxmlformats.org/officeDocument/2006/relationships/hyperlink" Target="https://audio.iskcondesiretree.com/01_-_Srila_Prabhupada/01_-_Lectures/01_-_English/02_-_Month_wise/05_-_May/15/SB-06-01-15_1976-05-15_SB-HONOLULU.MP3" TargetMode="External"/><Relationship Id="rId479" Type="http://schemas.openxmlformats.org/officeDocument/2006/relationships/hyperlink" Target="https://audio.iskcondesiretree.com/01_-_Srila_Prabhupada/01_-_Lectures/01_-_English/02_-_Month_wise/09_-_September/17/SB_5-05-02_LON_1969-09-17_We_Spirit_Souls_Have_Immense_Power.mp3" TargetMode="External"/><Relationship Id="rId893" Type="http://schemas.openxmlformats.org/officeDocument/2006/relationships/hyperlink" Target="https://audio.iskcondesiretree.com/01_-_Srila_Prabhupada/01_-_Lectures/01_-_English/02_-_Month_wise/01_-_January/07/NOD_Pg-17_BOM_1973-01-07_Somehow_or_Other_etc.mp3" TargetMode="External"/><Relationship Id="rId2574" Type="http://schemas.openxmlformats.org/officeDocument/2006/relationships/hyperlink" Target="https://audio.iskcondesiretree.com/01_-_Srila_Prabhupada/01_-_Lectures/01_-_English/02_-_Month_wise/12_-_December/02/SB-03-25-32_1974-12-02_SB-BOMBAY.MP3" TargetMode="External"/><Relationship Id="rId3625" Type="http://schemas.openxmlformats.org/officeDocument/2006/relationships/hyperlink" Target="https://audio.iskcondesiretree.com/01_-_Srila_Prabhupada/01_-_Lectures/01_-_English/02_-_Month_wise/08_-_August/01/SB_6-01-49_NO_1975-08-01_Take_Advantage_of_the_Sastra.mp3" TargetMode="External"/><Relationship Id="rId6031" Type="http://schemas.openxmlformats.org/officeDocument/2006/relationships/hyperlink" Target="https://audio.iskcondesiretree.com/01_-_Srila_Prabhupada/01_-_Lectures/01_-_English/01_-_Topic_wise/Various/SP_Lecture_Los_Angeles_1970-02-00_Vedanta_Sutra.mp3" TargetMode="External"/><Relationship Id="rId546" Type="http://schemas.openxmlformats.org/officeDocument/2006/relationships/hyperlink" Target="https://audio.iskcondesiretree.com/01_-_Srila_Prabhupada/01_-_Lectures/01_-_English/01_-_Topic_wise/Srimad_Bhagavatam/Canto-06/SP_SB_6-01-08_New_York_1971-07-22_Krishna_Is--etc.mp3" TargetMode="External"/><Relationship Id="rId1176" Type="http://schemas.openxmlformats.org/officeDocument/2006/relationships/hyperlink" Target="https://audio.iskcondesiretree.com/01_-_Srila_Prabhupada/01_-_Lectures/01_-_English/01_-_Topic_wise/Room_Conversation/SP_Room_Conversation_Paris_1973-08-13_Sanskrit_Prof--Any_Sane_Man_Will--etc.mp3" TargetMode="External"/><Relationship Id="rId2227" Type="http://schemas.openxmlformats.org/officeDocument/2006/relationships/hyperlink" Target="https://audio.iskcondesiretree.com/01_-_Srila_Prabhupada/01_-_Lectures/01_-_English/01_-_Topic_wise/Various/SP_Lecture_Initiation_Ceremony_Melbourne_1974-07-01.mp3" TargetMode="External"/><Relationship Id="rId960" Type="http://schemas.openxmlformats.org/officeDocument/2006/relationships/hyperlink" Target="https://audio.iskcondesiretree.com/01_-_Srila_Prabhupada/01_-_Lectures/01_-_English/02_-_Month_wise/04_-_April/20/SB_1-08-28_LA_1973-04-20_Krishna_Is_Equal_to_Everyone.mp3" TargetMode="External"/><Relationship Id="rId1243" Type="http://schemas.openxmlformats.org/officeDocument/2006/relationships/hyperlink" Target="https://audio.iskcondesiretree.com/01_-_Srila_Prabhupada/01_-_Lectures/01_-_English/01_-_Topic_wise/Room_Conversation/SP_Room_Conversation_London_1973-09-02_We_Can_Defy_All_the_Rascals.mp3" TargetMode="External"/><Relationship Id="rId1590" Type="http://schemas.openxmlformats.org/officeDocument/2006/relationships/hyperlink" Target="https://audio.iskcondesiretree.com/01_-_Srila_Prabhupada/01_-_Lectures/01_-_English/01_-_Topic_wise/Bhagavad_Gita/Chapter-04/SP_BG_04-01_Vrindavan_1974-02-07.mp3" TargetMode="External"/><Relationship Id="rId2641" Type="http://schemas.openxmlformats.org/officeDocument/2006/relationships/hyperlink" Target="https://audio.iskcondesiretree.com/01_-_Srila_Prabhupada/01_-_Lectures/01_-_English/02_-_Month_wise/12_-_December/24/SB_3-26-15_BOM_1974-12-24_Maya_Is_Krishna%27s.mp3" TargetMode="External"/><Relationship Id="rId4399" Type="http://schemas.openxmlformats.org/officeDocument/2006/relationships/hyperlink" Target="https://audio.iskcondesiretree.com/01_-_Srila_Prabhupada/01_-_Lectures/01_-_English/02_-_Month_wise/03_-_March/24/Conv_1976-03-24_R1-CALCUTTA.MP3" TargetMode="External"/><Relationship Id="rId5797" Type="http://schemas.openxmlformats.org/officeDocument/2006/relationships/hyperlink" Target="https://audio.iskcondesiretree.com/01_-_Srila_Prabhupada/01_-_Lectures/01_-_English/02_-_Month_wise/04_-_April/11/Conv_1977-04-11_R1-BOMBAY.MP3" TargetMode="External"/><Relationship Id="rId613" Type="http://schemas.openxmlformats.org/officeDocument/2006/relationships/hyperlink" Target="https://audio.iskcondesiretree.com/01_-_Srila_Prabhupada/01_-_Lectures/01_-_English/02_-_Month_wise/06_-_June/19/SB_2-03-22_LA_1972-06-19_Peacock-plume_Eyes.mp3" TargetMode="External"/><Relationship Id="rId5864" Type="http://schemas.openxmlformats.org/officeDocument/2006/relationships/hyperlink" Target="https://audio.iskcondesiretree.com/01_-_Srila_Prabhupada/01_-_Lectures/01_-_English/02_-_Month_wise/05_-_May/25/Conv_1977-05-25_R2-VRNDAVAN.MP3" TargetMode="External"/><Relationship Id="rId1310" Type="http://schemas.openxmlformats.org/officeDocument/2006/relationships/hyperlink" Target="https://audio.iskcondesiretree.com/01_-_Srila_Prabhupada/01_-_Lectures/01_-_English/02_-_Month_wise/10_-_October/07/Bg_13-14_BOM_1973-10-07_Nondevotees_Miss_the_Object.mp3" TargetMode="External"/><Relationship Id="rId4466" Type="http://schemas.openxmlformats.org/officeDocument/2006/relationships/hyperlink" Target="https://audio.iskcondesiretree.com/01_-_Srila_Prabhupada/01_-_Lectures/01_-_English/01_-_Topic_wise/Srimad_Bhagavatam/Canto-07/SP_SB_7-12-02_Bombay_1976-04-13_Hippie_Population.mp3" TargetMode="External"/><Relationship Id="rId4880" Type="http://schemas.openxmlformats.org/officeDocument/2006/relationships/hyperlink" Target="https://audio.iskcondesiretree.com/01_-_Srila_Prabhupada/01_-_Lectures/01_-_English/02_-_Month_wise/07_-_July/02/SB_7-06-19_NV_1976-07-02_Material_Service_Nobody_etc.mp3" TargetMode="External"/><Relationship Id="rId5517" Type="http://schemas.openxmlformats.org/officeDocument/2006/relationships/hyperlink" Target="https://audio.iskcondesiretree.com/01_-_Srila_Prabhupada/01_-_Lectures/01_-_English/02_-_Month_wise/12_-_December/20/Lecture%E2%80%93Hindi_1976-12-20_LE-WARDHA.MP3" TargetMode="External"/><Relationship Id="rId5931" Type="http://schemas.openxmlformats.org/officeDocument/2006/relationships/hyperlink" Target="https://audio.iskcondesiretree.com/01_-_Srila_Prabhupada/01_-_Lectures/01_-_English/02_-_Month_wise/10_-_October/04/Conv_1977-10-04_R1-VRNDAVAN.MP3" TargetMode="External"/><Relationship Id="rId3068" Type="http://schemas.openxmlformats.org/officeDocument/2006/relationships/hyperlink" Target="https://audio.iskcondesiretree.com/01_-_Srila_Prabhupada/01_-_Lectures/01_-_English/02_-_Month_wise/04_-_April/07/CcAdi-01-014_1975-04-07_CC-MAYAPUR.MP3" TargetMode="External"/><Relationship Id="rId3482" Type="http://schemas.openxmlformats.org/officeDocument/2006/relationships/hyperlink" Target="https://audio.iskcondesiretree.com/01_-_Srila_Prabhupada/01_-_Lectures/01_-_English/01_-_Topic_wise/Various/SP_Lecture_and_Initiation_Chicago_1975-07-10.MP3" TargetMode="External"/><Relationship Id="rId4119" Type="http://schemas.openxmlformats.org/officeDocument/2006/relationships/hyperlink" Target="https://audio.iskcondesiretree.com/01_-_Srila_Prabhupada/01_-_Lectures/01_-_English/02_-_Month_wise/12_-_December/23/MW_BOM_1975-12-23_In_Love_with_God_24_Hours_a_Day.mp3" TargetMode="External"/><Relationship Id="rId4533" Type="http://schemas.openxmlformats.org/officeDocument/2006/relationships/hyperlink" Target="https://audio.iskcondesiretree.com/01_-_Srila_Prabhupada/01_-_Lectures/01_-_English/02_-_Month_wise/04_-_April/24/MW_MEL_1976-04-24_Happy_Suffering.mp3" TargetMode="External"/><Relationship Id="rId2084" Type="http://schemas.openxmlformats.org/officeDocument/2006/relationships/hyperlink" Target="https://audio.iskcondesiretree.com/01_-_Srila_Prabhupada/01_-_Lectures/01_-_English/02_-_Month_wise/06_-_June/09/RC_PAR_1974-06-09_How_to_Experience_the_Supreme.mp3" TargetMode="External"/><Relationship Id="rId3135" Type="http://schemas.openxmlformats.org/officeDocument/2006/relationships/hyperlink" Target="https://audio.iskcondesiretree.com/01_-_Srila_Prabhupada/01_-_Lectures/01_-_English/01_-_Topic_wise/Srimad_Bhagavatam/Canto-01/SP_SB_1-07-06_Vrindavan_1975-04-23_Making_Good_Use_of_the_Useless.mp3" TargetMode="External"/><Relationship Id="rId4600" Type="http://schemas.openxmlformats.org/officeDocument/2006/relationships/hyperlink" Target="https://audio.iskcondesiretree.com/01_-_Srila_Prabhupada/01_-_Lectures/01_-_English/02_-_Month_wise/05_-_May/13/SB-06-01-12_1976-05-13_SB-HONOLULU.MP3" TargetMode="External"/><Relationship Id="rId470" Type="http://schemas.openxmlformats.org/officeDocument/2006/relationships/hyperlink" Target="https://audio.iskcondesiretree.com/01_-_Srila_Prabhupada/01_-_Lectures/01_-_English/02_-_Month_wise/09_-_September/11/Arr_LON_1969-09-11_I_Teach_What_You_Have_Forgotten.mp3" TargetMode="External"/><Relationship Id="rId2151" Type="http://schemas.openxmlformats.org/officeDocument/2006/relationships/hyperlink" Target="https://audio.iskcondesiretree.com/01_-_Srila_Prabhupada/01_-_Lectures/01_-_English/02_-_Month_wise/06_-_June/16/Bg_02-01_GER_1974-06-16_Who_Is_Krishna.mp3" TargetMode="External"/><Relationship Id="rId3202" Type="http://schemas.openxmlformats.org/officeDocument/2006/relationships/hyperlink" Target="https://audio.iskcondesiretree.com/01_-_Srila_Prabhupada/01_-_Lectures/01_-_English/02_-_Month_wise/05_-_May/19/Interv_MEL_1975-05-19_Press-No_Culture-Just_Money.mp3" TargetMode="External"/><Relationship Id="rId123" Type="http://schemas.openxmlformats.org/officeDocument/2006/relationships/hyperlink" Target="https://audio.iskcondesiretree.com/01_-_Srila_Prabhupada/01_-_Lectures/01_-_English/02_-_Month_wise/11_-_November/24/Cc_M_20-119_NY_1966-11-24_Are_We_Krishna%27s_Competitors.mp3" TargetMode="External"/><Relationship Id="rId5374" Type="http://schemas.openxmlformats.org/officeDocument/2006/relationships/hyperlink" Target="https://audio.iskcondesiretree.com/01_-_Srila_Prabhupada/01_-_Lectures/01_-_English/02_-_Month_wise/11_-_November/03/SB-05-05-15_1976-11-03_SB-VRNDAVAN.MP3" TargetMode="External"/><Relationship Id="rId2968" Type="http://schemas.openxmlformats.org/officeDocument/2006/relationships/hyperlink" Target="https://audio.iskcondesiretree.com/01_-_Srila_Prabhupada/01_-_Lectures/01_-_English/02_-_Month_wise/03_-_March/15/Conv_1975-03-15_R1-TEHRAN.MP3" TargetMode="External"/><Relationship Id="rId5027" Type="http://schemas.openxmlformats.org/officeDocument/2006/relationships/hyperlink" Target="https://audio.iskcondesiretree.com/01_-_Srila_Prabhupada/01_-_Lectures/01_-_English/02_-_Month_wise/07_-_July/27/Conv%E2%80%93Hindi_1976-07-27_R2-LONDON.MP3" TargetMode="External"/><Relationship Id="rId1984" Type="http://schemas.openxmlformats.org/officeDocument/2006/relationships/hyperlink" Target="https://audio.iskcondesiretree.com/01_-_Srila_Prabhupada/01_-_Lectures/01_-_English/02_-_Month_wise/05_-_May/24/Walk_1974-05-24_MW-ROME.MP3" TargetMode="External"/><Relationship Id="rId4390" Type="http://schemas.openxmlformats.org/officeDocument/2006/relationships/hyperlink" Target="https://audio.iskcondesiretree.com/01_-_Srila_Prabhupada/01_-_Lectures/02_-_Bengali/1976-03-20_Lecture_-_Haridaspur.mp3" TargetMode="External"/><Relationship Id="rId5441" Type="http://schemas.openxmlformats.org/officeDocument/2006/relationships/hyperlink" Target="https://audio.iskcondesiretree.com/01_-_Srila_Prabhupada/01_-_Lectures/01_-_English/02_-_Month_wise/11_-_November/20/RC_VRN_1976-11-20_Skyscraper_Thoughts_Dangerous.mp3" TargetMode="External"/><Relationship Id="rId1637" Type="http://schemas.openxmlformats.org/officeDocument/2006/relationships/hyperlink" Target="https://audio.iskcondesiretree.com/01_-_Srila_Prabhupada/01_-_Lectures/01_-_English/02_-_Month_wise/02_-_Feburary/22/Bg-07-07_1974-02-22_BG-BOMBAY.MP3" TargetMode="External"/><Relationship Id="rId4043" Type="http://schemas.openxmlformats.org/officeDocument/2006/relationships/hyperlink" Target="https://audio.iskcondesiretree.com/01_-_Srila_Prabhupada/01_-_Lectures/01_-_English/02_-_Month_wise/12_-_December/03/MW_VRN_1975-12-03_Voidists%2C_Impersonalists.mp3" TargetMode="External"/><Relationship Id="rId1704" Type="http://schemas.openxmlformats.org/officeDocument/2006/relationships/hyperlink" Target="https://audio.iskcondesiretree.com/01_-_Srila_Prabhupada/01_-_Lectures/01_-_English/02_-_Month_wise/03_-_March/14/Lecture_1974-03-14_LE-VRNDAVAN.MP3" TargetMode="External"/><Relationship Id="rId4110" Type="http://schemas.openxmlformats.org/officeDocument/2006/relationships/hyperlink" Target="https://audio.iskcondesiretree.com/01_-_Srila_Prabhupada/01_-_Lectures/01_-_English/02_-_Month_wise/12_-_December/20/Walk_1975-12-20_MW-BOMBAY.MP3" TargetMode="External"/><Relationship Id="rId797" Type="http://schemas.openxmlformats.org/officeDocument/2006/relationships/hyperlink" Target="https://audio.iskcondesiretree.com/01_-_Srila_Prabhupada/01_-_Lectures/01_-_English/01_-_Topic_wise/Srimad_Bhagavatam/Canto-01/SP_SB_1-02-28_Vrindavan_1972-11-08_Kamsa%27s_and_Ravana%27s_Secular_State.mp3" TargetMode="External"/><Relationship Id="rId2478" Type="http://schemas.openxmlformats.org/officeDocument/2006/relationships/hyperlink" Target="https://audio.iskcondesiretree.com/01_-_Srila_Prabhupada/01_-_Lectures/01_-_English/02_-_Month_wise/10_-_October/28/SB_1-08-48_MAY_1974-10-28_My_Body_and_I_Belong_to_Krishna.mp3" TargetMode="External"/><Relationship Id="rId3876" Type="http://schemas.openxmlformats.org/officeDocument/2006/relationships/hyperlink" Target="https://audio.iskcondesiretree.com/01_-_Srila_Prabhupada/01_-_Lectures/01_-_English/02_-_Month_wise/10_-_October/15/SB_1-07-05_JOH_1975-10-15_Survival_of_the_What_Fittest.mp3" TargetMode="External"/><Relationship Id="rId4927" Type="http://schemas.openxmlformats.org/officeDocument/2006/relationships/hyperlink" Target="https://audio.iskcondesiretree.com/01_-_Srila_Prabhupada/01_-_Lectures/01_-_English/01_-_Topic_wise/Room_Conversation/SP_Room_Conversation_Washington_DC_1976-07-08_Government_of_the_Rascals_by_the_Rascals.mp3" TargetMode="External"/><Relationship Id="rId2892" Type="http://schemas.openxmlformats.org/officeDocument/2006/relationships/hyperlink" Target="https://audio.iskcondesiretree.com/01_-_Srila_Prabhupada/01_-_Lectures/01_-_English/02_-_Month_wise/03_-_March/02/Conv_1975-03-02_R1-ATLANTA.MP3" TargetMode="External"/><Relationship Id="rId3529" Type="http://schemas.openxmlformats.org/officeDocument/2006/relationships/hyperlink" Target="https://audio.iskcondesiretree.com/01_-_Srila_Prabhupada/01_-_Lectures/01_-_English/01_-_Topic_wise/Arrival_Address/SP_Arrival_San_Francisco_1975-07-15_Unflinching_Faith_in_God_%26_Guru.mp3" TargetMode="External"/><Relationship Id="rId3943" Type="http://schemas.openxmlformats.org/officeDocument/2006/relationships/hyperlink" Target="https://audio.iskcondesiretree.com/01_-_Srila_Prabhupada/01_-_Lectures/01_-_English/02_-_Month_wise/10_-_October/31/Bg_07-04_NAI_1975-10-31_Darwin-Monkeys_Knowledge.mp3" TargetMode="External"/><Relationship Id="rId6002" Type="http://schemas.openxmlformats.org/officeDocument/2006/relationships/hyperlink" Target="https://audio.iskcondesiretree.com/01_-_Srila_Prabhupada/01_-_Lectures/01_-_English/02_-_Month_wise/11_-_November/06/Conv_1977-11-06_R1-VRNDAVAN.MP3" TargetMode="External"/><Relationship Id="rId864" Type="http://schemas.openxmlformats.org/officeDocument/2006/relationships/hyperlink" Target="https://audio.iskcondesiretree.com/01_-_Srila_Prabhupada/01_-_Lectures/01_-_English/01_-_Topic_wise/Bhagavad_Gita/Chapter-06/SP_BG_06-47_Ahmedabad_1972-12-12_Blockhead_to_Bhakta.mp3" TargetMode="External"/><Relationship Id="rId1494" Type="http://schemas.openxmlformats.org/officeDocument/2006/relationships/hyperlink" Target="https://audio.iskcondesiretree.com/01_-_Srila_Prabhupada/01_-_Lectures/01_-_English/02_-_Month_wise/01_-_January/07/SB_1-16-10_LA_1974-01-07_Pariksit%27s_Answer_to_Kali.mp3" TargetMode="External"/><Relationship Id="rId2545" Type="http://schemas.openxmlformats.org/officeDocument/2006/relationships/hyperlink" Target="https://audio.iskcondesiretree.com/01_-_Srila_Prabhupada/01_-_Lectures/01_-_English/02_-_Month_wise/11_-_November/22/SB_3-25-22_BOM_1974-11-22_The_Only_Rescue.mp3" TargetMode="External"/><Relationship Id="rId517" Type="http://schemas.openxmlformats.org/officeDocument/2006/relationships/hyperlink" Target="https://audio.iskcondesiretree.com/01_-_Srila_Prabhupada/01_-_Lectures/01_-_English/02_-_Month_wise/07_-_July/01/SB_2-01-01_LA_1970-07-01_Death_Is_As_Sure_As_Death.mp3" TargetMode="External"/><Relationship Id="rId931" Type="http://schemas.openxmlformats.org/officeDocument/2006/relationships/hyperlink" Target="https://audio.iskcondesiretree.com/01_-_Srila_Prabhupada/01_-_Lectures/01_-_English/01_-_Topic_wise/Arrival_Address/SP_Arrival_New_York_1973-04-05_This_Life_is_Not_Very_Congenial.mp3" TargetMode="External"/><Relationship Id="rId1147" Type="http://schemas.openxmlformats.org/officeDocument/2006/relationships/hyperlink" Target="https://audio.iskcondesiretree.com/01_-_Srila_Prabhupada/01_-_Lectures/01_-_English/02_-_Month_wise/08_-_August/06/Bg_02-06_LON_1973-08-06_How_to_Utilize_Fighting_Spirit.mp3" TargetMode="External"/><Relationship Id="rId1561" Type="http://schemas.openxmlformats.org/officeDocument/2006/relationships/hyperlink" Target="https://audio.iskcondesiretree.com/01_-_Srila_Prabhupada/01_-_Lectures/01_-_English/01_-_Topic_wise/Morning_Walk/SP_Morning_Walk_-_Hawaii_1974-01-22_The_Greatest_Grandest_Father.mp3" TargetMode="External"/><Relationship Id="rId2612" Type="http://schemas.openxmlformats.org/officeDocument/2006/relationships/hyperlink" Target="https://audio.iskcondesiretree.com/01_-_Srila_Prabhupada/01_-_Lectures/01_-_English/01_-_Topic_wise/Srimad_Bhagavatam/Canto-03/SP_SB_3-26-03_Bombay_1974-12-15_Our_Knowledge_Is_Not_Knowledge.mp3" TargetMode="External"/><Relationship Id="rId5768" Type="http://schemas.openxmlformats.org/officeDocument/2006/relationships/hyperlink" Target="https://audio.iskcondesiretree.com/01_-_Srila_Prabhupada/01_-_Lectures/01_-_English/02_-_Month_wise/03_-_March/26/Conv_1977-03-26_R2-BOMBAY.MP3" TargetMode="External"/><Relationship Id="rId1214" Type="http://schemas.openxmlformats.org/officeDocument/2006/relationships/hyperlink" Target="https://audio.iskcondesiretree.com/01_-_Srila_Prabhupada/01_-_Lectures/01_-_English/01_-_Topic_wise/Bhagavad_Gita/Chapter-02/SP_BG_02-18_London_1973-08-24_The_Soul_Will_Not_Be_Killed.mp3" TargetMode="External"/><Relationship Id="rId4784" Type="http://schemas.openxmlformats.org/officeDocument/2006/relationships/hyperlink" Target="https://audio.iskcondesiretree.com/01_-_Srila_Prabhupada/01_-_Lectures/01_-_English/01_-_Topic_wise/Srimad_Bhagavatam/Canto-07/SP_SB_7-06-03_Toronto_1976-06-19_Pots_Change_-_Contents_Stay.mp3" TargetMode="External"/><Relationship Id="rId5835" Type="http://schemas.openxmlformats.org/officeDocument/2006/relationships/hyperlink" Target="https://audio.iskcondesiretree.com/01_-_Srila_Prabhupada/01_-_Lectures/01_-_English/02_-_Month_wise/05_-_May/08/Conv_1977-05-08_R2-RISHIKESH.MP3" TargetMode="External"/><Relationship Id="rId3386" Type="http://schemas.openxmlformats.org/officeDocument/2006/relationships/hyperlink" Target="https://audio.iskcondesiretree.com/01_-_Srila_Prabhupada/01_-_Lectures/01_-_English/02_-_Month_wise/06_-_June/27/Arrival_1975-06-27_AR-DENVER.MP3" TargetMode="External"/><Relationship Id="rId4437" Type="http://schemas.openxmlformats.org/officeDocument/2006/relationships/hyperlink" Target="https://audio.iskcondesiretree.com/01_-_Srila_Prabhupada/01_-_Lectures/01_-_English/02_-_Month_wise/04_-_April/06/Walk_1976-04-06_MW-VRNDAVAN.MP3" TargetMode="External"/><Relationship Id="rId3039" Type="http://schemas.openxmlformats.org/officeDocument/2006/relationships/hyperlink" Target="https://audio.iskcondesiretree.com/01_-_Srila_Prabhupada/01_-_Lectures/01_-_English/02_-_Month_wise/04_-_April/03/Cc_A_1-10_MAY_1975-04-03_Getting_God_to_Talk_to_You.mp3" TargetMode="External"/><Relationship Id="rId3453" Type="http://schemas.openxmlformats.org/officeDocument/2006/relationships/hyperlink" Target="https://audio.iskcondesiretree.com/01_-_Srila_Prabhupada/01_-_Lectures/01_-_English/02_-_Month_wise/07_-_July/06/Walk_1975-07-06_MW-CHICAGO.MP3" TargetMode="External"/><Relationship Id="rId4851" Type="http://schemas.openxmlformats.org/officeDocument/2006/relationships/hyperlink" Target="https://audio.iskcondesiretree.com/01_-_Srila_Prabhupada/01_-_Lectures/01_-_English/02_-_Month_wise/06_-_June/28/RC_NV_1976-06-28_Bhavans_Journal-2_Innocent_etc.mp3" TargetMode="External"/><Relationship Id="rId5902" Type="http://schemas.openxmlformats.org/officeDocument/2006/relationships/hyperlink" Target="https://audio.iskcondesiretree.com/01_-_Srila_Prabhupada/01_-_Lectures/01_-_English/02_-_Month_wise/07_-_July/02/Conv_1977-07-02_R1-VRNDAVAN.MP3" TargetMode="External"/><Relationship Id="rId374" Type="http://schemas.openxmlformats.org/officeDocument/2006/relationships/hyperlink" Target="https://audio.iskcondesiretree.com/01_-_Srila_Prabhupada/01_-_Lectures/01_-_English/02_-_Month_wise/02_-_Feburary/16/Bg_06-13_LA_1969-02-16_Yoga_System--We_Want_Something_etc.mp3" TargetMode="External"/><Relationship Id="rId2055" Type="http://schemas.openxmlformats.org/officeDocument/2006/relationships/hyperlink" Target="https://audio.iskcondesiretree.com/01_-_Srila_Prabhupada/01_-_Lectures/01_-_English/01_-_Topic_wise/Room_Conversation/SP_Room_Conversation_Geneva_1974-06-05_Protestant_Leaders--Love_God_Love--etc.mp3" TargetMode="External"/><Relationship Id="rId3106" Type="http://schemas.openxmlformats.org/officeDocument/2006/relationships/hyperlink" Target="https://audio.iskcondesiretree.com/01_-_Srila_Prabhupada/01_-_Lectures/01_-_English/02_-_Month_wise/04_-_April/14/Addr_HYD_1975-04-14_At_Life_Member%27s_House_Let_Us_etc.mp3" TargetMode="External"/><Relationship Id="rId4504" Type="http://schemas.openxmlformats.org/officeDocument/2006/relationships/hyperlink" Target="https://audio.iskcondesiretree.com/01_-_Srila_Prabhupada/01_-_Lectures/01_-_English/02_-_Month_wise/04_-_April/20/Interview_1976-04-20_R1-MELBOURNE.MP3" TargetMode="External"/><Relationship Id="rId3520" Type="http://schemas.openxmlformats.org/officeDocument/2006/relationships/hyperlink" Target="https://audio.iskcondesiretree.com/01_-_Srila_Prabhupada/01_-_Lectures/01_-_English/02_-_Month_wise/07_-_July/13/RC_PHI_1975-07-13_You_Are_Reborn_At_Every_Moment.mp3" TargetMode="External"/><Relationship Id="rId441" Type="http://schemas.openxmlformats.org/officeDocument/2006/relationships/hyperlink" Target="https://audio.iskcondesiretree.com/01_-_Srila_Prabhupada/01_-_Lectures/01_-_English/02_-_Month_wise/06_-_June/06/SB_1-05-09_NV_1969-06-06_First_Business_Protect_Your_Soul.mp3" TargetMode="External"/><Relationship Id="rId1071" Type="http://schemas.openxmlformats.org/officeDocument/2006/relationships/hyperlink" Target="https://audio.iskcondesiretree.com/01_-_Srila_Prabhupada/01_-_Lectures/04_-_Translation/Portuguese/More/SP_BG_01-04_-_1973-07-10_London.mp3" TargetMode="External"/><Relationship Id="rId2122" Type="http://schemas.openxmlformats.org/officeDocument/2006/relationships/hyperlink" Target="https://audio.iskcondesiretree.com/01_-_Srila_Prabhupada/01_-_Lectures/01_-_English/02_-_Month_wise/06_-_June/13/Conv_1974-06-13_R1-PARIS.MP3" TargetMode="External"/><Relationship Id="rId5278" Type="http://schemas.openxmlformats.org/officeDocument/2006/relationships/hyperlink" Target="https://audio.iskcondesiretree.com/01_-_Srila_Prabhupada/01_-_Lectures/01_-_English/02_-_Month_wise/09_-_September/29/Conv_1976-09-29_R1-VRNDAVAN.MP3" TargetMode="External"/><Relationship Id="rId5692" Type="http://schemas.openxmlformats.org/officeDocument/2006/relationships/hyperlink" Target="https://audio.iskcondesiretree.com/01_-_Srila_Prabhupada/01_-_Lectures/01_-_English/01_-_Topic_wise/Srimad_Bhagavatam/Canto-07/SP_SB_7-09-04_Mayapur_1977-02-11_Prahlada--Krishna%27s--etc.mp3" TargetMode="External"/><Relationship Id="rId1888" Type="http://schemas.openxmlformats.org/officeDocument/2006/relationships/hyperlink" Target="https://audio.iskcondesiretree.com/01_-_Srila_Prabhupada/01_-_Lectures/01_-_English/01_-_Topic_wise/Morning_Walk/SP_Morning_Walk_-_Bombay_1974-04-18.mp3" TargetMode="External"/><Relationship Id="rId2939" Type="http://schemas.openxmlformats.org/officeDocument/2006/relationships/hyperlink" Target="https://audio.iskcondesiretree.com/01_-_Srila_Prabhupada/01_-_Lectures/01_-_English/02_-_Month_wise/03_-_March/11/Bg-07-03_1975-03-11_BG-LONDON.MP3" TargetMode="External"/><Relationship Id="rId4294" Type="http://schemas.openxmlformats.org/officeDocument/2006/relationships/hyperlink" Target="https://audio.iskcondesiretree.com/01_-_Srila_Prabhupada/01_-_Lectures/01_-_English/01_-_Topic_wise/Srimad_Bhagavatam/Canto-07/SP_SB_7-09-21_Mayapur_1976-02-28_Beginning_of_Material_Life.mp3" TargetMode="External"/><Relationship Id="rId5345" Type="http://schemas.openxmlformats.org/officeDocument/2006/relationships/hyperlink" Target="https://audio.iskcondesiretree.com/01_-_Srila_Prabhupada/01_-_Lectures/01_-_English/02_-_Month_wise/10_-_October/24/SB-05-05-02_1976-10-24_SB-VRNDAVAN.MP3" TargetMode="External"/><Relationship Id="rId4361" Type="http://schemas.openxmlformats.org/officeDocument/2006/relationships/hyperlink" Target="https://audio.iskcondesiretree.com/01_-_Srila_Prabhupada/01_-_Lectures/01_-_English/02_-_Month_wise/03_-_March/15/SB_7-09-37_MAY_1976-03-15_Faith_Vs_Fact.mp3" TargetMode="External"/><Relationship Id="rId5412" Type="http://schemas.openxmlformats.org/officeDocument/2006/relationships/hyperlink" Target="https://audio.iskcondesiretree.com/01_-_Srila_Prabhupada/01_-_Lectures/01_-_English/01_-_Topic_wise/Room_Conversation/SP_Room_Conversation_Vrindavan_1976-11-13_Vote_for_the_Hare_Krishna%27s.mp3" TargetMode="External"/><Relationship Id="rId1955" Type="http://schemas.openxmlformats.org/officeDocument/2006/relationships/hyperlink" Target="https://audio.iskcondesiretree.com/01_-_Srila_Prabhupada/01_-_Lectures/01_-_English/02_-_Month_wise/05_-_May/05/Fest_BOM_1974-05-05_Nrsimhadeva_Appearance.mp3" TargetMode="External"/><Relationship Id="rId4014" Type="http://schemas.openxmlformats.org/officeDocument/2006/relationships/hyperlink" Target="https://audio.iskcondesiretree.com/01_-_Srila_Prabhupada/01_-_Lectures/01_-_English/02_-_Month_wise/11_-_November/20/MW_BOM_1975-11-20_Christ_Survived_the_Cross.mp3" TargetMode="External"/><Relationship Id="rId1608" Type="http://schemas.openxmlformats.org/officeDocument/2006/relationships/hyperlink" Target="https://audio.iskcondesiretree.com/01_-_Srila_Prabhupada/01_-_Lectures/01_-_English/01_-_Topic_wise/Various/SP_Lecture_Vrindavan_1974-02-12.mp3" TargetMode="External"/><Relationship Id="rId3030" Type="http://schemas.openxmlformats.org/officeDocument/2006/relationships/hyperlink" Target="https://audio.iskcondesiretree.com/01_-_Srila_Prabhupada/01_-_Lectures/01_-_English/01_-_Topic_wise/Chaitanya_Charitamrita/Adi_Lila/SP_CC_A_01-09_Mayapur_1975-04-02_Big_Chunk_of_Nonsense.mp3" TargetMode="External"/><Relationship Id="rId6186" Type="http://schemas.openxmlformats.org/officeDocument/2006/relationships/hyperlink" Target="https://audio.iskcondesiretree.com/01_-_Srila_Prabhupada/01_-_Lectures/03_-_Hindi/SP_Hindi_14_Lectures_%26_Conversations.mp3" TargetMode="External"/><Relationship Id="rId2796" Type="http://schemas.openxmlformats.org/officeDocument/2006/relationships/hyperlink" Target="https://audio.iskcondesiretree.com/01_-_Srila_Prabhupada/01_-_Lectures/01_-_English/02_-_Month_wise/02_-_Feburary/13/Conv_1975-02-13_R1-MEXICO%20CITY.MP3" TargetMode="External"/><Relationship Id="rId3847" Type="http://schemas.openxmlformats.org/officeDocument/2006/relationships/hyperlink" Target="https://audio.iskcondesiretree.com/01_-_Srila_Prabhupada/01_-_Lectures/01_-_English/01_-_Topic_wise/Various/SP_Lecture_Durban_1975-10-11_Happiness_on_the_Planet_of_Misery.mp3" TargetMode="External"/><Relationship Id="rId768" Type="http://schemas.openxmlformats.org/officeDocument/2006/relationships/hyperlink" Target="https://audio.iskcondesiretree.com/01_-_Srila_Prabhupada/01_-_Lectures/01_-_English/01_-_Topic_wise/Nectar_Of_Devotion/SP_NOD_Vrindavan_1972-11-01_-_Devotion_Is_Action_Without_Designation.mp3" TargetMode="External"/><Relationship Id="rId1398" Type="http://schemas.openxmlformats.org/officeDocument/2006/relationships/hyperlink" Target="https://audio.iskcondesiretree.com/01_-_Srila_Prabhupada/01_-_Lectures/01_-_English/02_-_Month_wise/12_-_December/05/SB_1-15-27_LA_1973-12-05_Mistaking_Suffering_for_Enjoyment.mp3" TargetMode="External"/><Relationship Id="rId2449" Type="http://schemas.openxmlformats.org/officeDocument/2006/relationships/hyperlink" Target="https://audio.iskcondesiretree.com/01_-_Srila_Prabhupada/01_-_Lectures/01_-_English/01_-_Topic_wise/Srimad_Bhagavatam/Canto-01/SP_SB_1-08-39_Mayapur_1974-10-19_Keep_Krishna_Here.mp3" TargetMode="External"/><Relationship Id="rId2863" Type="http://schemas.openxmlformats.org/officeDocument/2006/relationships/hyperlink" Target="https://audio.iskcondesiretree.com/01_-_Srila_Prabhupada/01_-_Lectures/01_-_English/01_-_Topic_wise/Arrival_Address/SP_Address_Atlanta_1975-02-28_So_I_See_Your_Temple_Is_the_Best.mp3" TargetMode="External"/><Relationship Id="rId3914" Type="http://schemas.openxmlformats.org/officeDocument/2006/relationships/hyperlink" Target="https://audio.iskcondesiretree.com/01_-_Srila_Prabhupada/01_-_Lectures/01_-_English/02_-_Month_wise/10_-_October/26/SB_3-28-17_NAI_1975-10-26_I_Must_Love_Krishna.mp3" TargetMode="External"/><Relationship Id="rId835" Type="http://schemas.openxmlformats.org/officeDocument/2006/relationships/hyperlink" Target="https://audio.iskcondesiretree.com/01_-_Srila_Prabhupada/01_-_Lectures/01_-_English/02_-_Month_wise/11_-_November/23/Bg_07-05_HYD_1972-11-23_Serving_the_Material_World_etc.mp3" TargetMode="External"/><Relationship Id="rId1465" Type="http://schemas.openxmlformats.org/officeDocument/2006/relationships/hyperlink" Target="https://audio.iskcondesiretree.com/01_-_Srila_Prabhupada/01_-_Lectures/01_-_English/01_-_Topic_wise/Srimad_Bhagavatam/Canto-01/SP_SB_1-16-02_Los_Angeles_1973-12-30_Brahmanas_Slip--Kali-yuga_Starts.mp3" TargetMode="External"/><Relationship Id="rId2516" Type="http://schemas.openxmlformats.org/officeDocument/2006/relationships/hyperlink" Target="https://audio.iskcondesiretree.com/01_-_Srila_Prabhupada/01_-_Lectures/01_-_English/02_-_Month_wise/11_-_November/13/SB-03-25-13_1974-11-13_SB-BOMBAY.MP3" TargetMode="External"/><Relationship Id="rId1118" Type="http://schemas.openxmlformats.org/officeDocument/2006/relationships/hyperlink" Target="https://audio.iskcondesiretree.com/01_-_Srila_Prabhupada/01_-_Lectures/01_-_English/02_-_Month_wise/07_-_July/24/Bg_01-31_LON_1973-07-24_Immediate_vs_Ultimate_Good.mp3" TargetMode="External"/><Relationship Id="rId1532" Type="http://schemas.openxmlformats.org/officeDocument/2006/relationships/hyperlink" Target="https://audio.iskcondesiretree.com/01_-_Srila_Prabhupada/01_-_Lectures/01_-_English/01_-_Topic_wise/Srimad_Bhagavatam/Canto-01/SP_SB_1-16-20_Hawaii_1974-01-16_Bad_Good_and_Truly_Good.mp3" TargetMode="External"/><Relationship Id="rId2930" Type="http://schemas.openxmlformats.org/officeDocument/2006/relationships/hyperlink" Target="https://audio.iskcondesiretree.com/01_-_Srila_Prabhupada/01_-_Lectures/01_-_English/02_-_Month_wise/03_-_March/09/Bg-07-01_1975-03-09_BG-LONDON.MP3" TargetMode="External"/><Relationship Id="rId4688" Type="http://schemas.openxmlformats.org/officeDocument/2006/relationships/hyperlink" Target="https://audio.iskcondesiretree.com/01_-_Srila_Prabhupada/01_-_Lectures/01_-_English/02_-_Month_wise/06_-_June/04/SB_6-01-38_LA_1976-06-04_Jeweled_Snakes.mp3" TargetMode="External"/><Relationship Id="rId902" Type="http://schemas.openxmlformats.org/officeDocument/2006/relationships/hyperlink" Target="https://audio.iskcondesiretree.com/01_-_Srila_Prabhupada/01_-_Lectures/01_-_English/01_-_Topic_wise/Nectar_Of_Devotion/SP_NOD_Calcutta_1973-01-25_-_Remember_Krsna_and_Never_Forget_Him.mp3" TargetMode="External"/><Relationship Id="rId5739" Type="http://schemas.openxmlformats.org/officeDocument/2006/relationships/hyperlink" Target="https://audio.iskcondesiretree.com/01_-_Srila_Prabhupada/01_-_Lectures/01_-_English/02_-_Month_wise/02_-_Feburary/27/Conv_1977-02-27_R1-MAYAPUR.MP3" TargetMode="External"/><Relationship Id="rId4755" Type="http://schemas.openxmlformats.org/officeDocument/2006/relationships/hyperlink" Target="https://audio.iskcondesiretree.com/01_-_Srila_Prabhupada/01_-_Lectures/01_-_English/02_-_Month_wise/06_-_June/15/Conv_1976-06-15_R3-DETROIT.MP3" TargetMode="External"/><Relationship Id="rId5806" Type="http://schemas.openxmlformats.org/officeDocument/2006/relationships/hyperlink" Target="https://audio.iskcondesiretree.com/01_-_Srila_Prabhupada/01_-_Lectures/01_-_English/02_-_Month_wise/04_-_April/17/RC_BOM_1977-04-17_Do_Some_Preaching.mp3" TargetMode="External"/><Relationship Id="rId278" Type="http://schemas.openxmlformats.org/officeDocument/2006/relationships/hyperlink" Target="https://audio.iskcondesiretree.com/01_-_Srila_Prabhupada/01_-_Lectures/01_-_English/01_-_Topic_wise/Various/SP_Lecture_Seattle_1968-10-20_Initiation--Counteract_Age_of_Quarrel.mp3" TargetMode="External"/><Relationship Id="rId3357" Type="http://schemas.openxmlformats.org/officeDocument/2006/relationships/hyperlink" Target="https://audio.iskcondesiretree.com/01_-_Srila_Prabhupada/01_-_Lectures/01_-_English/02_-_Month_wise/06_-_June/23/Walk_1975-06-23_MW-LOS%20ANGELES.MP3" TargetMode="External"/><Relationship Id="rId3771" Type="http://schemas.openxmlformats.org/officeDocument/2006/relationships/hyperlink" Target="https://audio.iskcondesiretree.com/01_-_Srila_Prabhupada/01_-_Lectures/01_-_English/02_-_Month_wise/09_-_September/18/SB-06-02-15_1975-09-18_SB-VRNDAVAN.MP3" TargetMode="External"/><Relationship Id="rId4408" Type="http://schemas.openxmlformats.org/officeDocument/2006/relationships/hyperlink" Target="https://audio.iskcondesiretree.com/01_-_Srila_Prabhupada/01_-_Lectures/01_-_English/02_-_Month_wise/03_-_March/25/Walk_1976-03-25_MW-DELHI.MP3" TargetMode="External"/><Relationship Id="rId4822" Type="http://schemas.openxmlformats.org/officeDocument/2006/relationships/hyperlink" Target="https://audio.iskcondesiretree.com/01_-_Srila_Prabhupada/01_-_Lectures/01_-_English/01_-_Topic_wise/Srimad_Bhagavatam/Canto-07/SP_SB_7-06-09_New_Vrindavan_1976-06-25_I_Love_My_Sense_Gratification.mp3" TargetMode="External"/><Relationship Id="rId692" Type="http://schemas.openxmlformats.org/officeDocument/2006/relationships/hyperlink" Target="https://audio.iskcondesiretree.com/01_-_Srila_Prabhupada/01_-_Lectures/01_-_English/01_-_Topic_wise/Srimad_Bhagavatam/Canto-01/SP_SB_1-03-15_Los_Angeles_1972-09-20_Don%27t_Be_Carried_Away_by_Maya.mp3" TargetMode="External"/><Relationship Id="rId2373" Type="http://schemas.openxmlformats.org/officeDocument/2006/relationships/hyperlink" Target="https://audio.iskcondesiretree.com/01_-_Srila_Prabhupada/01_-_Lectures/01_-_English/01_-_Topic_wise/Various/SP_Garden_Conversation_Vrindavan_1974-09-10.mp3" TargetMode="External"/><Relationship Id="rId3424" Type="http://schemas.openxmlformats.org/officeDocument/2006/relationships/hyperlink" Target="https://audio.iskcondesiretree.com/01_-_Srila_Prabhupada/01_-_Lectures/01_-_English/02_-_Month_wise/07_-_July/03/Arrival_1975-07-03_AR-CHICAGO.MP3" TargetMode="External"/><Relationship Id="rId345" Type="http://schemas.openxmlformats.org/officeDocument/2006/relationships/hyperlink" Target="https://audio.iskcondesiretree.com/01_-_Srila_Prabhupada/01_-_Lectures/01_-_English/01_-_Topic_wise/Bhagavad_Gita/Chapter-03/SP_BG_03-29-43_Los_Angeles_1969-01-01_Servant_of_God_or_Dog.mp3" TargetMode="External"/><Relationship Id="rId2026" Type="http://schemas.openxmlformats.org/officeDocument/2006/relationships/hyperlink" Target="https://audio.iskcondesiretree.com/01_-_Srila_Prabhupada/01_-_Lectures/01_-_English/01_-_Topic_wise/Morning_Walk/SP_Morning_Walk_-_Geneva_1974-06-01.mp3" TargetMode="External"/><Relationship Id="rId2440" Type="http://schemas.openxmlformats.org/officeDocument/2006/relationships/hyperlink" Target="https://audio.iskcondesiretree.com/01_-_Srila_Prabhupada/01_-_Lectures/01_-_English/02_-_Month_wise/10_-_October/14/SB_1-08-34_MAY_1974-10-14_Relief_from_Unbearable_Burdens.mp3" TargetMode="External"/><Relationship Id="rId5596" Type="http://schemas.openxmlformats.org/officeDocument/2006/relationships/hyperlink" Target="https://audio.iskcondesiretree.com/01_-_Srila_Prabhupada/01_-_Lectures/01_-_English/02_-_Month_wise/01_-_January/15/Lecture_1977-01-15_LE-ALLAHABAD.MP3" TargetMode="External"/><Relationship Id="rId412" Type="http://schemas.openxmlformats.org/officeDocument/2006/relationships/hyperlink" Target="https://audio.iskcondesiretree.com/01_-_Srila_Prabhupada/01_-_Lectures/01_-_English/01_-_Topic_wise/Bhagavad_Gita/Chapter-04/SP_BG_04-01_Columbus_1969-05-09_Big_Scholars_Can%27t_Get_What--etc.mp3" TargetMode="External"/><Relationship Id="rId1042" Type="http://schemas.openxmlformats.org/officeDocument/2006/relationships/hyperlink" Target="https://audio.iskcondesiretree.com/01_-_Srila_Prabhupada/01_-_Lectures/01_-_English/02_-_Month_wise/06_-_June/21/SB_1-10-06_MAY_1973-06-21_Peaceful_People_in_Kingdom.mp3" TargetMode="External"/><Relationship Id="rId4198" Type="http://schemas.openxmlformats.org/officeDocument/2006/relationships/hyperlink" Target="https://audio.iskcondesiretree.com/01_-_Srila_Prabhupada/01_-_Lectures/01_-_English/02_-_Month_wise/01_-_January/21/Walk_1976-01-21_MW-MAYAPUR.MP3" TargetMode="External"/><Relationship Id="rId5249" Type="http://schemas.openxmlformats.org/officeDocument/2006/relationships/hyperlink" Target="https://audio.iskcondesiretree.com/01_-_Srila_Prabhupada/01_-_Lectures/01_-_English/02_-_Month_wise/09_-_September/21/SB-01-07-24_1976-09-21_SB-VRNDAVAN.MP3" TargetMode="External"/><Relationship Id="rId5663" Type="http://schemas.openxmlformats.org/officeDocument/2006/relationships/hyperlink" Target="https://audio.iskcondesiretree.com/01_-_Srila_Prabhupada/01_-_Lectures/01_-_English/02_-_Month_wise/01_-_January/31/Walk_1977-01-31_MW-BHUBANESWAR.MP3" TargetMode="External"/><Relationship Id="rId4265" Type="http://schemas.openxmlformats.org/officeDocument/2006/relationships/hyperlink" Target="https://audio.iskcondesiretree.com/01_-_Srila_Prabhupada/01_-_Lectures/01_-_English/02_-_Month_wise/02_-_Feburary/21/SB-07-09-14_1976-02-21_SB-MAYAPUR.MP3" TargetMode="External"/><Relationship Id="rId5316" Type="http://schemas.openxmlformats.org/officeDocument/2006/relationships/hyperlink" Target="https://audio.iskcondesiretree.com/01_-_Srila_Prabhupada/01_-_Lectures/01_-_English/02_-_Month_wise/10_-_October/08/SB_1-07-51_VRN_1976-10-08_Anyone_Can_Become_Devotee.mp3" TargetMode="External"/><Relationship Id="rId1859" Type="http://schemas.openxmlformats.org/officeDocument/2006/relationships/hyperlink" Target="https://audio.iskcondesiretree.com/01_-_Srila_Prabhupada/01_-_Lectures/01_-_English/02_-_Month_wise/04_-_April/11/Walk_1974-04-11_MW-BOMBAY.MP3" TargetMode="External"/><Relationship Id="rId5730" Type="http://schemas.openxmlformats.org/officeDocument/2006/relationships/hyperlink" Target="https://audio.iskcondesiretree.com/01_-_Srila_Prabhupada/01_-_Lectures/01_-_English/02_-_Month_wise/02_-_Feburary/25/Darshan_1977-02-25_ED-MAYAPUR.MP3" TargetMode="External"/><Relationship Id="rId1926" Type="http://schemas.openxmlformats.org/officeDocument/2006/relationships/hyperlink" Target="https://audio.iskcondesiretree.com/01_-_Srila_Prabhupada/01_-_Lectures/01_-_English/01_-_Topic_wise/Srimad_Bhagavatam/Canto-01/SP_SB_01-02-10_Hyderabad_1974-04-24.mp3" TargetMode="External"/><Relationship Id="rId3281" Type="http://schemas.openxmlformats.org/officeDocument/2006/relationships/hyperlink" Target="https://audio.iskcondesiretree.com/01_-_Srila_Prabhupada/01_-_Lectures/01_-_English/02_-_Month_wise/06_-_June/11/Conv_1975-06-11_R1-HONOLULU.MP3" TargetMode="External"/><Relationship Id="rId4332" Type="http://schemas.openxmlformats.org/officeDocument/2006/relationships/hyperlink" Target="https://audio.iskcondesiretree.com/01_-_Srila_Prabhupada/01_-_Lectures/01_-_English/02_-_Month_wise/03_-_March/08/Walk_1976-03-08_MW-MAYAPUR.MP3" TargetMode="External"/><Relationship Id="rId3001" Type="http://schemas.openxmlformats.org/officeDocument/2006/relationships/hyperlink" Target="https://audio.iskcondesiretree.com/01_-_Srila_Prabhupada/01_-_Lectures/01_-_English/02_-_Month_wise/03_-_March/28/Cc_A_1-04_MAY_1975-03-28_Every_One_of_You--Become_a_Guru.mp3" TargetMode="External"/><Relationship Id="rId6157" Type="http://schemas.openxmlformats.org/officeDocument/2006/relationships/hyperlink" Target="https://audio.iskcondesiretree.com/01_-_Srila_Prabhupada/01_-_Lectures/01_-_English/01_-_Topic_wise/Stories/SP_Story_33_Saksi_Gopala.mp3" TargetMode="External"/><Relationship Id="rId2767" Type="http://schemas.openxmlformats.org/officeDocument/2006/relationships/hyperlink" Target="https://audio.iskcondesiretree.com/01_-_Srila_Prabhupada/01_-_Lectures/01_-_English/02_-_Month_wise/02_-_Feburary/06/Bg_16-10_HAW_1975-02-06_The_Demonic_Attitude.mp3" TargetMode="External"/><Relationship Id="rId5173" Type="http://schemas.openxmlformats.org/officeDocument/2006/relationships/hyperlink" Target="https://audio.iskcondesiretree.com/01_-_Srila_Prabhupada/01_-_Lectures/01_-_English/02_-_Month_wise/09_-_September/01/Darshan_1976-09-01_ED-DELHI.MP3" TargetMode="External"/><Relationship Id="rId739" Type="http://schemas.openxmlformats.org/officeDocument/2006/relationships/hyperlink" Target="https://audio.iskcondesiretree.com/01_-_Srila_Prabhupada/01_-_Lectures/01_-_English/01_-_Topic_wise/Srimad_Bhagavatam/Canto-01/SP_SB_1-02-12_Vrindavan_1972-10-23_Beyond_Business_of_Hogs_and_Dogs.mp3" TargetMode="External"/><Relationship Id="rId1369" Type="http://schemas.openxmlformats.org/officeDocument/2006/relationships/hyperlink" Target="https://audio.iskcondesiretree.com/01_-_Srila_Prabhupada/01_-_Lectures/01_-_English/01_-_Topic_wise/Srimad_Bhagavatam/Canto-01/SP_SB_1-02-12_Delhi_1973-11-18_Qualifying_to_Dance_with_Krishna.mp3" TargetMode="External"/><Relationship Id="rId3818" Type="http://schemas.openxmlformats.org/officeDocument/2006/relationships/hyperlink" Target="https://audio.iskcondesiretree.com/01_-_Srila_Prabhupada/01_-_Lectures/01_-_English/02_-_Month_wise/10_-_October/04/RC_MAU_1975-10-04_Students-Death-The_Ultimate_Philosophy.mp3" TargetMode="External"/><Relationship Id="rId5240" Type="http://schemas.openxmlformats.org/officeDocument/2006/relationships/hyperlink" Target="https://audio.iskcondesiretree.com/01_-_Srila_Prabhupada/01_-_Lectures/01_-_English/02_-_Month_wise/09_-_September/17/SB-01-07-20%E2%80%9321_1976-09-17_SB-VRNDAVAN.MP3" TargetMode="External"/><Relationship Id="rId1783" Type="http://schemas.openxmlformats.org/officeDocument/2006/relationships/hyperlink" Target="https://audio.iskcondesiretree.com/01_-_Srila_Prabhupada/01_-_Lectures/01_-_English/01_-_Topic_wise/Bhagavad_Gita/Chapter-04/SP_BG_04-10_Bombay_1974-03-30_Reducing_our_Animality--etc.mp3" TargetMode="External"/><Relationship Id="rId2834" Type="http://schemas.openxmlformats.org/officeDocument/2006/relationships/hyperlink" Target="https://audio.iskcondesiretree.com/01_-_Srila_Prabhupada/01_-_Lectures/01_-_English/01_-_Topic_wise/Room_Conversation/SP_Room_Conversation_Caracas_1975-02-22_Psychiatrist--If_the_Driver_Is_Defective.mp3" TargetMode="External"/><Relationship Id="rId75" Type="http://schemas.openxmlformats.org/officeDocument/2006/relationships/hyperlink" Target="https://audio.iskcondesiretree.com/01_-_Srila_Prabhupada/01_-_Lectures/01_-_English/01_-_Topic_wise/Bhagavad_Gita/Chapter-06/SP_BG_06-11-19_New_York_1966-09-07_Yoga_System--Chant_the_Holy--etc.mp3" TargetMode="External"/><Relationship Id="rId806" Type="http://schemas.openxmlformats.org/officeDocument/2006/relationships/hyperlink" Target="https://audio.iskcondesiretree.com/01_-_Srila_Prabhupada/01_-_Lectures/01_-_English/02_-_Month_wise/11_-_November/10/NOD_13_VRN_1972-11-10_The_Complete_Science_of_Bhakti-Yoga.mp3" TargetMode="External"/><Relationship Id="rId1436" Type="http://schemas.openxmlformats.org/officeDocument/2006/relationships/hyperlink" Target="https://audio.iskcondesiretree.com/01_-_Srila_Prabhupada/01_-_Lectures/01_-_English/02_-_Month_wise/12_-_December/16/SB_1-15-38_LA_1973-12-16_The_Ruler_Should_Be_Devotee.mp3" TargetMode="External"/><Relationship Id="rId1850" Type="http://schemas.openxmlformats.org/officeDocument/2006/relationships/hyperlink" Target="https://audio.iskcondesiretree.com/01_-_Srila_Prabhupada/01_-_Lectures/01_-_English/01_-_Topic_wise/Morning_Walk/SP_Morning_Walk_-_Bombay_1974-04-10_Our_Business_is_to_Point_Out_Who_Is--etc.mp3" TargetMode="External"/><Relationship Id="rId2901" Type="http://schemas.openxmlformats.org/officeDocument/2006/relationships/hyperlink" Target="https://audio.iskcondesiretree.com/01_-_Srila_Prabhupada/01_-_Lectures/01_-_English/02_-_Month_wise/03_-_March/03/Lecture_1975-03-03_LE-DALLAS.MP3" TargetMode="External"/><Relationship Id="rId1503" Type="http://schemas.openxmlformats.org/officeDocument/2006/relationships/hyperlink" Target="https://audio.iskcondesiretree.com/01_-_Srila_Prabhupada/01_-_Lectures/01_-_English/02_-_Month_wise/01_-_January/09/MW_LA_1974-01-09_The_Night-and-Day_Dream.mp3" TargetMode="External"/><Relationship Id="rId4659" Type="http://schemas.openxmlformats.org/officeDocument/2006/relationships/hyperlink" Target="https://audio.iskcondesiretree.com/01_-_Srila_Prabhupada/01_-_Lectures/01_-_English/02_-_Month_wise/05_-_May/28/Walk_1976-05-28_MW-HONOLULU.MP3" TargetMode="External"/><Relationship Id="rId3675" Type="http://schemas.openxmlformats.org/officeDocument/2006/relationships/hyperlink" Target="https://audio.iskcondesiretree.com/01_-_Srila_Prabhupada/01_-_Lectures/01_-_English/01_-_Topic_wise/Morning_Walk/SP_Morning_Walk_-_Bombay_1975-08-17.MP3" TargetMode="External"/><Relationship Id="rId4726" Type="http://schemas.openxmlformats.org/officeDocument/2006/relationships/hyperlink" Target="https://audio.iskcondesiretree.com/01_-_Srila_Prabhupada/01_-_Lectures/01_-_English/02_-_Month_wise/06_-_June/10/Conv_1976-06-10_R2-LOS%20ANGELES.MP3" TargetMode="External"/><Relationship Id="rId6081" Type="http://schemas.openxmlformats.org/officeDocument/2006/relationships/hyperlink" Target="https://audio.iskcondesiretree.com/01_-_Srila_Prabhupada/01_-_Lectures/01_-_English/01_-_Topic_wise/Krishna_Book/SP_Krsna_Book_Dict_37_-_The_Killing_Kesi_and_Vyomasura.mp3" TargetMode="External"/><Relationship Id="rId596" Type="http://schemas.openxmlformats.org/officeDocument/2006/relationships/hyperlink" Target="https://audio.iskcondesiretree.com/01_-_Srila_Prabhupada/01_-_Lectures/01_-_English/01_-_Topic_wise/Srimad_Bhagavatam/Canto-02/SP_SB_2-03-17_Los_Angeles_1972-06-12_If_You_Want_to_Live_Forever.mp3" TargetMode="External"/><Relationship Id="rId2277" Type="http://schemas.openxmlformats.org/officeDocument/2006/relationships/hyperlink" Target="https://audio.iskcondesiretree.com/01_-_Srila_Prabhupada/01_-_Lectures/01_-_English/02_-_Month_wise/07_-_July/13/MW_LA_1974-07-13_We_Going_to_Produce_Vaishnava_Heroes.mp3" TargetMode="External"/><Relationship Id="rId2691" Type="http://schemas.openxmlformats.org/officeDocument/2006/relationships/hyperlink" Target="https://audio.iskcondesiretree.com/01_-_Srila_Prabhupada/01_-_Lectures/01_-_English/02_-_Month_wise/01_-_January/11/SB_3-26-34_BOM_1975-01-11_Passing_Life%27s_Final_Examination.mp3" TargetMode="External"/><Relationship Id="rId3328" Type="http://schemas.openxmlformats.org/officeDocument/2006/relationships/hyperlink" Target="https://audio.iskcondesiretree.com/01_-_Srila_Prabhupada/01_-_Lectures/01_-_English/01_-_Topic_wise/Various/SP_Car_Conversation_Honolulu_1975-06-20.MP3" TargetMode="External"/><Relationship Id="rId3742" Type="http://schemas.openxmlformats.org/officeDocument/2006/relationships/hyperlink" Target="https://audio.iskcondesiretree.com/01_-_Srila_Prabhupada/01_-_Lectures/01_-_English/02_-_Month_wise/09_-_September/09/SB-06-02-05%E2%80%9306_1975-09-09_SB-VRNDAVAN.MP3" TargetMode="External"/><Relationship Id="rId249" Type="http://schemas.openxmlformats.org/officeDocument/2006/relationships/hyperlink" Target="https://audio.iskcondesiretree.com/01_-_Srila_Prabhupada/01_-_Lectures/01_-_English/02_-_Month_wise/08_-_August/16/Fest_MON_1968-08-16_Janmastami.mp3" TargetMode="External"/><Relationship Id="rId663" Type="http://schemas.openxmlformats.org/officeDocument/2006/relationships/hyperlink" Target="https://audio.iskcondesiretree.com/01_-_Srila_Prabhupada/01_-_Lectures/01_-_English/02_-_Month_wise/08_-_August/26/SB_1-02-23_LA_1972-08-26_The_Material_World-A_Chance.mp3" TargetMode="External"/><Relationship Id="rId1293" Type="http://schemas.openxmlformats.org/officeDocument/2006/relationships/hyperlink" Target="https://audio.iskcondesiretree.com/01_-_Srila_Prabhupada/01_-_Lectures/01_-_English/01_-_Topic_wise/Bhagavad_Gita/Chapter-13/SP_BG_13-04_Bombay_1973-09-27_The_Witness_and_the_Wanderer.mp3" TargetMode="External"/><Relationship Id="rId2344" Type="http://schemas.openxmlformats.org/officeDocument/2006/relationships/hyperlink" Target="https://audio.iskcondesiretree.com/01_-_Srila_Prabhupada/01_-_Lectures/01_-_English/02_-_Month_wise/08_-_August/11/Janmastami_1974-08-11_BG-VRNDAVAN.MP3" TargetMode="External"/><Relationship Id="rId316" Type="http://schemas.openxmlformats.org/officeDocument/2006/relationships/hyperlink" Target="https://audio.iskcondesiretree.com/01_-_Srila_Prabhupada/01_-_Lectures/01_-_English/01_-_Topic_wise/Bhagavad_Gita/Chapter-02/SP_BG_02-28-38_Los_Angeles_1968-12-11_Some_Look_On_the_Soul_As_Amazing.mp3" TargetMode="External"/><Relationship Id="rId730" Type="http://schemas.openxmlformats.org/officeDocument/2006/relationships/hyperlink" Target="https://audio.iskcondesiretree.com/01_-_Srila_Prabhupada/01_-_Lectures/01_-_English/02_-_Month_wise/10_-_October/20/NOD_01_VRN_1972-10-20_The_Complete_Science_of_Bhakti-Yoga.mp3" TargetMode="External"/><Relationship Id="rId1013" Type="http://schemas.openxmlformats.org/officeDocument/2006/relationships/hyperlink" Target="https://audio.iskcondesiretree.com/01_-_Srila_Prabhupada/01_-_Lectures/01_-_English/02_-_Month_wise/05_-_May/15/MW_LA_1973-05-15_Science_Vs_Veda_Vs_Religion.mp3" TargetMode="External"/><Relationship Id="rId1360" Type="http://schemas.openxmlformats.org/officeDocument/2006/relationships/hyperlink" Target="https://audio.iskcondesiretree.com/01_-_Srila_Prabhupada/01_-_Lectures/01_-_English/02_-_Month_wise/11_-_November/11/SB_1-02-05_DEL_1973-11-11_The_Ultimate_Gain_in_Life.mp3" TargetMode="External"/><Relationship Id="rId2411" Type="http://schemas.openxmlformats.org/officeDocument/2006/relationships/hyperlink" Target="https://audio.iskcondesiretree.com/01_-_Srila_Prabhupada/01_-_Lectures/01_-_English/02_-_Month_wise/10_-_October/04/SB-01-08-24_1974-10-04_SB-MAYAPUR.MP3" TargetMode="External"/><Relationship Id="rId4169" Type="http://schemas.openxmlformats.org/officeDocument/2006/relationships/hyperlink" Target="https://audio.iskcondesiretree.com/01_-_Srila_Prabhupada/01_-_Lectures/01_-_English/02_-_Month_wise/01_-_January/07/SB-06-01-09_1976-01-07_SB-NELLORE.MP3" TargetMode="External"/><Relationship Id="rId5567" Type="http://schemas.openxmlformats.org/officeDocument/2006/relationships/hyperlink" Target="https://audio.iskcondesiretree.com/01_-_Srila_Prabhupada/01_-_Lectures/01_-_English/02_-_Month_wise/01_-_January/07/Conv_1977-01-07_R1-BOMBAY.MP3" TargetMode="External"/><Relationship Id="rId5981" Type="http://schemas.openxmlformats.org/officeDocument/2006/relationships/hyperlink" Target="https://audio.iskcondesiretree.com/01_-_Srila_Prabhupada/01_-_Lectures/01_-_English/02_-_Month_wise/11_-_November/02/Conv_1977-11-02_R3-VRNDAVAN.MP3" TargetMode="External"/><Relationship Id="rId4583" Type="http://schemas.openxmlformats.org/officeDocument/2006/relationships/hyperlink" Target="https://audio.iskcondesiretree.com/01_-_Srila_Prabhupada/01_-_Lectures/01_-_English/02_-_Month_wise/05_-_May/09/SB_6-01-08_HON_1976-05-09_The_Only_Hope.mp3" TargetMode="External"/><Relationship Id="rId5634" Type="http://schemas.openxmlformats.org/officeDocument/2006/relationships/hyperlink" Target="https://audio.iskcondesiretree.com/01_-_Srila_Prabhupada/01_-_Lectures/01_-_English/02_-_Month_wise/01_-_January/25/RC_BHU_1977-01-25_Sex_and_Salt_May_Be_Bad_for_You-_Not_Krishna.mp3" TargetMode="External"/><Relationship Id="rId3185" Type="http://schemas.openxmlformats.org/officeDocument/2006/relationships/hyperlink" Target="https://audio.iskcondesiretree.com/01_-_Srila_Prabhupada/01_-_Lectures/01_-_English/01_-_Topic_wise/Room_Conversation/SP_Room_Conversation_Perth_1975-05-16_Alcohol_%26_Drug_Hospital--Send_All--etc.mp3" TargetMode="External"/><Relationship Id="rId4236" Type="http://schemas.openxmlformats.org/officeDocument/2006/relationships/hyperlink" Target="https://audio.iskcondesiretree.com/01_-_Srila_Prabhupada/01_-_Lectures/01_-_English/02_-_Month_wise/02_-_Feburary/14/SB-07-09-07_1976-02-14_SB-MAYAPUR.MP3" TargetMode="External"/><Relationship Id="rId4650" Type="http://schemas.openxmlformats.org/officeDocument/2006/relationships/hyperlink" Target="https://audio.iskcondesiretree.com/01_-_Srila_Prabhupada/01_-_Lectures/01_-_English/02_-_Month_wise/05_-_May/26/SB_6-01-26_HON_1976-05-26_Krishna%27s_Sense_Gratification.mp3" TargetMode="External"/><Relationship Id="rId5701" Type="http://schemas.openxmlformats.org/officeDocument/2006/relationships/hyperlink" Target="https://audio.iskcondesiretree.com/01_-_Srila_Prabhupada/01_-_Lectures/01_-_English/02_-_Month_wise/02_-_Feburary/14/Conv_1977-02-14_RO-MAYAPUR.MP3" TargetMode="External"/><Relationship Id="rId3252" Type="http://schemas.openxmlformats.org/officeDocument/2006/relationships/hyperlink" Target="https://audio.iskcondesiretree.com/01_-_Srila_Prabhupada/01_-_Lectures/01_-_English/02_-_Month_wise/05_-_May/28/Walk_1975-05-28_MW-HONOLULU.MP3" TargetMode="External"/><Relationship Id="rId4303" Type="http://schemas.openxmlformats.org/officeDocument/2006/relationships/hyperlink" Target="https://audio.iskcondesiretree.com/01_-_Srila_Prabhupada/01_-_Lectures/01_-_English/02_-_Month_wise/03_-_March/01/SB-07-09-23_1976-03-01_SB-MAYAPUR.MP3" TargetMode="External"/><Relationship Id="rId173" Type="http://schemas.openxmlformats.org/officeDocument/2006/relationships/hyperlink" Target="https://audio.iskcondesiretree.com/01_-_Srila_Prabhupada/01_-_Lectures/01_-_English/02_-_Month_wise/12_-_December/18/Cc_M_20-281_NY_1966-12-18_Manifestation_of_Universe.mp3" TargetMode="External"/><Relationship Id="rId240" Type="http://schemas.openxmlformats.org/officeDocument/2006/relationships/hyperlink" Target="https://audio.iskcondesiretree.com/01_-_Srila_Prabhupada/01_-_Lectures/01_-_English/01_-_Topic_wise/Srimad_Bhagavatam/Canto-07/SP_SB_7-06-03_Montreal_1968-06-16_Stop_Adjusting_the_Material_World.mp3" TargetMode="External"/><Relationship Id="rId5077" Type="http://schemas.openxmlformats.org/officeDocument/2006/relationships/hyperlink" Target="https://audio.iskcondesiretree.com/01_-_Srila_Prabhupada/01_-_Lectures/01_-_English/02_-_Month_wise/08_-_August/09/Conv_1976-08-09_R2-TEHRAN.MP3" TargetMode="External"/><Relationship Id="rId6128" Type="http://schemas.openxmlformats.org/officeDocument/2006/relationships/hyperlink" Target="https://audio.iskcondesiretree.com/01_-_Srila_Prabhupada/01_-_Lectures/01_-_English/01_-_Topic_wise/Stories/SP_Story_04_Arjunacarya.mp3" TargetMode="External"/><Relationship Id="rId4093" Type="http://schemas.openxmlformats.org/officeDocument/2006/relationships/hyperlink" Target="https://audio.iskcondesiretree.com/01_-_Srila_Prabhupada/01_-_Lectures/01_-_English/02_-_Month_wise/12_-_December/14/Walk_1975-12-14_MW-DELHI.MP3" TargetMode="External"/><Relationship Id="rId5144" Type="http://schemas.openxmlformats.org/officeDocument/2006/relationships/hyperlink" Target="https://audio.iskcondesiretree.com/01_-_Srila_Prabhupada/01_-_Lectures/01_-_English/01_-_Topic_wise/Room_Conversation/SP_Room_Conversation_Hyderabad_1976-08-22_Government_Minister--Relief_from--etc.mp3" TargetMode="External"/><Relationship Id="rId5491" Type="http://schemas.openxmlformats.org/officeDocument/2006/relationships/hyperlink" Target="https://audio.iskcondesiretree.com/01_-_Srila_Prabhupada/01_-_Lectures/01_-_English/02_-_Month_wise/12_-_December/11/Bg-07-06_1976-12-11_BG-HYDERABAD.MP3" TargetMode="External"/><Relationship Id="rId1687" Type="http://schemas.openxmlformats.org/officeDocument/2006/relationships/hyperlink" Target="https://audio.iskcondesiretree.com/01_-_Srila_Prabhupada/01_-_Lectures/01_-_English/02_-_Month_wise/03_-_March/07/CcAdi-07-005_1974-03-07_CC-MAYAPUR.MP3" TargetMode="External"/><Relationship Id="rId2738" Type="http://schemas.openxmlformats.org/officeDocument/2006/relationships/hyperlink" Target="https://audio.iskcondesiretree.com/01_-_Srila_Prabhupada/01_-_Lectures/01_-_English/02_-_Month_wise/01_-_January/28/Bg-16-08_1975-01-28_BG-TOKYO.MP3" TargetMode="External"/><Relationship Id="rId1754" Type="http://schemas.openxmlformats.org/officeDocument/2006/relationships/hyperlink" Target="https://audio.iskcondesiretree.com/01_-_Srila_Prabhupada/01_-_Lectures/01_-_English/02_-_Month_wise/03_-_March/24/Walk_1974-03-24_MW-BOMBAY.MP3" TargetMode="External"/><Relationship Id="rId2805" Type="http://schemas.openxmlformats.org/officeDocument/2006/relationships/hyperlink" Target="https://audio.iskcondesiretree.com/01_-_Srila_Prabhupada/01_-_Lectures/01_-_English/02_-_Month_wise/02_-_Feburary/15/Bg-02-15_1975-02-15_BG-MEXICO%20CITY.MP3" TargetMode="External"/><Relationship Id="rId4160" Type="http://schemas.openxmlformats.org/officeDocument/2006/relationships/hyperlink" Target="https://audio.iskcondesiretree.com/01_-_Srila_Prabhupada/01_-_Lectures/01_-_English/02_-_Month_wise/01_-_January/04/Walk_1976-01-04_MW-NELLORE.MP3" TargetMode="External"/><Relationship Id="rId5211" Type="http://schemas.openxmlformats.org/officeDocument/2006/relationships/hyperlink" Target="https://audio.iskcondesiretree.com/01_-_Srila_Prabhupada/01_-_Lectures/01_-_English/02_-_Month_wise/09_-_September/09/SB-01-07-10_1976-09-09_SB-VRNDAVAN.MP3" TargetMode="External"/><Relationship Id="rId46" Type="http://schemas.openxmlformats.org/officeDocument/2006/relationships/hyperlink" Target="https://audio.iskcondesiretree.com/01_-_Srila_Prabhupada/01_-_Lectures/01_-_English/01_-_Topic_wise/Bhagavad_Gita/Chapter-04/SP_BG_04-06-08_New_York_1966-07-20_Why_the_Lord_and_His--etc.mp3" TargetMode="External"/><Relationship Id="rId1407" Type="http://schemas.openxmlformats.org/officeDocument/2006/relationships/hyperlink" Target="https://audio.iskcondesiretree.com/01_-_Srila_Prabhupada/01_-_Lectures/01_-_English/01_-_Topic_wise/Room_Conversation/SP_Room_Conversation_Los_Angeles_1973-12-09_Prof--A_Little_Krishna_Consciousness--etc.mp3" TargetMode="External"/><Relationship Id="rId1821" Type="http://schemas.openxmlformats.org/officeDocument/2006/relationships/hyperlink" Target="https://audio.iskcondesiretree.com/01_-_Srila_Prabhupada/01_-_Lectures/01_-_English/02_-_Month_wise/04_-_April/04/Walk_1974-04-04_MW-BOMBAY.MP3" TargetMode="External"/><Relationship Id="rId4977" Type="http://schemas.openxmlformats.org/officeDocument/2006/relationships/hyperlink" Target="https://audio.iskcondesiretree.com/01_-_Srila_Prabhupada/01_-_Lectures/01_-_English/02_-_Month_wise/07_-_July/15/CcMadhya-20-108-109_1976-07-15_CC-NEW%20YORK.MP3" TargetMode="External"/><Relationship Id="rId3579" Type="http://schemas.openxmlformats.org/officeDocument/2006/relationships/hyperlink" Target="https://audio.iskcondesiretree.com/01_-_Srila_Prabhupada/01_-_Lectures/01_-_English/01_-_Topic_wise/Srimad_Bhagavatam/Canto-06/SP_SB_6-1-43_Los_Angeles_1975-07-24.MP3" TargetMode="External"/><Relationship Id="rId2595" Type="http://schemas.openxmlformats.org/officeDocument/2006/relationships/hyperlink" Target="https://audio.iskcondesiretree.com/01_-_Srila_Prabhupada/01_-_Lectures/01_-_English/02_-_Month_wise/12_-_December/09/SB-03-25-41_1974-12-09_SB-BOMBAY.MP3" TargetMode="External"/><Relationship Id="rId3993" Type="http://schemas.openxmlformats.org/officeDocument/2006/relationships/hyperlink" Target="https://audio.iskcondesiretree.com/01_-_Srila_Prabhupada/01_-_Lectures/01_-_English/01_-_Topic_wise/Various/SP_Lecture_Bombay_1975-11-16_The_Covered_Margin--Uncovered.mp3" TargetMode="External"/><Relationship Id="rId6052" Type="http://schemas.openxmlformats.org/officeDocument/2006/relationships/hyperlink" Target="https://audio.iskcondesiretree.com/01_-_Srila_Prabhupada/01_-_Lectures/01_-_English/01_-_Topic_wise/Krishna_Book/SP_Krsna_Book_Dict_04_-_Kamsa_Begins_His_Persecutions.mp3" TargetMode="External"/><Relationship Id="rId567" Type="http://schemas.openxmlformats.org/officeDocument/2006/relationships/hyperlink" Target="https://audio.iskcondesiretree.com/01_-_Srila_Prabhupada/01_-_Lectures/01_-_English/02_-_Month_wise/03_-_March/06/Lect_CAL_1972-03-06_Elevating_The_Low-Born--_and_the_High-Born.mp3" TargetMode="External"/><Relationship Id="rId1197" Type="http://schemas.openxmlformats.org/officeDocument/2006/relationships/hyperlink" Target="https://audio.iskcondesiretree.com/01_-_Srila_Prabhupada/01_-_Lectures/01_-_English/01_-_Topic_wise/Festivals/SP_Festivals_London_1973-08-21_Deity_Installation.mp3" TargetMode="External"/><Relationship Id="rId2248" Type="http://schemas.openxmlformats.org/officeDocument/2006/relationships/hyperlink" Target="https://audio.iskcondesiretree.com/01_-_Srila_Prabhupada/01_-_Lectures/01_-_English/02_-_Month_wise/07_-_July/05/SB-01-08-19_1974-07-05_SB-CHICAGO.MP3" TargetMode="External"/><Relationship Id="rId3646" Type="http://schemas.openxmlformats.org/officeDocument/2006/relationships/hyperlink" Target="https://audio.iskcondesiretree.com/01_-_Srila_Prabhupada/01_-_Lectures/01_-_English/01_-_Topic_wise/Morning_Walk/SP_Morning_Walk_-_Detroit_1975-08-06_Krishna_and_Christ-Father_%26_Son.mp3" TargetMode="External"/><Relationship Id="rId981" Type="http://schemas.openxmlformats.org/officeDocument/2006/relationships/hyperlink" Target="https://audio.iskcondesiretree.com/01_-_Srila_Prabhupada/01_-_Lectures/01_-_English/01_-_Topic_wise/Srimad_Bhagavatam/Canto-01/SP_SB_1-08-39_Los_Angeles_1973-05-01_How_Everything_Can_Become_Beautiful.mp3" TargetMode="External"/><Relationship Id="rId2662" Type="http://schemas.openxmlformats.org/officeDocument/2006/relationships/hyperlink" Target="https://audio.iskcondesiretree.com/01_-_Srila_Prabhupada/01_-_Lectures/01_-_English/02_-_Month_wise/01_-_January/01/SB-03-26-23-24_1975-01-01-BOMBAY.MP3" TargetMode="External"/><Relationship Id="rId3713" Type="http://schemas.openxmlformats.org/officeDocument/2006/relationships/hyperlink" Target="https://audio.iskcondesiretree.com/01_-_Srila_Prabhupada/01_-_Lectures/01_-_English/01_-_Topic_wise/Morning_Walk/SP_Morning_Walk_-_Vrindavan_1975-09-03.MP3" TargetMode="External"/><Relationship Id="rId634" Type="http://schemas.openxmlformats.org/officeDocument/2006/relationships/hyperlink" Target="https://audio.iskcondesiretree.com/01_-_Srila_Prabhupada/01_-_Lectures/01_-_English/01_-_Topic_wise/Bhagavad_Gita/Chapter-07/SP_BG_07-01_San_Diego_1972-07-01_Life%27s_Aim_Is_Self-Realization.mp3" TargetMode="External"/><Relationship Id="rId1264" Type="http://schemas.openxmlformats.org/officeDocument/2006/relationships/hyperlink" Target="https://audio.iskcondesiretree.com/01_-_Srila_Prabhupada/01_-_Lectures/01_-_English/02_-_Month_wise/09_-_September/07/SB_5-05-01_STO_1973-09-07_Horrible_Civilization-Going_to_Hell.mp3" TargetMode="External"/><Relationship Id="rId2315" Type="http://schemas.openxmlformats.org/officeDocument/2006/relationships/hyperlink" Target="https://audio.iskcondesiretree.com/01_-_Srila_Prabhupada/01_-_Lectures/01_-_English/01_-_Topic_wise/Bhagavad_Gita/Chapter-04/SP_BG_04-13_Vrindavan_1974-08-05.mp3" TargetMode="External"/><Relationship Id="rId5885" Type="http://schemas.openxmlformats.org/officeDocument/2006/relationships/hyperlink" Target="https://audio.iskcondesiretree.com/01_-_Srila_Prabhupada/01_-_Lectures/01_-_English/02_-_Month_wise/06_-_June/24/Conv_1977-06-24_R1-VRNDAVAN.MP3" TargetMode="External"/><Relationship Id="rId701" Type="http://schemas.openxmlformats.org/officeDocument/2006/relationships/hyperlink" Target="https://audio.iskcondesiretree.com/01_-_Srila_Prabhupada/01_-_Lectures/01_-_English/02_-_Month_wise/09_-_September/25/SB_1-03-20_LA_1972-09-25_This_Tax_That_Tax-Tax_Tax_Tax.mp3" TargetMode="External"/><Relationship Id="rId1331" Type="http://schemas.openxmlformats.org/officeDocument/2006/relationships/hyperlink" Target="https://audio.iskcondesiretree.com/01_-_Srila_Prabhupada/01_-_Lectures/01_-_English/01_-_Topic_wise/Bhagavad_Gita/Chapter-13/SP_BG_13-24_Bombay_1973-10-23_Solving_the_Problems_of_Life.mp3" TargetMode="External"/><Relationship Id="rId4487" Type="http://schemas.openxmlformats.org/officeDocument/2006/relationships/hyperlink" Target="https://audio.iskcondesiretree.com/01_-_Srila_Prabhupada/01_-_Lectures/01_-_English/01_-_Topic_wise/Morning_Walk/SP_Morning_Walk_-_Bombay_1976-04-17_How_to_Use_This_Body.mp3" TargetMode="External"/><Relationship Id="rId5538" Type="http://schemas.openxmlformats.org/officeDocument/2006/relationships/hyperlink" Target="https://audio.iskcondesiretree.com/01_-_Srila_Prabhupada/01_-_Lectures/01_-_English/02_-_Month_wise/12_-_December/28/SB_5-06-10_BOM_1976-12-28_Real_Varnasrama.mp3" TargetMode="External"/><Relationship Id="rId5952" Type="http://schemas.openxmlformats.org/officeDocument/2006/relationships/hyperlink" Target="https://audio.iskcondesiretree.com/01_-_Srila_Prabhupada/01_-_Lectures/01_-_English/02_-_Month_wise/10_-_October/16/Conv_1977-10-16_R2-VRNDAVAN.MP3" TargetMode="External"/><Relationship Id="rId3089" Type="http://schemas.openxmlformats.org/officeDocument/2006/relationships/hyperlink" Target="https://audio.iskcondesiretree.com/01_-_Srila_Prabhupada/01_-_Lectures/01_-_English/01_-_Topic_wise/Room_Conversation/SP_Room_Conversation_Hyderabad_1975-04-12_Sannyasa_Mentality.mp3" TargetMode="External"/><Relationship Id="rId4554" Type="http://schemas.openxmlformats.org/officeDocument/2006/relationships/hyperlink" Target="https://audio.iskcondesiretree.com/01_-_Srila_Prabhupada/01_-_Lectures/01_-_English/02_-_Month_wise/05_-_May/01/RC_FIJ_1976-05-01_President_Big_Pig.mp3" TargetMode="External"/><Relationship Id="rId5605" Type="http://schemas.openxmlformats.org/officeDocument/2006/relationships/hyperlink" Target="https://audio.iskcondesiretree.com/01_-_Srila_Prabhupada/01_-_Lectures/01_-_English/02_-_Month_wise/01_-_January/20/Conv_1977-01-20_R2-BHUBANESWAR.MP3" TargetMode="External"/><Relationship Id="rId3156" Type="http://schemas.openxmlformats.org/officeDocument/2006/relationships/hyperlink" Target="https://audio.iskcondesiretree.com/01_-_Srila_Prabhupada/01_-_Lectures/01_-_English/01_-_Topic_wise/Morning_Walk/SP_Morning_Walk_-_Perth_1975-05-09.MP3" TargetMode="External"/><Relationship Id="rId4207" Type="http://schemas.openxmlformats.org/officeDocument/2006/relationships/hyperlink" Target="https://audio.iskcondesiretree.com/01_-_Srila_Prabhupada/01_-_Lectures/01_-_English/02_-_Month_wise/02_-_Feburary/04/Walk_1976-02-04_MW-MAYAPUR.MP3" TargetMode="External"/><Relationship Id="rId491" Type="http://schemas.openxmlformats.org/officeDocument/2006/relationships/hyperlink" Target="https://audio.iskcondesiretree.com/01_-_Srila_Prabhupada/01_-_Lectures/01_-_English/02_-_Month_wise/01_-_January/17/SB_6-01-21_LA_1970-01-17_Purity_Made_Easy.mp3" TargetMode="External"/><Relationship Id="rId2172" Type="http://schemas.openxmlformats.org/officeDocument/2006/relationships/hyperlink" Target="https://audio.iskcondesiretree.com/01_-_Srila_Prabhupada/01_-_Lectures/01_-_English/02_-_Month_wise/06_-_June/20/MW_GER_1974-06-20_Different_Bodies_Different_Bothers.mp3" TargetMode="External"/><Relationship Id="rId3223" Type="http://schemas.openxmlformats.org/officeDocument/2006/relationships/hyperlink" Target="https://audio.iskcondesiretree.com/01_-_Srila_Prabhupada/01_-_Lectures/01_-_English/02_-_Month_wise/05_-_May/21/Walk_1975-05-21_MW-MELBOURNE.MP3" TargetMode="External"/><Relationship Id="rId3570" Type="http://schemas.openxmlformats.org/officeDocument/2006/relationships/hyperlink" Target="https://audio.iskcondesiretree.com/01_-_Srila_Prabhupada/01_-_Lectures/01_-_English/02_-_Month_wise/07_-_July/21/MW_SF_1975-07-21_Moon_Rocks_from_Arizona.mp3" TargetMode="External"/><Relationship Id="rId4621" Type="http://schemas.openxmlformats.org/officeDocument/2006/relationships/hyperlink" Target="https://audio.iskcondesiretree.com/01_-_Srila_Prabhupada/01_-_Lectures/01_-_English/01_-_Topic_wise/Srimad_Bhagavatam/Canto-06/SP_SB_6-01-19_Honolulu_1976-05-19_Barking_Like_a_Dog.mp3" TargetMode="External"/><Relationship Id="rId144" Type="http://schemas.openxmlformats.org/officeDocument/2006/relationships/hyperlink" Target="https://audio.iskcondesiretree.com/01_-_Srila_Prabhupada/01_-_Lectures/01_-_English/01_-_Topic_wise/Chaitanya_Charitamrita/Madhya_Lila/SP_CC_M_20-146_New_York_1966-12-03_Vedic_Knowledge_Points_to_Lord_Krsna.mp3" TargetMode="External"/><Relationship Id="rId2989" Type="http://schemas.openxmlformats.org/officeDocument/2006/relationships/hyperlink" Target="https://audio.iskcondesiretree.com/01_-_Srila_Prabhupada/01_-_Lectures/01_-_English/02_-_Month_wise/03_-_March/25/Walk_1975-03-25_MW-MAYAPUR.MP3" TargetMode="External"/><Relationship Id="rId5395" Type="http://schemas.openxmlformats.org/officeDocument/2006/relationships/hyperlink" Target="https://audio.iskcondesiretree.com/01_-_Srila_Prabhupada/01_-_Lectures/01_-_English/01_-_Topic_wise/Srimad_Bhagavatam/Canto-05/SP_SB_5-05-20_Vrindavan_1976-11-08_Whole_Planet_Belongs_to_Krishna.mp3" TargetMode="External"/><Relationship Id="rId211" Type="http://schemas.openxmlformats.org/officeDocument/2006/relationships/hyperlink" Target="https://audio.iskcondesiretree.com/01_-_Srila_Prabhupada/01_-_Lectures/01_-_English/02_-_Month_wise/01_-_January/09/Cc_M_22-011_NY_1967-01-09_They_Think_We_Are_All_Right.mp3" TargetMode="External"/><Relationship Id="rId5048" Type="http://schemas.openxmlformats.org/officeDocument/2006/relationships/hyperlink" Target="https://audio.iskcondesiretree.com/01_-_Srila_Prabhupada/01_-_Lectures/01_-_English/02_-_Month_wise/08_-_August/02/RC_PAR_1976-08-02_Gurukula_Teachers.mp3" TargetMode="External"/><Relationship Id="rId5462" Type="http://schemas.openxmlformats.org/officeDocument/2006/relationships/hyperlink" Target="https://audio.iskcondesiretree.com/01_-_Srila_Prabhupada/01_-_Lectures/01_-_English/02_-_Month_wise/11_-_November/28/SB-05-06-06_1976-11-28_SB-VRNDAVAN.MP3" TargetMode="External"/><Relationship Id="rId1658" Type="http://schemas.openxmlformats.org/officeDocument/2006/relationships/hyperlink" Target="https://audio.iskcondesiretree.com/01_-_Srila_Prabhupada/01_-_Lectures/01_-_English/01_-_Topic_wise/Srimad_Bhagavatam/Canto-01/SP_SB_1-02-06_Calcutta_1974-02-27_Krishna_Takes_Only_the--etc.mp3" TargetMode="External"/><Relationship Id="rId2709" Type="http://schemas.openxmlformats.org/officeDocument/2006/relationships/hyperlink" Target="https://audio.iskcondesiretree.com/01_-_Srila_Prabhupada/01_-_Lectures/01_-_English/02_-_Month_wise/01_-_January/18/SB_3-26-43_BOM_1975-01-18_Refreshment_for_Parched_Mind.mp3" TargetMode="External"/><Relationship Id="rId4064" Type="http://schemas.openxmlformats.org/officeDocument/2006/relationships/hyperlink" Target="https://audio.iskcondesiretree.com/01_-_Srila_Prabhupada/01_-_Lectures/01_-_English/02_-_Month_wise/12_-_December/08/SB-07-06-06_1975-12-08_SB-VRNDAVAN.MP3" TargetMode="External"/><Relationship Id="rId5115" Type="http://schemas.openxmlformats.org/officeDocument/2006/relationships/hyperlink" Target="https://audio.iskcondesiretree.com/01_-_Srila_Prabhupada/01_-_Lectures/01_-_English/01_-_Topic_wise/Room_Conversation/SP_Room_Conversation_Bombay_1976-08-16_Prestige-No_Match_for_Karma.mp3" TargetMode="External"/><Relationship Id="rId3080" Type="http://schemas.openxmlformats.org/officeDocument/2006/relationships/hyperlink" Target="https://audio.iskcondesiretree.com/01_-_Srila_Prabhupada/01_-_Lectures/01_-_English/02_-_Month_wise/04_-_April/09/Walk_1975-04-09_MW-MAYAPUR.MP3" TargetMode="External"/><Relationship Id="rId4131" Type="http://schemas.openxmlformats.org/officeDocument/2006/relationships/hyperlink" Target="https://audio.iskcondesiretree.com/01_-_Srila_Prabhupada/01_-_Lectures/01_-_English/02_-_Month_wise/12_-_December/26/Conv_1975-12-26_RF-SANAND.MP3" TargetMode="External"/><Relationship Id="rId1725" Type="http://schemas.openxmlformats.org/officeDocument/2006/relationships/hyperlink" Target="https://audio.iskcondesiretree.com/01_-_Srila_Prabhupada/01_-_Lectures/01_-_English/02_-_Month_wise/03_-_March/17/MW_VRN_1974-03-17_Stop_All_Bogus_Religion.mp3" TargetMode="External"/><Relationship Id="rId17" Type="http://schemas.openxmlformats.org/officeDocument/2006/relationships/hyperlink" Target="https://audio.iskcondesiretree.com/01_-_Srila_Prabhupada/01_-_Lectures/04_-_Translation/Portuguese/by_Lilananda_Prabhu/SP_BG_02-13_NY_1966-03-11_Uma_Mente_Perturbada_e_Devido_a_Ignorancia.mp3" TargetMode="External"/><Relationship Id="rId3897" Type="http://schemas.openxmlformats.org/officeDocument/2006/relationships/hyperlink" Target="https://audio.iskcondesiretree.com/01_-_Srila_Prabhupada/01_-_Lectures/01_-_English/01_-_Topic_wise/Srimad_Bhagavatam/Canto-05/SP_SB_5-05-01_Johannesburg_1975-10-20_The_Natural_World--Unnatural.mp3" TargetMode="External"/><Relationship Id="rId4948" Type="http://schemas.openxmlformats.org/officeDocument/2006/relationships/hyperlink" Target="https://audio.iskcondesiretree.com/01_-_Srila_Prabhupada/01_-_Lectures/01_-_English/02_-_Month_wise/07_-_July/11/Cc_M_20-105_NY_1976-07-11_Approach_the_Spiritual_etc.mp3" TargetMode="External"/><Relationship Id="rId2499" Type="http://schemas.openxmlformats.org/officeDocument/2006/relationships/hyperlink" Target="https://audio.iskcondesiretree.com/01_-_Srila_Prabhupada/01_-_Lectures/01_-_English/02_-_Month_wise/11_-_November/07/SB_3-25-07_BOM_1974-11-07_Sensual_Darkness-Spiritual_etc.mp3" TargetMode="External"/><Relationship Id="rId3964" Type="http://schemas.openxmlformats.org/officeDocument/2006/relationships/hyperlink" Target="https://audio.iskcondesiretree.com/01_-_Srila_Prabhupada/01_-_Lectures/01_-_English/02_-_Month_wise/11_-_November/07/Walk_1975-11-07_MW-BOMBAY.MP3" TargetMode="External"/><Relationship Id="rId1" Type="http://schemas.openxmlformats.org/officeDocument/2006/relationships/hyperlink" Target="https://audio.iskcondesiretree.com/01_-_Srila_Prabhupada/01_-_Lectures/01_-_English/01_-_Topic_wise/Bhagavad_Gita/More/SP_BG_00-01_New_York_1966-02-19_-20_Intro_1_to_Bhagavad_Gita.mp3" TargetMode="External"/><Relationship Id="rId885" Type="http://schemas.openxmlformats.org/officeDocument/2006/relationships/hyperlink" Target="https://audio.iskcondesiretree.com/01_-_Srila_Prabhupada/01_-_Lectures/01_-_English/02_-_Month_wise/01_-_January/03/Lect_BOM_1973-01-03_Brahma-samhita-Nobody_Knows_Krishna.mp3" TargetMode="External"/><Relationship Id="rId2566" Type="http://schemas.openxmlformats.org/officeDocument/2006/relationships/hyperlink" Target="https://audio.iskcondesiretree.com/01_-_Srila_Prabhupada/01_-_Lectures/01_-_English/02_-_Month_wise/11_-_November/29/SB_3-25-29_BOM_1974-11-29_Understanding_Highest_Truth.mp3" TargetMode="External"/><Relationship Id="rId2980" Type="http://schemas.openxmlformats.org/officeDocument/2006/relationships/hyperlink" Target="https://audio.iskcondesiretree.com/01_-_Srila_Prabhupada/01_-_Lectures/01_-_English/01_-_Topic_wise/Arrival_Address/SP_Arrival_Talk_Mayapur_1975-03-23.MP3" TargetMode="External"/><Relationship Id="rId3617" Type="http://schemas.openxmlformats.org/officeDocument/2006/relationships/hyperlink" Target="https://audio.iskcondesiretree.com/01_-_Srila_Prabhupada/01_-_Lectures/01_-_English/01_-_Topic_wise/Room_Conversation/SP_Room_Conversation_01_New_Orleans_1975-07-31.MP3" TargetMode="External"/><Relationship Id="rId6023" Type="http://schemas.openxmlformats.org/officeDocument/2006/relationships/hyperlink" Target="https://audio.iskcondesiretree.com/01_-_Srila_Prabhupada/01_-_Lectures/01_-_English/02_-_Month_wise/11_-_November/13/Conv_1977-11-13_R2-VRNDAVAN.MP3" TargetMode="External"/><Relationship Id="rId538" Type="http://schemas.openxmlformats.org/officeDocument/2006/relationships/hyperlink" Target="https://audio.iskcondesiretree.com/01_-_Srila_Prabhupada/01_-_Lectures/01_-_English/01_-_Topic_wise/Festivals/SP_Festivals_Los_Angeles_1971-07-01_Ratha_Yatra.mp3" TargetMode="External"/><Relationship Id="rId952" Type="http://schemas.openxmlformats.org/officeDocument/2006/relationships/hyperlink" Target="https://audio.iskcondesiretree.com/01_-_Srila_Prabhupada/01_-_Lectures/01_-_English/02_-_Month_wise/04_-_April/17/SB_1-08-25_LA_1973-04-17_Cross_This_Ocean_of_Danger.mp3" TargetMode="External"/><Relationship Id="rId1168" Type="http://schemas.openxmlformats.org/officeDocument/2006/relationships/hyperlink" Target="https://audio.iskcondesiretree.com/01_-_Srila_Prabhupada/01_-_Lectures/01_-_English/01_-_Topic_wise/Bhagavad_Gita/Chapter-13/SP_BG_13-04_Paris_1973-08-12_Varieties_of_Insanities.mp3" TargetMode="External"/><Relationship Id="rId1582" Type="http://schemas.openxmlformats.org/officeDocument/2006/relationships/hyperlink" Target="https://audio.iskcondesiretree.com/01_-_Srila_Prabhupada/01_-_Lectures/01_-_English/02_-_Month_wise/01_-_January/30/Walk_1974-01-30_MW-TOKYO.MP3" TargetMode="External"/><Relationship Id="rId2219" Type="http://schemas.openxmlformats.org/officeDocument/2006/relationships/hyperlink" Target="https://audio.iskcondesiretree.com/01_-_Srila_Prabhupada/01_-_Lectures/01_-_English/02_-_Month_wise/06_-_June/29/Interview_1974-06-29_IV-MELBOURNE.MP3" TargetMode="External"/><Relationship Id="rId2633" Type="http://schemas.openxmlformats.org/officeDocument/2006/relationships/hyperlink" Target="https://audio.iskcondesiretree.com/01_-_Srila_Prabhupada/01_-_Lectures/01_-_English/01_-_Topic_wise/Srimad_Bhagavatam/Canto-03/SP_SB_3-26-10_Bombay_1974-12-22_The_World--not_God--Is_Impersonal.mp3" TargetMode="External"/><Relationship Id="rId5789" Type="http://schemas.openxmlformats.org/officeDocument/2006/relationships/hyperlink" Target="https://audio.iskcondesiretree.com/01_-_Srila_Prabhupada/01_-_Lectures/01_-_English/01_-_Topic_wise/Room_Conversation/SP_Room_Conversation_Bombay_1977-04-04_Unlock_the_Universal_Science.mp3" TargetMode="External"/><Relationship Id="rId605" Type="http://schemas.openxmlformats.org/officeDocument/2006/relationships/hyperlink" Target="https://audio.iskcondesiretree.com/01_-_Srila_Prabhupada/01_-_Lectures/01_-_English/01_-_Topic_wise/Srimad_Bhagavatam/Canto-02/SP_SB_2-03-20-21_Los_Angeles_1972-06-16_Ear_Holes_Like_Snake_Holes.mp3" TargetMode="External"/><Relationship Id="rId1235" Type="http://schemas.openxmlformats.org/officeDocument/2006/relationships/hyperlink" Target="https://audio.iskcondesiretree.com/01_-_Srila_Prabhupada/01_-_Lectures/01_-_English/01_-_Topic_wise/Room_Conversation/SP_Room_Conversation_London_1973-08-31_God_Is_One-Is_Religion_Two.mp3" TargetMode="External"/><Relationship Id="rId1302" Type="http://schemas.openxmlformats.org/officeDocument/2006/relationships/hyperlink" Target="https://audio.iskcondesiretree.com/01_-_Srila_Prabhupada/01_-_Lectures/01_-_English/02_-_Month_wise/10_-_October/02/Bg_13-08_BOM_1973-10-02_How_to_Go_Beyond_Your_Destiny.mp3" TargetMode="External"/><Relationship Id="rId2700" Type="http://schemas.openxmlformats.org/officeDocument/2006/relationships/hyperlink" Target="https://audio.iskcondesiretree.com/01_-_Srila_Prabhupada/01_-_Lectures/01_-_English/02_-_Month_wise/01_-_January/15/SB_3-26-40_BOM_1975-01-15_Study_Krishna_Analytically.mp3" TargetMode="External"/><Relationship Id="rId4458" Type="http://schemas.openxmlformats.org/officeDocument/2006/relationships/hyperlink" Target="https://audio.iskcondesiretree.com/01_-_Srila_Prabhupada/01_-_Lectures/01_-_English/02_-_Month_wise/04_-_April/10/MW_VRN_1976-04-10_The_Crow_Tal-Fruit_Controversy.mp3" TargetMode="External"/><Relationship Id="rId5856" Type="http://schemas.openxmlformats.org/officeDocument/2006/relationships/hyperlink" Target="https://audio.iskcondesiretree.com/01_-_Srila_Prabhupada/01_-_Lectures/01_-_English/02_-_Month_wise/05_-_May/20/Conv_1977-05-20_R1-VRNDAVAN.MP3" TargetMode="External"/><Relationship Id="rId4872" Type="http://schemas.openxmlformats.org/officeDocument/2006/relationships/hyperlink" Target="https://audio.iskcondesiretree.com/01_-_Srila_Prabhupada/01_-_Lectures/01_-_English/02_-_Month_wise/07_-_July/01/SB-07-06-17%E2%80%9318_1976-07-01_SB-NEW%20VRINDAVAN.MP3" TargetMode="External"/><Relationship Id="rId5509" Type="http://schemas.openxmlformats.org/officeDocument/2006/relationships/hyperlink" Target="https://audio.iskcondesiretree.com/01_-_Srila_Prabhupada/01_-_Lectures/01_-_English/02_-_Month_wise/12_-_December/16/Conv_1976-12-16_R1-HYDERABAD.MP3" TargetMode="External"/><Relationship Id="rId5923" Type="http://schemas.openxmlformats.org/officeDocument/2006/relationships/hyperlink" Target="https://audio.iskcondesiretree.com/01_-_Srila_Prabhupada/01_-_Lectures/01_-_English/02_-_Month_wise/07_-_July/31/Conv_1977-07-31_R1-VRNDAVAN.MP3" TargetMode="External"/><Relationship Id="rId395" Type="http://schemas.openxmlformats.org/officeDocument/2006/relationships/hyperlink" Target="https://audio.iskcondesiretree.com/01_-_Srila_Prabhupada/01_-_Lectures/01_-_English/01_-_Topic_wise/Srimad_Bhagavatam/Canto-02/SP_SB_2-01-01_New_York_1969-04-10_The_Krishna-Approaching_Body.mp3" TargetMode="External"/><Relationship Id="rId2076" Type="http://schemas.openxmlformats.org/officeDocument/2006/relationships/hyperlink" Target="https://audio.iskcondesiretree.com/01_-_Srila_Prabhupada/01_-_Lectures/01_-_English/02_-_Month_wise/06_-_June/08/Arr_PAR_1974-06-08_Krishna_Means_the_Active_Principle_etc.mp3" TargetMode="External"/><Relationship Id="rId3474" Type="http://schemas.openxmlformats.org/officeDocument/2006/relationships/hyperlink" Target="https://audio.iskcondesiretree.com/01_-_Srila_Prabhupada/01_-_Lectures/01_-_English/02_-_Month_wise/07_-_July/09/MW_CHI_1975-07-09_All-isms_is_Equal_to_Animalism.mp3" TargetMode="External"/><Relationship Id="rId4525" Type="http://schemas.openxmlformats.org/officeDocument/2006/relationships/hyperlink" Target="https://audio.iskcondesiretree.com/01_-_Srila_Prabhupada/01_-_Lectures/01_-_English/02_-_Month_wise/04_-_April/23/Conv_1976-04-23_R1-MELBOURNE.MP3" TargetMode="External"/><Relationship Id="rId2490" Type="http://schemas.openxmlformats.org/officeDocument/2006/relationships/hyperlink" Target="https://audio.iskcondesiretree.com/01_-_Srila_Prabhupada/01_-_Lectures/01_-_English/02_-_Month_wise/11_-_November/03/SB_3-25-03_BOM_1974-11-03_Krishna_Has_Everything.mp3" TargetMode="External"/><Relationship Id="rId3127" Type="http://schemas.openxmlformats.org/officeDocument/2006/relationships/hyperlink" Target="https://audio.iskcondesiretree.com/01_-_Srila_Prabhupada/01_-_Lectures/01_-_English/01_-_Topic_wise/Room_Conversation/SP_Room_Conversation_Vrindavan_1975-04-20_Governor--The_State_Should_Train_Men.mp3" TargetMode="External"/><Relationship Id="rId3541" Type="http://schemas.openxmlformats.org/officeDocument/2006/relationships/hyperlink" Target="https://audio.iskcondesiretree.com/01_-_Srila_Prabhupada/01_-_Lectures/01_-_English/01_-_Topic_wise/Srimad_Bhagavatam/Canto-06/SP_SB_6-01-32_San_Francisco_1975-07-17_Universal_Government.mp3" TargetMode="External"/><Relationship Id="rId462" Type="http://schemas.openxmlformats.org/officeDocument/2006/relationships/hyperlink" Target="https://audio.iskcondesiretree.com/01_-_Srila_Prabhupada/01_-_Lectures/01_-_English/02_-_Month_wise/09_-_September/04/Fest_HAM_1969-09-04_Janmastami-Fearlessness_There_etc.mp3" TargetMode="External"/><Relationship Id="rId1092" Type="http://schemas.openxmlformats.org/officeDocument/2006/relationships/hyperlink" Target="https://audio.iskcondesiretree.com/01_-_Srila_Prabhupada/01_-_Lectures/01_-_English/01_-_Topic_wise/Bhagavad_Gita/Chapter-01/SP_BG_01-20_London_1973-07-17_First_Second_and_Third-Class_Rascals.mp3" TargetMode="External"/><Relationship Id="rId2143" Type="http://schemas.openxmlformats.org/officeDocument/2006/relationships/hyperlink" Target="https://audio.iskcondesiretree.com/01_-_Srila_Prabhupada/01_-_Lectures/01_-_English/02_-_Month_wise/06_-_June/15/Conv_1974-06-15_R1-PARIS.MP3" TargetMode="External"/><Relationship Id="rId5299" Type="http://schemas.openxmlformats.org/officeDocument/2006/relationships/hyperlink" Target="https://audio.iskcondesiretree.com/01_-_Srila_Prabhupada/01_-_Lectures/01_-_English/02_-_Month_wise/10_-_October/04/Conv_1976-10-04_R1-VRNDAVAN.MP3" TargetMode="External"/><Relationship Id="rId115" Type="http://schemas.openxmlformats.org/officeDocument/2006/relationships/hyperlink" Target="https://audio.iskcondesiretree.com/01_-_Srila_Prabhupada/01_-_Lectures/01_-_English/02_-_Month_wise/11_-_November/22/Cc_M_20-100_NY_1966-11-22_Sadhu_Inquires_for_the_Sake_etc.mp3" TargetMode="External"/><Relationship Id="rId2210" Type="http://schemas.openxmlformats.org/officeDocument/2006/relationships/hyperlink" Target="https://audio.iskcondesiretree.com/01_-_Srila_Prabhupada/01_-_Lectures/01_-_English/01_-_Topic_wise/Morning_Walk/SP_Morning_Walk_-_Melbourne_1974-06-29_Unlimitedly_Merciful_Lord.mp3" TargetMode="External"/><Relationship Id="rId5366" Type="http://schemas.openxmlformats.org/officeDocument/2006/relationships/hyperlink" Target="https://audio.iskcondesiretree.com/01_-_Srila_Prabhupada/01_-_Lectures/01_-_English/02_-_Month_wise/11_-_November/02/Conv_1976-11-02_R1-VRNDAVAN.MP3" TargetMode="External"/><Relationship Id="rId4382" Type="http://schemas.openxmlformats.org/officeDocument/2006/relationships/hyperlink" Target="https://audio.iskcondesiretree.com/01_-_Srila_Prabhupada/01_-_Lectures/01_-_English/02_-_Month_wise/03_-_March/18/SB-07-09-40_1976-03-18_SB-MAYAPUR.MP3" TargetMode="External"/><Relationship Id="rId5019" Type="http://schemas.openxmlformats.org/officeDocument/2006/relationships/hyperlink" Target="https://audio.iskcondesiretree.com/01_-_Srila_Prabhupada/01_-_Lectures/01_-_English/02_-_Month_wise/07_-_July/25/Lecture_1976-07-25_L3-LONDON.MP3" TargetMode="External"/><Relationship Id="rId5433" Type="http://schemas.openxmlformats.org/officeDocument/2006/relationships/hyperlink" Target="https://audio.iskcondesiretree.com/01_-_Srila_Prabhupada/01_-_Lectures/01_-_English/02_-_Month_wise/11_-_November/18/Conv_1976-11-18_R1-VRNDAVAN.MP3" TargetMode="External"/><Relationship Id="rId5780" Type="http://schemas.openxmlformats.org/officeDocument/2006/relationships/hyperlink" Target="https://audio.iskcondesiretree.com/01_-_Srila_Prabhupada/01_-_Lectures/01_-_English/02_-_Month_wise/03_-_March/31/Conv_1977-03-31_R1-BOMBAY.MP3" TargetMode="External"/><Relationship Id="rId1976" Type="http://schemas.openxmlformats.org/officeDocument/2006/relationships/hyperlink" Target="https://audio.iskcondesiretree.com/01_-_Srila_Prabhupada/01_-_Lectures/01_-_English/02_-_Month_wise/05_-_May/24/Conv_1974-05-24_R1-ROME.MP3" TargetMode="External"/><Relationship Id="rId4035" Type="http://schemas.openxmlformats.org/officeDocument/2006/relationships/hyperlink" Target="https://audio.iskcondesiretree.com/01_-_Srila_Prabhupada/01_-_Lectures/01_-_English/01_-_Topic_wise/Morning_Walk/SP_Morning_Walk_-_Delhi_1975-11-30_Income_Tax_Department-Cheating_Department.mp3" TargetMode="External"/><Relationship Id="rId1629" Type="http://schemas.openxmlformats.org/officeDocument/2006/relationships/hyperlink" Target="https://audio.iskcondesiretree.com/01_-_Srila_Prabhupada/01_-_Lectures/01_-_English/02_-_Month_wise/02_-_Feburary/19/Walk_1974-02-19_MW-BOMBAY.MP3" TargetMode="External"/><Relationship Id="rId5500" Type="http://schemas.openxmlformats.org/officeDocument/2006/relationships/hyperlink" Target="https://audio.iskcondesiretree.com/01_-_Srila_Prabhupada/01_-_Lectures/01_-_English/01_-_Topic_wise/Bhagavad_Gita/Chapter-16/SP_BG_16-07_Hyderabad_1976-12-14_The_Path_of_No.mp3" TargetMode="External"/><Relationship Id="rId3051" Type="http://schemas.openxmlformats.org/officeDocument/2006/relationships/hyperlink" Target="https://audio.iskcondesiretree.com/01_-_Srila_Prabhupada/01_-_Lectures/01_-_English/02_-_Month_wise/04_-_April/04/RC_MAY_1975-04-04_They_Are_Envious_of_Me.mp3" TargetMode="External"/><Relationship Id="rId4102" Type="http://schemas.openxmlformats.org/officeDocument/2006/relationships/hyperlink" Target="https://audio.iskcondesiretree.com/01_-_Srila_Prabhupada/01_-_Lectures/01_-_English/02_-_Month_wise/12_-_December/17/Walk_1975-12-17_MW-BOMBAY.MP3" TargetMode="External"/><Relationship Id="rId3868" Type="http://schemas.openxmlformats.org/officeDocument/2006/relationships/hyperlink" Target="https://audio.iskcondesiretree.com/01_-_Srila_Prabhupada/01_-_Lectures/01_-_English/02_-_Month_wise/10_-_October/14/RC_JOH_1975-10-14_Monkeys_Produced_Man_and_You_Call_etc.mp3" TargetMode="External"/><Relationship Id="rId4919" Type="http://schemas.openxmlformats.org/officeDocument/2006/relationships/hyperlink" Target="https://audio.iskcondesiretree.com/01_-_Srila_Prabhupada/01_-_Lectures/01_-_English/02_-_Month_wise/07_-_July/07/CcMadhya-20-102_1976-07-07_CC-BALTIMORE.MP3" TargetMode="External"/><Relationship Id="rId789" Type="http://schemas.openxmlformats.org/officeDocument/2006/relationships/hyperlink" Target="https://audio.iskcondesiretree.com/01_-_Srila_Prabhupada/01_-_Lectures/01_-_English/01_-_Topic_wise/Srimad_Bhagavatam/Canto-01/SP_SB_1-02-26_Vrindavan_1972-11-06_People_Are_Being_Killed.mp3" TargetMode="External"/><Relationship Id="rId2884" Type="http://schemas.openxmlformats.org/officeDocument/2006/relationships/hyperlink" Target="https://audio.iskcondesiretree.com/01_-_Srila_Prabhupada/01_-_Lectures/01_-_English/02_-_Month_wise/03_-_March/01/RC_ATL_1975-03-01_Svarupa_Damodar--Science-No_Chance.mp3" TargetMode="External"/><Relationship Id="rId5290" Type="http://schemas.openxmlformats.org/officeDocument/2006/relationships/hyperlink" Target="https://audio.iskcondesiretree.com/01_-_Srila_Prabhupada/01_-_Lectures/01_-_English/01_-_Topic_wise/Srimad_Bhagavatam/Canto-01/SP_SB_1-07-41_Vrindavan_1976-10-02_Servant_of_Servant_of_Servant.mp3" TargetMode="External"/><Relationship Id="rId856" Type="http://schemas.openxmlformats.org/officeDocument/2006/relationships/hyperlink" Target="https://audio.iskcondesiretree.com/01_-_Srila_Prabhupada/01_-_Lectures/01_-_English/01_-_Topic_wise/Various/SP_Lecture_Ahmedabad_1972-12-08_Sankaracarya_Is_Not_Original.mp3" TargetMode="External"/><Relationship Id="rId1486" Type="http://schemas.openxmlformats.org/officeDocument/2006/relationships/hyperlink" Target="https://audio.iskcondesiretree.com/01_-_Srila_Prabhupada/01_-_Lectures/01_-_English/02_-_Month_wise/01_-_January/05/MW_LA_1974-01-05_Dance%2C_Eat_and_Live_Eternally.mp3" TargetMode="External"/><Relationship Id="rId2537" Type="http://schemas.openxmlformats.org/officeDocument/2006/relationships/hyperlink" Target="https://audio.iskcondesiretree.com/01_-_Srila_Prabhupada/01_-_Lectures/01_-_English/02_-_Month_wise/11_-_November/20/SB-03-25-20_1974-11-20_SB-BOMBAY.MP3" TargetMode="External"/><Relationship Id="rId3935" Type="http://schemas.openxmlformats.org/officeDocument/2006/relationships/hyperlink" Target="https://audio.iskcondesiretree.com/01_-_Srila_Prabhupada/01_-_Lectures/01_-_English/02_-_Month_wise/10_-_October/29/SB-03-28-19_1975-10-29_SB-NAIROBI.MP3" TargetMode="External"/><Relationship Id="rId509" Type="http://schemas.openxmlformats.org/officeDocument/2006/relationships/hyperlink" Target="https://audio.iskcondesiretree.com/01_-_Srila_Prabhupada/01_-_Lectures/01_-_English/02_-_Month_wise/05_-_May/06/Iso_02_LA_1970-05-06_Everyone_Is_Seeing_Krishna.mp3" TargetMode="External"/><Relationship Id="rId1139" Type="http://schemas.openxmlformats.org/officeDocument/2006/relationships/hyperlink" Target="https://audio.iskcondesiretree.com/01_-_Srila_Prabhupada/01_-_Lectures/01_-_English/02_-_Month_wise/08_-_August/01/Bg_01-45_LON_1973-08-01_Krishna%27s_Order_Is_Final.mp3" TargetMode="External"/><Relationship Id="rId2951" Type="http://schemas.openxmlformats.org/officeDocument/2006/relationships/hyperlink" Target="https://audio.iskcondesiretree.com/01_-_Srila_Prabhupada/01_-_Lectures/01_-_English/01_-_Topic_wise/Srimad_Bhagavatam/Canto-01/SP_SB_1-10-03_Tehran_1975-03-13_Monarchy_%26_Maha-Mantra-Perfect.mp3" TargetMode="External"/><Relationship Id="rId5010" Type="http://schemas.openxmlformats.org/officeDocument/2006/relationships/hyperlink" Target="https://audio.iskcondesiretree.com/01_-_Srila_Prabhupada/01_-_Lectures/01_-_English/02_-_Month_wise/07_-_July/23/Cc_M_20-113_LON_1976-07-23_Inconceivable_but_Believable.mp3" TargetMode="External"/><Relationship Id="rId923" Type="http://schemas.openxmlformats.org/officeDocument/2006/relationships/hyperlink" Target="https://audio.iskcondesiretree.com/01_-_Srila_Prabhupada/01_-_Lectures/01_-_English/02_-_Month_wise/02_-_Feburary/16/Bg_07-01_SYD_1973-02-16_Connect_With_the_Supreme_Lord.mp3" TargetMode="External"/><Relationship Id="rId1553" Type="http://schemas.openxmlformats.org/officeDocument/2006/relationships/hyperlink" Target="https://audio.iskcondesiretree.com/01_-_Srila_Prabhupada/01_-_Lectures/01_-_English/02_-_Month_wise/01_-_January/20/SB-01-16-24_1974-01-20_SB-HONOLULU.MP3" TargetMode="External"/><Relationship Id="rId2604" Type="http://schemas.openxmlformats.org/officeDocument/2006/relationships/hyperlink" Target="https://audio.iskcondesiretree.com/01_-_Srila_Prabhupada/01_-_Lectures/01_-_English/02_-_Month_wise/12_-_December/12/SB-03-25-44_1974-12-12_SB-BOMBAY.MP3" TargetMode="External"/><Relationship Id="rId1206" Type="http://schemas.openxmlformats.org/officeDocument/2006/relationships/hyperlink" Target="https://audio.iskcondesiretree.com/01_-_Srila_Prabhupada/01_-_Lectures/01_-_English/01_-_Topic_wise/Festivals/SP_Festivals_London_1973-08-22_Vyasa-puja--What_Is_Guru.mp3" TargetMode="External"/><Relationship Id="rId1620" Type="http://schemas.openxmlformats.org/officeDocument/2006/relationships/hyperlink" Target="https://audio.iskcondesiretree.com/01_-_Srila_Prabhupada/01_-_Lectures/01_-_English/02_-_Month_wise/02_-_Feburary/17/MW_HAW_1974-02-17_Let_Everyone_Be_Happy.mp3" TargetMode="External"/><Relationship Id="rId4776" Type="http://schemas.openxmlformats.org/officeDocument/2006/relationships/hyperlink" Target="https://audio.iskcondesiretree.com/01_-_Srila_Prabhupada/01_-_Lectures/01_-_English/02_-_Month_wise/06_-_June/18/Interview_1976-06-18_I2-TORONTO.MP3" TargetMode="External"/><Relationship Id="rId5827" Type="http://schemas.openxmlformats.org/officeDocument/2006/relationships/hyperlink" Target="https://audio.iskcondesiretree.com/01_-_Srila_Prabhupada/01_-_Lectures/01_-_English/02_-_Month_wise/04_-_April/28/Conv_1977-04-28_R2-BOMBAY.MP3" TargetMode="External"/><Relationship Id="rId3378" Type="http://schemas.openxmlformats.org/officeDocument/2006/relationships/hyperlink" Target="https://audio.iskcondesiretree.com/01_-_Srila_Prabhupada/01_-_Lectures/01_-_English/02_-_Month_wise/06_-_June/26/SB-06-01-13%E2%80%9314_1975-06-26_SB-LOS%20ANGELES.MP3" TargetMode="External"/><Relationship Id="rId3792" Type="http://schemas.openxmlformats.org/officeDocument/2006/relationships/hyperlink" Target="https://audio.iskcondesiretree.com/01_-_Srila_Prabhupada/01_-_Lectures/01_-_English/01_-_Topic_wise/Morning_Walk/SP_Morning_Walk_-_Ahmedabad_1975-09-29.MP3" TargetMode="External"/><Relationship Id="rId4429" Type="http://schemas.openxmlformats.org/officeDocument/2006/relationships/hyperlink" Target="https://audio.iskcondesiretree.com/01_-_Srila_Prabhupada/01_-_Lectures/01_-_English/02_-_Month_wise/04_-_April/04/SB_7-09-49_VRN_1976-04-04_Big_Talk%2C_Hard_Work-_Not_the_Way.mp3" TargetMode="External"/><Relationship Id="rId4843" Type="http://schemas.openxmlformats.org/officeDocument/2006/relationships/hyperlink" Target="https://audio.iskcondesiretree.com/01_-_Srila_Prabhupada/01_-_Lectures/01_-_English/01_-_Topic_wise/Room_Conversation/SP_Room_Conversation_New_Vrindavan_1976-06-28_Bhavans_Journal-4_Sanctity_for_the_Sinful.mp3" TargetMode="External"/><Relationship Id="rId299" Type="http://schemas.openxmlformats.org/officeDocument/2006/relationships/hyperlink" Target="https://audio.iskcondesiretree.com/01_-_Srila_Prabhupada/01_-_Lectures/01_-_English/02_-_Month_wise/11_-_November/18/Lect_LA_1968-11-18_Getting_Outside_of_the_Material_Boundaries.mp3" TargetMode="External"/><Relationship Id="rId2394" Type="http://schemas.openxmlformats.org/officeDocument/2006/relationships/hyperlink" Target="https://audio.iskcondesiretree.com/01_-_Srila_Prabhupada/01_-_Lectures/01_-_English/02_-_Month_wise/09_-_September/28/SB-01-08-18_1974-09-28_SB-MAYAPUR.MP3" TargetMode="External"/><Relationship Id="rId3445" Type="http://schemas.openxmlformats.org/officeDocument/2006/relationships/hyperlink" Target="https://audio.iskcondesiretree.com/01_-_Srila_Prabhupada/01_-_Lectures/01_-_English/02_-_Month_wise/07_-_July/05/SB-06-01-21_1975-07-05_SB-CHICAGO.MP3" TargetMode="External"/><Relationship Id="rId366" Type="http://schemas.openxmlformats.org/officeDocument/2006/relationships/hyperlink" Target="https://audio.iskcondesiretree.com/01_-_Srila_Prabhupada/01_-_Lectures/01_-_English/02_-_Month_wise/02_-_Feburary/10/Lect_LA_1969-02-10_Our_Natural_Nectarean_Life.mp3" TargetMode="External"/><Relationship Id="rId780" Type="http://schemas.openxmlformats.org/officeDocument/2006/relationships/hyperlink" Target="https://audio.iskcondesiretree.com/01_-_Srila_Prabhupada/01_-_Lectures/01_-_English/01_-_Topic_wise/Nectar_Of_Devotion/SP_NOD_09_Vrindavan_1972-11-04_-_The_Complete_Science_of_Bhakti_Yoga.mp3" TargetMode="External"/><Relationship Id="rId2047" Type="http://schemas.openxmlformats.org/officeDocument/2006/relationships/hyperlink" Target="https://audio.iskcondesiretree.com/01_-_Srila_Prabhupada/01_-_Lectures/01_-_English/02_-_Month_wise/06_-_June/04/Conv_1974-06-04_R1-GENEVA.MP3" TargetMode="External"/><Relationship Id="rId2461" Type="http://schemas.openxmlformats.org/officeDocument/2006/relationships/hyperlink" Target="https://audio.iskcondesiretree.com/01_-_Srila_Prabhupada/01_-_Lectures/01_-_English/01_-_Topic_wise/Srimad_Bhagavatam/Canto-01/SP_SB_1-08-43_Mayapur_1974-10-23_Enter_Krishna%27s_Family.mp3" TargetMode="External"/><Relationship Id="rId3512" Type="http://schemas.openxmlformats.org/officeDocument/2006/relationships/hyperlink" Target="https://audio.iskcondesiretree.com/01_-_Srila_Prabhupada/01_-_Lectures/01_-_English/01_-_Topic_wise/Room_Conversation/SP_Room_Conversation_Philadelphia_1975-07-13_Prof_Thomas_J_Hopkins--The_Churn--etc.mp3" TargetMode="External"/><Relationship Id="rId4910" Type="http://schemas.openxmlformats.org/officeDocument/2006/relationships/hyperlink" Target="https://audio.iskcondesiretree.com/01_-_Srila_Prabhupada/01_-_Lectures/01_-_English/02_-_Month_wise/07_-_July/06/Conv_1976-07-06_R4-WASHINGTON%20DC.MP3" TargetMode="External"/><Relationship Id="rId433" Type="http://schemas.openxmlformats.org/officeDocument/2006/relationships/hyperlink" Target="https://audio.iskcondesiretree.com/01_-_Srila_Prabhupada/01_-_Lectures/01_-_English/02_-_Month_wise/05_-_May/14/RC_COL_1969-05-14_Allen_Ginsberg-The_Senses_Come_to_etc.mp3" TargetMode="External"/><Relationship Id="rId1063" Type="http://schemas.openxmlformats.org/officeDocument/2006/relationships/hyperlink" Target="https://audio.iskcondesiretree.com/01_-_Srila_Prabhupada/01_-_Lectures/01_-_English/02_-_Month_wise/07_-_July/09/Bg_01-02_LON_1973-07-09_Death_Is_God.mp3" TargetMode="External"/><Relationship Id="rId2114" Type="http://schemas.openxmlformats.org/officeDocument/2006/relationships/hyperlink" Target="https://audio.iskcondesiretree.com/01_-_Srila_Prabhupada/01_-_Lectures/01_-_English/02_-_Month_wise/06_-_June/12/Walk_1974-06-12_MW-PARIS.MP3" TargetMode="External"/><Relationship Id="rId4286" Type="http://schemas.openxmlformats.org/officeDocument/2006/relationships/hyperlink" Target="https://audio.iskcondesiretree.com/01_-_Srila_Prabhupada/01_-_Lectures/01_-_English/02_-_Month_wise/02_-_Feburary/26/MW_MAY_1976-02-26_Nothing_But_Krishna.mp3" TargetMode="External"/><Relationship Id="rId5684" Type="http://schemas.openxmlformats.org/officeDocument/2006/relationships/hyperlink" Target="https://audio.iskcondesiretree.com/01_-_Srila_Prabhupada/01_-_Lectures/01_-_English/02_-_Month_wise/02_-_Feburary/05/Conv_1977-02-05_CR-CALCUTTA.MP3" TargetMode="External"/><Relationship Id="rId500" Type="http://schemas.openxmlformats.org/officeDocument/2006/relationships/hyperlink" Target="https://audio.iskcondesiretree.com/01_-_Srila_Prabhupada/01_-_Lectures/01_-_English/01_-_Topic_wise/Isopanishad/SP_Isopanisad_00_Los_Angeles_1970-04-27_Our_Foolishness_Equals_Our_Defeat.mp3" TargetMode="External"/><Relationship Id="rId1130" Type="http://schemas.openxmlformats.org/officeDocument/2006/relationships/hyperlink" Target="https://audio.iskcondesiretree.com/01_-_Srila_Prabhupada/01_-_Lectures/01_-_English/01_-_Topic_wise/Bhagavad_Gita/Chapter-01/SP_BG_01-40_London_1973-07-28_The_Psychology_of_Chastity.mp3" TargetMode="External"/><Relationship Id="rId5337" Type="http://schemas.openxmlformats.org/officeDocument/2006/relationships/hyperlink" Target="https://audio.iskcondesiretree.com/01_-_Srila_Prabhupada/01_-_Lectures/01_-_English/01_-_Topic_wise/Arrival_Address/SP_Address_Chandigarh_1976-10-17_To_Rotary_Club--Let_Krishna_Speak--etc.mp3" TargetMode="External"/><Relationship Id="rId5751" Type="http://schemas.openxmlformats.org/officeDocument/2006/relationships/hyperlink" Target="https://audio.iskcondesiretree.com/01_-_Srila_Prabhupada/01_-_Lectures/01_-_English/02_-_Month_wise/03_-_March/01/Conv_1977-03-01_R2-MAYAPUR.MP3" TargetMode="External"/><Relationship Id="rId1947" Type="http://schemas.openxmlformats.org/officeDocument/2006/relationships/hyperlink" Target="https://audio.iskcondesiretree.com/01_-_Srila_Prabhupada/01_-_Lectures/01_-_English/01_-_Topic_wise/Morning_Walk/SP_Morning_Walk_-_Bombay_1974-05-02.mp3" TargetMode="External"/><Relationship Id="rId4353" Type="http://schemas.openxmlformats.org/officeDocument/2006/relationships/hyperlink" Target="https://audio.iskcondesiretree.com/01_-_Srila_Prabhupada/01_-_Lectures/01_-_English/02_-_Month_wise/03_-_March/13/SB-07-09-35_1976-03-13_SB-MAYAPUR.MP3" TargetMode="External"/><Relationship Id="rId5404" Type="http://schemas.openxmlformats.org/officeDocument/2006/relationships/hyperlink" Target="https://audio.iskcondesiretree.com/01_-_Srila_Prabhupada/01_-_Lectures/01_-_English/02_-_Month_wise/11_-_November/10/SB_5-05-23_VRN_1976-11-10_Culture-Brahminical_or_Animal.mp3" TargetMode="External"/><Relationship Id="rId4006" Type="http://schemas.openxmlformats.org/officeDocument/2006/relationships/hyperlink" Target="https://audio.iskcondesiretree.com/01_-_Srila_Prabhupada/01_-_Lectures/01_-_English/02_-_Month_wise/11_-_November/18/Initiations_1975-11-18_IN-BOMBAY.MP3" TargetMode="External"/><Relationship Id="rId4420" Type="http://schemas.openxmlformats.org/officeDocument/2006/relationships/hyperlink" Target="https://audio.iskcondesiretree.com/01_-_Srila_Prabhupada/01_-_Lectures/01_-_English/02_-_Month_wise/04_-_April/02/SB-07-09-47_1976-04-02_SB-VRNDAVAN.MP3" TargetMode="External"/><Relationship Id="rId290" Type="http://schemas.openxmlformats.org/officeDocument/2006/relationships/hyperlink" Target="https://audio.iskcondesiretree.com/01_-_Srila_Prabhupada/01_-_Lectures/01_-_English/01_-_Topic_wise/Various/SP_Lecture_Los_Angeles_1968-11-08_Brahma_Samhita_29--The_Spiritual--etc.mp3" TargetMode="External"/><Relationship Id="rId3022" Type="http://schemas.openxmlformats.org/officeDocument/2006/relationships/hyperlink" Target="https://audio.iskcondesiretree.com/01_-_Srila_Prabhupada/01_-_Lectures/01_-_English/01_-_Topic_wise/Morning_Walk/SP_Morning_Walk_-_Mayapur_1975-04-01_Deaf_Man_Thinks_All_Others_are_Deaf.mp3" TargetMode="External"/><Relationship Id="rId6178" Type="http://schemas.openxmlformats.org/officeDocument/2006/relationships/hyperlink" Target="https://audio.iskcondesiretree.com/01_-_Srila_Prabhupada/01_-_Lectures/03_-_Hindi/SP_Hindi_06_Lectures_%26_Conversations.mp3" TargetMode="External"/><Relationship Id="rId5194" Type="http://schemas.openxmlformats.org/officeDocument/2006/relationships/hyperlink" Target="https://audio.iskcondesiretree.com/01_-_Srila_Prabhupada/01_-_Lectures/01_-_English/02_-_Month_wise/09_-_September/06/SB_1-07-07_VRN_1976-09-06_To_Live_Means_to_Love_Krishna.mp3" TargetMode="External"/><Relationship Id="rId2788" Type="http://schemas.openxmlformats.org/officeDocument/2006/relationships/hyperlink" Target="https://audio.iskcondesiretree.com/01_-_Srila_Prabhupada/01_-_Lectures/01_-_English/02_-_Month_wise/02_-_Feburary/11/Bg_02-11_MEX_1975-02-11_Associate_with_Faithful.mp3" TargetMode="External"/><Relationship Id="rId3839" Type="http://schemas.openxmlformats.org/officeDocument/2006/relationships/hyperlink" Target="https://audio.iskcondesiretree.com/01_-_Srila_Prabhupada/01_-_Lectures/01_-_English/01_-_Topic_wise/Bhagavad_Gita/Chapter-07/SP_BG_07-01_Durban_1975-10-09_Relatively_Dirty_or_Absolutely_Clean.mp3" TargetMode="External"/><Relationship Id="rId2855" Type="http://schemas.openxmlformats.org/officeDocument/2006/relationships/hyperlink" Target="https://audio.iskcondesiretree.com/01_-_Srila_Prabhupada/01_-_Lectures/01_-_English/02_-_Month_wise/02_-_Feburary/25/Bg_13-01_MIA_1975-02-25_Technical_Education_etc.mp3" TargetMode="External"/><Relationship Id="rId3906" Type="http://schemas.openxmlformats.org/officeDocument/2006/relationships/hyperlink" Target="https://audio.iskcondesiretree.com/01_-_Srila_Prabhupada/01_-_Lectures/01_-_English/02_-_Month_wise/10_-_October/21/RC_JOH_1975-10-21_Border_Between_Matter_%26_Spirit.mp3" TargetMode="External"/><Relationship Id="rId5261" Type="http://schemas.openxmlformats.org/officeDocument/2006/relationships/hyperlink" Target="https://audio.iskcondesiretree.com/01_-_Srila_Prabhupada/01_-_Lectures/01_-_English/01_-_Topic_wise/Srimad_Bhagavatam/Canto-01/SP_SB_1-07-28_Vrindavan_1976-09-25_Who_Needs_Krishna.mp3" TargetMode="External"/><Relationship Id="rId96" Type="http://schemas.openxmlformats.org/officeDocument/2006/relationships/hyperlink" Target="https://audio.iskcondesiretree.com/01_-_Srila_Prabhupada/01_-_Lectures/01_-_English/01_-_Topic_wise/Bhagavad_Gita/Chapter-08/SP_BG_08-14-15_New_York_1966-11-16_Remember_Krishna_Without_Deviation.mp3" TargetMode="External"/><Relationship Id="rId827" Type="http://schemas.openxmlformats.org/officeDocument/2006/relationships/hyperlink" Target="https://audio.iskcondesiretree.com/01_-_Srila_Prabhupada/01_-_Lectures/01_-_English/02_-_Month_wise/11_-_November/19/Bg_02-13_HYD_1972-11-19_Not_One_Became_Devotee.mp3" TargetMode="External"/><Relationship Id="rId1457" Type="http://schemas.openxmlformats.org/officeDocument/2006/relationships/hyperlink" Target="https://audio.iskcondesiretree.com/01_-_Srila_Prabhupada/01_-_Lectures/01_-_English/01_-_Topic_wise/Srimad_Bhagavatam/Canto-01/SP_SB_1-15-49_Los_Angeles_1973-12-26_What_to_Think_About_at_Death.mp3" TargetMode="External"/><Relationship Id="rId1871" Type="http://schemas.openxmlformats.org/officeDocument/2006/relationships/hyperlink" Target="https://audio.iskcondesiretree.com/01_-_Srila_Prabhupada/01_-_Lectures/01_-_English/01_-_Topic_wise/Morning_Walk/SP_Morning_Walk_-_Bombay_1974-04-14.mp3" TargetMode="External"/><Relationship Id="rId2508" Type="http://schemas.openxmlformats.org/officeDocument/2006/relationships/hyperlink" Target="https://audio.iskcondesiretree.com/01_-_Srila_Prabhupada/01_-_Lectures/01_-_English/02_-_Month_wise/11_-_November/10/SB_3-25-10_BOM_1974-11-10_Get_Free_from_Attachments.mp3" TargetMode="External"/><Relationship Id="rId2922" Type="http://schemas.openxmlformats.org/officeDocument/2006/relationships/hyperlink" Target="https://audio.iskcondesiretree.com/01_-_Srila_Prabhupada/01_-_Lectures/01_-_English/01_-_Topic_wise/Srimad_Bhagavatam/More/SP_SB_New_York_1975-03-07.MP3" TargetMode="External"/><Relationship Id="rId1524" Type="http://schemas.openxmlformats.org/officeDocument/2006/relationships/hyperlink" Target="https://audio.iskcondesiretree.com/01_-_Srila_Prabhupada/01_-_Lectures/01_-_English/01_-_Topic_wise/Srimad_Bhagavatam/Canto-01/SP_SB_01-16-18_Los_Angeles_1974-01-13.mp3" TargetMode="External"/><Relationship Id="rId3696" Type="http://schemas.openxmlformats.org/officeDocument/2006/relationships/hyperlink" Target="https://audio.iskcondesiretree.com/01_-_Srila_Prabhupada/01_-_Lectures/01_-_English/02_-_Month_wise/08_-_August/29/Bg-Lecture%E2%80%93Hindi_1975-08-29_BG-VRNDAVAN.MP3" TargetMode="External"/><Relationship Id="rId4747" Type="http://schemas.openxmlformats.org/officeDocument/2006/relationships/hyperlink" Target="https://audio.iskcondesiretree.com/01_-_Srila_Prabhupada/01_-_Lectures/01_-_English/02_-_Month_wise/06_-_June/14/RC_DET_1976-06-14_Animal_Civilization.mp3" TargetMode="External"/><Relationship Id="rId2298" Type="http://schemas.openxmlformats.org/officeDocument/2006/relationships/hyperlink" Target="https://audio.iskcondesiretree.com/01_-_Srila_Prabhupada/01_-_Lectures/01_-_English/01_-_Topic_wise/Departure_Address/SP_Departure_Address_1974-07-25_New_York.mp3" TargetMode="External"/><Relationship Id="rId3349" Type="http://schemas.openxmlformats.org/officeDocument/2006/relationships/hyperlink" Target="https://audio.iskcondesiretree.com/01_-_Srila_Prabhupada/01_-_Lectures/01_-_English/01_-_Topic_wise/Morning_Walk/SP_Morning_Walk_-_Los_Angeles_1975-06-23_Varnashram_College_3--Colleges_for--etc.mp3" TargetMode="External"/><Relationship Id="rId684" Type="http://schemas.openxmlformats.org/officeDocument/2006/relationships/hyperlink" Target="https://audio.iskcondesiretree.com/01_-_Srila_Prabhupada/01_-_Lectures/01_-_English/01_-_Topic_wise/Srimad_Bhagavatam/Canto-01/SP_SB_1-03-10_Los_Angeles_1972-09-16_Modern_Facilities-Beneficial--etc.mp3" TargetMode="External"/><Relationship Id="rId2365" Type="http://schemas.openxmlformats.org/officeDocument/2006/relationships/hyperlink" Target="https://audio.iskcondesiretree.com/01_-_Srila_Prabhupada/01_-_Lectures/01_-_English/01_-_Topic_wise/Srimad_Bhagavatam/Canto-01/SP_SB_1-05-35_Vrindavan_1974-08-16_Krishna-Satisfied_with_Devotees.mp3" TargetMode="External"/><Relationship Id="rId3763" Type="http://schemas.openxmlformats.org/officeDocument/2006/relationships/hyperlink" Target="https://audio.iskcondesiretree.com/01_-_Srila_Prabhupada/01_-_Lectures/01_-_English/02_-_Month_wise/09_-_September/15/Walk_1975-09-15_MW-VRNDAVAN.MP3" TargetMode="External"/><Relationship Id="rId4814" Type="http://schemas.openxmlformats.org/officeDocument/2006/relationships/hyperlink" Target="https://audio.iskcondesiretree.com/01_-_Srila_Prabhupada/01_-_Lectures/01_-_English/01_-_Topic_wise/Room_Conversation/SP_Room_Conversation_New_Vrindavan_1976-06-24_You_Enjoy_and_Forget_Goal.mp3" TargetMode="External"/><Relationship Id="rId337" Type="http://schemas.openxmlformats.org/officeDocument/2006/relationships/hyperlink" Target="https://audio.iskcondesiretree.com/01_-_Srila_Prabhupada/01_-_Lectures/01_-_English/01_-_Topic_wise/Interview/SP_Interview_Los_Angeles_1968-12-26_Press-LA_Times--Lunacy_of_Moon_Mission.mp3" TargetMode="External"/><Relationship Id="rId2018" Type="http://schemas.openxmlformats.org/officeDocument/2006/relationships/hyperlink" Target="https://audio.iskcondesiretree.com/01_-_Srila_Prabhupada/01_-_Lectures/01_-_English/02_-_Month_wise/05_-_May/31/Bg-04-10_1974-05-31_BG-GENEVA.MP3" TargetMode="External"/><Relationship Id="rId3416" Type="http://schemas.openxmlformats.org/officeDocument/2006/relationships/hyperlink" Target="https://audio.iskcondesiretree.com/01_-_Srila_Prabhupada/01_-_Lectures/01_-_English/02_-_Month_wise/07_-_July/01/Walk_1975-07-01_MW-DENVER.MP3" TargetMode="External"/><Relationship Id="rId3830" Type="http://schemas.openxmlformats.org/officeDocument/2006/relationships/hyperlink" Target="https://audio.iskcondesiretree.com/01_-_Srila_Prabhupada/01_-_Lectures/01_-_English/02_-_Month_wise/10_-_October/05/Walk_1975-10-05_MW-MAURITIUS.MP3" TargetMode="External"/><Relationship Id="rId751" Type="http://schemas.openxmlformats.org/officeDocument/2006/relationships/hyperlink" Target="https://audio.iskcondesiretree.com/01_-_Srila_Prabhupada/01_-_Lectures/01_-_English/02_-_Month_wise/10_-_October/27/SB_1-02-16_VRN_1972-10-27_Developing_Taste_for_the_etc.mp3" TargetMode="External"/><Relationship Id="rId1381" Type="http://schemas.openxmlformats.org/officeDocument/2006/relationships/hyperlink" Target="https://audio.iskcondesiretree.com/01_-_Srila_Prabhupada/01_-_Lectures/01_-_English/02_-_Month_wise/12_-_December/02/MW_LA_1973-12-02_What_the_Heart_Needs.mp3" TargetMode="External"/><Relationship Id="rId2432" Type="http://schemas.openxmlformats.org/officeDocument/2006/relationships/hyperlink" Target="https://audio.iskcondesiretree.com/01_-_Srila_Prabhupada/01_-_Lectures/01_-_English/01_-_Topic_wise/Srimad_Bhagavatam/Canto-01/SP_SB_1-08-32_Mayapur_1974-10-12_Become_Dear_to_Krishna.mp3" TargetMode="External"/><Relationship Id="rId5588" Type="http://schemas.openxmlformats.org/officeDocument/2006/relationships/hyperlink" Target="https://audio.iskcondesiretree.com/01_-_Srila_Prabhupada/01_-_Lectures/01_-_English/02_-_Month_wise/01_-_January/09/Walk_1977-01-09_MW-BOMBAY.MP3" TargetMode="External"/><Relationship Id="rId404" Type="http://schemas.openxmlformats.org/officeDocument/2006/relationships/hyperlink" Target="https://audio.iskcondesiretree.com/01_-_Srila_Prabhupada/01_-_Lectures/01_-_English/02_-_Month_wise/04_-_April/29/RC_BOS_1969-04-29_Hippies_May_Be_Sinners_But_We_Raise_Them.mp3" TargetMode="External"/><Relationship Id="rId1034" Type="http://schemas.openxmlformats.org/officeDocument/2006/relationships/hyperlink" Target="https://audio.iskcondesiretree.com/01_-_Srila_Prabhupada/01_-_Lectures/01_-_English/02_-_Month_wise/06_-_June/17/SB_1-10-02_MAY_1973-06-17_Seeing_That_Krishna_Is_Satisfied.mp3" TargetMode="External"/><Relationship Id="rId5655" Type="http://schemas.openxmlformats.org/officeDocument/2006/relationships/hyperlink" Target="https://audio.iskcondesiretree.com/01_-_Srila_Prabhupada/01_-_Lectures/01_-_English/01_-_Topic_wise/Festivals/SP_Festivals_Bhuvanesvara_1977-01-31_On_the_Advent_of_Lord_Varaha.mp3" TargetMode="External"/><Relationship Id="rId1101" Type="http://schemas.openxmlformats.org/officeDocument/2006/relationships/hyperlink" Target="https://audio.iskcondesiretree.com/01_-_Srila_Prabhupada/01_-_Lectures/01_-_English/02_-_Month_wise/07_-_July/20/Bg_01-24_LON_1973-07-20_If_You_Stay_with_etc.mp3" TargetMode="External"/><Relationship Id="rId4257" Type="http://schemas.openxmlformats.org/officeDocument/2006/relationships/hyperlink" Target="https://audio.iskcondesiretree.com/01_-_Srila_Prabhupada/01_-_Lectures/01_-_English/02_-_Month_wise/02_-_Feburary/20/SB_7-09-13_MAY_1976-02-20_Snakes_Don%27t_Scare_Devotees.mp3" TargetMode="External"/><Relationship Id="rId4671" Type="http://schemas.openxmlformats.org/officeDocument/2006/relationships/hyperlink" Target="https://audio.iskcondesiretree.com/01_-_Srila_Prabhupada/01_-_Lectures/01_-_English/02_-_Month_wise/05_-_May/31/SB-06-01-32_1976-05-31_SB-HONOLULU.MP3" TargetMode="External"/><Relationship Id="rId5308" Type="http://schemas.openxmlformats.org/officeDocument/2006/relationships/hyperlink" Target="https://audio.iskcondesiretree.com/01_-_Srila_Prabhupada/01_-_Lectures/01_-_English/02_-_Month_wise/10_-_October/06/SB-01-07-47%E2%80%9348_1976-10-06_SB-VRNDAVAN.MP3" TargetMode="External"/><Relationship Id="rId5722" Type="http://schemas.openxmlformats.org/officeDocument/2006/relationships/hyperlink" Target="https://audio.iskcondesiretree.com/01_-_Srila_Prabhupada/01_-_Lectures/01_-_English/02_-_Month_wise/02_-_Feburary/19/Darshan_1977-02-19_ED-MAYAPUR.MP3" TargetMode="External"/><Relationship Id="rId3273" Type="http://schemas.openxmlformats.org/officeDocument/2006/relationships/hyperlink" Target="https://audio.iskcondesiretree.com/01_-_Srila_Prabhupada/01_-_Lectures/01_-_English/01_-_Topic_wise/Srimad_Bhagavatam/Canto-06/SP_SB_6-01-01_Hawaii_1975-06-08_Saving_the_Independent_from_Hell.mp3" TargetMode="External"/><Relationship Id="rId4324" Type="http://schemas.openxmlformats.org/officeDocument/2006/relationships/hyperlink" Target="https://audio.iskcondesiretree.com/01_-_Srila_Prabhupada/01_-_Lectures/01_-_English/01_-_Topic_wise/Srimad_Bhagavatam/Canto-07/SP_SB_7-09-29_Mayapur_1976-03-07_The_Clever_One.mp3" TargetMode="External"/><Relationship Id="rId194" Type="http://schemas.openxmlformats.org/officeDocument/2006/relationships/hyperlink" Target="https://audio.iskcondesiretree.com/01_-_Srila_Prabhupada/01_-_Lectures/01_-_English/02_-_Month_wise/12_-_December/26/Bg_09-34_NY_1966-12-26_Being_Completely_Absorbed_in_etc.mp3" TargetMode="External"/><Relationship Id="rId1918" Type="http://schemas.openxmlformats.org/officeDocument/2006/relationships/hyperlink" Target="https://audio.iskcondesiretree.com/01_-_Srila_Prabhupada/01_-_Lectures/01_-_English/01_-_Topic_wise/Morning_Walk/SP_Morning_Walk_-_Hyderabad_1974-04-23_Protect_Against_Degradation.mp3" TargetMode="External"/><Relationship Id="rId261" Type="http://schemas.openxmlformats.org/officeDocument/2006/relationships/hyperlink" Target="https://audio.iskcondesiretree.com/01_-_Srila_Prabhupada/01_-_Lectures/01_-_English/02_-_Month_wise/09_-_September/10/Bg_07-01_SF_1968-09-10_Yoga_Our_Confidential_etc.mp3" TargetMode="External"/><Relationship Id="rId3340" Type="http://schemas.openxmlformats.org/officeDocument/2006/relationships/hyperlink" Target="https://audio.iskcondesiretree.com/01_-_Srila_Prabhupada/01_-_Lectures/01_-_English/02_-_Month_wise/06_-_June/21/Walk_1975-06-21_MW-LOS%20ANGELES.MP3" TargetMode="External"/><Relationship Id="rId5098" Type="http://schemas.openxmlformats.org/officeDocument/2006/relationships/hyperlink" Target="https://audio.iskcondesiretree.com/01_-_Srila_Prabhupada/01_-_Lectures/01_-_English/02_-_Month_wise/08_-_August/12/Conv_1976-08-12_R4-TEHRAN.MP3" TargetMode="External"/><Relationship Id="rId6149" Type="http://schemas.openxmlformats.org/officeDocument/2006/relationships/hyperlink" Target="https://audio.iskcondesiretree.com/01_-_Srila_Prabhupada/01_-_Lectures/01_-_English/01_-_Topic_wise/Stories/SP_Story_25_Krsna%27s_headache.mp3" TargetMode="External"/><Relationship Id="rId2759" Type="http://schemas.openxmlformats.org/officeDocument/2006/relationships/hyperlink" Target="https://audio.iskcondesiretree.com/01_-_Srila_Prabhupada/01_-_Lectures/01_-_English/02_-_Month_wise/02_-_Feburary/04/Bg-16-08_1975-02-04_BG-HONOLULU.MP3" TargetMode="External"/><Relationship Id="rId5165" Type="http://schemas.openxmlformats.org/officeDocument/2006/relationships/hyperlink" Target="https://audio.iskcondesiretree.com/01_-_Srila_Prabhupada/01_-_Lectures/01_-_English/02_-_Month_wise/08_-_August/25/RC_HYD_1976-08-25_There_Is_An_Eternal_World.mp3" TargetMode="External"/><Relationship Id="rId1775" Type="http://schemas.openxmlformats.org/officeDocument/2006/relationships/hyperlink" Target="https://audio.iskcondesiretree.com/01_-_Srila_Prabhupada/01_-_Lectures/01_-_English/02_-_Month_wise/03_-_March/28/Bg_04-08_BOM_1974-03-28_Everyone_is_Trying_to_Become_the_Master.mp3" TargetMode="External"/><Relationship Id="rId2826" Type="http://schemas.openxmlformats.org/officeDocument/2006/relationships/hyperlink" Target="https://audio.iskcondesiretree.com/01_-_Srila_Prabhupada/01_-_Lectures/01_-_English/01_-_Topic_wise/Room_Conversation/SP_Room_Conversation_Caracas_1975-02-21_Metaphysics_Society--Atma_and_Super-Atma.mp3" TargetMode="External"/><Relationship Id="rId4181" Type="http://schemas.openxmlformats.org/officeDocument/2006/relationships/hyperlink" Target="https://audio.iskcondesiretree.com/01_-_Srila_Prabhupada/01_-_Lectures/01_-_English/02_-_Month_wise/01_-_January/13/SB-05-05-02_Bengali_1976-01-13_SB-CALCUTTA.MP3" TargetMode="External"/><Relationship Id="rId5232" Type="http://schemas.openxmlformats.org/officeDocument/2006/relationships/hyperlink" Target="https://audio.iskcondesiretree.com/01_-_Srila_Prabhupada/01_-_Lectures/01_-_English/02_-_Month_wise/09_-_September/15/SB_1-07-18_VRN_1976-09-15_Darkness_and_Disturbance.mp3" TargetMode="External"/><Relationship Id="rId67" Type="http://schemas.openxmlformats.org/officeDocument/2006/relationships/hyperlink" Target="https://audio.iskcondesiretree.com/01_-_Srila_Prabhupada/01_-_Lectures/01_-_English/02_-_Month_wise/08_-_August/27/Bg_05-07_NY_1966-08-27_Krsna_and_We-Very_Intimately_Connected.mp3" TargetMode="External"/><Relationship Id="rId1428" Type="http://schemas.openxmlformats.org/officeDocument/2006/relationships/hyperlink" Target="https://audio.iskcondesiretree.com/01_-_Srila_Prabhupada/01_-_Lectures/01_-_English/02_-_Month_wise/12_-_December/14/SB_1-15-36_LA_1973-12-14_From_External_Illusion.mp3" TargetMode="External"/><Relationship Id="rId1842" Type="http://schemas.openxmlformats.org/officeDocument/2006/relationships/hyperlink" Target="https://audio.iskcondesiretree.com/01_-_Srila_Prabhupada/01_-_Lectures/01_-_English/02_-_Month_wise/04_-_April/08/Bg-04-19_1974-04-08_BG-BOMBAY.MP3" TargetMode="External"/><Relationship Id="rId4998" Type="http://schemas.openxmlformats.org/officeDocument/2006/relationships/hyperlink" Target="https://audio.iskcondesiretree.com/01_-_Srila_Prabhupada/01_-_Lectures/01_-_English/02_-_Month_wise/07_-_July/18/Walk_1976-07-18_MW-NEW%20YORK.MP3" TargetMode="External"/><Relationship Id="rId6073" Type="http://schemas.openxmlformats.org/officeDocument/2006/relationships/hyperlink" Target="https://audio.iskcondesiretree.com/01_-_Srila_Prabhupada/01_-_Lectures/01_-_English/01_-_Topic_wise/Krishna_Book/SP_Krsna_Book_Dict_25_-_Devastating_Rainfall.mp3" TargetMode="External"/><Relationship Id="rId3667" Type="http://schemas.openxmlformats.org/officeDocument/2006/relationships/hyperlink" Target="https://audio.iskcondesiretree.com/01_-_Srila_Prabhupada/01_-_Lectures/01_-_English/02_-_Month_wise/08_-_August/13/SB-06-01-55_1975-08-13_SB-LONDON.MP3" TargetMode="External"/><Relationship Id="rId4718" Type="http://schemas.openxmlformats.org/officeDocument/2006/relationships/hyperlink" Target="https://audio.iskcondesiretree.com/01_-_Srila_Prabhupada/01_-_Lectures/01_-_English/02_-_Month_wise/06_-_June/09/Conv_1976-06-09_R2-LOS%20ANGELES.MP3" TargetMode="External"/><Relationship Id="rId588" Type="http://schemas.openxmlformats.org/officeDocument/2006/relationships/hyperlink" Target="https://audio.iskcondesiretree.com/01_-_Srila_Prabhupada/01_-_Lectures/01_-_English/02_-_Month_wise/05_-_May/28/SB_2-03-10_LA_1972-05-28_Only_a_Devotee_of_Krishna_etc.mp3" TargetMode="External"/><Relationship Id="rId2269" Type="http://schemas.openxmlformats.org/officeDocument/2006/relationships/hyperlink" Target="https://audio.iskcondesiretree.com/01_-_Srila_Prabhupada/01_-_Lectures/01_-_English/02_-_Month_wise/07_-_July/12/Chanting%20Cc-Adi%E2%80%9312th%20Ch_1974-07-12_CH-LOS%20ANGELES.MP3" TargetMode="External"/><Relationship Id="rId2683" Type="http://schemas.openxmlformats.org/officeDocument/2006/relationships/hyperlink" Target="https://audio.iskcondesiretree.com/01_-_Srila_Prabhupada/01_-_Lectures/01_-_English/01_-_Topic_wise/Srimad_Bhagavatam/Canto-03/SP_SB_3-26-31_Bombay_1975-01-08_First-class_Yoga.mp3" TargetMode="External"/><Relationship Id="rId3734" Type="http://schemas.openxmlformats.org/officeDocument/2006/relationships/hyperlink" Target="https://audio.iskcondesiretree.com/01_-_Srila_Prabhupada/01_-_Lectures/01_-_English/01_-_Topic_wise/Srimad_Bhagavatam/Canto-06/SP_SB_6-02-03_Vrindavan_1975-09-07_Save_Your_Dependent.mp3" TargetMode="External"/><Relationship Id="rId6140" Type="http://schemas.openxmlformats.org/officeDocument/2006/relationships/hyperlink" Target="https://audio.iskcondesiretree.com/01_-_Srila_Prabhupada/01_-_Lectures/01_-_English/01_-_Topic_wise/Stories/SP_Story_16_Glad_stone.mp3" TargetMode="External"/><Relationship Id="rId655" Type="http://schemas.openxmlformats.org/officeDocument/2006/relationships/hyperlink" Target="https://audio.iskcondesiretree.com/01_-_Srila_Prabhupada/01_-_Lectures/01_-_English/02_-_Month_wise/08_-_August/22/SB_1-02-19_LA_1972-08-22_The_Bhakti_Lift_to_Love_and_etc.mp3" TargetMode="External"/><Relationship Id="rId1285" Type="http://schemas.openxmlformats.org/officeDocument/2006/relationships/hyperlink" Target="https://audio.iskcondesiretree.com/01_-_Srila_Prabhupada/01_-_Lectures/01_-_English/02_-_Month_wise/09_-_September/24/Bg_13-01_BOM_1973-09-24_Material_Happiness_Is_Not_All.mp3" TargetMode="External"/><Relationship Id="rId2336" Type="http://schemas.openxmlformats.org/officeDocument/2006/relationships/hyperlink" Target="https://audio.iskcondesiretree.com/01_-_Srila_Prabhupada/01_-_Lectures/01_-_English/02_-_Month_wise/08_-_August/10/Bg-07-04_1974-08-10_BG-VRNDAVAN.MP3" TargetMode="External"/><Relationship Id="rId2750" Type="http://schemas.openxmlformats.org/officeDocument/2006/relationships/hyperlink" Target="https://audio.iskcondesiretree.com/01_-_Srila_Prabhupada/01_-_Lectures/01_-_English/02_-_Month_wise/02_-_Feburary/02/Bg-16-06_1975-02-02BG-HONOLULU.MP3" TargetMode="External"/><Relationship Id="rId3801" Type="http://schemas.openxmlformats.org/officeDocument/2006/relationships/hyperlink" Target="https://audio.iskcondesiretree.com/01_-_Srila_Prabhupada/01_-_Lectures/01_-_English/02_-_Month_wise/10_-_October/01/Bg-02-11_1975-10-01_BG-MAURITIUS.MP3" TargetMode="External"/><Relationship Id="rId308" Type="http://schemas.openxmlformats.org/officeDocument/2006/relationships/hyperlink" Target="https://audio.iskcondesiretree.com/01_-_Srila_Prabhupada/01_-_Lectures/01_-_English/01_-_Topic_wise/Bhagavad_Gita/Chapter-07/SP_BG_07-01_Los_Angeles_1968-12-02_Pros_and_Cons_of_the_Material_World.mp3" TargetMode="External"/><Relationship Id="rId722" Type="http://schemas.openxmlformats.org/officeDocument/2006/relationships/hyperlink" Target="https://audio.iskcondesiretree.com/01_-_Srila_Prabhupada/01_-_Lectures/01_-_English/01_-_Topic_wise/Srimad_Bhagavatam/Canto-01/SP_SB_1-03-30_Los_Angeles_1972-10-05_Krishna_Is_Within_Every_Atom.mp3" TargetMode="External"/><Relationship Id="rId1352" Type="http://schemas.openxmlformats.org/officeDocument/2006/relationships/hyperlink" Target="https://audio.iskcondesiretree.com/01_-_Srila_Prabhupada/01_-_Lectures/01_-_English/02_-_Month_wise/11_-_November/06/SB_2-01-03_DEL_1973-11-06_The_Sighted_and_the_Blind.mp3" TargetMode="External"/><Relationship Id="rId2403" Type="http://schemas.openxmlformats.org/officeDocument/2006/relationships/hyperlink" Target="https://audio.iskcondesiretree.com/01_-_Srila_Prabhupada/01_-_Lectures/01_-_English/01_-_Topic_wise/Srimad_Bhagavatam/Canto-01/SP_SB_1-08-21_Mayapur_1974-10-01_The_Krishna_Connection.mp3" TargetMode="External"/><Relationship Id="rId5559" Type="http://schemas.openxmlformats.org/officeDocument/2006/relationships/hyperlink" Target="https://audio.iskcondesiretree.com/01_-_Srila_Prabhupada/01_-_Lectures/01_-_English/02_-_Month_wise/01_-_January/04/Walk_1977-01-04_MW-BOMBAY.MP3" TargetMode="External"/><Relationship Id="rId1005" Type="http://schemas.openxmlformats.org/officeDocument/2006/relationships/hyperlink" Target="https://audio.iskcondesiretree.com/01_-_Srila_Prabhupada/01_-_Lectures/01_-_English/01_-_Topic_wise/Srimad_Bhagavatam/Canto-01/SP_SB_1-08-51_Los_Angeles_1973-05-13_Responsibilities_of_Fathers--etc.mp3" TargetMode="External"/><Relationship Id="rId4575" Type="http://schemas.openxmlformats.org/officeDocument/2006/relationships/hyperlink" Target="https://audio.iskcondesiretree.com/01_-_Srila_Prabhupada/01_-_Lectures/01_-_English/02_-_Month_wise/05_-_May/07/Conv_1976-05-07_R1-HONOLULU.MP3" TargetMode="External"/><Relationship Id="rId5973" Type="http://schemas.openxmlformats.org/officeDocument/2006/relationships/hyperlink" Target="https://audio.iskcondesiretree.com/01_-_Srila_Prabhupada/01_-_Lectures/01_-_English/02_-_Month_wise/10_-_October/29/Conv_1977-10-29_R1-VRNDAVAN.MP3" TargetMode="External"/><Relationship Id="rId3177" Type="http://schemas.openxmlformats.org/officeDocument/2006/relationships/hyperlink" Target="https://audio.iskcondesiretree.com/01_-_Srila_Prabhupada/01_-_Lectures/01_-_English/01_-_Topic_wise/Morning_Walk/SP_Morning_Walk_-_Perth_1975-05-14.MP3" TargetMode="External"/><Relationship Id="rId4228" Type="http://schemas.openxmlformats.org/officeDocument/2006/relationships/hyperlink" Target="https://audio.iskcondesiretree.com/01_-_Srila_Prabhupada/01_-_Lectures/01_-_English/02_-_Month_wise/02_-_Feburary/10/Walk_1976-02-10_MW-MAYAPUR.MP3" TargetMode="External"/><Relationship Id="rId5626" Type="http://schemas.openxmlformats.org/officeDocument/2006/relationships/hyperlink" Target="https://audio.iskcondesiretree.com/01_-_Srila_Prabhupada/01_-_Lectures/01_-_English/02_-_Month_wise/01_-_January/24/CcMadhya-08-128_1977-01-24_CC-BHUBANESWAR.MP3" TargetMode="External"/><Relationship Id="rId3591" Type="http://schemas.openxmlformats.org/officeDocument/2006/relationships/hyperlink" Target="https://audio.iskcondesiretree.com/01_-_Srila_Prabhupada/01_-_Lectures/01_-_English/02_-_Month_wise/07_-_July/26/Conv_1975-07-26_R1-LAGUNA%20BEACH.MP3" TargetMode="External"/><Relationship Id="rId4642" Type="http://schemas.openxmlformats.org/officeDocument/2006/relationships/hyperlink" Target="https://audio.iskcondesiretree.com/01_-_Srila_Prabhupada/01_-_Lectures/01_-_English/02_-_Month_wise/05_-_May/24/SB-06-01-24_1976-05-24_SB-HONOLULU.MP3" TargetMode="External"/><Relationship Id="rId2193" Type="http://schemas.openxmlformats.org/officeDocument/2006/relationships/hyperlink" Target="https://audio.iskcondesiretree.com/01_-_Srila_Prabhupada/01_-_Lectures/01_-_English/01_-_Topic_wise/Srimad_Bhagavatam/Canto-02/SP_SB_2-01-04_Melbourne_1974-06-26_The_Right_Questions.mp3" TargetMode="External"/><Relationship Id="rId3244" Type="http://schemas.openxmlformats.org/officeDocument/2006/relationships/hyperlink" Target="https://audio.iskcondesiretree.com/01_-_Srila_Prabhupada/01_-_Lectures/01_-_English/02_-_Month_wise/05_-_May/25/Arrival_1975-05-25_AR-HONOLULU.MP3" TargetMode="External"/><Relationship Id="rId165" Type="http://schemas.openxmlformats.org/officeDocument/2006/relationships/hyperlink" Target="https://audio.iskcondesiretree.com/01_-_Srila_Prabhupada/01_-_Lectures/01_-_English/02_-_Month_wise/12_-_December/14/Cc_M_20-172_NY_1966-12-14_Krishna%27s_Original_etc.mp3" TargetMode="External"/><Relationship Id="rId2260" Type="http://schemas.openxmlformats.org/officeDocument/2006/relationships/hyperlink" Target="https://audio.iskcondesiretree.com/01_-_Srila_Prabhupada/01_-_Lectures/01_-_English/01_-_Topic_wise/Srimad_Bhagavatam/Canto-01/SP_SB_1-16-20_Los_Angeles_1974-07-10_Make_Everyone_a--etc.mp3" TargetMode="External"/><Relationship Id="rId3311" Type="http://schemas.openxmlformats.org/officeDocument/2006/relationships/hyperlink" Target="https://audio.iskcondesiretree.com/01_-_Srila_Prabhupada/01_-_Lectures/01_-_English/02_-_Month_wise/06_-_June/16/Walk_1975-06-16_MW-HONOLULU.MP3" TargetMode="External"/><Relationship Id="rId232" Type="http://schemas.openxmlformats.org/officeDocument/2006/relationships/hyperlink" Target="https://audio.iskcondesiretree.com/01_-_Srila_Prabhupada/01_-_Lectures/01_-_English/01_-_Topic_wise/Morning_Walk/SP_Morning_Walk_-_San_Francisco_1968-03-23_Prayer_for_a_Passionate_Planet.mp3" TargetMode="External"/><Relationship Id="rId5069" Type="http://schemas.openxmlformats.org/officeDocument/2006/relationships/hyperlink" Target="https://audio.iskcondesiretree.com/01_-_Srila_Prabhupada/01_-_Lectures/01_-_English/02_-_Month_wise/08_-_August/08/Conv_1976-08-08_R1-TEHRAN.MP3" TargetMode="External"/><Relationship Id="rId5483" Type="http://schemas.openxmlformats.org/officeDocument/2006/relationships/hyperlink" Target="https://audio.iskcondesiretree.com/01_-_Srila_Prabhupada/01_-_Lectures/01_-_English/01_-_Topic_wise/Various/SP_Lecture_Hyderabad_1976-12-10_Hearing_Srila_Bhaktisiddhanta_Was_My_Hobby.mp3" TargetMode="External"/><Relationship Id="rId1679" Type="http://schemas.openxmlformats.org/officeDocument/2006/relationships/hyperlink" Target="https://audio.iskcondesiretree.com/01_-_Srila_Prabhupada/01_-_Lectures/01_-_English/01_-_Topic_wise/Morning_Walk/SP_Morning_Walk_-_Mayapur_1974-03-05.mp3" TargetMode="External"/><Relationship Id="rId4085" Type="http://schemas.openxmlformats.org/officeDocument/2006/relationships/hyperlink" Target="https://audio.iskcondesiretree.com/01_-_Srila_Prabhupada/01_-_Lectures/01_-_English/02_-_Month_wise/12_-_December/12/SB-07-06-10_1975-12-12_SB-VRNDAVAN.MP3" TargetMode="External"/><Relationship Id="rId5136" Type="http://schemas.openxmlformats.org/officeDocument/2006/relationships/hyperlink" Target="https://audio.iskcondesiretree.com/01_-_Srila_Prabhupada/01_-_Lectures/01_-_English/02_-_Month_wise/08_-_August/19/Conv_1976-08-19_R2-HYDERABAD.MP3" TargetMode="External"/><Relationship Id="rId4152" Type="http://schemas.openxmlformats.org/officeDocument/2006/relationships/hyperlink" Target="https://audio.iskcondesiretree.com/01_-_Srila_Prabhupada/01_-_Lectures/01_-_English/02_-_Month_wise/01_-_January/03/MW_NEL_1976-01-03_Independent_Thinking.mp3" TargetMode="External"/><Relationship Id="rId5203" Type="http://schemas.openxmlformats.org/officeDocument/2006/relationships/hyperlink" Target="https://audio.iskcondesiretree.com/01_-_Srila_Prabhupada/01_-_Lectures/01_-_English/02_-_Month_wise/09_-_September/08/SB-01-07-09_1976-09-08_SB-VRNDAVAN.MP3" TargetMode="External"/><Relationship Id="rId5550" Type="http://schemas.openxmlformats.org/officeDocument/2006/relationships/hyperlink" Target="https://audio.iskcondesiretree.com/01_-_Srila_Prabhupada/01_-_Lectures/01_-_English/02_-_Month_wise/01_-_January/02/Conv_1977-01-02_R2-BOMBAY.MP3" TargetMode="External"/><Relationship Id="rId1746" Type="http://schemas.openxmlformats.org/officeDocument/2006/relationships/hyperlink" Target="https://audio.iskcondesiretree.com/01_-_Srila_Prabhupada/01_-_Lectures/01_-_English/02_-_Month_wise/03_-_March/23/Bg_04-03_BOM_1974-03-23_Cheating_Religion_Thrown_Out.mp3" TargetMode="External"/><Relationship Id="rId38" Type="http://schemas.openxmlformats.org/officeDocument/2006/relationships/hyperlink" Target="https://audio.iskcondesiretree.com/01_-_Srila_Prabhupada/01_-_Lectures/01_-_English/01_-_Topic_wise/Bhagavad_Gita/Chapter-03/SP_BG_03-16_New_York_1966-05-25_You_Have_to_Love_Through_God.mp3" TargetMode="External"/><Relationship Id="rId1813" Type="http://schemas.openxmlformats.org/officeDocument/2006/relationships/hyperlink" Target="https://audio.iskcondesiretree.com/01_-_Srila_Prabhupada/01_-_Lectures/01_-_English/02_-_Month_wise/04_-_April/03/Bg-04-14_1974-04-03_BG-BOMBAY.MP3" TargetMode="External"/><Relationship Id="rId4969" Type="http://schemas.openxmlformats.org/officeDocument/2006/relationships/hyperlink" Target="https://audio.iskcondesiretree.com/01_-_Srila_Prabhupada/01_-_Lectures/01_-_English/02_-_Month_wise/07_-_July/14/Conv_1976-07-14_R1-NEW%20YORK.MP3" TargetMode="External"/><Relationship Id="rId3985" Type="http://schemas.openxmlformats.org/officeDocument/2006/relationships/hyperlink" Target="https://audio.iskcondesiretree.com/01_-_Srila_Prabhupada/01_-_Lectures/01_-_English/02_-_Month_wise/11_-_November/13/Walk_1975-11-13_MW-BOMBAY.MP3" TargetMode="External"/><Relationship Id="rId2587" Type="http://schemas.openxmlformats.org/officeDocument/2006/relationships/hyperlink" Target="https://audio.iskcondesiretree.com/01_-_Srila_Prabhupada/01_-_Lectures/01_-_English/02_-_Month_wise/12_-_December/06/SB_3-25-37_BOM_1974-12-06_The_Devotional_Position.mp3" TargetMode="External"/><Relationship Id="rId3638" Type="http://schemas.openxmlformats.org/officeDocument/2006/relationships/hyperlink" Target="https://audio.iskcondesiretree.com/01_-_Srila_Prabhupada/01_-_Lectures/01_-_English/02_-_Month_wise/04_-_April/SB-06-01-51_1975-08-04_SB-DETROIT.MP3" TargetMode="External"/><Relationship Id="rId6044" Type="http://schemas.openxmlformats.org/officeDocument/2006/relationships/hyperlink" Target="https://audio.iskcondesiretree.com/01_-_Srila_Prabhupada/01_-_Lectures/01_-_English/01_-_Topic_wise/Bhagavad_Gita_Recitation/SP_BG_Recitation_Chapter-11_-_Sanskrit.mp3" TargetMode="External"/><Relationship Id="rId559" Type="http://schemas.openxmlformats.org/officeDocument/2006/relationships/hyperlink" Target="https://audio.iskcondesiretree.com/01_-_Srila_Prabhupada/01_-_Lectures/01_-_English/02_-_Month_wise/08_-_August/04/Bg_07-01_LON_1971-08-04_Beauty_of_Brahminical_Culture.mp3" TargetMode="External"/><Relationship Id="rId1189" Type="http://schemas.openxmlformats.org/officeDocument/2006/relationships/hyperlink" Target="https://audio.iskcondesiretree.com/01_-_Srila_Prabhupada/01_-_Lectures/01_-_English/02_-_Month_wise/08_-_August/18/Bg_02-12_LON_1973-08-18_What_Abortionists_Don%27t_Know.mp3" TargetMode="External"/><Relationship Id="rId5060" Type="http://schemas.openxmlformats.org/officeDocument/2006/relationships/hyperlink" Target="https://audio.iskcondesiretree.com/01_-_Srila_Prabhupada/01_-_Lectures/01_-_English/01_-_Topic_wise/Bhagavad_Gita/Chapter-04/SP_BG_04-24_New_Mayapur_1976-08-04_Krishna_is_there--_But_You--etc.mp3" TargetMode="External"/><Relationship Id="rId6111" Type="http://schemas.openxmlformats.org/officeDocument/2006/relationships/hyperlink" Target="https://audio.iskcondesiretree.com/01_-_Srila_Prabhupada/01_-_Lectures/01_-_English/01_-_Topic_wise/Krishna_Book/SP_Krsna_Book_Dict_77_-_The_Deliverance_of_Salva.mp3" TargetMode="External"/><Relationship Id="rId626" Type="http://schemas.openxmlformats.org/officeDocument/2006/relationships/hyperlink" Target="https://audio.iskcondesiretree.com/01_-_Srila_Prabhupada/01_-_Lectures/01_-_English/01_-_Topic_wise/Srimad_Bhagavatam/Canto-02/SP_SB_2-04-03_Los_Angeles_1972-06-27_Make_Krishna_Your_Beloved.mp3" TargetMode="External"/><Relationship Id="rId973" Type="http://schemas.openxmlformats.org/officeDocument/2006/relationships/hyperlink" Target="https://audio.iskcondesiretree.com/01_-_Srila_Prabhupada/01_-_Lectures/01_-_English/01_-_Topic_wise/Morning_Walk/SP_Morning_Walk_-_Los_Angeles_1973-04-28_Greedy_Pushy_Scientists.mp3" TargetMode="External"/><Relationship Id="rId1256" Type="http://schemas.openxmlformats.org/officeDocument/2006/relationships/hyperlink" Target="https://audio.iskcondesiretree.com/01_-_Srila_Prabhupada/01_-_Lectures/01_-_English/02_-_Month_wise/09_-_September/06/Lect_STO_1973-09-06_To_Students--Brahma_Samhita.mp3" TargetMode="External"/><Relationship Id="rId2307" Type="http://schemas.openxmlformats.org/officeDocument/2006/relationships/hyperlink" Target="https://audio.iskcondesiretree.com/01_-_Srila_Prabhupada/01_-_Lectures/01_-_English/02_-_Month_wise/08_-_August/03/SB-01-05-22_1974-08-03_SB-VRNDAVAN.MP3" TargetMode="External"/><Relationship Id="rId2654" Type="http://schemas.openxmlformats.org/officeDocument/2006/relationships/hyperlink" Target="https://audio.iskcondesiretree.com/01_-_Srila_Prabhupada/01_-_Lectures/01_-_English/01_-_Topic_wise/Srimad_Bhagavatam/Canto-03/SP_SB_3-26-20_Bombay_1974-12-29_We%27re_All_Asleep.mp3" TargetMode="External"/><Relationship Id="rId3705" Type="http://schemas.openxmlformats.org/officeDocument/2006/relationships/hyperlink" Target="https://audio.iskcondesiretree.com/01_-_Srila_Prabhupada/01_-_Lectures/01_-_English/01_-_Topic_wise/Morning_Walk/SP_Morning_Walk_-_Vrindavan_1975-09-01.MP3" TargetMode="External"/><Relationship Id="rId1670" Type="http://schemas.openxmlformats.org/officeDocument/2006/relationships/hyperlink" Target="https://audio.iskcondesiretree.com/01_-_Srila_Prabhupada/01_-_Lectures/01_-_English/01_-_Topic_wise/Morning_Walk/SP_Morning_Walk_-_Mayapur_1974-03-03.mp3" TargetMode="External"/><Relationship Id="rId2721" Type="http://schemas.openxmlformats.org/officeDocument/2006/relationships/hyperlink" Target="https://audio.iskcondesiretree.com/01_-_Srila_Prabhupada/01_-_Lectures/01_-_English/02_-_Month_wise/01_-_January/22/SB_3-26-47_BOM_1975-01-22_Dead_Sound--Living_Sound.mp3" TargetMode="External"/><Relationship Id="rId5877" Type="http://schemas.openxmlformats.org/officeDocument/2006/relationships/hyperlink" Target="https://audio.iskcondesiretree.com/01_-_Srila_Prabhupada/01_-_Lectures/01_-_English/02_-_Month_wise/06_-_June/18/Conv_1977-06-18_R1-VRNDAVAN.MP3" TargetMode="External"/><Relationship Id="rId1323" Type="http://schemas.openxmlformats.org/officeDocument/2006/relationships/hyperlink" Target="https://audio.iskcondesiretree.com/01_-_Srila_Prabhupada/01_-_Lectures/01_-_English/01_-_Topic_wise/Bhagavad_Gita/Chapter-13/SP_BG_13-21_Bombay_1973-10-15_An_Abominable_Body.mp3" TargetMode="External"/><Relationship Id="rId4479" Type="http://schemas.openxmlformats.org/officeDocument/2006/relationships/hyperlink" Target="https://audio.iskcondesiretree.com/01_-_Srila_Prabhupada/01_-_Lectures/01_-_English/02_-_Month_wise/04_-_April/15/MW_BOM_1976-04-15_A_Child_Can_Do_this_Preaching_Work.mp3" TargetMode="External"/><Relationship Id="rId4893" Type="http://schemas.openxmlformats.org/officeDocument/2006/relationships/hyperlink" Target="https://audio.iskcondesiretree.com/01_-_Srila_Prabhupada/01_-_Lectures/01_-_English/01_-_Topic_wise/Room_Conversation/SP_Room_Conversation_Washington_DC_1976-07-05_Prof--Righteous-Roguish.mp3" TargetMode="External"/><Relationship Id="rId5944" Type="http://schemas.openxmlformats.org/officeDocument/2006/relationships/hyperlink" Target="https://audio.iskcondesiretree.com/01_-_Srila_Prabhupada/01_-_Lectures/01_-_English/02_-_Month_wise/10_-_October/13/Conv_1977-10-13_R3-VRNDAVAN.MP3" TargetMode="External"/><Relationship Id="rId3495" Type="http://schemas.openxmlformats.org/officeDocument/2006/relationships/hyperlink" Target="https://audio.iskcondesiretree.com/01_-_Srila_Prabhupada/01_-_Lectures/01_-_English/02_-_Month_wise/07_-_July/11/Interv_PHI_1975-07-11_Press-Spirits_in_Alien_Machines.mp3" TargetMode="External"/><Relationship Id="rId4546" Type="http://schemas.openxmlformats.org/officeDocument/2006/relationships/hyperlink" Target="https://audio.iskcondesiretree.com/01_-_Srila_Prabhupada/01_-_Lectures/01_-_English/02_-_Month_wise/04_-_April/27/CcMadhya-20-098%E2%80%93102_1976-04-27_CC-AUCKLAND.MP3" TargetMode="External"/><Relationship Id="rId4960" Type="http://schemas.openxmlformats.org/officeDocument/2006/relationships/hyperlink" Target="https://audio.iskcondesiretree.com/01_-_Srila_Prabhupada/01_-_Lectures/01_-_English/01_-_Topic_wise/Chaitanya_Charitamrita/Madhya_Lila/SP_CC_M_20-107_New_York_1976-07-13_Well-Placed_Greed.mp3" TargetMode="External"/><Relationship Id="rId2097" Type="http://schemas.openxmlformats.org/officeDocument/2006/relationships/hyperlink" Target="https://audio.iskcondesiretree.com/01_-_Srila_Prabhupada/01_-_Lectures/01_-_English/02_-_Month_wise/06_-_June/11/RC_PAR_1974-06-11_Slaughterhouse_Civilization.mp3" TargetMode="External"/><Relationship Id="rId3148" Type="http://schemas.openxmlformats.org/officeDocument/2006/relationships/hyperlink" Target="https://audio.iskcondesiretree.com/01_-_Srila_Prabhupada/01_-_Lectures/01_-_English/01_-_Topic_wise/Morning_Walk/SP_Morning_Walk_-_Perth_1975-05-07.MP3" TargetMode="External"/><Relationship Id="rId3562" Type="http://schemas.openxmlformats.org/officeDocument/2006/relationships/hyperlink" Target="https://audio.iskcondesiretree.com/01_-_Srila_Prabhupada/01_-_Lectures/01_-_English/02_-_Month_wise/07_-_July/20/SB_6-01-39_SF_1975-07-20_Who_Is_Punishable.mp3" TargetMode="External"/><Relationship Id="rId4613" Type="http://schemas.openxmlformats.org/officeDocument/2006/relationships/hyperlink" Target="https://audio.iskcondesiretree.com/01_-_Srila_Prabhupada/01_-_Lectures/01_-_English/02_-_Month_wise/05_-_May/16/SB_6-01-16_HON_1976-05-16_Mercy_of_the_Spiritual_Master.mp3" TargetMode="External"/><Relationship Id="rId483" Type="http://schemas.openxmlformats.org/officeDocument/2006/relationships/hyperlink" Target="https://audio.iskcondesiretree.com/01_-_Srila_Prabhupada/01_-_Lectures/01_-_English/02_-_Month_wise/09_-_September/23/Fest_LON_1969-09-23_Bhaktivinode_Appearance.mp3" TargetMode="External"/><Relationship Id="rId2164" Type="http://schemas.openxmlformats.org/officeDocument/2006/relationships/hyperlink" Target="https://audio.iskcondesiretree.com/01_-_Srila_Prabhupada/01_-_Lectures/01_-_English/02_-_Month_wise/06_-_June/19/MW_PAR_1974-06-19_People_Want_to_Banish_God.mp3" TargetMode="External"/><Relationship Id="rId3215" Type="http://schemas.openxmlformats.org/officeDocument/2006/relationships/hyperlink" Target="https://audio.iskcondesiretree.com/01_-_Srila_Prabhupada/01_-_Lectures/01_-_English/02_-_Month_wise/05_-_May/20/Walk_1975-05-20_MW-MELBOURNE.MP3" TargetMode="External"/><Relationship Id="rId136" Type="http://schemas.openxmlformats.org/officeDocument/2006/relationships/hyperlink" Target="https://audio.iskcondesiretree.com/01_-_Srila_Prabhupada/01_-_Lectures/01_-_English/01_-_Topic_wise/Chaitanya_Charitamrita/Madhya_Lila/SP_CC_M_20-142_New_York_1966-11-30_Liberated-When_One_Tastes--etc.mp3" TargetMode="External"/><Relationship Id="rId550" Type="http://schemas.openxmlformats.org/officeDocument/2006/relationships/hyperlink" Target="https://audio.iskcondesiretree.com/01_-_Srila_Prabhupada/01_-_Lectures/01_-_English/01_-_Topic_wise/Arrival_Address/SP_Arrival_Gainesville_1971-07-29_Everyone_Has_Got_Love_For_Krishna.mp3" TargetMode="External"/><Relationship Id="rId1180" Type="http://schemas.openxmlformats.org/officeDocument/2006/relationships/hyperlink" Target="https://audio.iskcondesiretree.com/01_-_Srila_Prabhupada/01_-_Lectures/01_-_English/02_-_Month_wise/08_-_August/13/RC_PAR_1973-08-13_Rosicrucians_Vague_Bogus_A_Waste_of_Time.mp3" TargetMode="External"/><Relationship Id="rId2231" Type="http://schemas.openxmlformats.org/officeDocument/2006/relationships/hyperlink" Target="https://audio.iskcondesiretree.com/01_-_Srila_Prabhupada/01_-_Lectures/01_-_English/02_-_Month_wise/07_-_July/01/Lecture_1974-07-01_LE-MELBOURNE.MP3" TargetMode="External"/><Relationship Id="rId5387" Type="http://schemas.openxmlformats.org/officeDocument/2006/relationships/hyperlink" Target="https://audio.iskcondesiretree.com/01_-_Srila_Prabhupada/01_-_Lectures/01_-_English/02_-_Month_wise/11_-_November/05/SB_5-05-17_VRN_1976-11-05_Classless_Means_etc.mp3" TargetMode="External"/><Relationship Id="rId203" Type="http://schemas.openxmlformats.org/officeDocument/2006/relationships/hyperlink" Target="https://audio.iskcondesiretree.com/01_-_Srila_Prabhupada/01_-_Lectures/01_-_English/02_-_Month_wise/01_-_January/01/BG_10-02_NY_1967-01-01_The_Process_for_Understanding_God.mp3" TargetMode="External"/><Relationship Id="rId1997" Type="http://schemas.openxmlformats.org/officeDocument/2006/relationships/hyperlink" Target="https://audio.iskcondesiretree.com/01_-_Srila_Prabhupada/01_-_Lectures/01_-_English/02_-_Month_wise/05_-_May/27/SB_1-02-03_ROM_1974-05-27_Darkness_Of_Disobedience.mp3" TargetMode="External"/><Relationship Id="rId4056" Type="http://schemas.openxmlformats.org/officeDocument/2006/relationships/hyperlink" Target="https://audio.iskcondesiretree.com/01_-_Srila_Prabhupada/01_-_Lectures/01_-_English/02_-_Month_wise/12_-_December/06/Initiations_1975-12-06_LE-VRNDAVAN.MP3" TargetMode="External"/><Relationship Id="rId5454" Type="http://schemas.openxmlformats.org/officeDocument/2006/relationships/hyperlink" Target="https://audio.iskcondesiretree.com/01_-_Srila_Prabhupada/01_-_Lectures/01_-_English/02_-_Month_wise/11_-_November/25/SB_5-06-03_VRN_1976-11-25_Never_Trust_Your_Mind.mp3" TargetMode="External"/><Relationship Id="rId4470" Type="http://schemas.openxmlformats.org/officeDocument/2006/relationships/hyperlink" Target="https://audio.iskcondesiretree.com/01_-_Srila_Prabhupada/01_-_Lectures/01_-_English/01_-_Topic_wise/Morning_Walk/SP_Morning_Walk_-_Bombay_1976-04-14_Don%27t_Give_Your_Vote_to_the_Rogues.mp3" TargetMode="External"/><Relationship Id="rId5107" Type="http://schemas.openxmlformats.org/officeDocument/2006/relationships/hyperlink" Target="https://audio.iskcondesiretree.com/01_-_Srila_Prabhupada/01_-_Lectures/01_-_English/02_-_Month_wise/08_-_August/14/Conv_1976-08-14_R1-BOMBAY.MP3" TargetMode="External"/><Relationship Id="rId5521" Type="http://schemas.openxmlformats.org/officeDocument/2006/relationships/hyperlink" Target="https://audio.iskcondesiretree.com/01_-_Srila_Prabhupada/01_-_Lectures/01_-_English/01_-_Topic_wise/Morning_Walk/SP_Morning_Walk_-_Bombay_1976-12-25_Coverings--Concoctions--Gandhi--etc.mp3" TargetMode="External"/><Relationship Id="rId1717" Type="http://schemas.openxmlformats.org/officeDocument/2006/relationships/hyperlink" Target="https://audio.iskcondesiretree.com/01_-_Srila_Prabhupada/01_-_Lectures/01_-_English/01_-_Topic_wise/Srimad_Bhagavatam/Canto-02/SP_SB_2-01-01_Vrindavan_1974-03-16_How_to_Be_Fearless_at_Death.mp3" TargetMode="External"/><Relationship Id="rId3072" Type="http://schemas.openxmlformats.org/officeDocument/2006/relationships/hyperlink" Target="https://audio.iskcondesiretree.com/01_-_Srila_Prabhupada/01_-_Lectures/01_-_English/01_-_Topic_wise/Morning_Walk/SP_Morning_Walk_-_Mayapur_1975-04-08.MP3" TargetMode="External"/><Relationship Id="rId4123" Type="http://schemas.openxmlformats.org/officeDocument/2006/relationships/hyperlink" Target="https://audio.iskcondesiretree.com/01_-_Srila_Prabhupada/01_-_Lectures/01_-_English/01_-_Topic_wise/Various/SP_Lecture_Sanand_1975-12-25_Follow...or_Folly.mp3" TargetMode="External"/><Relationship Id="rId3889" Type="http://schemas.openxmlformats.org/officeDocument/2006/relationships/hyperlink" Target="https://audio.iskcondesiretree.com/01_-_Srila_Prabhupada/01_-_Lectures/01_-_English/02_-_Month_wise/10_-_October/18/Bg_16-06_DUR_1975-10-18_Demons_Symptoms.mp3" TargetMode="External"/><Relationship Id="rId3956" Type="http://schemas.openxmlformats.org/officeDocument/2006/relationships/hyperlink" Target="https://audio.iskcondesiretree.com/01_-_Srila_Prabhupada/01_-_Lectures/01_-_English/01_-_Topic_wise/Morning_Walk/SP_Morning_Walk_-_Bombay_1975-11-03_Peace_in_Society_of_Dogs.mp3" TargetMode="External"/><Relationship Id="rId6015" Type="http://schemas.openxmlformats.org/officeDocument/2006/relationships/hyperlink" Target="https://audio.iskcondesiretree.com/01_-_Srila_Prabhupada/01_-_Lectures/01_-_English/02_-_Month_wise/11_-_November/09/Conv_1977-11-09_R4-VRNDAVAN.MP3" TargetMode="External"/><Relationship Id="rId877" Type="http://schemas.openxmlformats.org/officeDocument/2006/relationships/hyperlink" Target="https://audio.iskcondesiretree.com/01_-_Srila_Prabhupada/01_-_Lectures/01_-_English/02_-_Month_wise/12_-_December/28/NOD_Pg-12_BOM_1972-12-28_The_Superiority_of_Devotional_Mellows.mp3" TargetMode="External"/><Relationship Id="rId2558" Type="http://schemas.openxmlformats.org/officeDocument/2006/relationships/hyperlink" Target="https://audio.iskcondesiretree.com/01_-_Srila_Prabhupada/01_-_Lectures/01_-_English/01_-_Topic_wise/Srimad_Bhagavatam/Canto-03/SP_SB_3-25-27_Bombay_1974-11-27_World_Is_Under_Misunderstanding.mp3" TargetMode="External"/><Relationship Id="rId2972" Type="http://schemas.openxmlformats.org/officeDocument/2006/relationships/hyperlink" Target="https://audio.iskcondesiretree.com/01_-_Srila_Prabhupada/01_-_Lectures/01_-_English/02_-_Month_wise/03_-_March/20/Arr_CAL_1975-03-20_Hinduism%2C_Muslimism%2C_Christianism_etc.mp3" TargetMode="External"/><Relationship Id="rId3609" Type="http://schemas.openxmlformats.org/officeDocument/2006/relationships/hyperlink" Target="https://audio.iskcondesiretree.com/01_-_Srila_Prabhupada/01_-_Lectures/01_-_English/02_-_Month_wise/07_-_July/29/SB_6-01-47_DAL_1975-07-29_Your_Next_Life-What_Will_It_Be.mp3" TargetMode="External"/><Relationship Id="rId944" Type="http://schemas.openxmlformats.org/officeDocument/2006/relationships/hyperlink" Target="https://audio.iskcondesiretree.com/01_-_Srila_Prabhupada/01_-_Lectures/01_-_English/01_-_Topic_wise/Srimad_Bhagavatam/Canto-01/SP_SB_1-08-22_Los_Angeles_1973-04-14_If_You_Actually_Love_God_You--etc.mp3" TargetMode="External"/><Relationship Id="rId1574" Type="http://schemas.openxmlformats.org/officeDocument/2006/relationships/hyperlink" Target="https://audio.iskcondesiretree.com/01_-_Srila_Prabhupada/01_-_Lectures/01_-_English/01_-_Topic_wise/Arrival_Address/SP_Arrival_Lecture_Tokyo_1974-01-29.mp3" TargetMode="External"/><Relationship Id="rId2625" Type="http://schemas.openxmlformats.org/officeDocument/2006/relationships/hyperlink" Target="https://audio.iskcondesiretree.com/01_-_Srila_Prabhupada/01_-_Lectures/01_-_English/02_-_Month_wise/12_-_December/19/SB-03-26-07_1974-12-19_SB-BOMBAY.MP3" TargetMode="External"/><Relationship Id="rId5031" Type="http://schemas.openxmlformats.org/officeDocument/2006/relationships/hyperlink" Target="https://audio.iskcondesiretree.com/01_-_Srila_Prabhupada/01_-_Lectures/01_-_English/02_-_Month_wise/07_-_July/28/Arrival_1976-07-28_AR-PARIS.MP3" TargetMode="External"/><Relationship Id="rId1227" Type="http://schemas.openxmlformats.org/officeDocument/2006/relationships/hyperlink" Target="https://audio.iskcondesiretree.com/01_-_Srila_Prabhupada/01_-_Lectures/01_-_English/02_-_Month_wise/08_-_August/29/Bg_02-26_LON_1973-08-29_Why_Lament_Over_Chemicals.mp3" TargetMode="External"/><Relationship Id="rId1641" Type="http://schemas.openxmlformats.org/officeDocument/2006/relationships/hyperlink" Target="https://audio.iskcondesiretree.com/01_-_Srila_Prabhupada/01_-_Lectures/01_-_English/01_-_Topic_wise/Morning_Walk/SP_Morning_Walk_-_Bombay_1974-02-23_A_Good_Man_%26_a_Kick_in_the_Face.mp3" TargetMode="External"/><Relationship Id="rId4797" Type="http://schemas.openxmlformats.org/officeDocument/2006/relationships/hyperlink" Target="https://audio.iskcondesiretree.com/01_-_Srila_Prabhupada/01_-_Lectures/01_-_English/02_-_Month_wise/06_-_June/21/Arrival_1976-06-21_AR-NEW%20VRINDAVAN.MP3" TargetMode="External"/><Relationship Id="rId5848" Type="http://schemas.openxmlformats.org/officeDocument/2006/relationships/hyperlink" Target="https://audio.iskcondesiretree.com/01_-_Srila_Prabhupada/01_-_Lectures/01_-_English/02_-_Month_wise/05_-_May/13/RC_HRI_1977-05-13_Real_Mystic_Power.mp3" TargetMode="External"/><Relationship Id="rId3399" Type="http://schemas.openxmlformats.org/officeDocument/2006/relationships/hyperlink" Target="https://audio.iskcondesiretree.com/01_-_Srila_Prabhupada/01_-_Lectures/01_-_English/02_-_Month_wise/06_-_June/29/MW_DEN_1975-06-29_With_Less_Labor_Back_to_Godhead.mp3" TargetMode="External"/><Relationship Id="rId4864" Type="http://schemas.openxmlformats.org/officeDocument/2006/relationships/hyperlink" Target="https://audio.iskcondesiretree.com/01_-_Srila_Prabhupada/01_-_Lectures/01_-_English/02_-_Month_wise/06_-_June/30/Interview_1976-06-30_IV-WHEELING.MP3" TargetMode="External"/><Relationship Id="rId3466" Type="http://schemas.openxmlformats.org/officeDocument/2006/relationships/hyperlink" Target="https://audio.iskcondesiretree.com/01_-_Srila_Prabhupada/01_-_Lectures/01_-_English/01_-_Topic_wise/Interview/SP_Interview_Chicago_1975-07-09_Television--Actual_Woman%27s_Liberation.mp3" TargetMode="External"/><Relationship Id="rId4517" Type="http://schemas.openxmlformats.org/officeDocument/2006/relationships/hyperlink" Target="https://audio.iskcondesiretree.com/01_-_Srila_Prabhupada/01_-_Lectures/01_-_English/02_-_Month_wise/04_-_April/22/Conv_1976-04-22_R1-MELBOURNE.MP3" TargetMode="External"/><Relationship Id="rId5915" Type="http://schemas.openxmlformats.org/officeDocument/2006/relationships/hyperlink" Target="https://audio.iskcondesiretree.com/01_-_Srila_Prabhupada/01_-_Lectures/01_-_English/02_-_Month_wise/07_-_July/14/Conv_1977-07-14_R2-VRNDAVAN.MP3" TargetMode="External"/><Relationship Id="rId387" Type="http://schemas.openxmlformats.org/officeDocument/2006/relationships/hyperlink" Target="https://audio.iskcondesiretree.com/01_-_Srila_Prabhupada/01_-_Lectures/01_-_English/01_-_Topic_wise/Srimad_Bhagavatam/Canto-07/SP_SB_7-09-11_Honolulu_1969-03-24_Krishna_Help_Me_Forget_You.--etc.mp3" TargetMode="External"/><Relationship Id="rId2068" Type="http://schemas.openxmlformats.org/officeDocument/2006/relationships/hyperlink" Target="https://audio.iskcondesiretree.com/01_-_Srila_Prabhupada/01_-_Lectures/01_-_English/02_-_Month_wise/06_-_June/06/Lecture_1974-06-06_LE-GENEVA.MP3" TargetMode="External"/><Relationship Id="rId3119" Type="http://schemas.openxmlformats.org/officeDocument/2006/relationships/hyperlink" Target="https://audio.iskcondesiretree.com/01_-_Srila_Prabhupada/01_-_Lectures/01_-_English/02_-_Month_wise/04_-_April/17/Walk_1975-04-17_MW-VRNDAVAN.MP3" TargetMode="External"/><Relationship Id="rId3880" Type="http://schemas.openxmlformats.org/officeDocument/2006/relationships/hyperlink" Target="https://audio.iskcondesiretree.com/01_-_Srila_Prabhupada/01_-_Lectures/01_-_English/02_-_Month_wise/10_-_October/16/Walk_1975-10-16_MW-JOHANNESBURG.MP3" TargetMode="External"/><Relationship Id="rId4931" Type="http://schemas.openxmlformats.org/officeDocument/2006/relationships/hyperlink" Target="https://audio.iskcondesiretree.com/01_-_Srila_Prabhupada/01_-_Lectures/01_-_English/02_-_Month_wise/07_-_July/08/Conv_1976-07-08_R1-WASHINGTON%20DC.MP3" TargetMode="External"/><Relationship Id="rId1084" Type="http://schemas.openxmlformats.org/officeDocument/2006/relationships/hyperlink" Target="https://audio.iskcondesiretree.com/01_-_Srila_Prabhupada/01_-_Lectures/01_-_English/01_-_Topic_wise/Bhagavad_Gita/Chapter-01/SP_BG_01-11-12_London_1973-07-13_Wanting_to_Be_Cheated.mp3" TargetMode="External"/><Relationship Id="rId2482" Type="http://schemas.openxmlformats.org/officeDocument/2006/relationships/hyperlink" Target="https://audio.iskcondesiretree.com/01_-_Srila_Prabhupada/01_-_Lectures/01_-_English/01_-_Topic_wise/Srimad_Bhagavatam/Canto-03/SP_SB_3-25-01_Bombay_1974-11-01_Fire_Is_Fire_Gold_Is_Gold--etc.mp3" TargetMode="External"/><Relationship Id="rId3533" Type="http://schemas.openxmlformats.org/officeDocument/2006/relationships/hyperlink" Target="https://audio.iskcondesiretree.com/01_-_Srila_Prabhupada/01_-_Lectures/01_-_English/01_-_Topic_wise/Srimad_Bhagavatam/Canto-06/SP_SB_6-01-31_San_Francisco_1975-07-16_Doom_Boon_and_Deliverance.mp3" TargetMode="External"/><Relationship Id="rId107" Type="http://schemas.openxmlformats.org/officeDocument/2006/relationships/hyperlink" Target="https://audio.iskcondesiretree.com/01_-_Srila_Prabhupada/01_-_Lectures/01_-_English/02_-_Month_wise/11_-_November/20/Bg_08-22_NY_1966-11-20_Only_by_Bhakti_Can_One_Enter_etc.mp3" TargetMode="External"/><Relationship Id="rId454" Type="http://schemas.openxmlformats.org/officeDocument/2006/relationships/hyperlink" Target="https://audio.iskcondesiretree.com/01_-_Srila_Prabhupada/01_-_Lectures/01_-_English/01_-_Topic_wise/Srimad_Bhagavatam/Canto-01/SP_SB_1-05-18_New_Vrindavan_1969-06-22_Krishna%27s_Hypnotism.mp3" TargetMode="External"/><Relationship Id="rId2135" Type="http://schemas.openxmlformats.org/officeDocument/2006/relationships/hyperlink" Target="https://audio.iskcondesiretree.com/01_-_Srila_Prabhupada/01_-_Lectures/01_-_English/02_-_Month_wise/06_-_June/14/MW_PAR_1974-06-14_The_Nonsectarian_Signboard.mp3" TargetMode="External"/><Relationship Id="rId3600" Type="http://schemas.openxmlformats.org/officeDocument/2006/relationships/hyperlink" Target="https://audio.iskcondesiretree.com/01_-_Srila_Prabhupada/01_-_Lectures/01_-_English/02_-_Month_wise/07_-_July/27/Walk_1975-07-27MW-SAN%20DIEGO.MP3" TargetMode="External"/><Relationship Id="rId521" Type="http://schemas.openxmlformats.org/officeDocument/2006/relationships/hyperlink" Target="https://audio.iskcondesiretree.com/01_-_Srila_Prabhupada/01_-_Lectures/01_-_English/01_-_Topic_wise/Festivals/SP_Festivals_Gorakhpur_1971-02-15_Bhaktisiddhanta_Appearance_PM.mp3" TargetMode="External"/><Relationship Id="rId1151" Type="http://schemas.openxmlformats.org/officeDocument/2006/relationships/hyperlink" Target="https://audio.iskcondesiretree.com/01_-_Srila_Prabhupada/01_-_Lectures/01_-_English/02_-_Month_wise/08_-_August/08/Bg_02-08_LON_1973-08-08_Surpassing_These_Senses.mp3" TargetMode="External"/><Relationship Id="rId2202" Type="http://schemas.openxmlformats.org/officeDocument/2006/relationships/hyperlink" Target="https://audio.iskcondesiretree.com/01_-_Srila_Prabhupada/01_-_Lectures/01_-_English/01_-_Topic_wise/Various/SP_Lecture_Melbourne_1974-06-28_At_Franciscan_Seminary--The_Human--etc.mp3" TargetMode="External"/><Relationship Id="rId5358" Type="http://schemas.openxmlformats.org/officeDocument/2006/relationships/hyperlink" Target="https://audio.iskcondesiretree.com/01_-_Srila_Prabhupada/01_-_Lectures/01_-_English/02_-_Month_wise/10_-_October/30/SB_5-05-08_VRN_1976-10-30_Remain_with_Celibacy_and_be_Happy.mp3" TargetMode="External"/><Relationship Id="rId5772" Type="http://schemas.openxmlformats.org/officeDocument/2006/relationships/hyperlink" Target="https://audio.iskcondesiretree.com/01_-_Srila_Prabhupada/01_-_Lectures/01_-_English/02_-_Month_wise/03_-_March/27/Conv_1977-03-27_R2-BOMBAY.MP3" TargetMode="External"/><Relationship Id="rId1968" Type="http://schemas.openxmlformats.org/officeDocument/2006/relationships/hyperlink" Target="https://audio.iskcondesiretree.com/01_-_Srila_Prabhupada/01_-_Lectures/01_-_English/02_-_Month_wise/05_-_May/23/Conv_1974-05-23_R1-ROME.MP3" TargetMode="External"/><Relationship Id="rId4374" Type="http://schemas.openxmlformats.org/officeDocument/2006/relationships/hyperlink" Target="https://audio.iskcondesiretree.com/01_-_Srila_Prabhupada/01_-_Lectures/01_-_English/01_-_Topic_wise/Srimad_Bhagavatam/Canto-07/SP_SB_7-09-39_Mayapur_1976-03-17_How_Will_They_Become_Brahmanas.mp3" TargetMode="External"/><Relationship Id="rId5425" Type="http://schemas.openxmlformats.org/officeDocument/2006/relationships/hyperlink" Target="https://audio.iskcondesiretree.com/01_-_Srila_Prabhupada/01_-_Lectures/01_-_English/02_-_Month_wise/11_-_November/15/Conv_1976-11-15_R1-VRNDAVAN.MP3" TargetMode="External"/><Relationship Id="rId3390" Type="http://schemas.openxmlformats.org/officeDocument/2006/relationships/hyperlink" Target="https://audio.iskcondesiretree.com/01_-_Srila_Prabhupada/01_-_Lectures/01_-_English/01_-_Topic_wise/Morning_Walk/SP_Morning_Walk_-_Denver_1975-06-28_Dog_Race_in_a_Dangerous_Place.mp3" TargetMode="External"/><Relationship Id="rId4027" Type="http://schemas.openxmlformats.org/officeDocument/2006/relationships/hyperlink" Target="https://audio.iskcondesiretree.com/01_-_Srila_Prabhupada/01_-_Lectures/01_-_English/02_-_Month_wise/11_-_November/26/MW_DEL_1975-11-26_Other_Religious_Systems_Have_No_Knowledge.mp3" TargetMode="External"/><Relationship Id="rId4441" Type="http://schemas.openxmlformats.org/officeDocument/2006/relationships/hyperlink" Target="https://audio.iskcondesiretree.com/01_-_Srila_Prabhupada/01_-_Lectures/01_-_English/02_-_Month_wise/04_-_April/07/Lecture_1976-04-07_LE-VRNDAVAN.MP3" TargetMode="External"/><Relationship Id="rId3043" Type="http://schemas.openxmlformats.org/officeDocument/2006/relationships/hyperlink" Target="https://audio.iskcondesiretree.com/01_-_Srila_Prabhupada/01_-_Lectures/01_-_English/02_-_Month_wise/04_-_April/03/Walk_1975-04-03_MW-MAYAPUR.MP3" TargetMode="External"/><Relationship Id="rId6199" Type="http://schemas.openxmlformats.org/officeDocument/2006/relationships/hyperlink" Target="https://audio.iskcondesiretree.com/01_-_Srila_Prabhupada/01_-_Lectures/03_-_Hindi/SP_Hindi_27_Lectures_%26_Conversations.mp3" TargetMode="External"/><Relationship Id="rId3110" Type="http://schemas.openxmlformats.org/officeDocument/2006/relationships/hyperlink" Target="https://audio.iskcondesiretree.com/01_-_Srila_Prabhupada/01_-_Lectures/01_-_English/02_-_Month_wise/04_-_April/14/Lecture_1975-04-14_LE-HYDERABAD.MP3" TargetMode="External"/><Relationship Id="rId2876" Type="http://schemas.openxmlformats.org/officeDocument/2006/relationships/hyperlink" Target="https://audio.iskcondesiretree.com/01_-_Srila_Prabhupada/01_-_Lectures/01_-_English/01_-_Topic_wise/Room_Conversation/SP_Room_Conversation_Atlanta_1975-03-01_Svarupa_Damodar--Science-No_Chance.mp3" TargetMode="External"/><Relationship Id="rId3927" Type="http://schemas.openxmlformats.org/officeDocument/2006/relationships/hyperlink" Target="https://audio.iskcondesiretree.com/01_-_Srila_Prabhupada/01_-_Lectures/01_-_English/01_-_Topic_wise/Bhagavad_Gita/Chapter-07/SP_BG_07-03_Nairobi_1975-10-29_Everyone_Here_Is_a_Fool_Number_One.mp3" TargetMode="External"/><Relationship Id="rId5282" Type="http://schemas.openxmlformats.org/officeDocument/2006/relationships/hyperlink" Target="https://audio.iskcondesiretree.com/01_-_Srila_Prabhupada/01_-_Lectures/01_-_English/01_-_Topic_wise/Srimad_Bhagavatam/Canto-01/SP_SB_1-07-38-39_Vrindavan_1976-09-30_Don%27t_Keep_a_Guru_As_Fashion.mp3" TargetMode="External"/><Relationship Id="rId848" Type="http://schemas.openxmlformats.org/officeDocument/2006/relationships/hyperlink" Target="https://audio.iskcondesiretree.com/01_-_Srila_Prabhupada/01_-_Lectures/01_-_English/01_-_Topic_wise/Bhagavad_Gita/Chapter-02/SP_BG_02-26-29_Hyderabad_1972-11-30_Vedic_and_Parampara_System.mp3" TargetMode="External"/><Relationship Id="rId1478" Type="http://schemas.openxmlformats.org/officeDocument/2006/relationships/hyperlink" Target="https://audio.iskcondesiretree.com/01_-_Srila_Prabhupada/01_-_Lectures/01_-_English/02_-_Month_wise/01_-_January/03/SB-01-16-06_1974-01-03_SB-LOS_ANGELES.MP3" TargetMode="External"/><Relationship Id="rId1892" Type="http://schemas.openxmlformats.org/officeDocument/2006/relationships/hyperlink" Target="https://audio.iskcondesiretree.com/01_-_Srila_Prabhupada/01_-_Lectures/01_-_English/02_-_Month_wise/04_-_April/18/SB-01-02-06_1974-04-18_SB-HYDERABAD.MP3" TargetMode="External"/><Relationship Id="rId2529" Type="http://schemas.openxmlformats.org/officeDocument/2006/relationships/hyperlink" Target="https://audio.iskcondesiretree.com/01_-_Srila_Prabhupada/01_-_Lectures/01_-_English/02_-_Month_wise/11_-_November/17/SB_3-25-17_BOM_1974-11-17_Seeing_the_Real_Person.mp3" TargetMode="External"/><Relationship Id="rId915" Type="http://schemas.openxmlformats.org/officeDocument/2006/relationships/hyperlink" Target="https://audio.iskcondesiretree.com/01_-_Srila_Prabhupada/01_-_Lectures/01_-_English/01_-_Topic_wise/Various/SP_Lecture_Calcutta_1973-01-30_To_Businessmen--Business_%26--etc.mp3" TargetMode="External"/><Relationship Id="rId1545" Type="http://schemas.openxmlformats.org/officeDocument/2006/relationships/hyperlink" Target="https://audio.iskcondesiretree.com/01_-_Srila_Prabhupada/01_-_Lectures/01_-_English/02_-_Month_wise/01_-_January/18/Walk_1974-01-18_MW-HONOLULU.MP3" TargetMode="External"/><Relationship Id="rId2943" Type="http://schemas.openxmlformats.org/officeDocument/2006/relationships/hyperlink" Target="https://audio.iskcondesiretree.com/01_-_Srila_Prabhupada/01_-_Lectures/01_-_English/01_-_Topic_wise/Departure_Address/SP_Departure_Lecture_1975-03-12_London.MP3" TargetMode="External"/><Relationship Id="rId5002" Type="http://schemas.openxmlformats.org/officeDocument/2006/relationships/hyperlink" Target="https://audio.iskcondesiretree.com/01_-_Srila_Prabhupada/01_-_Lectures/01_-_English/01_-_Topic_wise/Chaitanya_Charitamrita/Madhya_Lila/SP_CC_M_20-112_New_York_1976-07-20_Everywhere_His_Mystic_Potency.mp3" TargetMode="External"/><Relationship Id="rId1612" Type="http://schemas.openxmlformats.org/officeDocument/2006/relationships/hyperlink" Target="https://audio.iskcondesiretree.com/01_-_Srila_Prabhupada/01_-_Lectures/01_-_English/01_-_Topic_wise/Room_Conversation/SP_Room_Conversation_01_Vrindavan_1974-02-13.mp3" TargetMode="External"/><Relationship Id="rId4768" Type="http://schemas.openxmlformats.org/officeDocument/2006/relationships/hyperlink" Target="https://audio.iskcondesiretree.com/01_-_Srila_Prabhupada/01_-_Lectures/01_-_English/02_-_Month_wise/06_-_June/17/Lect_TOR_1976-06-17_Initiation-Today_Nobody_etc.mp3" TargetMode="External"/><Relationship Id="rId5819" Type="http://schemas.openxmlformats.org/officeDocument/2006/relationships/hyperlink" Target="https://audio.iskcondesiretree.com/01_-_Srila_Prabhupada/01_-_Lectures/01_-_English/02_-_Month_wise/04_-_April/24/Meeting_1977-04-24_ME-BOMBAY.MP3" TargetMode="External"/><Relationship Id="rId6190" Type="http://schemas.openxmlformats.org/officeDocument/2006/relationships/hyperlink" Target="https://audio.iskcondesiretree.com/01_-_Srila_Prabhupada/01_-_Lectures/03_-_Hindi/SP_Hindi_18_Lectures_%26_Conversations.mp3" TargetMode="External"/><Relationship Id="rId3784" Type="http://schemas.openxmlformats.org/officeDocument/2006/relationships/hyperlink" Target="https://audio.iskcondesiretree.com/01_-_Srila_Prabhupada/01_-_Lectures/01_-_English/02_-_Month_wise/09_-_September/25/MW_HYD_1975-09-25_From_the_Frying_Pan_to_the_Fire.mp3" TargetMode="External"/><Relationship Id="rId4835" Type="http://schemas.openxmlformats.org/officeDocument/2006/relationships/hyperlink" Target="https://audio.iskcondesiretree.com/01_-_Srila_Prabhupada/01_-_Lectures/01_-_English/02_-_Month_wise/06_-_June/27/Conv_1976-06-27_GC-NEW%20VRINDAVAN.MP3" TargetMode="External"/><Relationship Id="rId2386" Type="http://schemas.openxmlformats.org/officeDocument/2006/relationships/hyperlink" Target="https://audio.iskcondesiretree.com/01_-_Srila_Prabhupada/01_-_Lectures/01_-_English/02_-_Month_wise/09_-_September/26/SB_1-02-18_CAL_1974-09-26_Hear_Krishna%27s_Glories-Be_Cleansed.mp3" TargetMode="External"/><Relationship Id="rId3437" Type="http://schemas.openxmlformats.org/officeDocument/2006/relationships/hyperlink" Target="https://audio.iskcondesiretree.com/01_-_Srila_Prabhupada/01_-_Lectures/01_-_English/01_-_Topic_wise/Room_Conversation/SP_Room_Conversation_Chicago_1975-07-05_Chicago_Police_Dept--How_to_Prevent_Crime.mp3" TargetMode="External"/><Relationship Id="rId3851" Type="http://schemas.openxmlformats.org/officeDocument/2006/relationships/hyperlink" Target="https://audio.iskcondesiretree.com/01_-_Srila_Prabhupada/01_-_Lectures/01_-_English/01_-_Topic_wise/Bhagavad_Gita/Chapter-13/SP_BG_13-01-02_Durban_1975-10-13_The_Rented_House.MP3" TargetMode="External"/><Relationship Id="rId4902" Type="http://schemas.openxmlformats.org/officeDocument/2006/relationships/hyperlink" Target="https://audio.iskcondesiretree.com/01_-_Srila_Prabhupada/01_-_Lectures/01_-_English/02_-_Month_wise/07_-_July/05/Walk_1976-07-05_MW-WASHINGTON%20DC.MP3" TargetMode="External"/><Relationship Id="rId358" Type="http://schemas.openxmlformats.org/officeDocument/2006/relationships/hyperlink" Target="https://audio.iskcondesiretree.com/01_-_Srila_Prabhupada/01_-_Lectures/01_-_English/02_-_Month_wise/01_-_January/10/Bg_04-19_LA_1969-01-10_Curing_the_Material_Disease.mp3" TargetMode="External"/><Relationship Id="rId772" Type="http://schemas.openxmlformats.org/officeDocument/2006/relationships/hyperlink" Target="https://audio.iskcondesiretree.com/01_-_Srila_Prabhupada/01_-_Lectures/01_-_English/01_-_Topic_wise/Nectar_Of_Devotion/SP_NOD_08_Vrindavan_1972-11-02_-_The_Complete_Science_of_Bhakti_Yoga.mp3" TargetMode="External"/><Relationship Id="rId2039" Type="http://schemas.openxmlformats.org/officeDocument/2006/relationships/hyperlink" Target="https://audio.iskcondesiretree.com/01_-_Srila_Prabhupada/01_-_Lectures/01_-_English/01_-_Topic_wise/Morning_Walk/SP_Morning_Walk_-_Geneva_1974-06-03.mp3" TargetMode="External"/><Relationship Id="rId2453" Type="http://schemas.openxmlformats.org/officeDocument/2006/relationships/hyperlink" Target="https://audio.iskcondesiretree.com/01_-_Srila_Prabhupada/01_-_Lectures/01_-_English/02_-_Month_wise/10_-_October/20/SB-01-08-40_1974-10-20_SB-MAYAPUR.MP3" TargetMode="External"/><Relationship Id="rId3504" Type="http://schemas.openxmlformats.org/officeDocument/2006/relationships/hyperlink" Target="https://audio.iskcondesiretree.com/01_-_Srila_Prabhupada/01_-_Lectures/01_-_English/02_-_Month_wise/07_-_July/12/MW_PHI_1975-07-12_Inductive_Illusion.mp3" TargetMode="External"/><Relationship Id="rId425" Type="http://schemas.openxmlformats.org/officeDocument/2006/relationships/hyperlink" Target="https://audio.iskcondesiretree.com/01_-_Srila_Prabhupada/01_-_Lectures/01_-_English/01_-_Topic_wise/Various/SP_Lecture_Columbus_1969-05-12_To_Students--We_Are_Begging--etc.mp3" TargetMode="External"/><Relationship Id="rId1055" Type="http://schemas.openxmlformats.org/officeDocument/2006/relationships/hyperlink" Target="https://audio.iskcondesiretree.com/01_-_Srila_Prabhupada/01_-_Lectures/01_-_English/01_-_Topic_wise/Arrival_Address/SP_Arrival_London_1973-07-07_Bhakti_Science_Is_Very_Simple.mp3" TargetMode="External"/><Relationship Id="rId2106" Type="http://schemas.openxmlformats.org/officeDocument/2006/relationships/hyperlink" Target="https://audio.iskcondesiretree.com/01_-_Srila_Prabhupada/01_-_Lectures/01_-_English/02_-_Month_wise/06_-_June/12/Conv_1974-06-12_CR-PARIS.MP3" TargetMode="External"/><Relationship Id="rId2520" Type="http://schemas.openxmlformats.org/officeDocument/2006/relationships/hyperlink" Target="https://audio.iskcondesiretree.com/01_-_Srila_Prabhupada/01_-_Lectures/01_-_English/02_-_Month_wise/11_-_November/14/SB_3-25-14_BOM_1974-11-14_Relief_from_the_Poison-Fire.mp3" TargetMode="External"/><Relationship Id="rId5676" Type="http://schemas.openxmlformats.org/officeDocument/2006/relationships/hyperlink" Target="https://audio.iskcondesiretree.com/01_-_Srila_Prabhupada/01_-_Lectures/01_-_English/01_-_Topic_wise/Room_Conversation/SP_Room_Conversation_Bhuvanesvara_1977-02-03_Jesus_Christ--We_Give_Christ_All_Honor.mp3" TargetMode="External"/><Relationship Id="rId1122" Type="http://schemas.openxmlformats.org/officeDocument/2006/relationships/hyperlink" Target="https://audio.iskcondesiretree.com/01_-_Srila_Prabhupada/01_-_Lectures/01_-_English/02_-_Month_wise/07_-_July/25/Bg_01-32_LON_1973-07-25_Shortcut_to_Spiritual_Knowledge.mp3" TargetMode="External"/><Relationship Id="rId4278" Type="http://schemas.openxmlformats.org/officeDocument/2006/relationships/hyperlink" Target="https://audio.iskcondesiretree.com/01_-_Srila_Prabhupada/01_-_Lectures/01_-_English/01_-_Topic_wise/Morning_Walk/SP_Morning_Walk_-_Mayapur_1976-02-25_The_Process_of_Disgust.mp3" TargetMode="External"/><Relationship Id="rId5329" Type="http://schemas.openxmlformats.org/officeDocument/2006/relationships/hyperlink" Target="https://audio.iskcondesiretree.com/01_-_Srila_Prabhupada/01_-_Lectures/01_-_English/02_-_Month_wise/10_-_October/14/Address_Hindi_1976-10-14_AD-CHANDIGARH.MP3" TargetMode="External"/><Relationship Id="rId3294" Type="http://schemas.openxmlformats.org/officeDocument/2006/relationships/hyperlink" Target="https://audio.iskcondesiretree.com/01_-_Srila_Prabhupada/01_-_Lectures/01_-_English/01_-_Topic_wise/Srimad_Bhagavatam/Canto-06/SP_SB_6-01-07_Honolulu_1975-06-15_The_Perfect_Sympathizer.mp3" TargetMode="External"/><Relationship Id="rId4345" Type="http://schemas.openxmlformats.org/officeDocument/2006/relationships/hyperlink" Target="https://audio.iskcondesiretree.com/01_-_Srila_Prabhupada/01_-_Lectures/01_-_English/02_-_Month_wise/03_-_March/11/SB_7-09-33_MAY_1976-03-11_Basic_Principle.mp3" TargetMode="External"/><Relationship Id="rId4692" Type="http://schemas.openxmlformats.org/officeDocument/2006/relationships/hyperlink" Target="https://audio.iskcondesiretree.com/01_-_Srila_Prabhupada/01_-_Lectures/01_-_English/02_-_Month_wise/06_-_June/05/SB_6-01-39_LA_1976-06-05_Does_Your_Heart_Cry_Out_for_God.mp3" TargetMode="External"/><Relationship Id="rId5743" Type="http://schemas.openxmlformats.org/officeDocument/2006/relationships/hyperlink" Target="https://audio.iskcondesiretree.com/01_-_Srila_Prabhupada/01_-_Lectures/01_-_English/01_-_Topic_wise/Srimad_Bhagavatam/Canto-07/SP_SB_7-09-08_Mayapur_1977-02-28_How_A_Devotee_Thinks.mp3" TargetMode="External"/><Relationship Id="rId1939" Type="http://schemas.openxmlformats.org/officeDocument/2006/relationships/hyperlink" Target="https://audio.iskcondesiretree.com/01_-_Srila_Prabhupada/01_-_Lectures/01_-_English/01_-_Topic_wise/Bhagavad_Gita/Chapter-07/SP_BG_07-02_Hyderabad_1974-04-28_Seeing_Krishna_Within_the_Heart.mp3" TargetMode="External"/><Relationship Id="rId5810" Type="http://schemas.openxmlformats.org/officeDocument/2006/relationships/hyperlink" Target="https://audio.iskcondesiretree.com/01_-_Srila_Prabhupada/01_-_Lectures/01_-_English/02_-_Month_wise/04_-_April/19/Conv_1977-04-19_R2-BOMBAY.MP3" TargetMode="External"/><Relationship Id="rId3361" Type="http://schemas.openxmlformats.org/officeDocument/2006/relationships/hyperlink" Target="https://audio.iskcondesiretree.com/01_-_Srila_Prabhupada/01_-_Lectures/01_-_English/02_-_Month_wise/06_-_June/24/RC_LA_1975-06-24_Profs-Bird-Brained_Scholarship.mp3" TargetMode="External"/><Relationship Id="rId4412" Type="http://schemas.openxmlformats.org/officeDocument/2006/relationships/hyperlink" Target="https://audio.iskcondesiretree.com/01_-_Srila_Prabhupada/01_-_Lectures/01_-_English/02_-_Month_wise/03_-_March/26/SB-07-09-44_1976-03-26_SB-DELHI.MP3" TargetMode="External"/><Relationship Id="rId282" Type="http://schemas.openxmlformats.org/officeDocument/2006/relationships/hyperlink" Target="https://audio.iskcondesiretree.com/01_-_Srila_Prabhupada/01_-_Lectures/01_-_English/02_-_Month_wise/10_-_October/20/Lect_SEA_1968-10-20_Initiation-On_the_Maha-Mantra.mp3" TargetMode="External"/><Relationship Id="rId3014" Type="http://schemas.openxmlformats.org/officeDocument/2006/relationships/hyperlink" Target="https://audio.iskcondesiretree.com/01_-_Srila_Prabhupada/01_-_Lectures/01_-_English/02_-_Month_wise/03_-_March/30/Conv_1975-03-30_R2-MAYAPUR.MP3" TargetMode="External"/><Relationship Id="rId2030" Type="http://schemas.openxmlformats.org/officeDocument/2006/relationships/hyperlink" Target="https://audio.iskcondesiretree.com/01_-_Srila_Prabhupada/01_-_Lectures/01_-_English/02_-_Month_wise/06_-_June/01/SB-01-13-10_1974-06-01_SB-GENEVA.MP3" TargetMode="External"/><Relationship Id="rId5186" Type="http://schemas.openxmlformats.org/officeDocument/2006/relationships/hyperlink" Target="https://audio.iskcondesiretree.com/01_-_Srila_Prabhupada/01_-_Lectures/01_-_English/01_-_Topic_wise/Srimad_Bhagavatam/Canto-01/SP_SB_1-07-06_Vrindavan_1976-09-05_Produce_Grain-Not_Goodyear_Tires.mp3" TargetMode="External"/><Relationship Id="rId5253" Type="http://schemas.openxmlformats.org/officeDocument/2006/relationships/hyperlink" Target="https://audio.iskcondesiretree.com/01_-_Srila_Prabhupada/01_-_Lectures/01_-_English/02_-_Month_wise/09_-_September/22/SB_1-07-25_VRN_1976-09-22_The_Age_of_Embarrassment.mp3" TargetMode="External"/><Relationship Id="rId1449" Type="http://schemas.openxmlformats.org/officeDocument/2006/relationships/hyperlink" Target="https://audio.iskcondesiretree.com/01_-_Srila_Prabhupada/01_-_Lectures/01_-_English/01_-_Topic_wise/Srimad_Bhagavatam/Canto-01/SP_SB_1-15-44_Los_Angeles_1973-12-22_Our_Real_Problem_Isn%27t_Petrol.mp3" TargetMode="External"/><Relationship Id="rId1796" Type="http://schemas.openxmlformats.org/officeDocument/2006/relationships/hyperlink" Target="https://audio.iskcondesiretree.com/01_-_Srila_Prabhupada/01_-_Lectures/01_-_English/01_-_Topic_wise/Festivals/SP_Festivals_Bombay_1974-04-01_Lord_Rama_Appearance--Maha-mantra--etc.mp3" TargetMode="External"/><Relationship Id="rId2847" Type="http://schemas.openxmlformats.org/officeDocument/2006/relationships/hyperlink" Target="https://audio.iskcondesiretree.com/01_-_Srila_Prabhupada/01_-_Lectures/01_-_English/02_-_Month_wise/02_-_Feburary/24/SB_1-01-03_CAR_1975-02-24_There_is_No_Religion_Except_etc.mp3" TargetMode="External"/><Relationship Id="rId88" Type="http://schemas.openxmlformats.org/officeDocument/2006/relationships/hyperlink" Target="https://audio.iskcondesiretree.com/01_-_Srila_Prabhupada/01_-_Lectures/01_-_English/01_-_Topic_wise/Bhagavad_Gita/Chapter-07/SP_BG_07-15-18_New_York_1966-10-09_Four_Classes_of_Men_Come_to_God.mp3" TargetMode="External"/><Relationship Id="rId819" Type="http://schemas.openxmlformats.org/officeDocument/2006/relationships/hyperlink" Target="https://audio.iskcondesiretree.com/01_-_Srila_Prabhupada/01_-_Lectures/01_-_English/02_-_Month_wise/11_-_November/13/SB_1-02-34_VRN_1972-11-13_The_Rascals_Business_Is_etc.mp3" TargetMode="External"/><Relationship Id="rId1863" Type="http://schemas.openxmlformats.org/officeDocument/2006/relationships/hyperlink" Target="https://audio.iskcondesiretree.com/01_-_Srila_Prabhupada/01_-_Lectures/01_-_English/02_-_Month_wise/04_-_April/12/Bg_04-23_BOM_1974-04-12_Liberation_Guaranteed.mp3" TargetMode="External"/><Relationship Id="rId2914" Type="http://schemas.openxmlformats.org/officeDocument/2006/relationships/hyperlink" Target="https://audio.iskcondesiretree.com/01_-_Srila_Prabhupada/01_-_Lectures/01_-_English/02_-_Month_wise/03_-_March/05/SB-02-02-05_1975-03-05_SB-NEW%20YORK.MP3" TargetMode="External"/><Relationship Id="rId5320" Type="http://schemas.openxmlformats.org/officeDocument/2006/relationships/hyperlink" Target="https://audio.iskcondesiretree.com/01_-_Srila_Prabhupada/01_-_Lectures/01_-_English/02_-_Month_wise/10_-_October/09/Arrival_1976-10-09_AR-ALIGARH.MP3" TargetMode="External"/><Relationship Id="rId1516" Type="http://schemas.openxmlformats.org/officeDocument/2006/relationships/hyperlink" Target="https://audio.iskcondesiretree.com/01_-_Srila_Prabhupada/01_-_Lectures/01_-_English/02_-_Month_wise/01_-_January/11/SB-01-16-16_1974-01-11_SB-LOS_ANGELES.MP3" TargetMode="External"/><Relationship Id="rId1930" Type="http://schemas.openxmlformats.org/officeDocument/2006/relationships/hyperlink" Target="https://audio.iskcondesiretree.com/01_-_Srila_Prabhupada/01_-_Lectures/01_-_English/01_-_Topic_wise/Interview/SP_Interview_-_With_Minister_Tirupati_1974-04-26.mp3" TargetMode="External"/><Relationship Id="rId3688" Type="http://schemas.openxmlformats.org/officeDocument/2006/relationships/hyperlink" Target="https://audio.iskcondesiretree.com/01_-_Srila_Prabhupada/01_-_Lectures/01_-_English/02_-_Month_wise/08_-_August/27/Walk_1975-08-27_MW-VRNDAVAN.MP3" TargetMode="External"/><Relationship Id="rId4739" Type="http://schemas.openxmlformats.org/officeDocument/2006/relationships/hyperlink" Target="https://audio.iskcondesiretree.com/01_-_Srila_Prabhupada/01_-_Lectures/01_-_English/01_-_Topic_wise/Srimad_Bhagavatam/Canto-06/SP_SB_6-01-47_Detroit_1976-06-13_Animal_Killers_Cannot_Understand_God.mp3" TargetMode="External"/><Relationship Id="rId6094" Type="http://schemas.openxmlformats.org/officeDocument/2006/relationships/hyperlink" Target="https://audio.iskcondesiretree.com/01_-_Srila_Prabhupada/01_-_Lectures/01_-_English/01_-_Topic_wise/Krishna_Book/SP_Krsna_Book_Dict_50_-_Krishna_Erects_the_Dvaraka_Fort.mp3" TargetMode="External"/><Relationship Id="rId3755" Type="http://schemas.openxmlformats.org/officeDocument/2006/relationships/hyperlink" Target="https://audio.iskcondesiretree.com/01_-_Srila_Prabhupada/01_-_Lectures/01_-_English/02_-_Month_wise/09_-_September/13/SB-06-02-11_1975-09-13_SB-VRNDAVAN.MP3" TargetMode="External"/><Relationship Id="rId4806" Type="http://schemas.openxmlformats.org/officeDocument/2006/relationships/hyperlink" Target="https://audio.iskcondesiretree.com/01_-_Srila_Prabhupada/01_-_Lectures/01_-_English/02_-_Month_wise/06_-_June/22/SB-07-06-06_1976-06-22_SB-NEW%20VRINDAVAN.MP3" TargetMode="External"/><Relationship Id="rId6161" Type="http://schemas.openxmlformats.org/officeDocument/2006/relationships/hyperlink" Target="https://audio.iskcondesiretree.com/01_-_Srila_Prabhupada/01_-_Lectures/01_-_English/01_-_Topic_wise/Stories/SP_Story_37_Siva_Parvati_watermelon.mp3" TargetMode="External"/><Relationship Id="rId676" Type="http://schemas.openxmlformats.org/officeDocument/2006/relationships/hyperlink" Target="https://audio.iskcondesiretree.com/01_-_Srila_Prabhupada/01_-_Lectures/01_-_English/01_-_Topic_wise/Srimad_Bhagavatam/Canto-01/SP_SB_1-02-08_New_Vrindavan_1972-09-06_Spiritualize_Your_Subtle_Body.mp3" TargetMode="External"/><Relationship Id="rId2357" Type="http://schemas.openxmlformats.org/officeDocument/2006/relationships/hyperlink" Target="https://audio.iskcondesiretree.com/01_-_Srila_Prabhupada/01_-_Lectures/01_-_English/02_-_Month_wise/08_-_August/13/SB_1-05-23_VRN_1974-08-13_See_Whether_Your_Life_Is_Perfect.mp3" TargetMode="External"/><Relationship Id="rId3408" Type="http://schemas.openxmlformats.org/officeDocument/2006/relationships/hyperlink" Target="https://audio.iskcondesiretree.com/01_-_Srila_Prabhupada/01_-_Lectures/01_-_English/02_-_Month_wise/06_-_June/30/Walk_1975-06-30_MW-DENVER.MP3" TargetMode="External"/><Relationship Id="rId329" Type="http://schemas.openxmlformats.org/officeDocument/2006/relationships/hyperlink" Target="https://audio.iskcondesiretree.com/01_-_Srila_Prabhupada/01_-_Lectures/01_-_English/01_-_Topic_wise/Bhagavad_Gita/Chapter-03/SP_BG_03-01-05_Los_Angeles_1968-12-20_Philosophy_%26_Religion_Combined.mp3" TargetMode="External"/><Relationship Id="rId1373" Type="http://schemas.openxmlformats.org/officeDocument/2006/relationships/hyperlink" Target="https://audio.iskcondesiretree.com/01_-_Srila_Prabhupada/01_-_Lectures/01_-_English/01_-_Topic_wise/Srimad_Bhagavatam/Canto-01/SP_SB_1-15-01_New_York_1973-11-29_Very_Intimately_Connected.mp3" TargetMode="External"/><Relationship Id="rId2771" Type="http://schemas.openxmlformats.org/officeDocument/2006/relationships/hyperlink" Target="https://audio.iskcondesiretree.com/01_-_Srila_Prabhupada/01_-_Lectures/01_-_English/01_-_Topic_wise/Bhagavad_Gita/Chapter-16/SP_BG_16-13-15_Hawaii_1975-02-08_Devotional_and_Demonic_Desires.MP3" TargetMode="External"/><Relationship Id="rId3822" Type="http://schemas.openxmlformats.org/officeDocument/2006/relationships/hyperlink" Target="https://audio.iskcondesiretree.com/01_-_Srila_Prabhupada/01_-_Lectures/01_-_English/01_-_Topic_wise/Morning_Walk/SP_Morning_Walk_-_Mauritius_1975-10-05_Human_Life-Don%27t_Miss_the_Boat.mp3" TargetMode="External"/><Relationship Id="rId743" Type="http://schemas.openxmlformats.org/officeDocument/2006/relationships/hyperlink" Target="https://audio.iskcondesiretree.com/01_-_Srila_Prabhupada/01_-_Lectures/01_-_English/01_-_Topic_wise/Srimad_Bhagavatam/Canto-01/SP_SB_1-02-13_Vrindavan_1972-10-24_If_Krishna_Says_All--etc.mp3" TargetMode="External"/><Relationship Id="rId1026" Type="http://schemas.openxmlformats.org/officeDocument/2006/relationships/hyperlink" Target="https://audio.iskcondesiretree.com/01_-_Srila_Prabhupada/01_-_Lectures/01_-_English/02_-_Month_wise/05_-_May/22/SB_1-09-40_NY_1973-05-22_We_Alone_Teach_You%27re_Not_This_Body.mp3" TargetMode="External"/><Relationship Id="rId2424" Type="http://schemas.openxmlformats.org/officeDocument/2006/relationships/hyperlink" Target="https://audio.iskcondesiretree.com/01_-_Srila_Prabhupada/01_-_Lectures/01_-_English/02_-_Month_wise/10_-_October/09/SB-01-08-29_1974-10-09_SB-MAYAPUR.MP3" TargetMode="External"/><Relationship Id="rId5994" Type="http://schemas.openxmlformats.org/officeDocument/2006/relationships/hyperlink" Target="https://audio.iskcondesiretree.com/01_-_Srila_Prabhupada/01_-_Lectures/01_-_English/02_-_Month_wise/11_-_November/03/Conv_1977-11-03_R8-VRNDAVAN.MP3" TargetMode="External"/><Relationship Id="rId810" Type="http://schemas.openxmlformats.org/officeDocument/2006/relationships/hyperlink" Target="https://audio.iskcondesiretree.com/01_-_Srila_Prabhupada/01_-_Lectures/01_-_English/02_-_Month_wise/11_-_November/11/NOD_Lect_VRN_1972-11-11_Engage_All_Beautiful_Women_in_etc.mp3" TargetMode="External"/><Relationship Id="rId1440" Type="http://schemas.openxmlformats.org/officeDocument/2006/relationships/hyperlink" Target="https://audio.iskcondesiretree.com/01_-_Srila_Prabhupada/01_-_Lectures/01_-_English/02_-_Month_wise/12_-_December/17/SB_1-15-39_LA_1973-12-17_Retirement%2C_Timely_and_Transcendental.mp3" TargetMode="External"/><Relationship Id="rId4596" Type="http://schemas.openxmlformats.org/officeDocument/2006/relationships/hyperlink" Target="https://audio.iskcondesiretree.com/01_-_Srila_Prabhupada/01_-_Lectures/01_-_English/02_-_Month_wise/05_-_May/12/SB_6-01-11_HON_1976-05-12_Real_Reform_School.mp3" TargetMode="External"/><Relationship Id="rId5647" Type="http://schemas.openxmlformats.org/officeDocument/2006/relationships/hyperlink" Target="https://audio.iskcondesiretree.com/01_-_Srila_Prabhupada/01_-_Lectures/01_-_English/02_-_Month_wise/01_-_January/29/Conv_1977-01-29_R1-BHUBANESWAR.MP3" TargetMode="External"/><Relationship Id="rId3198" Type="http://schemas.openxmlformats.org/officeDocument/2006/relationships/hyperlink" Target="https://audio.iskcondesiretree.com/01_-_Srila_Prabhupada/01_-_Lectures/01_-_English/01_-_Topic_wise/Room_Conversation/SP_Room_Converstion_01_Melbourne_1975-05-19.MP3" TargetMode="External"/><Relationship Id="rId4249" Type="http://schemas.openxmlformats.org/officeDocument/2006/relationships/hyperlink" Target="https://audio.iskcondesiretree.com/01_-_Srila_Prabhupada/01_-_Lectures/01_-_English/02_-_Month_wise/02_-_Feburary/18/SB_7-09-11_MAY_1976-02-18_Krishna_Needs_Us_Why.mp3" TargetMode="External"/><Relationship Id="rId4663" Type="http://schemas.openxmlformats.org/officeDocument/2006/relationships/hyperlink" Target="https://audio.iskcondesiretree.com/01_-_Srila_Prabhupada/01_-_Lectures/01_-_English/02_-_Month_wise/05_-_May/29/Walk_1976-05-29_MW-HONOLULU.MP3" TargetMode="External"/><Relationship Id="rId5714" Type="http://schemas.openxmlformats.org/officeDocument/2006/relationships/hyperlink" Target="https://audio.iskcondesiretree.com/01_-_Srila_Prabhupada/01_-_Lectures/01_-_English/02_-_Month_wise/02_-_Feburary/18/Conv_1977-02-18_R3-MAYAPUR.MP3" TargetMode="External"/><Relationship Id="rId3265" Type="http://schemas.openxmlformats.org/officeDocument/2006/relationships/hyperlink" Target="https://audio.iskcondesiretree.com/01_-_Srila_Prabhupada/01_-_Lectures/01_-_English/02_-_Month_wise/06_-_June/04/Walk_1975-06-04_MW-HONOLULU.MP3" TargetMode="External"/><Relationship Id="rId4316" Type="http://schemas.openxmlformats.org/officeDocument/2006/relationships/hyperlink" Target="https://audio.iskcondesiretree.com/01_-_Srila_Prabhupada/01_-_Lectures/01_-_English/02_-_Month_wise/03_-_March/05/SB_7-09-27_MAY_1976-03-05_Jealousy--It%27s_Cause_and_Cure.mp3" TargetMode="External"/><Relationship Id="rId4730" Type="http://schemas.openxmlformats.org/officeDocument/2006/relationships/hyperlink" Target="https://audio.iskcondesiretree.com/01_-_Srila_Prabhupada/01_-_Lectures/01_-_English/02_-_Month_wise/06_-_June/10/Walk_1976-06-10_MW-LOS%20ANGELES.MP3" TargetMode="External"/><Relationship Id="rId186" Type="http://schemas.openxmlformats.org/officeDocument/2006/relationships/hyperlink" Target="https://audio.iskcondesiretree.com/01_-_Srila_Prabhupada/01_-_Lectures/01_-_English/01_-_Topic_wise/Chaitanya_Charitamrita/Madhya_Lila/SP_CC_M_20-330_New_York_1966-12-23_Yugavataras--Incarnations--etc.mp3" TargetMode="External"/><Relationship Id="rId2281" Type="http://schemas.openxmlformats.org/officeDocument/2006/relationships/hyperlink" Target="https://audio.iskcondesiretree.com/01_-_Srila_Prabhupada/01_-_Lectures/01_-_English/01_-_Topic_wise/Chaitanya_Charitamrita/Adi_Lila/SP_CC_A_14_Los_Los_Angeles_1974-07-14.mp3" TargetMode="External"/><Relationship Id="rId3332" Type="http://schemas.openxmlformats.org/officeDocument/2006/relationships/hyperlink" Target="https://audio.iskcondesiretree.com/01_-_Srila_Prabhupada/01_-_Lectures/01_-_English/02_-_Month_wise/06_-_June/20/Conv_1975-06-20_CR-HONOLULU.MP3" TargetMode="External"/><Relationship Id="rId253" Type="http://schemas.openxmlformats.org/officeDocument/2006/relationships/hyperlink" Target="https://audio.iskcondesiretree.com/01_-_Srila_Prabhupada/01_-_Lectures/01_-_English/02_-_Month_wise/08_-_August/18/SB_7-09-12_MON_1968-08-18_God_is_Dead_The_Vulture%27s_Curse.mp3" TargetMode="External"/><Relationship Id="rId320" Type="http://schemas.openxmlformats.org/officeDocument/2006/relationships/hyperlink" Target="https://audio.iskcondesiretree.com/01_-_Srila_Prabhupada/01_-_Lectures/01_-_English/02_-_Month_wise/12_-_December/13/Bg_02-40_LA_1968-12-13_Material_vs_Spiritual_Culture.mp3" TargetMode="External"/><Relationship Id="rId2001" Type="http://schemas.openxmlformats.org/officeDocument/2006/relationships/hyperlink" Target="https://audio.iskcondesiretree.com/01_-_Srila_Prabhupada/01_-_Lectures/01_-_English/01_-_Topic_wise/Srimad_Bhagavatam/Canto-01/SP_SB_1-02-04_Rome_1974-05-28_Riverside--etc.mp3" TargetMode="External"/><Relationship Id="rId5157" Type="http://schemas.openxmlformats.org/officeDocument/2006/relationships/hyperlink" Target="https://audio.iskcondesiretree.com/01_-_Srila_Prabhupada/01_-_Lectures/01_-_English/02_-_Month_wise/08_-_August/24/Conv_1976-08-24_R1-HYDERABAD.MP3" TargetMode="External"/><Relationship Id="rId5571" Type="http://schemas.openxmlformats.org/officeDocument/2006/relationships/hyperlink" Target="https://audio.iskcondesiretree.com/01_-_Srila_Prabhupada/01_-_Lectures/01_-_English/02_-_Month_wise/01_-_January/08/Conv_1977-01-08_R1-BOMBAY.MP3" TargetMode="External"/><Relationship Id="rId1767" Type="http://schemas.openxmlformats.org/officeDocument/2006/relationships/hyperlink" Target="https://audio.iskcondesiretree.com/01_-_Srila_Prabhupada/01_-_Lectures/01_-_English/01_-_Topic_wise/Room_Conversation/SP_Room_Conversation_Bombay_1974-03-27.mp3" TargetMode="External"/><Relationship Id="rId2818" Type="http://schemas.openxmlformats.org/officeDocument/2006/relationships/hyperlink" Target="https://audio.iskcondesiretree.com/01_-_Srila_Prabhupada/01_-_Lectures/01_-_English/01_-_Topic_wise/Room_Conversation/SP_Room_Conversation_Caracas_1975-02-19_Profs--One_Perfect_Can_Teach_Thousands.mp3" TargetMode="External"/><Relationship Id="rId4173" Type="http://schemas.openxmlformats.org/officeDocument/2006/relationships/hyperlink" Target="https://audio.iskcondesiretree.com/01_-_Srila_Prabhupada/01_-_Lectures/01_-_English/02_-_Month_wise/01_-_January/08/Conv_1976-01-08_R1-NELLORE.MP3" TargetMode="External"/><Relationship Id="rId5224" Type="http://schemas.openxmlformats.org/officeDocument/2006/relationships/hyperlink" Target="https://audio.iskcondesiretree.com/01_-_Srila_Prabhupada/01_-_Lectures/01_-_English/02_-_Month_wise/09_-_September/12/SB_1-07-13_VRN_1976-09-12_There_Is_No_Training.mp3" TargetMode="External"/><Relationship Id="rId59" Type="http://schemas.openxmlformats.org/officeDocument/2006/relationships/hyperlink" Target="https://audio.iskcondesiretree.com/01_-_Srila_Prabhupada/01_-_Lectures/01_-_English/01_-_Topic_wise/Bhagavad_Gita/Chapter-04/SP_BG_04-19_New_York_1966-08-08_How_to_Satisfy_Krishna.mp3" TargetMode="External"/><Relationship Id="rId1834" Type="http://schemas.openxmlformats.org/officeDocument/2006/relationships/hyperlink" Target="https://audio.iskcondesiretree.com/01_-_Srila_Prabhupada/01_-_Lectures/01_-_English/02_-_Month_wise/04_-_April/06/Walk_1974-04-06_MW-BOMBAY.MP3" TargetMode="External"/><Relationship Id="rId4240" Type="http://schemas.openxmlformats.org/officeDocument/2006/relationships/hyperlink" Target="https://audio.iskcondesiretree.com/01_-_Srila_Prabhupada/01_-_Lectures/01_-_English/02_-_Month_wise/02_-_Feburary/15/SB_7-09-08_MAY_1976-02-15_Hell%2C_Heaven_or_Home_Decide.mp3" TargetMode="External"/><Relationship Id="rId1901" Type="http://schemas.openxmlformats.org/officeDocument/2006/relationships/hyperlink" Target="https://audio.iskcondesiretree.com/01_-_Srila_Prabhupada/01_-_Lectures/01_-_English/01_-_Topic_wise/Bhagavad_Gita/Chapter-13/SP_BG_13-04_Hyderabad_1974-04-20_The_Knowledge_from_Narayana.mp3" TargetMode="External"/><Relationship Id="rId3659" Type="http://schemas.openxmlformats.org/officeDocument/2006/relationships/hyperlink" Target="https://audio.iskcondesiretree.com/01_-_Srila_Prabhupada/01_-_Lectures/01_-_English/02_-_Month_wise/08_-_August/11/SB_6-01-55_PAR_1975-08-11_Dangerous_Yogis.mp3" TargetMode="External"/><Relationship Id="rId6065" Type="http://schemas.openxmlformats.org/officeDocument/2006/relationships/hyperlink" Target="https://audio.iskcondesiretree.com/01_-_Srila_Prabhupada/01_-_Lectures/01_-_English/01_-_Topic_wise/Krishna_Book/SP_Krsna_Book_Dict_17_-_Extinguishing_the_Forest_Fire.mp3" TargetMode="External"/><Relationship Id="rId5081" Type="http://schemas.openxmlformats.org/officeDocument/2006/relationships/hyperlink" Target="https://audio.iskcondesiretree.com/01_-_Srila_Prabhupada/01_-_Lectures/01_-_English/02_-_Month_wise/08_-_August/09/SB-03-22-20_1976-08-09_SB-TEHRAN.MP3" TargetMode="External"/><Relationship Id="rId6132" Type="http://schemas.openxmlformats.org/officeDocument/2006/relationships/hyperlink" Target="https://audio.iskcondesiretree.com/01_-_Srila_Prabhupada/01_-_Lectures/01_-_English/01_-_Topic_wise/Stories/SP_Story_08_Can%27t_can%27t_can%27t.mp3" TargetMode="External"/><Relationship Id="rId994" Type="http://schemas.openxmlformats.org/officeDocument/2006/relationships/hyperlink" Target="https://audio.iskcondesiretree.com/01_-_Srila_Prabhupada/01_-_Lectures/01_-_English/02_-_Month_wise/05_-_May/06/SB_1-08-44_LA_1973-05-06_Approaching_All-Good_Absolute.mp3" TargetMode="External"/><Relationship Id="rId2675" Type="http://schemas.openxmlformats.org/officeDocument/2006/relationships/hyperlink" Target="https://audio.iskcondesiretree.com/01_-_Srila_Prabhupada/01_-_Lectures/01_-_English/02_-_Month_wise/01_-_January/05/SB-03-26-28_1975-01-05_SB-BOMBAY.MP3" TargetMode="External"/><Relationship Id="rId3726" Type="http://schemas.openxmlformats.org/officeDocument/2006/relationships/hyperlink" Target="https://audio.iskcondesiretree.com/01_-_Srila_Prabhupada/01_-_Lectures/01_-_English/02_-_Month_wise/09_-_September/05/SB_6-02-01_VRN_1975-09-05_ABC%27s_of_Degradation_%26_Elevation.mp3" TargetMode="External"/><Relationship Id="rId647" Type="http://schemas.openxmlformats.org/officeDocument/2006/relationships/hyperlink" Target="https://audio.iskcondesiretree.com/01_-_Srila_Prabhupada/01_-_Lectures/01_-_English/02_-_Month_wise/08_-_August/18/SB_1-02-15_LA_1972-08-18_Cutting_the_Knots_of_Karma.mp3" TargetMode="External"/><Relationship Id="rId1277" Type="http://schemas.openxmlformats.org/officeDocument/2006/relationships/hyperlink" Target="https://audio.iskcondesiretree.com/01_-_Srila_Prabhupada/01_-_Lectures/01_-_English/02_-_Month_wise/09_-_September/10/Bg_07-01_STO_1973-09-10_Nothing_More_to_Be_Known.mp3" TargetMode="External"/><Relationship Id="rId1691" Type="http://schemas.openxmlformats.org/officeDocument/2006/relationships/hyperlink" Target="https://audio.iskcondesiretree.com/01_-_Srila_Prabhupada/01_-_Lectures/01_-_English/02_-_Month_wise/03_-_March/09/Cc_A_7-07_MAY_1974-03-09_Krishna_Kills_the_Competition.mp3" TargetMode="External"/><Relationship Id="rId2328" Type="http://schemas.openxmlformats.org/officeDocument/2006/relationships/hyperlink" Target="https://audio.iskcondesiretree.com/01_-_Srila_Prabhupada/01_-_Lectures/01_-_English/01_-_Topic_wise/Bhagavad_Gita/Chapter-07/SP_BG_07-03_Vrindavan_1974-08-09_Abominable_Ananda.mp3" TargetMode="External"/><Relationship Id="rId2742" Type="http://schemas.openxmlformats.org/officeDocument/2006/relationships/hyperlink" Target="https://audio.iskcondesiretree.com/01_-_Srila_Prabhupada/01_-_Lectures/01_-_English/02_-_Month_wise/01_-_January/29/Bg_16-01_HAW_1975-01-29_The_Cure_for_Fear.mp3" TargetMode="External"/><Relationship Id="rId5898" Type="http://schemas.openxmlformats.org/officeDocument/2006/relationships/hyperlink" Target="https://audio.iskcondesiretree.com/01_-_Srila_Prabhupada/01_-_Lectures/01_-_English/02_-_Month_wise/07_-_July/01/Conv_1977-07-01_R3-VRNDAVAN.MP3" TargetMode="External"/><Relationship Id="rId714" Type="http://schemas.openxmlformats.org/officeDocument/2006/relationships/hyperlink" Target="https://audio.iskcondesiretree.com/01_-_Srila_Prabhupada/01_-_Lectures/01_-_English/01_-_Topic_wise/Srimad_Bhagavatam/Canto-01/SP_SB_1-03-26_Los_Angeles_1972-10-01_First_Educate_People.mp3" TargetMode="External"/><Relationship Id="rId1344" Type="http://schemas.openxmlformats.org/officeDocument/2006/relationships/hyperlink" Target="https://audio.iskcondesiretree.com/01_-_Srila_Prabhupada/01_-_Lectures/01_-_English/02_-_Month_wise/11_-_November/02/RC_DEL_1973-11-02_High_Words_Will_Not_Do.mp3" TargetMode="External"/><Relationship Id="rId5965" Type="http://schemas.openxmlformats.org/officeDocument/2006/relationships/hyperlink" Target="https://audio.iskcondesiretree.com/01_-_Srila_Prabhupada/01_-_Lectures/01_-_English/02_-_Month_wise/10_-_October/24/Conv_1977-10-24_R1-VRNDAVAN.MP3" TargetMode="External"/><Relationship Id="rId50" Type="http://schemas.openxmlformats.org/officeDocument/2006/relationships/hyperlink" Target="https://audio.iskcondesiretree.com/01_-_Srila_Prabhupada/01_-_Lectures/01_-_English/01_-_Topic_wise/Bhagavad_Gita/Chapter-04/SP_BG_04-11_New_York_1966-07-28_Know_Krishna--Get_Liberation.mp3" TargetMode="External"/><Relationship Id="rId1411" Type="http://schemas.openxmlformats.org/officeDocument/2006/relationships/hyperlink" Target="https://audio.iskcondesiretree.com/01_-_Srila_Prabhupada/01_-_Lectures/01_-_English/01_-_Topic_wise/Morning_Walk/SP_Morning_Walk_-_Los_Angeles_1973-12-11_Scientific_Church.mp3" TargetMode="External"/><Relationship Id="rId4567" Type="http://schemas.openxmlformats.org/officeDocument/2006/relationships/hyperlink" Target="https://audio.iskcondesiretree.com/01_-_Srila_Prabhupada/01_-_Lectures/01_-_English/02_-_Month_wise/05_-_May/04/RC_HON_1976-05-04_That_Rascal_Mao_Tse_Tung.mp3" TargetMode="External"/><Relationship Id="rId5618" Type="http://schemas.openxmlformats.org/officeDocument/2006/relationships/hyperlink" Target="https://audio.iskcondesiretree.com/01_-_Srila_Prabhupada/01_-_Lectures/01_-_English/02_-_Month_wise/01_-_January/22/Conv_1977-01-22_R3-BHUBANESWAR.MP3" TargetMode="External"/><Relationship Id="rId3169" Type="http://schemas.openxmlformats.org/officeDocument/2006/relationships/hyperlink" Target="https://audio.iskcondesiretree.com/01_-_Srila_Prabhupada/01_-_Lectures/01_-_English/01_-_Topic_wise/Morning_Walk/SP_Morning_Walk_-_Perth_1975-05-13.MP3" TargetMode="External"/><Relationship Id="rId3583" Type="http://schemas.openxmlformats.org/officeDocument/2006/relationships/hyperlink" Target="https://audio.iskcondesiretree.com/01_-_Srila_Prabhupada/01_-_Lectures/01_-_English/01_-_Topic_wise/Morning_Walk/SP_Morning_Walk_-_Los_Angeles_1975-07-25_Full_of_Anxiety_Is_Not_OK.mp3" TargetMode="External"/><Relationship Id="rId4981" Type="http://schemas.openxmlformats.org/officeDocument/2006/relationships/hyperlink" Target="https://audio.iskcondesiretree.com/01_-_Srila_Prabhupada/01_-_Lectures/01_-_English/02_-_Month_wise/07_-_July/16/Interv_NY_1976-07-16_Press-Associated_Press_The_etc.mp3" TargetMode="External"/><Relationship Id="rId2185" Type="http://schemas.openxmlformats.org/officeDocument/2006/relationships/hyperlink" Target="https://audio.iskcondesiretree.com/01_-_Srila_Prabhupada/01_-_Lectures/01_-_English/02_-_Month_wise/06_-_June/22/Lect_GER_1974-06-22_Krishna_Hears_Your_Mind.mp3" TargetMode="External"/><Relationship Id="rId3236" Type="http://schemas.openxmlformats.org/officeDocument/2006/relationships/hyperlink" Target="https://audio.iskcondesiretree.com/01_-_Srila_Prabhupada/01_-_Lectures/01_-_English/02_-_Month_wise/05_-_May/23/MW_MEL_1975-05-23_The_One_Way_to_Rectify_Rascals.mp3" TargetMode="External"/><Relationship Id="rId4634" Type="http://schemas.openxmlformats.org/officeDocument/2006/relationships/hyperlink" Target="https://audio.iskcondesiretree.com/01_-_Srila_Prabhupada/01_-_Lectures/01_-_English/01_-_Topic_wise/Srimad_Bhagavatam/Canto-06/SP_SB_6-01-22_Honolulu_1976-05-22_Dancing-dog_Guru_Will_Not_Help.mp3" TargetMode="External"/><Relationship Id="rId157" Type="http://schemas.openxmlformats.org/officeDocument/2006/relationships/hyperlink" Target="https://audio.iskcondesiretree.com/01_-_Srila_Prabhupada/01_-_Lectures/01_-_English/02_-_Month_wise/12_-_December/10/Bg_09-23_NY_1966-12-10_I_Am_the_Only_Enjoyer_and_the_etc.mp3" TargetMode="External"/><Relationship Id="rId3650" Type="http://schemas.openxmlformats.org/officeDocument/2006/relationships/hyperlink" Target="https://audio.iskcondesiretree.com/01_-_Srila_Prabhupada/01_-_Lectures/01_-_English/02_-_Month_wise/08_-_August/07/MW_TOR_1975-08-07_Dog_by_Action-Human_by_Law.mp3" TargetMode="External"/><Relationship Id="rId4701" Type="http://schemas.openxmlformats.org/officeDocument/2006/relationships/hyperlink" Target="https://audio.iskcondesiretree.com/01_-_Srila_Prabhupada/01_-_Lectures/01_-_English/02_-_Month_wise/06_-_June/07/SB-06-01-41_1976-06-07_SB-LOS%20ANGELES.MP3" TargetMode="External"/><Relationship Id="rId571" Type="http://schemas.openxmlformats.org/officeDocument/2006/relationships/hyperlink" Target="https://audio.iskcondesiretree.com/01_-_Srila_Prabhupada/01_-_Lectures/01_-_English/02_-_Month_wise/05_-_May/18/Lect_LA_1972-05-18_Krishna-All_Attractive_Just_Imagine.mp3" TargetMode="External"/><Relationship Id="rId2252" Type="http://schemas.openxmlformats.org/officeDocument/2006/relationships/hyperlink" Target="https://audio.iskcondesiretree.com/01_-_Srila_Prabhupada/01_-_Lectures/01_-_English/02_-_Month_wise/07_-_July/08/Arr_LA_1974-07-08_Education_Culture_Happiness_Satisfaction.mp3" TargetMode="External"/><Relationship Id="rId3303" Type="http://schemas.openxmlformats.org/officeDocument/2006/relationships/hyperlink" Target="https://audio.iskcondesiretree.com/01_-_Srila_Prabhupada/01_-_Lectures/01_-_English/01_-_Topic_wise/Room_Conversation/SP_Room_Converstion_01_Honolulu_1975-06-16.MP3" TargetMode="External"/><Relationship Id="rId224" Type="http://schemas.openxmlformats.org/officeDocument/2006/relationships/hyperlink" Target="https://audio.iskcondesiretree.com/01_-_Srila_Prabhupada/01_-_Lectures/01_-_English/02_-_Month_wise/04_-_April/05/RC_SF_1967-04-05_Part_1_Outline_of_Lord_Caitanya_Play.mp3" TargetMode="External"/><Relationship Id="rId5475" Type="http://schemas.openxmlformats.org/officeDocument/2006/relationships/hyperlink" Target="https://audio.iskcondesiretree.com/01_-_Srila_Prabhupada/01_-_Lectures/01_-_English/02_-_Month_wise/12_-_December/05/Conv_1976-12-05_R1-HYDERABAD.MP3" TargetMode="External"/><Relationship Id="rId4077" Type="http://schemas.openxmlformats.org/officeDocument/2006/relationships/hyperlink" Target="https://audio.iskcondesiretree.com/01_-_Srila_Prabhupada/01_-_Lectures/01_-_English/01_-_Topic_wise/Srimad_Bhagavatam/Canto-07/SP_SB_7-06-09_Vrindavan_1975-12-11_Attachment_Education.mp3" TargetMode="External"/><Relationship Id="rId4491" Type="http://schemas.openxmlformats.org/officeDocument/2006/relationships/hyperlink" Target="https://audio.iskcondesiretree.com/01_-_Srila_Prabhupada/01_-_Lectures/01_-_English/02_-_Month_wise/04_-_April/17/SB-07-12-06_1976-04-17_SB-BOMBAY.MP3" TargetMode="External"/><Relationship Id="rId5128" Type="http://schemas.openxmlformats.org/officeDocument/2006/relationships/hyperlink" Target="https://audio.iskcondesiretree.com/01_-_Srila_Prabhupada/01_-_Lectures/01_-_English/02_-_Month_wise/08_-_August/17/Conv_1976-08-17_R1-HYDERABAD.MP3" TargetMode="External"/><Relationship Id="rId5542" Type="http://schemas.openxmlformats.org/officeDocument/2006/relationships/hyperlink" Target="https://audio.iskcondesiretree.com/01_-_Srila_Prabhupada/01_-_Lectures/01_-_English/02_-_Month_wise/12_-_December/29/SB_5-06-11_BOM_1976-12-29_Soul-Killing_Civilization.mp3" TargetMode="External"/><Relationship Id="rId1738" Type="http://schemas.openxmlformats.org/officeDocument/2006/relationships/hyperlink" Target="https://audio.iskcondesiretree.com/01_-_Srila_Prabhupada/01_-_Lectures/01_-_English/02_-_Month_wise/03_-_March/21/Bg-04-01_1974-03-21_BG-BOMBAY.MP3" TargetMode="External"/><Relationship Id="rId3093" Type="http://schemas.openxmlformats.org/officeDocument/2006/relationships/hyperlink" Target="https://audio.iskcondesiretree.com/01_-_Srila_Prabhupada/01_-_Lectures/01_-_English/02_-_Month_wise/04_-_April/12/Conv_1975-04-12_R2-HYDERABAD.MP3" TargetMode="External"/><Relationship Id="rId4144" Type="http://schemas.openxmlformats.org/officeDocument/2006/relationships/hyperlink" Target="https://audio.iskcondesiretree.com/01_-_Srila_Prabhupada/01_-_Lectures/01_-_English/01_-_Topic_wise/Srimad_Bhagavatam/Canto-07/SP_SB_7-06-01_Madras_1976-01-02_Spiritual_Convalescence_%26_Cure.mp3" TargetMode="External"/><Relationship Id="rId3160" Type="http://schemas.openxmlformats.org/officeDocument/2006/relationships/hyperlink" Target="https://audio.iskcondesiretree.com/01_-_Srila_Prabhupada/01_-_Lectures/01_-_English/02_-_Month_wise/05_-_May/10/Conv_1975-05-10_R1-PERTH.MP3" TargetMode="External"/><Relationship Id="rId4211" Type="http://schemas.openxmlformats.org/officeDocument/2006/relationships/hyperlink" Target="https://audio.iskcondesiretree.com/01_-_Srila_Prabhupada/01_-_Lectures/01_-_English/02_-_Month_wise/02_-_Feburary/05/Lect_MAY_1976-02-05_Initiation_Sannyasa--Welfare_to_Others.mp3" TargetMode="External"/><Relationship Id="rId1805" Type="http://schemas.openxmlformats.org/officeDocument/2006/relationships/hyperlink" Target="https://audio.iskcondesiretree.com/01_-_Srila_Prabhupada/01_-_Lectures/01_-_English/01_-_Topic_wise/Bhagavad_Gita/Chapter-04/SP_BG_04-13_Bombay_1974-04-02_Kill_Krishna_Gita_Commentaries.mp3" TargetMode="External"/><Relationship Id="rId3977" Type="http://schemas.openxmlformats.org/officeDocument/2006/relationships/hyperlink" Target="https://audio.iskcondesiretree.com/01_-_Srila_Prabhupada/01_-_Lectures/01_-_English/01_-_Topic_wise/Chaitanya_Charitamrita/Madhya_Lila/SP_CC_M_20-102_Bombay_1975-11-12_Who_Am_I--Why_Am_I_Miserable.mp3" TargetMode="External"/><Relationship Id="rId6036" Type="http://schemas.openxmlformats.org/officeDocument/2006/relationships/hyperlink" Target="https://audio.iskcondesiretree.com/01_-_Srila_Prabhupada/01_-_Lectures/01_-_English/01_-_Topic_wise/Bhagavad_Gita_Recitation/SP_BG_Recitation_Chapter-03_-_Sanskrit.mp3" TargetMode="External"/><Relationship Id="rId898" Type="http://schemas.openxmlformats.org/officeDocument/2006/relationships/hyperlink" Target="https://audio.iskcondesiretree.com/01_-_Srila_Prabhupada/01_-_Lectures/01_-_English/01_-_Topic_wise/Bhagavad_Gita/Chapter-07/SP_BG_07-01_Bombay_1973-01-13_At_Pandal--Rise_to_Platform--etc.mp3" TargetMode="External"/><Relationship Id="rId2579" Type="http://schemas.openxmlformats.org/officeDocument/2006/relationships/hyperlink" Target="https://audio.iskcondesiretree.com/01_-_Srila_Prabhupada/01_-_Lectures/01_-_English/01_-_Topic_wise/Srimad_Bhagavatam/Canto-03/SP_SB_3-25-35_Bombay_1974-12-04_Eager_to_Talk_with_Krishna.mp3" TargetMode="External"/><Relationship Id="rId2993" Type="http://schemas.openxmlformats.org/officeDocument/2006/relationships/hyperlink" Target="https://audio.iskcondesiretree.com/01_-_Srila_Prabhupada/01_-_Lectures/01_-_English/02_-_Month_wise/03_-_March/26/CcAdi-01-002_1975-03-26_CC-MAYAPUR.MP3" TargetMode="External"/><Relationship Id="rId965" Type="http://schemas.openxmlformats.org/officeDocument/2006/relationships/hyperlink" Target="https://audio.iskcondesiretree.com/01_-_Srila_Prabhupada/01_-_Lectures/01_-_English/01_-_Topic_wise/Srimad_Bhagavatam/Canto-01/SP_SB_1-08-31_Los_Angeles_1973-04-23_Increase_Your_Love_for_Krishna.mp3" TargetMode="External"/><Relationship Id="rId1595" Type="http://schemas.openxmlformats.org/officeDocument/2006/relationships/hyperlink" Target="https://audio.iskcondesiretree.com/01_-_Srila_Prabhupada/01_-_Lectures/01_-_English/01_-_Topic_wise/Room_Conversation/SP_Room_Conversation_02_Vrindavan_1974-02-08.mp3" TargetMode="External"/><Relationship Id="rId2646" Type="http://schemas.openxmlformats.org/officeDocument/2006/relationships/hyperlink" Target="https://audio.iskcondesiretree.com/01_-_Srila_Prabhupada/01_-_Lectures/01_-_English/02_-_Month_wise/12_-_December/26/SB-03-26-17_1974-12-26_SB-BOMBAY.MP3" TargetMode="External"/><Relationship Id="rId5052" Type="http://schemas.openxmlformats.org/officeDocument/2006/relationships/hyperlink" Target="https://audio.iskcondesiretree.com/01_-_Srila_Prabhupada/01_-_Lectures/01_-_English/01_-_Topic_wise/Room_Conversation/SP_Room_Conversation_Paris_1976-08-03_Satisfaction_Without_Science_Sex--etc.mp3" TargetMode="External"/><Relationship Id="rId6103" Type="http://schemas.openxmlformats.org/officeDocument/2006/relationships/hyperlink" Target="https://audio.iskcondesiretree.com/01_-_Srila_Prabhupada/01_-_Lectures/01_-_English/01_-_Topic_wise/Krishna_Book/SP_Krsna_Book_Dict_63_-_Krishna_Fights_with_Banasura.mp3" TargetMode="External"/><Relationship Id="rId618" Type="http://schemas.openxmlformats.org/officeDocument/2006/relationships/hyperlink" Target="https://audio.iskcondesiretree.com/01_-_Srila_Prabhupada/01_-_Lectures/01_-_English/01_-_Topic_wise/Srimad_Bhagavatam/Canto-02/SP_SB_2-03-25_Los_Angeles_1972-06-23_Spiritual_Realization--etc.mp3" TargetMode="External"/><Relationship Id="rId1248" Type="http://schemas.openxmlformats.org/officeDocument/2006/relationships/hyperlink" Target="https://audio.iskcondesiretree.com/01_-_Srila_Prabhupada/01_-_Lectures/01_-_English/01_-_Topic_wise/Bhagavad_Gita/Chapter-02/SP_BG_02-36-38_London_1973-09-04_Compassion_On_the_Battlefield.mp3" TargetMode="External"/><Relationship Id="rId1662" Type="http://schemas.openxmlformats.org/officeDocument/2006/relationships/hyperlink" Target="https://audio.iskcondesiretree.com/01_-_Srila_Prabhupada/01_-_Lectures/01_-_English/01_-_Topic_wise/Chaitanya_Charitamrita/Adi_Lila/SP_CC_A_07-01_Mayapur_1974-03-01_Lord_Caitanya--Not_Killing--etc.mp3" TargetMode="External"/><Relationship Id="rId5869" Type="http://schemas.openxmlformats.org/officeDocument/2006/relationships/hyperlink" Target="https://audio.iskcondesiretree.com/01_-_Srila_Prabhupada/01_-_Lectures/01_-_English/02_-_Month_wise/05_-_May/28/Meeting_1977-05-28_ME-VRNDAVAN.MP3" TargetMode="External"/><Relationship Id="rId1315" Type="http://schemas.openxmlformats.org/officeDocument/2006/relationships/hyperlink" Target="https://audio.iskcondesiretree.com/01_-_Srila_Prabhupada/01_-_Lectures/01_-_English/01_-_Topic_wise/Bhagavad_Gita/Chapter-13/SP_BG_13-17_Bombay_1973-10-11_Krishna_Is_Everywhere_in_Full.mp3" TargetMode="External"/><Relationship Id="rId2713" Type="http://schemas.openxmlformats.org/officeDocument/2006/relationships/hyperlink" Target="https://audio.iskcondesiretree.com/01_-_Srila_Prabhupada/01_-_Lectures/01_-_English/01_-_Topic_wise/Srimad_Bhagavatam/Canto-03/SP_SB_3-26-45_Bombay_1975-01-20_Transcendental_Transaction.mp3" TargetMode="External"/><Relationship Id="rId4885" Type="http://schemas.openxmlformats.org/officeDocument/2006/relationships/hyperlink" Target="https://audio.iskcondesiretree.com/01_-_Srila_Prabhupada/01_-_Lectures/01_-_English/01_-_Topic_wise/Chaitanya_Charitamrita/Madhya_Lila/SP_CC_M_20-098_Washington-DC_1976-07-04_Big_Boon_for_a_Bad_Bunch.mp3" TargetMode="External"/><Relationship Id="rId5936" Type="http://schemas.openxmlformats.org/officeDocument/2006/relationships/hyperlink" Target="https://audio.iskcondesiretree.com/01_-_Srila_Prabhupada/01_-_Lectures/01_-_English/02_-_Month_wise/10_-_October/09/Conv_1977-10-09_R1-VRNDAVAN.MP3" TargetMode="External"/><Relationship Id="rId21" Type="http://schemas.openxmlformats.org/officeDocument/2006/relationships/hyperlink" Target="https://audio.iskcondesiretree.com/01_-_Srila_Prabhupada/01_-_Lectures/01_-_English/02_-_Month_wise/03_-_March/28/Bg_02-47_NY_1966-03-28_Soul%27s_Constitutional_Position.mp3" TargetMode="External"/><Relationship Id="rId2089" Type="http://schemas.openxmlformats.org/officeDocument/2006/relationships/hyperlink" Target="https://audio.iskcondesiretree.com/01_-_Srila_Prabhupada/01_-_Lectures/01_-_English/02_-_Month_wise/06_-_June/10/Conv_1974-06-10_R1-PARIS.MP3" TargetMode="External"/><Relationship Id="rId3487" Type="http://schemas.openxmlformats.org/officeDocument/2006/relationships/hyperlink" Target="https://audio.iskcondesiretree.com/01_-_Srila_Prabhupada/01_-_Lectures/01_-_English/01_-_Topic_wise/Arrival_Address/SP_Arrival_Philadelphia_1975-07-11_The_Dancing_Platform.mp3" TargetMode="External"/><Relationship Id="rId4538" Type="http://schemas.openxmlformats.org/officeDocument/2006/relationships/hyperlink" Target="https://audio.iskcondesiretree.com/01_-_Srila_Prabhupada/01_-_Lectures/01_-_English/02_-_Month_wise/04_-_April/26/Bg_09-10_MEL_1976-04-26_Destination-Lord_of_Destiny.mp3" TargetMode="External"/><Relationship Id="rId4952" Type="http://schemas.openxmlformats.org/officeDocument/2006/relationships/hyperlink" Target="https://audio.iskcondesiretree.com/01_-_Srila_Prabhupada/01_-_Lectures/01_-_English/02_-_Month_wise/07_-_July/11/RC_NY_1976-07-11_Can_God_Directly_Talk_to_Man.mp3" TargetMode="External"/><Relationship Id="rId3554" Type="http://schemas.openxmlformats.org/officeDocument/2006/relationships/hyperlink" Target="https://audio.iskcondesiretree.com/01_-_Srila_Prabhupada/01_-_Lectures/01_-_English/02_-_Month_wise/07_-_July/19/MW_SF_1975-07-19_I_Have_Gold-I_Am_God.mp3" TargetMode="External"/><Relationship Id="rId4605" Type="http://schemas.openxmlformats.org/officeDocument/2006/relationships/hyperlink" Target="https://audio.iskcondesiretree.com/01_-_Srila_Prabhupada/01_-_Lectures/01_-_English/02_-_Month_wise/05_-_May/14/SB_6-01-13%3D14_HON_1976-05-14_Sex_and_the_Sober.mp3" TargetMode="External"/><Relationship Id="rId475" Type="http://schemas.openxmlformats.org/officeDocument/2006/relationships/hyperlink" Target="https://audio.iskcondesiretree.com/01_-_Srila_Prabhupada/01_-_Lectures/01_-_English/02_-_Month_wise/09_-_September/15/Lect_LON_1969-09-15_At_Conway_Hall-I_Teach_What_You_etc.mp3" TargetMode="External"/><Relationship Id="rId2156" Type="http://schemas.openxmlformats.org/officeDocument/2006/relationships/hyperlink" Target="https://audio.iskcondesiretree.com/01_-_Srila_Prabhupada/01_-_Lectures/01_-_English/02_-_Month_wise/06_-_June/17/Walk_1974-06-17_MW-GERMANY.MP3" TargetMode="External"/><Relationship Id="rId2570" Type="http://schemas.openxmlformats.org/officeDocument/2006/relationships/hyperlink" Target="https://audio.iskcondesiretree.com/01_-_Srila_Prabhupada/01_-_Lectures/01_-_English/01_-_Topic_wise/Srimad_Bhagavatam/Canto-03/SP_SB_3-25-31_Bombay_1974-12-01_Hear_About_Krishna_Submissively.mp3" TargetMode="External"/><Relationship Id="rId3207" Type="http://schemas.openxmlformats.org/officeDocument/2006/relationships/hyperlink" Target="https://audio.iskcondesiretree.com/01_-_Srila_Prabhupada/01_-_Lectures/01_-_English/02_-_Month_wise/05_-_May/19/SB-Lecture_1975-05-19_SB-MELBOURNE.MP3" TargetMode="External"/><Relationship Id="rId3621" Type="http://schemas.openxmlformats.org/officeDocument/2006/relationships/hyperlink" Target="https://audio.iskcondesiretree.com/01_-_Srila_Prabhupada/01_-_Lectures/01_-_English/01_-_Topic_wise/Srimad_Bhagavatam/Canto-06/SP_SB_6-01-49_New_Orleans_1975-08-01_Take_Advantage_of_the_Sastra.mp3" TargetMode="External"/><Relationship Id="rId128" Type="http://schemas.openxmlformats.org/officeDocument/2006/relationships/hyperlink" Target="https://audio.iskcondesiretree.com/01_-_Srila_Prabhupada/01_-_Lectures/01_-_English/01_-_Topic_wise/Bhagavad_Gita/Chapter-09/SP_BG_09-11-14_New_York_1966-11-27_Find_Real_Pleasure_Serving_Krishna.mp3" TargetMode="External"/><Relationship Id="rId542" Type="http://schemas.openxmlformats.org/officeDocument/2006/relationships/hyperlink" Target="https://audio.iskcondesiretree.com/01_-_Srila_Prabhupada/01_-_Lectures/01_-_English/01_-_Topic_wise/Various/SP_Lecture_Detroit_1971-07-17_Initiation--This_Kartala-Playing--etc.mp3" TargetMode="External"/><Relationship Id="rId1172" Type="http://schemas.openxmlformats.org/officeDocument/2006/relationships/hyperlink" Target="https://audio.iskcondesiretree.com/01_-_Srila_Prabhupada/01_-_Lectures/01_-_English/01_-_Topic_wise/Bhagavad_Gita/Chapter-13/SP_BG_13-05_Paris_1973-08-13_Even_the_Lion_Has_to_Struggle.mp3" TargetMode="External"/><Relationship Id="rId2223" Type="http://schemas.openxmlformats.org/officeDocument/2006/relationships/hyperlink" Target="https://audio.iskcondesiretree.com/01_-_Srila_Prabhupada/01_-_Lectures/01_-_English/02_-_Month_wise/06_-_June/29/Walk_1974-06-29_MW-MELBOURNE.MP3" TargetMode="External"/><Relationship Id="rId5379" Type="http://schemas.openxmlformats.org/officeDocument/2006/relationships/hyperlink" Target="https://audio.iskcondesiretree.com/01_-_Srila_Prabhupada/01_-_Lectures/01_-_English/02_-_Month_wise/11_-_November/04/RC_VRN_1976-11-04_Nobody_Is_Satisfied_Income.mp3" TargetMode="External"/><Relationship Id="rId5793" Type="http://schemas.openxmlformats.org/officeDocument/2006/relationships/hyperlink" Target="https://audio.iskcondesiretree.com/01_-_Srila_Prabhupada/01_-_Lectures/01_-_English/02_-_Month_wise/04_-_April/05/Conv_1977-04-05_R3-BOMBAY.MP3" TargetMode="External"/><Relationship Id="rId4395" Type="http://schemas.openxmlformats.org/officeDocument/2006/relationships/hyperlink" Target="https://audio.iskcondesiretree.com/01_-_Srila_Prabhupada/01_-_Lectures/01_-_English/02_-_Month_wise/03_-_March/22/SB-07-09-42_1976-03-22_SB-MAYAPUR.MP3" TargetMode="External"/><Relationship Id="rId5446" Type="http://schemas.openxmlformats.org/officeDocument/2006/relationships/hyperlink" Target="https://audio.iskcondesiretree.com/01_-_Srila_Prabhupada/01_-_Lectures/01_-_English/02_-_Month_wise/11_-_November/21/SB_5-05-34_VRN_1976-11-21_Brahmacari_Escapes_Tribulation.mp3" TargetMode="External"/><Relationship Id="rId1989" Type="http://schemas.openxmlformats.org/officeDocument/2006/relationships/hyperlink" Target="https://audio.iskcondesiretree.com/01_-_Srila_Prabhupada/01_-_Lectures/01_-_English/01_-_Topic_wise/Morning_Walk/SP_Morning_Walk_-_Rome_1974-05-26.mp3" TargetMode="External"/><Relationship Id="rId4048" Type="http://schemas.openxmlformats.org/officeDocument/2006/relationships/hyperlink" Target="https://audio.iskcondesiretree.com/01_-_Srila_Prabhupada/01_-_Lectures/01_-_English/01_-_Topic_wise/Srimad_Bhagavatam/Canto-07/SP_SB_7-06-03_Vrindavan_1975-12-04_Our_Human_Opportunity.mp3" TargetMode="External"/><Relationship Id="rId5860" Type="http://schemas.openxmlformats.org/officeDocument/2006/relationships/hyperlink" Target="https://audio.iskcondesiretree.com/01_-_Srila_Prabhupada/01_-_Lectures/01_-_English/02_-_Month_wise/05_-_May/24/Conv_1977-05-24_R2-VRNDAVAN.MP3" TargetMode="External"/><Relationship Id="rId3064" Type="http://schemas.openxmlformats.org/officeDocument/2006/relationships/hyperlink" Target="https://audio.iskcondesiretree.com/01_-_Srila_Prabhupada/01_-_Lectures/01_-_English/02_-_Month_wise/04_-_April/06/Walk_1975-04-06_MW-MAYAPUR.MP3" TargetMode="External"/><Relationship Id="rId4462" Type="http://schemas.openxmlformats.org/officeDocument/2006/relationships/hyperlink" Target="https://audio.iskcondesiretree.com/01_-_Srila_Prabhupada/01_-_Lectures/01_-_English/01_-_Topic_wise/Srimad_Bhagavatam/Canto-07/SP_SB_7-12-01_Bombay_1976-04-12_I_Don%27t_Say_You%27re_a_Rascal.mp3" TargetMode="External"/><Relationship Id="rId5513" Type="http://schemas.openxmlformats.org/officeDocument/2006/relationships/hyperlink" Target="https://audio.iskcondesiretree.com/01_-_Srila_Prabhupada/01_-_Lectures/01_-_English/02_-_Month_wise/12_-_December/17/Bg_03-25_HYD_1976-12-17_Plan_Making_for_More_Suffering.mp3" TargetMode="External"/><Relationship Id="rId1709" Type="http://schemas.openxmlformats.org/officeDocument/2006/relationships/hyperlink" Target="https://audio.iskcondesiretree.com/01_-_Srila_Prabhupada/01_-_Lectures/01_-_English/01_-_Topic_wise/Room_Conversation/SP_Room_Conversation_with_Sannyasis_Vrindavan_1974-03-15.mp3" TargetMode="External"/><Relationship Id="rId4115" Type="http://schemas.openxmlformats.org/officeDocument/2006/relationships/hyperlink" Target="https://audio.iskcondesiretree.com/01_-_Srila_Prabhupada/01_-_Lectures/01_-_English/02_-_Month_wise/12_-_December/22/Fest_BOM_1975-12-22_Bhaktisiddhanta_Disappearance.mp3" TargetMode="External"/><Relationship Id="rId2080" Type="http://schemas.openxmlformats.org/officeDocument/2006/relationships/hyperlink" Target="https://audio.iskcondesiretree.com/01_-_Srila_Prabhupada/01_-_Lectures/01_-_English/01_-_Topic_wise/Morning_Walk/SP_Morning_Walk_-_Geneva_1974-06-09_Psychology_of_the_Human_Animal.mp3" TargetMode="External"/><Relationship Id="rId3131" Type="http://schemas.openxmlformats.org/officeDocument/2006/relationships/hyperlink" Target="https://audio.iskcondesiretree.com/01_-_Srila_Prabhupada/01_-_Lectures/01_-_English/02_-_Month_wise/04_-_April/20/Lect_VRN_1975-04-20_These_Boys_Were_Jagai_%26_Madhai.mp3" TargetMode="External"/><Relationship Id="rId2897" Type="http://schemas.openxmlformats.org/officeDocument/2006/relationships/hyperlink" Target="https://audio.iskcondesiretree.com/01_-_Srila_Prabhupada/01_-_Lectures/01_-_English/02_-_Month_wise/03_-_March/02/Walk_1975-03-02_MW-ATLANTA.MP3" TargetMode="External"/><Relationship Id="rId3948" Type="http://schemas.openxmlformats.org/officeDocument/2006/relationships/hyperlink" Target="https://audio.iskcondesiretree.com/01_-_Srila_Prabhupada/01_-_Lectures/01_-_English/02_-_Month_wise/11_-_November/01/Bg_07-05_NAI_1975-11-01_High_Energy-Low_Energy.mp3" TargetMode="External"/><Relationship Id="rId869" Type="http://schemas.openxmlformats.org/officeDocument/2006/relationships/hyperlink" Target="https://audio.iskcondesiretree.com/01_-_Srila_Prabhupada/01_-_Lectures/01_-_English/02_-_Month_wise/12_-_December/14/Bg_07-01_AHM_1972-12-14_Theory_of_Uncertainty.mp3" TargetMode="External"/><Relationship Id="rId1499" Type="http://schemas.openxmlformats.org/officeDocument/2006/relationships/hyperlink" Target="https://audio.iskcondesiretree.com/01_-_Srila_Prabhupada/01_-_Lectures/01_-_English/02_-_Month_wise/01_-_January/08/SB_1-16-11_LA_1974-01-08_Subduing_the_Demons.mp3" TargetMode="External"/><Relationship Id="rId5370" Type="http://schemas.openxmlformats.org/officeDocument/2006/relationships/hyperlink" Target="https://audio.iskcondesiretree.com/01_-_Srila_Prabhupada/01_-_Lectures/01_-_English/01_-_Topic_wise/Srimad_Bhagavatam/Canto-05/SP_SB_5-05-15_Vrindavan_1976-11-03_Not_Brainwashing--Brain_Cleaning.mp3" TargetMode="External"/><Relationship Id="rId6007" Type="http://schemas.openxmlformats.org/officeDocument/2006/relationships/hyperlink" Target="https://audio.iskcondesiretree.com/01_-_Srila_Prabhupada/01_-_Lectures/01_-_English/02_-_Month_wise/11_-_November/07/Conv_1977-11-07_R3-VRNDAVAN.MP3" TargetMode="External"/><Relationship Id="rId2964" Type="http://schemas.openxmlformats.org/officeDocument/2006/relationships/hyperlink" Target="https://audio.iskcondesiretree.com/01_-_Srila_Prabhupada/01_-_Lectures/01_-_English/02_-_Month_wise/03_-_March/14/RC_TEH_1975-03-14_Yoga_Student--The_Clear_Conception_of_God.mp3" TargetMode="External"/><Relationship Id="rId5023" Type="http://schemas.openxmlformats.org/officeDocument/2006/relationships/hyperlink" Target="https://audio.iskcondesiretree.com/01_-_Srila_Prabhupada/01_-_Lectures/01_-_English/02_-_Month_wise/07_-_July/26/RC_LON_1976-07-26_The_Next_Life.mp3" TargetMode="External"/><Relationship Id="rId936" Type="http://schemas.openxmlformats.org/officeDocument/2006/relationships/hyperlink" Target="https://audio.iskcondesiretree.com/01_-_Srila_Prabhupada/01_-_Lectures/01_-_English/02_-_Month_wise/04_-_April/10/SB_1-08-18_NY_1973-04-10_How_to_See_Greatness_of_God.mp3" TargetMode="External"/><Relationship Id="rId1219" Type="http://schemas.openxmlformats.org/officeDocument/2006/relationships/hyperlink" Target="https://audio.iskcondesiretree.com/01_-_Srila_Prabhupada/01_-_Lectures/01_-_English/01_-_Topic_wise/Various/SP_Lecture_London_1973-08-26_The_HK_Movement_What_and_Why.mp3" TargetMode="External"/><Relationship Id="rId1566" Type="http://schemas.openxmlformats.org/officeDocument/2006/relationships/hyperlink" Target="https://audio.iskcondesiretree.com/01_-_Srila_Prabhupada/01_-_Lectures/01_-_English/02_-_Month_wise/01_-_January/23/SB-01-16-26%E2%80%9330_1974-01-23_SB-HONOLULU.MP3" TargetMode="External"/><Relationship Id="rId1980" Type="http://schemas.openxmlformats.org/officeDocument/2006/relationships/hyperlink" Target="https://audio.iskcondesiretree.com/01_-_Srila_Prabhupada/01_-_Lectures/01_-_English/02_-_Month_wise/05_-_May/24/RC_ROM_1974-05-24_Secretary_to_the_Pope_Love_for_etc.mp3" TargetMode="External"/><Relationship Id="rId2617" Type="http://schemas.openxmlformats.org/officeDocument/2006/relationships/hyperlink" Target="https://audio.iskcondesiretree.com/01_-_Srila_Prabhupada/01_-_Lectures/01_-_English/02_-_Month_wise/12_-_December/16/SB_3-26-04_BOM_1974-12-16_The_Truth_Will_Set_You_Free.mp3" TargetMode="External"/><Relationship Id="rId1633" Type="http://schemas.openxmlformats.org/officeDocument/2006/relationships/hyperlink" Target="https://audio.iskcondesiretree.com/01_-_Srila_Prabhupada/01_-_Lectures/01_-_English/02_-_Month_wise/02_-_Feburary/20/Walk_1974-02-20_MW-BOMBAY.MP3" TargetMode="External"/><Relationship Id="rId4789" Type="http://schemas.openxmlformats.org/officeDocument/2006/relationships/hyperlink" Target="https://audio.iskcondesiretree.com/01_-_Srila_Prabhupada/01_-_Lectures/01_-_English/01_-_Topic_wise/Srimad_Bhagavatam/Canto-07/SP_SB_7-06-04_Toronto_1976-06-20_Innermost_Benefit_from_the--etc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353"/>
  <sheetViews>
    <sheetView workbookViewId="0"/>
  </sheetViews>
  <sheetFormatPr defaultColWidth="12.5703125" defaultRowHeight="15.75" customHeight="1"/>
  <cols>
    <col min="1" max="1" width="22.7109375" customWidth="1"/>
    <col min="2" max="2" width="92.85546875" customWidth="1"/>
  </cols>
  <sheetData>
    <row r="1" spans="1:4" ht="15.75" customHeight="1">
      <c r="A1" s="2" t="s">
        <v>3</v>
      </c>
      <c r="B1" s="3" t="s">
        <v>0</v>
      </c>
      <c r="C1" s="2" t="s">
        <v>4</v>
      </c>
      <c r="D1" s="4" t="s">
        <v>1</v>
      </c>
    </row>
    <row r="2" spans="1:4" ht="14.25">
      <c r="A2" s="5" t="s">
        <v>5</v>
      </c>
      <c r="B2" s="6" t="s">
        <v>6</v>
      </c>
      <c r="C2" s="7">
        <v>24157</v>
      </c>
      <c r="D2" s="8" t="s">
        <v>7</v>
      </c>
    </row>
    <row r="3" spans="1:4" ht="14.25">
      <c r="A3" s="5" t="s">
        <v>5</v>
      </c>
      <c r="B3" s="6" t="s">
        <v>8</v>
      </c>
      <c r="C3" s="7">
        <v>24157</v>
      </c>
      <c r="D3" s="8" t="s">
        <v>9</v>
      </c>
    </row>
    <row r="4" spans="1:4" ht="14.25">
      <c r="A4" s="5" t="s">
        <v>5</v>
      </c>
      <c r="B4" s="6" t="s">
        <v>10</v>
      </c>
      <c r="C4" s="7">
        <v>24157</v>
      </c>
      <c r="D4" s="8" t="s">
        <v>11</v>
      </c>
    </row>
    <row r="5" spans="1:4" ht="14.25">
      <c r="A5" s="5">
        <v>19</v>
      </c>
      <c r="B5" s="6" t="s">
        <v>12</v>
      </c>
      <c r="C5" s="7">
        <v>24157</v>
      </c>
      <c r="D5" s="8" t="s">
        <v>13</v>
      </c>
    </row>
    <row r="6" spans="1:4" ht="14.25">
      <c r="A6" s="5">
        <v>19</v>
      </c>
      <c r="B6" s="6" t="s">
        <v>14</v>
      </c>
      <c r="C6" s="7">
        <v>24157</v>
      </c>
      <c r="D6" s="8" t="s">
        <v>15</v>
      </c>
    </row>
    <row r="7" spans="1:4" ht="14.25">
      <c r="A7" s="5">
        <v>19</v>
      </c>
      <c r="B7" s="6" t="s">
        <v>16</v>
      </c>
      <c r="C7" s="7">
        <v>24157</v>
      </c>
      <c r="D7" s="8" t="s">
        <v>17</v>
      </c>
    </row>
    <row r="8" spans="1:4" ht="14.25">
      <c r="A8" s="5" t="s">
        <v>18</v>
      </c>
      <c r="B8" s="6" t="s">
        <v>19</v>
      </c>
      <c r="C8" s="7">
        <v>24168</v>
      </c>
      <c r="D8" s="8" t="s">
        <v>20</v>
      </c>
    </row>
    <row r="9" spans="1:4" ht="14.25">
      <c r="A9" s="5">
        <v>2</v>
      </c>
      <c r="B9" s="6" t="s">
        <v>21</v>
      </c>
      <c r="C9" s="7">
        <v>24168</v>
      </c>
      <c r="D9" s="8" t="s">
        <v>22</v>
      </c>
    </row>
    <row r="10" spans="1:4" ht="14.25">
      <c r="A10" s="5">
        <v>2</v>
      </c>
      <c r="B10" s="6" t="s">
        <v>23</v>
      </c>
      <c r="C10" s="7">
        <v>24168</v>
      </c>
      <c r="D10" s="8" t="s">
        <v>24</v>
      </c>
    </row>
    <row r="11" spans="1:4" ht="14.25">
      <c r="A11" s="5">
        <v>2</v>
      </c>
      <c r="B11" s="6" t="s">
        <v>25</v>
      </c>
      <c r="C11" s="7">
        <v>24168</v>
      </c>
      <c r="D11" s="8" t="s">
        <v>26</v>
      </c>
    </row>
    <row r="12" spans="1:4" ht="14.25">
      <c r="A12" s="5" t="s">
        <v>18</v>
      </c>
      <c r="B12" s="6" t="s">
        <v>27</v>
      </c>
      <c r="C12" s="7">
        <v>24170</v>
      </c>
      <c r="D12" s="8" t="s">
        <v>28</v>
      </c>
    </row>
    <row r="13" spans="1:4" ht="14.25">
      <c r="A13" s="5">
        <v>4</v>
      </c>
      <c r="B13" s="6" t="s">
        <v>29</v>
      </c>
      <c r="C13" s="7">
        <v>24170</v>
      </c>
      <c r="D13" s="8" t="s">
        <v>30</v>
      </c>
    </row>
    <row r="14" spans="1:4" ht="14.25">
      <c r="A14" s="5" t="s">
        <v>18</v>
      </c>
      <c r="B14" s="6" t="s">
        <v>31</v>
      </c>
      <c r="C14" s="7">
        <v>24175</v>
      </c>
      <c r="D14" s="8" t="s">
        <v>32</v>
      </c>
    </row>
    <row r="15" spans="1:4" ht="14.25">
      <c r="A15" s="5">
        <v>9</v>
      </c>
      <c r="B15" s="6" t="s">
        <v>33</v>
      </c>
      <c r="C15" s="7">
        <v>24175</v>
      </c>
      <c r="D15" s="8" t="s">
        <v>34</v>
      </c>
    </row>
    <row r="16" spans="1:4" ht="14.25">
      <c r="A16" s="5" t="s">
        <v>18</v>
      </c>
      <c r="B16" s="6" t="s">
        <v>35</v>
      </c>
      <c r="C16" s="7">
        <v>24177</v>
      </c>
      <c r="D16" s="8" t="s">
        <v>36</v>
      </c>
    </row>
    <row r="17" spans="1:4" ht="14.25">
      <c r="A17" s="5">
        <v>11</v>
      </c>
      <c r="B17" s="6" t="s">
        <v>37</v>
      </c>
      <c r="C17" s="7">
        <v>24177</v>
      </c>
      <c r="D17" s="8" t="s">
        <v>38</v>
      </c>
    </row>
    <row r="18" spans="1:4" ht="14.25">
      <c r="A18" s="5" t="s">
        <v>39</v>
      </c>
      <c r="B18" s="6" t="s">
        <v>40</v>
      </c>
      <c r="C18" s="7">
        <v>24177</v>
      </c>
      <c r="D18" s="8" t="s">
        <v>41</v>
      </c>
    </row>
    <row r="19" spans="1:4" ht="14.25">
      <c r="A19" s="5" t="s">
        <v>42</v>
      </c>
      <c r="B19" s="6" t="s">
        <v>43</v>
      </c>
      <c r="C19" s="7">
        <v>24191</v>
      </c>
      <c r="D19" s="8" t="s">
        <v>44</v>
      </c>
    </row>
    <row r="20" spans="1:4" ht="14.25">
      <c r="A20" s="5">
        <v>25</v>
      </c>
      <c r="B20" s="6" t="s">
        <v>45</v>
      </c>
      <c r="C20" s="7">
        <v>24191</v>
      </c>
      <c r="D20" s="8" t="s">
        <v>46</v>
      </c>
    </row>
    <row r="21" spans="1:4" ht="14.25">
      <c r="A21" s="5" t="s">
        <v>18</v>
      </c>
      <c r="B21" s="6" t="s">
        <v>47</v>
      </c>
      <c r="C21" s="7">
        <v>24194</v>
      </c>
      <c r="D21" s="8" t="s">
        <v>48</v>
      </c>
    </row>
    <row r="22" spans="1:4" ht="14.25">
      <c r="A22" s="5">
        <v>28</v>
      </c>
      <c r="B22" s="6" t="s">
        <v>49</v>
      </c>
      <c r="C22" s="7">
        <v>24194</v>
      </c>
      <c r="D22" s="8" t="s">
        <v>50</v>
      </c>
    </row>
    <row r="23" spans="1:4" ht="14.25">
      <c r="A23" s="5" t="s">
        <v>18</v>
      </c>
      <c r="B23" s="6" t="s">
        <v>51</v>
      </c>
      <c r="C23" s="7">
        <v>24198</v>
      </c>
      <c r="D23" s="8" t="s">
        <v>52</v>
      </c>
    </row>
    <row r="24" spans="1:4" ht="14.25">
      <c r="A24" s="5">
        <v>1</v>
      </c>
      <c r="B24" s="6" t="s">
        <v>53</v>
      </c>
      <c r="C24" s="7">
        <v>24198</v>
      </c>
      <c r="D24" s="8" t="s">
        <v>54</v>
      </c>
    </row>
    <row r="25" spans="1:4" ht="14.25">
      <c r="A25" s="5" t="s">
        <v>18</v>
      </c>
      <c r="B25" s="6" t="s">
        <v>55</v>
      </c>
      <c r="C25" s="7">
        <v>24202</v>
      </c>
      <c r="D25" s="8" t="s">
        <v>56</v>
      </c>
    </row>
    <row r="26" spans="1:4" ht="14.25">
      <c r="A26" s="5">
        <v>5</v>
      </c>
      <c r="B26" s="6" t="s">
        <v>57</v>
      </c>
      <c r="C26" s="7">
        <v>24202</v>
      </c>
      <c r="D26" s="8" t="s">
        <v>58</v>
      </c>
    </row>
    <row r="27" spans="1:4" ht="14.25">
      <c r="A27" s="5" t="s">
        <v>18</v>
      </c>
      <c r="B27" s="6" t="s">
        <v>59</v>
      </c>
      <c r="C27" s="7">
        <v>24209</v>
      </c>
      <c r="D27" s="8" t="s">
        <v>60</v>
      </c>
    </row>
    <row r="28" spans="1:4" ht="14.25">
      <c r="A28" s="5">
        <v>12</v>
      </c>
      <c r="B28" s="6" t="s">
        <v>61</v>
      </c>
      <c r="C28" s="7">
        <v>24209</v>
      </c>
      <c r="D28" s="8" t="s">
        <v>62</v>
      </c>
    </row>
    <row r="29" spans="1:4" ht="14.25">
      <c r="A29" s="5" t="s">
        <v>18</v>
      </c>
      <c r="B29" s="6" t="s">
        <v>63</v>
      </c>
      <c r="C29" s="7">
        <v>24212</v>
      </c>
      <c r="D29" s="8" t="s">
        <v>64</v>
      </c>
    </row>
    <row r="30" spans="1:4" ht="14.25">
      <c r="A30" s="5">
        <v>15</v>
      </c>
      <c r="B30" s="6" t="s">
        <v>65</v>
      </c>
      <c r="C30" s="7">
        <v>24212</v>
      </c>
      <c r="D30" s="8" t="s">
        <v>66</v>
      </c>
    </row>
    <row r="31" spans="1:4" ht="14.25">
      <c r="A31" s="5" t="s">
        <v>18</v>
      </c>
      <c r="B31" s="6" t="s">
        <v>67</v>
      </c>
      <c r="C31" s="7">
        <v>24216</v>
      </c>
      <c r="D31" s="8" t="s">
        <v>68</v>
      </c>
    </row>
    <row r="32" spans="1:4" ht="14.25">
      <c r="A32" s="5">
        <v>19</v>
      </c>
      <c r="B32" s="6" t="s">
        <v>69</v>
      </c>
      <c r="C32" s="7">
        <v>24216</v>
      </c>
      <c r="D32" s="8" t="s">
        <v>70</v>
      </c>
    </row>
    <row r="33" spans="1:4" ht="14.25">
      <c r="A33" s="5" t="s">
        <v>18</v>
      </c>
      <c r="B33" s="6" t="s">
        <v>71</v>
      </c>
      <c r="C33" s="7">
        <v>24224</v>
      </c>
      <c r="D33" s="8" t="s">
        <v>72</v>
      </c>
    </row>
    <row r="34" spans="1:4" ht="14.25">
      <c r="A34" s="5">
        <v>27</v>
      </c>
      <c r="B34" s="6" t="s">
        <v>73</v>
      </c>
      <c r="C34" s="7">
        <v>24224</v>
      </c>
      <c r="D34" s="8" t="s">
        <v>74</v>
      </c>
    </row>
    <row r="35" spans="1:4" ht="14.25">
      <c r="A35" s="5" t="s">
        <v>75</v>
      </c>
      <c r="B35" s="6" t="s">
        <v>76</v>
      </c>
      <c r="C35" s="7">
        <v>24247</v>
      </c>
      <c r="D35" s="8" t="s">
        <v>77</v>
      </c>
    </row>
    <row r="36" spans="1:4" ht="14.25">
      <c r="A36" s="5">
        <v>20</v>
      </c>
      <c r="B36" s="6" t="s">
        <v>78</v>
      </c>
      <c r="C36" s="7">
        <v>24247</v>
      </c>
      <c r="D36" s="8" t="s">
        <v>79</v>
      </c>
    </row>
    <row r="37" spans="1:4" ht="14.25">
      <c r="A37" s="5" t="s">
        <v>75</v>
      </c>
      <c r="B37" s="6" t="s">
        <v>80</v>
      </c>
      <c r="C37" s="7">
        <v>24250</v>
      </c>
      <c r="D37" s="8" t="s">
        <v>81</v>
      </c>
    </row>
    <row r="38" spans="1:4" ht="14.25">
      <c r="A38" s="5">
        <v>23</v>
      </c>
      <c r="B38" s="6" t="s">
        <v>82</v>
      </c>
      <c r="C38" s="7">
        <v>24250</v>
      </c>
      <c r="D38" s="8" t="s">
        <v>83</v>
      </c>
    </row>
    <row r="39" spans="1:4" ht="14.25">
      <c r="A39" s="5" t="s">
        <v>75</v>
      </c>
      <c r="B39" s="6" t="s">
        <v>84</v>
      </c>
      <c r="C39" s="7">
        <v>24252</v>
      </c>
      <c r="D39" s="8" t="s">
        <v>85</v>
      </c>
    </row>
    <row r="40" spans="1:4" ht="14.25">
      <c r="A40" s="5">
        <v>25</v>
      </c>
      <c r="B40" s="6" t="s">
        <v>86</v>
      </c>
      <c r="C40" s="7">
        <v>24252</v>
      </c>
      <c r="D40" s="8" t="s">
        <v>87</v>
      </c>
    </row>
    <row r="41" spans="1:4" ht="14.25">
      <c r="A41" s="5" t="s">
        <v>75</v>
      </c>
      <c r="B41" s="6" t="s">
        <v>88</v>
      </c>
      <c r="C41" s="7">
        <v>24254</v>
      </c>
      <c r="D41" s="8" t="s">
        <v>89</v>
      </c>
    </row>
    <row r="42" spans="1:4" ht="14.25">
      <c r="A42" s="5">
        <v>27</v>
      </c>
      <c r="B42" s="6" t="s">
        <v>90</v>
      </c>
      <c r="C42" s="7">
        <v>24254</v>
      </c>
      <c r="D42" s="8" t="s">
        <v>91</v>
      </c>
    </row>
    <row r="43" spans="1:4" ht="14.25">
      <c r="A43" s="5" t="s">
        <v>75</v>
      </c>
      <c r="B43" s="6" t="s">
        <v>92</v>
      </c>
      <c r="C43" s="7">
        <v>24257</v>
      </c>
      <c r="D43" s="8" t="s">
        <v>93</v>
      </c>
    </row>
    <row r="44" spans="1:4" ht="14.25">
      <c r="A44" s="5">
        <v>30</v>
      </c>
      <c r="B44" s="6" t="s">
        <v>94</v>
      </c>
      <c r="C44" s="7">
        <v>24257</v>
      </c>
      <c r="D44" s="8" t="s">
        <v>95</v>
      </c>
    </row>
    <row r="45" spans="1:4" ht="14.25">
      <c r="A45" s="5" t="s">
        <v>96</v>
      </c>
      <c r="B45" s="6" t="s">
        <v>97</v>
      </c>
      <c r="C45" s="7">
        <v>24306</v>
      </c>
      <c r="D45" s="8" t="s">
        <v>98</v>
      </c>
    </row>
    <row r="46" spans="1:4" ht="14.25">
      <c r="A46" s="5">
        <v>18</v>
      </c>
      <c r="B46" s="6" t="s">
        <v>99</v>
      </c>
      <c r="C46" s="7">
        <v>24306</v>
      </c>
      <c r="D46" s="8" t="s">
        <v>100</v>
      </c>
    </row>
    <row r="47" spans="1:4" ht="14.25">
      <c r="A47" s="5" t="s">
        <v>96</v>
      </c>
      <c r="B47" s="6" t="s">
        <v>101</v>
      </c>
      <c r="C47" s="7">
        <v>24308</v>
      </c>
      <c r="D47" s="8" t="s">
        <v>102</v>
      </c>
    </row>
    <row r="48" spans="1:4" ht="14.25">
      <c r="A48" s="5">
        <v>20</v>
      </c>
      <c r="B48" s="6" t="s">
        <v>103</v>
      </c>
      <c r="C48" s="7">
        <v>24308</v>
      </c>
      <c r="D48" s="8" t="s">
        <v>104</v>
      </c>
    </row>
    <row r="49" spans="1:4" ht="14.25">
      <c r="A49" s="5" t="s">
        <v>96</v>
      </c>
      <c r="B49" s="6" t="s">
        <v>105</v>
      </c>
      <c r="C49" s="7">
        <v>24313</v>
      </c>
      <c r="D49" s="8" t="s">
        <v>106</v>
      </c>
    </row>
    <row r="50" spans="1:4" ht="14.25">
      <c r="A50" s="5">
        <v>25</v>
      </c>
      <c r="B50" s="6" t="s">
        <v>107</v>
      </c>
      <c r="C50" s="7">
        <v>24313</v>
      </c>
      <c r="D50" s="8" t="s">
        <v>108</v>
      </c>
    </row>
    <row r="51" spans="1:4" ht="14.25">
      <c r="A51" s="5" t="s">
        <v>96</v>
      </c>
      <c r="B51" s="6" t="s">
        <v>109</v>
      </c>
      <c r="C51" s="7">
        <v>24316</v>
      </c>
      <c r="D51" s="8" t="s">
        <v>110</v>
      </c>
    </row>
    <row r="52" spans="1:4" ht="14.25">
      <c r="A52" s="5">
        <v>28</v>
      </c>
      <c r="B52" s="6" t="s">
        <v>111</v>
      </c>
      <c r="C52" s="7">
        <v>24316</v>
      </c>
      <c r="D52" s="8" t="s">
        <v>112</v>
      </c>
    </row>
    <row r="53" spans="1:4" ht="14.25">
      <c r="A53" s="5" t="s">
        <v>96</v>
      </c>
      <c r="B53" s="6" t="s">
        <v>113</v>
      </c>
      <c r="C53" s="7">
        <v>24318</v>
      </c>
      <c r="D53" s="8" t="s">
        <v>114</v>
      </c>
    </row>
    <row r="54" spans="1:4" ht="14.25">
      <c r="A54" s="5">
        <v>30</v>
      </c>
      <c r="B54" s="6" t="s">
        <v>115</v>
      </c>
      <c r="C54" s="7">
        <v>24318</v>
      </c>
      <c r="D54" s="8" t="s">
        <v>116</v>
      </c>
    </row>
    <row r="55" spans="1:4" ht="14.25">
      <c r="A55" s="5" t="s">
        <v>96</v>
      </c>
      <c r="B55" s="6" t="s">
        <v>117</v>
      </c>
      <c r="C55" s="7">
        <v>24320</v>
      </c>
      <c r="D55" s="8" t="s">
        <v>118</v>
      </c>
    </row>
    <row r="56" spans="1:4" ht="14.25">
      <c r="A56" s="5">
        <v>1</v>
      </c>
      <c r="B56" s="6" t="s">
        <v>119</v>
      </c>
      <c r="C56" s="7">
        <v>24320</v>
      </c>
      <c r="D56" s="8" t="s">
        <v>120</v>
      </c>
    </row>
    <row r="57" spans="1:4" ht="14.25">
      <c r="A57" s="5" t="s">
        <v>96</v>
      </c>
      <c r="B57" s="6" t="s">
        <v>121</v>
      </c>
      <c r="C57" s="7">
        <v>24322</v>
      </c>
      <c r="D57" s="8" t="s">
        <v>122</v>
      </c>
    </row>
    <row r="58" spans="1:4" ht="14.25">
      <c r="A58" s="5">
        <v>3</v>
      </c>
      <c r="B58" s="6" t="s">
        <v>123</v>
      </c>
      <c r="C58" s="7">
        <v>24322</v>
      </c>
      <c r="D58" s="8" t="s">
        <v>124</v>
      </c>
    </row>
    <row r="59" spans="1:4" ht="14.25">
      <c r="A59" s="5" t="s">
        <v>96</v>
      </c>
      <c r="B59" s="6" t="s">
        <v>125</v>
      </c>
      <c r="C59" s="7">
        <v>24327</v>
      </c>
      <c r="D59" s="8" t="s">
        <v>126</v>
      </c>
    </row>
    <row r="60" spans="1:4" ht="14.25">
      <c r="A60" s="5" t="s">
        <v>96</v>
      </c>
      <c r="B60" s="6" t="s">
        <v>127</v>
      </c>
      <c r="C60" s="7">
        <v>24327</v>
      </c>
      <c r="D60" s="8" t="s">
        <v>128</v>
      </c>
    </row>
    <row r="61" spans="1:4" ht="14.25">
      <c r="A61" s="5">
        <v>8</v>
      </c>
      <c r="B61" s="6" t="s">
        <v>129</v>
      </c>
      <c r="C61" s="7">
        <v>24327</v>
      </c>
      <c r="D61" s="8" t="s">
        <v>130</v>
      </c>
    </row>
    <row r="62" spans="1:4" ht="14.25">
      <c r="A62" s="5" t="s">
        <v>96</v>
      </c>
      <c r="B62" s="6" t="s">
        <v>131</v>
      </c>
      <c r="C62" s="7">
        <v>24328</v>
      </c>
      <c r="D62" s="8" t="s">
        <v>132</v>
      </c>
    </row>
    <row r="63" spans="1:4" ht="14.25">
      <c r="A63" s="5">
        <v>9</v>
      </c>
      <c r="B63" s="6" t="s">
        <v>133</v>
      </c>
      <c r="C63" s="7">
        <v>24328</v>
      </c>
      <c r="D63" s="8" t="s">
        <v>134</v>
      </c>
    </row>
    <row r="64" spans="1:4" ht="14.25">
      <c r="A64" s="5" t="s">
        <v>96</v>
      </c>
      <c r="B64" s="6" t="s">
        <v>135</v>
      </c>
      <c r="C64" s="7">
        <v>24331</v>
      </c>
      <c r="D64" s="8" t="s">
        <v>136</v>
      </c>
    </row>
    <row r="65" spans="1:4" ht="14.25">
      <c r="A65" s="5">
        <v>12</v>
      </c>
      <c r="B65" s="6" t="s">
        <v>137</v>
      </c>
      <c r="C65" s="7">
        <v>24331</v>
      </c>
      <c r="D65" s="8" t="s">
        <v>138</v>
      </c>
    </row>
    <row r="66" spans="1:4" ht="14.25">
      <c r="A66" s="5" t="s">
        <v>96</v>
      </c>
      <c r="B66" s="6" t="s">
        <v>139</v>
      </c>
      <c r="C66" s="7">
        <v>24336</v>
      </c>
      <c r="D66" s="8" t="s">
        <v>140</v>
      </c>
    </row>
    <row r="67" spans="1:4" ht="14.25">
      <c r="A67" s="5" t="s">
        <v>141</v>
      </c>
      <c r="B67" s="6" t="s">
        <v>142</v>
      </c>
      <c r="C67" s="7">
        <v>24346</v>
      </c>
      <c r="D67" s="8" t="s">
        <v>143</v>
      </c>
    </row>
    <row r="68" spans="1:4" ht="14.25">
      <c r="A68" s="5">
        <v>27</v>
      </c>
      <c r="B68" s="6" t="s">
        <v>144</v>
      </c>
      <c r="C68" s="7">
        <v>24346</v>
      </c>
      <c r="D68" s="8" t="s">
        <v>145</v>
      </c>
    </row>
    <row r="69" spans="1:4" ht="14.25">
      <c r="A69" s="5" t="s">
        <v>141</v>
      </c>
      <c r="B69" s="6" t="s">
        <v>146</v>
      </c>
      <c r="C69" s="7">
        <v>24350</v>
      </c>
      <c r="D69" s="8" t="s">
        <v>147</v>
      </c>
    </row>
    <row r="70" spans="1:4" ht="14.25">
      <c r="A70" s="5">
        <v>31</v>
      </c>
      <c r="B70" s="6" t="s">
        <v>148</v>
      </c>
      <c r="C70" s="7">
        <v>24350</v>
      </c>
      <c r="D70" s="8" t="s">
        <v>149</v>
      </c>
    </row>
    <row r="71" spans="1:4" ht="14.25">
      <c r="A71" s="5" t="s">
        <v>150</v>
      </c>
      <c r="B71" s="6" t="s">
        <v>151</v>
      </c>
      <c r="C71" s="7">
        <v>24352</v>
      </c>
      <c r="D71" s="8" t="s">
        <v>152</v>
      </c>
    </row>
    <row r="72" spans="1:4" ht="14.25">
      <c r="A72" s="5">
        <v>2</v>
      </c>
      <c r="B72" s="6" t="s">
        <v>153</v>
      </c>
      <c r="C72" s="7">
        <v>24352</v>
      </c>
      <c r="D72" s="8" t="s">
        <v>154</v>
      </c>
    </row>
    <row r="73" spans="1:4" ht="14.25">
      <c r="A73" s="5" t="s">
        <v>150</v>
      </c>
      <c r="B73" s="6" t="s">
        <v>155</v>
      </c>
      <c r="C73" s="7">
        <v>24354</v>
      </c>
      <c r="D73" s="8" t="s">
        <v>156</v>
      </c>
    </row>
    <row r="74" spans="1:4" ht="14.25">
      <c r="A74" s="5">
        <v>4</v>
      </c>
      <c r="B74" s="6" t="s">
        <v>157</v>
      </c>
      <c r="C74" s="7">
        <v>24354</v>
      </c>
      <c r="D74" s="8" t="s">
        <v>158</v>
      </c>
    </row>
    <row r="75" spans="1:4" ht="14.25">
      <c r="A75" s="5" t="s">
        <v>150</v>
      </c>
      <c r="B75" s="6" t="s">
        <v>159</v>
      </c>
      <c r="C75" s="7">
        <v>24357</v>
      </c>
      <c r="D75" s="8" t="s">
        <v>160</v>
      </c>
    </row>
    <row r="76" spans="1:4" ht="14.25">
      <c r="A76" s="5" t="s">
        <v>150</v>
      </c>
      <c r="B76" s="6" t="s">
        <v>161</v>
      </c>
      <c r="C76" s="7">
        <v>24357</v>
      </c>
      <c r="D76" s="8" t="s">
        <v>162</v>
      </c>
    </row>
    <row r="77" spans="1:4" ht="14.25">
      <c r="A77" s="5">
        <v>7</v>
      </c>
      <c r="B77" s="6" t="s">
        <v>163</v>
      </c>
      <c r="C77" s="7">
        <v>24357</v>
      </c>
      <c r="D77" s="8" t="s">
        <v>164</v>
      </c>
    </row>
    <row r="78" spans="1:4" ht="14.25">
      <c r="A78" s="5">
        <v>7</v>
      </c>
      <c r="B78" s="6" t="s">
        <v>165</v>
      </c>
      <c r="C78" s="7">
        <v>24357</v>
      </c>
      <c r="D78" s="8" t="s">
        <v>166</v>
      </c>
    </row>
    <row r="79" spans="1:4" ht="14.25">
      <c r="A79" s="5" t="s">
        <v>167</v>
      </c>
      <c r="B79" s="6" t="s">
        <v>168</v>
      </c>
      <c r="C79" s="7">
        <v>24358</v>
      </c>
      <c r="D79" s="8" t="s">
        <v>169</v>
      </c>
    </row>
    <row r="80" spans="1:4" ht="14.25">
      <c r="A80" s="5">
        <v>8</v>
      </c>
      <c r="B80" s="6" t="s">
        <v>170</v>
      </c>
      <c r="C80" s="7">
        <v>24358</v>
      </c>
      <c r="D80" s="8" t="s">
        <v>171</v>
      </c>
    </row>
    <row r="81" spans="1:4" ht="14.25">
      <c r="A81" s="5" t="s">
        <v>150</v>
      </c>
      <c r="B81" s="6" t="s">
        <v>172</v>
      </c>
      <c r="C81" s="7">
        <v>24359</v>
      </c>
      <c r="D81" s="8" t="s">
        <v>173</v>
      </c>
    </row>
    <row r="82" spans="1:4" ht="14.25">
      <c r="A82" s="5">
        <v>9</v>
      </c>
      <c r="B82" s="6" t="s">
        <v>174</v>
      </c>
      <c r="C82" s="7">
        <v>24359</v>
      </c>
      <c r="D82" s="8" t="s">
        <v>175</v>
      </c>
    </row>
    <row r="83" spans="1:4" ht="14.25">
      <c r="A83" s="5" t="s">
        <v>150</v>
      </c>
      <c r="B83" s="6" t="s">
        <v>176</v>
      </c>
      <c r="C83" s="7">
        <v>24364</v>
      </c>
      <c r="D83" s="8" t="s">
        <v>177</v>
      </c>
    </row>
    <row r="84" spans="1:4" ht="14.25">
      <c r="A84" s="5">
        <v>14</v>
      </c>
      <c r="B84" s="6" t="s">
        <v>178</v>
      </c>
      <c r="C84" s="7">
        <v>24364</v>
      </c>
      <c r="D84" s="8" t="s">
        <v>179</v>
      </c>
    </row>
    <row r="85" spans="1:4" ht="14.25">
      <c r="A85" s="5" t="s">
        <v>150</v>
      </c>
      <c r="B85" s="6" t="s">
        <v>180</v>
      </c>
      <c r="C85" s="7">
        <v>24368</v>
      </c>
      <c r="D85" s="8" t="s">
        <v>181</v>
      </c>
    </row>
    <row r="86" spans="1:4" ht="14.25">
      <c r="A86" s="5">
        <v>18</v>
      </c>
      <c r="B86" s="6" t="s">
        <v>182</v>
      </c>
      <c r="C86" s="7">
        <v>24368</v>
      </c>
      <c r="D86" s="8" t="s">
        <v>183</v>
      </c>
    </row>
    <row r="87" spans="1:4" ht="14.25">
      <c r="A87" s="5" t="s">
        <v>184</v>
      </c>
      <c r="B87" s="6" t="s">
        <v>185</v>
      </c>
      <c r="C87" s="7">
        <v>24382</v>
      </c>
      <c r="D87" s="8" t="s">
        <v>186</v>
      </c>
    </row>
    <row r="88" spans="1:4" ht="14.25">
      <c r="A88" s="5">
        <v>2</v>
      </c>
      <c r="B88" s="6" t="s">
        <v>187</v>
      </c>
      <c r="C88" s="7">
        <v>24382</v>
      </c>
      <c r="D88" s="8" t="s">
        <v>188</v>
      </c>
    </row>
    <row r="89" spans="1:4" ht="14.25">
      <c r="A89" s="5" t="s">
        <v>184</v>
      </c>
      <c r="B89" s="6" t="s">
        <v>189</v>
      </c>
      <c r="C89" s="7">
        <v>24389</v>
      </c>
      <c r="D89" s="8" t="s">
        <v>190</v>
      </c>
    </row>
    <row r="90" spans="1:4" ht="14.25">
      <c r="A90" s="5">
        <v>9</v>
      </c>
      <c r="B90" s="6" t="s">
        <v>191</v>
      </c>
      <c r="C90" s="7">
        <v>24389</v>
      </c>
      <c r="D90" s="8" t="s">
        <v>192</v>
      </c>
    </row>
    <row r="91" spans="1:4" ht="14.25">
      <c r="A91" s="5" t="s">
        <v>184</v>
      </c>
      <c r="B91" s="6" t="s">
        <v>193</v>
      </c>
      <c r="C91" s="7">
        <v>24403</v>
      </c>
      <c r="D91" s="8" t="s">
        <v>194</v>
      </c>
    </row>
    <row r="92" spans="1:4" ht="14.25">
      <c r="A92" s="5">
        <v>23</v>
      </c>
      <c r="B92" s="6" t="s">
        <v>195</v>
      </c>
      <c r="C92" s="7">
        <v>24403</v>
      </c>
      <c r="D92" s="8" t="s">
        <v>196</v>
      </c>
    </row>
    <row r="93" spans="1:4" ht="14.25">
      <c r="A93" s="5" t="s">
        <v>197</v>
      </c>
      <c r="B93" s="6" t="s">
        <v>198</v>
      </c>
      <c r="C93" s="7">
        <v>24415</v>
      </c>
      <c r="D93" s="8" t="s">
        <v>199</v>
      </c>
    </row>
    <row r="94" spans="1:4" ht="14.25">
      <c r="A94" s="5">
        <v>4</v>
      </c>
      <c r="B94" s="6" t="s">
        <v>200</v>
      </c>
      <c r="C94" s="7">
        <v>24415</v>
      </c>
      <c r="D94" s="8" t="s">
        <v>201</v>
      </c>
    </row>
    <row r="95" spans="1:4" ht="14.25">
      <c r="A95" s="5" t="s">
        <v>202</v>
      </c>
      <c r="B95" s="6" t="s">
        <v>203</v>
      </c>
      <c r="C95" s="7">
        <v>24426</v>
      </c>
      <c r="D95" s="8" t="s">
        <v>204</v>
      </c>
    </row>
    <row r="96" spans="1:4" ht="14.25">
      <c r="A96" s="5">
        <v>15</v>
      </c>
      <c r="B96" s="6" t="s">
        <v>205</v>
      </c>
      <c r="C96" s="7">
        <v>24426</v>
      </c>
      <c r="D96" s="8" t="s">
        <v>206</v>
      </c>
    </row>
    <row r="97" spans="1:4" ht="14.25">
      <c r="A97" s="5" t="s">
        <v>202</v>
      </c>
      <c r="B97" s="6" t="s">
        <v>207</v>
      </c>
      <c r="C97" s="7">
        <v>24427</v>
      </c>
      <c r="D97" s="8" t="s">
        <v>208</v>
      </c>
    </row>
    <row r="98" spans="1:4" ht="14.25">
      <c r="A98" s="5" t="s">
        <v>209</v>
      </c>
      <c r="B98" s="6" t="s">
        <v>210</v>
      </c>
      <c r="C98" s="7">
        <v>24427</v>
      </c>
      <c r="D98" s="8" t="s">
        <v>211</v>
      </c>
    </row>
    <row r="99" spans="1:4" ht="14.25">
      <c r="A99" s="5">
        <v>16</v>
      </c>
      <c r="B99" s="6" t="s">
        <v>212</v>
      </c>
      <c r="C99" s="7">
        <v>24427</v>
      </c>
      <c r="D99" s="8" t="s">
        <v>213</v>
      </c>
    </row>
    <row r="100" spans="1:4" ht="14.25">
      <c r="A100" s="5">
        <v>16</v>
      </c>
      <c r="B100" s="6" t="s">
        <v>214</v>
      </c>
      <c r="C100" s="7">
        <v>24427</v>
      </c>
      <c r="D100" s="8" t="s">
        <v>215</v>
      </c>
    </row>
    <row r="101" spans="1:4" ht="14.25">
      <c r="A101" s="5" t="s">
        <v>202</v>
      </c>
      <c r="B101" s="6" t="s">
        <v>216</v>
      </c>
      <c r="C101" s="7">
        <v>24428</v>
      </c>
      <c r="D101" s="8" t="s">
        <v>217</v>
      </c>
    </row>
    <row r="102" spans="1:4" ht="14.25">
      <c r="A102" s="5">
        <v>17</v>
      </c>
      <c r="B102" s="6" t="s">
        <v>218</v>
      </c>
      <c r="C102" s="7">
        <v>24428</v>
      </c>
      <c r="D102" s="8" t="s">
        <v>219</v>
      </c>
    </row>
    <row r="103" spans="1:4" ht="14.25">
      <c r="A103" s="5" t="s">
        <v>202</v>
      </c>
      <c r="B103" s="6" t="s">
        <v>220</v>
      </c>
      <c r="C103" s="7">
        <v>24429</v>
      </c>
      <c r="D103" s="8" t="s">
        <v>221</v>
      </c>
    </row>
    <row r="104" spans="1:4" ht="14.25">
      <c r="A104" s="5">
        <v>18</v>
      </c>
      <c r="B104" s="6" t="s">
        <v>222</v>
      </c>
      <c r="C104" s="7">
        <v>24429</v>
      </c>
      <c r="D104" s="8" t="s">
        <v>223</v>
      </c>
    </row>
    <row r="105" spans="1:4" ht="14.25">
      <c r="A105" s="5" t="s">
        <v>202</v>
      </c>
      <c r="B105" s="6" t="s">
        <v>224</v>
      </c>
      <c r="C105" s="7">
        <v>24430</v>
      </c>
      <c r="D105" s="8" t="s">
        <v>225</v>
      </c>
    </row>
    <row r="106" spans="1:4" ht="14.25">
      <c r="A106" s="5">
        <v>19</v>
      </c>
      <c r="B106" s="6" t="s">
        <v>226</v>
      </c>
      <c r="C106" s="7">
        <v>24430</v>
      </c>
      <c r="D106" s="8" t="s">
        <v>227</v>
      </c>
    </row>
    <row r="107" spans="1:4" ht="14.25">
      <c r="A107" s="5" t="s">
        <v>202</v>
      </c>
      <c r="B107" s="6" t="s">
        <v>228</v>
      </c>
      <c r="C107" s="7">
        <v>24431</v>
      </c>
      <c r="D107" s="8" t="s">
        <v>229</v>
      </c>
    </row>
    <row r="108" spans="1:4" ht="14.25">
      <c r="A108" s="5">
        <v>20</v>
      </c>
      <c r="B108" s="6" t="s">
        <v>230</v>
      </c>
      <c r="C108" s="7">
        <v>24431</v>
      </c>
      <c r="D108" s="8" t="s">
        <v>231</v>
      </c>
    </row>
    <row r="109" spans="1:4" ht="14.25">
      <c r="A109" s="5" t="s">
        <v>202</v>
      </c>
      <c r="B109" s="6" t="s">
        <v>232</v>
      </c>
      <c r="C109" s="7">
        <v>24432</v>
      </c>
      <c r="D109" s="8" t="s">
        <v>233</v>
      </c>
    </row>
    <row r="110" spans="1:4" ht="14.25">
      <c r="A110" s="5">
        <v>21</v>
      </c>
      <c r="B110" s="6" t="s">
        <v>234</v>
      </c>
      <c r="C110" s="7">
        <v>24432</v>
      </c>
      <c r="D110" s="8" t="s">
        <v>235</v>
      </c>
    </row>
    <row r="111" spans="1:4" ht="14.25">
      <c r="A111" s="5" t="s">
        <v>236</v>
      </c>
      <c r="B111" s="6" t="s">
        <v>237</v>
      </c>
      <c r="C111" s="7">
        <v>24433</v>
      </c>
      <c r="D111" s="8" t="s">
        <v>238</v>
      </c>
    </row>
    <row r="112" spans="1:4" ht="14.25">
      <c r="A112" s="5" t="s">
        <v>209</v>
      </c>
      <c r="B112" s="6" t="s">
        <v>239</v>
      </c>
      <c r="C112" s="7">
        <v>24433</v>
      </c>
      <c r="D112" s="8" t="s">
        <v>240</v>
      </c>
    </row>
    <row r="113" spans="1:4" ht="14.25">
      <c r="A113" s="5" t="s">
        <v>209</v>
      </c>
      <c r="B113" s="6" t="s">
        <v>241</v>
      </c>
      <c r="C113" s="7">
        <v>24433</v>
      </c>
      <c r="D113" s="8" t="s">
        <v>242</v>
      </c>
    </row>
    <row r="114" spans="1:4" ht="14.25">
      <c r="A114" s="5">
        <v>22</v>
      </c>
      <c r="B114" s="6" t="s">
        <v>243</v>
      </c>
      <c r="C114" s="7">
        <v>24433</v>
      </c>
      <c r="D114" s="8" t="s">
        <v>244</v>
      </c>
    </row>
    <row r="115" spans="1:4" ht="14.25">
      <c r="A115" s="5">
        <v>22</v>
      </c>
      <c r="B115" s="6" t="s">
        <v>245</v>
      </c>
      <c r="C115" s="7">
        <v>24433</v>
      </c>
      <c r="D115" s="8" t="s">
        <v>246</v>
      </c>
    </row>
    <row r="116" spans="1:4" ht="14.25">
      <c r="A116" s="5">
        <v>22</v>
      </c>
      <c r="B116" s="6" t="s">
        <v>247</v>
      </c>
      <c r="C116" s="7">
        <v>24433</v>
      </c>
      <c r="D116" s="8" t="s">
        <v>248</v>
      </c>
    </row>
    <row r="117" spans="1:4" ht="14.25">
      <c r="A117" s="5" t="s">
        <v>236</v>
      </c>
      <c r="B117" s="6" t="s">
        <v>249</v>
      </c>
      <c r="C117" s="7">
        <v>24434</v>
      </c>
      <c r="D117" s="8" t="s">
        <v>250</v>
      </c>
    </row>
    <row r="118" spans="1:4" ht="14.25">
      <c r="A118" s="5" t="s">
        <v>209</v>
      </c>
      <c r="B118" s="6" t="s">
        <v>251</v>
      </c>
      <c r="C118" s="7">
        <v>24434</v>
      </c>
      <c r="D118" s="8" t="s">
        <v>252</v>
      </c>
    </row>
    <row r="119" spans="1:4" ht="14.25">
      <c r="A119" s="5">
        <v>23</v>
      </c>
      <c r="B119" s="6" t="s">
        <v>253</v>
      </c>
      <c r="C119" s="7">
        <v>24434</v>
      </c>
      <c r="D119" s="8" t="s">
        <v>254</v>
      </c>
    </row>
    <row r="120" spans="1:4" ht="14.25">
      <c r="A120" s="5">
        <v>23</v>
      </c>
      <c r="B120" s="6" t="s">
        <v>255</v>
      </c>
      <c r="C120" s="7">
        <v>24434</v>
      </c>
      <c r="D120" s="8" t="s">
        <v>256</v>
      </c>
    </row>
    <row r="121" spans="1:4" ht="14.25">
      <c r="A121" s="5" t="s">
        <v>236</v>
      </c>
      <c r="B121" s="6" t="s">
        <v>257</v>
      </c>
      <c r="C121" s="7">
        <v>24435</v>
      </c>
      <c r="D121" s="8" t="s">
        <v>258</v>
      </c>
    </row>
    <row r="122" spans="1:4" ht="14.25">
      <c r="A122" s="5" t="s">
        <v>209</v>
      </c>
      <c r="B122" s="6" t="s">
        <v>259</v>
      </c>
      <c r="C122" s="7">
        <v>24435</v>
      </c>
      <c r="D122" s="8" t="s">
        <v>260</v>
      </c>
    </row>
    <row r="123" spans="1:4" ht="14.25">
      <c r="A123" s="5">
        <v>24</v>
      </c>
      <c r="B123" s="6" t="s">
        <v>261</v>
      </c>
      <c r="C123" s="7">
        <v>24435</v>
      </c>
      <c r="D123" s="8" t="s">
        <v>262</v>
      </c>
    </row>
    <row r="124" spans="1:4" ht="14.25">
      <c r="A124" s="5">
        <v>24</v>
      </c>
      <c r="B124" s="6" t="s">
        <v>263</v>
      </c>
      <c r="C124" s="7">
        <v>24435</v>
      </c>
      <c r="D124" s="8" t="s">
        <v>264</v>
      </c>
    </row>
    <row r="125" spans="1:4" ht="14.25">
      <c r="A125" s="5" t="s">
        <v>209</v>
      </c>
      <c r="B125" s="6" t="s">
        <v>265</v>
      </c>
      <c r="C125" s="7">
        <v>24436</v>
      </c>
      <c r="D125" s="8" t="s">
        <v>266</v>
      </c>
    </row>
    <row r="126" spans="1:4" ht="14.25">
      <c r="A126" s="5">
        <v>25</v>
      </c>
      <c r="B126" s="6" t="s">
        <v>267</v>
      </c>
      <c r="C126" s="7">
        <v>24436</v>
      </c>
      <c r="D126" s="8" t="s">
        <v>268</v>
      </c>
    </row>
    <row r="127" spans="1:4" ht="14.25">
      <c r="A127" s="5" t="s">
        <v>209</v>
      </c>
      <c r="B127" s="6" t="s">
        <v>269</v>
      </c>
      <c r="C127" s="7">
        <v>24437</v>
      </c>
      <c r="D127" s="8" t="s">
        <v>270</v>
      </c>
    </row>
    <row r="128" spans="1:4" ht="14.25">
      <c r="A128" s="5">
        <v>26</v>
      </c>
      <c r="B128" s="6" t="s">
        <v>271</v>
      </c>
      <c r="C128" s="7">
        <v>24437</v>
      </c>
      <c r="D128" s="8" t="s">
        <v>272</v>
      </c>
    </row>
    <row r="129" spans="1:4" ht="14.25">
      <c r="A129" s="5" t="s">
        <v>236</v>
      </c>
      <c r="B129" s="6" t="s">
        <v>273</v>
      </c>
      <c r="C129" s="7">
        <v>24438</v>
      </c>
      <c r="D129" s="8" t="s">
        <v>274</v>
      </c>
    </row>
    <row r="130" spans="1:4" ht="14.25">
      <c r="A130" s="5" t="s">
        <v>209</v>
      </c>
      <c r="B130" s="6" t="s">
        <v>275</v>
      </c>
      <c r="C130" s="7">
        <v>24438</v>
      </c>
      <c r="D130" s="8" t="s">
        <v>276</v>
      </c>
    </row>
    <row r="131" spans="1:4" ht="14.25">
      <c r="A131" s="5">
        <v>27</v>
      </c>
      <c r="B131" s="6" t="s">
        <v>277</v>
      </c>
      <c r="C131" s="7">
        <v>24438</v>
      </c>
      <c r="D131" s="8" t="s">
        <v>278</v>
      </c>
    </row>
    <row r="132" spans="1:4" ht="14.25">
      <c r="A132" s="5">
        <v>27</v>
      </c>
      <c r="B132" s="6" t="s">
        <v>279</v>
      </c>
      <c r="C132" s="7">
        <v>24438</v>
      </c>
      <c r="D132" s="8" t="s">
        <v>280</v>
      </c>
    </row>
    <row r="133" spans="1:4" ht="14.25">
      <c r="A133" s="5" t="s">
        <v>209</v>
      </c>
      <c r="B133" s="6" t="s">
        <v>281</v>
      </c>
      <c r="C133" s="7">
        <v>24439</v>
      </c>
      <c r="D133" s="8" t="s">
        <v>282</v>
      </c>
    </row>
    <row r="134" spans="1:4" ht="14.25">
      <c r="A134" s="5">
        <v>28</v>
      </c>
      <c r="B134" s="6" t="s">
        <v>283</v>
      </c>
      <c r="C134" s="7">
        <v>24439</v>
      </c>
      <c r="D134" s="8" t="s">
        <v>284</v>
      </c>
    </row>
    <row r="135" spans="1:4" ht="14.25">
      <c r="A135" s="5" t="s">
        <v>209</v>
      </c>
      <c r="B135" s="6" t="s">
        <v>285</v>
      </c>
      <c r="C135" s="7">
        <v>24440</v>
      </c>
      <c r="D135" s="8" t="s">
        <v>286</v>
      </c>
    </row>
    <row r="136" spans="1:4" ht="14.25">
      <c r="A136" s="5">
        <v>29</v>
      </c>
      <c r="B136" s="6" t="s">
        <v>287</v>
      </c>
      <c r="C136" s="7">
        <v>24440</v>
      </c>
      <c r="D136" s="8" t="s">
        <v>288</v>
      </c>
    </row>
    <row r="137" spans="1:4" ht="14.25">
      <c r="A137" s="5" t="s">
        <v>209</v>
      </c>
      <c r="B137" s="6" t="s">
        <v>289</v>
      </c>
      <c r="C137" s="7">
        <v>24441</v>
      </c>
      <c r="D137" s="8" t="s">
        <v>290</v>
      </c>
    </row>
    <row r="138" spans="1:4" ht="14.25">
      <c r="A138" s="5">
        <v>30</v>
      </c>
      <c r="B138" s="6" t="s">
        <v>291</v>
      </c>
      <c r="C138" s="7">
        <v>24441</v>
      </c>
      <c r="D138" s="8" t="s">
        <v>292</v>
      </c>
    </row>
    <row r="139" spans="1:4" ht="14.25">
      <c r="A139" s="5" t="s">
        <v>236</v>
      </c>
      <c r="B139" s="6" t="s">
        <v>293</v>
      </c>
      <c r="C139" s="7">
        <v>24442</v>
      </c>
      <c r="D139" s="8" t="s">
        <v>294</v>
      </c>
    </row>
    <row r="140" spans="1:4" ht="14.25">
      <c r="A140" s="5" t="s">
        <v>209</v>
      </c>
      <c r="B140" s="6" t="s">
        <v>295</v>
      </c>
      <c r="C140" s="7">
        <v>24442</v>
      </c>
      <c r="D140" s="8" t="s">
        <v>296</v>
      </c>
    </row>
    <row r="141" spans="1:4" ht="14.25">
      <c r="A141" s="5">
        <v>1</v>
      </c>
      <c r="B141" s="6" t="s">
        <v>297</v>
      </c>
      <c r="C141" s="7">
        <v>24442</v>
      </c>
      <c r="D141" s="8" t="s">
        <v>298</v>
      </c>
    </row>
    <row r="142" spans="1:4" ht="14.25">
      <c r="A142" s="5">
        <v>1</v>
      </c>
      <c r="B142" s="6" t="s">
        <v>299</v>
      </c>
      <c r="C142" s="7">
        <v>24442</v>
      </c>
      <c r="D142" s="8" t="s">
        <v>300</v>
      </c>
    </row>
    <row r="143" spans="1:4" ht="14.25">
      <c r="A143" s="5" t="s">
        <v>236</v>
      </c>
      <c r="B143" s="6" t="s">
        <v>301</v>
      </c>
      <c r="C143" s="7">
        <v>24443</v>
      </c>
      <c r="D143" s="8" t="s">
        <v>302</v>
      </c>
    </row>
    <row r="144" spans="1:4" ht="14.25">
      <c r="A144" s="5">
        <v>2</v>
      </c>
      <c r="B144" s="6" t="s">
        <v>303</v>
      </c>
      <c r="C144" s="7">
        <v>24443</v>
      </c>
      <c r="D144" s="8" t="s">
        <v>304</v>
      </c>
    </row>
    <row r="145" spans="1:4" ht="14.25">
      <c r="A145" s="5" t="s">
        <v>209</v>
      </c>
      <c r="B145" s="6" t="s">
        <v>305</v>
      </c>
      <c r="C145" s="7">
        <v>24444</v>
      </c>
      <c r="D145" s="8" t="s">
        <v>306</v>
      </c>
    </row>
    <row r="146" spans="1:4" ht="14.25">
      <c r="A146" s="5">
        <v>3</v>
      </c>
      <c r="B146" s="6" t="s">
        <v>307</v>
      </c>
      <c r="C146" s="7">
        <v>24444</v>
      </c>
      <c r="D146" s="8" t="s">
        <v>308</v>
      </c>
    </row>
    <row r="147" spans="1:4" ht="14.25">
      <c r="A147" s="5" t="s">
        <v>236</v>
      </c>
      <c r="B147" s="6" t="s">
        <v>309</v>
      </c>
      <c r="C147" s="7">
        <v>24445</v>
      </c>
      <c r="D147" s="8" t="s">
        <v>310</v>
      </c>
    </row>
    <row r="148" spans="1:4" ht="14.25">
      <c r="A148" s="5">
        <v>4</v>
      </c>
      <c r="B148" s="6" t="s">
        <v>311</v>
      </c>
      <c r="C148" s="7">
        <v>24445</v>
      </c>
      <c r="D148" s="8" t="s">
        <v>312</v>
      </c>
    </row>
    <row r="149" spans="1:4" ht="14.25">
      <c r="A149" s="5" t="s">
        <v>209</v>
      </c>
      <c r="B149" s="6" t="s">
        <v>313</v>
      </c>
      <c r="C149" s="7">
        <v>24446</v>
      </c>
      <c r="D149" s="8" t="s">
        <v>314</v>
      </c>
    </row>
    <row r="150" spans="1:4" ht="14.25">
      <c r="A150" s="5">
        <v>5</v>
      </c>
      <c r="B150" s="6" t="s">
        <v>315</v>
      </c>
      <c r="C150" s="7">
        <v>24446</v>
      </c>
      <c r="D150" s="8" t="s">
        <v>316</v>
      </c>
    </row>
    <row r="151" spans="1:4" ht="14.25">
      <c r="A151" s="5" t="s">
        <v>236</v>
      </c>
      <c r="B151" s="6" t="s">
        <v>317</v>
      </c>
      <c r="C151" s="7">
        <v>24447</v>
      </c>
      <c r="D151" s="8" t="s">
        <v>318</v>
      </c>
    </row>
    <row r="152" spans="1:4" ht="14.25">
      <c r="A152" s="5">
        <v>6</v>
      </c>
      <c r="B152" s="6" t="s">
        <v>319</v>
      </c>
      <c r="C152" s="7">
        <v>24447</v>
      </c>
      <c r="D152" s="8" t="s">
        <v>320</v>
      </c>
    </row>
    <row r="153" spans="1:4" ht="14.25">
      <c r="A153" s="5" t="s">
        <v>209</v>
      </c>
      <c r="B153" s="6" t="s">
        <v>321</v>
      </c>
      <c r="C153" s="7">
        <v>24448</v>
      </c>
      <c r="D153" s="8" t="s">
        <v>322</v>
      </c>
    </row>
    <row r="154" spans="1:4" ht="14.25">
      <c r="A154" s="5">
        <v>7</v>
      </c>
      <c r="B154" s="6" t="s">
        <v>323</v>
      </c>
      <c r="C154" s="7">
        <v>24448</v>
      </c>
      <c r="D154" s="8" t="s">
        <v>324</v>
      </c>
    </row>
    <row r="155" spans="1:4" ht="14.25">
      <c r="A155" s="5" t="s">
        <v>236</v>
      </c>
      <c r="B155" s="6" t="s">
        <v>325</v>
      </c>
      <c r="C155" s="7">
        <v>24449</v>
      </c>
      <c r="D155" s="8" t="s">
        <v>326</v>
      </c>
    </row>
    <row r="156" spans="1:4" ht="14.25">
      <c r="A156" s="5">
        <v>8</v>
      </c>
      <c r="B156" s="6" t="s">
        <v>327</v>
      </c>
      <c r="C156" s="7">
        <v>24449</v>
      </c>
      <c r="D156" s="8" t="s">
        <v>328</v>
      </c>
    </row>
    <row r="157" spans="1:4" ht="14.25">
      <c r="A157" s="5" t="s">
        <v>236</v>
      </c>
      <c r="B157" s="6" t="s">
        <v>329</v>
      </c>
      <c r="C157" s="7">
        <v>24451</v>
      </c>
      <c r="D157" s="8" t="s">
        <v>330</v>
      </c>
    </row>
    <row r="158" spans="1:4" ht="14.25">
      <c r="A158" s="5">
        <v>10</v>
      </c>
      <c r="B158" s="6" t="s">
        <v>331</v>
      </c>
      <c r="C158" s="7">
        <v>24451</v>
      </c>
      <c r="D158" s="8" t="s">
        <v>332</v>
      </c>
    </row>
    <row r="159" spans="1:4" ht="14.25">
      <c r="A159" s="5" t="s">
        <v>209</v>
      </c>
      <c r="B159" s="6" t="s">
        <v>333</v>
      </c>
      <c r="C159" s="7">
        <v>24452</v>
      </c>
      <c r="D159" s="8" t="s">
        <v>334</v>
      </c>
    </row>
    <row r="160" spans="1:4" ht="14.25">
      <c r="A160" s="5">
        <v>11</v>
      </c>
      <c r="B160" s="6" t="s">
        <v>335</v>
      </c>
      <c r="C160" s="7">
        <v>24452</v>
      </c>
      <c r="D160" s="8" t="s">
        <v>336</v>
      </c>
    </row>
    <row r="161" spans="1:4" ht="14.25">
      <c r="A161" s="5" t="s">
        <v>236</v>
      </c>
      <c r="B161" s="6" t="s">
        <v>337</v>
      </c>
      <c r="C161" s="7">
        <v>24453</v>
      </c>
      <c r="D161" s="8" t="s">
        <v>338</v>
      </c>
    </row>
    <row r="162" spans="1:4" ht="14.25">
      <c r="A162" s="5">
        <v>12</v>
      </c>
      <c r="B162" s="6" t="s">
        <v>339</v>
      </c>
      <c r="C162" s="7">
        <v>24453</v>
      </c>
      <c r="D162" s="8" t="s">
        <v>340</v>
      </c>
    </row>
    <row r="163" spans="1:4" ht="14.25">
      <c r="A163" s="5" t="s">
        <v>209</v>
      </c>
      <c r="B163" s="6" t="s">
        <v>341</v>
      </c>
      <c r="C163" s="7">
        <v>24454</v>
      </c>
      <c r="D163" s="8" t="s">
        <v>342</v>
      </c>
    </row>
    <row r="164" spans="1:4" ht="14.25">
      <c r="A164" s="5">
        <v>13</v>
      </c>
      <c r="B164" s="6" t="s">
        <v>343</v>
      </c>
      <c r="C164" s="7">
        <v>24454</v>
      </c>
      <c r="D164" s="8" t="s">
        <v>344</v>
      </c>
    </row>
    <row r="165" spans="1:4" ht="14.25">
      <c r="A165" s="5" t="s">
        <v>209</v>
      </c>
      <c r="B165" s="6" t="s">
        <v>345</v>
      </c>
      <c r="C165" s="7">
        <v>24455</v>
      </c>
      <c r="D165" s="8" t="s">
        <v>346</v>
      </c>
    </row>
    <row r="166" spans="1:4" ht="14.25">
      <c r="A166" s="5">
        <v>14</v>
      </c>
      <c r="B166" s="6" t="s">
        <v>347</v>
      </c>
      <c r="C166" s="7">
        <v>24455</v>
      </c>
      <c r="D166" s="8" t="s">
        <v>348</v>
      </c>
    </row>
    <row r="167" spans="1:4" ht="14.25">
      <c r="A167" s="5" t="s">
        <v>236</v>
      </c>
      <c r="B167" s="6" t="s">
        <v>349</v>
      </c>
      <c r="C167" s="7">
        <v>24457</v>
      </c>
      <c r="D167" s="8" t="s">
        <v>350</v>
      </c>
    </row>
    <row r="168" spans="1:4" ht="14.25">
      <c r="A168" s="5" t="s">
        <v>209</v>
      </c>
      <c r="B168" s="6" t="s">
        <v>351</v>
      </c>
      <c r="C168" s="7">
        <v>24457</v>
      </c>
      <c r="D168" s="8" t="s">
        <v>352</v>
      </c>
    </row>
    <row r="169" spans="1:4" ht="14.25">
      <c r="A169" s="5">
        <v>16</v>
      </c>
      <c r="B169" s="6" t="s">
        <v>353</v>
      </c>
      <c r="C169" s="7">
        <v>24457</v>
      </c>
      <c r="D169" s="8" t="s">
        <v>354</v>
      </c>
    </row>
    <row r="170" spans="1:4" ht="14.25">
      <c r="A170" s="5">
        <v>16</v>
      </c>
      <c r="B170" s="6" t="s">
        <v>355</v>
      </c>
      <c r="C170" s="7">
        <v>24457</v>
      </c>
      <c r="D170" s="8" t="s">
        <v>356</v>
      </c>
    </row>
    <row r="171" spans="1:4" ht="14.25">
      <c r="A171" s="5" t="s">
        <v>209</v>
      </c>
      <c r="B171" s="6" t="s">
        <v>357</v>
      </c>
      <c r="C171" s="7">
        <v>24458</v>
      </c>
      <c r="D171" s="8" t="s">
        <v>358</v>
      </c>
    </row>
    <row r="172" spans="1:4" ht="14.25">
      <c r="A172" s="5">
        <v>17</v>
      </c>
      <c r="B172" s="6" t="s">
        <v>359</v>
      </c>
      <c r="C172" s="7">
        <v>24458</v>
      </c>
      <c r="D172" s="8" t="s">
        <v>360</v>
      </c>
    </row>
    <row r="173" spans="1:4" ht="14.25">
      <c r="A173" s="5" t="s">
        <v>209</v>
      </c>
      <c r="B173" s="6" t="s">
        <v>361</v>
      </c>
      <c r="C173" s="7">
        <v>24459</v>
      </c>
      <c r="D173" s="8" t="s">
        <v>362</v>
      </c>
    </row>
    <row r="174" spans="1:4" ht="14.25">
      <c r="A174" s="5">
        <v>18</v>
      </c>
      <c r="B174" s="6" t="s">
        <v>363</v>
      </c>
      <c r="C174" s="7">
        <v>24459</v>
      </c>
      <c r="D174" s="8" t="s">
        <v>364</v>
      </c>
    </row>
    <row r="175" spans="1:4" ht="14.25">
      <c r="A175" s="5" t="s">
        <v>236</v>
      </c>
      <c r="B175" s="6" t="s">
        <v>365</v>
      </c>
      <c r="C175" s="7">
        <v>24460</v>
      </c>
      <c r="D175" s="8" t="s">
        <v>366</v>
      </c>
    </row>
    <row r="176" spans="1:4" ht="14.25">
      <c r="A176" s="5" t="s">
        <v>209</v>
      </c>
      <c r="B176" s="6" t="s">
        <v>367</v>
      </c>
      <c r="C176" s="7">
        <v>24460</v>
      </c>
      <c r="D176" s="8" t="s">
        <v>368</v>
      </c>
    </row>
    <row r="177" spans="1:4" ht="14.25">
      <c r="A177" s="5">
        <v>19</v>
      </c>
      <c r="B177" s="6" t="s">
        <v>369</v>
      </c>
      <c r="C177" s="7">
        <v>24460</v>
      </c>
      <c r="D177" s="8" t="s">
        <v>370</v>
      </c>
    </row>
    <row r="178" spans="1:4" ht="14.25">
      <c r="A178" s="5">
        <v>19</v>
      </c>
      <c r="B178" s="6" t="s">
        <v>371</v>
      </c>
      <c r="C178" s="7">
        <v>24460</v>
      </c>
      <c r="D178" s="8" t="s">
        <v>372</v>
      </c>
    </row>
    <row r="179" spans="1:4" ht="14.25">
      <c r="A179" s="5" t="s">
        <v>236</v>
      </c>
      <c r="B179" s="6" t="s">
        <v>373</v>
      </c>
      <c r="C179" s="7">
        <v>24461</v>
      </c>
      <c r="D179" s="8" t="s">
        <v>374</v>
      </c>
    </row>
    <row r="180" spans="1:4" ht="14.25">
      <c r="A180" s="5" t="s">
        <v>209</v>
      </c>
      <c r="B180" s="6" t="s">
        <v>375</v>
      </c>
      <c r="C180" s="7">
        <v>24461</v>
      </c>
      <c r="D180" s="8" t="s">
        <v>376</v>
      </c>
    </row>
    <row r="181" spans="1:4" ht="14.25">
      <c r="A181" s="5">
        <v>20</v>
      </c>
      <c r="B181" s="6" t="s">
        <v>377</v>
      </c>
      <c r="C181" s="7">
        <v>24461</v>
      </c>
      <c r="D181" s="8" t="s">
        <v>378</v>
      </c>
    </row>
    <row r="182" spans="1:4" ht="14.25">
      <c r="A182" s="5">
        <v>20</v>
      </c>
      <c r="B182" s="6" t="s">
        <v>379</v>
      </c>
      <c r="C182" s="7">
        <v>24461</v>
      </c>
      <c r="D182" s="8" t="s">
        <v>380</v>
      </c>
    </row>
    <row r="183" spans="1:4" ht="14.25">
      <c r="A183" s="5" t="s">
        <v>209</v>
      </c>
      <c r="B183" s="6" t="s">
        <v>381</v>
      </c>
      <c r="C183" s="7">
        <v>24462</v>
      </c>
      <c r="D183" s="8" t="s">
        <v>382</v>
      </c>
    </row>
    <row r="184" spans="1:4" ht="14.25">
      <c r="A184" s="5">
        <v>21</v>
      </c>
      <c r="B184" s="6" t="s">
        <v>383</v>
      </c>
      <c r="C184" s="7">
        <v>24462</v>
      </c>
      <c r="D184" s="8" t="s">
        <v>384</v>
      </c>
    </row>
    <row r="185" spans="1:4" ht="14.25">
      <c r="A185" s="5" t="s">
        <v>209</v>
      </c>
      <c r="B185" s="6" t="s">
        <v>385</v>
      </c>
      <c r="C185" s="7">
        <v>24463</v>
      </c>
      <c r="D185" s="8" t="s">
        <v>386</v>
      </c>
    </row>
    <row r="186" spans="1:4" ht="14.25">
      <c r="A186" s="5">
        <v>22</v>
      </c>
      <c r="B186" s="6" t="s">
        <v>387</v>
      </c>
      <c r="C186" s="7">
        <v>24463</v>
      </c>
      <c r="D186" s="8" t="s">
        <v>388</v>
      </c>
    </row>
    <row r="187" spans="1:4" ht="14.25">
      <c r="A187" s="5" t="s">
        <v>209</v>
      </c>
      <c r="B187" s="6" t="s">
        <v>389</v>
      </c>
      <c r="C187" s="7">
        <v>24464</v>
      </c>
      <c r="D187" s="8" t="s">
        <v>390</v>
      </c>
    </row>
    <row r="188" spans="1:4" ht="14.25">
      <c r="A188" s="5">
        <v>23</v>
      </c>
      <c r="B188" s="6" t="s">
        <v>391</v>
      </c>
      <c r="C188" s="7">
        <v>24464</v>
      </c>
      <c r="D188" s="8" t="s">
        <v>392</v>
      </c>
    </row>
    <row r="189" spans="1:4" ht="14.25">
      <c r="A189" s="5" t="s">
        <v>209</v>
      </c>
      <c r="B189" s="6" t="s">
        <v>393</v>
      </c>
      <c r="C189" s="7">
        <v>24465</v>
      </c>
      <c r="D189" s="8" t="s">
        <v>394</v>
      </c>
    </row>
    <row r="190" spans="1:4" ht="14.25">
      <c r="A190" s="5">
        <v>24</v>
      </c>
      <c r="B190" s="6" t="s">
        <v>395</v>
      </c>
      <c r="C190" s="7">
        <v>24465</v>
      </c>
      <c r="D190" s="8" t="s">
        <v>396</v>
      </c>
    </row>
    <row r="191" spans="1:4" ht="14.25">
      <c r="A191" s="5" t="s">
        <v>209</v>
      </c>
      <c r="B191" s="6" t="s">
        <v>397</v>
      </c>
      <c r="C191" s="7">
        <v>24466</v>
      </c>
      <c r="D191" s="8" t="s">
        <v>398</v>
      </c>
    </row>
    <row r="192" spans="1:4" ht="14.25">
      <c r="A192" s="5">
        <v>25</v>
      </c>
      <c r="B192" s="6" t="s">
        <v>399</v>
      </c>
      <c r="C192" s="7">
        <v>24466</v>
      </c>
      <c r="D192" s="8" t="s">
        <v>400</v>
      </c>
    </row>
    <row r="193" spans="1:4" ht="14.25">
      <c r="A193" s="5" t="s">
        <v>236</v>
      </c>
      <c r="B193" s="6" t="s">
        <v>401</v>
      </c>
      <c r="C193" s="7">
        <v>24467</v>
      </c>
      <c r="D193" s="8" t="s">
        <v>402</v>
      </c>
    </row>
    <row r="194" spans="1:4" ht="14.25">
      <c r="A194" s="5" t="s">
        <v>209</v>
      </c>
      <c r="B194" s="6" t="s">
        <v>403</v>
      </c>
      <c r="C194" s="7">
        <v>24467</v>
      </c>
      <c r="D194" s="8" t="s">
        <v>404</v>
      </c>
    </row>
    <row r="195" spans="1:4" ht="14.25">
      <c r="A195" s="5">
        <v>26</v>
      </c>
      <c r="B195" s="6" t="s">
        <v>405</v>
      </c>
      <c r="C195" s="7">
        <v>24467</v>
      </c>
      <c r="D195" s="8" t="s">
        <v>406</v>
      </c>
    </row>
    <row r="196" spans="1:4" ht="14.25">
      <c r="A196" s="5">
        <v>26</v>
      </c>
      <c r="B196" s="6" t="s">
        <v>407</v>
      </c>
      <c r="C196" s="7">
        <v>24467</v>
      </c>
      <c r="D196" s="8" t="s">
        <v>408</v>
      </c>
    </row>
    <row r="197" spans="1:4" ht="14.25">
      <c r="A197" s="5" t="s">
        <v>209</v>
      </c>
      <c r="B197" s="6" t="s">
        <v>409</v>
      </c>
      <c r="C197" s="7">
        <v>24469</v>
      </c>
      <c r="D197" s="8" t="s">
        <v>410</v>
      </c>
    </row>
    <row r="198" spans="1:4" ht="14.25">
      <c r="A198" s="5">
        <v>28</v>
      </c>
      <c r="B198" s="6" t="s">
        <v>411</v>
      </c>
      <c r="C198" s="7">
        <v>24469</v>
      </c>
      <c r="D198" s="8" t="s">
        <v>412</v>
      </c>
    </row>
    <row r="199" spans="1:4" ht="14.25">
      <c r="A199" s="5" t="s">
        <v>209</v>
      </c>
      <c r="B199" s="6" t="s">
        <v>413</v>
      </c>
      <c r="C199" s="7">
        <v>24471</v>
      </c>
      <c r="D199" s="8" t="s">
        <v>414</v>
      </c>
    </row>
    <row r="200" spans="1:4" ht="14.25">
      <c r="A200" s="5">
        <v>30</v>
      </c>
      <c r="B200" s="6" t="s">
        <v>415</v>
      </c>
      <c r="C200" s="7">
        <v>24471</v>
      </c>
      <c r="D200" s="8" t="s">
        <v>416</v>
      </c>
    </row>
    <row r="201" spans="1:4" ht="14.25">
      <c r="A201" s="5" t="s">
        <v>209</v>
      </c>
      <c r="B201" s="6" t="s">
        <v>417</v>
      </c>
      <c r="C201" s="7">
        <v>24472</v>
      </c>
      <c r="D201" s="8" t="s">
        <v>418</v>
      </c>
    </row>
    <row r="202" spans="1:4" ht="14.25">
      <c r="A202" s="5">
        <v>31</v>
      </c>
      <c r="B202" s="6" t="s">
        <v>419</v>
      </c>
      <c r="C202" s="7">
        <v>24472</v>
      </c>
      <c r="D202" s="8" t="s">
        <v>420</v>
      </c>
    </row>
    <row r="203" spans="1:4" ht="14.25">
      <c r="A203" s="5" t="s">
        <v>421</v>
      </c>
      <c r="B203" s="6" t="s">
        <v>422</v>
      </c>
      <c r="C203" s="7">
        <v>24473</v>
      </c>
      <c r="D203" s="8" t="s">
        <v>423</v>
      </c>
    </row>
    <row r="204" spans="1:4" ht="14.25">
      <c r="A204" s="5">
        <v>1</v>
      </c>
      <c r="B204" s="6" t="s">
        <v>424</v>
      </c>
      <c r="C204" s="7">
        <v>24473</v>
      </c>
      <c r="D204" s="8" t="s">
        <v>425</v>
      </c>
    </row>
    <row r="205" spans="1:4" ht="14.25">
      <c r="A205" s="5" t="s">
        <v>209</v>
      </c>
      <c r="B205" s="6" t="s">
        <v>426</v>
      </c>
      <c r="C205" s="7">
        <v>24475</v>
      </c>
      <c r="D205" s="8" t="s">
        <v>427</v>
      </c>
    </row>
    <row r="206" spans="1:4" ht="14.25">
      <c r="A206" s="5">
        <v>3</v>
      </c>
      <c r="B206" s="6" t="s">
        <v>428</v>
      </c>
      <c r="C206" s="7">
        <v>24475</v>
      </c>
      <c r="D206" s="8" t="s">
        <v>429</v>
      </c>
    </row>
    <row r="207" spans="1:4" ht="14.25">
      <c r="A207" s="5" t="s">
        <v>421</v>
      </c>
      <c r="B207" s="6" t="s">
        <v>430</v>
      </c>
      <c r="C207" s="7">
        <v>24476</v>
      </c>
      <c r="D207" s="8" t="s">
        <v>431</v>
      </c>
    </row>
    <row r="208" spans="1:4" ht="14.25">
      <c r="A208" s="5" t="s">
        <v>209</v>
      </c>
      <c r="B208" s="6" t="s">
        <v>432</v>
      </c>
      <c r="C208" s="7">
        <v>24476</v>
      </c>
      <c r="D208" s="8" t="s">
        <v>433</v>
      </c>
    </row>
    <row r="209" spans="1:4" ht="14.25">
      <c r="A209" s="5">
        <v>4</v>
      </c>
      <c r="B209" s="6" t="s">
        <v>434</v>
      </c>
      <c r="C209" s="7">
        <v>24476</v>
      </c>
      <c r="D209" s="8" t="s">
        <v>435</v>
      </c>
    </row>
    <row r="210" spans="1:4" ht="14.25">
      <c r="A210" s="5">
        <v>4</v>
      </c>
      <c r="B210" s="6" t="s">
        <v>436</v>
      </c>
      <c r="C210" s="7">
        <v>24476</v>
      </c>
      <c r="D210" s="8" t="s">
        <v>437</v>
      </c>
    </row>
    <row r="211" spans="1:4" ht="14.25">
      <c r="A211" s="5" t="s">
        <v>209</v>
      </c>
      <c r="B211" s="6" t="s">
        <v>438</v>
      </c>
      <c r="C211" s="7">
        <v>24481</v>
      </c>
      <c r="D211" s="8" t="s">
        <v>439</v>
      </c>
    </row>
    <row r="212" spans="1:4" ht="14.25">
      <c r="A212" s="5">
        <v>9</v>
      </c>
      <c r="B212" s="6" t="s">
        <v>440</v>
      </c>
      <c r="C212" s="7">
        <v>24481</v>
      </c>
      <c r="D212" s="8" t="s">
        <v>441</v>
      </c>
    </row>
    <row r="213" spans="1:4" ht="14.25">
      <c r="A213" s="5" t="s">
        <v>209</v>
      </c>
      <c r="B213" s="6" t="s">
        <v>442</v>
      </c>
      <c r="C213" s="7">
        <v>24482</v>
      </c>
      <c r="D213" s="8" t="s">
        <v>443</v>
      </c>
    </row>
    <row r="214" spans="1:4" ht="14.25">
      <c r="A214" s="5">
        <v>10</v>
      </c>
      <c r="B214" s="6" t="s">
        <v>444</v>
      </c>
      <c r="C214" s="7">
        <v>24482</v>
      </c>
      <c r="D214" s="8" t="s">
        <v>445</v>
      </c>
    </row>
    <row r="215" spans="1:4" ht="14.25">
      <c r="A215" s="5" t="s">
        <v>209</v>
      </c>
      <c r="B215" s="6" t="s">
        <v>446</v>
      </c>
      <c r="C215" s="7">
        <v>24483</v>
      </c>
      <c r="D215" s="8" t="s">
        <v>447</v>
      </c>
    </row>
    <row r="216" spans="1:4" ht="14.25">
      <c r="A216" s="5">
        <v>11</v>
      </c>
      <c r="B216" s="6" t="s">
        <v>448</v>
      </c>
      <c r="C216" s="7">
        <v>24483</v>
      </c>
      <c r="D216" s="8" t="s">
        <v>449</v>
      </c>
    </row>
    <row r="217" spans="1:4" ht="14.25">
      <c r="A217" s="5" t="s">
        <v>209</v>
      </c>
      <c r="B217" s="6" t="s">
        <v>450</v>
      </c>
      <c r="C217" s="7">
        <v>24488</v>
      </c>
      <c r="D217" s="8" t="s">
        <v>451</v>
      </c>
    </row>
    <row r="218" spans="1:4" ht="14.25">
      <c r="A218" s="5">
        <v>16</v>
      </c>
      <c r="B218" s="6" t="s">
        <v>452</v>
      </c>
      <c r="C218" s="7">
        <v>24488</v>
      </c>
      <c r="D218" s="8" t="s">
        <v>453</v>
      </c>
    </row>
    <row r="219" spans="1:4" ht="14.25">
      <c r="A219" s="5" t="s">
        <v>454</v>
      </c>
      <c r="B219" s="6" t="s">
        <v>455</v>
      </c>
      <c r="C219" s="7">
        <v>24546</v>
      </c>
      <c r="D219" s="8" t="s">
        <v>456</v>
      </c>
    </row>
    <row r="220" spans="1:4" ht="14.25">
      <c r="A220" s="5">
        <v>15</v>
      </c>
      <c r="B220" s="6" t="s">
        <v>457</v>
      </c>
      <c r="C220" s="7">
        <v>24546</v>
      </c>
      <c r="D220" s="8" t="s">
        <v>458</v>
      </c>
    </row>
    <row r="221" spans="1:4" ht="14.25">
      <c r="A221" s="5" t="s">
        <v>5</v>
      </c>
      <c r="B221" s="6" t="s">
        <v>459</v>
      </c>
      <c r="C221" s="7">
        <v>24549</v>
      </c>
      <c r="D221" s="8" t="s">
        <v>460</v>
      </c>
    </row>
    <row r="222" spans="1:4" ht="14.25">
      <c r="A222" s="5">
        <v>18</v>
      </c>
      <c r="B222" s="6" t="s">
        <v>461</v>
      </c>
      <c r="C222" s="7">
        <v>24549</v>
      </c>
      <c r="D222" s="8" t="s">
        <v>462</v>
      </c>
    </row>
    <row r="223" spans="1:4" ht="14.25">
      <c r="A223" s="5" t="s">
        <v>463</v>
      </c>
      <c r="B223" s="6" t="s">
        <v>464</v>
      </c>
      <c r="C223" s="7">
        <v>24567</v>
      </c>
      <c r="D223" s="8" t="s">
        <v>465</v>
      </c>
    </row>
    <row r="224" spans="1:4" ht="14.25">
      <c r="A224" s="5" t="s">
        <v>463</v>
      </c>
      <c r="B224" s="6" t="s">
        <v>466</v>
      </c>
      <c r="C224" s="7">
        <v>24567</v>
      </c>
      <c r="D224" s="8" t="s">
        <v>467</v>
      </c>
    </row>
    <row r="225" spans="1:4" ht="14.25">
      <c r="A225" s="5">
        <v>5</v>
      </c>
      <c r="B225" s="6" t="s">
        <v>468</v>
      </c>
      <c r="C225" s="7">
        <v>24567</v>
      </c>
      <c r="D225" s="8" t="s">
        <v>469</v>
      </c>
    </row>
    <row r="226" spans="1:4" ht="14.25">
      <c r="A226" s="5">
        <v>5</v>
      </c>
      <c r="B226" s="6" t="s">
        <v>470</v>
      </c>
      <c r="C226" s="7">
        <v>24567</v>
      </c>
      <c r="D226" s="8" t="s">
        <v>471</v>
      </c>
    </row>
    <row r="227" spans="1:4" ht="14.25">
      <c r="A227" s="5" t="s">
        <v>167</v>
      </c>
      <c r="B227" s="6" t="s">
        <v>472</v>
      </c>
      <c r="C227" s="7">
        <v>24870</v>
      </c>
      <c r="D227" s="8" t="s">
        <v>473</v>
      </c>
    </row>
    <row r="228" spans="1:4" ht="14.25">
      <c r="A228" s="5">
        <v>2</v>
      </c>
      <c r="B228" s="6" t="s">
        <v>474</v>
      </c>
      <c r="C228" s="7">
        <v>24870</v>
      </c>
      <c r="D228" s="8" t="s">
        <v>475</v>
      </c>
    </row>
    <row r="229" spans="1:4" ht="14.25">
      <c r="A229" s="5" t="s">
        <v>2</v>
      </c>
      <c r="B229" s="6" t="s">
        <v>476</v>
      </c>
      <c r="C229" s="7">
        <v>24906</v>
      </c>
      <c r="D229" s="8" t="s">
        <v>477</v>
      </c>
    </row>
    <row r="230" spans="1:4" ht="14.25">
      <c r="A230" s="5">
        <v>9</v>
      </c>
      <c r="B230" s="6" t="s">
        <v>478</v>
      </c>
      <c r="C230" s="7">
        <v>24906</v>
      </c>
      <c r="D230" s="8" t="s">
        <v>479</v>
      </c>
    </row>
    <row r="231" spans="1:4" ht="14.25">
      <c r="A231" s="5" t="s">
        <v>454</v>
      </c>
      <c r="B231" s="6" t="s">
        <v>480</v>
      </c>
      <c r="C231" s="7">
        <v>24912</v>
      </c>
      <c r="D231" s="8" t="s">
        <v>481</v>
      </c>
    </row>
    <row r="232" spans="1:4" ht="14.25">
      <c r="A232" s="5">
        <v>15</v>
      </c>
      <c r="B232" s="6" t="s">
        <v>482</v>
      </c>
      <c r="C232" s="7">
        <v>24912</v>
      </c>
      <c r="D232" s="8" t="s">
        <v>483</v>
      </c>
    </row>
    <row r="233" spans="1:4" ht="14.25">
      <c r="A233" s="5" t="s">
        <v>484</v>
      </c>
      <c r="B233" s="6" t="s">
        <v>485</v>
      </c>
      <c r="C233" s="7">
        <v>24920</v>
      </c>
      <c r="D233" s="8" t="s">
        <v>486</v>
      </c>
    </row>
    <row r="234" spans="1:4" ht="14.25">
      <c r="A234" s="5">
        <v>23</v>
      </c>
      <c r="B234" s="6" t="s">
        <v>487</v>
      </c>
      <c r="C234" s="7">
        <v>24920</v>
      </c>
      <c r="D234" s="8" t="s">
        <v>488</v>
      </c>
    </row>
    <row r="235" spans="1:4" ht="14.25">
      <c r="A235" s="5" t="s">
        <v>42</v>
      </c>
      <c r="B235" s="6" t="s">
        <v>489</v>
      </c>
      <c r="C235" s="7">
        <v>24925</v>
      </c>
      <c r="D235" s="8" t="s">
        <v>490</v>
      </c>
    </row>
    <row r="236" spans="1:4" ht="14.25">
      <c r="A236" s="5">
        <v>28</v>
      </c>
      <c r="B236" s="6" t="s">
        <v>491</v>
      </c>
      <c r="C236" s="7">
        <v>24925</v>
      </c>
      <c r="D236" s="8" t="s">
        <v>492</v>
      </c>
    </row>
    <row r="237" spans="1:4" ht="14.25">
      <c r="A237" s="5" t="s">
        <v>167</v>
      </c>
      <c r="B237" s="6" t="s">
        <v>493</v>
      </c>
      <c r="C237" s="7">
        <v>24930</v>
      </c>
      <c r="D237" s="8" t="s">
        <v>494</v>
      </c>
    </row>
    <row r="238" spans="1:4" ht="14.25">
      <c r="A238" s="5">
        <v>2</v>
      </c>
      <c r="B238" s="6" t="s">
        <v>495</v>
      </c>
      <c r="C238" s="7">
        <v>24930</v>
      </c>
      <c r="D238" s="8" t="s">
        <v>496</v>
      </c>
    </row>
    <row r="239" spans="1:4" ht="14.25">
      <c r="A239" s="5" t="s">
        <v>167</v>
      </c>
      <c r="B239" s="6" t="s">
        <v>497</v>
      </c>
      <c r="C239" s="7">
        <v>25000</v>
      </c>
      <c r="D239" s="8" t="s">
        <v>498</v>
      </c>
    </row>
    <row r="240" spans="1:4" ht="14.25">
      <c r="A240" s="5">
        <v>11</v>
      </c>
      <c r="B240" s="6" t="s">
        <v>499</v>
      </c>
      <c r="C240" s="7">
        <v>25000</v>
      </c>
      <c r="D240" s="8" t="s">
        <v>500</v>
      </c>
    </row>
    <row r="241" spans="1:4" ht="14.25">
      <c r="A241" s="5" t="s">
        <v>454</v>
      </c>
      <c r="B241" s="6" t="s">
        <v>501</v>
      </c>
      <c r="C241" s="7">
        <v>25005</v>
      </c>
      <c r="D241" s="8" t="s">
        <v>502</v>
      </c>
    </row>
    <row r="242" spans="1:4" ht="14.25">
      <c r="A242" s="5">
        <v>16</v>
      </c>
      <c r="B242" s="6" t="s">
        <v>503</v>
      </c>
      <c r="C242" s="7">
        <v>25005</v>
      </c>
      <c r="D242" s="8" t="s">
        <v>504</v>
      </c>
    </row>
    <row r="243" spans="1:4" ht="14.25">
      <c r="A243" s="5" t="s">
        <v>454</v>
      </c>
      <c r="B243" s="6" t="s">
        <v>505</v>
      </c>
      <c r="C243" s="7">
        <v>25012</v>
      </c>
      <c r="D243" s="8" t="s">
        <v>506</v>
      </c>
    </row>
    <row r="244" spans="1:4" ht="14.25">
      <c r="A244" s="5">
        <v>23</v>
      </c>
      <c r="B244" s="6" t="s">
        <v>507</v>
      </c>
      <c r="C244" s="7">
        <v>25012</v>
      </c>
      <c r="D244" s="8" t="s">
        <v>508</v>
      </c>
    </row>
    <row r="245" spans="1:4" ht="14.25">
      <c r="A245" s="5" t="s">
        <v>454</v>
      </c>
      <c r="B245" s="6" t="s">
        <v>509</v>
      </c>
      <c r="C245" s="7">
        <v>25031</v>
      </c>
      <c r="D245" s="8" t="s">
        <v>510</v>
      </c>
    </row>
    <row r="246" spans="1:4" ht="14.25">
      <c r="A246" s="5">
        <v>12</v>
      </c>
      <c r="B246" s="6" t="s">
        <v>511</v>
      </c>
      <c r="C246" s="7">
        <v>25031</v>
      </c>
      <c r="D246" s="8" t="s">
        <v>512</v>
      </c>
    </row>
    <row r="247" spans="1:4" ht="14.25">
      <c r="A247" s="5" t="s">
        <v>96</v>
      </c>
      <c r="B247" s="6" t="s">
        <v>513</v>
      </c>
      <c r="C247" s="7">
        <v>25063</v>
      </c>
      <c r="D247" s="8" t="s">
        <v>514</v>
      </c>
    </row>
    <row r="248" spans="1:4" ht="14.25">
      <c r="A248" s="5">
        <v>13</v>
      </c>
      <c r="B248" s="6" t="s">
        <v>515</v>
      </c>
      <c r="C248" s="7">
        <v>25063</v>
      </c>
      <c r="D248" s="8" t="s">
        <v>516</v>
      </c>
    </row>
    <row r="249" spans="1:4" ht="14.25">
      <c r="A249" s="5" t="s">
        <v>197</v>
      </c>
      <c r="B249" s="6" t="s">
        <v>517</v>
      </c>
      <c r="C249" s="7">
        <v>25066</v>
      </c>
      <c r="D249" s="8" t="s">
        <v>518</v>
      </c>
    </row>
    <row r="250" spans="1:4" ht="14.25">
      <c r="A250" s="5">
        <v>16</v>
      </c>
      <c r="B250" s="6" t="s">
        <v>519</v>
      </c>
      <c r="C250" s="7">
        <v>25066</v>
      </c>
      <c r="D250" s="8" t="s">
        <v>520</v>
      </c>
    </row>
    <row r="251" spans="1:4" ht="14.25">
      <c r="A251" s="5" t="s">
        <v>454</v>
      </c>
      <c r="B251" s="6" t="s">
        <v>521</v>
      </c>
      <c r="C251" s="7">
        <v>25067</v>
      </c>
      <c r="D251" s="8" t="s">
        <v>522</v>
      </c>
    </row>
    <row r="252" spans="1:4" ht="14.25">
      <c r="A252" s="5">
        <v>17</v>
      </c>
      <c r="B252" s="6" t="s">
        <v>523</v>
      </c>
      <c r="C252" s="7">
        <v>25067</v>
      </c>
      <c r="D252" s="8" t="s">
        <v>524</v>
      </c>
    </row>
    <row r="253" spans="1:4" ht="14.25">
      <c r="A253" s="5" t="s">
        <v>454</v>
      </c>
      <c r="B253" s="6" t="s">
        <v>525</v>
      </c>
      <c r="C253" s="7">
        <v>25068</v>
      </c>
      <c r="D253" s="8" t="s">
        <v>526</v>
      </c>
    </row>
    <row r="254" spans="1:4" ht="14.25">
      <c r="A254" s="5">
        <v>18</v>
      </c>
      <c r="B254" s="6" t="s">
        <v>527</v>
      </c>
      <c r="C254" s="7">
        <v>25068</v>
      </c>
      <c r="D254" s="8" t="s">
        <v>528</v>
      </c>
    </row>
    <row r="255" spans="1:4" ht="14.25">
      <c r="A255" s="5" t="s">
        <v>454</v>
      </c>
      <c r="B255" s="6" t="s">
        <v>529</v>
      </c>
      <c r="C255" s="7">
        <v>25069</v>
      </c>
      <c r="D255" s="8" t="s">
        <v>530</v>
      </c>
    </row>
    <row r="256" spans="1:4" ht="14.25">
      <c r="A256" s="5">
        <v>19</v>
      </c>
      <c r="B256" s="6" t="s">
        <v>531</v>
      </c>
      <c r="C256" s="7">
        <v>25069</v>
      </c>
      <c r="D256" s="8" t="s">
        <v>532</v>
      </c>
    </row>
    <row r="257" spans="1:4" ht="14.25">
      <c r="A257" s="5" t="s">
        <v>454</v>
      </c>
      <c r="B257" s="6" t="s">
        <v>533</v>
      </c>
      <c r="C257" s="7">
        <v>25070</v>
      </c>
      <c r="D257" s="8" t="s">
        <v>534</v>
      </c>
    </row>
    <row r="258" spans="1:4" ht="14.25">
      <c r="A258" s="5">
        <v>20</v>
      </c>
      <c r="B258" s="6" t="s">
        <v>535</v>
      </c>
      <c r="C258" s="7">
        <v>25070</v>
      </c>
      <c r="D258" s="8" t="s">
        <v>536</v>
      </c>
    </row>
    <row r="259" spans="1:4" ht="14.25">
      <c r="A259" s="5" t="s">
        <v>197</v>
      </c>
      <c r="B259" s="6" t="s">
        <v>537</v>
      </c>
      <c r="C259" s="7">
        <v>25080</v>
      </c>
      <c r="D259" s="8" t="s">
        <v>538</v>
      </c>
    </row>
    <row r="260" spans="1:4" ht="14.25">
      <c r="A260" s="5">
        <v>30</v>
      </c>
      <c r="B260" s="6" t="s">
        <v>539</v>
      </c>
      <c r="C260" s="7">
        <v>25080</v>
      </c>
      <c r="D260" s="8" t="s">
        <v>540</v>
      </c>
    </row>
    <row r="261" spans="1:4" ht="14.25">
      <c r="A261" s="5" t="s">
        <v>184</v>
      </c>
      <c r="B261" s="6" t="s">
        <v>541</v>
      </c>
      <c r="C261" s="7">
        <v>25091</v>
      </c>
      <c r="D261" s="8" t="s">
        <v>542</v>
      </c>
    </row>
    <row r="262" spans="1:4" ht="14.25">
      <c r="A262" s="5">
        <v>10</v>
      </c>
      <c r="B262" s="6" t="s">
        <v>543</v>
      </c>
      <c r="C262" s="7">
        <v>25091</v>
      </c>
      <c r="D262" s="8" t="s">
        <v>544</v>
      </c>
    </row>
    <row r="263" spans="1:4" ht="14.25">
      <c r="A263" s="5" t="s">
        <v>184</v>
      </c>
      <c r="B263" s="6" t="s">
        <v>545</v>
      </c>
      <c r="C263" s="7">
        <v>25092</v>
      </c>
      <c r="D263" s="8" t="s">
        <v>546</v>
      </c>
    </row>
    <row r="264" spans="1:4" ht="14.25">
      <c r="A264" s="5">
        <v>11</v>
      </c>
      <c r="B264" s="6" t="s">
        <v>547</v>
      </c>
      <c r="C264" s="7">
        <v>25092</v>
      </c>
      <c r="D264" s="8" t="s">
        <v>548</v>
      </c>
    </row>
    <row r="265" spans="1:4" ht="14.25">
      <c r="A265" s="5" t="s">
        <v>167</v>
      </c>
      <c r="B265" s="6" t="s">
        <v>549</v>
      </c>
      <c r="C265" s="7">
        <v>25106</v>
      </c>
      <c r="D265" s="8" t="s">
        <v>550</v>
      </c>
    </row>
    <row r="266" spans="1:4" ht="14.25">
      <c r="A266" s="5">
        <v>25</v>
      </c>
      <c r="B266" s="6" t="s">
        <v>551</v>
      </c>
      <c r="C266" s="7">
        <v>25106</v>
      </c>
      <c r="D266" s="8" t="s">
        <v>552</v>
      </c>
    </row>
    <row r="267" spans="1:4" ht="14.25">
      <c r="A267" s="5" t="s">
        <v>167</v>
      </c>
      <c r="B267" s="6" t="s">
        <v>553</v>
      </c>
      <c r="C267" s="7">
        <v>25108</v>
      </c>
      <c r="D267" s="8" t="s">
        <v>554</v>
      </c>
    </row>
    <row r="268" spans="1:4" ht="14.25">
      <c r="A268" s="5">
        <v>27</v>
      </c>
      <c r="B268" s="6" t="s">
        <v>555</v>
      </c>
      <c r="C268" s="7">
        <v>25108</v>
      </c>
      <c r="D268" s="8" t="s">
        <v>556</v>
      </c>
    </row>
    <row r="269" spans="1:4" ht="14.25">
      <c r="A269" s="5" t="s">
        <v>167</v>
      </c>
      <c r="B269" s="6" t="s">
        <v>557</v>
      </c>
      <c r="C269" s="7">
        <v>25111</v>
      </c>
      <c r="D269" s="8" t="s">
        <v>558</v>
      </c>
    </row>
    <row r="270" spans="1:4" ht="14.25">
      <c r="A270" s="5">
        <v>30</v>
      </c>
      <c r="B270" s="6" t="s">
        <v>559</v>
      </c>
      <c r="C270" s="7">
        <v>25111</v>
      </c>
      <c r="D270" s="8" t="s">
        <v>560</v>
      </c>
    </row>
    <row r="271" spans="1:4" ht="14.25">
      <c r="A271" s="5" t="s">
        <v>167</v>
      </c>
      <c r="B271" s="6" t="s">
        <v>561</v>
      </c>
      <c r="C271" s="7">
        <v>25113</v>
      </c>
      <c r="D271" s="8" t="s">
        <v>562</v>
      </c>
    </row>
    <row r="272" spans="1:4" ht="14.25">
      <c r="A272" s="5">
        <v>2</v>
      </c>
      <c r="B272" s="6" t="s">
        <v>563</v>
      </c>
      <c r="C272" s="7">
        <v>25113</v>
      </c>
      <c r="D272" s="8" t="s">
        <v>564</v>
      </c>
    </row>
    <row r="273" spans="1:4" ht="14.25">
      <c r="A273" s="5" t="s">
        <v>167</v>
      </c>
      <c r="B273" s="6" t="s">
        <v>565</v>
      </c>
      <c r="C273" s="7">
        <v>25115</v>
      </c>
      <c r="D273" s="8" t="s">
        <v>566</v>
      </c>
    </row>
    <row r="274" spans="1:4" ht="14.25">
      <c r="A274" s="5">
        <v>4</v>
      </c>
      <c r="B274" s="6" t="s">
        <v>567</v>
      </c>
      <c r="C274" s="7">
        <v>25115</v>
      </c>
      <c r="D274" s="8" t="s">
        <v>568</v>
      </c>
    </row>
    <row r="275" spans="1:4" ht="14.25">
      <c r="A275" s="5" t="s">
        <v>167</v>
      </c>
      <c r="B275" s="6" t="s">
        <v>569</v>
      </c>
      <c r="C275" s="7">
        <v>25118</v>
      </c>
      <c r="D275" s="8" t="s">
        <v>570</v>
      </c>
    </row>
    <row r="276" spans="1:4" ht="14.25">
      <c r="A276" s="5">
        <v>7</v>
      </c>
      <c r="B276" s="6" t="s">
        <v>571</v>
      </c>
      <c r="C276" s="7">
        <v>25118</v>
      </c>
      <c r="D276" s="8" t="s">
        <v>572</v>
      </c>
    </row>
    <row r="277" spans="1:4" ht="14.25">
      <c r="A277" s="5" t="s">
        <v>167</v>
      </c>
      <c r="B277" s="6" t="s">
        <v>573</v>
      </c>
      <c r="C277" s="7">
        <v>25129</v>
      </c>
      <c r="D277" s="8" t="s">
        <v>574</v>
      </c>
    </row>
    <row r="278" spans="1:4" ht="14.25">
      <c r="A278" s="5">
        <v>18</v>
      </c>
      <c r="B278" s="6" t="s">
        <v>575</v>
      </c>
      <c r="C278" s="7">
        <v>25129</v>
      </c>
      <c r="D278" s="8" t="s">
        <v>576</v>
      </c>
    </row>
    <row r="279" spans="1:4" ht="14.25">
      <c r="A279" s="5" t="s">
        <v>167</v>
      </c>
      <c r="B279" s="6" t="s">
        <v>577</v>
      </c>
      <c r="C279" s="7">
        <v>25131</v>
      </c>
      <c r="D279" s="8" t="s">
        <v>578</v>
      </c>
    </row>
    <row r="280" spans="1:4" ht="14.25">
      <c r="A280" s="5" t="s">
        <v>167</v>
      </c>
      <c r="B280" s="6" t="s">
        <v>579</v>
      </c>
      <c r="C280" s="7">
        <v>25131</v>
      </c>
      <c r="D280" s="8" t="s">
        <v>580</v>
      </c>
    </row>
    <row r="281" spans="1:4" ht="14.25">
      <c r="A281" s="5" t="s">
        <v>167</v>
      </c>
      <c r="B281" s="6" t="s">
        <v>581</v>
      </c>
      <c r="C281" s="7">
        <v>25131</v>
      </c>
      <c r="D281" s="8" t="s">
        <v>582</v>
      </c>
    </row>
    <row r="282" spans="1:4" ht="14.25">
      <c r="A282" s="5">
        <v>20</v>
      </c>
      <c r="B282" s="6" t="s">
        <v>583</v>
      </c>
      <c r="C282" s="7">
        <v>25131</v>
      </c>
      <c r="D282" s="8" t="s">
        <v>584</v>
      </c>
    </row>
    <row r="283" spans="1:4" ht="14.25">
      <c r="A283" s="5">
        <v>20</v>
      </c>
      <c r="B283" s="6" t="s">
        <v>585</v>
      </c>
      <c r="C283" s="7">
        <v>25131</v>
      </c>
      <c r="D283" s="8" t="s">
        <v>586</v>
      </c>
    </row>
    <row r="284" spans="1:4" ht="14.25">
      <c r="A284" s="5">
        <v>20</v>
      </c>
      <c r="B284" s="6" t="s">
        <v>587</v>
      </c>
      <c r="C284" s="7">
        <v>25131</v>
      </c>
      <c r="D284" s="8" t="s">
        <v>588</v>
      </c>
    </row>
    <row r="285" spans="1:4" ht="14.25">
      <c r="A285" s="5" t="s">
        <v>197</v>
      </c>
      <c r="B285" s="6" t="s">
        <v>589</v>
      </c>
      <c r="C285" s="7">
        <v>25132</v>
      </c>
      <c r="D285" s="8" t="s">
        <v>590</v>
      </c>
    </row>
    <row r="286" spans="1:4" ht="14.25">
      <c r="A286" s="5" t="s">
        <v>454</v>
      </c>
      <c r="B286" s="6" t="s">
        <v>591</v>
      </c>
      <c r="C286" s="7">
        <v>25132</v>
      </c>
      <c r="D286" s="8" t="s">
        <v>592</v>
      </c>
    </row>
    <row r="287" spans="1:4" ht="14.25">
      <c r="A287" s="5">
        <v>21</v>
      </c>
      <c r="B287" s="6" t="s">
        <v>593</v>
      </c>
      <c r="C287" s="7">
        <v>25132</v>
      </c>
      <c r="D287" s="8" t="s">
        <v>594</v>
      </c>
    </row>
    <row r="288" spans="1:4" ht="14.25">
      <c r="A288" s="5">
        <v>21</v>
      </c>
      <c r="B288" s="6" t="s">
        <v>595</v>
      </c>
      <c r="C288" s="7">
        <v>25132</v>
      </c>
      <c r="D288" s="8" t="s">
        <v>596</v>
      </c>
    </row>
    <row r="289" spans="1:4" ht="14.25">
      <c r="A289" s="5" t="s">
        <v>597</v>
      </c>
      <c r="B289" s="6" t="s">
        <v>598</v>
      </c>
      <c r="C289" s="7">
        <v>25134</v>
      </c>
      <c r="D289" s="8" t="s">
        <v>599</v>
      </c>
    </row>
    <row r="290" spans="1:4" ht="14.25">
      <c r="A290" s="5">
        <v>23</v>
      </c>
      <c r="B290" s="6" t="s">
        <v>600</v>
      </c>
      <c r="C290" s="7">
        <v>25134</v>
      </c>
      <c r="D290" s="8" t="s">
        <v>601</v>
      </c>
    </row>
    <row r="291" spans="1:4" ht="14.25">
      <c r="A291" s="5" t="s">
        <v>167</v>
      </c>
      <c r="B291" s="6" t="s">
        <v>602</v>
      </c>
      <c r="C291" s="7">
        <v>25150</v>
      </c>
      <c r="D291" s="8" t="s">
        <v>603</v>
      </c>
    </row>
    <row r="292" spans="1:4" ht="14.25">
      <c r="A292" s="5">
        <v>8</v>
      </c>
      <c r="B292" s="6" t="s">
        <v>604</v>
      </c>
      <c r="C292" s="7">
        <v>25150</v>
      </c>
      <c r="D292" s="8" t="s">
        <v>605</v>
      </c>
    </row>
    <row r="293" spans="1:4" ht="14.25">
      <c r="A293" s="5" t="s">
        <v>167</v>
      </c>
      <c r="B293" s="6" t="s">
        <v>606</v>
      </c>
      <c r="C293" s="7">
        <v>25155</v>
      </c>
      <c r="D293" s="8" t="s">
        <v>607</v>
      </c>
    </row>
    <row r="294" spans="1:4" ht="14.25">
      <c r="A294" s="5">
        <v>13</v>
      </c>
      <c r="B294" s="6" t="s">
        <v>608</v>
      </c>
      <c r="C294" s="7">
        <v>25155</v>
      </c>
      <c r="D294" s="8" t="s">
        <v>609</v>
      </c>
    </row>
    <row r="295" spans="1:4" ht="14.25">
      <c r="A295" s="5" t="s">
        <v>167</v>
      </c>
      <c r="B295" s="6" t="s">
        <v>610</v>
      </c>
      <c r="C295" s="7">
        <v>25157</v>
      </c>
      <c r="D295" s="8" t="s">
        <v>611</v>
      </c>
    </row>
    <row r="296" spans="1:4" ht="14.25">
      <c r="A296" s="5">
        <v>15</v>
      </c>
      <c r="B296" s="6" t="s">
        <v>612</v>
      </c>
      <c r="C296" s="7">
        <v>25157</v>
      </c>
      <c r="D296" s="8" t="s">
        <v>613</v>
      </c>
    </row>
    <row r="297" spans="1:4" ht="14.25">
      <c r="A297" s="5" t="s">
        <v>197</v>
      </c>
      <c r="B297" s="6" t="s">
        <v>614</v>
      </c>
      <c r="C297" s="7">
        <v>25160</v>
      </c>
      <c r="D297" s="8" t="s">
        <v>615</v>
      </c>
    </row>
    <row r="298" spans="1:4" ht="14.25">
      <c r="A298" s="5" t="s">
        <v>167</v>
      </c>
      <c r="B298" s="6" t="s">
        <v>616</v>
      </c>
      <c r="C298" s="7">
        <v>25160</v>
      </c>
      <c r="D298" s="8" t="s">
        <v>617</v>
      </c>
    </row>
    <row r="299" spans="1:4" ht="14.25">
      <c r="A299" s="5">
        <v>18</v>
      </c>
      <c r="B299" s="6" t="s">
        <v>618</v>
      </c>
      <c r="C299" s="7">
        <v>25160</v>
      </c>
      <c r="D299" s="8" t="s">
        <v>619</v>
      </c>
    </row>
    <row r="300" spans="1:4" ht="14.25">
      <c r="A300" s="5">
        <v>18</v>
      </c>
      <c r="B300" s="6" t="s">
        <v>620</v>
      </c>
      <c r="C300" s="7">
        <v>25160</v>
      </c>
      <c r="D300" s="8" t="s">
        <v>621</v>
      </c>
    </row>
    <row r="301" spans="1:4" ht="14.25">
      <c r="A301" s="5" t="s">
        <v>18</v>
      </c>
      <c r="B301" s="6" t="s">
        <v>622</v>
      </c>
      <c r="C301" s="7">
        <v>25167</v>
      </c>
      <c r="D301" s="8" t="s">
        <v>623</v>
      </c>
    </row>
    <row r="302" spans="1:4" ht="14.25">
      <c r="A302" s="5">
        <v>25</v>
      </c>
      <c r="B302" s="6" t="s">
        <v>624</v>
      </c>
      <c r="C302" s="7">
        <v>25167</v>
      </c>
      <c r="D302" s="8" t="s">
        <v>625</v>
      </c>
    </row>
    <row r="303" spans="1:4" ht="14.25">
      <c r="A303" s="5" t="s">
        <v>18</v>
      </c>
      <c r="B303" s="6" t="s">
        <v>626</v>
      </c>
      <c r="C303" s="7">
        <v>25169</v>
      </c>
      <c r="D303" s="8" t="s">
        <v>627</v>
      </c>
    </row>
    <row r="304" spans="1:4" ht="14.25">
      <c r="A304" s="5">
        <v>27</v>
      </c>
      <c r="B304" s="6" t="s">
        <v>628</v>
      </c>
      <c r="C304" s="7">
        <v>25169</v>
      </c>
      <c r="D304" s="8" t="s">
        <v>629</v>
      </c>
    </row>
    <row r="305" spans="1:4" ht="14.25">
      <c r="A305" s="5" t="s">
        <v>18</v>
      </c>
      <c r="B305" s="6" t="s">
        <v>630</v>
      </c>
      <c r="C305" s="7">
        <v>25171</v>
      </c>
      <c r="D305" s="8" t="s">
        <v>631</v>
      </c>
    </row>
    <row r="306" spans="1:4" ht="14.25">
      <c r="A306" s="5">
        <v>29</v>
      </c>
      <c r="B306" s="6" t="s">
        <v>632</v>
      </c>
      <c r="C306" s="7">
        <v>25171</v>
      </c>
      <c r="D306" s="8" t="s">
        <v>633</v>
      </c>
    </row>
    <row r="307" spans="1:4" ht="14.25">
      <c r="A307" s="5" t="s">
        <v>167</v>
      </c>
      <c r="B307" s="6" t="s">
        <v>634</v>
      </c>
      <c r="C307" s="7">
        <v>25173</v>
      </c>
      <c r="D307" s="8" t="s">
        <v>635</v>
      </c>
    </row>
    <row r="308" spans="1:4" ht="14.25">
      <c r="A308" s="5">
        <v>1</v>
      </c>
      <c r="B308" s="6" t="s">
        <v>636</v>
      </c>
      <c r="C308" s="7">
        <v>25173</v>
      </c>
      <c r="D308" s="8" t="s">
        <v>637</v>
      </c>
    </row>
    <row r="309" spans="1:4" ht="14.25">
      <c r="A309" s="5" t="s">
        <v>184</v>
      </c>
      <c r="B309" s="6" t="s">
        <v>638</v>
      </c>
      <c r="C309" s="7">
        <v>25174</v>
      </c>
      <c r="D309" s="8" t="s">
        <v>639</v>
      </c>
    </row>
    <row r="310" spans="1:4" ht="14.25">
      <c r="A310" s="5" t="s">
        <v>597</v>
      </c>
      <c r="B310" s="6" t="s">
        <v>640</v>
      </c>
      <c r="C310" s="7">
        <v>25174</v>
      </c>
      <c r="D310" s="8" t="s">
        <v>641</v>
      </c>
    </row>
    <row r="311" spans="1:4" ht="14.25">
      <c r="A311" s="5">
        <v>2</v>
      </c>
      <c r="B311" s="6" t="s">
        <v>642</v>
      </c>
      <c r="C311" s="7">
        <v>25174</v>
      </c>
      <c r="D311" s="8" t="s">
        <v>643</v>
      </c>
    </row>
    <row r="312" spans="1:4" ht="14.25">
      <c r="A312" s="5">
        <v>2</v>
      </c>
      <c r="B312" s="6" t="s">
        <v>644</v>
      </c>
      <c r="C312" s="7">
        <v>25174</v>
      </c>
      <c r="D312" s="8" t="s">
        <v>645</v>
      </c>
    </row>
    <row r="313" spans="1:4" ht="14.25">
      <c r="A313" s="5" t="s">
        <v>18</v>
      </c>
      <c r="B313" s="6" t="s">
        <v>646</v>
      </c>
      <c r="C313" s="7">
        <v>25178</v>
      </c>
      <c r="D313" s="8" t="s">
        <v>647</v>
      </c>
    </row>
    <row r="314" spans="1:4" ht="14.25">
      <c r="A314" s="5">
        <v>6</v>
      </c>
      <c r="B314" s="6" t="s">
        <v>648</v>
      </c>
      <c r="C314" s="7">
        <v>25178</v>
      </c>
      <c r="D314" s="8" t="s">
        <v>649</v>
      </c>
    </row>
    <row r="315" spans="1:4" ht="14.25">
      <c r="A315" s="5" t="s">
        <v>197</v>
      </c>
      <c r="B315" s="6" t="s">
        <v>650</v>
      </c>
      <c r="C315" s="7">
        <v>25181</v>
      </c>
      <c r="D315" s="8" t="s">
        <v>651</v>
      </c>
    </row>
    <row r="316" spans="1:4" ht="14.25">
      <c r="A316" s="5">
        <v>9</v>
      </c>
      <c r="B316" s="6" t="s">
        <v>652</v>
      </c>
      <c r="C316" s="7">
        <v>25181</v>
      </c>
      <c r="D316" s="8" t="s">
        <v>653</v>
      </c>
    </row>
    <row r="317" spans="1:4" ht="14.25">
      <c r="A317" s="5" t="s">
        <v>18</v>
      </c>
      <c r="B317" s="6" t="s">
        <v>654</v>
      </c>
      <c r="C317" s="7">
        <v>25183</v>
      </c>
      <c r="D317" s="8" t="s">
        <v>655</v>
      </c>
    </row>
    <row r="318" spans="1:4" ht="14.25">
      <c r="A318" s="5">
        <v>11</v>
      </c>
      <c r="B318" s="6" t="s">
        <v>656</v>
      </c>
      <c r="C318" s="7">
        <v>25183</v>
      </c>
      <c r="D318" s="8" t="s">
        <v>657</v>
      </c>
    </row>
    <row r="319" spans="1:4" ht="14.25">
      <c r="A319" s="5" t="s">
        <v>18</v>
      </c>
      <c r="B319" s="6" t="s">
        <v>658</v>
      </c>
      <c r="C319" s="7">
        <v>25185</v>
      </c>
      <c r="D319" s="8" t="s">
        <v>659</v>
      </c>
    </row>
    <row r="320" spans="1:4" ht="14.25">
      <c r="A320" s="5" t="s">
        <v>18</v>
      </c>
      <c r="B320" s="6" t="s">
        <v>660</v>
      </c>
      <c r="C320" s="7">
        <v>25185</v>
      </c>
      <c r="D320" s="8" t="s">
        <v>661</v>
      </c>
    </row>
    <row r="321" spans="1:4" ht="14.25">
      <c r="A321" s="5">
        <v>13</v>
      </c>
      <c r="B321" s="6" t="s">
        <v>662</v>
      </c>
      <c r="C321" s="7">
        <v>25185</v>
      </c>
      <c r="D321" s="8" t="s">
        <v>663</v>
      </c>
    </row>
    <row r="322" spans="1:4" ht="14.25">
      <c r="A322" s="5" t="s">
        <v>18</v>
      </c>
      <c r="B322" s="6" t="s">
        <v>664</v>
      </c>
      <c r="C322" s="7">
        <v>25186</v>
      </c>
      <c r="D322" s="8" t="s">
        <v>665</v>
      </c>
    </row>
    <row r="323" spans="1:4" ht="14.25">
      <c r="A323" s="5">
        <v>14</v>
      </c>
      <c r="B323" s="6" t="s">
        <v>666</v>
      </c>
      <c r="C323" s="7">
        <v>25186</v>
      </c>
      <c r="D323" s="8" t="s">
        <v>667</v>
      </c>
    </row>
    <row r="324" spans="1:4" ht="14.25">
      <c r="A324" s="5" t="s">
        <v>18</v>
      </c>
      <c r="B324" s="6" t="s">
        <v>668</v>
      </c>
      <c r="C324" s="7">
        <v>25188</v>
      </c>
      <c r="D324" s="8" t="s">
        <v>669</v>
      </c>
    </row>
    <row r="325" spans="1:4" ht="14.25">
      <c r="A325" s="5">
        <v>16</v>
      </c>
      <c r="B325" s="6" t="s">
        <v>670</v>
      </c>
      <c r="C325" s="7">
        <v>25188</v>
      </c>
      <c r="D325" s="8" t="s">
        <v>671</v>
      </c>
    </row>
    <row r="326" spans="1:4" ht="14.25">
      <c r="A326" s="5" t="s">
        <v>18</v>
      </c>
      <c r="B326" s="6" t="s">
        <v>672</v>
      </c>
      <c r="C326" s="7">
        <v>25191</v>
      </c>
      <c r="D326" s="8" t="s">
        <v>673</v>
      </c>
    </row>
    <row r="327" spans="1:4" ht="14.25">
      <c r="A327" s="5" t="s">
        <v>167</v>
      </c>
      <c r="B327" s="6" t="s">
        <v>674</v>
      </c>
      <c r="C327" s="7">
        <v>25191</v>
      </c>
      <c r="D327" s="8" t="s">
        <v>675</v>
      </c>
    </row>
    <row r="328" spans="1:4" ht="14.25">
      <c r="A328" s="5">
        <v>19</v>
      </c>
      <c r="B328" s="6" t="s">
        <v>676</v>
      </c>
      <c r="C328" s="7">
        <v>25191</v>
      </c>
      <c r="D328" s="8" t="s">
        <v>677</v>
      </c>
    </row>
    <row r="329" spans="1:4" ht="14.25">
      <c r="A329" s="5">
        <v>19</v>
      </c>
      <c r="B329" s="6" t="s">
        <v>678</v>
      </c>
      <c r="C329" s="7">
        <v>25191</v>
      </c>
      <c r="D329" s="8" t="s">
        <v>679</v>
      </c>
    </row>
    <row r="330" spans="1:4" ht="14.25">
      <c r="A330" s="5" t="s">
        <v>75</v>
      </c>
      <c r="B330" s="6" t="s">
        <v>680</v>
      </c>
      <c r="C330" s="7">
        <v>25192</v>
      </c>
      <c r="D330" s="8" t="s">
        <v>681</v>
      </c>
    </row>
    <row r="331" spans="1:4" ht="14.25">
      <c r="A331" s="5">
        <v>20</v>
      </c>
      <c r="B331" s="6" t="s">
        <v>682</v>
      </c>
      <c r="C331" s="7">
        <v>25192</v>
      </c>
      <c r="D331" s="8" t="s">
        <v>683</v>
      </c>
    </row>
    <row r="332" spans="1:4" ht="14.25">
      <c r="A332" s="5" t="s">
        <v>2</v>
      </c>
      <c r="B332" s="6" t="s">
        <v>684</v>
      </c>
      <c r="C332" s="7">
        <v>25194</v>
      </c>
      <c r="D332" s="8" t="s">
        <v>685</v>
      </c>
    </row>
    <row r="333" spans="1:4" ht="14.25">
      <c r="A333" s="5">
        <v>22</v>
      </c>
      <c r="B333" s="6" t="s">
        <v>686</v>
      </c>
      <c r="C333" s="7">
        <v>25194</v>
      </c>
      <c r="D333" s="8" t="s">
        <v>687</v>
      </c>
    </row>
    <row r="334" spans="1:4" ht="14.25">
      <c r="A334" s="5" t="s">
        <v>75</v>
      </c>
      <c r="B334" s="6" t="s">
        <v>688</v>
      </c>
      <c r="C334" s="7">
        <v>25195</v>
      </c>
      <c r="D334" s="8" t="s">
        <v>689</v>
      </c>
    </row>
    <row r="335" spans="1:4" ht="14.25">
      <c r="A335" s="5" t="s">
        <v>167</v>
      </c>
      <c r="B335" s="6" t="s">
        <v>690</v>
      </c>
      <c r="C335" s="7">
        <v>25195</v>
      </c>
      <c r="D335" s="8" t="s">
        <v>691</v>
      </c>
    </row>
    <row r="336" spans="1:4" ht="14.25">
      <c r="A336" s="5">
        <v>23</v>
      </c>
      <c r="B336" s="6" t="s">
        <v>692</v>
      </c>
      <c r="C336" s="7">
        <v>25195</v>
      </c>
      <c r="D336" s="8" t="s">
        <v>693</v>
      </c>
    </row>
    <row r="337" spans="1:4" ht="14.25">
      <c r="A337" s="5">
        <v>23</v>
      </c>
      <c r="B337" s="6" t="s">
        <v>694</v>
      </c>
      <c r="C337" s="7">
        <v>25195</v>
      </c>
      <c r="D337" s="8" t="s">
        <v>695</v>
      </c>
    </row>
    <row r="338" spans="1:4" ht="14.25">
      <c r="A338" s="5" t="s">
        <v>2</v>
      </c>
      <c r="B338" s="6" t="s">
        <v>696</v>
      </c>
      <c r="C338" s="7">
        <v>25198</v>
      </c>
      <c r="D338" s="8" t="s">
        <v>697</v>
      </c>
    </row>
    <row r="339" spans="1:4" ht="14.25">
      <c r="A339" s="5">
        <v>26</v>
      </c>
      <c r="B339" s="6" t="s">
        <v>698</v>
      </c>
      <c r="C339" s="7">
        <v>25198</v>
      </c>
      <c r="D339" s="8" t="s">
        <v>699</v>
      </c>
    </row>
    <row r="340" spans="1:4" ht="14.25">
      <c r="A340" s="5" t="s">
        <v>75</v>
      </c>
      <c r="B340" s="6" t="s">
        <v>700</v>
      </c>
      <c r="C340" s="7">
        <v>25199</v>
      </c>
      <c r="D340" s="8" t="s">
        <v>701</v>
      </c>
    </row>
    <row r="341" spans="1:4" ht="14.25">
      <c r="A341" s="5">
        <v>27</v>
      </c>
      <c r="B341" s="6" t="s">
        <v>702</v>
      </c>
      <c r="C341" s="7">
        <v>25199</v>
      </c>
      <c r="D341" s="8" t="s">
        <v>703</v>
      </c>
    </row>
    <row r="342" spans="1:4" ht="14.25">
      <c r="A342" s="5" t="s">
        <v>75</v>
      </c>
      <c r="B342" s="6" t="s">
        <v>704</v>
      </c>
      <c r="C342" s="7">
        <v>25202</v>
      </c>
      <c r="D342" s="8" t="s">
        <v>705</v>
      </c>
    </row>
    <row r="343" spans="1:4" ht="14.25">
      <c r="A343" s="5" t="s">
        <v>2</v>
      </c>
      <c r="B343" s="6" t="s">
        <v>706</v>
      </c>
      <c r="C343" s="7">
        <v>25202</v>
      </c>
      <c r="D343" s="8" t="s">
        <v>707</v>
      </c>
    </row>
    <row r="344" spans="1:4" ht="14.25">
      <c r="A344" s="5">
        <v>30</v>
      </c>
      <c r="B344" s="6" t="s">
        <v>708</v>
      </c>
      <c r="C344" s="7">
        <v>25202</v>
      </c>
      <c r="D344" s="8" t="s">
        <v>709</v>
      </c>
    </row>
    <row r="345" spans="1:4" ht="14.25">
      <c r="A345" s="5">
        <v>30</v>
      </c>
      <c r="B345" s="6" t="s">
        <v>710</v>
      </c>
      <c r="C345" s="7">
        <v>25202</v>
      </c>
      <c r="D345" s="8" t="s">
        <v>711</v>
      </c>
    </row>
    <row r="346" spans="1:4" ht="14.25">
      <c r="A346" s="5" t="s">
        <v>75</v>
      </c>
      <c r="B346" s="6" t="s">
        <v>712</v>
      </c>
      <c r="C346" s="7">
        <v>25204</v>
      </c>
      <c r="D346" s="8" t="s">
        <v>713</v>
      </c>
    </row>
    <row r="347" spans="1:4" ht="14.25">
      <c r="A347" s="5">
        <v>1</v>
      </c>
      <c r="B347" s="6" t="s">
        <v>714</v>
      </c>
      <c r="C347" s="7">
        <v>25204</v>
      </c>
      <c r="D347" s="8" t="s">
        <v>715</v>
      </c>
    </row>
    <row r="348" spans="1:4" ht="14.25">
      <c r="A348" s="5" t="s">
        <v>96</v>
      </c>
      <c r="B348" s="6" t="s">
        <v>716</v>
      </c>
      <c r="C348" s="7">
        <v>25206</v>
      </c>
      <c r="D348" s="8" t="s">
        <v>717</v>
      </c>
    </row>
    <row r="349" spans="1:4" ht="14.25">
      <c r="A349" s="5">
        <v>3</v>
      </c>
      <c r="B349" s="6" t="s">
        <v>718</v>
      </c>
      <c r="C349" s="7">
        <v>25206</v>
      </c>
      <c r="D349" s="8" t="s">
        <v>719</v>
      </c>
    </row>
    <row r="350" spans="1:4" ht="14.25">
      <c r="A350" s="5" t="s">
        <v>167</v>
      </c>
      <c r="B350" s="6" t="s">
        <v>720</v>
      </c>
      <c r="C350" s="7">
        <v>25208</v>
      </c>
      <c r="D350" s="8" t="s">
        <v>721</v>
      </c>
    </row>
    <row r="351" spans="1:4" ht="14.25">
      <c r="A351" s="5">
        <v>5</v>
      </c>
      <c r="B351" s="6" t="s">
        <v>722</v>
      </c>
      <c r="C351" s="7">
        <v>25208</v>
      </c>
      <c r="D351" s="8" t="s">
        <v>723</v>
      </c>
    </row>
    <row r="352" spans="1:4" ht="14.25">
      <c r="A352" s="5" t="s">
        <v>96</v>
      </c>
      <c r="B352" s="6" t="s">
        <v>724</v>
      </c>
      <c r="C352" s="7">
        <v>25209</v>
      </c>
      <c r="D352" s="8" t="s">
        <v>725</v>
      </c>
    </row>
    <row r="353" spans="1:4" ht="14.25">
      <c r="A353" s="5">
        <v>6</v>
      </c>
      <c r="B353" s="6" t="s">
        <v>726</v>
      </c>
      <c r="C353" s="7">
        <v>25209</v>
      </c>
      <c r="D353" s="8" t="s">
        <v>727</v>
      </c>
    </row>
    <row r="354" spans="1:4" ht="14.25">
      <c r="A354" s="5" t="s">
        <v>167</v>
      </c>
      <c r="B354" s="6" t="s">
        <v>728</v>
      </c>
      <c r="C354" s="7">
        <v>25210</v>
      </c>
      <c r="D354" s="8" t="s">
        <v>729</v>
      </c>
    </row>
    <row r="355" spans="1:4" ht="14.25">
      <c r="A355" s="5">
        <v>7</v>
      </c>
      <c r="B355" s="6" t="s">
        <v>730</v>
      </c>
      <c r="C355" s="7">
        <v>25210</v>
      </c>
      <c r="D355" s="8" t="s">
        <v>731</v>
      </c>
    </row>
    <row r="356" spans="1:4" ht="14.25">
      <c r="A356" s="5" t="s">
        <v>96</v>
      </c>
      <c r="B356" s="6" t="s">
        <v>732</v>
      </c>
      <c r="C356" s="7">
        <v>25211</v>
      </c>
      <c r="D356" s="8" t="s">
        <v>733</v>
      </c>
    </row>
    <row r="357" spans="1:4" ht="14.25">
      <c r="A357" s="5">
        <v>8</v>
      </c>
      <c r="B357" s="6" t="s">
        <v>734</v>
      </c>
      <c r="C357" s="7">
        <v>25211</v>
      </c>
      <c r="D357" s="8" t="s">
        <v>735</v>
      </c>
    </row>
    <row r="358" spans="1:4" ht="14.25">
      <c r="A358" s="5" t="s">
        <v>96</v>
      </c>
      <c r="B358" s="6" t="s">
        <v>736</v>
      </c>
      <c r="C358" s="7">
        <v>25213</v>
      </c>
      <c r="D358" s="8" t="s">
        <v>737</v>
      </c>
    </row>
    <row r="359" spans="1:4" ht="14.25">
      <c r="A359" s="5">
        <v>10</v>
      </c>
      <c r="B359" s="6" t="s">
        <v>738</v>
      </c>
      <c r="C359" s="7">
        <v>25213</v>
      </c>
      <c r="D359" s="8" t="s">
        <v>739</v>
      </c>
    </row>
    <row r="360" spans="1:4" ht="14.25">
      <c r="A360" s="5" t="s">
        <v>197</v>
      </c>
      <c r="B360" s="6" t="s">
        <v>740</v>
      </c>
      <c r="C360" s="7">
        <v>25234</v>
      </c>
      <c r="D360" s="8" t="s">
        <v>741</v>
      </c>
    </row>
    <row r="361" spans="1:4" ht="14.25">
      <c r="A361" s="5">
        <v>31</v>
      </c>
      <c r="B361" s="6" t="s">
        <v>742</v>
      </c>
      <c r="C361" s="7">
        <v>25234</v>
      </c>
      <c r="D361" s="8" t="s">
        <v>743</v>
      </c>
    </row>
    <row r="362" spans="1:4" ht="14.25">
      <c r="A362" s="5" t="s">
        <v>197</v>
      </c>
      <c r="B362" s="6" t="s">
        <v>744</v>
      </c>
      <c r="C362" s="7">
        <v>25241</v>
      </c>
      <c r="D362" s="8" t="s">
        <v>745</v>
      </c>
    </row>
    <row r="363" spans="1:4" ht="14.25">
      <c r="A363" s="5">
        <v>7</v>
      </c>
      <c r="B363" s="6" t="s">
        <v>746</v>
      </c>
      <c r="C363" s="7">
        <v>25241</v>
      </c>
      <c r="D363" s="8" t="s">
        <v>747</v>
      </c>
    </row>
    <row r="364" spans="1:4" ht="14.25">
      <c r="A364" s="5" t="s">
        <v>167</v>
      </c>
      <c r="B364" s="6" t="s">
        <v>748</v>
      </c>
      <c r="C364" s="7">
        <v>25243</v>
      </c>
      <c r="D364" s="8" t="s">
        <v>749</v>
      </c>
    </row>
    <row r="365" spans="1:4" ht="14.25">
      <c r="A365" s="5">
        <v>9</v>
      </c>
      <c r="B365" s="6" t="s">
        <v>750</v>
      </c>
      <c r="C365" s="7">
        <v>25243</v>
      </c>
      <c r="D365" s="8" t="s">
        <v>751</v>
      </c>
    </row>
    <row r="366" spans="1:4" ht="14.25">
      <c r="A366" s="5" t="s">
        <v>167</v>
      </c>
      <c r="B366" s="6" t="s">
        <v>752</v>
      </c>
      <c r="C366" s="7">
        <v>25244</v>
      </c>
      <c r="D366" s="8" t="s">
        <v>753</v>
      </c>
    </row>
    <row r="367" spans="1:4" ht="14.25">
      <c r="A367" s="5">
        <v>10</v>
      </c>
      <c r="B367" s="6" t="s">
        <v>754</v>
      </c>
      <c r="C367" s="7">
        <v>25244</v>
      </c>
      <c r="D367" s="8" t="s">
        <v>755</v>
      </c>
    </row>
    <row r="368" spans="1:4" ht="14.25">
      <c r="A368" s="5" t="s">
        <v>150</v>
      </c>
      <c r="B368" s="6" t="s">
        <v>756</v>
      </c>
      <c r="C368" s="7">
        <v>25247</v>
      </c>
      <c r="D368" s="8" t="s">
        <v>757</v>
      </c>
    </row>
    <row r="369" spans="1:4" ht="14.25">
      <c r="A369" s="5">
        <v>13</v>
      </c>
      <c r="B369" s="6" t="s">
        <v>758</v>
      </c>
      <c r="C369" s="7">
        <v>25247</v>
      </c>
      <c r="D369" s="8" t="s">
        <v>759</v>
      </c>
    </row>
    <row r="370" spans="1:4" ht="14.25">
      <c r="A370" s="5" t="s">
        <v>150</v>
      </c>
      <c r="B370" s="6" t="s">
        <v>760</v>
      </c>
      <c r="C370" s="7">
        <v>25248</v>
      </c>
      <c r="D370" s="8" t="s">
        <v>761</v>
      </c>
    </row>
    <row r="371" spans="1:4" ht="14.25">
      <c r="A371" s="5">
        <v>14</v>
      </c>
      <c r="B371" s="6" t="s">
        <v>762</v>
      </c>
      <c r="C371" s="7">
        <v>25248</v>
      </c>
      <c r="D371" s="8" t="s">
        <v>763</v>
      </c>
    </row>
    <row r="372" spans="1:4" ht="14.25">
      <c r="A372" s="5" t="s">
        <v>150</v>
      </c>
      <c r="B372" s="6" t="s">
        <v>764</v>
      </c>
      <c r="C372" s="7">
        <v>25249</v>
      </c>
      <c r="D372" s="8" t="s">
        <v>765</v>
      </c>
    </row>
    <row r="373" spans="1:4" ht="14.25">
      <c r="A373" s="5">
        <v>15</v>
      </c>
      <c r="B373" s="6" t="s">
        <v>766</v>
      </c>
      <c r="C373" s="7">
        <v>25249</v>
      </c>
      <c r="D373" s="8" t="s">
        <v>767</v>
      </c>
    </row>
    <row r="374" spans="1:4" ht="14.25">
      <c r="A374" s="5" t="s">
        <v>150</v>
      </c>
      <c r="B374" s="6" t="s">
        <v>768</v>
      </c>
      <c r="C374" s="7">
        <v>25250</v>
      </c>
      <c r="D374" s="8" t="s">
        <v>769</v>
      </c>
    </row>
    <row r="375" spans="1:4" ht="14.25">
      <c r="A375" s="5">
        <v>16</v>
      </c>
      <c r="B375" s="6" t="s">
        <v>770</v>
      </c>
      <c r="C375" s="7">
        <v>25250</v>
      </c>
      <c r="D375" s="8" t="s">
        <v>771</v>
      </c>
    </row>
    <row r="376" spans="1:4" ht="14.25">
      <c r="A376" s="5" t="s">
        <v>150</v>
      </c>
      <c r="B376" s="6" t="s">
        <v>772</v>
      </c>
      <c r="C376" s="7">
        <v>25251</v>
      </c>
      <c r="D376" s="8" t="s">
        <v>773</v>
      </c>
    </row>
    <row r="377" spans="1:4" ht="14.25">
      <c r="A377" s="5">
        <v>17</v>
      </c>
      <c r="B377" s="6" t="s">
        <v>774</v>
      </c>
      <c r="C377" s="7">
        <v>25251</v>
      </c>
      <c r="D377" s="8" t="s">
        <v>775</v>
      </c>
    </row>
    <row r="378" spans="1:4" ht="14.25">
      <c r="A378" s="5" t="s">
        <v>150</v>
      </c>
      <c r="B378" s="6" t="s">
        <v>776</v>
      </c>
      <c r="C378" s="7">
        <v>25252</v>
      </c>
      <c r="D378" s="8" t="s">
        <v>777</v>
      </c>
    </row>
    <row r="379" spans="1:4" ht="14.25">
      <c r="A379" s="5">
        <v>18</v>
      </c>
      <c r="B379" s="6" t="s">
        <v>778</v>
      </c>
      <c r="C379" s="7">
        <v>25252</v>
      </c>
      <c r="D379" s="8" t="s">
        <v>779</v>
      </c>
    </row>
    <row r="380" spans="1:4" ht="14.25">
      <c r="A380" s="5" t="s">
        <v>150</v>
      </c>
      <c r="B380" s="6" t="s">
        <v>780</v>
      </c>
      <c r="C380" s="7">
        <v>25253</v>
      </c>
      <c r="D380" s="8" t="s">
        <v>781</v>
      </c>
    </row>
    <row r="381" spans="1:4" ht="14.25">
      <c r="A381" s="5">
        <v>19</v>
      </c>
      <c r="B381" s="6" t="s">
        <v>782</v>
      </c>
      <c r="C381" s="7">
        <v>25253</v>
      </c>
      <c r="D381" s="8" t="s">
        <v>783</v>
      </c>
    </row>
    <row r="382" spans="1:4" ht="14.25">
      <c r="A382" s="5" t="s">
        <v>197</v>
      </c>
      <c r="B382" s="6" t="s">
        <v>784</v>
      </c>
      <c r="C382" s="7">
        <v>25267</v>
      </c>
      <c r="D382" s="8" t="s">
        <v>785</v>
      </c>
    </row>
    <row r="383" spans="1:4" ht="14.25">
      <c r="A383" s="5" t="s">
        <v>197</v>
      </c>
      <c r="B383" s="6" t="s">
        <v>786</v>
      </c>
      <c r="C383" s="7">
        <v>25267</v>
      </c>
      <c r="D383" s="8" t="s">
        <v>787</v>
      </c>
    </row>
    <row r="384" spans="1:4" ht="14.25">
      <c r="A384" s="5">
        <v>5</v>
      </c>
      <c r="B384" s="6" t="s">
        <v>788</v>
      </c>
      <c r="C384" s="7">
        <v>25267</v>
      </c>
      <c r="D384" s="8" t="s">
        <v>789</v>
      </c>
    </row>
    <row r="385" spans="1:4" ht="14.25">
      <c r="A385" s="5">
        <v>5</v>
      </c>
      <c r="B385" s="6" t="s">
        <v>790</v>
      </c>
      <c r="C385" s="7">
        <v>25267</v>
      </c>
      <c r="D385" s="8" t="s">
        <v>791</v>
      </c>
    </row>
    <row r="386" spans="1:4" ht="14.25">
      <c r="A386" s="5" t="s">
        <v>167</v>
      </c>
      <c r="B386" s="6" t="s">
        <v>792</v>
      </c>
      <c r="C386" s="7">
        <v>25285</v>
      </c>
      <c r="D386" s="8" t="s">
        <v>793</v>
      </c>
    </row>
    <row r="387" spans="1:4" ht="14.25">
      <c r="A387" s="5">
        <v>23</v>
      </c>
      <c r="B387" s="6" t="s">
        <v>794</v>
      </c>
      <c r="C387" s="7">
        <v>25285</v>
      </c>
      <c r="D387" s="8" t="s">
        <v>795</v>
      </c>
    </row>
    <row r="388" spans="1:4" ht="14.25">
      <c r="A388" s="5" t="s">
        <v>454</v>
      </c>
      <c r="B388" s="6" t="s">
        <v>796</v>
      </c>
      <c r="C388" s="7">
        <v>25286</v>
      </c>
      <c r="D388" s="8" t="s">
        <v>797</v>
      </c>
    </row>
    <row r="389" spans="1:4" ht="14.25">
      <c r="A389" s="5">
        <v>24</v>
      </c>
      <c r="B389" s="6" t="s">
        <v>798</v>
      </c>
      <c r="C389" s="7">
        <v>25286</v>
      </c>
      <c r="D389" s="8" t="s">
        <v>799</v>
      </c>
    </row>
    <row r="390" spans="1:4" ht="14.25">
      <c r="A390" s="5" t="s">
        <v>197</v>
      </c>
      <c r="B390" s="6" t="s">
        <v>800</v>
      </c>
      <c r="C390" s="7">
        <v>25289</v>
      </c>
      <c r="D390" s="8" t="s">
        <v>801</v>
      </c>
    </row>
    <row r="391" spans="1:4" ht="14.25">
      <c r="A391" s="5">
        <v>27</v>
      </c>
      <c r="B391" s="6" t="s">
        <v>802</v>
      </c>
      <c r="C391" s="7">
        <v>25289</v>
      </c>
      <c r="D391" s="8" t="s">
        <v>803</v>
      </c>
    </row>
    <row r="392" spans="1:4" ht="14.25">
      <c r="A392" s="5" t="s">
        <v>454</v>
      </c>
      <c r="B392" s="6" t="s">
        <v>804</v>
      </c>
      <c r="C392" s="7">
        <v>25302</v>
      </c>
      <c r="D392" s="8" t="s">
        <v>805</v>
      </c>
    </row>
    <row r="393" spans="1:4" ht="14.25">
      <c r="A393" s="5" t="s">
        <v>167</v>
      </c>
      <c r="B393" s="6" t="s">
        <v>806</v>
      </c>
      <c r="C393" s="7">
        <v>25302</v>
      </c>
      <c r="D393" s="8" t="s">
        <v>807</v>
      </c>
    </row>
    <row r="394" spans="1:4" ht="14.25">
      <c r="A394" s="5">
        <v>9</v>
      </c>
      <c r="B394" s="6" t="s">
        <v>808</v>
      </c>
      <c r="C394" s="7">
        <v>25302</v>
      </c>
      <c r="D394" s="8" t="s">
        <v>809</v>
      </c>
    </row>
    <row r="395" spans="1:4" ht="14.25">
      <c r="A395" s="5">
        <v>9</v>
      </c>
      <c r="B395" s="6" t="s">
        <v>810</v>
      </c>
      <c r="C395" s="7">
        <v>25302</v>
      </c>
      <c r="D395" s="8" t="s">
        <v>811</v>
      </c>
    </row>
    <row r="396" spans="1:4" ht="14.25">
      <c r="A396" s="5" t="s">
        <v>597</v>
      </c>
      <c r="B396" s="6" t="s">
        <v>812</v>
      </c>
      <c r="C396" s="7">
        <v>25303</v>
      </c>
      <c r="D396" s="8" t="s">
        <v>813</v>
      </c>
    </row>
    <row r="397" spans="1:4" ht="14.25">
      <c r="A397" s="5">
        <v>10</v>
      </c>
      <c r="B397" s="6" t="s">
        <v>814</v>
      </c>
      <c r="C397" s="7">
        <v>25303</v>
      </c>
      <c r="D397" s="8" t="s">
        <v>815</v>
      </c>
    </row>
    <row r="398" spans="1:4" ht="14.25">
      <c r="A398" s="5" t="s">
        <v>167</v>
      </c>
      <c r="B398" s="6" t="s">
        <v>816</v>
      </c>
      <c r="C398" s="7">
        <v>25304</v>
      </c>
      <c r="D398" s="8" t="s">
        <v>817</v>
      </c>
    </row>
    <row r="399" spans="1:4" ht="14.25">
      <c r="A399" s="5">
        <v>11</v>
      </c>
      <c r="B399" s="6" t="s">
        <v>818</v>
      </c>
      <c r="C399" s="7">
        <v>25304</v>
      </c>
      <c r="D399" s="8" t="s">
        <v>819</v>
      </c>
    </row>
    <row r="400" spans="1:4" ht="14.25">
      <c r="A400" s="5" t="s">
        <v>820</v>
      </c>
      <c r="B400" s="6" t="s">
        <v>821</v>
      </c>
      <c r="C400" s="7">
        <v>25306</v>
      </c>
      <c r="D400" s="8" t="s">
        <v>822</v>
      </c>
    </row>
    <row r="401" spans="1:4" ht="14.25">
      <c r="A401" s="5">
        <v>13</v>
      </c>
      <c r="B401" s="6" t="s">
        <v>823</v>
      </c>
      <c r="C401" s="7">
        <v>25306</v>
      </c>
      <c r="D401" s="8" t="s">
        <v>824</v>
      </c>
    </row>
    <row r="402" spans="1:4" ht="14.25">
      <c r="A402" s="5" t="s">
        <v>167</v>
      </c>
      <c r="B402" s="6" t="s">
        <v>825</v>
      </c>
      <c r="C402" s="7">
        <v>25310</v>
      </c>
      <c r="D402" s="8" t="s">
        <v>826</v>
      </c>
    </row>
    <row r="403" spans="1:4" ht="14.25">
      <c r="A403" s="5">
        <v>17</v>
      </c>
      <c r="B403" s="6" t="s">
        <v>827</v>
      </c>
      <c r="C403" s="7">
        <v>25310</v>
      </c>
      <c r="D403" s="8" t="s">
        <v>828</v>
      </c>
    </row>
    <row r="404" spans="1:4" ht="14.25">
      <c r="A404" s="5" t="s">
        <v>463</v>
      </c>
      <c r="B404" s="6" t="s">
        <v>829</v>
      </c>
      <c r="C404" s="7">
        <v>25322</v>
      </c>
      <c r="D404" s="8" t="s">
        <v>830</v>
      </c>
    </row>
    <row r="405" spans="1:4" ht="14.25">
      <c r="A405" s="5">
        <v>29</v>
      </c>
      <c r="B405" s="6" t="s">
        <v>831</v>
      </c>
      <c r="C405" s="7">
        <v>25322</v>
      </c>
      <c r="D405" s="8" t="s">
        <v>832</v>
      </c>
    </row>
    <row r="406" spans="1:4" ht="14.25">
      <c r="A406" s="5" t="s">
        <v>197</v>
      </c>
      <c r="B406" s="6" t="s">
        <v>833</v>
      </c>
      <c r="C406" s="7">
        <v>25324</v>
      </c>
      <c r="D406" s="8" t="s">
        <v>834</v>
      </c>
    </row>
    <row r="407" spans="1:4" ht="14.25">
      <c r="A407" s="5" t="s">
        <v>167</v>
      </c>
      <c r="B407" s="6" t="s">
        <v>835</v>
      </c>
      <c r="C407" s="7">
        <v>25324</v>
      </c>
      <c r="D407" s="8" t="s">
        <v>836</v>
      </c>
    </row>
    <row r="408" spans="1:4" ht="14.25">
      <c r="A408" s="5">
        <v>1</v>
      </c>
      <c r="B408" s="6" t="s">
        <v>837</v>
      </c>
      <c r="C408" s="7">
        <v>25324</v>
      </c>
      <c r="D408" s="8" t="s">
        <v>838</v>
      </c>
    </row>
    <row r="409" spans="1:4" ht="14.25">
      <c r="A409" s="5">
        <v>1</v>
      </c>
      <c r="B409" s="6" t="s">
        <v>839</v>
      </c>
      <c r="C409" s="7">
        <v>25324</v>
      </c>
      <c r="D409" s="8" t="s">
        <v>840</v>
      </c>
    </row>
    <row r="410" spans="1:4" ht="14.25">
      <c r="A410" s="5" t="s">
        <v>167</v>
      </c>
      <c r="B410" s="6" t="s">
        <v>841</v>
      </c>
      <c r="C410" s="7">
        <v>25326</v>
      </c>
      <c r="D410" s="8" t="s">
        <v>842</v>
      </c>
    </row>
    <row r="411" spans="1:4" ht="14.25">
      <c r="A411" s="5">
        <v>3</v>
      </c>
      <c r="B411" s="6" t="s">
        <v>843</v>
      </c>
      <c r="C411" s="7">
        <v>25326</v>
      </c>
      <c r="D411" s="8" t="s">
        <v>844</v>
      </c>
    </row>
    <row r="412" spans="1:4" ht="14.25">
      <c r="A412" s="5" t="s">
        <v>96</v>
      </c>
      <c r="B412" s="6" t="s">
        <v>845</v>
      </c>
      <c r="C412" s="7">
        <v>25332</v>
      </c>
      <c r="D412" s="8" t="s">
        <v>846</v>
      </c>
    </row>
    <row r="413" spans="1:4" ht="14.25">
      <c r="A413" s="5" t="s">
        <v>96</v>
      </c>
      <c r="B413" s="6" t="s">
        <v>847</v>
      </c>
      <c r="C413" s="7">
        <v>25332</v>
      </c>
      <c r="D413" s="8" t="s">
        <v>848</v>
      </c>
    </row>
    <row r="414" spans="1:4" ht="14.25">
      <c r="A414" s="5" t="s">
        <v>197</v>
      </c>
      <c r="B414" s="6" t="s">
        <v>849</v>
      </c>
      <c r="C414" s="7">
        <v>25332</v>
      </c>
      <c r="D414" s="8" t="s">
        <v>850</v>
      </c>
    </row>
    <row r="415" spans="1:4" ht="14.25">
      <c r="A415" s="5">
        <v>9</v>
      </c>
      <c r="B415" s="6" t="s">
        <v>851</v>
      </c>
      <c r="C415" s="7">
        <v>25332</v>
      </c>
      <c r="D415" s="8" t="s">
        <v>852</v>
      </c>
    </row>
    <row r="416" spans="1:4" ht="14.25">
      <c r="A416" s="5">
        <v>9</v>
      </c>
      <c r="B416" s="6" t="s">
        <v>853</v>
      </c>
      <c r="C416" s="7">
        <v>25332</v>
      </c>
      <c r="D416" s="8" t="s">
        <v>854</v>
      </c>
    </row>
    <row r="417" spans="1:4" ht="14.25">
      <c r="A417" s="5" t="s">
        <v>463</v>
      </c>
      <c r="B417" s="6" t="s">
        <v>855</v>
      </c>
      <c r="C417" s="7">
        <v>25333</v>
      </c>
      <c r="D417" s="8" t="s">
        <v>856</v>
      </c>
    </row>
    <row r="418" spans="1:4" ht="14.25">
      <c r="A418" s="5" t="s">
        <v>463</v>
      </c>
      <c r="B418" s="6" t="s">
        <v>857</v>
      </c>
      <c r="C418" s="7">
        <v>25333</v>
      </c>
      <c r="D418" s="8" t="s">
        <v>858</v>
      </c>
    </row>
    <row r="419" spans="1:4" ht="14.25">
      <c r="A419" s="5">
        <v>10</v>
      </c>
      <c r="B419" s="6" t="s">
        <v>859</v>
      </c>
      <c r="C419" s="7">
        <v>25333</v>
      </c>
      <c r="D419" s="8" t="s">
        <v>860</v>
      </c>
    </row>
    <row r="420" spans="1:4" ht="14.25">
      <c r="A420" s="5">
        <v>10</v>
      </c>
      <c r="B420" s="6" t="s">
        <v>861</v>
      </c>
      <c r="C420" s="7">
        <v>25333</v>
      </c>
      <c r="D420" s="8" t="s">
        <v>862</v>
      </c>
    </row>
    <row r="421" spans="1:4" ht="14.25">
      <c r="A421" s="5" t="s">
        <v>863</v>
      </c>
      <c r="B421" s="6" t="s">
        <v>864</v>
      </c>
      <c r="C421" s="7">
        <v>25334</v>
      </c>
      <c r="D421" s="8" t="s">
        <v>865</v>
      </c>
    </row>
    <row r="422" spans="1:4" ht="14.25">
      <c r="A422" s="5" t="s">
        <v>463</v>
      </c>
      <c r="B422" s="6" t="s">
        <v>866</v>
      </c>
      <c r="C422" s="7">
        <v>25334</v>
      </c>
      <c r="D422" s="8" t="s">
        <v>867</v>
      </c>
    </row>
    <row r="423" spans="1:4" ht="14.25">
      <c r="A423" s="5">
        <v>11</v>
      </c>
      <c r="B423" s="6" t="s">
        <v>868</v>
      </c>
      <c r="C423" s="7">
        <v>25334</v>
      </c>
      <c r="D423" s="8" t="s">
        <v>869</v>
      </c>
    </row>
    <row r="424" spans="1:4" ht="14.25">
      <c r="A424" s="5">
        <v>11</v>
      </c>
      <c r="B424" s="6" t="s">
        <v>870</v>
      </c>
      <c r="C424" s="7">
        <v>25334</v>
      </c>
      <c r="D424" s="8" t="s">
        <v>871</v>
      </c>
    </row>
    <row r="425" spans="1:4" ht="14.25">
      <c r="A425" s="5" t="s">
        <v>463</v>
      </c>
      <c r="B425" s="6" t="s">
        <v>872</v>
      </c>
      <c r="C425" s="7">
        <v>25335</v>
      </c>
      <c r="D425" s="8" t="s">
        <v>873</v>
      </c>
    </row>
    <row r="426" spans="1:4" ht="14.25">
      <c r="A426" s="5" t="s">
        <v>167</v>
      </c>
      <c r="B426" s="6" t="s">
        <v>874</v>
      </c>
      <c r="C426" s="7">
        <v>25335</v>
      </c>
      <c r="D426" s="8" t="s">
        <v>875</v>
      </c>
    </row>
    <row r="427" spans="1:4" ht="14.25">
      <c r="A427" s="5">
        <v>12</v>
      </c>
      <c r="B427" s="6" t="s">
        <v>876</v>
      </c>
      <c r="C427" s="7">
        <v>25335</v>
      </c>
      <c r="D427" s="8" t="s">
        <v>877</v>
      </c>
    </row>
    <row r="428" spans="1:4" ht="14.25">
      <c r="A428" s="5">
        <v>12</v>
      </c>
      <c r="B428" s="6" t="s">
        <v>878</v>
      </c>
      <c r="C428" s="7">
        <v>25335</v>
      </c>
      <c r="D428" s="8" t="s">
        <v>879</v>
      </c>
    </row>
    <row r="429" spans="1:4" ht="14.25">
      <c r="A429" s="5" t="s">
        <v>463</v>
      </c>
      <c r="B429" s="6" t="s">
        <v>880</v>
      </c>
      <c r="C429" s="7">
        <v>25336</v>
      </c>
      <c r="D429" s="8" t="s">
        <v>881</v>
      </c>
    </row>
    <row r="430" spans="1:4" ht="14.25">
      <c r="A430" s="5">
        <v>13</v>
      </c>
      <c r="B430" s="6" t="s">
        <v>882</v>
      </c>
      <c r="C430" s="7">
        <v>25336</v>
      </c>
      <c r="D430" s="8" t="s">
        <v>883</v>
      </c>
    </row>
    <row r="431" spans="1:4" ht="14.25">
      <c r="A431" s="5" t="s">
        <v>463</v>
      </c>
      <c r="B431" s="6" t="s">
        <v>884</v>
      </c>
      <c r="C431" s="7">
        <v>25337</v>
      </c>
      <c r="D431" s="8" t="s">
        <v>885</v>
      </c>
    </row>
    <row r="432" spans="1:4" ht="14.25">
      <c r="A432" s="5" t="s">
        <v>167</v>
      </c>
      <c r="B432" s="6" t="s">
        <v>886</v>
      </c>
      <c r="C432" s="7">
        <v>25337</v>
      </c>
      <c r="D432" s="8" t="s">
        <v>887</v>
      </c>
    </row>
    <row r="433" spans="1:4" ht="14.25">
      <c r="A433" s="5">
        <v>14</v>
      </c>
      <c r="B433" s="6" t="s">
        <v>888</v>
      </c>
      <c r="C433" s="7">
        <v>25337</v>
      </c>
      <c r="D433" s="8" t="s">
        <v>889</v>
      </c>
    </row>
    <row r="434" spans="1:4" ht="14.25">
      <c r="A434" s="5">
        <v>14</v>
      </c>
      <c r="B434" s="6" t="s">
        <v>890</v>
      </c>
      <c r="C434" s="7">
        <v>25337</v>
      </c>
      <c r="D434" s="8" t="s">
        <v>891</v>
      </c>
    </row>
    <row r="435" spans="1:4" ht="14.25">
      <c r="A435" s="5" t="s">
        <v>42</v>
      </c>
      <c r="B435" s="6" t="s">
        <v>892</v>
      </c>
      <c r="C435" s="7">
        <v>25346</v>
      </c>
      <c r="D435" s="8" t="s">
        <v>893</v>
      </c>
    </row>
    <row r="436" spans="1:4" ht="14.25">
      <c r="A436" s="5">
        <v>23</v>
      </c>
      <c r="B436" s="6" t="s">
        <v>894</v>
      </c>
      <c r="C436" s="7">
        <v>25346</v>
      </c>
      <c r="D436" s="8" t="s">
        <v>895</v>
      </c>
    </row>
    <row r="437" spans="1:4" ht="14.25">
      <c r="A437" s="5" t="s">
        <v>42</v>
      </c>
      <c r="B437" s="6" t="s">
        <v>896</v>
      </c>
      <c r="C437" s="7">
        <v>25347</v>
      </c>
      <c r="D437" s="8" t="s">
        <v>897</v>
      </c>
    </row>
    <row r="438" spans="1:4" ht="14.25">
      <c r="A438" s="5">
        <v>24</v>
      </c>
      <c r="B438" s="6" t="s">
        <v>898</v>
      </c>
      <c r="C438" s="7">
        <v>25347</v>
      </c>
      <c r="D438" s="8" t="s">
        <v>899</v>
      </c>
    </row>
    <row r="439" spans="1:4" ht="14.25">
      <c r="A439" s="5" t="s">
        <v>167</v>
      </c>
      <c r="B439" s="6" t="s">
        <v>900</v>
      </c>
      <c r="C439" s="7">
        <v>25358</v>
      </c>
      <c r="D439" s="8" t="s">
        <v>901</v>
      </c>
    </row>
    <row r="440" spans="1:4" ht="14.25">
      <c r="A440" s="5">
        <v>4</v>
      </c>
      <c r="B440" s="6" t="s">
        <v>902</v>
      </c>
      <c r="C440" s="7">
        <v>25358</v>
      </c>
      <c r="D440" s="8" t="s">
        <v>903</v>
      </c>
    </row>
    <row r="441" spans="1:4" ht="14.25">
      <c r="A441" s="5" t="s">
        <v>42</v>
      </c>
      <c r="B441" s="6" t="s">
        <v>904</v>
      </c>
      <c r="C441" s="7">
        <v>25360</v>
      </c>
      <c r="D441" s="8" t="s">
        <v>905</v>
      </c>
    </row>
    <row r="442" spans="1:4" ht="14.25">
      <c r="A442" s="5">
        <v>6</v>
      </c>
      <c r="B442" s="6" t="s">
        <v>906</v>
      </c>
      <c r="C442" s="7">
        <v>25360</v>
      </c>
      <c r="D442" s="8" t="s">
        <v>907</v>
      </c>
    </row>
    <row r="443" spans="1:4" ht="14.25">
      <c r="A443" s="5" t="s">
        <v>42</v>
      </c>
      <c r="B443" s="6" t="s">
        <v>908</v>
      </c>
      <c r="C443" s="7">
        <v>25364</v>
      </c>
      <c r="D443" s="8" t="s">
        <v>909</v>
      </c>
    </row>
    <row r="444" spans="1:4" ht="14.25">
      <c r="A444" s="5">
        <v>10</v>
      </c>
      <c r="B444" s="6" t="s">
        <v>910</v>
      </c>
      <c r="C444" s="7">
        <v>25364</v>
      </c>
      <c r="D444" s="8" t="s">
        <v>911</v>
      </c>
    </row>
    <row r="445" spans="1:4" ht="14.25">
      <c r="A445" s="5" t="s">
        <v>42</v>
      </c>
      <c r="B445" s="6" t="s">
        <v>912</v>
      </c>
      <c r="C445" s="7">
        <v>25365</v>
      </c>
      <c r="D445" s="8" t="s">
        <v>913</v>
      </c>
    </row>
    <row r="446" spans="1:4" ht="14.25">
      <c r="A446" s="5">
        <v>11</v>
      </c>
      <c r="B446" s="6" t="s">
        <v>914</v>
      </c>
      <c r="C446" s="7">
        <v>25365</v>
      </c>
      <c r="D446" s="8" t="s">
        <v>915</v>
      </c>
    </row>
    <row r="447" spans="1:4" ht="14.25">
      <c r="A447" s="5" t="s">
        <v>42</v>
      </c>
      <c r="B447" s="6" t="s">
        <v>916</v>
      </c>
      <c r="C447" s="7">
        <v>25367</v>
      </c>
      <c r="D447" s="8" t="s">
        <v>917</v>
      </c>
    </row>
    <row r="448" spans="1:4" ht="14.25">
      <c r="A448" s="5">
        <v>13</v>
      </c>
      <c r="B448" s="6" t="s">
        <v>918</v>
      </c>
      <c r="C448" s="7">
        <v>25367</v>
      </c>
      <c r="D448" s="8" t="s">
        <v>919</v>
      </c>
    </row>
    <row r="449" spans="1:4" ht="14.25">
      <c r="A449" s="5" t="s">
        <v>42</v>
      </c>
      <c r="B449" s="6" t="s">
        <v>920</v>
      </c>
      <c r="C449" s="7">
        <v>25370</v>
      </c>
      <c r="D449" s="8" t="s">
        <v>921</v>
      </c>
    </row>
    <row r="450" spans="1:4" ht="14.25">
      <c r="A450" s="5">
        <v>16</v>
      </c>
      <c r="B450" s="6" t="s">
        <v>922</v>
      </c>
      <c r="C450" s="7">
        <v>25370</v>
      </c>
      <c r="D450" s="8" t="s">
        <v>923</v>
      </c>
    </row>
    <row r="451" spans="1:4" ht="14.25">
      <c r="A451" s="5" t="s">
        <v>42</v>
      </c>
      <c r="B451" s="6" t="s">
        <v>924</v>
      </c>
      <c r="C451" s="7">
        <v>25372</v>
      </c>
      <c r="D451" s="8" t="s">
        <v>925</v>
      </c>
    </row>
    <row r="452" spans="1:4" ht="14.25">
      <c r="A452" s="5">
        <v>18</v>
      </c>
      <c r="B452" s="6" t="s">
        <v>926</v>
      </c>
      <c r="C452" s="7">
        <v>25372</v>
      </c>
      <c r="D452" s="8" t="s">
        <v>927</v>
      </c>
    </row>
    <row r="453" spans="1:4" ht="14.25">
      <c r="A453" s="5" t="s">
        <v>42</v>
      </c>
      <c r="B453" s="6" t="s">
        <v>928</v>
      </c>
      <c r="C453" s="7">
        <v>25373</v>
      </c>
      <c r="D453" s="8" t="s">
        <v>929</v>
      </c>
    </row>
    <row r="454" spans="1:4" ht="14.25">
      <c r="A454" s="5">
        <v>19</v>
      </c>
      <c r="B454" s="6" t="s">
        <v>930</v>
      </c>
      <c r="C454" s="7">
        <v>25373</v>
      </c>
      <c r="D454" s="8" t="s">
        <v>931</v>
      </c>
    </row>
    <row r="455" spans="1:4" ht="14.25">
      <c r="A455" s="5" t="s">
        <v>42</v>
      </c>
      <c r="B455" s="6" t="s">
        <v>932</v>
      </c>
      <c r="C455" s="7">
        <v>25376</v>
      </c>
      <c r="D455" s="8" t="s">
        <v>933</v>
      </c>
    </row>
    <row r="456" spans="1:4" ht="14.25">
      <c r="A456" s="5">
        <v>22</v>
      </c>
      <c r="B456" s="6" t="s">
        <v>934</v>
      </c>
      <c r="C456" s="7">
        <v>25376</v>
      </c>
      <c r="D456" s="8" t="s">
        <v>935</v>
      </c>
    </row>
    <row r="457" spans="1:4" ht="14.25">
      <c r="A457" s="5" t="s">
        <v>5</v>
      </c>
      <c r="B457" s="6" t="s">
        <v>936</v>
      </c>
      <c r="C457" s="7">
        <v>25396</v>
      </c>
      <c r="D457" s="8" t="s">
        <v>937</v>
      </c>
    </row>
    <row r="458" spans="1:4" ht="14.25">
      <c r="A458" s="5">
        <v>12</v>
      </c>
      <c r="B458" s="6" t="s">
        <v>938</v>
      </c>
      <c r="C458" s="7">
        <v>25396</v>
      </c>
      <c r="D458" s="8" t="s">
        <v>939</v>
      </c>
    </row>
    <row r="459" spans="1:4" ht="14.25">
      <c r="A459" s="5" t="s">
        <v>197</v>
      </c>
      <c r="B459" s="6" t="s">
        <v>940</v>
      </c>
      <c r="C459" s="7">
        <v>25400</v>
      </c>
      <c r="D459" s="8" t="s">
        <v>941</v>
      </c>
    </row>
    <row r="460" spans="1:4" ht="14.25">
      <c r="A460" s="5">
        <v>16</v>
      </c>
      <c r="B460" s="6" t="s">
        <v>942</v>
      </c>
      <c r="C460" s="7">
        <v>25400</v>
      </c>
      <c r="D460" s="8" t="s">
        <v>943</v>
      </c>
    </row>
    <row r="461" spans="1:4" ht="14.25">
      <c r="A461" s="5" t="s">
        <v>197</v>
      </c>
      <c r="B461" s="6" t="s">
        <v>944</v>
      </c>
      <c r="C461" s="7">
        <v>25450</v>
      </c>
      <c r="D461" s="8" t="s">
        <v>945</v>
      </c>
    </row>
    <row r="462" spans="1:4" ht="14.25">
      <c r="A462" s="5" t="s">
        <v>167</v>
      </c>
      <c r="B462" s="6" t="s">
        <v>946</v>
      </c>
      <c r="C462" s="7">
        <v>25450</v>
      </c>
      <c r="D462" s="8" t="s">
        <v>947</v>
      </c>
    </row>
    <row r="463" spans="1:4" ht="14.25">
      <c r="A463" s="5">
        <v>4</v>
      </c>
      <c r="B463" s="6" t="s">
        <v>948</v>
      </c>
      <c r="C463" s="7">
        <v>25450</v>
      </c>
      <c r="D463" s="8" t="s">
        <v>949</v>
      </c>
    </row>
    <row r="464" spans="1:4" ht="14.25">
      <c r="A464" s="5">
        <v>4</v>
      </c>
      <c r="B464" s="6" t="s">
        <v>950</v>
      </c>
      <c r="C464" s="7">
        <v>25450</v>
      </c>
      <c r="D464" s="8" t="s">
        <v>951</v>
      </c>
    </row>
    <row r="465" spans="1:4" ht="14.25">
      <c r="A465" s="5" t="s">
        <v>197</v>
      </c>
      <c r="B465" s="6" t="s">
        <v>952</v>
      </c>
      <c r="C465" s="7">
        <v>25451</v>
      </c>
      <c r="D465" s="8" t="s">
        <v>953</v>
      </c>
    </row>
    <row r="466" spans="1:4" ht="14.25">
      <c r="A466" s="5">
        <v>5</v>
      </c>
      <c r="B466" s="6" t="s">
        <v>954</v>
      </c>
      <c r="C466" s="7">
        <v>25451</v>
      </c>
      <c r="D466" s="8" t="s">
        <v>955</v>
      </c>
    </row>
    <row r="467" spans="1:4" ht="14.25">
      <c r="A467" s="5" t="s">
        <v>184</v>
      </c>
      <c r="B467" s="6" t="s">
        <v>956</v>
      </c>
      <c r="C467" s="7">
        <v>25454</v>
      </c>
      <c r="D467" s="8" t="s">
        <v>957</v>
      </c>
    </row>
    <row r="468" spans="1:4" ht="14.25">
      <c r="A468" s="5">
        <v>8</v>
      </c>
      <c r="B468" s="6" t="s">
        <v>958</v>
      </c>
      <c r="C468" s="7">
        <v>25454</v>
      </c>
      <c r="D468" s="8" t="s">
        <v>959</v>
      </c>
    </row>
    <row r="469" spans="1:4" ht="14.25">
      <c r="A469" s="5" t="s">
        <v>863</v>
      </c>
      <c r="B469" s="6" t="s">
        <v>960</v>
      </c>
      <c r="C469" s="7">
        <v>25457</v>
      </c>
      <c r="D469" s="8" t="s">
        <v>961</v>
      </c>
    </row>
    <row r="470" spans="1:4" ht="14.25">
      <c r="A470" s="5" t="s">
        <v>463</v>
      </c>
      <c r="B470" s="6" t="s">
        <v>962</v>
      </c>
      <c r="C470" s="7">
        <v>25457</v>
      </c>
      <c r="D470" s="8" t="s">
        <v>963</v>
      </c>
    </row>
    <row r="471" spans="1:4" ht="14.25">
      <c r="A471" s="5">
        <v>11</v>
      </c>
      <c r="B471" s="6" t="s">
        <v>964</v>
      </c>
      <c r="C471" s="7">
        <v>25457</v>
      </c>
      <c r="D471" s="8" t="s">
        <v>965</v>
      </c>
    </row>
    <row r="472" spans="1:4" ht="14.25">
      <c r="A472" s="5">
        <v>11</v>
      </c>
      <c r="B472" s="6" t="s">
        <v>966</v>
      </c>
      <c r="C472" s="7">
        <v>25457</v>
      </c>
      <c r="D472" s="8" t="s">
        <v>967</v>
      </c>
    </row>
    <row r="473" spans="1:4" ht="14.25">
      <c r="A473" s="5" t="s">
        <v>968</v>
      </c>
      <c r="B473" s="6" t="s">
        <v>969</v>
      </c>
      <c r="C473" s="7">
        <v>25458</v>
      </c>
      <c r="D473" s="8" t="s">
        <v>970</v>
      </c>
    </row>
    <row r="474" spans="1:4" ht="14.25">
      <c r="A474" s="5">
        <v>12</v>
      </c>
      <c r="B474" s="6" t="s">
        <v>971</v>
      </c>
      <c r="C474" s="7">
        <v>25458</v>
      </c>
      <c r="D474" s="8" t="s">
        <v>972</v>
      </c>
    </row>
    <row r="475" spans="1:4" ht="14.25">
      <c r="A475" s="5" t="s">
        <v>167</v>
      </c>
      <c r="B475" s="6" t="s">
        <v>973</v>
      </c>
      <c r="C475" s="7">
        <v>25461</v>
      </c>
      <c r="D475" s="8" t="s">
        <v>974</v>
      </c>
    </row>
    <row r="476" spans="1:4" ht="14.25">
      <c r="A476" s="5">
        <v>15</v>
      </c>
      <c r="B476" s="6" t="s">
        <v>975</v>
      </c>
      <c r="C476" s="7">
        <v>25461</v>
      </c>
      <c r="D476" s="8" t="s">
        <v>976</v>
      </c>
    </row>
    <row r="477" spans="1:4" ht="14.25">
      <c r="A477" s="5" t="s">
        <v>863</v>
      </c>
      <c r="B477" s="6" t="s">
        <v>977</v>
      </c>
      <c r="C477" s="7">
        <v>25462</v>
      </c>
      <c r="D477" s="8" t="s">
        <v>978</v>
      </c>
    </row>
    <row r="478" spans="1:4" ht="14.25">
      <c r="A478" s="5">
        <v>16</v>
      </c>
      <c r="B478" s="6" t="s">
        <v>979</v>
      </c>
      <c r="C478" s="7">
        <v>25462</v>
      </c>
      <c r="D478" s="8" t="s">
        <v>980</v>
      </c>
    </row>
    <row r="479" spans="1:4" ht="14.25">
      <c r="A479" s="5" t="s">
        <v>968</v>
      </c>
      <c r="B479" s="6" t="s">
        <v>981</v>
      </c>
      <c r="C479" s="7">
        <v>25463</v>
      </c>
      <c r="D479" s="8" t="s">
        <v>982</v>
      </c>
    </row>
    <row r="480" spans="1:4" ht="14.25">
      <c r="A480" s="5">
        <v>17</v>
      </c>
      <c r="B480" s="6" t="s">
        <v>983</v>
      </c>
      <c r="C480" s="7">
        <v>25463</v>
      </c>
      <c r="D480" s="8" t="s">
        <v>984</v>
      </c>
    </row>
    <row r="481" spans="1:4" ht="14.25">
      <c r="A481" s="5" t="s">
        <v>197</v>
      </c>
      <c r="B481" s="6" t="s">
        <v>985</v>
      </c>
      <c r="C481" s="7">
        <v>25464</v>
      </c>
      <c r="D481" s="8" t="s">
        <v>986</v>
      </c>
    </row>
    <row r="482" spans="1:4" ht="14.25">
      <c r="A482" s="5">
        <v>18</v>
      </c>
      <c r="B482" s="6" t="s">
        <v>987</v>
      </c>
      <c r="C482" s="7">
        <v>25464</v>
      </c>
      <c r="D482" s="8" t="s">
        <v>988</v>
      </c>
    </row>
    <row r="483" spans="1:4" ht="14.25">
      <c r="A483" s="5" t="s">
        <v>197</v>
      </c>
      <c r="B483" s="6" t="s">
        <v>989</v>
      </c>
      <c r="C483" s="7">
        <v>25469</v>
      </c>
      <c r="D483" s="8" t="s">
        <v>990</v>
      </c>
    </row>
    <row r="484" spans="1:4" ht="14.25">
      <c r="A484" s="5">
        <v>23</v>
      </c>
      <c r="B484" s="6" t="s">
        <v>991</v>
      </c>
      <c r="C484" s="7">
        <v>25469</v>
      </c>
      <c r="D484" s="8" t="s">
        <v>992</v>
      </c>
    </row>
    <row r="485" spans="1:4" ht="14.25">
      <c r="A485" s="5" t="s">
        <v>197</v>
      </c>
      <c r="B485" s="6" t="s">
        <v>993</v>
      </c>
      <c r="C485" s="7">
        <v>25546</v>
      </c>
      <c r="D485" s="8" t="s">
        <v>994</v>
      </c>
    </row>
    <row r="486" spans="1:4" ht="14.25">
      <c r="A486" s="5">
        <v>9</v>
      </c>
      <c r="B486" s="6" t="s">
        <v>995</v>
      </c>
      <c r="C486" s="7">
        <v>25546</v>
      </c>
      <c r="D486" s="8" t="s">
        <v>996</v>
      </c>
    </row>
    <row r="487" spans="1:4" ht="14.25">
      <c r="A487" s="5" t="s">
        <v>597</v>
      </c>
      <c r="B487" s="6" t="s">
        <v>997</v>
      </c>
      <c r="C487" s="7">
        <v>25559</v>
      </c>
      <c r="D487" s="8" t="s">
        <v>998</v>
      </c>
    </row>
    <row r="488" spans="1:4" ht="14.25">
      <c r="A488" s="5">
        <v>22</v>
      </c>
      <c r="B488" s="6" t="s">
        <v>999</v>
      </c>
      <c r="C488" s="7">
        <v>25559</v>
      </c>
      <c r="D488" s="8" t="s">
        <v>1000</v>
      </c>
    </row>
    <row r="489" spans="1:4" ht="14.25">
      <c r="A489" s="5" t="s">
        <v>1001</v>
      </c>
      <c r="B489" s="6" t="s">
        <v>1002</v>
      </c>
      <c r="C489" s="7">
        <v>25577</v>
      </c>
      <c r="D489" s="8" t="s">
        <v>1003</v>
      </c>
    </row>
    <row r="490" spans="1:4" ht="14.25">
      <c r="A490" s="5">
        <v>9</v>
      </c>
      <c r="B490" s="6" t="s">
        <v>1004</v>
      </c>
      <c r="C490" s="7">
        <v>25577</v>
      </c>
      <c r="D490" s="8" t="s">
        <v>1005</v>
      </c>
    </row>
    <row r="491" spans="1:4" ht="14.25">
      <c r="A491" s="5" t="s">
        <v>1001</v>
      </c>
      <c r="B491" s="6" t="s">
        <v>1006</v>
      </c>
      <c r="C491" s="7">
        <v>25585</v>
      </c>
      <c r="D491" s="8" t="s">
        <v>1007</v>
      </c>
    </row>
    <row r="492" spans="1:4" ht="14.25">
      <c r="A492" s="5">
        <v>17</v>
      </c>
      <c r="B492" s="6" t="s">
        <v>1008</v>
      </c>
      <c r="C492" s="7">
        <v>25585</v>
      </c>
      <c r="D492" s="8" t="s">
        <v>1009</v>
      </c>
    </row>
    <row r="493" spans="1:4" ht="14.25">
      <c r="A493" s="5" t="s">
        <v>197</v>
      </c>
      <c r="B493" s="6" t="s">
        <v>1010</v>
      </c>
      <c r="C493" s="7">
        <v>25617</v>
      </c>
      <c r="D493" s="8" t="s">
        <v>1011</v>
      </c>
    </row>
    <row r="494" spans="1:4" ht="14.25">
      <c r="A494" s="5">
        <v>18</v>
      </c>
      <c r="B494" s="6" t="s">
        <v>1012</v>
      </c>
      <c r="C494" s="7">
        <v>25617</v>
      </c>
      <c r="D494" s="8" t="s">
        <v>1013</v>
      </c>
    </row>
    <row r="495" spans="1:4" ht="14.25">
      <c r="A495" s="5" t="s">
        <v>167</v>
      </c>
      <c r="B495" s="6" t="s">
        <v>1014</v>
      </c>
      <c r="C495" s="7">
        <v>25619</v>
      </c>
      <c r="D495" s="8" t="s">
        <v>1015</v>
      </c>
    </row>
    <row r="496" spans="1:4" ht="14.25">
      <c r="A496" s="5" t="s">
        <v>167</v>
      </c>
      <c r="B496" s="6" t="s">
        <v>1016</v>
      </c>
      <c r="C496" s="7">
        <v>25619</v>
      </c>
      <c r="D496" s="8" t="s">
        <v>1017</v>
      </c>
    </row>
    <row r="497" spans="1:4" ht="14.25">
      <c r="A497" s="5">
        <v>20</v>
      </c>
      <c r="B497" s="6" t="s">
        <v>1018</v>
      </c>
      <c r="C497" s="7">
        <v>25619</v>
      </c>
      <c r="D497" s="8" t="s">
        <v>1019</v>
      </c>
    </row>
    <row r="498" spans="1:4" ht="14.25">
      <c r="A498" s="5">
        <v>20</v>
      </c>
      <c r="B498" s="6" t="s">
        <v>1020</v>
      </c>
      <c r="C498" s="7">
        <v>25619</v>
      </c>
      <c r="D498" s="8" t="s">
        <v>1021</v>
      </c>
    </row>
    <row r="499" spans="1:4" ht="14.25">
      <c r="A499" s="5" t="s">
        <v>167</v>
      </c>
      <c r="B499" s="6" t="s">
        <v>1022</v>
      </c>
      <c r="C499" s="7">
        <v>25674</v>
      </c>
      <c r="D499" s="8" t="s">
        <v>1023</v>
      </c>
    </row>
    <row r="500" spans="1:4" ht="14.25">
      <c r="A500" s="5">
        <v>16</v>
      </c>
      <c r="B500" s="6" t="s">
        <v>1024</v>
      </c>
      <c r="C500" s="7">
        <v>25674</v>
      </c>
      <c r="D500" s="8" t="s">
        <v>1025</v>
      </c>
    </row>
    <row r="501" spans="1:4" ht="14.25">
      <c r="A501" s="5" t="s">
        <v>1026</v>
      </c>
      <c r="B501" s="6" t="s">
        <v>1027</v>
      </c>
      <c r="C501" s="7">
        <v>25685</v>
      </c>
      <c r="D501" s="8" t="s">
        <v>1028</v>
      </c>
    </row>
    <row r="502" spans="1:4" ht="14.25">
      <c r="A502" s="5">
        <v>27</v>
      </c>
      <c r="B502" s="6" t="s">
        <v>1029</v>
      </c>
      <c r="C502" s="7">
        <v>25685</v>
      </c>
      <c r="D502" s="8" t="s">
        <v>1030</v>
      </c>
    </row>
    <row r="503" spans="1:4" ht="14.25">
      <c r="A503" s="5" t="s">
        <v>1026</v>
      </c>
      <c r="B503" s="6" t="s">
        <v>1031</v>
      </c>
      <c r="C503" s="7">
        <v>25687</v>
      </c>
      <c r="D503" s="8" t="s">
        <v>1032</v>
      </c>
    </row>
    <row r="504" spans="1:4" ht="14.25">
      <c r="A504" s="5">
        <v>29</v>
      </c>
      <c r="B504" s="6" t="s">
        <v>1033</v>
      </c>
      <c r="C504" s="7">
        <v>25687</v>
      </c>
      <c r="D504" s="8" t="s">
        <v>1034</v>
      </c>
    </row>
    <row r="505" spans="1:4" ht="14.25">
      <c r="A505" s="5" t="s">
        <v>1026</v>
      </c>
      <c r="B505" s="6" t="s">
        <v>1035</v>
      </c>
      <c r="C505" s="7">
        <v>25688</v>
      </c>
      <c r="D505" s="8" t="s">
        <v>1036</v>
      </c>
    </row>
    <row r="506" spans="1:4" ht="14.25">
      <c r="A506" s="5">
        <v>30</v>
      </c>
      <c r="B506" s="6" t="s">
        <v>1037</v>
      </c>
      <c r="C506" s="7">
        <v>25688</v>
      </c>
      <c r="D506" s="8" t="s">
        <v>1038</v>
      </c>
    </row>
    <row r="507" spans="1:4" ht="14.25">
      <c r="A507" s="5" t="s">
        <v>1026</v>
      </c>
      <c r="B507" s="6" t="s">
        <v>1039</v>
      </c>
      <c r="C507" s="7">
        <v>25690</v>
      </c>
      <c r="D507" s="8" t="s">
        <v>1040</v>
      </c>
    </row>
    <row r="508" spans="1:4" ht="14.25">
      <c r="A508" s="5">
        <v>2</v>
      </c>
      <c r="B508" s="6" t="s">
        <v>1041</v>
      </c>
      <c r="C508" s="7">
        <v>25690</v>
      </c>
      <c r="D508" s="8" t="s">
        <v>1042</v>
      </c>
    </row>
    <row r="509" spans="1:4" ht="14.25">
      <c r="A509" s="5" t="s">
        <v>1026</v>
      </c>
      <c r="B509" s="6" t="s">
        <v>1043</v>
      </c>
      <c r="C509" s="7">
        <v>25694</v>
      </c>
      <c r="D509" s="8" t="s">
        <v>1044</v>
      </c>
    </row>
    <row r="510" spans="1:4" ht="14.25">
      <c r="A510" s="5">
        <v>6</v>
      </c>
      <c r="B510" s="6" t="s">
        <v>1045</v>
      </c>
      <c r="C510" s="7">
        <v>25694</v>
      </c>
      <c r="D510" s="8" t="s">
        <v>1046</v>
      </c>
    </row>
    <row r="511" spans="1:4" ht="14.25">
      <c r="A511" s="5" t="s">
        <v>1026</v>
      </c>
      <c r="B511" s="6" t="s">
        <v>1047</v>
      </c>
      <c r="C511" s="7">
        <v>25702</v>
      </c>
      <c r="D511" s="8" t="s">
        <v>1048</v>
      </c>
    </row>
    <row r="512" spans="1:4" ht="14.25">
      <c r="A512" s="5">
        <v>14</v>
      </c>
      <c r="B512" s="6" t="s">
        <v>1049</v>
      </c>
      <c r="C512" s="7">
        <v>25702</v>
      </c>
      <c r="D512" s="8" t="s">
        <v>1050</v>
      </c>
    </row>
    <row r="513" spans="1:4" ht="14.25">
      <c r="A513" s="5" t="s">
        <v>1026</v>
      </c>
      <c r="B513" s="6" t="s">
        <v>1051</v>
      </c>
      <c r="C513" s="7">
        <v>25706</v>
      </c>
      <c r="D513" s="8" t="s">
        <v>1052</v>
      </c>
    </row>
    <row r="514" spans="1:4" ht="14.25">
      <c r="A514" s="5">
        <v>18</v>
      </c>
      <c r="B514" s="6" t="s">
        <v>1053</v>
      </c>
      <c r="C514" s="7">
        <v>25706</v>
      </c>
      <c r="D514" s="8" t="s">
        <v>1054</v>
      </c>
    </row>
    <row r="515" spans="1:4" ht="14.25">
      <c r="A515" s="5" t="s">
        <v>1055</v>
      </c>
      <c r="B515" s="6" t="s">
        <v>1056</v>
      </c>
      <c r="C515" s="7">
        <v>25742</v>
      </c>
      <c r="D515" s="8" t="s">
        <v>1057</v>
      </c>
    </row>
    <row r="516" spans="1:4" ht="14.25">
      <c r="A516" s="5">
        <v>23</v>
      </c>
      <c r="B516" s="6" t="s">
        <v>1058</v>
      </c>
      <c r="C516" s="7">
        <v>25742</v>
      </c>
      <c r="D516" s="8" t="s">
        <v>1059</v>
      </c>
    </row>
    <row r="517" spans="1:4" ht="14.25">
      <c r="A517" s="5" t="s">
        <v>597</v>
      </c>
      <c r="B517" s="6" t="s">
        <v>1060</v>
      </c>
      <c r="C517" s="7">
        <v>25750</v>
      </c>
      <c r="D517" s="8" t="s">
        <v>1061</v>
      </c>
    </row>
    <row r="518" spans="1:4" ht="14.25">
      <c r="A518" s="5">
        <v>1</v>
      </c>
      <c r="B518" s="6" t="s">
        <v>1062</v>
      </c>
      <c r="C518" s="7">
        <v>25750</v>
      </c>
      <c r="D518" s="8" t="s">
        <v>1063</v>
      </c>
    </row>
    <row r="519" spans="1:4" ht="14.25">
      <c r="A519" s="5" t="s">
        <v>197</v>
      </c>
      <c r="B519" s="6" t="s">
        <v>1064</v>
      </c>
      <c r="C519" s="7">
        <v>25753</v>
      </c>
      <c r="D519" s="8" t="s">
        <v>1065</v>
      </c>
    </row>
    <row r="520" spans="1:4" ht="14.25">
      <c r="A520" s="5">
        <v>4</v>
      </c>
      <c r="B520" s="6" t="s">
        <v>1066</v>
      </c>
      <c r="C520" s="7">
        <v>25753</v>
      </c>
      <c r="D520" s="8" t="s">
        <v>1067</v>
      </c>
    </row>
    <row r="521" spans="1:4" ht="14.25">
      <c r="A521" s="5" t="s">
        <v>197</v>
      </c>
      <c r="B521" s="6" t="s">
        <v>1068</v>
      </c>
      <c r="C521" s="7">
        <v>25979</v>
      </c>
      <c r="D521" s="8" t="s">
        <v>1069</v>
      </c>
    </row>
    <row r="522" spans="1:4" ht="14.25">
      <c r="A522" s="5" t="s">
        <v>197</v>
      </c>
      <c r="B522" s="6" t="s">
        <v>1070</v>
      </c>
      <c r="C522" s="7">
        <v>25979</v>
      </c>
      <c r="D522" s="8" t="s">
        <v>1071</v>
      </c>
    </row>
    <row r="523" spans="1:4" ht="14.25">
      <c r="A523" s="5">
        <v>15</v>
      </c>
      <c r="B523" s="6" t="s">
        <v>1072</v>
      </c>
      <c r="C523" s="7">
        <v>25979</v>
      </c>
      <c r="D523" s="8" t="s">
        <v>1073</v>
      </c>
    </row>
    <row r="524" spans="1:4" ht="14.25">
      <c r="A524" s="5">
        <v>15</v>
      </c>
      <c r="B524" s="6" t="s">
        <v>1074</v>
      </c>
      <c r="C524" s="7">
        <v>25979</v>
      </c>
      <c r="D524" s="8" t="s">
        <v>1075</v>
      </c>
    </row>
    <row r="525" spans="1:4" ht="14.25">
      <c r="A525" s="5" t="s">
        <v>167</v>
      </c>
      <c r="B525" s="6" t="s">
        <v>1076</v>
      </c>
      <c r="C525" s="7">
        <v>26009</v>
      </c>
      <c r="D525" s="8" t="s">
        <v>1077</v>
      </c>
    </row>
    <row r="526" spans="1:4" ht="14.25">
      <c r="A526" s="5">
        <v>17</v>
      </c>
      <c r="B526" s="6" t="s">
        <v>1078</v>
      </c>
      <c r="C526" s="7">
        <v>26009</v>
      </c>
      <c r="D526" s="8" t="s">
        <v>1079</v>
      </c>
    </row>
    <row r="527" spans="1:4" ht="14.25">
      <c r="A527" s="5" t="s">
        <v>454</v>
      </c>
      <c r="B527" s="6" t="s">
        <v>1080</v>
      </c>
      <c r="C527" s="7">
        <v>26010</v>
      </c>
      <c r="D527" s="8" t="s">
        <v>1081</v>
      </c>
    </row>
    <row r="528" spans="1:4" ht="14.25">
      <c r="A528" s="5">
        <v>18</v>
      </c>
      <c r="B528" s="6" t="s">
        <v>1082</v>
      </c>
      <c r="C528" s="7">
        <v>26010</v>
      </c>
      <c r="D528" s="8" t="s">
        <v>1083</v>
      </c>
    </row>
    <row r="529" spans="1:4" ht="14.25">
      <c r="A529" s="5" t="s">
        <v>167</v>
      </c>
      <c r="B529" s="6" t="s">
        <v>1084</v>
      </c>
      <c r="C529" s="7">
        <v>26081</v>
      </c>
      <c r="D529" s="8" t="s">
        <v>1085</v>
      </c>
    </row>
    <row r="530" spans="1:4" ht="14.25">
      <c r="A530" s="5" t="s">
        <v>167</v>
      </c>
      <c r="B530" s="6" t="s">
        <v>1086</v>
      </c>
      <c r="C530" s="7">
        <v>26081</v>
      </c>
      <c r="D530" s="8" t="s">
        <v>1087</v>
      </c>
    </row>
    <row r="531" spans="1:4" ht="14.25">
      <c r="A531" s="5">
        <v>28</v>
      </c>
      <c r="B531" s="6" t="s">
        <v>1088</v>
      </c>
      <c r="C531" s="7">
        <v>26081</v>
      </c>
      <c r="D531" s="8" t="s">
        <v>1089</v>
      </c>
    </row>
    <row r="532" spans="1:4" ht="14.25">
      <c r="A532" s="5">
        <v>28</v>
      </c>
      <c r="B532" s="6" t="s">
        <v>1090</v>
      </c>
      <c r="C532" s="7">
        <v>26081</v>
      </c>
      <c r="D532" s="8" t="s">
        <v>1091</v>
      </c>
    </row>
    <row r="533" spans="1:4" ht="14.25">
      <c r="A533" s="5" t="s">
        <v>197</v>
      </c>
      <c r="B533" s="6" t="s">
        <v>1092</v>
      </c>
      <c r="C533" s="7">
        <v>26111</v>
      </c>
      <c r="D533" s="8" t="s">
        <v>1093</v>
      </c>
    </row>
    <row r="534" spans="1:4" ht="14.25">
      <c r="A534" s="5" t="s">
        <v>197</v>
      </c>
      <c r="B534" s="6" t="s">
        <v>1094</v>
      </c>
      <c r="C534" s="7">
        <v>26111</v>
      </c>
      <c r="D534" s="8" t="s">
        <v>1095</v>
      </c>
    </row>
    <row r="535" spans="1:4" ht="14.25">
      <c r="A535" s="5" t="s">
        <v>167</v>
      </c>
      <c r="B535" s="6" t="s">
        <v>1096</v>
      </c>
      <c r="C535" s="7">
        <v>26111</v>
      </c>
      <c r="D535" s="8" t="s">
        <v>1097</v>
      </c>
    </row>
    <row r="536" spans="1:4" ht="14.25">
      <c r="A536" s="5">
        <v>27</v>
      </c>
      <c r="B536" s="6" t="s">
        <v>1098</v>
      </c>
      <c r="C536" s="7">
        <v>26111</v>
      </c>
      <c r="D536" s="8" t="s">
        <v>1099</v>
      </c>
    </row>
    <row r="537" spans="1:4" ht="14.25">
      <c r="A537" s="5">
        <v>27</v>
      </c>
      <c r="B537" s="6" t="s">
        <v>1100</v>
      </c>
      <c r="C537" s="7">
        <v>26111</v>
      </c>
      <c r="D537" s="8" t="s">
        <v>1101</v>
      </c>
    </row>
    <row r="538" spans="1:4" ht="14.25">
      <c r="A538" s="5">
        <v>27</v>
      </c>
      <c r="B538" s="6" t="s">
        <v>1102</v>
      </c>
      <c r="C538" s="7">
        <v>26111</v>
      </c>
      <c r="D538" s="8" t="s">
        <v>1103</v>
      </c>
    </row>
    <row r="539" spans="1:4" ht="14.25">
      <c r="A539" s="5" t="s">
        <v>197</v>
      </c>
      <c r="B539" s="6" t="s">
        <v>1104</v>
      </c>
      <c r="C539" s="7">
        <v>26115</v>
      </c>
      <c r="D539" s="8" t="s">
        <v>1105</v>
      </c>
    </row>
    <row r="540" spans="1:4" ht="14.25">
      <c r="A540" s="5">
        <v>1</v>
      </c>
      <c r="B540" s="6" t="s">
        <v>1106</v>
      </c>
      <c r="C540" s="7">
        <v>26115</v>
      </c>
      <c r="D540" s="8" t="s">
        <v>1107</v>
      </c>
    </row>
    <row r="541" spans="1:4" ht="14.25">
      <c r="A541" s="5" t="s">
        <v>1001</v>
      </c>
      <c r="B541" s="6" t="s">
        <v>1108</v>
      </c>
      <c r="C541" s="7">
        <v>26129</v>
      </c>
      <c r="D541" s="8" t="s">
        <v>1109</v>
      </c>
    </row>
    <row r="542" spans="1:4" ht="14.25">
      <c r="A542" s="5">
        <v>15</v>
      </c>
      <c r="B542" s="6" t="s">
        <v>1110</v>
      </c>
      <c r="C542" s="7">
        <v>26129</v>
      </c>
      <c r="D542" s="8" t="s">
        <v>1111</v>
      </c>
    </row>
    <row r="543" spans="1:4" ht="14.25">
      <c r="A543" s="5" t="s">
        <v>167</v>
      </c>
      <c r="B543" s="6" t="s">
        <v>1112</v>
      </c>
      <c r="C543" s="7">
        <v>26131</v>
      </c>
      <c r="D543" s="8" t="s">
        <v>1113</v>
      </c>
    </row>
    <row r="544" spans="1:4" ht="14.25">
      <c r="A544" s="5">
        <v>17</v>
      </c>
      <c r="B544" s="6" t="s">
        <v>1114</v>
      </c>
      <c r="C544" s="7">
        <v>26131</v>
      </c>
      <c r="D544" s="8" t="s">
        <v>1115</v>
      </c>
    </row>
    <row r="545" spans="1:4" ht="14.25">
      <c r="A545" s="5" t="s">
        <v>167</v>
      </c>
      <c r="B545" s="6" t="s">
        <v>1116</v>
      </c>
      <c r="C545" s="7">
        <v>26134</v>
      </c>
      <c r="D545" s="8" t="s">
        <v>1117</v>
      </c>
    </row>
    <row r="546" spans="1:4" ht="14.25">
      <c r="A546" s="5">
        <v>20</v>
      </c>
      <c r="B546" s="6" t="s">
        <v>1118</v>
      </c>
      <c r="C546" s="7">
        <v>26134</v>
      </c>
      <c r="D546" s="8" t="s">
        <v>1119</v>
      </c>
    </row>
    <row r="547" spans="1:4" ht="14.25">
      <c r="A547" s="5" t="s">
        <v>1001</v>
      </c>
      <c r="B547" s="6" t="s">
        <v>1120</v>
      </c>
      <c r="C547" s="7">
        <v>26136</v>
      </c>
      <c r="D547" s="8" t="s">
        <v>1121</v>
      </c>
    </row>
    <row r="548" spans="1:4" ht="14.25">
      <c r="A548" s="5">
        <v>22</v>
      </c>
      <c r="B548" s="6" t="s">
        <v>1122</v>
      </c>
      <c r="C548" s="7">
        <v>26136</v>
      </c>
      <c r="D548" s="8" t="s">
        <v>1123</v>
      </c>
    </row>
    <row r="549" spans="1:4" ht="14.25">
      <c r="A549" s="5" t="s">
        <v>1001</v>
      </c>
      <c r="B549" s="6" t="s">
        <v>1124</v>
      </c>
      <c r="C549" s="7">
        <v>26138</v>
      </c>
      <c r="D549" s="8" t="s">
        <v>1125</v>
      </c>
    </row>
    <row r="550" spans="1:4" ht="14.25">
      <c r="A550" s="5">
        <v>24</v>
      </c>
      <c r="B550" s="6" t="s">
        <v>1126</v>
      </c>
      <c r="C550" s="7">
        <v>26138</v>
      </c>
      <c r="D550" s="8" t="s">
        <v>1127</v>
      </c>
    </row>
    <row r="551" spans="1:4" ht="14.25">
      <c r="A551" s="5" t="s">
        <v>863</v>
      </c>
      <c r="B551" s="6" t="s">
        <v>1128</v>
      </c>
      <c r="C551" s="7">
        <v>26143</v>
      </c>
      <c r="D551" s="8" t="s">
        <v>1129</v>
      </c>
    </row>
    <row r="552" spans="1:4" ht="14.25">
      <c r="A552" s="5" t="s">
        <v>184</v>
      </c>
      <c r="B552" s="6" t="s">
        <v>1130</v>
      </c>
      <c r="C552" s="7">
        <v>26143</v>
      </c>
      <c r="D552" s="8" t="s">
        <v>1131</v>
      </c>
    </row>
    <row r="553" spans="1:4" ht="14.25">
      <c r="A553" s="5" t="s">
        <v>2</v>
      </c>
      <c r="B553" s="6" t="s">
        <v>1132</v>
      </c>
      <c r="C553" s="7">
        <v>26143</v>
      </c>
      <c r="D553" s="8" t="s">
        <v>1133</v>
      </c>
    </row>
    <row r="554" spans="1:4" ht="14.25">
      <c r="A554" s="5">
        <v>29</v>
      </c>
      <c r="B554" s="6" t="s">
        <v>1134</v>
      </c>
      <c r="C554" s="7">
        <v>26143</v>
      </c>
      <c r="D554" s="8" t="s">
        <v>1135</v>
      </c>
    </row>
    <row r="555" spans="1:4" ht="14.25">
      <c r="A555" s="5">
        <v>29</v>
      </c>
      <c r="B555" s="6" t="s">
        <v>1136</v>
      </c>
      <c r="C555" s="7">
        <v>26143</v>
      </c>
      <c r="D555" s="8" t="s">
        <v>1137</v>
      </c>
    </row>
    <row r="556" spans="1:4" ht="14.25">
      <c r="A556" s="5">
        <v>29</v>
      </c>
      <c r="B556" s="6" t="s">
        <v>1138</v>
      </c>
      <c r="C556" s="7">
        <v>26143</v>
      </c>
      <c r="D556" s="8" t="s">
        <v>1139</v>
      </c>
    </row>
    <row r="557" spans="1:4" ht="14.25">
      <c r="A557" s="5" t="s">
        <v>1001</v>
      </c>
      <c r="B557" s="6" t="s">
        <v>1140</v>
      </c>
      <c r="C557" s="7">
        <v>26148</v>
      </c>
      <c r="D557" s="8" t="s">
        <v>1141</v>
      </c>
    </row>
    <row r="558" spans="1:4" ht="14.25">
      <c r="A558" s="5">
        <v>3</v>
      </c>
      <c r="B558" s="6" t="s">
        <v>1142</v>
      </c>
      <c r="C558" s="7">
        <v>26148</v>
      </c>
      <c r="D558" s="8" t="s">
        <v>1143</v>
      </c>
    </row>
    <row r="559" spans="1:4" ht="14.25">
      <c r="A559" s="5" t="s">
        <v>184</v>
      </c>
      <c r="B559" s="6" t="s">
        <v>1144</v>
      </c>
      <c r="C559" s="7">
        <v>26149</v>
      </c>
      <c r="D559" s="8" t="s">
        <v>1145</v>
      </c>
    </row>
    <row r="560" spans="1:4" ht="14.25">
      <c r="A560" s="5">
        <v>4</v>
      </c>
      <c r="B560" s="6" t="s">
        <v>1146</v>
      </c>
      <c r="C560" s="7">
        <v>26149</v>
      </c>
      <c r="D560" s="8" t="s">
        <v>1147</v>
      </c>
    </row>
    <row r="561" spans="1:4" ht="14.25">
      <c r="A561" s="5" t="s">
        <v>1148</v>
      </c>
      <c r="B561" s="6" t="s">
        <v>1149</v>
      </c>
      <c r="C561" s="7">
        <v>26352</v>
      </c>
      <c r="D561" s="8" t="s">
        <v>1150</v>
      </c>
    </row>
    <row r="562" spans="1:4" ht="14.25">
      <c r="A562" s="5" t="s">
        <v>42</v>
      </c>
      <c r="B562" s="6" t="s">
        <v>1151</v>
      </c>
      <c r="C562" s="7">
        <v>26352</v>
      </c>
      <c r="D562" s="8" t="s">
        <v>1152</v>
      </c>
    </row>
    <row r="563" spans="1:4" ht="14.25">
      <c r="A563" s="5">
        <v>23</v>
      </c>
      <c r="B563" s="6" t="s">
        <v>1153</v>
      </c>
      <c r="C563" s="7">
        <v>26352</v>
      </c>
      <c r="D563" s="8" t="s">
        <v>1154</v>
      </c>
    </row>
    <row r="564" spans="1:4" ht="14.25">
      <c r="A564" s="5">
        <v>23</v>
      </c>
      <c r="B564" s="6" t="s">
        <v>1155</v>
      </c>
      <c r="C564" s="7">
        <v>26352</v>
      </c>
      <c r="D564" s="8" t="s">
        <v>1156</v>
      </c>
    </row>
    <row r="565" spans="1:4" ht="14.25">
      <c r="A565" s="5" t="s">
        <v>167</v>
      </c>
      <c r="B565" s="6" t="s">
        <v>1157</v>
      </c>
      <c r="C565" s="7">
        <v>26353</v>
      </c>
      <c r="D565" s="8" t="s">
        <v>1158</v>
      </c>
    </row>
    <row r="566" spans="1:4" ht="14.25">
      <c r="A566" s="5">
        <v>24</v>
      </c>
      <c r="B566" s="6" t="s">
        <v>1159</v>
      </c>
      <c r="C566" s="7">
        <v>26353</v>
      </c>
      <c r="D566" s="8" t="s">
        <v>1160</v>
      </c>
    </row>
    <row r="567" spans="1:4" ht="14.25">
      <c r="A567" s="5" t="s">
        <v>167</v>
      </c>
      <c r="B567" s="6" t="s">
        <v>1161</v>
      </c>
      <c r="C567" s="7">
        <v>26364</v>
      </c>
      <c r="D567" s="8" t="s">
        <v>1162</v>
      </c>
    </row>
    <row r="568" spans="1:4" ht="14.25">
      <c r="A568" s="5">
        <v>6</v>
      </c>
      <c r="B568" s="6" t="s">
        <v>1163</v>
      </c>
      <c r="C568" s="7">
        <v>26364</v>
      </c>
      <c r="D568" s="8" t="s">
        <v>1164</v>
      </c>
    </row>
    <row r="569" spans="1:4" ht="14.25">
      <c r="A569" s="5" t="s">
        <v>863</v>
      </c>
      <c r="B569" s="6" t="s">
        <v>1165</v>
      </c>
      <c r="C569" s="7">
        <v>26437</v>
      </c>
      <c r="D569" s="8" t="s">
        <v>1166</v>
      </c>
    </row>
    <row r="570" spans="1:4" ht="14.25">
      <c r="A570" s="5" t="s">
        <v>167</v>
      </c>
      <c r="B570" s="6" t="s">
        <v>1167</v>
      </c>
      <c r="C570" s="7">
        <v>26437</v>
      </c>
      <c r="D570" s="8" t="s">
        <v>1168</v>
      </c>
    </row>
    <row r="571" spans="1:4" ht="14.25">
      <c r="A571" s="5">
        <v>18</v>
      </c>
      <c r="B571" s="6" t="s">
        <v>1169</v>
      </c>
      <c r="C571" s="7">
        <v>26437</v>
      </c>
      <c r="D571" s="8" t="s">
        <v>1170</v>
      </c>
    </row>
    <row r="572" spans="1:4" ht="14.25">
      <c r="A572" s="5">
        <v>18</v>
      </c>
      <c r="B572" s="6" t="s">
        <v>1171</v>
      </c>
      <c r="C572" s="7">
        <v>26437</v>
      </c>
      <c r="D572" s="8" t="s">
        <v>1172</v>
      </c>
    </row>
    <row r="573" spans="1:4" ht="14.25">
      <c r="A573" s="5" t="s">
        <v>597</v>
      </c>
      <c r="B573" s="6" t="s">
        <v>1173</v>
      </c>
      <c r="C573" s="7">
        <v>26438</v>
      </c>
      <c r="D573" s="8" t="s">
        <v>1174</v>
      </c>
    </row>
    <row r="574" spans="1:4" ht="14.25">
      <c r="A574" s="5">
        <v>19</v>
      </c>
      <c r="B574" s="6" t="s">
        <v>1175</v>
      </c>
      <c r="C574" s="7">
        <v>26438</v>
      </c>
      <c r="D574" s="8" t="s">
        <v>1176</v>
      </c>
    </row>
    <row r="575" spans="1:4" ht="14.25">
      <c r="A575" s="5" t="s">
        <v>597</v>
      </c>
      <c r="B575" s="6" t="s">
        <v>1177</v>
      </c>
      <c r="C575" s="7">
        <v>26439</v>
      </c>
      <c r="D575" s="8" t="s">
        <v>1178</v>
      </c>
    </row>
    <row r="576" spans="1:4" ht="14.25">
      <c r="A576" s="5">
        <v>20</v>
      </c>
      <c r="B576" s="6" t="s">
        <v>1179</v>
      </c>
      <c r="C576" s="7">
        <v>26439</v>
      </c>
      <c r="D576" s="8" t="s">
        <v>1180</v>
      </c>
    </row>
    <row r="577" spans="1:4" ht="14.25">
      <c r="A577" s="5" t="s">
        <v>167</v>
      </c>
      <c r="B577" s="6" t="s">
        <v>1181</v>
      </c>
      <c r="C577" s="7">
        <v>26440</v>
      </c>
      <c r="D577" s="8" t="s">
        <v>1182</v>
      </c>
    </row>
    <row r="578" spans="1:4" ht="14.25">
      <c r="A578" s="5">
        <v>21</v>
      </c>
      <c r="B578" s="6" t="s">
        <v>1183</v>
      </c>
      <c r="C578" s="7">
        <v>26440</v>
      </c>
      <c r="D578" s="8" t="s">
        <v>1184</v>
      </c>
    </row>
    <row r="579" spans="1:4" ht="14.25">
      <c r="A579" s="5" t="s">
        <v>597</v>
      </c>
      <c r="B579" s="6" t="s">
        <v>1185</v>
      </c>
      <c r="C579" s="7">
        <v>26441</v>
      </c>
      <c r="D579" s="8" t="s">
        <v>1186</v>
      </c>
    </row>
    <row r="580" spans="1:4" ht="14.25">
      <c r="A580" s="5">
        <v>22</v>
      </c>
      <c r="B580" s="6" t="s">
        <v>1187</v>
      </c>
      <c r="C580" s="7">
        <v>26441</v>
      </c>
      <c r="D580" s="8" t="s">
        <v>1188</v>
      </c>
    </row>
    <row r="581" spans="1:4" ht="14.25">
      <c r="A581" s="5" t="s">
        <v>597</v>
      </c>
      <c r="B581" s="6" t="s">
        <v>1189</v>
      </c>
      <c r="C581" s="7">
        <v>26445</v>
      </c>
      <c r="D581" s="8" t="s">
        <v>1190</v>
      </c>
    </row>
    <row r="582" spans="1:4" ht="14.25">
      <c r="A582" s="5">
        <v>26</v>
      </c>
      <c r="B582" s="6" t="s">
        <v>1191</v>
      </c>
      <c r="C582" s="7">
        <v>26445</v>
      </c>
      <c r="D582" s="8" t="s">
        <v>1192</v>
      </c>
    </row>
    <row r="583" spans="1:4" ht="14.25">
      <c r="A583" s="5" t="s">
        <v>197</v>
      </c>
      <c r="B583" s="6" t="s">
        <v>1193</v>
      </c>
      <c r="C583" s="7">
        <v>26446</v>
      </c>
      <c r="D583" s="8" t="s">
        <v>1194</v>
      </c>
    </row>
    <row r="584" spans="1:4" ht="14.25">
      <c r="A584" s="5" t="s">
        <v>167</v>
      </c>
      <c r="B584" s="6" t="s">
        <v>1195</v>
      </c>
      <c r="C584" s="7">
        <v>26446</v>
      </c>
      <c r="D584" s="8" t="s">
        <v>1196</v>
      </c>
    </row>
    <row r="585" spans="1:4" ht="14.25">
      <c r="A585" s="5">
        <v>27</v>
      </c>
      <c r="B585" s="6" t="s">
        <v>1197</v>
      </c>
      <c r="C585" s="7">
        <v>26446</v>
      </c>
      <c r="D585" s="8" t="s">
        <v>1198</v>
      </c>
    </row>
    <row r="586" spans="1:4" ht="14.25">
      <c r="A586" s="5">
        <v>27</v>
      </c>
      <c r="B586" s="6" t="s">
        <v>1199</v>
      </c>
      <c r="C586" s="7">
        <v>26446</v>
      </c>
      <c r="D586" s="8" t="s">
        <v>1200</v>
      </c>
    </row>
    <row r="587" spans="1:4" ht="14.25">
      <c r="A587" s="5">
        <v>27</v>
      </c>
      <c r="B587" s="6" t="s">
        <v>1201</v>
      </c>
      <c r="C587" s="7">
        <v>26446</v>
      </c>
      <c r="D587" s="8" t="s">
        <v>1202</v>
      </c>
    </row>
    <row r="588" spans="1:4" ht="14.25">
      <c r="A588" s="5" t="s">
        <v>597</v>
      </c>
      <c r="B588" s="6" t="s">
        <v>1203</v>
      </c>
      <c r="C588" s="7">
        <v>26447</v>
      </c>
      <c r="D588" s="8" t="s">
        <v>1204</v>
      </c>
    </row>
    <row r="589" spans="1:4" ht="14.25">
      <c r="A589" s="5">
        <v>28</v>
      </c>
      <c r="B589" s="6" t="s">
        <v>1205</v>
      </c>
      <c r="C589" s="7">
        <v>26447</v>
      </c>
      <c r="D589" s="8" t="s">
        <v>1206</v>
      </c>
    </row>
    <row r="590" spans="1:4" ht="14.25">
      <c r="A590" s="5" t="s">
        <v>597</v>
      </c>
      <c r="B590" s="6" t="s">
        <v>1207</v>
      </c>
      <c r="C590" s="7">
        <v>26449</v>
      </c>
      <c r="D590" s="8" t="s">
        <v>1208</v>
      </c>
    </row>
    <row r="591" spans="1:4" ht="14.25">
      <c r="A591" s="5">
        <v>30</v>
      </c>
      <c r="B591" s="6" t="s">
        <v>1209</v>
      </c>
      <c r="C591" s="7">
        <v>26449</v>
      </c>
      <c r="D591" s="8" t="s">
        <v>1210</v>
      </c>
    </row>
    <row r="592" spans="1:4" ht="14.25">
      <c r="A592" s="5" t="s">
        <v>597</v>
      </c>
      <c r="B592" s="6" t="s">
        <v>1211</v>
      </c>
      <c r="C592" s="7">
        <v>26450</v>
      </c>
      <c r="D592" s="8" t="s">
        <v>1212</v>
      </c>
    </row>
    <row r="593" spans="1:4" ht="14.25">
      <c r="A593" s="5" t="s">
        <v>597</v>
      </c>
      <c r="B593" s="6" t="s">
        <v>1213</v>
      </c>
      <c r="C593" s="7">
        <v>26450</v>
      </c>
      <c r="D593" s="8" t="s">
        <v>1214</v>
      </c>
    </row>
    <row r="594" spans="1:4" ht="14.25">
      <c r="A594" s="5">
        <v>31</v>
      </c>
      <c r="B594" s="6" t="s">
        <v>1215</v>
      </c>
      <c r="C594" s="7">
        <v>26450</v>
      </c>
      <c r="D594" s="8" t="s">
        <v>1216</v>
      </c>
    </row>
    <row r="595" spans="1:4" ht="14.25">
      <c r="A595" s="5" t="s">
        <v>597</v>
      </c>
      <c r="B595" s="6" t="s">
        <v>1217</v>
      </c>
      <c r="C595" s="7">
        <v>26451</v>
      </c>
      <c r="D595" s="8" t="s">
        <v>1218</v>
      </c>
    </row>
    <row r="596" spans="1:4" ht="14.25">
      <c r="A596" s="5">
        <v>1</v>
      </c>
      <c r="B596" s="6" t="s">
        <v>1219</v>
      </c>
      <c r="C596" s="7">
        <v>26451</v>
      </c>
      <c r="D596" s="8" t="s">
        <v>1220</v>
      </c>
    </row>
    <row r="597" spans="1:4" ht="14.25">
      <c r="A597" s="5" t="s">
        <v>597</v>
      </c>
      <c r="B597" s="6" t="s">
        <v>1221</v>
      </c>
      <c r="C597" s="7">
        <v>26462</v>
      </c>
      <c r="D597" s="8" t="s">
        <v>1222</v>
      </c>
    </row>
    <row r="598" spans="1:4" ht="14.25">
      <c r="A598" s="5">
        <v>12</v>
      </c>
      <c r="B598" s="6" t="s">
        <v>1223</v>
      </c>
      <c r="C598" s="7">
        <v>26462</v>
      </c>
      <c r="D598" s="8" t="s">
        <v>1224</v>
      </c>
    </row>
    <row r="599" spans="1:4" ht="14.25">
      <c r="A599" s="5" t="s">
        <v>597</v>
      </c>
      <c r="B599" s="6" t="s">
        <v>1225</v>
      </c>
      <c r="C599" s="7">
        <v>26463</v>
      </c>
      <c r="D599" s="8" t="s">
        <v>1226</v>
      </c>
    </row>
    <row r="600" spans="1:4" ht="14.25">
      <c r="A600" s="5" t="s">
        <v>597</v>
      </c>
      <c r="B600" s="6" t="s">
        <v>1227</v>
      </c>
      <c r="C600" s="7">
        <v>26463</v>
      </c>
      <c r="D600" s="8" t="s">
        <v>1228</v>
      </c>
    </row>
    <row r="601" spans="1:4" ht="14.25">
      <c r="A601" s="5" t="s">
        <v>597</v>
      </c>
      <c r="B601" s="6" t="s">
        <v>1229</v>
      </c>
      <c r="C601" s="7">
        <v>26463</v>
      </c>
      <c r="D601" s="8" t="s">
        <v>1230</v>
      </c>
    </row>
    <row r="602" spans="1:4" ht="14.25">
      <c r="A602" s="5">
        <v>13</v>
      </c>
      <c r="B602" s="6" t="s">
        <v>1231</v>
      </c>
      <c r="C602" s="7">
        <v>26463</v>
      </c>
      <c r="D602" s="8" t="s">
        <v>1232</v>
      </c>
    </row>
    <row r="603" spans="1:4" ht="14.25">
      <c r="A603" s="5">
        <v>13</v>
      </c>
      <c r="B603" s="6" t="s">
        <v>1233</v>
      </c>
      <c r="C603" s="7">
        <v>26463</v>
      </c>
      <c r="D603" s="8" t="s">
        <v>1234</v>
      </c>
    </row>
    <row r="604" spans="1:4" ht="14.25">
      <c r="A604" s="5" t="s">
        <v>597</v>
      </c>
      <c r="B604" s="6" t="s">
        <v>1235</v>
      </c>
      <c r="C604" s="7">
        <v>26465</v>
      </c>
      <c r="D604" s="8" t="s">
        <v>1236</v>
      </c>
    </row>
    <row r="605" spans="1:4" ht="14.25">
      <c r="A605" s="5">
        <v>15</v>
      </c>
      <c r="B605" s="6" t="s">
        <v>1237</v>
      </c>
      <c r="C605" s="7">
        <v>26465</v>
      </c>
      <c r="D605" s="8" t="s">
        <v>1238</v>
      </c>
    </row>
    <row r="606" spans="1:4" ht="14.25">
      <c r="A606" s="5" t="s">
        <v>597</v>
      </c>
      <c r="B606" s="6" t="s">
        <v>1239</v>
      </c>
      <c r="C606" s="7">
        <v>26466</v>
      </c>
      <c r="D606" s="8" t="s">
        <v>1240</v>
      </c>
    </row>
    <row r="607" spans="1:4" ht="14.25">
      <c r="A607" s="5" t="s">
        <v>597</v>
      </c>
      <c r="B607" s="6" t="s">
        <v>1241</v>
      </c>
      <c r="C607" s="7">
        <v>26466</v>
      </c>
      <c r="D607" s="8" t="s">
        <v>1242</v>
      </c>
    </row>
    <row r="608" spans="1:4" ht="14.25">
      <c r="A608" s="5">
        <v>16</v>
      </c>
      <c r="B608" s="6" t="s">
        <v>1243</v>
      </c>
      <c r="C608" s="7">
        <v>26466</v>
      </c>
      <c r="D608" s="8" t="s">
        <v>1244</v>
      </c>
    </row>
    <row r="609" spans="1:4" ht="14.25">
      <c r="A609" s="5" t="s">
        <v>597</v>
      </c>
      <c r="B609" s="6" t="s">
        <v>1245</v>
      </c>
      <c r="C609" s="7">
        <v>26467</v>
      </c>
      <c r="D609" s="8" t="s">
        <v>1246</v>
      </c>
    </row>
    <row r="610" spans="1:4" ht="14.25">
      <c r="A610" s="5">
        <v>17</v>
      </c>
      <c r="B610" s="6" t="s">
        <v>1247</v>
      </c>
      <c r="C610" s="7">
        <v>26467</v>
      </c>
      <c r="D610" s="8" t="s">
        <v>1248</v>
      </c>
    </row>
    <row r="611" spans="1:4" ht="14.25">
      <c r="A611" s="5" t="s">
        <v>597</v>
      </c>
      <c r="B611" s="6" t="s">
        <v>1249</v>
      </c>
      <c r="C611" s="7">
        <v>26468</v>
      </c>
      <c r="D611" s="8" t="s">
        <v>1250</v>
      </c>
    </row>
    <row r="612" spans="1:4" ht="14.25">
      <c r="A612" s="5">
        <v>18</v>
      </c>
      <c r="B612" s="6" t="s">
        <v>1251</v>
      </c>
      <c r="C612" s="7">
        <v>26468</v>
      </c>
      <c r="D612" s="8" t="s">
        <v>1252</v>
      </c>
    </row>
    <row r="613" spans="1:4" ht="14.25">
      <c r="A613" s="5" t="s">
        <v>597</v>
      </c>
      <c r="B613" s="6" t="s">
        <v>1253</v>
      </c>
      <c r="C613" s="7">
        <v>26469</v>
      </c>
      <c r="D613" s="8" t="s">
        <v>1254</v>
      </c>
    </row>
    <row r="614" spans="1:4" ht="14.25">
      <c r="A614" s="5">
        <v>19</v>
      </c>
      <c r="B614" s="6" t="s">
        <v>1255</v>
      </c>
      <c r="C614" s="7">
        <v>26469</v>
      </c>
      <c r="D614" s="8" t="s">
        <v>1256</v>
      </c>
    </row>
    <row r="615" spans="1:4" ht="14.25">
      <c r="A615" s="5" t="s">
        <v>597</v>
      </c>
      <c r="B615" s="6" t="s">
        <v>1257</v>
      </c>
      <c r="C615" s="7">
        <v>26470</v>
      </c>
      <c r="D615" s="8" t="s">
        <v>1258</v>
      </c>
    </row>
    <row r="616" spans="1:4" ht="14.25">
      <c r="A616" s="5">
        <v>20</v>
      </c>
      <c r="B616" s="6" t="s">
        <v>1259</v>
      </c>
      <c r="C616" s="7">
        <v>26470</v>
      </c>
      <c r="D616" s="8" t="s">
        <v>1260</v>
      </c>
    </row>
    <row r="617" spans="1:4" ht="14.25">
      <c r="A617" s="5" t="s">
        <v>597</v>
      </c>
      <c r="B617" s="6" t="s">
        <v>1261</v>
      </c>
      <c r="C617" s="7">
        <v>26472</v>
      </c>
      <c r="D617" s="8" t="s">
        <v>1262</v>
      </c>
    </row>
    <row r="618" spans="1:4" ht="14.25">
      <c r="A618" s="5">
        <v>22</v>
      </c>
      <c r="B618" s="6" t="s">
        <v>1263</v>
      </c>
      <c r="C618" s="7">
        <v>26472</v>
      </c>
      <c r="D618" s="8" t="s">
        <v>1264</v>
      </c>
    </row>
    <row r="619" spans="1:4" ht="14.25">
      <c r="A619" s="5" t="s">
        <v>597</v>
      </c>
      <c r="B619" s="6" t="s">
        <v>1265</v>
      </c>
      <c r="C619" s="7">
        <v>26473</v>
      </c>
      <c r="D619" s="8" t="s">
        <v>1266</v>
      </c>
    </row>
    <row r="620" spans="1:4" ht="14.25">
      <c r="A620" s="5">
        <v>23</v>
      </c>
      <c r="B620" s="6" t="s">
        <v>1267</v>
      </c>
      <c r="C620" s="7">
        <v>26473</v>
      </c>
      <c r="D620" s="8" t="s">
        <v>1268</v>
      </c>
    </row>
    <row r="621" spans="1:4" ht="14.25">
      <c r="A621" s="5" t="s">
        <v>597</v>
      </c>
      <c r="B621" s="6" t="s">
        <v>1269</v>
      </c>
      <c r="C621" s="7">
        <v>26474</v>
      </c>
      <c r="D621" s="8" t="s">
        <v>1270</v>
      </c>
    </row>
    <row r="622" spans="1:4" ht="14.25">
      <c r="A622" s="5">
        <v>24</v>
      </c>
      <c r="B622" s="6" t="s">
        <v>1271</v>
      </c>
      <c r="C622" s="7">
        <v>26474</v>
      </c>
      <c r="D622" s="8" t="s">
        <v>1272</v>
      </c>
    </row>
    <row r="623" spans="1:4" ht="14.25">
      <c r="A623" s="5" t="s">
        <v>597</v>
      </c>
      <c r="B623" s="6" t="s">
        <v>1273</v>
      </c>
      <c r="C623" s="7">
        <v>26475</v>
      </c>
      <c r="D623" s="8" t="s">
        <v>1274</v>
      </c>
    </row>
    <row r="624" spans="1:4" ht="14.25">
      <c r="A624" s="5">
        <v>25</v>
      </c>
      <c r="B624" s="6" t="s">
        <v>1275</v>
      </c>
      <c r="C624" s="7">
        <v>26475</v>
      </c>
      <c r="D624" s="8" t="s">
        <v>1276</v>
      </c>
    </row>
    <row r="625" spans="1:4" ht="14.25">
      <c r="A625" s="5" t="s">
        <v>597</v>
      </c>
      <c r="B625" s="6" t="s">
        <v>1277</v>
      </c>
      <c r="C625" s="7">
        <v>26476</v>
      </c>
      <c r="D625" s="8" t="s">
        <v>1278</v>
      </c>
    </row>
    <row r="626" spans="1:4" ht="14.25">
      <c r="A626" s="5">
        <v>26</v>
      </c>
      <c r="B626" s="6" t="s">
        <v>1279</v>
      </c>
      <c r="C626" s="7">
        <v>26476</v>
      </c>
      <c r="D626" s="8" t="s">
        <v>1280</v>
      </c>
    </row>
    <row r="627" spans="1:4" ht="14.25">
      <c r="A627" s="5" t="s">
        <v>597</v>
      </c>
      <c r="B627" s="6" t="s">
        <v>1281</v>
      </c>
      <c r="C627" s="7">
        <v>26477</v>
      </c>
      <c r="D627" s="8" t="s">
        <v>1282</v>
      </c>
    </row>
    <row r="628" spans="1:4" ht="14.25">
      <c r="A628" s="5">
        <v>27</v>
      </c>
      <c r="B628" s="6" t="s">
        <v>1283</v>
      </c>
      <c r="C628" s="7">
        <v>26477</v>
      </c>
      <c r="D628" s="8" t="s">
        <v>1284</v>
      </c>
    </row>
    <row r="629" spans="1:4" ht="14.25">
      <c r="A629" s="5" t="s">
        <v>463</v>
      </c>
      <c r="B629" s="6" t="s">
        <v>1285</v>
      </c>
      <c r="C629" s="7">
        <v>26479</v>
      </c>
      <c r="D629" s="8" t="s">
        <v>1286</v>
      </c>
    </row>
    <row r="630" spans="1:4" ht="14.25">
      <c r="A630" s="5">
        <v>29</v>
      </c>
      <c r="B630" s="6" t="s">
        <v>1287</v>
      </c>
      <c r="C630" s="7">
        <v>26479</v>
      </c>
      <c r="D630" s="8" t="s">
        <v>1288</v>
      </c>
    </row>
    <row r="631" spans="1:4" ht="14.25">
      <c r="A631" s="5" t="s">
        <v>484</v>
      </c>
      <c r="B631" s="6" t="s">
        <v>1289</v>
      </c>
      <c r="C631" s="7">
        <v>26480</v>
      </c>
      <c r="D631" s="8" t="s">
        <v>1290</v>
      </c>
    </row>
    <row r="632" spans="1:4" ht="14.25">
      <c r="A632" s="5" t="s">
        <v>167</v>
      </c>
      <c r="B632" s="6" t="s">
        <v>1291</v>
      </c>
      <c r="C632" s="7">
        <v>26480</v>
      </c>
      <c r="D632" s="8" t="s">
        <v>1292</v>
      </c>
    </row>
    <row r="633" spans="1:4" ht="14.25">
      <c r="A633" s="5">
        <v>30</v>
      </c>
      <c r="B633" s="6" t="s">
        <v>1293</v>
      </c>
      <c r="C633" s="7">
        <v>26480</v>
      </c>
      <c r="D633" s="8" t="s">
        <v>1294</v>
      </c>
    </row>
    <row r="634" spans="1:4" ht="14.25">
      <c r="A634" s="5">
        <v>30</v>
      </c>
      <c r="B634" s="6" t="s">
        <v>1295</v>
      </c>
      <c r="C634" s="7">
        <v>26480</v>
      </c>
      <c r="D634" s="8" t="s">
        <v>1296</v>
      </c>
    </row>
    <row r="635" spans="1:4" ht="14.25">
      <c r="A635" s="5" t="s">
        <v>184</v>
      </c>
      <c r="B635" s="6" t="s">
        <v>1297</v>
      </c>
      <c r="C635" s="7">
        <v>26481</v>
      </c>
      <c r="D635" s="8" t="s">
        <v>1298</v>
      </c>
    </row>
    <row r="636" spans="1:4" ht="14.25">
      <c r="A636" s="5" t="s">
        <v>197</v>
      </c>
      <c r="B636" s="6" t="s">
        <v>1299</v>
      </c>
      <c r="C636" s="7">
        <v>26481</v>
      </c>
      <c r="D636" s="8" t="s">
        <v>1300</v>
      </c>
    </row>
    <row r="637" spans="1:4" ht="14.25">
      <c r="A637" s="5">
        <v>1</v>
      </c>
      <c r="B637" s="6" t="s">
        <v>1301</v>
      </c>
      <c r="C637" s="7">
        <v>26481</v>
      </c>
      <c r="D637" s="8" t="s">
        <v>1302</v>
      </c>
    </row>
    <row r="638" spans="1:4" ht="14.25">
      <c r="A638" s="5">
        <v>1</v>
      </c>
      <c r="B638" s="6" t="s">
        <v>1303</v>
      </c>
      <c r="C638" s="7">
        <v>26481</v>
      </c>
      <c r="D638" s="8" t="s">
        <v>1304</v>
      </c>
    </row>
    <row r="639" spans="1:4" ht="14.25">
      <c r="A639" s="5" t="s">
        <v>197</v>
      </c>
      <c r="B639" s="6" t="s">
        <v>1305</v>
      </c>
      <c r="C639" s="7">
        <v>26493</v>
      </c>
      <c r="D639" s="8" t="s">
        <v>1306</v>
      </c>
    </row>
    <row r="640" spans="1:4" ht="14.25">
      <c r="A640" s="5">
        <v>13</v>
      </c>
      <c r="B640" s="6" t="s">
        <v>1307</v>
      </c>
      <c r="C640" s="7">
        <v>26493</v>
      </c>
      <c r="D640" s="8" t="s">
        <v>1308</v>
      </c>
    </row>
    <row r="641" spans="1:4" ht="14.25">
      <c r="A641" s="5" t="s">
        <v>863</v>
      </c>
      <c r="B641" s="6" t="s">
        <v>1309</v>
      </c>
      <c r="C641" s="7">
        <v>26500</v>
      </c>
      <c r="D641" s="8" t="s">
        <v>1310</v>
      </c>
    </row>
    <row r="642" spans="1:4" ht="14.25">
      <c r="A642" s="5">
        <v>20</v>
      </c>
      <c r="B642" s="6" t="s">
        <v>1311</v>
      </c>
      <c r="C642" s="7">
        <v>26500</v>
      </c>
      <c r="D642" s="8" t="s">
        <v>1312</v>
      </c>
    </row>
    <row r="643" spans="1:4" ht="14.25">
      <c r="A643" s="5" t="s">
        <v>42</v>
      </c>
      <c r="B643" s="6" t="s">
        <v>1313</v>
      </c>
      <c r="C643" s="7">
        <v>26526</v>
      </c>
      <c r="D643" s="8" t="s">
        <v>1314</v>
      </c>
    </row>
    <row r="644" spans="1:4" ht="14.25">
      <c r="A644" s="5">
        <v>15</v>
      </c>
      <c r="B644" s="6" t="s">
        <v>1315</v>
      </c>
      <c r="C644" s="7">
        <v>26526</v>
      </c>
      <c r="D644" s="8" t="s">
        <v>1316</v>
      </c>
    </row>
    <row r="645" spans="1:4" ht="14.25">
      <c r="A645" s="5" t="s">
        <v>42</v>
      </c>
      <c r="B645" s="6" t="s">
        <v>1317</v>
      </c>
      <c r="C645" s="7">
        <v>26528</v>
      </c>
      <c r="D645" s="8" t="s">
        <v>1318</v>
      </c>
    </row>
    <row r="646" spans="1:4" ht="14.25">
      <c r="A646" s="5">
        <v>17</v>
      </c>
      <c r="B646" s="6" t="s">
        <v>1319</v>
      </c>
      <c r="C646" s="7">
        <v>26528</v>
      </c>
      <c r="D646" s="8" t="s">
        <v>1320</v>
      </c>
    </row>
    <row r="647" spans="1:4" ht="14.25">
      <c r="A647" s="5" t="s">
        <v>42</v>
      </c>
      <c r="B647" s="6" t="s">
        <v>1321</v>
      </c>
      <c r="C647" s="7">
        <v>26529</v>
      </c>
      <c r="D647" s="8" t="s">
        <v>1322</v>
      </c>
    </row>
    <row r="648" spans="1:4" ht="14.25">
      <c r="A648" s="5">
        <v>18</v>
      </c>
      <c r="B648" s="6" t="s">
        <v>1323</v>
      </c>
      <c r="C648" s="7">
        <v>26529</v>
      </c>
      <c r="D648" s="8" t="s">
        <v>1324</v>
      </c>
    </row>
    <row r="649" spans="1:4" ht="14.25">
      <c r="A649" s="5" t="s">
        <v>42</v>
      </c>
      <c r="B649" s="6" t="s">
        <v>1325</v>
      </c>
      <c r="C649" s="7">
        <v>26530</v>
      </c>
      <c r="D649" s="8" t="s">
        <v>1326</v>
      </c>
    </row>
    <row r="650" spans="1:4" ht="14.25">
      <c r="A650" s="5">
        <v>19</v>
      </c>
      <c r="B650" s="6" t="s">
        <v>1327</v>
      </c>
      <c r="C650" s="7">
        <v>26530</v>
      </c>
      <c r="D650" s="8" t="s">
        <v>1328</v>
      </c>
    </row>
    <row r="651" spans="1:4" ht="14.25">
      <c r="A651" s="5" t="s">
        <v>42</v>
      </c>
      <c r="B651" s="6" t="s">
        <v>1329</v>
      </c>
      <c r="C651" s="7">
        <v>26531</v>
      </c>
      <c r="D651" s="8" t="s">
        <v>1330</v>
      </c>
    </row>
    <row r="652" spans="1:4" ht="14.25">
      <c r="A652" s="5">
        <v>20</v>
      </c>
      <c r="B652" s="6" t="s">
        <v>1331</v>
      </c>
      <c r="C652" s="7">
        <v>26531</v>
      </c>
      <c r="D652" s="8" t="s">
        <v>1332</v>
      </c>
    </row>
    <row r="653" spans="1:4" ht="14.25">
      <c r="A653" s="5" t="s">
        <v>42</v>
      </c>
      <c r="B653" s="6" t="s">
        <v>1333</v>
      </c>
      <c r="C653" s="7">
        <v>26532</v>
      </c>
      <c r="D653" s="8" t="s">
        <v>1334</v>
      </c>
    </row>
    <row r="654" spans="1:4" ht="14.25">
      <c r="A654" s="5">
        <v>21</v>
      </c>
      <c r="B654" s="6" t="s">
        <v>1335</v>
      </c>
      <c r="C654" s="7">
        <v>26532</v>
      </c>
      <c r="D654" s="8" t="s">
        <v>1336</v>
      </c>
    </row>
    <row r="655" spans="1:4" ht="14.25">
      <c r="A655" s="5" t="s">
        <v>42</v>
      </c>
      <c r="B655" s="6" t="s">
        <v>1337</v>
      </c>
      <c r="C655" s="7">
        <v>26533</v>
      </c>
      <c r="D655" s="8" t="s">
        <v>1338</v>
      </c>
    </row>
    <row r="656" spans="1:4" ht="14.25">
      <c r="A656" s="5">
        <v>22</v>
      </c>
      <c r="B656" s="6" t="s">
        <v>1339</v>
      </c>
      <c r="C656" s="7">
        <v>26533</v>
      </c>
      <c r="D656" s="8" t="s">
        <v>1340</v>
      </c>
    </row>
    <row r="657" spans="1:4" ht="14.25">
      <c r="A657" s="5" t="s">
        <v>42</v>
      </c>
      <c r="B657" s="6" t="s">
        <v>1341</v>
      </c>
      <c r="C657" s="7">
        <v>26534</v>
      </c>
      <c r="D657" s="8" t="s">
        <v>1342</v>
      </c>
    </row>
    <row r="658" spans="1:4" ht="14.25">
      <c r="A658" s="5">
        <v>23</v>
      </c>
      <c r="B658" s="6" t="s">
        <v>1343</v>
      </c>
      <c r="C658" s="7">
        <v>26534</v>
      </c>
      <c r="D658" s="8" t="s">
        <v>1344</v>
      </c>
    </row>
    <row r="659" spans="1:4" ht="14.25">
      <c r="A659" s="5" t="s">
        <v>42</v>
      </c>
      <c r="B659" s="6" t="s">
        <v>1345</v>
      </c>
      <c r="C659" s="7">
        <v>26535</v>
      </c>
      <c r="D659" s="8" t="s">
        <v>1346</v>
      </c>
    </row>
    <row r="660" spans="1:4" ht="14.25">
      <c r="A660" s="5">
        <v>24</v>
      </c>
      <c r="B660" s="6" t="s">
        <v>1347</v>
      </c>
      <c r="C660" s="7">
        <v>26535</v>
      </c>
      <c r="D660" s="8" t="s">
        <v>1348</v>
      </c>
    </row>
    <row r="661" spans="1:4" ht="14.25">
      <c r="A661" s="5" t="s">
        <v>42</v>
      </c>
      <c r="B661" s="6" t="s">
        <v>1349</v>
      </c>
      <c r="C661" s="7">
        <v>26536</v>
      </c>
      <c r="D661" s="8" t="s">
        <v>1350</v>
      </c>
    </row>
    <row r="662" spans="1:4" ht="14.25">
      <c r="A662" s="5">
        <v>25</v>
      </c>
      <c r="B662" s="6" t="s">
        <v>1351</v>
      </c>
      <c r="C662" s="7">
        <v>26536</v>
      </c>
      <c r="D662" s="8" t="s">
        <v>1352</v>
      </c>
    </row>
    <row r="663" spans="1:4" ht="14.25">
      <c r="A663" s="5" t="s">
        <v>42</v>
      </c>
      <c r="B663" s="6" t="s">
        <v>1353</v>
      </c>
      <c r="C663" s="7">
        <v>26537</v>
      </c>
      <c r="D663" s="8" t="s">
        <v>1354</v>
      </c>
    </row>
    <row r="664" spans="1:4" ht="14.25">
      <c r="A664" s="5">
        <v>26</v>
      </c>
      <c r="B664" s="6" t="s">
        <v>1355</v>
      </c>
      <c r="C664" s="7">
        <v>26537</v>
      </c>
      <c r="D664" s="8" t="s">
        <v>1356</v>
      </c>
    </row>
    <row r="665" spans="1:4" ht="14.25">
      <c r="A665" s="5" t="s">
        <v>42</v>
      </c>
      <c r="B665" s="6" t="s">
        <v>1357</v>
      </c>
      <c r="C665" s="7">
        <v>26538</v>
      </c>
      <c r="D665" s="8" t="s">
        <v>1358</v>
      </c>
    </row>
    <row r="666" spans="1:4" ht="14.25">
      <c r="A666" s="5">
        <v>27</v>
      </c>
      <c r="B666" s="6" t="s">
        <v>1359</v>
      </c>
      <c r="C666" s="7">
        <v>26538</v>
      </c>
      <c r="D666" s="8" t="s">
        <v>1360</v>
      </c>
    </row>
    <row r="667" spans="1:4" ht="14.25">
      <c r="A667" s="5" t="s">
        <v>42</v>
      </c>
      <c r="B667" s="6" t="s">
        <v>1361</v>
      </c>
      <c r="C667" s="7">
        <v>26539</v>
      </c>
      <c r="D667" s="8" t="s">
        <v>1362</v>
      </c>
    </row>
    <row r="668" spans="1:4" ht="14.25">
      <c r="A668" s="5">
        <v>28</v>
      </c>
      <c r="B668" s="6" t="s">
        <v>1363</v>
      </c>
      <c r="C668" s="7">
        <v>26539</v>
      </c>
      <c r="D668" s="8" t="s">
        <v>1364</v>
      </c>
    </row>
    <row r="669" spans="1:4" ht="14.25">
      <c r="A669" s="5" t="s">
        <v>863</v>
      </c>
      <c r="B669" s="6" t="s">
        <v>1365</v>
      </c>
      <c r="C669" s="7">
        <v>26542</v>
      </c>
      <c r="D669" s="8" t="s">
        <v>1366</v>
      </c>
    </row>
    <row r="670" spans="1:4" ht="14.25">
      <c r="A670" s="5">
        <v>31</v>
      </c>
      <c r="B670" s="6" t="s">
        <v>1367</v>
      </c>
      <c r="C670" s="7">
        <v>26542</v>
      </c>
      <c r="D670" s="8" t="s">
        <v>1368</v>
      </c>
    </row>
    <row r="671" spans="1:4" ht="14.25">
      <c r="A671" s="5" t="s">
        <v>197</v>
      </c>
      <c r="B671" s="6" t="s">
        <v>1369</v>
      </c>
      <c r="C671" s="7">
        <v>26544</v>
      </c>
      <c r="D671" s="8" t="s">
        <v>1370</v>
      </c>
    </row>
    <row r="672" spans="1:4" ht="14.25">
      <c r="A672" s="5">
        <v>2</v>
      </c>
      <c r="B672" s="6" t="s">
        <v>1371</v>
      </c>
      <c r="C672" s="7">
        <v>26544</v>
      </c>
      <c r="D672" s="8" t="s">
        <v>1372</v>
      </c>
    </row>
    <row r="673" spans="1:4" ht="14.25">
      <c r="A673" s="5" t="s">
        <v>42</v>
      </c>
      <c r="B673" s="6" t="s">
        <v>1373</v>
      </c>
      <c r="C673" s="7">
        <v>26546</v>
      </c>
      <c r="D673" s="8" t="s">
        <v>1374</v>
      </c>
    </row>
    <row r="674" spans="1:4" ht="14.25">
      <c r="A674" s="5">
        <v>4</v>
      </c>
      <c r="B674" s="6" t="s">
        <v>1375</v>
      </c>
      <c r="C674" s="7">
        <v>26546</v>
      </c>
      <c r="D674" s="8" t="s">
        <v>1376</v>
      </c>
    </row>
    <row r="675" spans="1:4" ht="14.25">
      <c r="A675" s="5" t="s">
        <v>42</v>
      </c>
      <c r="B675" s="6" t="s">
        <v>1377</v>
      </c>
      <c r="C675" s="7">
        <v>26547</v>
      </c>
      <c r="D675" s="8" t="s">
        <v>1378</v>
      </c>
    </row>
    <row r="676" spans="1:4" ht="14.25">
      <c r="A676" s="5">
        <v>5</v>
      </c>
      <c r="B676" s="6" t="s">
        <v>1379</v>
      </c>
      <c r="C676" s="7">
        <v>26547</v>
      </c>
      <c r="D676" s="8" t="s">
        <v>1380</v>
      </c>
    </row>
    <row r="677" spans="1:4" ht="14.25">
      <c r="A677" s="5" t="s">
        <v>42</v>
      </c>
      <c r="B677" s="6" t="s">
        <v>1381</v>
      </c>
      <c r="C677" s="7">
        <v>26548</v>
      </c>
      <c r="D677" s="8" t="s">
        <v>1382</v>
      </c>
    </row>
    <row r="678" spans="1:4" ht="14.25">
      <c r="A678" s="5">
        <v>6</v>
      </c>
      <c r="B678" s="6" t="s">
        <v>1383</v>
      </c>
      <c r="C678" s="7">
        <v>26548</v>
      </c>
      <c r="D678" s="8" t="s">
        <v>1384</v>
      </c>
    </row>
    <row r="679" spans="1:4" ht="14.25">
      <c r="A679" s="5" t="s">
        <v>42</v>
      </c>
      <c r="B679" s="6" t="s">
        <v>1385</v>
      </c>
      <c r="C679" s="7">
        <v>26549</v>
      </c>
      <c r="D679" s="8" t="s">
        <v>1386</v>
      </c>
    </row>
    <row r="680" spans="1:4" ht="14.25">
      <c r="A680" s="5">
        <v>7</v>
      </c>
      <c r="B680" s="6" t="s">
        <v>1387</v>
      </c>
      <c r="C680" s="7">
        <v>26549</v>
      </c>
      <c r="D680" s="8" t="s">
        <v>1388</v>
      </c>
    </row>
    <row r="681" spans="1:4" ht="14.25">
      <c r="A681" s="5" t="s">
        <v>18</v>
      </c>
      <c r="B681" s="6" t="s">
        <v>1389</v>
      </c>
      <c r="C681" s="7">
        <v>26550</v>
      </c>
      <c r="D681" s="8" t="s">
        <v>1390</v>
      </c>
    </row>
    <row r="682" spans="1:4" ht="14.25">
      <c r="A682" s="5">
        <v>8</v>
      </c>
      <c r="B682" s="6" t="s">
        <v>1391</v>
      </c>
      <c r="C682" s="7">
        <v>26550</v>
      </c>
      <c r="D682" s="8" t="s">
        <v>1392</v>
      </c>
    </row>
    <row r="683" spans="1:4" ht="14.25">
      <c r="A683" s="5" t="s">
        <v>42</v>
      </c>
      <c r="B683" s="6" t="s">
        <v>1393</v>
      </c>
      <c r="C683" s="7">
        <v>26555</v>
      </c>
      <c r="D683" s="8" t="s">
        <v>1394</v>
      </c>
    </row>
    <row r="684" spans="1:4" ht="14.25">
      <c r="A684" s="5">
        <v>13</v>
      </c>
      <c r="B684" s="6" t="s">
        <v>1395</v>
      </c>
      <c r="C684" s="7">
        <v>26555</v>
      </c>
      <c r="D684" s="8" t="s">
        <v>1396</v>
      </c>
    </row>
    <row r="685" spans="1:4" ht="14.25">
      <c r="A685" s="5" t="s">
        <v>42</v>
      </c>
      <c r="B685" s="6" t="s">
        <v>1397</v>
      </c>
      <c r="C685" s="7">
        <v>26558</v>
      </c>
      <c r="D685" s="8" t="s">
        <v>1398</v>
      </c>
    </row>
    <row r="686" spans="1:4" ht="14.25">
      <c r="A686" s="5">
        <v>16</v>
      </c>
      <c r="B686" s="6" t="s">
        <v>1399</v>
      </c>
      <c r="C686" s="7">
        <v>26558</v>
      </c>
      <c r="D686" s="8" t="s">
        <v>1400</v>
      </c>
    </row>
    <row r="687" spans="1:4" ht="14.25">
      <c r="A687" s="5" t="s">
        <v>42</v>
      </c>
      <c r="B687" s="6" t="s">
        <v>1401</v>
      </c>
      <c r="C687" s="7">
        <v>26559</v>
      </c>
      <c r="D687" s="8" t="s">
        <v>1402</v>
      </c>
    </row>
    <row r="688" spans="1:4" ht="14.25">
      <c r="A688" s="5">
        <v>17</v>
      </c>
      <c r="B688" s="6" t="s">
        <v>1403</v>
      </c>
      <c r="C688" s="7">
        <v>26559</v>
      </c>
      <c r="D688" s="8" t="s">
        <v>1404</v>
      </c>
    </row>
    <row r="689" spans="1:4" ht="14.25">
      <c r="A689" s="5" t="s">
        <v>42</v>
      </c>
      <c r="B689" s="6" t="s">
        <v>1405</v>
      </c>
      <c r="C689" s="7">
        <v>26560</v>
      </c>
      <c r="D689" s="8" t="s">
        <v>1406</v>
      </c>
    </row>
    <row r="690" spans="1:4" ht="14.25">
      <c r="A690" s="5">
        <v>18</v>
      </c>
      <c r="B690" s="6" t="s">
        <v>1407</v>
      </c>
      <c r="C690" s="7">
        <v>26560</v>
      </c>
      <c r="D690" s="8" t="s">
        <v>1408</v>
      </c>
    </row>
    <row r="691" spans="1:4" ht="14.25">
      <c r="A691" s="5" t="s">
        <v>42</v>
      </c>
      <c r="B691" s="6" t="s">
        <v>1409</v>
      </c>
      <c r="C691" s="7">
        <v>26561</v>
      </c>
      <c r="D691" s="8" t="s">
        <v>1410</v>
      </c>
    </row>
    <row r="692" spans="1:4" ht="14.25">
      <c r="A692" s="5">
        <v>19</v>
      </c>
      <c r="B692" s="6" t="s">
        <v>1411</v>
      </c>
      <c r="C692" s="7">
        <v>26561</v>
      </c>
      <c r="D692" s="8" t="s">
        <v>1412</v>
      </c>
    </row>
    <row r="693" spans="1:4" ht="14.25">
      <c r="A693" s="5" t="s">
        <v>42</v>
      </c>
      <c r="B693" s="6" t="s">
        <v>1413</v>
      </c>
      <c r="C693" s="7">
        <v>26562</v>
      </c>
      <c r="D693" s="8" t="s">
        <v>1414</v>
      </c>
    </row>
    <row r="694" spans="1:4" ht="14.25">
      <c r="A694" s="5">
        <v>20</v>
      </c>
      <c r="B694" s="6" t="s">
        <v>1415</v>
      </c>
      <c r="C694" s="7">
        <v>26562</v>
      </c>
      <c r="D694" s="8" t="s">
        <v>1416</v>
      </c>
    </row>
    <row r="695" spans="1:4" ht="14.25">
      <c r="A695" s="5" t="s">
        <v>42</v>
      </c>
      <c r="B695" s="6" t="s">
        <v>1417</v>
      </c>
      <c r="C695" s="7">
        <v>26563</v>
      </c>
      <c r="D695" s="8" t="s">
        <v>1418</v>
      </c>
    </row>
    <row r="696" spans="1:4" ht="14.25">
      <c r="A696" s="5">
        <v>21</v>
      </c>
      <c r="B696" s="6" t="s">
        <v>1419</v>
      </c>
      <c r="C696" s="7">
        <v>26563</v>
      </c>
      <c r="D696" s="8" t="s">
        <v>1420</v>
      </c>
    </row>
    <row r="697" spans="1:4" ht="14.25">
      <c r="A697" s="5" t="s">
        <v>42</v>
      </c>
      <c r="B697" s="6" t="s">
        <v>1421</v>
      </c>
      <c r="C697" s="7">
        <v>26564</v>
      </c>
      <c r="D697" s="8" t="s">
        <v>1422</v>
      </c>
    </row>
    <row r="698" spans="1:4" ht="14.25">
      <c r="A698" s="5">
        <v>22</v>
      </c>
      <c r="B698" s="6" t="s">
        <v>1423</v>
      </c>
      <c r="C698" s="7">
        <v>26564</v>
      </c>
      <c r="D698" s="8" t="s">
        <v>1424</v>
      </c>
    </row>
    <row r="699" spans="1:4" ht="14.25">
      <c r="A699" s="5" t="s">
        <v>42</v>
      </c>
      <c r="B699" s="6" t="s">
        <v>1425</v>
      </c>
      <c r="C699" s="7">
        <v>26566</v>
      </c>
      <c r="D699" s="8" t="s">
        <v>1426</v>
      </c>
    </row>
    <row r="700" spans="1:4" ht="14.25">
      <c r="A700" s="5">
        <v>24</v>
      </c>
      <c r="B700" s="6" t="s">
        <v>1427</v>
      </c>
      <c r="C700" s="7">
        <v>26566</v>
      </c>
      <c r="D700" s="8" t="s">
        <v>1428</v>
      </c>
    </row>
    <row r="701" spans="1:4" ht="14.25">
      <c r="A701" s="5" t="s">
        <v>42</v>
      </c>
      <c r="B701" s="6" t="s">
        <v>1429</v>
      </c>
      <c r="C701" s="7">
        <v>26567</v>
      </c>
      <c r="D701" s="8" t="s">
        <v>1430</v>
      </c>
    </row>
    <row r="702" spans="1:4" ht="14.25">
      <c r="A702" s="5">
        <v>25</v>
      </c>
      <c r="B702" s="6" t="s">
        <v>1431</v>
      </c>
      <c r="C702" s="7">
        <v>26567</v>
      </c>
      <c r="D702" s="8" t="s">
        <v>1432</v>
      </c>
    </row>
    <row r="703" spans="1:4" ht="14.25">
      <c r="A703" s="5" t="s">
        <v>42</v>
      </c>
      <c r="B703" s="6" t="s">
        <v>1433</v>
      </c>
      <c r="C703" s="7">
        <v>26568</v>
      </c>
      <c r="D703" s="8" t="s">
        <v>1434</v>
      </c>
    </row>
    <row r="704" spans="1:4" ht="14.25">
      <c r="A704" s="5">
        <v>26</v>
      </c>
      <c r="B704" s="6" t="s">
        <v>1435</v>
      </c>
      <c r="C704" s="7">
        <v>26568</v>
      </c>
      <c r="D704" s="8" t="s">
        <v>1436</v>
      </c>
    </row>
    <row r="705" spans="1:4" ht="14.25">
      <c r="A705" s="5" t="s">
        <v>42</v>
      </c>
      <c r="B705" s="6" t="s">
        <v>1437</v>
      </c>
      <c r="C705" s="7">
        <v>26569</v>
      </c>
      <c r="D705" s="8" t="s">
        <v>1438</v>
      </c>
    </row>
    <row r="706" spans="1:4" ht="14.25">
      <c r="A706" s="5">
        <v>27</v>
      </c>
      <c r="B706" s="6" t="s">
        <v>1439</v>
      </c>
      <c r="C706" s="7">
        <v>26569</v>
      </c>
      <c r="D706" s="8" t="s">
        <v>1440</v>
      </c>
    </row>
    <row r="707" spans="1:4" ht="14.25">
      <c r="A707" s="5" t="s">
        <v>42</v>
      </c>
      <c r="B707" s="6" t="s">
        <v>1441</v>
      </c>
      <c r="C707" s="7">
        <v>26570</v>
      </c>
      <c r="D707" s="8" t="s">
        <v>1442</v>
      </c>
    </row>
    <row r="708" spans="1:4" ht="14.25">
      <c r="A708" s="5">
        <v>28</v>
      </c>
      <c r="B708" s="6" t="s">
        <v>1443</v>
      </c>
      <c r="C708" s="7">
        <v>26570</v>
      </c>
      <c r="D708" s="8" t="s">
        <v>1444</v>
      </c>
    </row>
    <row r="709" spans="1:4" ht="14.25">
      <c r="A709" s="5" t="s">
        <v>42</v>
      </c>
      <c r="B709" s="6" t="s">
        <v>1445</v>
      </c>
      <c r="C709" s="7">
        <v>26571</v>
      </c>
      <c r="D709" s="8" t="s">
        <v>1446</v>
      </c>
    </row>
    <row r="710" spans="1:4" ht="14.25">
      <c r="A710" s="5">
        <v>29</v>
      </c>
      <c r="B710" s="6" t="s">
        <v>1447</v>
      </c>
      <c r="C710" s="7">
        <v>26571</v>
      </c>
      <c r="D710" s="8" t="s">
        <v>1448</v>
      </c>
    </row>
    <row r="711" spans="1:4" ht="14.25">
      <c r="A711" s="5" t="s">
        <v>42</v>
      </c>
      <c r="B711" s="6" t="s">
        <v>1449</v>
      </c>
      <c r="C711" s="7">
        <v>26572</v>
      </c>
      <c r="D711" s="8" t="s">
        <v>1450</v>
      </c>
    </row>
    <row r="712" spans="1:4" ht="14.25">
      <c r="A712" s="5" t="s">
        <v>167</v>
      </c>
      <c r="B712" s="6" t="s">
        <v>1451</v>
      </c>
      <c r="C712" s="7">
        <v>26572</v>
      </c>
      <c r="D712" s="8" t="s">
        <v>1452</v>
      </c>
    </row>
    <row r="713" spans="1:4" ht="14.25">
      <c r="A713" s="5">
        <v>30</v>
      </c>
      <c r="B713" s="6" t="s">
        <v>1453</v>
      </c>
      <c r="C713" s="7">
        <v>26572</v>
      </c>
      <c r="D713" s="8" t="s">
        <v>1454</v>
      </c>
    </row>
    <row r="714" spans="1:4" ht="14.25">
      <c r="A714" s="5">
        <v>30</v>
      </c>
      <c r="B714" s="6" t="s">
        <v>1455</v>
      </c>
      <c r="C714" s="7">
        <v>26572</v>
      </c>
      <c r="D714" s="8" t="s">
        <v>1456</v>
      </c>
    </row>
    <row r="715" spans="1:4" ht="14.25">
      <c r="A715" s="5" t="s">
        <v>42</v>
      </c>
      <c r="B715" s="6" t="s">
        <v>1457</v>
      </c>
      <c r="C715" s="7">
        <v>26573</v>
      </c>
      <c r="D715" s="8" t="s">
        <v>1458</v>
      </c>
    </row>
    <row r="716" spans="1:4" ht="14.25">
      <c r="A716" s="5">
        <v>1</v>
      </c>
      <c r="B716" s="6" t="s">
        <v>1459</v>
      </c>
      <c r="C716" s="7">
        <v>26573</v>
      </c>
      <c r="D716" s="8" t="s">
        <v>1460</v>
      </c>
    </row>
    <row r="717" spans="1:4" ht="14.25">
      <c r="A717" s="5" t="s">
        <v>42</v>
      </c>
      <c r="B717" s="6" t="s">
        <v>1461</v>
      </c>
      <c r="C717" s="7">
        <v>26574</v>
      </c>
      <c r="D717" s="8" t="s">
        <v>1462</v>
      </c>
    </row>
    <row r="718" spans="1:4" ht="14.25">
      <c r="A718" s="5">
        <v>2</v>
      </c>
      <c r="B718" s="6" t="s">
        <v>1463</v>
      </c>
      <c r="C718" s="7">
        <v>26574</v>
      </c>
      <c r="D718" s="8" t="s">
        <v>1464</v>
      </c>
    </row>
    <row r="719" spans="1:4" ht="14.25">
      <c r="A719" s="5" t="s">
        <v>42</v>
      </c>
      <c r="B719" s="6" t="s">
        <v>1465</v>
      </c>
      <c r="C719" s="7">
        <v>26575</v>
      </c>
      <c r="D719" s="8" t="s">
        <v>1466</v>
      </c>
    </row>
    <row r="720" spans="1:4" ht="14.25">
      <c r="A720" s="5">
        <v>3</v>
      </c>
      <c r="B720" s="6" t="s">
        <v>1467</v>
      </c>
      <c r="C720" s="7">
        <v>26575</v>
      </c>
      <c r="D720" s="8" t="s">
        <v>1468</v>
      </c>
    </row>
    <row r="721" spans="1:4" ht="14.25">
      <c r="A721" s="5" t="s">
        <v>42</v>
      </c>
      <c r="B721" s="6" t="s">
        <v>1469</v>
      </c>
      <c r="C721" s="7">
        <v>26576</v>
      </c>
      <c r="D721" s="8" t="s">
        <v>1470</v>
      </c>
    </row>
    <row r="722" spans="1:4" ht="14.25">
      <c r="A722" s="5">
        <v>4</v>
      </c>
      <c r="B722" s="6" t="s">
        <v>1471</v>
      </c>
      <c r="C722" s="7">
        <v>26576</v>
      </c>
      <c r="D722" s="8" t="s">
        <v>1472</v>
      </c>
    </row>
    <row r="723" spans="1:4" ht="14.25">
      <c r="A723" s="5" t="s">
        <v>42</v>
      </c>
      <c r="B723" s="6" t="s">
        <v>1473</v>
      </c>
      <c r="C723" s="7">
        <v>26577</v>
      </c>
      <c r="D723" s="8" t="s">
        <v>1474</v>
      </c>
    </row>
    <row r="724" spans="1:4" ht="14.25">
      <c r="A724" s="5">
        <v>5</v>
      </c>
      <c r="B724" s="6" t="s">
        <v>1475</v>
      </c>
      <c r="C724" s="7">
        <v>26577</v>
      </c>
      <c r="D724" s="8" t="s">
        <v>1476</v>
      </c>
    </row>
    <row r="725" spans="1:4" ht="14.25">
      <c r="A725" s="5" t="s">
        <v>863</v>
      </c>
      <c r="B725" s="6" t="s">
        <v>1477</v>
      </c>
      <c r="C725" s="7">
        <v>26578</v>
      </c>
      <c r="D725" s="8" t="s">
        <v>1478</v>
      </c>
    </row>
    <row r="726" spans="1:4" ht="14.25">
      <c r="A726" s="5">
        <v>6</v>
      </c>
      <c r="B726" s="6" t="s">
        <v>1479</v>
      </c>
      <c r="C726" s="7">
        <v>26578</v>
      </c>
      <c r="D726" s="8" t="s">
        <v>1480</v>
      </c>
    </row>
    <row r="727" spans="1:4" ht="14.25">
      <c r="A727" s="5" t="s">
        <v>197</v>
      </c>
      <c r="B727" s="6" t="s">
        <v>1481</v>
      </c>
      <c r="C727" s="7">
        <v>26591</v>
      </c>
      <c r="D727" s="8" t="s">
        <v>1482</v>
      </c>
    </row>
    <row r="728" spans="1:4" ht="14.25">
      <c r="A728" s="5">
        <v>19</v>
      </c>
      <c r="B728" s="6" t="s">
        <v>1483</v>
      </c>
      <c r="C728" s="7">
        <v>26591</v>
      </c>
      <c r="D728" s="8" t="s">
        <v>1484</v>
      </c>
    </row>
    <row r="729" spans="1:4" ht="14.25">
      <c r="A729" s="5" t="s">
        <v>1055</v>
      </c>
      <c r="B729" s="6" t="s">
        <v>1485</v>
      </c>
      <c r="C729" s="7">
        <v>26592</v>
      </c>
      <c r="D729" s="8" t="s">
        <v>1486</v>
      </c>
    </row>
    <row r="730" spans="1:4" ht="14.25">
      <c r="A730" s="5" t="s">
        <v>42</v>
      </c>
      <c r="B730" s="6" t="s">
        <v>1487</v>
      </c>
      <c r="C730" s="7">
        <v>26592</v>
      </c>
      <c r="D730" s="8" t="s">
        <v>1488</v>
      </c>
    </row>
    <row r="731" spans="1:4" ht="14.25">
      <c r="A731" s="5">
        <v>20</v>
      </c>
      <c r="B731" s="6" t="s">
        <v>1489</v>
      </c>
      <c r="C731" s="7">
        <v>26592</v>
      </c>
      <c r="D731" s="8" t="s">
        <v>1490</v>
      </c>
    </row>
    <row r="732" spans="1:4" ht="14.25">
      <c r="A732" s="5">
        <v>20</v>
      </c>
      <c r="B732" s="6" t="s">
        <v>1491</v>
      </c>
      <c r="C732" s="7">
        <v>26592</v>
      </c>
      <c r="D732" s="8" t="s">
        <v>1492</v>
      </c>
    </row>
    <row r="733" spans="1:4" ht="14.25">
      <c r="A733" s="5" t="s">
        <v>1055</v>
      </c>
      <c r="B733" s="6" t="s">
        <v>1493</v>
      </c>
      <c r="C733" s="7">
        <v>26593</v>
      </c>
      <c r="D733" s="8" t="s">
        <v>1494</v>
      </c>
    </row>
    <row r="734" spans="1:4" ht="14.25">
      <c r="A734" s="5" t="s">
        <v>42</v>
      </c>
      <c r="B734" s="6" t="s">
        <v>1495</v>
      </c>
      <c r="C734" s="7">
        <v>26593</v>
      </c>
      <c r="D734" s="8" t="s">
        <v>1496</v>
      </c>
    </row>
    <row r="735" spans="1:4" ht="14.25">
      <c r="A735" s="5">
        <v>21</v>
      </c>
      <c r="B735" s="6" t="s">
        <v>1497</v>
      </c>
      <c r="C735" s="7">
        <v>26593</v>
      </c>
      <c r="D735" s="8" t="s">
        <v>1498</v>
      </c>
    </row>
    <row r="736" spans="1:4" ht="14.25">
      <c r="A736" s="5">
        <v>21</v>
      </c>
      <c r="B736" s="6" t="s">
        <v>1499</v>
      </c>
      <c r="C736" s="7">
        <v>26593</v>
      </c>
      <c r="D736" s="8" t="s">
        <v>1500</v>
      </c>
    </row>
    <row r="737" spans="1:4" ht="14.25">
      <c r="A737" s="5" t="s">
        <v>42</v>
      </c>
      <c r="B737" s="6" t="s">
        <v>1501</v>
      </c>
      <c r="C737" s="7">
        <v>26594</v>
      </c>
      <c r="D737" s="8" t="s">
        <v>1502</v>
      </c>
    </row>
    <row r="738" spans="1:4" ht="14.25">
      <c r="A738" s="5">
        <v>22</v>
      </c>
      <c r="B738" s="6" t="s">
        <v>1503</v>
      </c>
      <c r="C738" s="7">
        <v>26594</v>
      </c>
      <c r="D738" s="8" t="s">
        <v>1504</v>
      </c>
    </row>
    <row r="739" spans="1:4" ht="14.25">
      <c r="A739" s="5" t="s">
        <v>1055</v>
      </c>
      <c r="B739" s="6" t="s">
        <v>1505</v>
      </c>
      <c r="C739" s="7">
        <v>26595</v>
      </c>
      <c r="D739" s="8" t="s">
        <v>1506</v>
      </c>
    </row>
    <row r="740" spans="1:4" ht="14.25">
      <c r="A740" s="5" t="s">
        <v>42</v>
      </c>
      <c r="B740" s="6" t="s">
        <v>1507</v>
      </c>
      <c r="C740" s="7">
        <v>26595</v>
      </c>
      <c r="D740" s="8" t="s">
        <v>1508</v>
      </c>
    </row>
    <row r="741" spans="1:4" ht="14.25">
      <c r="A741" s="5">
        <v>23</v>
      </c>
      <c r="B741" s="6" t="s">
        <v>1509</v>
      </c>
      <c r="C741" s="7">
        <v>26595</v>
      </c>
      <c r="D741" s="8" t="s">
        <v>1510</v>
      </c>
    </row>
    <row r="742" spans="1:4" ht="14.25">
      <c r="A742" s="5">
        <v>23</v>
      </c>
      <c r="B742" s="6" t="s">
        <v>1511</v>
      </c>
      <c r="C742" s="7">
        <v>26595</v>
      </c>
      <c r="D742" s="8" t="s">
        <v>1512</v>
      </c>
    </row>
    <row r="743" spans="1:4" ht="14.25">
      <c r="A743" s="5" t="s">
        <v>1055</v>
      </c>
      <c r="B743" s="6" t="s">
        <v>1513</v>
      </c>
      <c r="C743" s="7">
        <v>26596</v>
      </c>
      <c r="D743" s="8" t="s">
        <v>1514</v>
      </c>
    </row>
    <row r="744" spans="1:4" ht="14.25">
      <c r="A744" s="5" t="s">
        <v>42</v>
      </c>
      <c r="B744" s="6" t="s">
        <v>1515</v>
      </c>
      <c r="C744" s="7">
        <v>26596</v>
      </c>
      <c r="D744" s="8" t="s">
        <v>1516</v>
      </c>
    </row>
    <row r="745" spans="1:4" ht="14.25">
      <c r="A745" s="5">
        <v>24</v>
      </c>
      <c r="B745" s="6" t="s">
        <v>1517</v>
      </c>
      <c r="C745" s="7">
        <v>26596</v>
      </c>
      <c r="D745" s="8" t="s">
        <v>1518</v>
      </c>
    </row>
    <row r="746" spans="1:4" ht="14.25">
      <c r="A746" s="5">
        <v>24</v>
      </c>
      <c r="B746" s="6" t="s">
        <v>1519</v>
      </c>
      <c r="C746" s="7">
        <v>26596</v>
      </c>
      <c r="D746" s="8" t="s">
        <v>1520</v>
      </c>
    </row>
    <row r="747" spans="1:4" ht="14.25">
      <c r="A747" s="5" t="s">
        <v>1055</v>
      </c>
      <c r="B747" s="6" t="s">
        <v>1521</v>
      </c>
      <c r="C747" s="7">
        <v>26598</v>
      </c>
      <c r="D747" s="8" t="s">
        <v>1522</v>
      </c>
    </row>
    <row r="748" spans="1:4" ht="14.25">
      <c r="A748" s="5">
        <v>26</v>
      </c>
      <c r="B748" s="6" t="s">
        <v>1523</v>
      </c>
      <c r="C748" s="7">
        <v>26598</v>
      </c>
      <c r="D748" s="8" t="s">
        <v>1524</v>
      </c>
    </row>
    <row r="749" spans="1:4" ht="14.25">
      <c r="A749" s="5" t="s">
        <v>1055</v>
      </c>
      <c r="B749" s="6" t="s">
        <v>1525</v>
      </c>
      <c r="C749" s="7">
        <v>26599</v>
      </c>
      <c r="D749" s="8" t="s">
        <v>1526</v>
      </c>
    </row>
    <row r="750" spans="1:4" ht="14.25">
      <c r="A750" s="5" t="s">
        <v>42</v>
      </c>
      <c r="B750" s="6" t="s">
        <v>1527</v>
      </c>
      <c r="C750" s="7">
        <v>26599</v>
      </c>
      <c r="D750" s="8" t="s">
        <v>1528</v>
      </c>
    </row>
    <row r="751" spans="1:4" ht="14.25">
      <c r="A751" s="5">
        <v>27</v>
      </c>
      <c r="B751" s="6" t="s">
        <v>1529</v>
      </c>
      <c r="C751" s="7">
        <v>26599</v>
      </c>
      <c r="D751" s="8" t="s">
        <v>1530</v>
      </c>
    </row>
    <row r="752" spans="1:4" ht="14.25">
      <c r="A752" s="5">
        <v>27</v>
      </c>
      <c r="B752" s="6" t="s">
        <v>1531</v>
      </c>
      <c r="C752" s="7">
        <v>26599</v>
      </c>
      <c r="D752" s="8" t="s">
        <v>1532</v>
      </c>
    </row>
    <row r="753" spans="1:4" ht="14.25">
      <c r="A753" s="5" t="s">
        <v>1055</v>
      </c>
      <c r="B753" s="6" t="s">
        <v>1533</v>
      </c>
      <c r="C753" s="7">
        <v>26600</v>
      </c>
      <c r="D753" s="8" t="s">
        <v>1534</v>
      </c>
    </row>
    <row r="754" spans="1:4" ht="14.25">
      <c r="A754" s="5" t="s">
        <v>42</v>
      </c>
      <c r="B754" s="6" t="s">
        <v>1535</v>
      </c>
      <c r="C754" s="7">
        <v>26600</v>
      </c>
      <c r="D754" s="8" t="s">
        <v>1536</v>
      </c>
    </row>
    <row r="755" spans="1:4" ht="14.25">
      <c r="A755" s="5">
        <v>28</v>
      </c>
      <c r="B755" s="6" t="s">
        <v>1537</v>
      </c>
      <c r="C755" s="7">
        <v>26600</v>
      </c>
      <c r="D755" s="8" t="s">
        <v>1538</v>
      </c>
    </row>
    <row r="756" spans="1:4" ht="14.25">
      <c r="A756" s="5">
        <v>28</v>
      </c>
      <c r="B756" s="6" t="s">
        <v>1539</v>
      </c>
      <c r="C756" s="7">
        <v>26600</v>
      </c>
      <c r="D756" s="8" t="s">
        <v>1540</v>
      </c>
    </row>
    <row r="757" spans="1:4" ht="14.25">
      <c r="A757" s="5" t="s">
        <v>1055</v>
      </c>
      <c r="B757" s="6" t="s">
        <v>1541</v>
      </c>
      <c r="C757" s="7">
        <v>26601</v>
      </c>
      <c r="D757" s="8" t="s">
        <v>1542</v>
      </c>
    </row>
    <row r="758" spans="1:4" ht="14.25">
      <c r="A758" s="5" t="s">
        <v>42</v>
      </c>
      <c r="B758" s="6" t="s">
        <v>1543</v>
      </c>
      <c r="C758" s="7">
        <v>26601</v>
      </c>
      <c r="D758" s="8" t="s">
        <v>1544</v>
      </c>
    </row>
    <row r="759" spans="1:4" ht="14.25">
      <c r="A759" s="5">
        <v>29</v>
      </c>
      <c r="B759" s="6" t="s">
        <v>1545</v>
      </c>
      <c r="C759" s="7">
        <v>26601</v>
      </c>
      <c r="D759" s="8" t="s">
        <v>1546</v>
      </c>
    </row>
    <row r="760" spans="1:4" ht="14.25">
      <c r="A760" s="5">
        <v>29</v>
      </c>
      <c r="B760" s="6" t="s">
        <v>1547</v>
      </c>
      <c r="C760" s="7">
        <v>26601</v>
      </c>
      <c r="D760" s="8" t="s">
        <v>1548</v>
      </c>
    </row>
    <row r="761" spans="1:4" ht="14.25">
      <c r="A761" s="5" t="s">
        <v>1055</v>
      </c>
      <c r="B761" s="6" t="s">
        <v>1549</v>
      </c>
      <c r="C761" s="7">
        <v>26602</v>
      </c>
      <c r="D761" s="8" t="s">
        <v>1550</v>
      </c>
    </row>
    <row r="762" spans="1:4" ht="14.25">
      <c r="A762" s="5" t="s">
        <v>42</v>
      </c>
      <c r="B762" s="6" t="s">
        <v>1551</v>
      </c>
      <c r="C762" s="7">
        <v>26602</v>
      </c>
      <c r="D762" s="8" t="s">
        <v>1552</v>
      </c>
    </row>
    <row r="763" spans="1:4" ht="14.25">
      <c r="A763" s="5">
        <v>30</v>
      </c>
      <c r="B763" s="6" t="s">
        <v>1553</v>
      </c>
      <c r="C763" s="7">
        <v>26602</v>
      </c>
      <c r="D763" s="8" t="s">
        <v>1554</v>
      </c>
    </row>
    <row r="764" spans="1:4" ht="14.25">
      <c r="A764" s="5">
        <v>30</v>
      </c>
      <c r="B764" s="6" t="s">
        <v>1555</v>
      </c>
      <c r="C764" s="7">
        <v>26602</v>
      </c>
      <c r="D764" s="8" t="s">
        <v>1556</v>
      </c>
    </row>
    <row r="765" spans="1:4" ht="14.25">
      <c r="A765" s="5" t="s">
        <v>1055</v>
      </c>
      <c r="B765" s="6" t="s">
        <v>1557</v>
      </c>
      <c r="C765" s="7">
        <v>26603</v>
      </c>
      <c r="D765" s="8" t="s">
        <v>1558</v>
      </c>
    </row>
    <row r="766" spans="1:4" ht="14.25">
      <c r="A766" s="5" t="s">
        <v>42</v>
      </c>
      <c r="B766" s="6" t="s">
        <v>1559</v>
      </c>
      <c r="C766" s="7">
        <v>26603</v>
      </c>
      <c r="D766" s="8" t="s">
        <v>1560</v>
      </c>
    </row>
    <row r="767" spans="1:4" ht="14.25">
      <c r="A767" s="5">
        <v>31</v>
      </c>
      <c r="B767" s="6" t="s">
        <v>1561</v>
      </c>
      <c r="C767" s="7">
        <v>26603</v>
      </c>
      <c r="D767" s="8" t="s">
        <v>1562</v>
      </c>
    </row>
    <row r="768" spans="1:4" ht="14.25">
      <c r="A768" s="5">
        <v>31</v>
      </c>
      <c r="B768" s="6" t="s">
        <v>1563</v>
      </c>
      <c r="C768" s="7">
        <v>26603</v>
      </c>
      <c r="D768" s="8" t="s">
        <v>1564</v>
      </c>
    </row>
    <row r="769" spans="1:4" ht="14.25">
      <c r="A769" s="5" t="s">
        <v>1055</v>
      </c>
      <c r="B769" s="6" t="s">
        <v>1565</v>
      </c>
      <c r="C769" s="7">
        <v>26604</v>
      </c>
      <c r="D769" s="8" t="s">
        <v>1566</v>
      </c>
    </row>
    <row r="770" spans="1:4" ht="14.25">
      <c r="A770" s="5" t="s">
        <v>42</v>
      </c>
      <c r="B770" s="6" t="s">
        <v>1567</v>
      </c>
      <c r="C770" s="7">
        <v>26604</v>
      </c>
      <c r="D770" s="8" t="s">
        <v>1568</v>
      </c>
    </row>
    <row r="771" spans="1:4" ht="14.25">
      <c r="A771" s="5">
        <v>1</v>
      </c>
      <c r="B771" s="6" t="s">
        <v>1569</v>
      </c>
      <c r="C771" s="7">
        <v>26604</v>
      </c>
      <c r="D771" s="8" t="s">
        <v>1570</v>
      </c>
    </row>
    <row r="772" spans="1:4" ht="14.25">
      <c r="A772" s="5">
        <v>1</v>
      </c>
      <c r="B772" s="6" t="s">
        <v>1571</v>
      </c>
      <c r="C772" s="7">
        <v>26604</v>
      </c>
      <c r="D772" s="8" t="s">
        <v>1572</v>
      </c>
    </row>
    <row r="773" spans="1:4" ht="14.25">
      <c r="A773" s="5" t="s">
        <v>1055</v>
      </c>
      <c r="B773" s="6" t="s">
        <v>1573</v>
      </c>
      <c r="C773" s="7">
        <v>26605</v>
      </c>
      <c r="D773" s="8" t="s">
        <v>1574</v>
      </c>
    </row>
    <row r="774" spans="1:4" ht="14.25">
      <c r="A774" s="5" t="s">
        <v>42</v>
      </c>
      <c r="B774" s="6" t="s">
        <v>1575</v>
      </c>
      <c r="C774" s="7">
        <v>26605</v>
      </c>
      <c r="D774" s="8" t="s">
        <v>1576</v>
      </c>
    </row>
    <row r="775" spans="1:4" ht="14.25">
      <c r="A775" s="5">
        <v>2</v>
      </c>
      <c r="B775" s="6" t="s">
        <v>1577</v>
      </c>
      <c r="C775" s="7">
        <v>26605</v>
      </c>
      <c r="D775" s="8" t="s">
        <v>1578</v>
      </c>
    </row>
    <row r="776" spans="1:4" ht="14.25">
      <c r="A776" s="5">
        <v>2</v>
      </c>
      <c r="B776" s="6" t="s">
        <v>1579</v>
      </c>
      <c r="C776" s="7">
        <v>26605</v>
      </c>
      <c r="D776" s="8" t="s">
        <v>1580</v>
      </c>
    </row>
    <row r="777" spans="1:4" ht="14.25">
      <c r="A777" s="5" t="s">
        <v>1055</v>
      </c>
      <c r="B777" s="6" t="s">
        <v>1581</v>
      </c>
      <c r="C777" s="7">
        <v>26606</v>
      </c>
      <c r="D777" s="8" t="s">
        <v>1582</v>
      </c>
    </row>
    <row r="778" spans="1:4" ht="14.25">
      <c r="A778" s="5" t="s">
        <v>42</v>
      </c>
      <c r="B778" s="6" t="s">
        <v>1583</v>
      </c>
      <c r="C778" s="7">
        <v>26606</v>
      </c>
      <c r="D778" s="8" t="s">
        <v>1584</v>
      </c>
    </row>
    <row r="779" spans="1:4" ht="14.25">
      <c r="A779" s="5">
        <v>3</v>
      </c>
      <c r="B779" s="6" t="s">
        <v>1585</v>
      </c>
      <c r="C779" s="7">
        <v>26606</v>
      </c>
      <c r="D779" s="8" t="s">
        <v>1586</v>
      </c>
    </row>
    <row r="780" spans="1:4" ht="14.25">
      <c r="A780" s="5">
        <v>3</v>
      </c>
      <c r="B780" s="6" t="s">
        <v>1587</v>
      </c>
      <c r="C780" s="7">
        <v>26606</v>
      </c>
      <c r="D780" s="8" t="s">
        <v>1588</v>
      </c>
    </row>
    <row r="781" spans="1:4" ht="14.25">
      <c r="A781" s="5" t="s">
        <v>1055</v>
      </c>
      <c r="B781" s="6" t="s">
        <v>1589</v>
      </c>
      <c r="C781" s="7">
        <v>26607</v>
      </c>
      <c r="D781" s="8" t="s">
        <v>1590</v>
      </c>
    </row>
    <row r="782" spans="1:4" ht="14.25">
      <c r="A782" s="5" t="s">
        <v>42</v>
      </c>
      <c r="B782" s="6" t="s">
        <v>1591</v>
      </c>
      <c r="C782" s="7">
        <v>26607</v>
      </c>
      <c r="D782" s="8" t="s">
        <v>1592</v>
      </c>
    </row>
    <row r="783" spans="1:4" ht="14.25">
      <c r="A783" s="5">
        <v>4</v>
      </c>
      <c r="B783" s="6" t="s">
        <v>1593</v>
      </c>
      <c r="C783" s="7">
        <v>26607</v>
      </c>
      <c r="D783" s="8" t="s">
        <v>1594</v>
      </c>
    </row>
    <row r="784" spans="1:4" ht="14.25">
      <c r="A784" s="5">
        <v>4</v>
      </c>
      <c r="B784" s="6" t="s">
        <v>1595</v>
      </c>
      <c r="C784" s="7">
        <v>26607</v>
      </c>
      <c r="D784" s="8" t="s">
        <v>1596</v>
      </c>
    </row>
    <row r="785" spans="1:4" ht="14.25">
      <c r="A785" s="5" t="s">
        <v>1055</v>
      </c>
      <c r="B785" s="6" t="s">
        <v>1597</v>
      </c>
      <c r="C785" s="7">
        <v>26608</v>
      </c>
      <c r="D785" s="8" t="s">
        <v>1598</v>
      </c>
    </row>
    <row r="786" spans="1:4" ht="14.25">
      <c r="A786" s="5" t="s">
        <v>42</v>
      </c>
      <c r="B786" s="6" t="s">
        <v>1599</v>
      </c>
      <c r="C786" s="7">
        <v>26608</v>
      </c>
      <c r="D786" s="8" t="s">
        <v>1600</v>
      </c>
    </row>
    <row r="787" spans="1:4" ht="14.25">
      <c r="A787" s="5">
        <v>5</v>
      </c>
      <c r="B787" s="6" t="s">
        <v>1601</v>
      </c>
      <c r="C787" s="7">
        <v>26608</v>
      </c>
      <c r="D787" s="8" t="s">
        <v>1602</v>
      </c>
    </row>
    <row r="788" spans="1:4" ht="14.25">
      <c r="A788" s="5">
        <v>5</v>
      </c>
      <c r="B788" s="6" t="s">
        <v>1603</v>
      </c>
      <c r="C788" s="7">
        <v>26608</v>
      </c>
      <c r="D788" s="8" t="s">
        <v>1604</v>
      </c>
    </row>
    <row r="789" spans="1:4" ht="14.25">
      <c r="A789" s="5" t="s">
        <v>1055</v>
      </c>
      <c r="B789" s="6" t="s">
        <v>1605</v>
      </c>
      <c r="C789" s="7">
        <v>26609</v>
      </c>
      <c r="D789" s="8" t="s">
        <v>1606</v>
      </c>
    </row>
    <row r="790" spans="1:4" ht="14.25">
      <c r="A790" s="5" t="s">
        <v>42</v>
      </c>
      <c r="B790" s="6" t="s">
        <v>1607</v>
      </c>
      <c r="C790" s="7">
        <v>26609</v>
      </c>
      <c r="D790" s="8" t="s">
        <v>1608</v>
      </c>
    </row>
    <row r="791" spans="1:4" ht="14.25">
      <c r="A791" s="5">
        <v>6</v>
      </c>
      <c r="B791" s="6" t="s">
        <v>1609</v>
      </c>
      <c r="C791" s="7">
        <v>26609</v>
      </c>
      <c r="D791" s="8" t="s">
        <v>1610</v>
      </c>
    </row>
    <row r="792" spans="1:4" ht="14.25">
      <c r="A792" s="5">
        <v>6</v>
      </c>
      <c r="B792" s="6" t="s">
        <v>1611</v>
      </c>
      <c r="C792" s="7">
        <v>26609</v>
      </c>
      <c r="D792" s="8" t="s">
        <v>1612</v>
      </c>
    </row>
    <row r="793" spans="1:4" ht="14.25">
      <c r="A793" s="5" t="s">
        <v>1055</v>
      </c>
      <c r="B793" s="6" t="s">
        <v>1613</v>
      </c>
      <c r="C793" s="7">
        <v>26610</v>
      </c>
      <c r="D793" s="8" t="s">
        <v>1614</v>
      </c>
    </row>
    <row r="794" spans="1:4" ht="14.25">
      <c r="A794" s="5" t="s">
        <v>42</v>
      </c>
      <c r="B794" s="6" t="s">
        <v>1615</v>
      </c>
      <c r="C794" s="7">
        <v>26610</v>
      </c>
      <c r="D794" s="8" t="s">
        <v>1616</v>
      </c>
    </row>
    <row r="795" spans="1:4" ht="14.25">
      <c r="A795" s="5">
        <v>7</v>
      </c>
      <c r="B795" s="6" t="s">
        <v>1617</v>
      </c>
      <c r="C795" s="7">
        <v>26610</v>
      </c>
      <c r="D795" s="8" t="s">
        <v>1618</v>
      </c>
    </row>
    <row r="796" spans="1:4" ht="14.25">
      <c r="A796" s="5">
        <v>7</v>
      </c>
      <c r="B796" s="6" t="s">
        <v>1619</v>
      </c>
      <c r="C796" s="7">
        <v>26610</v>
      </c>
      <c r="D796" s="8" t="s">
        <v>1620</v>
      </c>
    </row>
    <row r="797" spans="1:4" ht="14.25">
      <c r="A797" s="5" t="s">
        <v>1055</v>
      </c>
      <c r="B797" s="6" t="s">
        <v>1621</v>
      </c>
      <c r="C797" s="7">
        <v>26611</v>
      </c>
      <c r="D797" s="8" t="s">
        <v>1622</v>
      </c>
    </row>
    <row r="798" spans="1:4" ht="14.25">
      <c r="A798" s="5" t="s">
        <v>42</v>
      </c>
      <c r="B798" s="6" t="s">
        <v>1623</v>
      </c>
      <c r="C798" s="7">
        <v>26611</v>
      </c>
      <c r="D798" s="8" t="s">
        <v>1624</v>
      </c>
    </row>
    <row r="799" spans="1:4" ht="14.25">
      <c r="A799" s="5">
        <v>8</v>
      </c>
      <c r="B799" s="6" t="s">
        <v>1625</v>
      </c>
      <c r="C799" s="7">
        <v>26611</v>
      </c>
      <c r="D799" s="8" t="s">
        <v>1626</v>
      </c>
    </row>
    <row r="800" spans="1:4" ht="14.25">
      <c r="A800" s="5">
        <v>8</v>
      </c>
      <c r="B800" s="6" t="s">
        <v>1627</v>
      </c>
      <c r="C800" s="7">
        <v>26611</v>
      </c>
      <c r="D800" s="8" t="s">
        <v>1628</v>
      </c>
    </row>
    <row r="801" spans="1:4" ht="14.25">
      <c r="A801" s="5" t="s">
        <v>1055</v>
      </c>
      <c r="B801" s="6" t="s">
        <v>1629</v>
      </c>
      <c r="C801" s="7">
        <v>26612</v>
      </c>
      <c r="D801" s="8" t="s">
        <v>1630</v>
      </c>
    </row>
    <row r="802" spans="1:4" ht="14.25">
      <c r="A802" s="5" t="s">
        <v>42</v>
      </c>
      <c r="B802" s="6" t="s">
        <v>1631</v>
      </c>
      <c r="C802" s="7">
        <v>26612</v>
      </c>
      <c r="D802" s="8" t="s">
        <v>1632</v>
      </c>
    </row>
    <row r="803" spans="1:4" ht="14.25">
      <c r="A803" s="5">
        <v>9</v>
      </c>
      <c r="B803" s="6" t="s">
        <v>1633</v>
      </c>
      <c r="C803" s="7">
        <v>26612</v>
      </c>
      <c r="D803" s="8" t="s">
        <v>1634</v>
      </c>
    </row>
    <row r="804" spans="1:4" ht="14.25">
      <c r="A804" s="5">
        <v>9</v>
      </c>
      <c r="B804" s="6" t="s">
        <v>1635</v>
      </c>
      <c r="C804" s="7">
        <v>26612</v>
      </c>
      <c r="D804" s="8" t="s">
        <v>1636</v>
      </c>
    </row>
    <row r="805" spans="1:4" ht="14.25">
      <c r="A805" s="5" t="s">
        <v>1055</v>
      </c>
      <c r="B805" s="6" t="s">
        <v>1637</v>
      </c>
      <c r="C805" s="7">
        <v>26613</v>
      </c>
      <c r="D805" s="8" t="s">
        <v>1638</v>
      </c>
    </row>
    <row r="806" spans="1:4" ht="14.25">
      <c r="A806" s="5" t="s">
        <v>42</v>
      </c>
      <c r="B806" s="6" t="s">
        <v>1639</v>
      </c>
      <c r="C806" s="7">
        <v>26613</v>
      </c>
      <c r="D806" s="8" t="s">
        <v>1640</v>
      </c>
    </row>
    <row r="807" spans="1:4" ht="14.25">
      <c r="A807" s="5">
        <v>10</v>
      </c>
      <c r="B807" s="6" t="s">
        <v>1641</v>
      </c>
      <c r="C807" s="7">
        <v>26613</v>
      </c>
      <c r="D807" s="8" t="s">
        <v>1642</v>
      </c>
    </row>
    <row r="808" spans="1:4" ht="14.25">
      <c r="A808" s="5">
        <v>10</v>
      </c>
      <c r="B808" s="6" t="s">
        <v>1643</v>
      </c>
      <c r="C808" s="7">
        <v>26613</v>
      </c>
      <c r="D808" s="8" t="s">
        <v>1644</v>
      </c>
    </row>
    <row r="809" spans="1:4" ht="14.25">
      <c r="A809" s="5" t="s">
        <v>1055</v>
      </c>
      <c r="B809" s="6" t="s">
        <v>1645</v>
      </c>
      <c r="C809" s="7">
        <v>26614</v>
      </c>
      <c r="D809" s="8" t="s">
        <v>1646</v>
      </c>
    </row>
    <row r="810" spans="1:4" ht="14.25">
      <c r="A810" s="5" t="s">
        <v>42</v>
      </c>
      <c r="B810" s="6" t="s">
        <v>1647</v>
      </c>
      <c r="C810" s="7">
        <v>26614</v>
      </c>
      <c r="D810" s="8" t="s">
        <v>1648</v>
      </c>
    </row>
    <row r="811" spans="1:4" ht="14.25">
      <c r="A811" s="5">
        <v>11</v>
      </c>
      <c r="B811" s="6" t="s">
        <v>1649</v>
      </c>
      <c r="C811" s="7">
        <v>26614</v>
      </c>
      <c r="D811" s="8" t="s">
        <v>1650</v>
      </c>
    </row>
    <row r="812" spans="1:4" ht="14.25">
      <c r="A812" s="5">
        <v>11</v>
      </c>
      <c r="B812" s="6" t="s">
        <v>1651</v>
      </c>
      <c r="C812" s="7">
        <v>26614</v>
      </c>
      <c r="D812" s="8" t="s">
        <v>1652</v>
      </c>
    </row>
    <row r="813" spans="1:4" ht="14.25">
      <c r="A813" s="5" t="s">
        <v>1055</v>
      </c>
      <c r="B813" s="6" t="s">
        <v>1653</v>
      </c>
      <c r="C813" s="7">
        <v>26615</v>
      </c>
      <c r="D813" s="8" t="s">
        <v>1654</v>
      </c>
    </row>
    <row r="814" spans="1:4" ht="14.25">
      <c r="A814" s="5" t="s">
        <v>42</v>
      </c>
      <c r="B814" s="6" t="s">
        <v>1655</v>
      </c>
      <c r="C814" s="7">
        <v>26615</v>
      </c>
      <c r="D814" s="8" t="s">
        <v>1656</v>
      </c>
    </row>
    <row r="815" spans="1:4" ht="14.25">
      <c r="A815" s="5">
        <v>12</v>
      </c>
      <c r="B815" s="6" t="s">
        <v>1657</v>
      </c>
      <c r="C815" s="7">
        <v>26615</v>
      </c>
      <c r="D815" s="8" t="s">
        <v>1658</v>
      </c>
    </row>
    <row r="816" spans="1:4" ht="14.25">
      <c r="A816" s="5">
        <v>12</v>
      </c>
      <c r="B816" s="6" t="s">
        <v>1659</v>
      </c>
      <c r="C816" s="7">
        <v>26615</v>
      </c>
      <c r="D816" s="8" t="s">
        <v>1660</v>
      </c>
    </row>
    <row r="817" spans="1:4" ht="14.25">
      <c r="A817" s="5" t="s">
        <v>1055</v>
      </c>
      <c r="B817" s="6" t="s">
        <v>1661</v>
      </c>
      <c r="C817" s="7">
        <v>26616</v>
      </c>
      <c r="D817" s="8" t="s">
        <v>1662</v>
      </c>
    </row>
    <row r="818" spans="1:4" ht="14.25">
      <c r="A818" s="5" t="s">
        <v>42</v>
      </c>
      <c r="B818" s="6" t="s">
        <v>1663</v>
      </c>
      <c r="C818" s="7">
        <v>26616</v>
      </c>
      <c r="D818" s="8" t="s">
        <v>1664</v>
      </c>
    </row>
    <row r="819" spans="1:4" ht="14.25">
      <c r="A819" s="5">
        <v>13</v>
      </c>
      <c r="B819" s="6" t="s">
        <v>1665</v>
      </c>
      <c r="C819" s="7">
        <v>26616</v>
      </c>
      <c r="D819" s="8" t="s">
        <v>1666</v>
      </c>
    </row>
    <row r="820" spans="1:4" ht="14.25">
      <c r="A820" s="5">
        <v>13</v>
      </c>
      <c r="B820" s="6" t="s">
        <v>1667</v>
      </c>
      <c r="C820" s="7">
        <v>26616</v>
      </c>
      <c r="D820" s="8" t="s">
        <v>1668</v>
      </c>
    </row>
    <row r="821" spans="1:4" ht="14.25">
      <c r="A821" s="5" t="s">
        <v>42</v>
      </c>
      <c r="B821" s="6" t="s">
        <v>1669</v>
      </c>
      <c r="C821" s="7">
        <v>26617</v>
      </c>
      <c r="D821" s="8" t="s">
        <v>1670</v>
      </c>
    </row>
    <row r="822" spans="1:4" ht="14.25">
      <c r="A822" s="5">
        <v>14</v>
      </c>
      <c r="B822" s="6" t="s">
        <v>1671</v>
      </c>
      <c r="C822" s="7">
        <v>26617</v>
      </c>
      <c r="D822" s="8" t="s">
        <v>1672</v>
      </c>
    </row>
    <row r="823" spans="1:4" ht="14.25">
      <c r="A823" s="5" t="s">
        <v>18</v>
      </c>
      <c r="B823" s="6" t="s">
        <v>1673</v>
      </c>
      <c r="C823" s="7">
        <v>26620</v>
      </c>
      <c r="D823" s="8" t="s">
        <v>1674</v>
      </c>
    </row>
    <row r="824" spans="1:4" ht="14.25">
      <c r="A824" s="5">
        <v>17</v>
      </c>
      <c r="B824" s="6" t="s">
        <v>1675</v>
      </c>
      <c r="C824" s="7">
        <v>26620</v>
      </c>
      <c r="D824" s="8" t="s">
        <v>1676</v>
      </c>
    </row>
    <row r="825" spans="1:4" ht="14.25">
      <c r="A825" s="5" t="s">
        <v>18</v>
      </c>
      <c r="B825" s="6" t="s">
        <v>1677</v>
      </c>
      <c r="C825" s="7">
        <v>26621</v>
      </c>
      <c r="D825" s="8" t="s">
        <v>1678</v>
      </c>
    </row>
    <row r="826" spans="1:4" ht="14.25">
      <c r="A826" s="5">
        <v>18</v>
      </c>
      <c r="B826" s="6" t="s">
        <v>1679</v>
      </c>
      <c r="C826" s="7">
        <v>26621</v>
      </c>
      <c r="D826" s="8" t="s">
        <v>1680</v>
      </c>
    </row>
    <row r="827" spans="1:4" ht="14.25">
      <c r="A827" s="5" t="s">
        <v>18</v>
      </c>
      <c r="B827" s="6" t="s">
        <v>1681</v>
      </c>
      <c r="C827" s="7">
        <v>26622</v>
      </c>
      <c r="D827" s="8" t="s">
        <v>1682</v>
      </c>
    </row>
    <row r="828" spans="1:4" ht="14.25">
      <c r="A828" s="5">
        <v>19</v>
      </c>
      <c r="B828" s="6" t="s">
        <v>1683</v>
      </c>
      <c r="C828" s="7">
        <v>26622</v>
      </c>
      <c r="D828" s="8" t="s">
        <v>1684</v>
      </c>
    </row>
    <row r="829" spans="1:4" ht="14.25">
      <c r="A829" s="5" t="s">
        <v>18</v>
      </c>
      <c r="B829" s="6" t="s">
        <v>1685</v>
      </c>
      <c r="C829" s="7">
        <v>26624</v>
      </c>
      <c r="D829" s="8" t="s">
        <v>1686</v>
      </c>
    </row>
    <row r="830" spans="1:4" ht="14.25">
      <c r="A830" s="5">
        <v>21</v>
      </c>
      <c r="B830" s="6" t="s">
        <v>1687</v>
      </c>
      <c r="C830" s="7">
        <v>26624</v>
      </c>
      <c r="D830" s="8" t="s">
        <v>1688</v>
      </c>
    </row>
    <row r="831" spans="1:4" ht="14.25">
      <c r="A831" s="5" t="s">
        <v>18</v>
      </c>
      <c r="B831" s="6" t="s">
        <v>1689</v>
      </c>
      <c r="C831" s="7">
        <v>26625</v>
      </c>
      <c r="D831" s="8" t="s">
        <v>1690</v>
      </c>
    </row>
    <row r="832" spans="1:4" ht="14.25">
      <c r="A832" s="5">
        <v>22</v>
      </c>
      <c r="B832" s="6" t="s">
        <v>1691</v>
      </c>
      <c r="C832" s="7">
        <v>26625</v>
      </c>
      <c r="D832" s="8" t="s">
        <v>1692</v>
      </c>
    </row>
    <row r="833" spans="1:4" ht="14.25">
      <c r="A833" s="5" t="s">
        <v>18</v>
      </c>
      <c r="B833" s="6" t="s">
        <v>1693</v>
      </c>
      <c r="C833" s="7">
        <v>26626</v>
      </c>
      <c r="D833" s="8" t="s">
        <v>1694</v>
      </c>
    </row>
    <row r="834" spans="1:4" ht="14.25">
      <c r="A834" s="5" t="s">
        <v>184</v>
      </c>
      <c r="B834" s="6" t="s">
        <v>1695</v>
      </c>
      <c r="C834" s="7">
        <v>26626</v>
      </c>
      <c r="D834" s="8" t="s">
        <v>1696</v>
      </c>
    </row>
    <row r="835" spans="1:4" ht="14.25">
      <c r="A835" s="5">
        <v>23</v>
      </c>
      <c r="B835" s="6" t="s">
        <v>1697</v>
      </c>
      <c r="C835" s="7">
        <v>26626</v>
      </c>
      <c r="D835" s="8" t="s">
        <v>1698</v>
      </c>
    </row>
    <row r="836" spans="1:4" ht="14.25">
      <c r="A836" s="5">
        <v>23</v>
      </c>
      <c r="B836" s="6" t="s">
        <v>1699</v>
      </c>
      <c r="C836" s="7">
        <v>26626</v>
      </c>
      <c r="D836" s="8" t="s">
        <v>1700</v>
      </c>
    </row>
    <row r="837" spans="1:4" ht="14.25">
      <c r="A837" s="5" t="s">
        <v>18</v>
      </c>
      <c r="B837" s="6" t="s">
        <v>1701</v>
      </c>
      <c r="C837" s="7">
        <v>26628</v>
      </c>
      <c r="D837" s="8" t="s">
        <v>1702</v>
      </c>
    </row>
    <row r="838" spans="1:4" ht="14.25">
      <c r="A838" s="5">
        <v>25</v>
      </c>
      <c r="B838" s="6" t="s">
        <v>1703</v>
      </c>
      <c r="C838" s="7">
        <v>26628</v>
      </c>
      <c r="D838" s="8" t="s">
        <v>1704</v>
      </c>
    </row>
    <row r="839" spans="1:4" ht="14.25">
      <c r="A839" s="5" t="s">
        <v>18</v>
      </c>
      <c r="B839" s="6" t="s">
        <v>1705</v>
      </c>
      <c r="C839" s="7">
        <v>26629</v>
      </c>
      <c r="D839" s="8" t="s">
        <v>1706</v>
      </c>
    </row>
    <row r="840" spans="1:4" ht="14.25">
      <c r="A840" s="5">
        <v>26</v>
      </c>
      <c r="B840" s="6" t="s">
        <v>1707</v>
      </c>
      <c r="C840" s="7">
        <v>26629</v>
      </c>
      <c r="D840" s="8" t="s">
        <v>1708</v>
      </c>
    </row>
    <row r="841" spans="1:4" ht="14.25">
      <c r="A841" s="5" t="s">
        <v>18</v>
      </c>
      <c r="B841" s="6" t="s">
        <v>1709</v>
      </c>
      <c r="C841" s="7">
        <v>26630</v>
      </c>
      <c r="D841" s="8" t="s">
        <v>1710</v>
      </c>
    </row>
    <row r="842" spans="1:4" ht="14.25">
      <c r="A842" s="5">
        <v>27</v>
      </c>
      <c r="B842" s="6" t="s">
        <v>1711</v>
      </c>
      <c r="C842" s="7">
        <v>26630</v>
      </c>
      <c r="D842" s="8" t="s">
        <v>1712</v>
      </c>
    </row>
    <row r="843" spans="1:4" ht="14.25">
      <c r="A843" s="5" t="s">
        <v>18</v>
      </c>
      <c r="B843" s="6" t="s">
        <v>1713</v>
      </c>
      <c r="C843" s="7">
        <v>26631</v>
      </c>
      <c r="D843" s="8" t="s">
        <v>1714</v>
      </c>
    </row>
    <row r="844" spans="1:4" ht="14.25">
      <c r="A844" s="5">
        <v>28</v>
      </c>
      <c r="B844" s="6" t="s">
        <v>1715</v>
      </c>
      <c r="C844" s="7">
        <v>26631</v>
      </c>
      <c r="D844" s="8" t="s">
        <v>1716</v>
      </c>
    </row>
    <row r="845" spans="1:4" ht="14.25">
      <c r="A845" s="5" t="s">
        <v>863</v>
      </c>
      <c r="B845" s="6" t="s">
        <v>1717</v>
      </c>
      <c r="C845" s="7">
        <v>26632</v>
      </c>
      <c r="D845" s="8" t="s">
        <v>1718</v>
      </c>
    </row>
    <row r="846" spans="1:4" ht="14.25">
      <c r="A846" s="5" t="s">
        <v>18</v>
      </c>
      <c r="B846" s="6" t="s">
        <v>1719</v>
      </c>
      <c r="C846" s="7">
        <v>26632</v>
      </c>
      <c r="D846" s="8" t="s">
        <v>1720</v>
      </c>
    </row>
    <row r="847" spans="1:4" ht="14.25">
      <c r="A847" s="5">
        <v>29</v>
      </c>
      <c r="B847" s="6" t="s">
        <v>1721</v>
      </c>
      <c r="C847" s="7">
        <v>26632</v>
      </c>
      <c r="D847" s="8" t="s">
        <v>1722</v>
      </c>
    </row>
    <row r="848" spans="1:4" ht="14.25">
      <c r="A848" s="5">
        <v>29</v>
      </c>
      <c r="B848" s="6" t="s">
        <v>1723</v>
      </c>
      <c r="C848" s="7">
        <v>26632</v>
      </c>
      <c r="D848" s="8" t="s">
        <v>1724</v>
      </c>
    </row>
    <row r="849" spans="1:4" ht="14.25">
      <c r="A849" s="5" t="s">
        <v>18</v>
      </c>
      <c r="B849" s="6" t="s">
        <v>1725</v>
      </c>
      <c r="C849" s="7">
        <v>26633</v>
      </c>
      <c r="D849" s="8" t="s">
        <v>1726</v>
      </c>
    </row>
    <row r="850" spans="1:4" ht="14.25">
      <c r="A850" s="5">
        <v>30</v>
      </c>
      <c r="B850" s="6" t="s">
        <v>1727</v>
      </c>
      <c r="C850" s="7">
        <v>26633</v>
      </c>
      <c r="D850" s="8" t="s">
        <v>1728</v>
      </c>
    </row>
    <row r="851" spans="1:4" ht="14.25">
      <c r="A851" s="5" t="s">
        <v>167</v>
      </c>
      <c r="B851" s="6" t="s">
        <v>1729</v>
      </c>
      <c r="C851" s="7">
        <v>26638</v>
      </c>
      <c r="D851" s="8" t="s">
        <v>1730</v>
      </c>
    </row>
    <row r="852" spans="1:4" ht="14.25">
      <c r="A852" s="5">
        <v>5</v>
      </c>
      <c r="B852" s="6" t="s">
        <v>1731</v>
      </c>
      <c r="C852" s="7">
        <v>26638</v>
      </c>
      <c r="D852" s="8" t="s">
        <v>1732</v>
      </c>
    </row>
    <row r="853" spans="1:4" ht="14.25">
      <c r="A853" s="5" t="s">
        <v>18</v>
      </c>
      <c r="B853" s="6" t="s">
        <v>1733</v>
      </c>
      <c r="C853" s="7">
        <v>26639</v>
      </c>
      <c r="D853" s="8" t="s">
        <v>1734</v>
      </c>
    </row>
    <row r="854" spans="1:4" ht="14.25">
      <c r="A854" s="5">
        <v>6</v>
      </c>
      <c r="B854" s="6" t="s">
        <v>1735</v>
      </c>
      <c r="C854" s="7">
        <v>26639</v>
      </c>
      <c r="D854" s="8" t="s">
        <v>1736</v>
      </c>
    </row>
    <row r="855" spans="1:4" ht="14.25">
      <c r="A855" s="5" t="s">
        <v>18</v>
      </c>
      <c r="B855" s="6" t="s">
        <v>1737</v>
      </c>
      <c r="C855" s="7">
        <v>26640</v>
      </c>
      <c r="D855" s="8" t="s">
        <v>1738</v>
      </c>
    </row>
    <row r="856" spans="1:4" ht="14.25">
      <c r="A856" s="5">
        <v>7</v>
      </c>
      <c r="B856" s="6" t="s">
        <v>1739</v>
      </c>
      <c r="C856" s="7">
        <v>26640</v>
      </c>
      <c r="D856" s="8" t="s">
        <v>1740</v>
      </c>
    </row>
    <row r="857" spans="1:4" ht="14.25">
      <c r="A857" s="5" t="s">
        <v>167</v>
      </c>
      <c r="B857" s="6" t="s">
        <v>1741</v>
      </c>
      <c r="C857" s="7">
        <v>26641</v>
      </c>
      <c r="D857" s="8" t="s">
        <v>1742</v>
      </c>
    </row>
    <row r="858" spans="1:4" ht="14.25">
      <c r="A858" s="5">
        <v>8</v>
      </c>
      <c r="B858" s="6" t="s">
        <v>1743</v>
      </c>
      <c r="C858" s="7">
        <v>26641</v>
      </c>
      <c r="D858" s="8" t="s">
        <v>1744</v>
      </c>
    </row>
    <row r="859" spans="1:4" ht="14.25">
      <c r="A859" s="5" t="s">
        <v>1745</v>
      </c>
      <c r="B859" s="6" t="s">
        <v>1746</v>
      </c>
      <c r="C859" s="7">
        <v>26642</v>
      </c>
      <c r="D859" s="8" t="s">
        <v>1747</v>
      </c>
    </row>
    <row r="860" spans="1:4" ht="14.25">
      <c r="A860" s="5">
        <v>9</v>
      </c>
      <c r="B860" s="6" t="s">
        <v>1748</v>
      </c>
      <c r="C860" s="7">
        <v>26642</v>
      </c>
      <c r="D860" s="8" t="s">
        <v>1749</v>
      </c>
    </row>
    <row r="861" spans="1:4" ht="14.25">
      <c r="A861" s="5" t="s">
        <v>1745</v>
      </c>
      <c r="B861" s="6" t="s">
        <v>1750</v>
      </c>
      <c r="C861" s="7">
        <v>26643</v>
      </c>
      <c r="D861" s="8" t="s">
        <v>1751</v>
      </c>
    </row>
    <row r="862" spans="1:4" ht="14.25">
      <c r="A862" s="5">
        <v>10</v>
      </c>
      <c r="B862" s="6" t="s">
        <v>1752</v>
      </c>
      <c r="C862" s="7">
        <v>26643</v>
      </c>
      <c r="D862" s="8" t="s">
        <v>1753</v>
      </c>
    </row>
    <row r="863" spans="1:4" ht="14.25">
      <c r="A863" s="5" t="s">
        <v>18</v>
      </c>
      <c r="B863" s="6" t="s">
        <v>1754</v>
      </c>
      <c r="C863" s="7">
        <v>26644</v>
      </c>
      <c r="D863" s="8" t="s">
        <v>1755</v>
      </c>
    </row>
    <row r="864" spans="1:4" ht="14.25">
      <c r="A864" s="5">
        <v>11</v>
      </c>
      <c r="B864" s="6" t="s">
        <v>1756</v>
      </c>
      <c r="C864" s="7">
        <v>26644</v>
      </c>
      <c r="D864" s="8" t="s">
        <v>1757</v>
      </c>
    </row>
    <row r="865" spans="1:4" ht="14.25">
      <c r="A865" s="5" t="s">
        <v>150</v>
      </c>
      <c r="B865" s="6" t="s">
        <v>1758</v>
      </c>
      <c r="C865" s="7">
        <v>26645</v>
      </c>
      <c r="D865" s="8" t="s">
        <v>1759</v>
      </c>
    </row>
    <row r="866" spans="1:4" ht="14.25">
      <c r="A866" s="5">
        <v>12</v>
      </c>
      <c r="B866" s="6" t="s">
        <v>1760</v>
      </c>
      <c r="C866" s="7">
        <v>26645</v>
      </c>
      <c r="D866" s="8" t="s">
        <v>1761</v>
      </c>
    </row>
    <row r="867" spans="1:4" ht="14.25">
      <c r="A867" s="5" t="s">
        <v>184</v>
      </c>
      <c r="B867" s="6" t="s">
        <v>1762</v>
      </c>
      <c r="C867" s="7">
        <v>26646</v>
      </c>
      <c r="D867" s="8" t="s">
        <v>1763</v>
      </c>
    </row>
    <row r="868" spans="1:4" ht="14.25">
      <c r="A868" s="5">
        <v>13</v>
      </c>
      <c r="B868" s="6" t="s">
        <v>1764</v>
      </c>
      <c r="C868" s="7">
        <v>26646</v>
      </c>
      <c r="D868" s="8" t="s">
        <v>1765</v>
      </c>
    </row>
    <row r="869" spans="1:4" ht="14.25">
      <c r="A869" s="5" t="s">
        <v>184</v>
      </c>
      <c r="B869" s="6" t="s">
        <v>1766</v>
      </c>
      <c r="C869" s="7">
        <v>26647</v>
      </c>
      <c r="D869" s="8" t="s">
        <v>1767</v>
      </c>
    </row>
    <row r="870" spans="1:4" ht="14.25">
      <c r="A870" s="5">
        <v>14</v>
      </c>
      <c r="B870" s="6" t="s">
        <v>1768</v>
      </c>
      <c r="C870" s="7">
        <v>26647</v>
      </c>
      <c r="D870" s="8" t="s">
        <v>1769</v>
      </c>
    </row>
    <row r="871" spans="1:4" ht="14.25">
      <c r="A871" s="5" t="s">
        <v>1055</v>
      </c>
      <c r="B871" s="6" t="s">
        <v>1770</v>
      </c>
      <c r="C871" s="7">
        <v>26659</v>
      </c>
      <c r="D871" s="8" t="s">
        <v>1771</v>
      </c>
    </row>
    <row r="872" spans="1:4" ht="14.25">
      <c r="A872" s="5">
        <v>26</v>
      </c>
      <c r="B872" s="6" t="s">
        <v>1772</v>
      </c>
      <c r="C872" s="7">
        <v>26659</v>
      </c>
      <c r="D872" s="8" t="s">
        <v>1773</v>
      </c>
    </row>
    <row r="873" spans="1:4" ht="14.25">
      <c r="A873" s="5" t="s">
        <v>1055</v>
      </c>
      <c r="B873" s="6" t="s">
        <v>1774</v>
      </c>
      <c r="C873" s="7">
        <v>26660</v>
      </c>
      <c r="D873" s="8" t="s">
        <v>1775</v>
      </c>
    </row>
    <row r="874" spans="1:4" ht="14.25">
      <c r="A874" s="5">
        <v>27</v>
      </c>
      <c r="B874" s="6" t="s">
        <v>1776</v>
      </c>
      <c r="C874" s="7">
        <v>26660</v>
      </c>
      <c r="D874" s="8" t="s">
        <v>1777</v>
      </c>
    </row>
    <row r="875" spans="1:4" ht="14.25">
      <c r="A875" s="5" t="s">
        <v>1055</v>
      </c>
      <c r="B875" s="6" t="s">
        <v>1778</v>
      </c>
      <c r="C875" s="7">
        <v>26661</v>
      </c>
      <c r="D875" s="8" t="s">
        <v>1779</v>
      </c>
    </row>
    <row r="876" spans="1:4" ht="14.25">
      <c r="A876" s="5" t="s">
        <v>1055</v>
      </c>
      <c r="B876" s="6" t="s">
        <v>1780</v>
      </c>
      <c r="C876" s="7">
        <v>26661</v>
      </c>
      <c r="D876" s="8" t="s">
        <v>1781</v>
      </c>
    </row>
    <row r="877" spans="1:4" ht="14.25">
      <c r="A877" s="5">
        <v>28</v>
      </c>
      <c r="B877" s="6" t="s">
        <v>1782</v>
      </c>
      <c r="C877" s="7">
        <v>26661</v>
      </c>
      <c r="D877" s="8" t="s">
        <v>1783</v>
      </c>
    </row>
    <row r="878" spans="1:4" ht="14.25">
      <c r="A878" s="5">
        <v>28</v>
      </c>
      <c r="B878" s="6" t="s">
        <v>1784</v>
      </c>
      <c r="C878" s="7">
        <v>26661</v>
      </c>
      <c r="D878" s="8" t="s">
        <v>1785</v>
      </c>
    </row>
    <row r="879" spans="1:4" ht="14.25">
      <c r="A879" s="5" t="s">
        <v>1786</v>
      </c>
      <c r="B879" s="6" t="s">
        <v>1787</v>
      </c>
      <c r="C879" s="7">
        <v>26662</v>
      </c>
      <c r="D879" s="8" t="s">
        <v>1788</v>
      </c>
    </row>
    <row r="880" spans="1:4" ht="14.25">
      <c r="A880" s="5">
        <v>29</v>
      </c>
      <c r="B880" s="6" t="s">
        <v>1789</v>
      </c>
      <c r="C880" s="7">
        <v>26662</v>
      </c>
      <c r="D880" s="8" t="s">
        <v>1790</v>
      </c>
    </row>
    <row r="881" spans="1:4" ht="14.25">
      <c r="A881" s="5" t="s">
        <v>1786</v>
      </c>
      <c r="B881" s="6" t="s">
        <v>1791</v>
      </c>
      <c r="C881" s="7">
        <v>26663</v>
      </c>
      <c r="D881" s="8" t="s">
        <v>1792</v>
      </c>
    </row>
    <row r="882" spans="1:4" ht="14.25">
      <c r="A882" s="5">
        <v>30</v>
      </c>
      <c r="B882" s="6" t="s">
        <v>1793</v>
      </c>
      <c r="C882" s="7">
        <v>26663</v>
      </c>
      <c r="D882" s="8" t="s">
        <v>1794</v>
      </c>
    </row>
    <row r="883" spans="1:4" ht="14.25">
      <c r="A883" s="5" t="s">
        <v>1055</v>
      </c>
      <c r="B883" s="6" t="s">
        <v>1795</v>
      </c>
      <c r="C883" s="7">
        <v>26665</v>
      </c>
      <c r="D883" s="8" t="s">
        <v>1796</v>
      </c>
    </row>
    <row r="884" spans="1:4" ht="14.25">
      <c r="A884" s="5">
        <v>1</v>
      </c>
      <c r="B884" s="6" t="s">
        <v>1797</v>
      </c>
      <c r="C884" s="7">
        <v>26665</v>
      </c>
      <c r="D884" s="8" t="s">
        <v>1798</v>
      </c>
    </row>
    <row r="885" spans="1:4" ht="14.25">
      <c r="A885" s="5" t="s">
        <v>167</v>
      </c>
      <c r="B885" s="6" t="s">
        <v>1799</v>
      </c>
      <c r="C885" s="7">
        <v>26667</v>
      </c>
      <c r="D885" s="8" t="s">
        <v>1800</v>
      </c>
    </row>
    <row r="886" spans="1:4" ht="14.25">
      <c r="A886" s="5">
        <v>3</v>
      </c>
      <c r="B886" s="6" t="s">
        <v>1801</v>
      </c>
      <c r="C886" s="7">
        <v>26667</v>
      </c>
      <c r="D886" s="8" t="s">
        <v>1802</v>
      </c>
    </row>
    <row r="887" spans="1:4" ht="14.25">
      <c r="A887" s="5" t="s">
        <v>1055</v>
      </c>
      <c r="B887" s="6" t="s">
        <v>1803</v>
      </c>
      <c r="C887" s="7">
        <v>26668</v>
      </c>
      <c r="D887" s="8" t="s">
        <v>1804</v>
      </c>
    </row>
    <row r="888" spans="1:4" ht="14.25">
      <c r="A888" s="5">
        <v>4</v>
      </c>
      <c r="B888" s="6" t="s">
        <v>1805</v>
      </c>
      <c r="C888" s="7">
        <v>26668</v>
      </c>
      <c r="D888" s="8" t="s">
        <v>1806</v>
      </c>
    </row>
    <row r="889" spans="1:4" ht="14.25">
      <c r="A889" s="5" t="s">
        <v>1055</v>
      </c>
      <c r="B889" s="6" t="s">
        <v>1807</v>
      </c>
      <c r="C889" s="7">
        <v>26669</v>
      </c>
      <c r="D889" s="8" t="s">
        <v>1808</v>
      </c>
    </row>
    <row r="890" spans="1:4" ht="14.25">
      <c r="A890" s="5" t="s">
        <v>1055</v>
      </c>
      <c r="B890" s="6" t="s">
        <v>1809</v>
      </c>
      <c r="C890" s="7">
        <v>26669</v>
      </c>
      <c r="D890" s="8" t="s">
        <v>1810</v>
      </c>
    </row>
    <row r="891" spans="1:4" ht="14.25">
      <c r="A891" s="5">
        <v>5</v>
      </c>
      <c r="B891" s="6" t="s">
        <v>1811</v>
      </c>
      <c r="C891" s="7">
        <v>26669</v>
      </c>
      <c r="D891" s="8" t="s">
        <v>1812</v>
      </c>
    </row>
    <row r="892" spans="1:4" ht="14.25">
      <c r="A892" s="5">
        <v>5</v>
      </c>
      <c r="B892" s="6" t="s">
        <v>1813</v>
      </c>
      <c r="C892" s="7">
        <v>26669</v>
      </c>
      <c r="D892" s="8" t="s">
        <v>1814</v>
      </c>
    </row>
    <row r="893" spans="1:4" ht="14.25">
      <c r="A893" s="5" t="s">
        <v>1055</v>
      </c>
      <c r="B893" s="6" t="s">
        <v>1815</v>
      </c>
      <c r="C893" s="7">
        <v>26671</v>
      </c>
      <c r="D893" s="8" t="s">
        <v>1816</v>
      </c>
    </row>
    <row r="894" spans="1:4" ht="14.25">
      <c r="A894" s="5">
        <v>7</v>
      </c>
      <c r="B894" s="6" t="s">
        <v>1817</v>
      </c>
      <c r="C894" s="7">
        <v>26671</v>
      </c>
      <c r="D894" s="8" t="s">
        <v>1818</v>
      </c>
    </row>
    <row r="895" spans="1:4" ht="14.25">
      <c r="A895" s="5" t="s">
        <v>1055</v>
      </c>
      <c r="B895" s="6" t="s">
        <v>1819</v>
      </c>
      <c r="C895" s="7">
        <v>26675</v>
      </c>
      <c r="D895" s="8" t="s">
        <v>1820</v>
      </c>
    </row>
    <row r="896" spans="1:4" ht="14.25">
      <c r="A896" s="5">
        <v>11</v>
      </c>
      <c r="B896" s="6" t="s">
        <v>1821</v>
      </c>
      <c r="C896" s="7">
        <v>26675</v>
      </c>
      <c r="D896" s="8" t="s">
        <v>1822</v>
      </c>
    </row>
    <row r="897" spans="1:4" ht="14.25">
      <c r="A897" s="5" t="s">
        <v>5</v>
      </c>
      <c r="B897" s="6" t="s">
        <v>1823</v>
      </c>
      <c r="C897" s="7">
        <v>26676</v>
      </c>
      <c r="D897" s="8" t="s">
        <v>1824</v>
      </c>
    </row>
    <row r="898" spans="1:4" ht="14.25">
      <c r="A898" s="5">
        <v>12</v>
      </c>
      <c r="B898" s="6" t="s">
        <v>1825</v>
      </c>
      <c r="C898" s="7">
        <v>26676</v>
      </c>
      <c r="D898" s="8" t="s">
        <v>1826</v>
      </c>
    </row>
    <row r="899" spans="1:4" ht="14.25">
      <c r="A899" s="5" t="s">
        <v>184</v>
      </c>
      <c r="B899" s="6" t="s">
        <v>1827</v>
      </c>
      <c r="C899" s="7">
        <v>26677</v>
      </c>
      <c r="D899" s="8" t="s">
        <v>1828</v>
      </c>
    </row>
    <row r="900" spans="1:4" ht="14.25">
      <c r="A900" s="5">
        <v>13</v>
      </c>
      <c r="B900" s="6" t="s">
        <v>1829</v>
      </c>
      <c r="C900" s="7">
        <v>26677</v>
      </c>
      <c r="D900" s="8" t="s">
        <v>1830</v>
      </c>
    </row>
    <row r="901" spans="1:4" ht="14.25">
      <c r="A901" s="5" t="s">
        <v>167</v>
      </c>
      <c r="B901" s="6" t="s">
        <v>1831</v>
      </c>
      <c r="C901" s="7">
        <v>26678</v>
      </c>
      <c r="D901" s="8" t="s">
        <v>1832</v>
      </c>
    </row>
    <row r="902" spans="1:4" ht="14.25">
      <c r="A902" s="5">
        <v>14</v>
      </c>
      <c r="B902" s="6" t="s">
        <v>1833</v>
      </c>
      <c r="C902" s="7">
        <v>26678</v>
      </c>
      <c r="D902" s="8" t="s">
        <v>1834</v>
      </c>
    </row>
    <row r="903" spans="1:4" ht="14.25">
      <c r="A903" s="5" t="s">
        <v>1055</v>
      </c>
      <c r="B903" s="6" t="s">
        <v>1835</v>
      </c>
      <c r="C903" s="7">
        <v>26689</v>
      </c>
      <c r="D903" s="8" t="s">
        <v>1836</v>
      </c>
    </row>
    <row r="904" spans="1:4" ht="14.25">
      <c r="A904" s="5">
        <v>25</v>
      </c>
      <c r="B904" s="6" t="s">
        <v>1837</v>
      </c>
      <c r="C904" s="7">
        <v>26689</v>
      </c>
      <c r="D904" s="8" t="s">
        <v>1838</v>
      </c>
    </row>
    <row r="905" spans="1:4" ht="14.25">
      <c r="A905" s="5" t="s">
        <v>167</v>
      </c>
      <c r="B905" s="6" t="s">
        <v>1839</v>
      </c>
      <c r="C905" s="7">
        <v>26690</v>
      </c>
      <c r="D905" s="8" t="s">
        <v>1840</v>
      </c>
    </row>
    <row r="906" spans="1:4" ht="14.25">
      <c r="A906" s="5">
        <v>26</v>
      </c>
      <c r="B906" s="6" t="s">
        <v>1841</v>
      </c>
      <c r="C906" s="7">
        <v>26690</v>
      </c>
      <c r="D906" s="8" t="s">
        <v>1842</v>
      </c>
    </row>
    <row r="907" spans="1:4" ht="14.25">
      <c r="A907" s="5" t="s">
        <v>184</v>
      </c>
      <c r="B907" s="6" t="s">
        <v>1843</v>
      </c>
      <c r="C907" s="7">
        <v>26691</v>
      </c>
      <c r="D907" s="8" t="s">
        <v>1844</v>
      </c>
    </row>
    <row r="908" spans="1:4" ht="14.25">
      <c r="A908" s="5" t="s">
        <v>1055</v>
      </c>
      <c r="B908" s="6" t="s">
        <v>1845</v>
      </c>
      <c r="C908" s="7">
        <v>26691</v>
      </c>
      <c r="D908" s="8" t="s">
        <v>1846</v>
      </c>
    </row>
    <row r="909" spans="1:4" ht="14.25">
      <c r="A909" s="5">
        <v>27</v>
      </c>
      <c r="B909" s="6" t="s">
        <v>1847</v>
      </c>
      <c r="C909" s="7">
        <v>26691</v>
      </c>
      <c r="D909" s="8" t="s">
        <v>1848</v>
      </c>
    </row>
    <row r="910" spans="1:4" ht="14.25">
      <c r="A910" s="5">
        <v>27</v>
      </c>
      <c r="B910" s="6" t="s">
        <v>1849</v>
      </c>
      <c r="C910" s="7">
        <v>26691</v>
      </c>
      <c r="D910" s="8" t="s">
        <v>1850</v>
      </c>
    </row>
    <row r="911" spans="1:4" ht="14.25">
      <c r="A911" s="5" t="s">
        <v>1055</v>
      </c>
      <c r="B911" s="6" t="s">
        <v>1851</v>
      </c>
      <c r="C911" s="7">
        <v>26693</v>
      </c>
      <c r="D911" s="8" t="s">
        <v>1852</v>
      </c>
    </row>
    <row r="912" spans="1:4" ht="14.25">
      <c r="A912" s="5" t="s">
        <v>167</v>
      </c>
      <c r="B912" s="6" t="s">
        <v>1853</v>
      </c>
      <c r="C912" s="7">
        <v>26693</v>
      </c>
      <c r="D912" s="8" t="s">
        <v>1854</v>
      </c>
    </row>
    <row r="913" spans="1:4" ht="14.25">
      <c r="A913" s="5">
        <v>29</v>
      </c>
      <c r="B913" s="6" t="s">
        <v>1855</v>
      </c>
      <c r="C913" s="7">
        <v>26693</v>
      </c>
      <c r="D913" s="8" t="s">
        <v>1856</v>
      </c>
    </row>
    <row r="914" spans="1:4" ht="14.25">
      <c r="A914" s="5">
        <v>29</v>
      </c>
      <c r="B914" s="6" t="s">
        <v>1857</v>
      </c>
      <c r="C914" s="7">
        <v>26693</v>
      </c>
      <c r="D914" s="8" t="s">
        <v>1858</v>
      </c>
    </row>
    <row r="915" spans="1:4" ht="14.25">
      <c r="A915" s="5" t="s">
        <v>1055</v>
      </c>
      <c r="B915" s="6" t="s">
        <v>1859</v>
      </c>
      <c r="C915" s="7">
        <v>26694</v>
      </c>
      <c r="D915" s="8" t="s">
        <v>1860</v>
      </c>
    </row>
    <row r="916" spans="1:4" ht="14.25">
      <c r="A916" s="5" t="s">
        <v>167</v>
      </c>
      <c r="B916" s="6" t="s">
        <v>1861</v>
      </c>
      <c r="C916" s="7">
        <v>26694</v>
      </c>
      <c r="D916" s="8" t="s">
        <v>1862</v>
      </c>
    </row>
    <row r="917" spans="1:4" ht="14.25">
      <c r="A917" s="5">
        <v>30</v>
      </c>
      <c r="B917" s="6" t="s">
        <v>1863</v>
      </c>
      <c r="C917" s="7">
        <v>26694</v>
      </c>
      <c r="D917" s="8" t="s">
        <v>1864</v>
      </c>
    </row>
    <row r="918" spans="1:4" ht="14.25">
      <c r="A918" s="5">
        <v>30</v>
      </c>
      <c r="B918" s="6" t="s">
        <v>1865</v>
      </c>
      <c r="C918" s="7">
        <v>26694</v>
      </c>
      <c r="D918" s="8" t="s">
        <v>1866</v>
      </c>
    </row>
    <row r="919" spans="1:4" ht="14.25">
      <c r="A919" s="5" t="s">
        <v>1055</v>
      </c>
      <c r="B919" s="6" t="s">
        <v>1867</v>
      </c>
      <c r="C919" s="7">
        <v>26695</v>
      </c>
      <c r="D919" s="8" t="s">
        <v>1868</v>
      </c>
    </row>
    <row r="920" spans="1:4" ht="14.25">
      <c r="A920" s="5" t="s">
        <v>167</v>
      </c>
      <c r="B920" s="6" t="s">
        <v>1869</v>
      </c>
      <c r="C920" s="7">
        <v>26695</v>
      </c>
      <c r="D920" s="8" t="s">
        <v>1870</v>
      </c>
    </row>
    <row r="921" spans="1:4" ht="14.25">
      <c r="A921" s="5">
        <v>31</v>
      </c>
      <c r="B921" s="6" t="s">
        <v>1871</v>
      </c>
      <c r="C921" s="7">
        <v>26695</v>
      </c>
      <c r="D921" s="8" t="s">
        <v>1872</v>
      </c>
    </row>
    <row r="922" spans="1:4" ht="14.25">
      <c r="A922" s="5">
        <v>31</v>
      </c>
      <c r="B922" s="6" t="s">
        <v>1873</v>
      </c>
      <c r="C922" s="7">
        <v>26695</v>
      </c>
      <c r="D922" s="8" t="s">
        <v>1874</v>
      </c>
    </row>
    <row r="923" spans="1:4" ht="14.25">
      <c r="A923" s="5" t="s">
        <v>184</v>
      </c>
      <c r="B923" s="6" t="s">
        <v>1875</v>
      </c>
      <c r="C923" s="7">
        <v>26711</v>
      </c>
      <c r="D923" s="8" t="s">
        <v>1876</v>
      </c>
    </row>
    <row r="924" spans="1:4" ht="14.25">
      <c r="A924" s="5">
        <v>16</v>
      </c>
      <c r="B924" s="6" t="s">
        <v>1877</v>
      </c>
      <c r="C924" s="7">
        <v>26711</v>
      </c>
      <c r="D924" s="8" t="s">
        <v>1878</v>
      </c>
    </row>
    <row r="925" spans="1:4" ht="14.25">
      <c r="A925" s="5" t="s">
        <v>42</v>
      </c>
      <c r="B925" s="6" t="s">
        <v>1879</v>
      </c>
      <c r="C925" s="7">
        <v>26715</v>
      </c>
      <c r="D925" s="8" t="s">
        <v>1880</v>
      </c>
    </row>
    <row r="926" spans="1:4" ht="14.25">
      <c r="A926" s="5">
        <v>20</v>
      </c>
      <c r="B926" s="6" t="s">
        <v>1881</v>
      </c>
      <c r="C926" s="7">
        <v>26715</v>
      </c>
      <c r="D926" s="8" t="s">
        <v>1882</v>
      </c>
    </row>
    <row r="927" spans="1:4" ht="14.25">
      <c r="A927" s="5" t="s">
        <v>421</v>
      </c>
      <c r="B927" s="6" t="s">
        <v>1883</v>
      </c>
      <c r="C927" s="7">
        <v>26729</v>
      </c>
      <c r="D927" s="8" t="s">
        <v>1884</v>
      </c>
    </row>
    <row r="928" spans="1:4" ht="14.25">
      <c r="A928" s="5">
        <v>6</v>
      </c>
      <c r="B928" s="6" t="s">
        <v>1885</v>
      </c>
      <c r="C928" s="7">
        <v>26729</v>
      </c>
      <c r="D928" s="8" t="s">
        <v>1886</v>
      </c>
    </row>
    <row r="929" spans="1:4" ht="14.25">
      <c r="A929" s="5" t="s">
        <v>1887</v>
      </c>
      <c r="B929" s="6" t="s">
        <v>1888</v>
      </c>
      <c r="C929" s="7">
        <v>26735</v>
      </c>
      <c r="D929" s="8" t="s">
        <v>1889</v>
      </c>
    </row>
    <row r="930" spans="1:4" ht="14.25">
      <c r="A930" s="5" t="s">
        <v>1887</v>
      </c>
      <c r="B930" s="6" t="s">
        <v>1890</v>
      </c>
      <c r="C930" s="7">
        <v>26736</v>
      </c>
      <c r="D930" s="8" t="s">
        <v>1891</v>
      </c>
    </row>
    <row r="931" spans="1:4" ht="14.25">
      <c r="A931" s="5" t="s">
        <v>1887</v>
      </c>
      <c r="B931" s="6" t="s">
        <v>1892</v>
      </c>
      <c r="C931" s="7">
        <v>26739</v>
      </c>
      <c r="D931" s="8" t="s">
        <v>1893</v>
      </c>
    </row>
    <row r="932" spans="1:4" ht="14.25">
      <c r="A932" s="5" t="s">
        <v>863</v>
      </c>
      <c r="B932" s="6" t="s">
        <v>1894</v>
      </c>
      <c r="C932" s="7">
        <v>26759</v>
      </c>
      <c r="D932" s="8" t="s">
        <v>1895</v>
      </c>
    </row>
    <row r="933" spans="1:4" ht="14.25">
      <c r="A933" s="5">
        <v>5</v>
      </c>
      <c r="B933" s="6" t="s">
        <v>1896</v>
      </c>
      <c r="C933" s="7">
        <v>26759</v>
      </c>
      <c r="D933" s="8" t="s">
        <v>1897</v>
      </c>
    </row>
    <row r="934" spans="1:4" ht="14.25">
      <c r="A934" s="5" t="s">
        <v>96</v>
      </c>
      <c r="B934" s="6" t="s">
        <v>1898</v>
      </c>
      <c r="C934" s="7">
        <v>26762</v>
      </c>
      <c r="D934" s="8" t="s">
        <v>1899</v>
      </c>
    </row>
    <row r="935" spans="1:4" ht="14.25">
      <c r="A935" s="5">
        <v>8</v>
      </c>
      <c r="B935" s="6" t="s">
        <v>1900</v>
      </c>
      <c r="C935" s="7">
        <v>26762</v>
      </c>
      <c r="D935" s="8" t="s">
        <v>1901</v>
      </c>
    </row>
    <row r="936" spans="1:4" ht="14.25">
      <c r="A936" s="5" t="s">
        <v>42</v>
      </c>
      <c r="B936" s="6" t="s">
        <v>1902</v>
      </c>
      <c r="C936" s="7">
        <v>26764</v>
      </c>
      <c r="D936" s="8" t="s">
        <v>1903</v>
      </c>
    </row>
    <row r="937" spans="1:4" ht="14.25">
      <c r="A937" s="5">
        <v>10</v>
      </c>
      <c r="B937" s="6" t="s">
        <v>1904</v>
      </c>
      <c r="C937" s="7">
        <v>26764</v>
      </c>
      <c r="D937" s="8" t="s">
        <v>1905</v>
      </c>
    </row>
    <row r="938" spans="1:4" ht="14.25">
      <c r="A938" s="5" t="s">
        <v>42</v>
      </c>
      <c r="B938" s="6" t="s">
        <v>1906</v>
      </c>
      <c r="C938" s="7">
        <v>26766</v>
      </c>
      <c r="D938" s="8" t="s">
        <v>1907</v>
      </c>
    </row>
    <row r="939" spans="1:4" ht="14.25">
      <c r="A939" s="5">
        <v>12</v>
      </c>
      <c r="B939" s="6" t="s">
        <v>1908</v>
      </c>
      <c r="C939" s="7">
        <v>26766</v>
      </c>
      <c r="D939" s="8" t="s">
        <v>1909</v>
      </c>
    </row>
    <row r="940" spans="1:4" ht="14.25">
      <c r="A940" s="5" t="s">
        <v>863</v>
      </c>
      <c r="B940" s="6" t="s">
        <v>1910</v>
      </c>
      <c r="C940" s="7">
        <v>26767</v>
      </c>
      <c r="D940" s="8" t="s">
        <v>1911</v>
      </c>
    </row>
    <row r="941" spans="1:4" ht="14.25">
      <c r="A941" s="5" t="s">
        <v>42</v>
      </c>
      <c r="B941" s="6" t="s">
        <v>1912</v>
      </c>
      <c r="C941" s="7">
        <v>26767</v>
      </c>
      <c r="D941" s="8" t="s">
        <v>1913</v>
      </c>
    </row>
    <row r="942" spans="1:4" ht="14.25">
      <c r="A942" s="5">
        <v>13</v>
      </c>
      <c r="B942" s="6" t="s">
        <v>1914</v>
      </c>
      <c r="C942" s="7">
        <v>26767</v>
      </c>
      <c r="D942" s="8" t="s">
        <v>1915</v>
      </c>
    </row>
    <row r="943" spans="1:4" ht="14.25">
      <c r="A943" s="5">
        <v>13</v>
      </c>
      <c r="B943" s="6" t="s">
        <v>1916</v>
      </c>
      <c r="C943" s="7">
        <v>26767</v>
      </c>
      <c r="D943" s="8" t="s">
        <v>1917</v>
      </c>
    </row>
    <row r="944" spans="1:4" ht="14.25">
      <c r="A944" s="5" t="s">
        <v>18</v>
      </c>
      <c r="B944" s="6" t="s">
        <v>1918</v>
      </c>
      <c r="C944" s="7">
        <v>26768</v>
      </c>
      <c r="D944" s="8" t="s">
        <v>1919</v>
      </c>
    </row>
    <row r="945" spans="1:4" ht="14.25">
      <c r="A945" s="5" t="s">
        <v>42</v>
      </c>
      <c r="B945" s="6" t="s">
        <v>1920</v>
      </c>
      <c r="C945" s="7">
        <v>26768</v>
      </c>
      <c r="D945" s="8" t="s">
        <v>1921</v>
      </c>
    </row>
    <row r="946" spans="1:4" ht="14.25">
      <c r="A946" s="5">
        <v>14</v>
      </c>
      <c r="B946" s="6" t="s">
        <v>1922</v>
      </c>
      <c r="C946" s="7">
        <v>26768</v>
      </c>
      <c r="D946" s="8" t="s">
        <v>1923</v>
      </c>
    </row>
    <row r="947" spans="1:4" ht="14.25">
      <c r="A947" s="5">
        <v>14</v>
      </c>
      <c r="B947" s="6" t="s">
        <v>1924</v>
      </c>
      <c r="C947" s="7">
        <v>26768</v>
      </c>
      <c r="D947" s="8" t="s">
        <v>1925</v>
      </c>
    </row>
    <row r="948" spans="1:4" ht="14.25">
      <c r="A948" s="5" t="s">
        <v>42</v>
      </c>
      <c r="B948" s="6" t="s">
        <v>1926</v>
      </c>
      <c r="C948" s="7">
        <v>26769</v>
      </c>
      <c r="D948" s="8" t="s">
        <v>1927</v>
      </c>
    </row>
    <row r="949" spans="1:4" ht="14.25">
      <c r="A949" s="5">
        <v>15</v>
      </c>
      <c r="B949" s="6" t="s">
        <v>1928</v>
      </c>
      <c r="C949" s="7">
        <v>26769</v>
      </c>
      <c r="D949" s="8" t="s">
        <v>1929</v>
      </c>
    </row>
    <row r="950" spans="1:4" ht="14.25">
      <c r="A950" s="5" t="s">
        <v>42</v>
      </c>
      <c r="B950" s="6" t="s">
        <v>1930</v>
      </c>
      <c r="C950" s="7">
        <v>26770</v>
      </c>
      <c r="D950" s="8" t="s">
        <v>1931</v>
      </c>
    </row>
    <row r="951" spans="1:4" ht="14.25">
      <c r="A951" s="5">
        <v>16</v>
      </c>
      <c r="B951" s="6" t="s">
        <v>1932</v>
      </c>
      <c r="C951" s="7">
        <v>26770</v>
      </c>
      <c r="D951" s="8" t="s">
        <v>1933</v>
      </c>
    </row>
    <row r="952" spans="1:4" ht="14.25">
      <c r="A952" s="5" t="s">
        <v>42</v>
      </c>
      <c r="B952" s="6" t="s">
        <v>1934</v>
      </c>
      <c r="C952" s="7">
        <v>26771</v>
      </c>
      <c r="D952" s="8" t="s">
        <v>1935</v>
      </c>
    </row>
    <row r="953" spans="1:4" ht="14.25">
      <c r="A953" s="5">
        <v>17</v>
      </c>
      <c r="B953" s="6" t="s">
        <v>1936</v>
      </c>
      <c r="C953" s="7">
        <v>26771</v>
      </c>
      <c r="D953" s="8" t="s">
        <v>1937</v>
      </c>
    </row>
    <row r="954" spans="1:4" ht="14.25">
      <c r="A954" s="5" t="s">
        <v>42</v>
      </c>
      <c r="B954" s="6" t="s">
        <v>1938</v>
      </c>
      <c r="C954" s="7">
        <v>26772</v>
      </c>
      <c r="D954" s="8" t="s">
        <v>1939</v>
      </c>
    </row>
    <row r="955" spans="1:4" ht="14.25">
      <c r="A955" s="5">
        <v>18</v>
      </c>
      <c r="B955" s="6" t="s">
        <v>1940</v>
      </c>
      <c r="C955" s="7">
        <v>26772</v>
      </c>
      <c r="D955" s="8" t="s">
        <v>1941</v>
      </c>
    </row>
    <row r="956" spans="1:4" ht="14.25">
      <c r="A956" s="5" t="s">
        <v>484</v>
      </c>
      <c r="B956" s="6" t="s">
        <v>1942</v>
      </c>
      <c r="C956" s="7">
        <v>26773</v>
      </c>
      <c r="D956" s="8" t="s">
        <v>1943</v>
      </c>
    </row>
    <row r="957" spans="1:4" ht="14.25">
      <c r="A957" s="5" t="s">
        <v>42</v>
      </c>
      <c r="B957" s="6" t="s">
        <v>1944</v>
      </c>
      <c r="C957" s="7">
        <v>26773</v>
      </c>
      <c r="D957" s="8" t="s">
        <v>1945</v>
      </c>
    </row>
    <row r="958" spans="1:4" ht="14.25">
      <c r="A958" s="5">
        <v>19</v>
      </c>
      <c r="B958" s="6" t="s">
        <v>1946</v>
      </c>
      <c r="C958" s="7">
        <v>26773</v>
      </c>
      <c r="D958" s="8" t="s">
        <v>1947</v>
      </c>
    </row>
    <row r="959" spans="1:4" ht="14.25">
      <c r="A959" s="5">
        <v>19</v>
      </c>
      <c r="B959" s="6" t="s">
        <v>1948</v>
      </c>
      <c r="C959" s="7">
        <v>26773</v>
      </c>
      <c r="D959" s="8" t="s">
        <v>1949</v>
      </c>
    </row>
    <row r="960" spans="1:4" ht="14.25">
      <c r="A960" s="5" t="s">
        <v>42</v>
      </c>
      <c r="B960" s="6" t="s">
        <v>1950</v>
      </c>
      <c r="C960" s="7">
        <v>26774</v>
      </c>
      <c r="D960" s="8" t="s">
        <v>1951</v>
      </c>
    </row>
    <row r="961" spans="1:4" ht="14.25">
      <c r="A961" s="5">
        <v>20</v>
      </c>
      <c r="B961" s="6" t="s">
        <v>1952</v>
      </c>
      <c r="C961" s="7">
        <v>26774</v>
      </c>
      <c r="D961" s="8" t="s">
        <v>1953</v>
      </c>
    </row>
    <row r="962" spans="1:4" ht="14.25">
      <c r="A962" s="5" t="s">
        <v>42</v>
      </c>
      <c r="B962" s="6" t="s">
        <v>1954</v>
      </c>
      <c r="C962" s="7">
        <v>26775</v>
      </c>
      <c r="D962" s="8" t="s">
        <v>1955</v>
      </c>
    </row>
    <row r="963" spans="1:4" ht="14.25">
      <c r="A963" s="5">
        <v>21</v>
      </c>
      <c r="B963" s="6" t="s">
        <v>1956</v>
      </c>
      <c r="C963" s="7">
        <v>26775</v>
      </c>
      <c r="D963" s="8" t="s">
        <v>1957</v>
      </c>
    </row>
    <row r="964" spans="1:4" ht="14.25">
      <c r="A964" s="5" t="s">
        <v>42</v>
      </c>
      <c r="B964" s="6" t="s">
        <v>1958</v>
      </c>
      <c r="C964" s="7">
        <v>26776</v>
      </c>
      <c r="D964" s="8" t="s">
        <v>1959</v>
      </c>
    </row>
    <row r="965" spans="1:4" ht="14.25">
      <c r="A965" s="5">
        <v>22</v>
      </c>
      <c r="B965" s="6" t="s">
        <v>1960</v>
      </c>
      <c r="C965" s="7">
        <v>26776</v>
      </c>
      <c r="D965" s="8" t="s">
        <v>1961</v>
      </c>
    </row>
    <row r="966" spans="1:4" ht="14.25">
      <c r="A966" s="5" t="s">
        <v>42</v>
      </c>
      <c r="B966" s="6" t="s">
        <v>1962</v>
      </c>
      <c r="C966" s="7">
        <v>26777</v>
      </c>
      <c r="D966" s="8" t="s">
        <v>1963</v>
      </c>
    </row>
    <row r="967" spans="1:4" ht="14.25">
      <c r="A967" s="5">
        <v>23</v>
      </c>
      <c r="B967" s="6" t="s">
        <v>1964</v>
      </c>
      <c r="C967" s="7">
        <v>26777</v>
      </c>
      <c r="D967" s="8" t="s">
        <v>1965</v>
      </c>
    </row>
    <row r="968" spans="1:4" ht="14.25">
      <c r="A968" s="5" t="s">
        <v>42</v>
      </c>
      <c r="B968" s="6" t="s">
        <v>1966</v>
      </c>
      <c r="C968" s="7">
        <v>26778</v>
      </c>
      <c r="D968" s="8" t="s">
        <v>1967</v>
      </c>
    </row>
    <row r="969" spans="1:4" ht="14.25">
      <c r="A969" s="5">
        <v>24</v>
      </c>
      <c r="B969" s="6" t="s">
        <v>1968</v>
      </c>
      <c r="C969" s="7">
        <v>26778</v>
      </c>
      <c r="D969" s="8" t="s">
        <v>1969</v>
      </c>
    </row>
    <row r="970" spans="1:4" ht="14.25">
      <c r="A970" s="5" t="s">
        <v>42</v>
      </c>
      <c r="B970" s="6" t="s">
        <v>1970</v>
      </c>
      <c r="C970" s="7">
        <v>26779</v>
      </c>
      <c r="D970" s="8" t="s">
        <v>1971</v>
      </c>
    </row>
    <row r="971" spans="1:4" ht="14.25">
      <c r="A971" s="5">
        <v>25</v>
      </c>
      <c r="B971" s="6" t="s">
        <v>1972</v>
      </c>
      <c r="C971" s="7">
        <v>26779</v>
      </c>
      <c r="D971" s="8" t="s">
        <v>1973</v>
      </c>
    </row>
    <row r="972" spans="1:4" ht="14.25">
      <c r="A972" s="5" t="s">
        <v>42</v>
      </c>
      <c r="B972" s="6" t="s">
        <v>1974</v>
      </c>
      <c r="C972" s="7">
        <v>26780</v>
      </c>
      <c r="D972" s="8" t="s">
        <v>1975</v>
      </c>
    </row>
    <row r="973" spans="1:4" ht="14.25">
      <c r="A973" s="5">
        <v>26</v>
      </c>
      <c r="B973" s="6" t="s">
        <v>1976</v>
      </c>
      <c r="C973" s="7">
        <v>26780</v>
      </c>
      <c r="D973" s="8" t="s">
        <v>1977</v>
      </c>
    </row>
    <row r="974" spans="1:4" ht="14.25">
      <c r="A974" s="5" t="s">
        <v>484</v>
      </c>
      <c r="B974" s="6" t="s">
        <v>1978</v>
      </c>
      <c r="C974" s="7">
        <v>26782</v>
      </c>
      <c r="D974" s="8" t="s">
        <v>1979</v>
      </c>
    </row>
    <row r="975" spans="1:4" ht="14.25">
      <c r="A975" s="5" t="s">
        <v>42</v>
      </c>
      <c r="B975" s="6" t="s">
        <v>1980</v>
      </c>
      <c r="C975" s="7">
        <v>26782</v>
      </c>
      <c r="D975" s="8" t="s">
        <v>1981</v>
      </c>
    </row>
    <row r="976" spans="1:4" ht="14.25">
      <c r="A976" s="5">
        <v>28</v>
      </c>
      <c r="B976" s="6" t="s">
        <v>1982</v>
      </c>
      <c r="C976" s="7">
        <v>26782</v>
      </c>
      <c r="D976" s="8" t="s">
        <v>1983</v>
      </c>
    </row>
    <row r="977" spans="1:4" ht="14.25">
      <c r="A977" s="5">
        <v>28</v>
      </c>
      <c r="B977" s="6" t="s">
        <v>1984</v>
      </c>
      <c r="C977" s="7">
        <v>26782</v>
      </c>
      <c r="D977" s="8" t="s">
        <v>1985</v>
      </c>
    </row>
    <row r="978" spans="1:4" ht="14.25">
      <c r="A978" s="5" t="s">
        <v>42</v>
      </c>
      <c r="B978" s="6" t="s">
        <v>1986</v>
      </c>
      <c r="C978" s="7">
        <v>26783</v>
      </c>
      <c r="D978" s="8" t="s">
        <v>1987</v>
      </c>
    </row>
    <row r="979" spans="1:4" ht="14.25">
      <c r="A979" s="5">
        <v>29</v>
      </c>
      <c r="B979" s="6" t="s">
        <v>1988</v>
      </c>
      <c r="C979" s="7">
        <v>26783</v>
      </c>
      <c r="D979" s="8" t="s">
        <v>1989</v>
      </c>
    </row>
    <row r="980" spans="1:4" ht="14.25">
      <c r="A980" s="5" t="s">
        <v>42</v>
      </c>
      <c r="B980" s="6" t="s">
        <v>1990</v>
      </c>
      <c r="C980" s="7">
        <v>26784</v>
      </c>
      <c r="D980" s="8" t="s">
        <v>1991</v>
      </c>
    </row>
    <row r="981" spans="1:4" ht="14.25">
      <c r="A981" s="5">
        <v>30</v>
      </c>
      <c r="B981" s="6" t="s">
        <v>1992</v>
      </c>
      <c r="C981" s="7">
        <v>26784</v>
      </c>
      <c r="D981" s="8" t="s">
        <v>1993</v>
      </c>
    </row>
    <row r="982" spans="1:4" ht="14.25">
      <c r="A982" s="5" t="s">
        <v>42</v>
      </c>
      <c r="B982" s="6" t="s">
        <v>1994</v>
      </c>
      <c r="C982" s="7">
        <v>26785</v>
      </c>
      <c r="D982" s="8" t="s">
        <v>1995</v>
      </c>
    </row>
    <row r="983" spans="1:4" ht="14.25">
      <c r="A983" s="5">
        <v>1</v>
      </c>
      <c r="B983" s="6" t="s">
        <v>1996</v>
      </c>
      <c r="C983" s="7">
        <v>26785</v>
      </c>
      <c r="D983" s="8" t="s">
        <v>1997</v>
      </c>
    </row>
    <row r="984" spans="1:4" ht="14.25">
      <c r="A984" s="5" t="s">
        <v>42</v>
      </c>
      <c r="B984" s="6" t="s">
        <v>1998</v>
      </c>
      <c r="C984" s="7">
        <v>26786</v>
      </c>
      <c r="D984" s="8" t="s">
        <v>1999</v>
      </c>
    </row>
    <row r="985" spans="1:4" ht="14.25">
      <c r="A985" s="5">
        <v>2</v>
      </c>
      <c r="B985" s="6" t="s">
        <v>2000</v>
      </c>
      <c r="C985" s="7">
        <v>26786</v>
      </c>
      <c r="D985" s="8" t="s">
        <v>2001</v>
      </c>
    </row>
    <row r="986" spans="1:4" ht="14.25">
      <c r="A986" s="5" t="s">
        <v>42</v>
      </c>
      <c r="B986" s="6" t="s">
        <v>2002</v>
      </c>
      <c r="C986" s="7">
        <v>26787</v>
      </c>
      <c r="D986" s="8" t="s">
        <v>2003</v>
      </c>
    </row>
    <row r="987" spans="1:4" ht="14.25">
      <c r="A987" s="5">
        <v>3</v>
      </c>
      <c r="B987" s="6" t="s">
        <v>2004</v>
      </c>
      <c r="C987" s="7">
        <v>26787</v>
      </c>
      <c r="D987" s="8" t="s">
        <v>2005</v>
      </c>
    </row>
    <row r="988" spans="1:4" ht="14.25">
      <c r="A988" s="5" t="s">
        <v>42</v>
      </c>
      <c r="B988" s="6" t="s">
        <v>2006</v>
      </c>
      <c r="C988" s="7">
        <v>26788</v>
      </c>
      <c r="D988" s="8" t="s">
        <v>2007</v>
      </c>
    </row>
    <row r="989" spans="1:4" ht="14.25">
      <c r="A989" s="5">
        <v>4</v>
      </c>
      <c r="B989" s="6" t="s">
        <v>2008</v>
      </c>
      <c r="C989" s="7">
        <v>26788</v>
      </c>
      <c r="D989" s="8" t="s">
        <v>2009</v>
      </c>
    </row>
    <row r="990" spans="1:4" ht="14.25">
      <c r="A990" s="5" t="s">
        <v>484</v>
      </c>
      <c r="B990" s="6" t="s">
        <v>2010</v>
      </c>
      <c r="C990" s="7">
        <v>26789</v>
      </c>
      <c r="D990" s="8" t="s">
        <v>2011</v>
      </c>
    </row>
    <row r="991" spans="1:4" ht="14.25">
      <c r="A991" s="5" t="s">
        <v>42</v>
      </c>
      <c r="B991" s="6" t="s">
        <v>2012</v>
      </c>
      <c r="C991" s="7">
        <v>26789</v>
      </c>
      <c r="D991" s="8" t="s">
        <v>2013</v>
      </c>
    </row>
    <row r="992" spans="1:4" ht="14.25">
      <c r="A992" s="5">
        <v>5</v>
      </c>
      <c r="B992" s="6" t="s">
        <v>2014</v>
      </c>
      <c r="C992" s="7">
        <v>26789</v>
      </c>
      <c r="D992" s="8" t="s">
        <v>2015</v>
      </c>
    </row>
    <row r="993" spans="1:4" ht="14.25">
      <c r="A993" s="5">
        <v>5</v>
      </c>
      <c r="B993" s="6" t="s">
        <v>2016</v>
      </c>
      <c r="C993" s="7">
        <v>26789</v>
      </c>
      <c r="D993" s="8" t="s">
        <v>2017</v>
      </c>
    </row>
    <row r="994" spans="1:4" ht="14.25">
      <c r="A994" s="5" t="s">
        <v>42</v>
      </c>
      <c r="B994" s="6" t="s">
        <v>2018</v>
      </c>
      <c r="C994" s="7">
        <v>26790</v>
      </c>
      <c r="D994" s="8" t="s">
        <v>2019</v>
      </c>
    </row>
    <row r="995" spans="1:4" ht="14.25">
      <c r="A995" s="5">
        <v>6</v>
      </c>
      <c r="B995" s="6" t="s">
        <v>2020</v>
      </c>
      <c r="C995" s="7">
        <v>26790</v>
      </c>
      <c r="D995" s="8" t="s">
        <v>2021</v>
      </c>
    </row>
    <row r="996" spans="1:4" ht="14.25">
      <c r="A996" s="5" t="s">
        <v>42</v>
      </c>
      <c r="B996" s="6" t="s">
        <v>2022</v>
      </c>
      <c r="C996" s="7">
        <v>26791</v>
      </c>
      <c r="D996" s="8" t="s">
        <v>2023</v>
      </c>
    </row>
    <row r="997" spans="1:4" ht="14.25">
      <c r="A997" s="5">
        <v>7</v>
      </c>
      <c r="B997" s="6" t="s">
        <v>2024</v>
      </c>
      <c r="C997" s="7">
        <v>26791</v>
      </c>
      <c r="D997" s="8" t="s">
        <v>2025</v>
      </c>
    </row>
    <row r="998" spans="1:4" ht="14.25">
      <c r="A998" s="5" t="s">
        <v>42</v>
      </c>
      <c r="B998" s="6" t="s">
        <v>2026</v>
      </c>
      <c r="C998" s="7">
        <v>26792</v>
      </c>
      <c r="D998" s="8" t="s">
        <v>2027</v>
      </c>
    </row>
    <row r="999" spans="1:4" ht="14.25">
      <c r="A999" s="5">
        <v>8</v>
      </c>
      <c r="B999" s="6" t="s">
        <v>2028</v>
      </c>
      <c r="C999" s="7">
        <v>26792</v>
      </c>
      <c r="D999" s="8" t="s">
        <v>2029</v>
      </c>
    </row>
    <row r="1000" spans="1:4" ht="14.25">
      <c r="A1000" s="5" t="s">
        <v>42</v>
      </c>
      <c r="B1000" s="6" t="s">
        <v>2030</v>
      </c>
      <c r="C1000" s="7">
        <v>26794</v>
      </c>
      <c r="D1000" s="8" t="s">
        <v>2031</v>
      </c>
    </row>
    <row r="1001" spans="1:4" ht="14.25">
      <c r="A1001" s="5">
        <v>10</v>
      </c>
      <c r="B1001" s="6" t="s">
        <v>2032</v>
      </c>
      <c r="C1001" s="7">
        <v>26794</v>
      </c>
      <c r="D1001" s="8" t="s">
        <v>2033</v>
      </c>
    </row>
    <row r="1002" spans="1:4" ht="14.25">
      <c r="A1002" s="5" t="s">
        <v>42</v>
      </c>
      <c r="B1002" s="6" t="s">
        <v>2034</v>
      </c>
      <c r="C1002" s="7">
        <v>26796</v>
      </c>
      <c r="D1002" s="8" t="s">
        <v>2035</v>
      </c>
    </row>
    <row r="1003" spans="1:4" ht="14.25">
      <c r="A1003" s="5">
        <v>12</v>
      </c>
      <c r="B1003" s="6" t="s">
        <v>2036</v>
      </c>
      <c r="C1003" s="7">
        <v>26796</v>
      </c>
      <c r="D1003" s="8" t="s">
        <v>2037</v>
      </c>
    </row>
    <row r="1004" spans="1:4" ht="14.25">
      <c r="A1004" s="5" t="s">
        <v>484</v>
      </c>
      <c r="B1004" s="6" t="s">
        <v>2038</v>
      </c>
      <c r="C1004" s="7">
        <v>26797</v>
      </c>
      <c r="D1004" s="8" t="s">
        <v>2039</v>
      </c>
    </row>
    <row r="1005" spans="1:4" ht="14.25">
      <c r="A1005" s="5" t="s">
        <v>484</v>
      </c>
      <c r="B1005" s="6" t="s">
        <v>2040</v>
      </c>
      <c r="C1005" s="7">
        <v>26797</v>
      </c>
      <c r="D1005" s="8" t="s">
        <v>2041</v>
      </c>
    </row>
    <row r="1006" spans="1:4" ht="14.25">
      <c r="A1006" s="5" t="s">
        <v>42</v>
      </c>
      <c r="B1006" s="6" t="s">
        <v>2042</v>
      </c>
      <c r="C1006" s="7">
        <v>26797</v>
      </c>
      <c r="D1006" s="8" t="s">
        <v>2043</v>
      </c>
    </row>
    <row r="1007" spans="1:4" ht="14.25">
      <c r="A1007" s="5">
        <v>13</v>
      </c>
      <c r="B1007" s="6" t="s">
        <v>2044</v>
      </c>
      <c r="C1007" s="7">
        <v>26797</v>
      </c>
      <c r="D1007" s="8" t="s">
        <v>2045</v>
      </c>
    </row>
    <row r="1008" spans="1:4" ht="14.25">
      <c r="A1008" s="5">
        <v>13</v>
      </c>
      <c r="B1008" s="6" t="s">
        <v>2046</v>
      </c>
      <c r="C1008" s="7">
        <v>26797</v>
      </c>
      <c r="D1008" s="8" t="s">
        <v>2047</v>
      </c>
    </row>
    <row r="1009" spans="1:4" ht="14.25">
      <c r="A1009" s="5">
        <v>13</v>
      </c>
      <c r="B1009" s="6" t="s">
        <v>2048</v>
      </c>
      <c r="C1009" s="7">
        <v>26797</v>
      </c>
      <c r="D1009" s="8" t="s">
        <v>2049</v>
      </c>
    </row>
    <row r="1010" spans="1:4" ht="14.25">
      <c r="A1010" s="5" t="s">
        <v>42</v>
      </c>
      <c r="B1010" s="6" t="s">
        <v>2050</v>
      </c>
      <c r="C1010" s="7">
        <v>26798</v>
      </c>
      <c r="D1010" s="8" t="s">
        <v>2051</v>
      </c>
    </row>
    <row r="1011" spans="1:4" ht="14.25">
      <c r="A1011" s="5">
        <v>14</v>
      </c>
      <c r="B1011" s="6" t="s">
        <v>2052</v>
      </c>
      <c r="C1011" s="7">
        <v>26798</v>
      </c>
      <c r="D1011" s="8" t="s">
        <v>2053</v>
      </c>
    </row>
    <row r="1012" spans="1:4" ht="14.25">
      <c r="A1012" s="5" t="s">
        <v>484</v>
      </c>
      <c r="B1012" s="6" t="s">
        <v>2054</v>
      </c>
      <c r="C1012" s="7">
        <v>26799</v>
      </c>
      <c r="D1012" s="8" t="s">
        <v>2055</v>
      </c>
    </row>
    <row r="1013" spans="1:4" ht="14.25">
      <c r="A1013" s="5" t="s">
        <v>42</v>
      </c>
      <c r="B1013" s="6" t="s">
        <v>2056</v>
      </c>
      <c r="C1013" s="7">
        <v>26799</v>
      </c>
      <c r="D1013" s="8" t="s">
        <v>2057</v>
      </c>
    </row>
    <row r="1014" spans="1:4" ht="14.25">
      <c r="A1014" s="5">
        <v>15</v>
      </c>
      <c r="B1014" s="6" t="s">
        <v>2058</v>
      </c>
      <c r="C1014" s="7">
        <v>26799</v>
      </c>
      <c r="D1014" s="8" t="s">
        <v>2059</v>
      </c>
    </row>
    <row r="1015" spans="1:4" ht="14.25">
      <c r="A1015" s="5">
        <v>15</v>
      </c>
      <c r="B1015" s="6" t="s">
        <v>2060</v>
      </c>
      <c r="C1015" s="7">
        <v>26799</v>
      </c>
      <c r="D1015" s="8" t="s">
        <v>2061</v>
      </c>
    </row>
    <row r="1016" spans="1:4" ht="14.25">
      <c r="A1016" s="5" t="s">
        <v>42</v>
      </c>
      <c r="B1016" s="6" t="s">
        <v>2062</v>
      </c>
      <c r="C1016" s="7">
        <v>26800</v>
      </c>
      <c r="D1016" s="8" t="s">
        <v>2063</v>
      </c>
    </row>
    <row r="1017" spans="1:4" ht="14.25">
      <c r="A1017" s="5">
        <v>16</v>
      </c>
      <c r="B1017" s="6" t="s">
        <v>2064</v>
      </c>
      <c r="C1017" s="7">
        <v>26800</v>
      </c>
      <c r="D1017" s="8" t="s">
        <v>2065</v>
      </c>
    </row>
    <row r="1018" spans="1:4" ht="14.25">
      <c r="A1018" s="5" t="s">
        <v>484</v>
      </c>
      <c r="B1018" s="6" t="s">
        <v>2066</v>
      </c>
      <c r="C1018" s="7">
        <v>26801</v>
      </c>
      <c r="D1018" s="8" t="s">
        <v>2067</v>
      </c>
    </row>
    <row r="1019" spans="1:4" ht="14.25">
      <c r="A1019" s="5" t="s">
        <v>42</v>
      </c>
      <c r="B1019" s="6" t="s">
        <v>2068</v>
      </c>
      <c r="C1019" s="7">
        <v>26801</v>
      </c>
      <c r="D1019" s="8" t="s">
        <v>2069</v>
      </c>
    </row>
    <row r="1020" spans="1:4" ht="14.25">
      <c r="A1020" s="5">
        <v>17</v>
      </c>
      <c r="B1020" s="6" t="s">
        <v>2070</v>
      </c>
      <c r="C1020" s="7">
        <v>26801</v>
      </c>
      <c r="D1020" s="8" t="s">
        <v>2071</v>
      </c>
    </row>
    <row r="1021" spans="1:4" ht="14.25">
      <c r="A1021" s="5">
        <v>17</v>
      </c>
      <c r="B1021" s="6" t="s">
        <v>2072</v>
      </c>
      <c r="C1021" s="7">
        <v>26801</v>
      </c>
      <c r="D1021" s="8" t="s">
        <v>2073</v>
      </c>
    </row>
    <row r="1022" spans="1:4" ht="14.25">
      <c r="A1022" s="5" t="s">
        <v>167</v>
      </c>
      <c r="B1022" s="6" t="s">
        <v>2074</v>
      </c>
      <c r="C1022" s="7">
        <v>26803</v>
      </c>
      <c r="D1022" s="8" t="s">
        <v>2075</v>
      </c>
    </row>
    <row r="1023" spans="1:4" ht="14.25">
      <c r="A1023" s="5">
        <v>19</v>
      </c>
      <c r="B1023" s="6" t="s">
        <v>2076</v>
      </c>
      <c r="C1023" s="7">
        <v>26803</v>
      </c>
      <c r="D1023" s="8" t="s">
        <v>2077</v>
      </c>
    </row>
    <row r="1024" spans="1:4" ht="14.25">
      <c r="A1024" s="5" t="s">
        <v>2078</v>
      </c>
      <c r="B1024" s="6" t="s">
        <v>2079</v>
      </c>
      <c r="C1024" s="7">
        <v>26805</v>
      </c>
      <c r="D1024" s="8" t="s">
        <v>2080</v>
      </c>
    </row>
    <row r="1025" spans="1:4" ht="14.25">
      <c r="A1025" s="5">
        <v>21</v>
      </c>
      <c r="B1025" s="6" t="s">
        <v>2081</v>
      </c>
      <c r="C1025" s="7">
        <v>26805</v>
      </c>
      <c r="D1025" s="8" t="s">
        <v>2082</v>
      </c>
    </row>
    <row r="1026" spans="1:4" ht="14.25">
      <c r="A1026" s="5" t="s">
        <v>42</v>
      </c>
      <c r="B1026" s="6" t="s">
        <v>2083</v>
      </c>
      <c r="C1026" s="7">
        <v>26806</v>
      </c>
      <c r="D1026" s="8" t="s">
        <v>2084</v>
      </c>
    </row>
    <row r="1027" spans="1:4" ht="14.25">
      <c r="A1027" s="5">
        <v>22</v>
      </c>
      <c r="B1027" s="6" t="s">
        <v>2085</v>
      </c>
      <c r="C1027" s="7">
        <v>26806</v>
      </c>
      <c r="D1027" s="8" t="s">
        <v>2086</v>
      </c>
    </row>
    <row r="1028" spans="1:4" ht="14.25">
      <c r="A1028" s="5" t="s">
        <v>42</v>
      </c>
      <c r="B1028" s="6" t="s">
        <v>2087</v>
      </c>
      <c r="C1028" s="7">
        <v>26829</v>
      </c>
      <c r="D1028" s="8" t="s">
        <v>2088</v>
      </c>
    </row>
    <row r="1029" spans="1:4" ht="14.25">
      <c r="A1029" s="5">
        <v>14</v>
      </c>
      <c r="B1029" s="6" t="s">
        <v>2089</v>
      </c>
      <c r="C1029" s="7">
        <v>26829</v>
      </c>
      <c r="D1029" s="8" t="s">
        <v>2090</v>
      </c>
    </row>
    <row r="1030" spans="1:4" ht="14.25">
      <c r="A1030" s="5" t="s">
        <v>42</v>
      </c>
      <c r="B1030" s="6" t="s">
        <v>2091</v>
      </c>
      <c r="C1030" s="7">
        <v>26830</v>
      </c>
      <c r="D1030" s="8" t="s">
        <v>2092</v>
      </c>
    </row>
    <row r="1031" spans="1:4" ht="14.25">
      <c r="A1031" s="5">
        <v>15</v>
      </c>
      <c r="B1031" s="6" t="s">
        <v>2093</v>
      </c>
      <c r="C1031" s="7">
        <v>26830</v>
      </c>
      <c r="D1031" s="8" t="s">
        <v>2094</v>
      </c>
    </row>
    <row r="1032" spans="1:4" ht="14.25">
      <c r="A1032" s="5" t="s">
        <v>42</v>
      </c>
      <c r="B1032" s="6" t="s">
        <v>2095</v>
      </c>
      <c r="C1032" s="7">
        <v>26831</v>
      </c>
      <c r="D1032" s="8" t="s">
        <v>2096</v>
      </c>
    </row>
    <row r="1033" spans="1:4" ht="14.25">
      <c r="A1033" s="5">
        <v>16</v>
      </c>
      <c r="B1033" s="6" t="s">
        <v>2097</v>
      </c>
      <c r="C1033" s="7">
        <v>26831</v>
      </c>
      <c r="D1033" s="8" t="s">
        <v>2098</v>
      </c>
    </row>
    <row r="1034" spans="1:4" ht="14.25">
      <c r="A1034" s="5" t="s">
        <v>42</v>
      </c>
      <c r="B1034" s="6" t="s">
        <v>2099</v>
      </c>
      <c r="C1034" s="7">
        <v>26832</v>
      </c>
      <c r="D1034" s="8" t="s">
        <v>2100</v>
      </c>
    </row>
    <row r="1035" spans="1:4" ht="14.25">
      <c r="A1035" s="5">
        <v>17</v>
      </c>
      <c r="B1035" s="6" t="s">
        <v>2101</v>
      </c>
      <c r="C1035" s="7">
        <v>26832</v>
      </c>
      <c r="D1035" s="8" t="s">
        <v>2102</v>
      </c>
    </row>
    <row r="1036" spans="1:4" ht="14.25">
      <c r="A1036" s="5" t="s">
        <v>42</v>
      </c>
      <c r="B1036" s="6" t="s">
        <v>2103</v>
      </c>
      <c r="C1036" s="7">
        <v>26833</v>
      </c>
      <c r="D1036" s="8" t="s">
        <v>2104</v>
      </c>
    </row>
    <row r="1037" spans="1:4" ht="14.25">
      <c r="A1037" s="5">
        <v>18</v>
      </c>
      <c r="B1037" s="6" t="s">
        <v>2105</v>
      </c>
      <c r="C1037" s="7">
        <v>26833</v>
      </c>
      <c r="D1037" s="8" t="s">
        <v>2106</v>
      </c>
    </row>
    <row r="1038" spans="1:4" ht="14.25">
      <c r="A1038" s="5" t="s">
        <v>42</v>
      </c>
      <c r="B1038" s="6" t="s">
        <v>2107</v>
      </c>
      <c r="C1038" s="7">
        <v>26834</v>
      </c>
      <c r="D1038" s="8" t="s">
        <v>2108</v>
      </c>
    </row>
    <row r="1039" spans="1:4" ht="14.25">
      <c r="A1039" s="5">
        <v>19</v>
      </c>
      <c r="B1039" s="6" t="s">
        <v>2109</v>
      </c>
      <c r="C1039" s="7">
        <v>26834</v>
      </c>
      <c r="D1039" s="8" t="s">
        <v>2110</v>
      </c>
    </row>
    <row r="1040" spans="1:4" ht="14.25">
      <c r="A1040" s="5" t="s">
        <v>42</v>
      </c>
      <c r="B1040" s="6" t="s">
        <v>2111</v>
      </c>
      <c r="C1040" s="7">
        <v>26835</v>
      </c>
      <c r="D1040" s="8" t="s">
        <v>2112</v>
      </c>
    </row>
    <row r="1041" spans="1:4" ht="14.25">
      <c r="A1041" s="5">
        <v>20</v>
      </c>
      <c r="B1041" s="6" t="s">
        <v>2113</v>
      </c>
      <c r="C1041" s="7">
        <v>26835</v>
      </c>
      <c r="D1041" s="8" t="s">
        <v>2114</v>
      </c>
    </row>
    <row r="1042" spans="1:4" ht="14.25">
      <c r="A1042" s="5" t="s">
        <v>42</v>
      </c>
      <c r="B1042" s="6" t="s">
        <v>2115</v>
      </c>
      <c r="C1042" s="7">
        <v>26836</v>
      </c>
      <c r="D1042" s="8" t="s">
        <v>2116</v>
      </c>
    </row>
    <row r="1043" spans="1:4" ht="14.25">
      <c r="A1043" s="5">
        <v>21</v>
      </c>
      <c r="B1043" s="6" t="s">
        <v>2117</v>
      </c>
      <c r="C1043" s="7">
        <v>26836</v>
      </c>
      <c r="D1043" s="8" t="s">
        <v>2118</v>
      </c>
    </row>
    <row r="1044" spans="1:4" ht="14.25">
      <c r="A1044" s="5" t="s">
        <v>42</v>
      </c>
      <c r="B1044" s="6" t="s">
        <v>2119</v>
      </c>
      <c r="C1044" s="7">
        <v>26837</v>
      </c>
      <c r="D1044" s="8" t="s">
        <v>2120</v>
      </c>
    </row>
    <row r="1045" spans="1:4" ht="14.25">
      <c r="A1045" s="5">
        <v>22</v>
      </c>
      <c r="B1045" s="6" t="s">
        <v>2121</v>
      </c>
      <c r="C1045" s="7">
        <v>26837</v>
      </c>
      <c r="D1045" s="8" t="s">
        <v>2122</v>
      </c>
    </row>
    <row r="1046" spans="1:4" ht="14.25">
      <c r="A1046" s="5" t="s">
        <v>42</v>
      </c>
      <c r="B1046" s="6" t="s">
        <v>2123</v>
      </c>
      <c r="C1046" s="7">
        <v>26840</v>
      </c>
      <c r="D1046" s="8" t="s">
        <v>2124</v>
      </c>
    </row>
    <row r="1047" spans="1:4" ht="14.25">
      <c r="A1047" s="5">
        <v>25</v>
      </c>
      <c r="B1047" s="6" t="s">
        <v>2125</v>
      </c>
      <c r="C1047" s="7">
        <v>26840</v>
      </c>
      <c r="D1047" s="8" t="s">
        <v>2126</v>
      </c>
    </row>
    <row r="1048" spans="1:4" ht="14.25">
      <c r="A1048" s="5" t="s">
        <v>42</v>
      </c>
      <c r="B1048" s="6" t="s">
        <v>2127</v>
      </c>
      <c r="C1048" s="7">
        <v>26841</v>
      </c>
      <c r="D1048" s="8" t="s">
        <v>2128</v>
      </c>
    </row>
    <row r="1049" spans="1:4" ht="14.25">
      <c r="A1049" s="5">
        <v>26</v>
      </c>
      <c r="B1049" s="6" t="s">
        <v>2129</v>
      </c>
      <c r="C1049" s="7">
        <v>26841</v>
      </c>
      <c r="D1049" s="8" t="s">
        <v>2130</v>
      </c>
    </row>
    <row r="1050" spans="1:4" ht="14.25">
      <c r="A1050" s="5" t="s">
        <v>42</v>
      </c>
      <c r="B1050" s="6" t="s">
        <v>2131</v>
      </c>
      <c r="C1050" s="7">
        <v>26842</v>
      </c>
      <c r="D1050" s="8" t="s">
        <v>2132</v>
      </c>
    </row>
    <row r="1051" spans="1:4" ht="14.25">
      <c r="A1051" s="5">
        <v>27</v>
      </c>
      <c r="B1051" s="6" t="s">
        <v>2133</v>
      </c>
      <c r="C1051" s="7">
        <v>26842</v>
      </c>
      <c r="D1051" s="8" t="s">
        <v>2134</v>
      </c>
    </row>
    <row r="1052" spans="1:4" ht="14.25">
      <c r="A1052" s="5" t="s">
        <v>236</v>
      </c>
      <c r="B1052" s="6" t="s">
        <v>2135</v>
      </c>
      <c r="C1052" s="7">
        <v>26844</v>
      </c>
      <c r="D1052" s="8" t="s">
        <v>2136</v>
      </c>
    </row>
    <row r="1053" spans="1:4" ht="14.25">
      <c r="A1053" s="5">
        <v>29</v>
      </c>
      <c r="B1053" s="6" t="s">
        <v>2137</v>
      </c>
      <c r="C1053" s="7">
        <v>26844</v>
      </c>
      <c r="D1053" s="8" t="s">
        <v>2138</v>
      </c>
    </row>
    <row r="1054" spans="1:4" ht="14.25">
      <c r="A1054" s="5" t="s">
        <v>236</v>
      </c>
      <c r="B1054" s="6" t="s">
        <v>2139</v>
      </c>
      <c r="C1054" s="7">
        <v>26845</v>
      </c>
      <c r="D1054" s="8" t="s">
        <v>2140</v>
      </c>
    </row>
    <row r="1055" spans="1:4" ht="14.25">
      <c r="A1055" s="5">
        <v>30</v>
      </c>
      <c r="B1055" s="6" t="s">
        <v>2141</v>
      </c>
      <c r="C1055" s="7">
        <v>26845</v>
      </c>
      <c r="D1055" s="8" t="s">
        <v>2142</v>
      </c>
    </row>
    <row r="1056" spans="1:4" ht="14.25">
      <c r="A1056" s="5" t="s">
        <v>863</v>
      </c>
      <c r="B1056" s="6" t="s">
        <v>2143</v>
      </c>
      <c r="C1056" s="7">
        <v>26852</v>
      </c>
      <c r="D1056" s="8" t="s">
        <v>2144</v>
      </c>
    </row>
    <row r="1057" spans="1:4" ht="14.25">
      <c r="A1057" s="5" t="s">
        <v>2145</v>
      </c>
      <c r="B1057" s="6" t="s">
        <v>2146</v>
      </c>
      <c r="C1057" s="7">
        <v>26852</v>
      </c>
      <c r="D1057" s="8" t="s">
        <v>2147</v>
      </c>
    </row>
    <row r="1058" spans="1:4" ht="14.25">
      <c r="A1058" s="5">
        <v>7</v>
      </c>
      <c r="B1058" s="6" t="s">
        <v>2148</v>
      </c>
      <c r="C1058" s="7">
        <v>26852</v>
      </c>
      <c r="D1058" s="8" t="s">
        <v>2149</v>
      </c>
    </row>
    <row r="1059" spans="1:4" ht="14.25">
      <c r="A1059" s="5">
        <v>7</v>
      </c>
      <c r="B1059" s="6" t="s">
        <v>2150</v>
      </c>
      <c r="C1059" s="7">
        <v>26852</v>
      </c>
      <c r="D1059" s="8" t="s">
        <v>2151</v>
      </c>
    </row>
    <row r="1060" spans="1:4" ht="14.25">
      <c r="A1060" s="5" t="s">
        <v>2145</v>
      </c>
      <c r="B1060" s="6" t="s">
        <v>2152</v>
      </c>
      <c r="C1060" s="7">
        <v>26854</v>
      </c>
      <c r="D1060" s="8" t="s">
        <v>2153</v>
      </c>
    </row>
    <row r="1061" spans="1:4" ht="14.25">
      <c r="A1061" s="5" t="s">
        <v>463</v>
      </c>
      <c r="B1061" s="6" t="s">
        <v>2154</v>
      </c>
      <c r="C1061" s="7">
        <v>26854</v>
      </c>
      <c r="D1061" s="8" t="s">
        <v>2155</v>
      </c>
    </row>
    <row r="1062" spans="1:4" ht="14.25">
      <c r="A1062" s="5" t="s">
        <v>463</v>
      </c>
      <c r="B1062" s="6" t="s">
        <v>2156</v>
      </c>
      <c r="C1062" s="7">
        <v>26854</v>
      </c>
      <c r="D1062" s="8" t="s">
        <v>2157</v>
      </c>
    </row>
    <row r="1063" spans="1:4" ht="14.25">
      <c r="A1063" s="5" t="s">
        <v>463</v>
      </c>
      <c r="B1063" s="6" t="s">
        <v>2158</v>
      </c>
      <c r="C1063" s="7">
        <v>26854</v>
      </c>
      <c r="D1063" s="8" t="s">
        <v>2159</v>
      </c>
    </row>
    <row r="1064" spans="1:4" ht="14.25">
      <c r="A1064" s="5">
        <v>9</v>
      </c>
      <c r="B1064" s="6" t="s">
        <v>2160</v>
      </c>
      <c r="C1064" s="7">
        <v>26854</v>
      </c>
      <c r="D1064" s="8" t="s">
        <v>2161</v>
      </c>
    </row>
    <row r="1065" spans="1:4" ht="14.25">
      <c r="A1065" s="5">
        <v>9</v>
      </c>
      <c r="B1065" s="6" t="s">
        <v>2162</v>
      </c>
      <c r="C1065" s="7">
        <v>26854</v>
      </c>
      <c r="D1065" s="8" t="s">
        <v>2163</v>
      </c>
    </row>
    <row r="1066" spans="1:4" ht="14.25">
      <c r="A1066" s="5">
        <v>9</v>
      </c>
      <c r="B1066" s="6" t="s">
        <v>2164</v>
      </c>
      <c r="C1066" s="7">
        <v>26854</v>
      </c>
      <c r="D1066" s="8" t="s">
        <v>2165</v>
      </c>
    </row>
    <row r="1067" spans="1:4" ht="14.25">
      <c r="A1067" s="5">
        <v>9</v>
      </c>
      <c r="B1067" s="6" t="s">
        <v>2166</v>
      </c>
      <c r="C1067" s="7">
        <v>26854</v>
      </c>
      <c r="D1067" s="8" t="s">
        <v>2167</v>
      </c>
    </row>
    <row r="1068" spans="1:4" ht="14.25">
      <c r="A1068" s="5" t="s">
        <v>2145</v>
      </c>
      <c r="B1068" s="6" t="s">
        <v>2168</v>
      </c>
      <c r="C1068" s="7">
        <v>26855</v>
      </c>
      <c r="D1068" s="8" t="s">
        <v>2169</v>
      </c>
    </row>
    <row r="1069" spans="1:4" ht="14.25">
      <c r="A1069" s="5" t="s">
        <v>463</v>
      </c>
      <c r="B1069" s="6" t="s">
        <v>2170</v>
      </c>
      <c r="C1069" s="7">
        <v>26855</v>
      </c>
      <c r="D1069" s="8" t="s">
        <v>2171</v>
      </c>
    </row>
    <row r="1070" spans="1:4" ht="14.25">
      <c r="A1070" s="5">
        <v>10</v>
      </c>
      <c r="B1070" s="6" t="s">
        <v>2172</v>
      </c>
      <c r="C1070" s="7">
        <v>26855</v>
      </c>
      <c r="D1070" s="8" t="s">
        <v>2173</v>
      </c>
    </row>
    <row r="1071" spans="1:4" ht="14.25">
      <c r="A1071" s="5">
        <v>10</v>
      </c>
      <c r="B1071" s="6" t="s">
        <v>2174</v>
      </c>
      <c r="C1071" s="7">
        <v>26855</v>
      </c>
      <c r="D1071" s="8" t="s">
        <v>2175</v>
      </c>
    </row>
    <row r="1072" spans="1:4" ht="14.25">
      <c r="A1072" s="5" t="s">
        <v>5</v>
      </c>
      <c r="B1072" s="6" t="s">
        <v>2176</v>
      </c>
      <c r="C1072" s="7">
        <v>26855</v>
      </c>
      <c r="D1072" s="8" t="s">
        <v>2177</v>
      </c>
    </row>
    <row r="1073" spans="1:4" ht="14.25">
      <c r="A1073" s="5" t="s">
        <v>2145</v>
      </c>
      <c r="B1073" s="6" t="s">
        <v>2178</v>
      </c>
      <c r="C1073" s="7">
        <v>26856</v>
      </c>
      <c r="D1073" s="8" t="s">
        <v>2179</v>
      </c>
    </row>
    <row r="1074" spans="1:4" ht="14.25">
      <c r="A1074" s="5" t="s">
        <v>463</v>
      </c>
      <c r="B1074" s="6" t="s">
        <v>2180</v>
      </c>
      <c r="C1074" s="7">
        <v>26856</v>
      </c>
      <c r="D1074" s="8" t="s">
        <v>2181</v>
      </c>
    </row>
    <row r="1075" spans="1:4" ht="14.25">
      <c r="A1075" s="5" t="s">
        <v>463</v>
      </c>
      <c r="B1075" s="6" t="s">
        <v>2182</v>
      </c>
      <c r="C1075" s="7">
        <v>26856</v>
      </c>
      <c r="D1075" s="8" t="s">
        <v>2183</v>
      </c>
    </row>
    <row r="1076" spans="1:4" ht="14.25">
      <c r="A1076" s="5" t="s">
        <v>463</v>
      </c>
      <c r="B1076" s="6" t="s">
        <v>2184</v>
      </c>
      <c r="C1076" s="7">
        <v>26856</v>
      </c>
      <c r="D1076" s="8" t="s">
        <v>2185</v>
      </c>
    </row>
    <row r="1077" spans="1:4" ht="14.25">
      <c r="A1077" s="5">
        <v>11</v>
      </c>
      <c r="B1077" s="6" t="s">
        <v>2186</v>
      </c>
      <c r="C1077" s="7">
        <v>26856</v>
      </c>
      <c r="D1077" s="8" t="s">
        <v>2187</v>
      </c>
    </row>
    <row r="1078" spans="1:4" ht="14.25">
      <c r="A1078" s="5">
        <v>11</v>
      </c>
      <c r="B1078" s="6" t="s">
        <v>2188</v>
      </c>
      <c r="C1078" s="7">
        <v>26856</v>
      </c>
      <c r="D1078" s="8" t="s">
        <v>2189</v>
      </c>
    </row>
    <row r="1079" spans="1:4" ht="14.25">
      <c r="A1079" s="5">
        <v>11</v>
      </c>
      <c r="B1079" s="6" t="s">
        <v>2190</v>
      </c>
      <c r="C1079" s="7">
        <v>26856</v>
      </c>
      <c r="D1079" s="8" t="s">
        <v>2191</v>
      </c>
    </row>
    <row r="1080" spans="1:4" ht="14.25">
      <c r="A1080" s="5">
        <v>11</v>
      </c>
      <c r="B1080" s="6" t="s">
        <v>2192</v>
      </c>
      <c r="C1080" s="7">
        <v>26856</v>
      </c>
      <c r="D1080" s="8" t="s">
        <v>2193</v>
      </c>
    </row>
    <row r="1081" spans="1:4" ht="14.25">
      <c r="A1081" s="5" t="s">
        <v>2145</v>
      </c>
      <c r="B1081" s="6" t="s">
        <v>2194</v>
      </c>
      <c r="C1081" s="7">
        <v>26857</v>
      </c>
      <c r="D1081" s="8" t="s">
        <v>2195</v>
      </c>
    </row>
    <row r="1082" spans="1:4" ht="14.25">
      <c r="A1082" s="5" t="s">
        <v>463</v>
      </c>
      <c r="B1082" s="6" t="s">
        <v>2196</v>
      </c>
      <c r="C1082" s="7">
        <v>26857</v>
      </c>
      <c r="D1082" s="8" t="s">
        <v>2197</v>
      </c>
    </row>
    <row r="1083" spans="1:4" ht="14.25">
      <c r="A1083" s="5">
        <v>12</v>
      </c>
      <c r="B1083" s="6" t="s">
        <v>2198</v>
      </c>
      <c r="C1083" s="7">
        <v>26857</v>
      </c>
      <c r="D1083" s="8" t="s">
        <v>2199</v>
      </c>
    </row>
    <row r="1084" spans="1:4" ht="14.25">
      <c r="A1084" s="5">
        <v>12</v>
      </c>
      <c r="B1084" s="6" t="s">
        <v>2200</v>
      </c>
      <c r="C1084" s="7">
        <v>26857</v>
      </c>
      <c r="D1084" s="8" t="s">
        <v>2201</v>
      </c>
    </row>
    <row r="1085" spans="1:4" ht="14.25">
      <c r="A1085" s="5" t="s">
        <v>2145</v>
      </c>
      <c r="B1085" s="6" t="s">
        <v>2202</v>
      </c>
      <c r="C1085" s="7">
        <v>26858</v>
      </c>
      <c r="D1085" s="8" t="s">
        <v>2203</v>
      </c>
    </row>
    <row r="1086" spans="1:4" ht="14.25">
      <c r="A1086" s="5">
        <v>13</v>
      </c>
      <c r="B1086" s="6" t="s">
        <v>2204</v>
      </c>
      <c r="C1086" s="7">
        <v>26858</v>
      </c>
      <c r="D1086" s="8" t="s">
        <v>2205</v>
      </c>
    </row>
    <row r="1087" spans="1:4" ht="14.25">
      <c r="A1087" s="5" t="s">
        <v>2145</v>
      </c>
      <c r="B1087" s="6" t="s">
        <v>2206</v>
      </c>
      <c r="C1087" s="7">
        <v>26859</v>
      </c>
      <c r="D1087" s="8" t="s">
        <v>2207</v>
      </c>
    </row>
    <row r="1088" spans="1:4" ht="14.25">
      <c r="A1088" s="5">
        <v>14</v>
      </c>
      <c r="B1088" s="6" t="s">
        <v>2208</v>
      </c>
      <c r="C1088" s="7">
        <v>26859</v>
      </c>
      <c r="D1088" s="8" t="s">
        <v>2209</v>
      </c>
    </row>
    <row r="1089" spans="1:4" ht="14.25">
      <c r="A1089" s="5" t="s">
        <v>2145</v>
      </c>
      <c r="B1089" s="6" t="s">
        <v>2210</v>
      </c>
      <c r="C1089" s="7">
        <v>26860</v>
      </c>
      <c r="D1089" s="8" t="s">
        <v>2211</v>
      </c>
    </row>
    <row r="1090" spans="1:4" ht="14.25">
      <c r="A1090" s="5">
        <v>15</v>
      </c>
      <c r="B1090" s="6" t="s">
        <v>2212</v>
      </c>
      <c r="C1090" s="7">
        <v>26860</v>
      </c>
      <c r="D1090" s="8" t="s">
        <v>2213</v>
      </c>
    </row>
    <row r="1091" spans="1:4" ht="14.25">
      <c r="A1091" s="5" t="s">
        <v>2145</v>
      </c>
      <c r="B1091" s="6" t="s">
        <v>2214</v>
      </c>
      <c r="C1091" s="7">
        <v>26861</v>
      </c>
      <c r="D1091" s="8" t="s">
        <v>2215</v>
      </c>
    </row>
    <row r="1092" spans="1:4" ht="14.25">
      <c r="A1092" s="5">
        <v>16</v>
      </c>
      <c r="B1092" s="6" t="s">
        <v>2216</v>
      </c>
      <c r="C1092" s="7">
        <v>26861</v>
      </c>
      <c r="D1092" s="8" t="s">
        <v>2217</v>
      </c>
    </row>
    <row r="1093" spans="1:4" ht="14.25">
      <c r="A1093" s="5" t="s">
        <v>2145</v>
      </c>
      <c r="B1093" s="6" t="s">
        <v>2218</v>
      </c>
      <c r="C1093" s="7">
        <v>26862</v>
      </c>
      <c r="D1093" s="8" t="s">
        <v>2219</v>
      </c>
    </row>
    <row r="1094" spans="1:4" ht="14.25">
      <c r="A1094" s="5">
        <v>17</v>
      </c>
      <c r="B1094" s="6" t="s">
        <v>2220</v>
      </c>
      <c r="C1094" s="7">
        <v>26862</v>
      </c>
      <c r="D1094" s="8" t="s">
        <v>2221</v>
      </c>
    </row>
    <row r="1095" spans="1:4" ht="14.25">
      <c r="A1095" s="5" t="s">
        <v>2145</v>
      </c>
      <c r="B1095" s="6" t="s">
        <v>2222</v>
      </c>
      <c r="C1095" s="7">
        <v>26863</v>
      </c>
      <c r="D1095" s="8" t="s">
        <v>2223</v>
      </c>
    </row>
    <row r="1096" spans="1:4" ht="14.25">
      <c r="A1096" s="5">
        <v>18</v>
      </c>
      <c r="B1096" s="6" t="s">
        <v>2224</v>
      </c>
      <c r="C1096" s="7">
        <v>26863</v>
      </c>
      <c r="D1096" s="8" t="s">
        <v>2225</v>
      </c>
    </row>
    <row r="1097" spans="1:4" ht="14.25">
      <c r="A1097" s="5" t="s">
        <v>2145</v>
      </c>
      <c r="B1097" s="6" t="s">
        <v>2226</v>
      </c>
      <c r="C1097" s="7">
        <v>26864</v>
      </c>
      <c r="D1097" s="8" t="s">
        <v>2227</v>
      </c>
    </row>
    <row r="1098" spans="1:4" ht="14.25">
      <c r="A1098" s="5" t="s">
        <v>463</v>
      </c>
      <c r="B1098" s="6" t="s">
        <v>2228</v>
      </c>
      <c r="C1098" s="7">
        <v>26864</v>
      </c>
      <c r="D1098" s="8" t="s">
        <v>2229</v>
      </c>
    </row>
    <row r="1099" spans="1:4" ht="14.25">
      <c r="A1099" s="5">
        <v>19</v>
      </c>
      <c r="B1099" s="6" t="s">
        <v>2230</v>
      </c>
      <c r="C1099" s="7">
        <v>26864</v>
      </c>
      <c r="D1099" s="8" t="s">
        <v>2231</v>
      </c>
    </row>
    <row r="1100" spans="1:4" ht="14.25">
      <c r="A1100" s="5">
        <v>19</v>
      </c>
      <c r="B1100" s="6" t="s">
        <v>2232</v>
      </c>
      <c r="C1100" s="7">
        <v>26864</v>
      </c>
      <c r="D1100" s="8" t="s">
        <v>2233</v>
      </c>
    </row>
    <row r="1101" spans="1:4" ht="14.25">
      <c r="A1101" s="5" t="s">
        <v>2145</v>
      </c>
      <c r="B1101" s="6" t="s">
        <v>2234</v>
      </c>
      <c r="C1101" s="7">
        <v>26865</v>
      </c>
      <c r="D1101" s="8" t="s">
        <v>2235</v>
      </c>
    </row>
    <row r="1102" spans="1:4" ht="14.25">
      <c r="A1102" s="5">
        <v>20</v>
      </c>
      <c r="B1102" s="6" t="s">
        <v>2236</v>
      </c>
      <c r="C1102" s="7">
        <v>26865</v>
      </c>
      <c r="D1102" s="8" t="s">
        <v>2237</v>
      </c>
    </row>
    <row r="1103" spans="1:4" ht="14.25">
      <c r="A1103" s="5" t="s">
        <v>2145</v>
      </c>
      <c r="B1103" s="6" t="s">
        <v>2238</v>
      </c>
      <c r="C1103" s="7">
        <v>26866</v>
      </c>
      <c r="D1103" s="8" t="s">
        <v>2239</v>
      </c>
    </row>
    <row r="1104" spans="1:4" ht="14.25">
      <c r="A1104" s="5" t="s">
        <v>463</v>
      </c>
      <c r="B1104" s="6" t="s">
        <v>2240</v>
      </c>
      <c r="C1104" s="7">
        <v>26866</v>
      </c>
      <c r="D1104" s="8" t="s">
        <v>2241</v>
      </c>
    </row>
    <row r="1105" spans="1:4" ht="14.25">
      <c r="A1105" s="5">
        <v>21</v>
      </c>
      <c r="B1105" s="6" t="s">
        <v>2242</v>
      </c>
      <c r="C1105" s="7">
        <v>26866</v>
      </c>
      <c r="D1105" s="8" t="s">
        <v>2243</v>
      </c>
    </row>
    <row r="1106" spans="1:4" ht="14.25">
      <c r="A1106" s="5">
        <v>21</v>
      </c>
      <c r="B1106" s="6" t="s">
        <v>2244</v>
      </c>
      <c r="C1106" s="7">
        <v>26866</v>
      </c>
      <c r="D1106" s="8" t="s">
        <v>2245</v>
      </c>
    </row>
    <row r="1107" spans="1:4" ht="14.25">
      <c r="A1107" s="5" t="s">
        <v>2145</v>
      </c>
      <c r="B1107" s="6" t="s">
        <v>2246</v>
      </c>
      <c r="C1107" s="7">
        <v>26867</v>
      </c>
      <c r="D1107" s="8" t="s">
        <v>2247</v>
      </c>
    </row>
    <row r="1108" spans="1:4" ht="14.25">
      <c r="A1108" s="5" t="s">
        <v>463</v>
      </c>
      <c r="B1108" s="6" t="s">
        <v>2248</v>
      </c>
      <c r="C1108" s="7">
        <v>26867</v>
      </c>
      <c r="D1108" s="8" t="s">
        <v>2249</v>
      </c>
    </row>
    <row r="1109" spans="1:4" ht="14.25">
      <c r="A1109" s="5">
        <v>22</v>
      </c>
      <c r="B1109" s="6" t="s">
        <v>2250</v>
      </c>
      <c r="C1109" s="7">
        <v>26867</v>
      </c>
      <c r="D1109" s="8" t="s">
        <v>2251</v>
      </c>
    </row>
    <row r="1110" spans="1:4" ht="14.25">
      <c r="A1110" s="5">
        <v>22</v>
      </c>
      <c r="B1110" s="6" t="s">
        <v>2252</v>
      </c>
      <c r="C1110" s="7">
        <v>26867</v>
      </c>
      <c r="D1110" s="8" t="s">
        <v>2253</v>
      </c>
    </row>
    <row r="1111" spans="1:4" ht="14.25">
      <c r="A1111" s="5" t="s">
        <v>2145</v>
      </c>
      <c r="B1111" s="6" t="s">
        <v>2254</v>
      </c>
      <c r="C1111" s="7">
        <v>26868</v>
      </c>
      <c r="D1111" s="8" t="s">
        <v>2255</v>
      </c>
    </row>
    <row r="1112" spans="1:4" ht="14.25">
      <c r="A1112" s="5" t="s">
        <v>463</v>
      </c>
      <c r="B1112" s="6" t="s">
        <v>2256</v>
      </c>
      <c r="C1112" s="7">
        <v>26868</v>
      </c>
      <c r="D1112" s="8" t="s">
        <v>2257</v>
      </c>
    </row>
    <row r="1113" spans="1:4" ht="14.25">
      <c r="A1113" s="5" t="s">
        <v>42</v>
      </c>
      <c r="B1113" s="6" t="s">
        <v>2258</v>
      </c>
      <c r="C1113" s="7">
        <v>26868</v>
      </c>
      <c r="D1113" s="8" t="s">
        <v>2259</v>
      </c>
    </row>
    <row r="1114" spans="1:4" ht="14.25">
      <c r="A1114" s="5">
        <v>23</v>
      </c>
      <c r="B1114" s="6" t="s">
        <v>2260</v>
      </c>
      <c r="C1114" s="7">
        <v>26868</v>
      </c>
      <c r="D1114" s="8" t="s">
        <v>2261</v>
      </c>
    </row>
    <row r="1115" spans="1:4" ht="14.25">
      <c r="A1115" s="5">
        <v>23</v>
      </c>
      <c r="B1115" s="6" t="s">
        <v>2262</v>
      </c>
      <c r="C1115" s="7">
        <v>26868</v>
      </c>
      <c r="D1115" s="8" t="s">
        <v>2263</v>
      </c>
    </row>
    <row r="1116" spans="1:4" ht="14.25">
      <c r="A1116" s="5">
        <v>23</v>
      </c>
      <c r="B1116" s="6" t="s">
        <v>2264</v>
      </c>
      <c r="C1116" s="7">
        <v>26868</v>
      </c>
      <c r="D1116" s="8" t="s">
        <v>2265</v>
      </c>
    </row>
    <row r="1117" spans="1:4" ht="14.25">
      <c r="A1117" s="5" t="s">
        <v>2145</v>
      </c>
      <c r="B1117" s="6" t="s">
        <v>2266</v>
      </c>
      <c r="C1117" s="7">
        <v>26869</v>
      </c>
      <c r="D1117" s="8" t="s">
        <v>2267</v>
      </c>
    </row>
    <row r="1118" spans="1:4" ht="14.25">
      <c r="A1118" s="5" t="s">
        <v>463</v>
      </c>
      <c r="B1118" s="6" t="s">
        <v>2268</v>
      </c>
      <c r="C1118" s="7">
        <v>26869</v>
      </c>
      <c r="D1118" s="8" t="s">
        <v>2269</v>
      </c>
    </row>
    <row r="1119" spans="1:4" ht="14.25">
      <c r="A1119" s="5">
        <v>24</v>
      </c>
      <c r="B1119" s="6" t="s">
        <v>2270</v>
      </c>
      <c r="C1119" s="7">
        <v>26869</v>
      </c>
      <c r="D1119" s="8" t="s">
        <v>2271</v>
      </c>
    </row>
    <row r="1120" spans="1:4" ht="14.25">
      <c r="A1120" s="5">
        <v>24</v>
      </c>
      <c r="B1120" s="6" t="s">
        <v>2272</v>
      </c>
      <c r="C1120" s="7">
        <v>26869</v>
      </c>
      <c r="D1120" s="8" t="s">
        <v>2273</v>
      </c>
    </row>
    <row r="1121" spans="1:4" ht="14.25">
      <c r="A1121" s="5" t="s">
        <v>2145</v>
      </c>
      <c r="B1121" s="6" t="s">
        <v>2274</v>
      </c>
      <c r="C1121" s="7">
        <v>26870</v>
      </c>
      <c r="D1121" s="8" t="s">
        <v>2275</v>
      </c>
    </row>
    <row r="1122" spans="1:4" ht="14.25">
      <c r="A1122" s="5" t="s">
        <v>463</v>
      </c>
      <c r="B1122" s="6" t="s">
        <v>2276</v>
      </c>
      <c r="C1122" s="7">
        <v>26870</v>
      </c>
      <c r="D1122" s="8" t="s">
        <v>2277</v>
      </c>
    </row>
    <row r="1123" spans="1:4" ht="14.25">
      <c r="A1123" s="5">
        <v>25</v>
      </c>
      <c r="B1123" s="6" t="s">
        <v>2278</v>
      </c>
      <c r="C1123" s="7">
        <v>26870</v>
      </c>
      <c r="D1123" s="8" t="s">
        <v>2279</v>
      </c>
    </row>
    <row r="1124" spans="1:4" ht="14.25">
      <c r="A1124" s="5">
        <v>25</v>
      </c>
      <c r="B1124" s="6" t="s">
        <v>2280</v>
      </c>
      <c r="C1124" s="7">
        <v>26870</v>
      </c>
      <c r="D1124" s="8" t="s">
        <v>2281</v>
      </c>
    </row>
    <row r="1125" spans="1:4" ht="14.25">
      <c r="A1125" s="5" t="s">
        <v>2145</v>
      </c>
      <c r="B1125" s="6" t="s">
        <v>2282</v>
      </c>
      <c r="C1125" s="7">
        <v>26871</v>
      </c>
      <c r="D1125" s="8" t="s">
        <v>2283</v>
      </c>
    </row>
    <row r="1126" spans="1:4" ht="14.25">
      <c r="A1126" s="5" t="s">
        <v>463</v>
      </c>
      <c r="B1126" s="6" t="s">
        <v>2284</v>
      </c>
      <c r="C1126" s="7">
        <v>26871</v>
      </c>
      <c r="D1126" s="8" t="s">
        <v>2285</v>
      </c>
    </row>
    <row r="1127" spans="1:4" ht="14.25">
      <c r="A1127" s="5">
        <v>26</v>
      </c>
      <c r="B1127" s="6" t="s">
        <v>2286</v>
      </c>
      <c r="C1127" s="7">
        <v>26871</v>
      </c>
      <c r="D1127" s="8" t="s">
        <v>2287</v>
      </c>
    </row>
    <row r="1128" spans="1:4" ht="14.25">
      <c r="A1128" s="5">
        <v>26</v>
      </c>
      <c r="B1128" s="6" t="s">
        <v>2288</v>
      </c>
      <c r="C1128" s="7">
        <v>26871</v>
      </c>
      <c r="D1128" s="8" t="s">
        <v>2289</v>
      </c>
    </row>
    <row r="1129" spans="1:4" ht="14.25">
      <c r="A1129" s="5" t="s">
        <v>2145</v>
      </c>
      <c r="B1129" s="6" t="s">
        <v>2290</v>
      </c>
      <c r="C1129" s="7">
        <v>26872</v>
      </c>
      <c r="D1129" s="8" t="s">
        <v>2291</v>
      </c>
    </row>
    <row r="1130" spans="1:4" ht="14.25">
      <c r="A1130" s="5">
        <v>27</v>
      </c>
      <c r="B1130" s="6" t="s">
        <v>2292</v>
      </c>
      <c r="C1130" s="7">
        <v>26872</v>
      </c>
      <c r="D1130" s="8" t="s">
        <v>2293</v>
      </c>
    </row>
    <row r="1131" spans="1:4" ht="14.25">
      <c r="A1131" s="5" t="s">
        <v>2145</v>
      </c>
      <c r="B1131" s="6" t="s">
        <v>2294</v>
      </c>
      <c r="C1131" s="7">
        <v>26873</v>
      </c>
      <c r="D1131" s="8" t="s">
        <v>2295</v>
      </c>
    </row>
    <row r="1132" spans="1:4" ht="14.25">
      <c r="A1132" s="5">
        <v>28</v>
      </c>
      <c r="B1132" s="6" t="s">
        <v>2296</v>
      </c>
      <c r="C1132" s="7">
        <v>26873</v>
      </c>
      <c r="D1132" s="8" t="s">
        <v>2297</v>
      </c>
    </row>
    <row r="1133" spans="1:4" ht="14.25">
      <c r="A1133" s="5" t="s">
        <v>2145</v>
      </c>
      <c r="B1133" s="6" t="s">
        <v>2298</v>
      </c>
      <c r="C1133" s="7">
        <v>26874</v>
      </c>
      <c r="D1133" s="8" t="s">
        <v>2299</v>
      </c>
    </row>
    <row r="1134" spans="1:4" ht="14.25">
      <c r="A1134" s="5">
        <v>29</v>
      </c>
      <c r="B1134" s="6" t="s">
        <v>2300</v>
      </c>
      <c r="C1134" s="7">
        <v>26874</v>
      </c>
      <c r="D1134" s="8" t="s">
        <v>2301</v>
      </c>
    </row>
    <row r="1135" spans="1:4" ht="14.25">
      <c r="A1135" s="5" t="s">
        <v>2145</v>
      </c>
      <c r="B1135" s="6" t="s">
        <v>2302</v>
      </c>
      <c r="C1135" s="7">
        <v>26875</v>
      </c>
      <c r="D1135" s="8" t="s">
        <v>2303</v>
      </c>
    </row>
    <row r="1136" spans="1:4" ht="14.25">
      <c r="A1136" s="5">
        <v>30</v>
      </c>
      <c r="B1136" s="6" t="s">
        <v>2304</v>
      </c>
      <c r="C1136" s="7">
        <v>26875</v>
      </c>
      <c r="D1136" s="8" t="s">
        <v>2305</v>
      </c>
    </row>
    <row r="1137" spans="1:4" ht="14.25">
      <c r="A1137" s="5" t="s">
        <v>2145</v>
      </c>
      <c r="B1137" s="6" t="s">
        <v>2306</v>
      </c>
      <c r="C1137" s="7">
        <v>26876</v>
      </c>
      <c r="D1137" s="8" t="s">
        <v>2307</v>
      </c>
    </row>
    <row r="1138" spans="1:4" ht="14.25">
      <c r="A1138" s="5">
        <v>31</v>
      </c>
      <c r="B1138" s="6" t="s">
        <v>2308</v>
      </c>
      <c r="C1138" s="7">
        <v>26876</v>
      </c>
      <c r="D1138" s="8" t="s">
        <v>2309</v>
      </c>
    </row>
    <row r="1139" spans="1:4" ht="14.25">
      <c r="A1139" s="5" t="s">
        <v>2145</v>
      </c>
      <c r="B1139" s="6" t="s">
        <v>2310</v>
      </c>
      <c r="C1139" s="7">
        <v>26877</v>
      </c>
      <c r="D1139" s="8" t="s">
        <v>2311</v>
      </c>
    </row>
    <row r="1140" spans="1:4" ht="14.25">
      <c r="A1140" s="5">
        <v>1</v>
      </c>
      <c r="B1140" s="6" t="s">
        <v>2312</v>
      </c>
      <c r="C1140" s="7">
        <v>26877</v>
      </c>
      <c r="D1140" s="8" t="s">
        <v>2313</v>
      </c>
    </row>
    <row r="1141" spans="1:4" ht="14.25">
      <c r="A1141" s="5" t="s">
        <v>18</v>
      </c>
      <c r="B1141" s="6" t="s">
        <v>2314</v>
      </c>
      <c r="C1141" s="7">
        <v>26879</v>
      </c>
      <c r="D1141" s="8" t="s">
        <v>2315</v>
      </c>
    </row>
    <row r="1142" spans="1:4" ht="14.25">
      <c r="A1142" s="5">
        <v>3</v>
      </c>
      <c r="B1142" s="6" t="s">
        <v>2316</v>
      </c>
      <c r="C1142" s="7">
        <v>26879</v>
      </c>
      <c r="D1142" s="8" t="s">
        <v>2317</v>
      </c>
    </row>
    <row r="1143" spans="1:4" ht="14.25">
      <c r="A1143" s="5" t="s">
        <v>18</v>
      </c>
      <c r="B1143" s="6" t="s">
        <v>2318</v>
      </c>
      <c r="C1143" s="7">
        <v>26880</v>
      </c>
      <c r="D1143" s="8" t="s">
        <v>2319</v>
      </c>
    </row>
    <row r="1144" spans="1:4" ht="14.25">
      <c r="A1144" s="5">
        <v>4</v>
      </c>
      <c r="B1144" s="6" t="s">
        <v>2320</v>
      </c>
      <c r="C1144" s="7">
        <v>26880</v>
      </c>
      <c r="D1144" s="8" t="s">
        <v>2321</v>
      </c>
    </row>
    <row r="1145" spans="1:4" ht="14.25">
      <c r="A1145" s="5" t="s">
        <v>18</v>
      </c>
      <c r="B1145" s="6" t="s">
        <v>2322</v>
      </c>
      <c r="C1145" s="7">
        <v>26881</v>
      </c>
      <c r="D1145" s="8" t="s">
        <v>2323</v>
      </c>
    </row>
    <row r="1146" spans="1:4" ht="14.25">
      <c r="A1146" s="5">
        <v>5</v>
      </c>
      <c r="B1146" s="6" t="s">
        <v>2324</v>
      </c>
      <c r="C1146" s="7">
        <v>26881</v>
      </c>
      <c r="D1146" s="8" t="s">
        <v>2325</v>
      </c>
    </row>
    <row r="1147" spans="1:4" ht="14.25">
      <c r="A1147" s="5" t="s">
        <v>18</v>
      </c>
      <c r="B1147" s="6" t="s">
        <v>2326</v>
      </c>
      <c r="C1147" s="7">
        <v>26882</v>
      </c>
      <c r="D1147" s="8" t="s">
        <v>2327</v>
      </c>
    </row>
    <row r="1148" spans="1:4" ht="14.25">
      <c r="A1148" s="5">
        <v>6</v>
      </c>
      <c r="B1148" s="6" t="s">
        <v>2328</v>
      </c>
      <c r="C1148" s="7">
        <v>26882</v>
      </c>
      <c r="D1148" s="8" t="s">
        <v>2329</v>
      </c>
    </row>
    <row r="1149" spans="1:4" ht="14.25">
      <c r="A1149" s="5" t="s">
        <v>18</v>
      </c>
      <c r="B1149" s="6" t="s">
        <v>2330</v>
      </c>
      <c r="C1149" s="7">
        <v>26883</v>
      </c>
      <c r="D1149" s="8" t="s">
        <v>2331</v>
      </c>
    </row>
    <row r="1150" spans="1:4" ht="14.25">
      <c r="A1150" s="5">
        <v>7</v>
      </c>
      <c r="B1150" s="6" t="s">
        <v>2332</v>
      </c>
      <c r="C1150" s="7">
        <v>26883</v>
      </c>
      <c r="D1150" s="8" t="s">
        <v>2333</v>
      </c>
    </row>
    <row r="1151" spans="1:4" ht="14.25">
      <c r="A1151" s="5" t="s">
        <v>18</v>
      </c>
      <c r="B1151" s="6" t="s">
        <v>2334</v>
      </c>
      <c r="C1151" s="7">
        <v>26884</v>
      </c>
      <c r="D1151" s="8" t="s">
        <v>2335</v>
      </c>
    </row>
    <row r="1152" spans="1:4" ht="14.25">
      <c r="A1152" s="5">
        <v>8</v>
      </c>
      <c r="B1152" s="6" t="s">
        <v>2336</v>
      </c>
      <c r="C1152" s="7">
        <v>26884</v>
      </c>
      <c r="D1152" s="8" t="s">
        <v>2337</v>
      </c>
    </row>
    <row r="1153" spans="1:4" ht="14.25">
      <c r="A1153" s="5" t="s">
        <v>863</v>
      </c>
      <c r="B1153" s="6" t="s">
        <v>2338</v>
      </c>
      <c r="C1153" s="7">
        <v>26885</v>
      </c>
      <c r="D1153" s="8" t="s">
        <v>2339</v>
      </c>
    </row>
    <row r="1154" spans="1:4" ht="14.25">
      <c r="A1154" s="5" t="s">
        <v>484</v>
      </c>
      <c r="B1154" s="6" t="s">
        <v>2340</v>
      </c>
      <c r="C1154" s="7">
        <v>26885</v>
      </c>
      <c r="D1154" s="8" t="s">
        <v>2341</v>
      </c>
    </row>
    <row r="1155" spans="1:4" ht="14.25">
      <c r="A1155" s="5" t="s">
        <v>463</v>
      </c>
      <c r="B1155" s="6" t="s">
        <v>2342</v>
      </c>
      <c r="C1155" s="7">
        <v>26885</v>
      </c>
      <c r="D1155" s="8" t="s">
        <v>2343</v>
      </c>
    </row>
    <row r="1156" spans="1:4" ht="14.25">
      <c r="A1156" s="5">
        <v>9</v>
      </c>
      <c r="B1156" s="6" t="s">
        <v>2344</v>
      </c>
      <c r="C1156" s="7">
        <v>26885</v>
      </c>
      <c r="D1156" s="8" t="s">
        <v>2345</v>
      </c>
    </row>
    <row r="1157" spans="1:4" ht="14.25">
      <c r="A1157" s="5">
        <v>9</v>
      </c>
      <c r="B1157" s="6" t="s">
        <v>2346</v>
      </c>
      <c r="C1157" s="7">
        <v>26885</v>
      </c>
      <c r="D1157" s="8" t="s">
        <v>2347</v>
      </c>
    </row>
    <row r="1158" spans="1:4" ht="14.25">
      <c r="A1158" s="5">
        <v>9</v>
      </c>
      <c r="B1158" s="6" t="s">
        <v>2348</v>
      </c>
      <c r="C1158" s="7">
        <v>26885</v>
      </c>
      <c r="D1158" s="8" t="s">
        <v>2349</v>
      </c>
    </row>
    <row r="1159" spans="1:4" ht="14.25">
      <c r="A1159" s="5" t="s">
        <v>1786</v>
      </c>
      <c r="B1159" s="6" t="s">
        <v>2350</v>
      </c>
      <c r="C1159" s="7">
        <v>26886</v>
      </c>
      <c r="D1159" s="8" t="s">
        <v>2351</v>
      </c>
    </row>
    <row r="1160" spans="1:4" ht="14.25">
      <c r="A1160" s="5" t="s">
        <v>463</v>
      </c>
      <c r="B1160" s="6" t="s">
        <v>2352</v>
      </c>
      <c r="C1160" s="7">
        <v>26886</v>
      </c>
      <c r="D1160" s="8" t="s">
        <v>2353</v>
      </c>
    </row>
    <row r="1161" spans="1:4" ht="14.25">
      <c r="A1161" s="5">
        <v>10</v>
      </c>
      <c r="B1161" s="6" t="s">
        <v>2354</v>
      </c>
      <c r="C1161" s="7">
        <v>26886</v>
      </c>
      <c r="D1161" s="8" t="s">
        <v>2355</v>
      </c>
    </row>
    <row r="1162" spans="1:4" ht="14.25">
      <c r="A1162" s="5">
        <v>10</v>
      </c>
      <c r="B1162" s="6" t="s">
        <v>2356</v>
      </c>
      <c r="C1162" s="7">
        <v>26886</v>
      </c>
      <c r="D1162" s="8" t="s">
        <v>2357</v>
      </c>
    </row>
    <row r="1163" spans="1:4" ht="14.25">
      <c r="A1163" s="5" t="s">
        <v>1786</v>
      </c>
      <c r="B1163" s="6" t="s">
        <v>2358</v>
      </c>
      <c r="C1163" s="7">
        <v>26887</v>
      </c>
      <c r="D1163" s="8" t="s">
        <v>2359</v>
      </c>
    </row>
    <row r="1164" spans="1:4" ht="14.25">
      <c r="A1164" s="5" t="s">
        <v>463</v>
      </c>
      <c r="B1164" s="6" t="s">
        <v>2360</v>
      </c>
      <c r="C1164" s="7">
        <v>26887</v>
      </c>
      <c r="D1164" s="8" t="s">
        <v>2361</v>
      </c>
    </row>
    <row r="1165" spans="1:4" ht="14.25">
      <c r="A1165" s="5" t="s">
        <v>463</v>
      </c>
      <c r="B1165" s="6" t="s">
        <v>2362</v>
      </c>
      <c r="C1165" s="7">
        <v>26887</v>
      </c>
      <c r="D1165" s="8" t="s">
        <v>2363</v>
      </c>
    </row>
    <row r="1166" spans="1:4" ht="14.25">
      <c r="A1166" s="5">
        <v>11</v>
      </c>
      <c r="B1166" s="6" t="s">
        <v>2364</v>
      </c>
      <c r="C1166" s="7">
        <v>26887</v>
      </c>
      <c r="D1166" s="8" t="s">
        <v>2365</v>
      </c>
    </row>
    <row r="1167" spans="1:4" ht="14.25">
      <c r="A1167" s="5">
        <v>11</v>
      </c>
      <c r="B1167" s="6" t="s">
        <v>2366</v>
      </c>
      <c r="C1167" s="7">
        <v>26887</v>
      </c>
      <c r="D1167" s="8" t="s">
        <v>2367</v>
      </c>
    </row>
    <row r="1168" spans="1:4" ht="14.25">
      <c r="A1168" s="5">
        <v>11</v>
      </c>
      <c r="B1168" s="6" t="s">
        <v>2368</v>
      </c>
      <c r="C1168" s="7">
        <v>26887</v>
      </c>
      <c r="D1168" s="8" t="s">
        <v>2369</v>
      </c>
    </row>
    <row r="1169" spans="1:4" ht="14.25">
      <c r="A1169" s="5" t="s">
        <v>1786</v>
      </c>
      <c r="B1169" s="6" t="s">
        <v>2370</v>
      </c>
      <c r="C1169" s="7">
        <v>26888</v>
      </c>
      <c r="D1169" s="8" t="s">
        <v>2371</v>
      </c>
    </row>
    <row r="1170" spans="1:4" ht="14.25">
      <c r="A1170" s="5" t="s">
        <v>463</v>
      </c>
      <c r="B1170" s="6" t="s">
        <v>2372</v>
      </c>
      <c r="C1170" s="7">
        <v>26888</v>
      </c>
      <c r="D1170" s="8" t="s">
        <v>2373</v>
      </c>
    </row>
    <row r="1171" spans="1:4" ht="14.25">
      <c r="A1171" s="5">
        <v>12</v>
      </c>
      <c r="B1171" s="6" t="s">
        <v>2374</v>
      </c>
      <c r="C1171" s="7">
        <v>26888</v>
      </c>
      <c r="D1171" s="8" t="s">
        <v>2375</v>
      </c>
    </row>
    <row r="1172" spans="1:4" ht="14.25">
      <c r="A1172" s="5">
        <v>12</v>
      </c>
      <c r="B1172" s="6" t="s">
        <v>2376</v>
      </c>
      <c r="C1172" s="7">
        <v>26888</v>
      </c>
      <c r="D1172" s="8" t="s">
        <v>2377</v>
      </c>
    </row>
    <row r="1173" spans="1:4" ht="14.25">
      <c r="A1173" s="5" t="s">
        <v>1786</v>
      </c>
      <c r="B1173" s="6" t="s">
        <v>2378</v>
      </c>
      <c r="C1173" s="7">
        <v>26889</v>
      </c>
      <c r="D1173" s="8" t="s">
        <v>2379</v>
      </c>
    </row>
    <row r="1174" spans="1:4" ht="14.25">
      <c r="A1174" s="5" t="s">
        <v>463</v>
      </c>
      <c r="B1174" s="6" t="s">
        <v>2380</v>
      </c>
      <c r="C1174" s="7">
        <v>26889</v>
      </c>
      <c r="D1174" s="8" t="s">
        <v>2381</v>
      </c>
    </row>
    <row r="1175" spans="1:4" ht="14.25">
      <c r="A1175" s="5" t="s">
        <v>463</v>
      </c>
      <c r="B1175" s="6" t="s">
        <v>2382</v>
      </c>
      <c r="C1175" s="7">
        <v>26889</v>
      </c>
      <c r="D1175" s="8" t="s">
        <v>2383</v>
      </c>
    </row>
    <row r="1176" spans="1:4" ht="14.25">
      <c r="A1176" s="5" t="s">
        <v>463</v>
      </c>
      <c r="B1176" s="6" t="s">
        <v>2384</v>
      </c>
      <c r="C1176" s="7">
        <v>26889</v>
      </c>
      <c r="D1176" s="8" t="s">
        <v>2385</v>
      </c>
    </row>
    <row r="1177" spans="1:4" ht="14.25">
      <c r="A1177" s="5" t="s">
        <v>463</v>
      </c>
      <c r="B1177" s="6" t="s">
        <v>2386</v>
      </c>
      <c r="C1177" s="7">
        <v>26889</v>
      </c>
      <c r="D1177" s="8" t="s">
        <v>2387</v>
      </c>
    </row>
    <row r="1178" spans="1:4" ht="14.25">
      <c r="A1178" s="5">
        <v>13</v>
      </c>
      <c r="B1178" s="6" t="s">
        <v>2388</v>
      </c>
      <c r="C1178" s="7">
        <v>26889</v>
      </c>
      <c r="D1178" s="8" t="s">
        <v>2389</v>
      </c>
    </row>
    <row r="1179" spans="1:4" ht="14.25">
      <c r="A1179" s="5">
        <v>13</v>
      </c>
      <c r="B1179" s="6" t="s">
        <v>2390</v>
      </c>
      <c r="C1179" s="7">
        <v>26889</v>
      </c>
      <c r="D1179" s="8" t="s">
        <v>2391</v>
      </c>
    </row>
    <row r="1180" spans="1:4" ht="14.25">
      <c r="A1180" s="5">
        <v>13</v>
      </c>
      <c r="B1180" s="6" t="s">
        <v>2392</v>
      </c>
      <c r="C1180" s="7">
        <v>26889</v>
      </c>
      <c r="D1180" s="8" t="s">
        <v>2393</v>
      </c>
    </row>
    <row r="1181" spans="1:4" ht="14.25">
      <c r="A1181" s="5">
        <v>13</v>
      </c>
      <c r="B1181" s="6" t="s">
        <v>2394</v>
      </c>
      <c r="C1181" s="7">
        <v>26889</v>
      </c>
      <c r="D1181" s="8" t="s">
        <v>2395</v>
      </c>
    </row>
    <row r="1182" spans="1:4" ht="14.25">
      <c r="A1182" s="5">
        <v>13</v>
      </c>
      <c r="B1182" s="6" t="s">
        <v>2396</v>
      </c>
      <c r="C1182" s="7">
        <v>26889</v>
      </c>
      <c r="D1182" s="8" t="s">
        <v>2397</v>
      </c>
    </row>
    <row r="1183" spans="1:4" ht="14.25">
      <c r="A1183" s="5" t="s">
        <v>18</v>
      </c>
      <c r="B1183" s="6" t="s">
        <v>2398</v>
      </c>
      <c r="C1183" s="7">
        <v>26891</v>
      </c>
      <c r="D1183" s="8" t="s">
        <v>2399</v>
      </c>
    </row>
    <row r="1184" spans="1:4" ht="14.25">
      <c r="A1184" s="5">
        <v>15</v>
      </c>
      <c r="B1184" s="6" t="s">
        <v>2400</v>
      </c>
      <c r="C1184" s="7">
        <v>26891</v>
      </c>
      <c r="D1184" s="8" t="s">
        <v>2401</v>
      </c>
    </row>
    <row r="1185" spans="1:4" ht="14.25">
      <c r="A1185" s="5" t="s">
        <v>18</v>
      </c>
      <c r="B1185" s="6" t="s">
        <v>2402</v>
      </c>
      <c r="C1185" s="7">
        <v>26892</v>
      </c>
      <c r="D1185" s="8" t="s">
        <v>2403</v>
      </c>
    </row>
    <row r="1186" spans="1:4" ht="14.25">
      <c r="A1186" s="5">
        <v>16</v>
      </c>
      <c r="B1186" s="6" t="s">
        <v>2404</v>
      </c>
      <c r="C1186" s="7">
        <v>26892</v>
      </c>
      <c r="D1186" s="8" t="s">
        <v>2405</v>
      </c>
    </row>
    <row r="1187" spans="1:4" ht="14.25">
      <c r="A1187" s="5" t="s">
        <v>18</v>
      </c>
      <c r="B1187" s="6" t="s">
        <v>2406</v>
      </c>
      <c r="C1187" s="7">
        <v>26893</v>
      </c>
      <c r="D1187" s="8" t="s">
        <v>2407</v>
      </c>
    </row>
    <row r="1188" spans="1:4" ht="14.25">
      <c r="A1188" s="5">
        <v>17</v>
      </c>
      <c r="B1188" s="6" t="s">
        <v>2408</v>
      </c>
      <c r="C1188" s="7">
        <v>26893</v>
      </c>
      <c r="D1188" s="8" t="s">
        <v>2409</v>
      </c>
    </row>
    <row r="1189" spans="1:4" ht="14.25">
      <c r="A1189" s="5" t="s">
        <v>18</v>
      </c>
      <c r="B1189" s="6" t="s">
        <v>2410</v>
      </c>
      <c r="C1189" s="7">
        <v>26894</v>
      </c>
      <c r="D1189" s="8" t="s">
        <v>2411</v>
      </c>
    </row>
    <row r="1190" spans="1:4" ht="14.25">
      <c r="A1190" s="5">
        <v>18</v>
      </c>
      <c r="B1190" s="6" t="s">
        <v>2412</v>
      </c>
      <c r="C1190" s="7">
        <v>26894</v>
      </c>
      <c r="D1190" s="8" t="s">
        <v>2413</v>
      </c>
    </row>
    <row r="1191" spans="1:4" ht="14.25">
      <c r="A1191" s="5" t="s">
        <v>18</v>
      </c>
      <c r="B1191" s="6" t="s">
        <v>2414</v>
      </c>
      <c r="C1191" s="7">
        <v>26895</v>
      </c>
      <c r="D1191" s="8" t="s">
        <v>2415</v>
      </c>
    </row>
    <row r="1192" spans="1:4" ht="14.25">
      <c r="A1192" s="5">
        <v>19</v>
      </c>
      <c r="B1192" s="6" t="s">
        <v>2416</v>
      </c>
      <c r="C1192" s="7">
        <v>26895</v>
      </c>
      <c r="D1192" s="8" t="s">
        <v>2417</v>
      </c>
    </row>
    <row r="1193" spans="1:4" ht="14.25">
      <c r="A1193" s="5" t="s">
        <v>18</v>
      </c>
      <c r="B1193" s="6" t="s">
        <v>2418</v>
      </c>
      <c r="C1193" s="7">
        <v>26896</v>
      </c>
      <c r="D1193" s="8" t="s">
        <v>2419</v>
      </c>
    </row>
    <row r="1194" spans="1:4" ht="14.25">
      <c r="A1194" s="5">
        <v>20</v>
      </c>
      <c r="B1194" s="6" t="s">
        <v>2420</v>
      </c>
      <c r="C1194" s="7">
        <v>26896</v>
      </c>
      <c r="D1194" s="8" t="s">
        <v>2421</v>
      </c>
    </row>
    <row r="1195" spans="1:4" ht="14.25">
      <c r="A1195" s="5" t="s">
        <v>18</v>
      </c>
      <c r="B1195" s="6" t="s">
        <v>2422</v>
      </c>
      <c r="C1195" s="7">
        <v>26897</v>
      </c>
      <c r="D1195" s="8" t="s">
        <v>2423</v>
      </c>
    </row>
    <row r="1196" spans="1:4" ht="14.25">
      <c r="A1196" s="5" t="s">
        <v>197</v>
      </c>
      <c r="B1196" s="6" t="s">
        <v>2424</v>
      </c>
      <c r="C1196" s="7">
        <v>26897</v>
      </c>
      <c r="D1196" s="8" t="s">
        <v>2425</v>
      </c>
    </row>
    <row r="1197" spans="1:4" ht="14.25">
      <c r="A1197" s="5" t="s">
        <v>197</v>
      </c>
      <c r="B1197" s="6" t="s">
        <v>2426</v>
      </c>
      <c r="C1197" s="7">
        <v>26897</v>
      </c>
      <c r="D1197" s="8" t="s">
        <v>2427</v>
      </c>
    </row>
    <row r="1198" spans="1:4" ht="14.25">
      <c r="A1198" s="5" t="s">
        <v>197</v>
      </c>
      <c r="B1198" s="6" t="s">
        <v>2428</v>
      </c>
      <c r="C1198" s="7">
        <v>26897</v>
      </c>
      <c r="D1198" s="8" t="s">
        <v>2429</v>
      </c>
    </row>
    <row r="1199" spans="1:4" ht="14.25">
      <c r="A1199" s="5" t="s">
        <v>197</v>
      </c>
      <c r="B1199" s="6" t="s">
        <v>2430</v>
      </c>
      <c r="C1199" s="7">
        <v>26897</v>
      </c>
      <c r="D1199" s="8" t="s">
        <v>2431</v>
      </c>
    </row>
    <row r="1200" spans="1:4" ht="14.25">
      <c r="A1200" s="5">
        <v>21</v>
      </c>
      <c r="B1200" s="6" t="s">
        <v>2432</v>
      </c>
      <c r="C1200" s="7">
        <v>26897</v>
      </c>
      <c r="D1200" s="8" t="s">
        <v>2433</v>
      </c>
    </row>
    <row r="1201" spans="1:4" ht="14.25">
      <c r="A1201" s="5">
        <v>21</v>
      </c>
      <c r="B1201" s="6" t="s">
        <v>2434</v>
      </c>
      <c r="C1201" s="7">
        <v>26897</v>
      </c>
      <c r="D1201" s="8" t="s">
        <v>2435</v>
      </c>
    </row>
    <row r="1202" spans="1:4" ht="14.25">
      <c r="A1202" s="5">
        <v>21</v>
      </c>
      <c r="B1202" s="6" t="s">
        <v>2436</v>
      </c>
      <c r="C1202" s="7">
        <v>26897</v>
      </c>
      <c r="D1202" s="8" t="s">
        <v>2437</v>
      </c>
    </row>
    <row r="1203" spans="1:4" ht="14.25">
      <c r="A1203" s="5">
        <v>21</v>
      </c>
      <c r="B1203" s="6" t="s">
        <v>2438</v>
      </c>
      <c r="C1203" s="7">
        <v>26897</v>
      </c>
      <c r="D1203" s="8" t="s">
        <v>2439</v>
      </c>
    </row>
    <row r="1204" spans="1:4" ht="14.25">
      <c r="A1204" s="5">
        <v>21</v>
      </c>
      <c r="B1204" s="6" t="s">
        <v>2440</v>
      </c>
      <c r="C1204" s="7">
        <v>26897</v>
      </c>
      <c r="D1204" s="8" t="s">
        <v>2441</v>
      </c>
    </row>
    <row r="1205" spans="1:4" ht="14.25">
      <c r="A1205" s="5" t="s">
        <v>18</v>
      </c>
      <c r="B1205" s="6" t="s">
        <v>2442</v>
      </c>
      <c r="C1205" s="7">
        <v>26898</v>
      </c>
      <c r="D1205" s="8" t="s">
        <v>2443</v>
      </c>
    </row>
    <row r="1206" spans="1:4" ht="14.25">
      <c r="A1206" s="5" t="s">
        <v>197</v>
      </c>
      <c r="B1206" s="6" t="s">
        <v>2444</v>
      </c>
      <c r="C1206" s="7">
        <v>26898</v>
      </c>
      <c r="D1206" s="8" t="s">
        <v>2445</v>
      </c>
    </row>
    <row r="1207" spans="1:4" ht="14.25">
      <c r="A1207" s="5" t="s">
        <v>197</v>
      </c>
      <c r="B1207" s="6" t="s">
        <v>2446</v>
      </c>
      <c r="C1207" s="7">
        <v>26898</v>
      </c>
      <c r="D1207" s="8" t="s">
        <v>2447</v>
      </c>
    </row>
    <row r="1208" spans="1:4" ht="14.25">
      <c r="A1208" s="5">
        <v>22</v>
      </c>
      <c r="B1208" s="6" t="s">
        <v>2448</v>
      </c>
      <c r="C1208" s="7">
        <v>26898</v>
      </c>
      <c r="D1208" s="8" t="s">
        <v>2449</v>
      </c>
    </row>
    <row r="1209" spans="1:4" ht="14.25">
      <c r="A1209" s="5">
        <v>22</v>
      </c>
      <c r="B1209" s="6" t="s">
        <v>2450</v>
      </c>
      <c r="C1209" s="7">
        <v>26898</v>
      </c>
      <c r="D1209" s="8" t="s">
        <v>2451</v>
      </c>
    </row>
    <row r="1210" spans="1:4" ht="14.25">
      <c r="A1210" s="5">
        <v>22</v>
      </c>
      <c r="B1210" s="6" t="s">
        <v>2452</v>
      </c>
      <c r="C1210" s="7">
        <v>26898</v>
      </c>
      <c r="D1210" s="8" t="s">
        <v>2453</v>
      </c>
    </row>
    <row r="1211" spans="1:4" ht="14.25">
      <c r="A1211" s="5" t="s">
        <v>18</v>
      </c>
      <c r="B1211" s="6" t="s">
        <v>2454</v>
      </c>
      <c r="C1211" s="7">
        <v>26899</v>
      </c>
      <c r="D1211" s="8" t="s">
        <v>2455</v>
      </c>
    </row>
    <row r="1212" spans="1:4" ht="14.25">
      <c r="A1212" s="5" t="s">
        <v>167</v>
      </c>
      <c r="B1212" s="6" t="s">
        <v>2456</v>
      </c>
      <c r="C1212" s="7">
        <v>26899</v>
      </c>
      <c r="D1212" s="8" t="s">
        <v>2457</v>
      </c>
    </row>
    <row r="1213" spans="1:4" ht="14.25">
      <c r="A1213" s="5">
        <v>23</v>
      </c>
      <c r="B1213" s="6" t="s">
        <v>2458</v>
      </c>
      <c r="C1213" s="7">
        <v>26899</v>
      </c>
      <c r="D1213" s="8" t="s">
        <v>2459</v>
      </c>
    </row>
    <row r="1214" spans="1:4" ht="14.25">
      <c r="A1214" s="5">
        <v>23</v>
      </c>
      <c r="B1214" s="6" t="s">
        <v>2460</v>
      </c>
      <c r="C1214" s="7">
        <v>26899</v>
      </c>
      <c r="D1214" s="8" t="s">
        <v>2461</v>
      </c>
    </row>
    <row r="1215" spans="1:4" ht="14.25">
      <c r="A1215" s="5" t="s">
        <v>18</v>
      </c>
      <c r="B1215" s="6" t="s">
        <v>2462</v>
      </c>
      <c r="C1215" s="7">
        <v>26900</v>
      </c>
      <c r="D1215" s="8" t="s">
        <v>2463</v>
      </c>
    </row>
    <row r="1216" spans="1:4" ht="14.25">
      <c r="A1216" s="5">
        <v>24</v>
      </c>
      <c r="B1216" s="6" t="s">
        <v>2464</v>
      </c>
      <c r="C1216" s="7">
        <v>26900</v>
      </c>
      <c r="D1216" s="8" t="s">
        <v>2465</v>
      </c>
    </row>
    <row r="1217" spans="1:4" ht="14.25">
      <c r="A1217" s="5" t="s">
        <v>18</v>
      </c>
      <c r="B1217" s="6" t="s">
        <v>2466</v>
      </c>
      <c r="C1217" s="7">
        <v>26901</v>
      </c>
      <c r="D1217" s="8" t="s">
        <v>2467</v>
      </c>
    </row>
    <row r="1218" spans="1:4" ht="14.25">
      <c r="A1218" s="5">
        <v>25</v>
      </c>
      <c r="B1218" s="6" t="s">
        <v>2468</v>
      </c>
      <c r="C1218" s="7">
        <v>26901</v>
      </c>
      <c r="D1218" s="8" t="s">
        <v>2469</v>
      </c>
    </row>
    <row r="1219" spans="1:4" ht="14.25">
      <c r="A1219" s="5" t="s">
        <v>18</v>
      </c>
      <c r="B1219" s="6" t="s">
        <v>2470</v>
      </c>
      <c r="C1219" s="7">
        <v>26902</v>
      </c>
      <c r="D1219" s="8" t="s">
        <v>2471</v>
      </c>
    </row>
    <row r="1220" spans="1:4" ht="14.25">
      <c r="A1220" s="5" t="s">
        <v>167</v>
      </c>
      <c r="B1220" s="6" t="s">
        <v>2472</v>
      </c>
      <c r="C1220" s="7">
        <v>26902</v>
      </c>
      <c r="D1220" s="8" t="s">
        <v>2473</v>
      </c>
    </row>
    <row r="1221" spans="1:4" ht="14.25">
      <c r="A1221" s="5">
        <v>26</v>
      </c>
      <c r="B1221" s="6" t="s">
        <v>2474</v>
      </c>
      <c r="C1221" s="7">
        <v>26902</v>
      </c>
      <c r="D1221" s="8" t="s">
        <v>2475</v>
      </c>
    </row>
    <row r="1222" spans="1:4" ht="14.25">
      <c r="A1222" s="5">
        <v>26</v>
      </c>
      <c r="B1222" s="6" t="s">
        <v>2476</v>
      </c>
      <c r="C1222" s="7">
        <v>26902</v>
      </c>
      <c r="D1222" s="8" t="s">
        <v>2477</v>
      </c>
    </row>
    <row r="1223" spans="1:4" ht="14.25">
      <c r="A1223" s="5" t="s">
        <v>18</v>
      </c>
      <c r="B1223" s="6" t="s">
        <v>2478</v>
      </c>
      <c r="C1223" s="7">
        <v>26903</v>
      </c>
      <c r="D1223" s="8" t="s">
        <v>2479</v>
      </c>
    </row>
    <row r="1224" spans="1:4" ht="14.25">
      <c r="A1224" s="5">
        <v>27</v>
      </c>
      <c r="B1224" s="6" t="s">
        <v>2480</v>
      </c>
      <c r="C1224" s="7">
        <v>26903</v>
      </c>
      <c r="D1224" s="8" t="s">
        <v>2481</v>
      </c>
    </row>
    <row r="1225" spans="1:4" ht="14.25">
      <c r="A1225" s="5" t="s">
        <v>18</v>
      </c>
      <c r="B1225" s="6" t="s">
        <v>2482</v>
      </c>
      <c r="C1225" s="7">
        <v>26904</v>
      </c>
      <c r="D1225" s="8" t="s">
        <v>2483</v>
      </c>
    </row>
    <row r="1226" spans="1:4" ht="14.25">
      <c r="A1226" s="5">
        <v>28</v>
      </c>
      <c r="B1226" s="6" t="s">
        <v>2484</v>
      </c>
      <c r="C1226" s="7">
        <v>26904</v>
      </c>
      <c r="D1226" s="8" t="s">
        <v>2485</v>
      </c>
    </row>
    <row r="1227" spans="1:4" ht="14.25">
      <c r="A1227" s="5" t="s">
        <v>18</v>
      </c>
      <c r="B1227" s="6" t="s">
        <v>2486</v>
      </c>
      <c r="C1227" s="7">
        <v>26905</v>
      </c>
      <c r="D1227" s="8" t="s">
        <v>2487</v>
      </c>
    </row>
    <row r="1228" spans="1:4" ht="14.25">
      <c r="A1228" s="5">
        <v>29</v>
      </c>
      <c r="B1228" s="6" t="s">
        <v>2488</v>
      </c>
      <c r="C1228" s="7">
        <v>26905</v>
      </c>
      <c r="D1228" s="8" t="s">
        <v>2489</v>
      </c>
    </row>
    <row r="1229" spans="1:4" ht="14.25">
      <c r="A1229" s="5" t="s">
        <v>18</v>
      </c>
      <c r="B1229" s="6" t="s">
        <v>2490</v>
      </c>
      <c r="C1229" s="7">
        <v>26906</v>
      </c>
      <c r="D1229" s="8" t="s">
        <v>2491</v>
      </c>
    </row>
    <row r="1230" spans="1:4" ht="14.25">
      <c r="A1230" s="5" t="s">
        <v>484</v>
      </c>
      <c r="B1230" s="6" t="s">
        <v>2492</v>
      </c>
      <c r="C1230" s="7">
        <v>26906</v>
      </c>
      <c r="D1230" s="8" t="s">
        <v>2493</v>
      </c>
    </row>
    <row r="1231" spans="1:4" ht="14.25">
      <c r="A1231" s="5" t="s">
        <v>463</v>
      </c>
      <c r="B1231" s="6" t="s">
        <v>2494</v>
      </c>
      <c r="C1231" s="7">
        <v>26906</v>
      </c>
      <c r="D1231" s="8" t="s">
        <v>2495</v>
      </c>
    </row>
    <row r="1232" spans="1:4" ht="14.25">
      <c r="A1232" s="5">
        <v>30</v>
      </c>
      <c r="B1232" s="6" t="s">
        <v>2496</v>
      </c>
      <c r="C1232" s="7">
        <v>26906</v>
      </c>
      <c r="D1232" s="8" t="s">
        <v>2497</v>
      </c>
    </row>
    <row r="1233" spans="1:4" ht="14.25">
      <c r="A1233" s="5">
        <v>30</v>
      </c>
      <c r="B1233" s="6" t="s">
        <v>2498</v>
      </c>
      <c r="C1233" s="7">
        <v>26906</v>
      </c>
      <c r="D1233" s="8" t="s">
        <v>2499</v>
      </c>
    </row>
    <row r="1234" spans="1:4" ht="14.25">
      <c r="A1234" s="5">
        <v>30</v>
      </c>
      <c r="B1234" s="6" t="s">
        <v>2500</v>
      </c>
      <c r="C1234" s="7">
        <v>26906</v>
      </c>
      <c r="D1234" s="8" t="s">
        <v>2501</v>
      </c>
    </row>
    <row r="1235" spans="1:4" ht="14.25">
      <c r="A1235" s="5" t="s">
        <v>18</v>
      </c>
      <c r="B1235" s="6" t="s">
        <v>2502</v>
      </c>
      <c r="C1235" s="7">
        <v>26907</v>
      </c>
      <c r="D1235" s="8" t="s">
        <v>2503</v>
      </c>
    </row>
    <row r="1236" spans="1:4" ht="14.25">
      <c r="A1236" s="5" t="s">
        <v>463</v>
      </c>
      <c r="B1236" s="6" t="s">
        <v>2504</v>
      </c>
      <c r="C1236" s="7">
        <v>26907</v>
      </c>
      <c r="D1236" s="8" t="s">
        <v>2505</v>
      </c>
    </row>
    <row r="1237" spans="1:4" ht="14.25">
      <c r="A1237" s="5">
        <v>31</v>
      </c>
      <c r="B1237" s="6" t="s">
        <v>2506</v>
      </c>
      <c r="C1237" s="7">
        <v>26907</v>
      </c>
      <c r="D1237" s="8" t="s">
        <v>2507</v>
      </c>
    </row>
    <row r="1238" spans="1:4" ht="14.25">
      <c r="A1238" s="5">
        <v>31</v>
      </c>
      <c r="B1238" s="6" t="s">
        <v>2508</v>
      </c>
      <c r="C1238" s="7">
        <v>26907</v>
      </c>
      <c r="D1238" s="8" t="s">
        <v>2509</v>
      </c>
    </row>
    <row r="1239" spans="1:4" ht="14.25">
      <c r="A1239" s="5" t="s">
        <v>18</v>
      </c>
      <c r="B1239" s="6" t="s">
        <v>2510</v>
      </c>
      <c r="C1239" s="7">
        <v>26908</v>
      </c>
      <c r="D1239" s="8" t="s">
        <v>2511</v>
      </c>
    </row>
    <row r="1240" spans="1:4" ht="14.25">
      <c r="A1240" s="5" t="s">
        <v>463</v>
      </c>
      <c r="B1240" s="6" t="s">
        <v>2512</v>
      </c>
      <c r="C1240" s="7">
        <v>26908</v>
      </c>
      <c r="D1240" s="8" t="s">
        <v>2513</v>
      </c>
    </row>
    <row r="1241" spans="1:4" ht="14.25">
      <c r="A1241" s="5">
        <v>1</v>
      </c>
      <c r="B1241" s="6" t="s">
        <v>2514</v>
      </c>
      <c r="C1241" s="7">
        <v>26908</v>
      </c>
      <c r="D1241" s="8" t="s">
        <v>2515</v>
      </c>
    </row>
    <row r="1242" spans="1:4" ht="14.25">
      <c r="A1242" s="5">
        <v>1</v>
      </c>
      <c r="B1242" s="6" t="s">
        <v>2516</v>
      </c>
      <c r="C1242" s="7">
        <v>26908</v>
      </c>
      <c r="D1242" s="8" t="s">
        <v>2517</v>
      </c>
    </row>
    <row r="1243" spans="1:4" ht="14.25">
      <c r="A1243" s="5" t="s">
        <v>18</v>
      </c>
      <c r="B1243" s="6" t="s">
        <v>2518</v>
      </c>
      <c r="C1243" s="7">
        <v>26909</v>
      </c>
      <c r="D1243" s="8" t="s">
        <v>2519</v>
      </c>
    </row>
    <row r="1244" spans="1:4" ht="14.25">
      <c r="A1244" s="5" t="s">
        <v>463</v>
      </c>
      <c r="B1244" s="6" t="s">
        <v>2520</v>
      </c>
      <c r="C1244" s="7">
        <v>26909</v>
      </c>
      <c r="D1244" s="8" t="s">
        <v>2521</v>
      </c>
    </row>
    <row r="1245" spans="1:4" ht="14.25">
      <c r="A1245" s="5">
        <v>2</v>
      </c>
      <c r="B1245" s="6" t="s">
        <v>2522</v>
      </c>
      <c r="C1245" s="7">
        <v>26909</v>
      </c>
      <c r="D1245" s="8" t="s">
        <v>2523</v>
      </c>
    </row>
    <row r="1246" spans="1:4" ht="14.25">
      <c r="A1246" s="5">
        <v>2</v>
      </c>
      <c r="B1246" s="6" t="s">
        <v>2524</v>
      </c>
      <c r="C1246" s="7">
        <v>26909</v>
      </c>
      <c r="D1246" s="8" t="s">
        <v>2525</v>
      </c>
    </row>
    <row r="1247" spans="1:4" ht="14.25">
      <c r="A1247" s="5" t="s">
        <v>18</v>
      </c>
      <c r="B1247" s="6" t="s">
        <v>2526</v>
      </c>
      <c r="C1247" s="7">
        <v>26910</v>
      </c>
      <c r="D1247" s="8" t="s">
        <v>2527</v>
      </c>
    </row>
    <row r="1248" spans="1:4" ht="14.25">
      <c r="A1248" s="5">
        <v>3</v>
      </c>
      <c r="B1248" s="6" t="s">
        <v>2528</v>
      </c>
      <c r="C1248" s="7">
        <v>26910</v>
      </c>
      <c r="D1248" s="8" t="s">
        <v>2529</v>
      </c>
    </row>
    <row r="1249" spans="1:4" ht="14.25">
      <c r="A1249" s="5" t="s">
        <v>18</v>
      </c>
      <c r="B1249" s="6" t="s">
        <v>2530</v>
      </c>
      <c r="C1249" s="7">
        <v>26911</v>
      </c>
      <c r="D1249" s="8" t="s">
        <v>2531</v>
      </c>
    </row>
    <row r="1250" spans="1:4" ht="14.25">
      <c r="A1250" s="5">
        <v>4</v>
      </c>
      <c r="B1250" s="6" t="s">
        <v>2532</v>
      </c>
      <c r="C1250" s="7">
        <v>26911</v>
      </c>
      <c r="D1250" s="8" t="s">
        <v>2533</v>
      </c>
    </row>
    <row r="1251" spans="1:4" ht="14.25">
      <c r="A1251" s="5" t="s">
        <v>863</v>
      </c>
      <c r="B1251" s="6" t="s">
        <v>2534</v>
      </c>
      <c r="C1251" s="7">
        <v>26912</v>
      </c>
      <c r="D1251" s="8" t="s">
        <v>2535</v>
      </c>
    </row>
    <row r="1252" spans="1:4" ht="14.25">
      <c r="A1252" s="5" t="s">
        <v>197</v>
      </c>
      <c r="B1252" s="6" t="s">
        <v>2536</v>
      </c>
      <c r="C1252" s="7">
        <v>26912</v>
      </c>
      <c r="D1252" s="8" t="s">
        <v>2537</v>
      </c>
    </row>
    <row r="1253" spans="1:4" ht="14.25">
      <c r="A1253" s="5">
        <v>5</v>
      </c>
      <c r="B1253" s="6" t="s">
        <v>2538</v>
      </c>
      <c r="C1253" s="7">
        <v>26912</v>
      </c>
      <c r="D1253" s="8" t="s">
        <v>2539</v>
      </c>
    </row>
    <row r="1254" spans="1:4" ht="14.25">
      <c r="A1254" s="5">
        <v>5</v>
      </c>
      <c r="B1254" s="6" t="s">
        <v>2540</v>
      </c>
      <c r="C1254" s="7">
        <v>26912</v>
      </c>
      <c r="D1254" s="8" t="s">
        <v>2541</v>
      </c>
    </row>
    <row r="1255" spans="1:4" ht="14.25">
      <c r="A1255" s="5" t="s">
        <v>968</v>
      </c>
      <c r="B1255" s="6" t="s">
        <v>2542</v>
      </c>
      <c r="C1255" s="7">
        <v>26913</v>
      </c>
      <c r="D1255" s="8" t="s">
        <v>2543</v>
      </c>
    </row>
    <row r="1256" spans="1:4" ht="14.25">
      <c r="A1256" s="5" t="s">
        <v>167</v>
      </c>
      <c r="B1256" s="6" t="s">
        <v>2544</v>
      </c>
      <c r="C1256" s="7">
        <v>26913</v>
      </c>
      <c r="D1256" s="8" t="s">
        <v>2545</v>
      </c>
    </row>
    <row r="1257" spans="1:4" ht="14.25">
      <c r="A1257" s="5">
        <v>6</v>
      </c>
      <c r="B1257" s="6" t="s">
        <v>2546</v>
      </c>
      <c r="C1257" s="7">
        <v>26913</v>
      </c>
      <c r="D1257" s="8" t="s">
        <v>2547</v>
      </c>
    </row>
    <row r="1258" spans="1:4" ht="14.25">
      <c r="A1258" s="5">
        <v>6</v>
      </c>
      <c r="B1258" s="6" t="s">
        <v>2548</v>
      </c>
      <c r="C1258" s="7">
        <v>26913</v>
      </c>
      <c r="D1258" s="8" t="s">
        <v>2549</v>
      </c>
    </row>
    <row r="1259" spans="1:4" ht="14.25">
      <c r="A1259" s="5" t="s">
        <v>1786</v>
      </c>
      <c r="B1259" s="6" t="s">
        <v>2550</v>
      </c>
      <c r="C1259" s="7">
        <v>26914</v>
      </c>
      <c r="D1259" s="8" t="s">
        <v>2551</v>
      </c>
    </row>
    <row r="1260" spans="1:4" ht="14.25">
      <c r="A1260" s="5" t="s">
        <v>968</v>
      </c>
      <c r="B1260" s="6" t="s">
        <v>2552</v>
      </c>
      <c r="C1260" s="7">
        <v>26914</v>
      </c>
      <c r="D1260" s="8" t="s">
        <v>2553</v>
      </c>
    </row>
    <row r="1261" spans="1:4" ht="14.25">
      <c r="A1261" s="5" t="s">
        <v>968</v>
      </c>
      <c r="B1261" s="6" t="s">
        <v>2554</v>
      </c>
      <c r="C1261" s="7">
        <v>26914</v>
      </c>
      <c r="D1261" s="8" t="s">
        <v>2555</v>
      </c>
    </row>
    <row r="1262" spans="1:4" ht="14.25">
      <c r="A1262" s="5" t="s">
        <v>167</v>
      </c>
      <c r="B1262" s="6" t="s">
        <v>2556</v>
      </c>
      <c r="C1262" s="7">
        <v>26914</v>
      </c>
      <c r="D1262" s="8" t="s">
        <v>2557</v>
      </c>
    </row>
    <row r="1263" spans="1:4" ht="14.25">
      <c r="A1263" s="5">
        <v>7</v>
      </c>
      <c r="B1263" s="6" t="s">
        <v>2558</v>
      </c>
      <c r="C1263" s="7">
        <v>26914</v>
      </c>
      <c r="D1263" s="8" t="s">
        <v>2559</v>
      </c>
    </row>
    <row r="1264" spans="1:4" ht="14.25">
      <c r="A1264" s="5">
        <v>7</v>
      </c>
      <c r="B1264" s="6" t="s">
        <v>2560</v>
      </c>
      <c r="C1264" s="7">
        <v>26914</v>
      </c>
      <c r="D1264" s="8" t="s">
        <v>2561</v>
      </c>
    </row>
    <row r="1265" spans="1:4" ht="14.25">
      <c r="A1265" s="5">
        <v>7</v>
      </c>
      <c r="B1265" s="6" t="s">
        <v>2562</v>
      </c>
      <c r="C1265" s="7">
        <v>26914</v>
      </c>
      <c r="D1265" s="8" t="s">
        <v>2563</v>
      </c>
    </row>
    <row r="1266" spans="1:4" ht="14.25">
      <c r="A1266" s="5">
        <v>7</v>
      </c>
      <c r="B1266" s="6" t="s">
        <v>2564</v>
      </c>
      <c r="C1266" s="7">
        <v>26914</v>
      </c>
      <c r="D1266" s="8" t="s">
        <v>2565</v>
      </c>
    </row>
    <row r="1267" spans="1:4" ht="14.25">
      <c r="A1267" s="5" t="s">
        <v>184</v>
      </c>
      <c r="B1267" s="6" t="s">
        <v>2566</v>
      </c>
      <c r="C1267" s="7">
        <v>26915</v>
      </c>
      <c r="D1267" s="8" t="s">
        <v>2567</v>
      </c>
    </row>
    <row r="1268" spans="1:4" ht="14.25">
      <c r="A1268" s="5" t="s">
        <v>968</v>
      </c>
      <c r="B1268" s="6" t="s">
        <v>2568</v>
      </c>
      <c r="C1268" s="7">
        <v>26915</v>
      </c>
      <c r="D1268" s="8" t="s">
        <v>2569</v>
      </c>
    </row>
    <row r="1269" spans="1:4" ht="14.25">
      <c r="A1269" s="5">
        <v>8</v>
      </c>
      <c r="B1269" s="6" t="s">
        <v>2570</v>
      </c>
      <c r="C1269" s="7">
        <v>26915</v>
      </c>
      <c r="D1269" s="8" t="s">
        <v>2571</v>
      </c>
    </row>
    <row r="1270" spans="1:4" ht="14.25">
      <c r="A1270" s="5">
        <v>8</v>
      </c>
      <c r="B1270" s="6" t="s">
        <v>2572</v>
      </c>
      <c r="C1270" s="7">
        <v>26915</v>
      </c>
      <c r="D1270" s="8" t="s">
        <v>2573</v>
      </c>
    </row>
    <row r="1271" spans="1:4" ht="14.25">
      <c r="A1271" s="5" t="s">
        <v>968</v>
      </c>
      <c r="B1271" s="6" t="s">
        <v>2574</v>
      </c>
      <c r="C1271" s="7">
        <v>26916</v>
      </c>
      <c r="D1271" s="8" t="s">
        <v>2575</v>
      </c>
    </row>
    <row r="1272" spans="1:4" ht="14.25">
      <c r="A1272" s="5" t="s">
        <v>167</v>
      </c>
      <c r="B1272" s="6" t="s">
        <v>2576</v>
      </c>
      <c r="C1272" s="7">
        <v>26916</v>
      </c>
      <c r="D1272" s="8" t="s">
        <v>2577</v>
      </c>
    </row>
    <row r="1273" spans="1:4" ht="14.25">
      <c r="A1273" s="5">
        <v>9</v>
      </c>
      <c r="B1273" s="6" t="s">
        <v>2578</v>
      </c>
      <c r="C1273" s="7">
        <v>26916</v>
      </c>
      <c r="D1273" s="8" t="s">
        <v>2579</v>
      </c>
    </row>
    <row r="1274" spans="1:4" ht="14.25">
      <c r="A1274" s="5">
        <v>9</v>
      </c>
      <c r="B1274" s="6" t="s">
        <v>2580</v>
      </c>
      <c r="C1274" s="7">
        <v>26916</v>
      </c>
      <c r="D1274" s="8" t="s">
        <v>2581</v>
      </c>
    </row>
    <row r="1275" spans="1:4" ht="14.25">
      <c r="A1275" s="5" t="s">
        <v>184</v>
      </c>
      <c r="B1275" s="6" t="s">
        <v>2582</v>
      </c>
      <c r="C1275" s="7">
        <v>26917</v>
      </c>
      <c r="D1275" s="8" t="s">
        <v>2583</v>
      </c>
    </row>
    <row r="1276" spans="1:4" ht="14.25">
      <c r="A1276" s="5" t="s">
        <v>463</v>
      </c>
      <c r="B1276" s="6" t="s">
        <v>2584</v>
      </c>
      <c r="C1276" s="7">
        <v>26917</v>
      </c>
      <c r="D1276" s="8" t="s">
        <v>2585</v>
      </c>
    </row>
    <row r="1277" spans="1:4" ht="14.25">
      <c r="A1277" s="5" t="s">
        <v>968</v>
      </c>
      <c r="B1277" s="6" t="s">
        <v>2586</v>
      </c>
      <c r="C1277" s="7">
        <v>26917</v>
      </c>
      <c r="D1277" s="8" t="s">
        <v>2587</v>
      </c>
    </row>
    <row r="1278" spans="1:4" ht="14.25">
      <c r="A1278" s="5">
        <v>10</v>
      </c>
      <c r="B1278" s="6" t="s">
        <v>2588</v>
      </c>
      <c r="C1278" s="7">
        <v>26917</v>
      </c>
      <c r="D1278" s="8" t="s">
        <v>2589</v>
      </c>
    </row>
    <row r="1279" spans="1:4" ht="14.25">
      <c r="A1279" s="5">
        <v>10</v>
      </c>
      <c r="B1279" s="6" t="s">
        <v>2590</v>
      </c>
      <c r="C1279" s="7">
        <v>26917</v>
      </c>
      <c r="D1279" s="8" t="s">
        <v>2591</v>
      </c>
    </row>
    <row r="1280" spans="1:4" ht="14.25">
      <c r="A1280" s="5">
        <v>10</v>
      </c>
      <c r="B1280" s="6" t="s">
        <v>2592</v>
      </c>
      <c r="C1280" s="7">
        <v>26917</v>
      </c>
      <c r="D1280" s="8" t="s">
        <v>2593</v>
      </c>
    </row>
    <row r="1281" spans="1:4" ht="14.25">
      <c r="A1281" s="5" t="s">
        <v>18</v>
      </c>
      <c r="B1281" s="6" t="s">
        <v>2594</v>
      </c>
      <c r="C1281" s="7">
        <v>26919</v>
      </c>
      <c r="D1281" s="8" t="s">
        <v>2595</v>
      </c>
    </row>
    <row r="1282" spans="1:4" ht="14.25">
      <c r="A1282" s="5" t="s">
        <v>42</v>
      </c>
      <c r="B1282" s="6" t="s">
        <v>2596</v>
      </c>
      <c r="C1282" s="7">
        <v>26919</v>
      </c>
      <c r="D1282" s="8" t="s">
        <v>2597</v>
      </c>
    </row>
    <row r="1283" spans="1:4" ht="14.25">
      <c r="A1283" s="5">
        <v>12</v>
      </c>
      <c r="B1283" s="6" t="s">
        <v>2598</v>
      </c>
      <c r="C1283" s="7">
        <v>26919</v>
      </c>
      <c r="D1283" s="8" t="s">
        <v>2599</v>
      </c>
    </row>
    <row r="1284" spans="1:4" ht="14.25">
      <c r="A1284" s="5">
        <v>12</v>
      </c>
      <c r="B1284" s="6" t="s">
        <v>2600</v>
      </c>
      <c r="C1284" s="7">
        <v>26919</v>
      </c>
      <c r="D1284" s="8" t="s">
        <v>2601</v>
      </c>
    </row>
    <row r="1285" spans="1:4" ht="14.25">
      <c r="A1285" s="5" t="s">
        <v>1786</v>
      </c>
      <c r="B1285" s="6" t="s">
        <v>2602</v>
      </c>
      <c r="C1285" s="7">
        <v>26931</v>
      </c>
      <c r="D1285" s="8" t="s">
        <v>2603</v>
      </c>
    </row>
    <row r="1286" spans="1:4" ht="14.25">
      <c r="A1286" s="5">
        <v>24</v>
      </c>
      <c r="B1286" s="6" t="s">
        <v>2604</v>
      </c>
      <c r="C1286" s="7">
        <v>26931</v>
      </c>
      <c r="D1286" s="8" t="s">
        <v>2605</v>
      </c>
    </row>
    <row r="1287" spans="1:4" ht="14.25">
      <c r="A1287" s="5" t="s">
        <v>1786</v>
      </c>
      <c r="B1287" s="6" t="s">
        <v>2606</v>
      </c>
      <c r="C1287" s="7">
        <v>26932</v>
      </c>
      <c r="D1287" s="8" t="s">
        <v>2607</v>
      </c>
    </row>
    <row r="1288" spans="1:4" ht="14.25">
      <c r="A1288" s="5" t="s">
        <v>1786</v>
      </c>
      <c r="B1288" s="6" t="s">
        <v>2608</v>
      </c>
      <c r="C1288" s="7">
        <v>26932</v>
      </c>
      <c r="D1288" s="8" t="s">
        <v>2609</v>
      </c>
    </row>
    <row r="1289" spans="1:4" ht="14.25">
      <c r="A1289" s="5" t="s">
        <v>167</v>
      </c>
      <c r="B1289" s="6" t="s">
        <v>2610</v>
      </c>
      <c r="C1289" s="7">
        <v>26932</v>
      </c>
      <c r="D1289" s="8" t="s">
        <v>2611</v>
      </c>
    </row>
    <row r="1290" spans="1:4" ht="14.25">
      <c r="A1290" s="5">
        <v>25</v>
      </c>
      <c r="B1290" s="6" t="s">
        <v>2612</v>
      </c>
      <c r="C1290" s="7">
        <v>26932</v>
      </c>
      <c r="D1290" s="8" t="s">
        <v>2613</v>
      </c>
    </row>
    <row r="1291" spans="1:4" ht="14.25">
      <c r="A1291" s="5">
        <v>25</v>
      </c>
      <c r="B1291" s="6" t="s">
        <v>2614</v>
      </c>
      <c r="C1291" s="7">
        <v>26932</v>
      </c>
      <c r="D1291" s="8" t="s">
        <v>2615</v>
      </c>
    </row>
    <row r="1292" spans="1:4" ht="14.25">
      <c r="A1292" s="5" t="s">
        <v>1786</v>
      </c>
      <c r="B1292" s="6" t="s">
        <v>2616</v>
      </c>
      <c r="C1292" s="7">
        <v>26933</v>
      </c>
      <c r="D1292" s="8" t="s">
        <v>2617</v>
      </c>
    </row>
    <row r="1293" spans="1:4" ht="14.25">
      <c r="A1293" s="5">
        <v>26</v>
      </c>
      <c r="B1293" s="6" t="s">
        <v>2618</v>
      </c>
      <c r="C1293" s="7">
        <v>26933</v>
      </c>
      <c r="D1293" s="8" t="s">
        <v>2619</v>
      </c>
    </row>
    <row r="1294" spans="1:4" ht="14.25">
      <c r="A1294" s="5" t="s">
        <v>1786</v>
      </c>
      <c r="B1294" s="6" t="s">
        <v>2620</v>
      </c>
      <c r="C1294" s="7">
        <v>26934</v>
      </c>
      <c r="D1294" s="8" t="s">
        <v>2621</v>
      </c>
    </row>
    <row r="1295" spans="1:4" ht="14.25">
      <c r="A1295" s="5">
        <v>27</v>
      </c>
      <c r="B1295" s="6" t="s">
        <v>2622</v>
      </c>
      <c r="C1295" s="7">
        <v>26934</v>
      </c>
      <c r="D1295" s="8" t="s">
        <v>2623</v>
      </c>
    </row>
    <row r="1296" spans="1:4" ht="14.25">
      <c r="A1296" s="5" t="s">
        <v>1786</v>
      </c>
      <c r="B1296" s="6" t="s">
        <v>2624</v>
      </c>
      <c r="C1296" s="7">
        <v>26935</v>
      </c>
      <c r="D1296" s="8" t="s">
        <v>2625</v>
      </c>
    </row>
    <row r="1297" spans="1:4" ht="14.25">
      <c r="A1297" s="5">
        <v>28</v>
      </c>
      <c r="B1297" s="6" t="s">
        <v>2626</v>
      </c>
      <c r="C1297" s="7">
        <v>26935</v>
      </c>
      <c r="D1297" s="8" t="s">
        <v>2627</v>
      </c>
    </row>
    <row r="1298" spans="1:4" ht="14.25">
      <c r="A1298" s="5" t="s">
        <v>1786</v>
      </c>
      <c r="B1298" s="6" t="s">
        <v>2628</v>
      </c>
      <c r="C1298" s="7">
        <v>26936</v>
      </c>
      <c r="D1298" s="8" t="s">
        <v>2629</v>
      </c>
    </row>
    <row r="1299" spans="1:4" ht="14.25">
      <c r="A1299" s="5" t="s">
        <v>1786</v>
      </c>
      <c r="B1299" s="6" t="s">
        <v>2630</v>
      </c>
      <c r="C1299" s="7">
        <v>26936</v>
      </c>
      <c r="D1299" s="8" t="s">
        <v>2631</v>
      </c>
    </row>
    <row r="1300" spans="1:4" ht="14.25">
      <c r="A1300" s="5">
        <v>29</v>
      </c>
      <c r="B1300" s="6" t="s">
        <v>2632</v>
      </c>
      <c r="C1300" s="7">
        <v>26936</v>
      </c>
      <c r="D1300" s="8" t="s">
        <v>2633</v>
      </c>
    </row>
    <row r="1301" spans="1:4" ht="14.25">
      <c r="A1301" s="5">
        <v>30</v>
      </c>
      <c r="B1301" s="6" t="s">
        <v>2634</v>
      </c>
      <c r="C1301" s="7">
        <v>26937</v>
      </c>
      <c r="D1301" s="8" t="s">
        <v>2635</v>
      </c>
    </row>
    <row r="1302" spans="1:4" ht="14.25">
      <c r="A1302" s="5" t="s">
        <v>1786</v>
      </c>
      <c r="B1302" s="6" t="s">
        <v>2636</v>
      </c>
      <c r="C1302" s="7">
        <v>26939</v>
      </c>
      <c r="D1302" s="8" t="s">
        <v>2637</v>
      </c>
    </row>
    <row r="1303" spans="1:4" ht="14.25">
      <c r="A1303" s="5">
        <v>2</v>
      </c>
      <c r="B1303" s="6" t="s">
        <v>2638</v>
      </c>
      <c r="C1303" s="7">
        <v>26939</v>
      </c>
      <c r="D1303" s="8" t="s">
        <v>2639</v>
      </c>
    </row>
    <row r="1304" spans="1:4" ht="14.25">
      <c r="A1304" s="5" t="s">
        <v>463</v>
      </c>
      <c r="B1304" s="6" t="s">
        <v>2640</v>
      </c>
      <c r="C1304" s="7">
        <v>26941</v>
      </c>
      <c r="D1304" s="8" t="s">
        <v>2641</v>
      </c>
    </row>
    <row r="1305" spans="1:4" ht="14.25">
      <c r="A1305" s="5">
        <v>4</v>
      </c>
      <c r="B1305" s="6" t="s">
        <v>2642</v>
      </c>
      <c r="C1305" s="7">
        <v>26941</v>
      </c>
      <c r="D1305" s="8" t="s">
        <v>2643</v>
      </c>
    </row>
    <row r="1306" spans="1:4" ht="14.25">
      <c r="A1306" s="5" t="s">
        <v>1786</v>
      </c>
      <c r="B1306" s="6" t="s">
        <v>2644</v>
      </c>
      <c r="C1306" s="7">
        <v>26942</v>
      </c>
      <c r="D1306" s="8" t="s">
        <v>2645</v>
      </c>
    </row>
    <row r="1307" spans="1:4" ht="14.25">
      <c r="A1307" s="5">
        <v>5</v>
      </c>
      <c r="B1307" s="6" t="s">
        <v>2646</v>
      </c>
      <c r="C1307" s="7">
        <v>26942</v>
      </c>
      <c r="D1307" s="8" t="s">
        <v>2647</v>
      </c>
    </row>
    <row r="1308" spans="1:4" ht="14.25">
      <c r="A1308" s="5" t="s">
        <v>1786</v>
      </c>
      <c r="B1308" s="6" t="s">
        <v>2648</v>
      </c>
      <c r="C1308" s="7">
        <v>26943</v>
      </c>
      <c r="D1308" s="8" t="s">
        <v>2649</v>
      </c>
    </row>
    <row r="1309" spans="1:4" ht="14.25">
      <c r="A1309" s="5">
        <v>6</v>
      </c>
      <c r="B1309" s="6" t="s">
        <v>2650</v>
      </c>
      <c r="C1309" s="7">
        <v>26943</v>
      </c>
      <c r="D1309" s="8" t="s">
        <v>2651</v>
      </c>
    </row>
    <row r="1310" spans="1:4" ht="14.25">
      <c r="A1310" s="5" t="s">
        <v>1786</v>
      </c>
      <c r="B1310" s="6" t="s">
        <v>2652</v>
      </c>
      <c r="C1310" s="7">
        <v>26944</v>
      </c>
      <c r="D1310" s="8" t="s">
        <v>2653</v>
      </c>
    </row>
    <row r="1311" spans="1:4" ht="14.25">
      <c r="A1311" s="5">
        <v>7</v>
      </c>
      <c r="B1311" s="6" t="s">
        <v>2654</v>
      </c>
      <c r="C1311" s="7">
        <v>26944</v>
      </c>
      <c r="D1311" s="8" t="s">
        <v>2655</v>
      </c>
    </row>
    <row r="1312" spans="1:4" ht="14.25">
      <c r="A1312" s="5" t="s">
        <v>1786</v>
      </c>
      <c r="B1312" s="6" t="s">
        <v>2656</v>
      </c>
      <c r="C1312" s="7">
        <v>26946</v>
      </c>
      <c r="D1312" s="8" t="s">
        <v>2657</v>
      </c>
    </row>
    <row r="1313" spans="1:4" ht="14.25">
      <c r="A1313" s="5">
        <v>9</v>
      </c>
      <c r="B1313" s="6" t="s">
        <v>2658</v>
      </c>
      <c r="C1313" s="7">
        <v>26946</v>
      </c>
      <c r="D1313" s="8" t="s">
        <v>2659</v>
      </c>
    </row>
    <row r="1314" spans="1:4" ht="14.25">
      <c r="A1314" s="5" t="s">
        <v>1786</v>
      </c>
      <c r="B1314" s="6" t="s">
        <v>2660</v>
      </c>
      <c r="C1314" s="7">
        <v>26947</v>
      </c>
      <c r="D1314" s="8" t="s">
        <v>2661</v>
      </c>
    </row>
    <row r="1315" spans="1:4" ht="14.25">
      <c r="A1315" s="5">
        <v>10</v>
      </c>
      <c r="B1315" s="6" t="s">
        <v>2662</v>
      </c>
      <c r="C1315" s="7">
        <v>26947</v>
      </c>
      <c r="D1315" s="8" t="s">
        <v>2663</v>
      </c>
    </row>
    <row r="1316" spans="1:4" ht="14.25">
      <c r="A1316" s="5" t="s">
        <v>1786</v>
      </c>
      <c r="B1316" s="6" t="s">
        <v>2664</v>
      </c>
      <c r="C1316" s="7">
        <v>26948</v>
      </c>
      <c r="D1316" s="8" t="s">
        <v>2665</v>
      </c>
    </row>
    <row r="1317" spans="1:4" ht="14.25">
      <c r="A1317" s="5">
        <v>11</v>
      </c>
      <c r="B1317" s="6" t="s">
        <v>2666</v>
      </c>
      <c r="C1317" s="7">
        <v>26948</v>
      </c>
      <c r="D1317" s="8" t="s">
        <v>2667</v>
      </c>
    </row>
    <row r="1318" spans="1:4" ht="14.25">
      <c r="A1318" s="5" t="s">
        <v>1786</v>
      </c>
      <c r="B1318" s="6" t="s">
        <v>2668</v>
      </c>
      <c r="C1318" s="7">
        <v>26949</v>
      </c>
      <c r="D1318" s="8" t="s">
        <v>2669</v>
      </c>
    </row>
    <row r="1319" spans="1:4" ht="14.25">
      <c r="A1319" s="5">
        <v>12</v>
      </c>
      <c r="B1319" s="6" t="s">
        <v>2670</v>
      </c>
      <c r="C1319" s="7">
        <v>26949</v>
      </c>
      <c r="D1319" s="8" t="s">
        <v>2671</v>
      </c>
    </row>
    <row r="1320" spans="1:4" ht="14.25">
      <c r="A1320" s="5" t="s">
        <v>1786</v>
      </c>
      <c r="B1320" s="6" t="s">
        <v>2672</v>
      </c>
      <c r="C1320" s="7">
        <v>26950</v>
      </c>
      <c r="D1320" s="8" t="s">
        <v>2673</v>
      </c>
    </row>
    <row r="1321" spans="1:4" ht="14.25">
      <c r="A1321" s="5">
        <v>13</v>
      </c>
      <c r="B1321" s="6" t="s">
        <v>2674</v>
      </c>
      <c r="C1321" s="7">
        <v>26950</v>
      </c>
      <c r="D1321" s="8" t="s">
        <v>2675</v>
      </c>
    </row>
    <row r="1322" spans="1:4" ht="14.25">
      <c r="A1322" s="5" t="s">
        <v>1786</v>
      </c>
      <c r="B1322" s="6" t="s">
        <v>2676</v>
      </c>
      <c r="C1322" s="7">
        <v>26951</v>
      </c>
      <c r="D1322" s="8" t="s">
        <v>2677</v>
      </c>
    </row>
    <row r="1323" spans="1:4" ht="14.25">
      <c r="A1323" s="5">
        <v>14</v>
      </c>
      <c r="B1323" s="6" t="s">
        <v>2678</v>
      </c>
      <c r="C1323" s="7">
        <v>26951</v>
      </c>
      <c r="D1323" s="8" t="s">
        <v>2679</v>
      </c>
    </row>
    <row r="1324" spans="1:4" ht="14.25">
      <c r="A1324" s="5" t="s">
        <v>1786</v>
      </c>
      <c r="B1324" s="6" t="s">
        <v>2680</v>
      </c>
      <c r="C1324" s="7">
        <v>26952</v>
      </c>
      <c r="D1324" s="8" t="s">
        <v>2681</v>
      </c>
    </row>
    <row r="1325" spans="1:4" ht="14.25">
      <c r="A1325" s="5">
        <v>15</v>
      </c>
      <c r="B1325" s="6" t="s">
        <v>2682</v>
      </c>
      <c r="C1325" s="7">
        <v>26952</v>
      </c>
      <c r="D1325" s="8" t="s">
        <v>2683</v>
      </c>
    </row>
    <row r="1326" spans="1:4" ht="14.25">
      <c r="A1326" s="5" t="s">
        <v>167</v>
      </c>
      <c r="B1326" s="6" t="s">
        <v>2684</v>
      </c>
      <c r="C1326" s="7">
        <v>26955</v>
      </c>
      <c r="D1326" s="8" t="s">
        <v>2685</v>
      </c>
    </row>
    <row r="1327" spans="1:4" ht="14.25">
      <c r="A1327" s="5">
        <v>18</v>
      </c>
      <c r="B1327" s="6" t="s">
        <v>2686</v>
      </c>
      <c r="C1327" s="7">
        <v>26955</v>
      </c>
      <c r="D1327" s="8" t="s">
        <v>2687</v>
      </c>
    </row>
    <row r="1328" spans="1:4" ht="14.25">
      <c r="A1328" s="5" t="s">
        <v>1786</v>
      </c>
      <c r="B1328" s="6" t="s">
        <v>2688</v>
      </c>
      <c r="C1328" s="7">
        <v>26957</v>
      </c>
      <c r="D1328" s="8" t="s">
        <v>2689</v>
      </c>
    </row>
    <row r="1329" spans="1:4" ht="14.25">
      <c r="A1329" s="5">
        <v>20</v>
      </c>
      <c r="B1329" s="6" t="s">
        <v>2690</v>
      </c>
      <c r="C1329" s="7">
        <v>26957</v>
      </c>
      <c r="D1329" s="8" t="s">
        <v>2691</v>
      </c>
    </row>
    <row r="1330" spans="1:4" ht="14.25">
      <c r="A1330" s="5" t="s">
        <v>1786</v>
      </c>
      <c r="B1330" s="6" t="s">
        <v>2692</v>
      </c>
      <c r="C1330" s="7">
        <v>26959</v>
      </c>
      <c r="D1330" s="8" t="s">
        <v>2693</v>
      </c>
    </row>
    <row r="1331" spans="1:4" ht="14.25">
      <c r="A1331" s="5">
        <v>22</v>
      </c>
      <c r="B1331" s="6" t="s">
        <v>2694</v>
      </c>
      <c r="C1331" s="7">
        <v>26959</v>
      </c>
      <c r="D1331" s="8" t="s">
        <v>2695</v>
      </c>
    </row>
    <row r="1332" spans="1:4" ht="14.25">
      <c r="A1332" s="5" t="s">
        <v>1786</v>
      </c>
      <c r="B1332" s="6" t="s">
        <v>2696</v>
      </c>
      <c r="C1332" s="7">
        <v>26960</v>
      </c>
      <c r="D1332" s="8" t="s">
        <v>2697</v>
      </c>
    </row>
    <row r="1333" spans="1:4" ht="14.25">
      <c r="A1333" s="5">
        <v>23</v>
      </c>
      <c r="B1333" s="6" t="s">
        <v>2698</v>
      </c>
      <c r="C1333" s="7">
        <v>26960</v>
      </c>
      <c r="D1333" s="8" t="s">
        <v>2699</v>
      </c>
    </row>
    <row r="1334" spans="1:4" ht="14.25">
      <c r="A1334" s="5" t="s">
        <v>1786</v>
      </c>
      <c r="B1334" s="6" t="s">
        <v>2700</v>
      </c>
      <c r="C1334" s="7">
        <v>26962</v>
      </c>
      <c r="D1334" s="8" t="s">
        <v>2701</v>
      </c>
    </row>
    <row r="1335" spans="1:4" ht="14.25">
      <c r="A1335" s="5">
        <v>25</v>
      </c>
      <c r="B1335" s="6" t="s">
        <v>2702</v>
      </c>
      <c r="C1335" s="7">
        <v>26962</v>
      </c>
      <c r="D1335" s="8" t="s">
        <v>2703</v>
      </c>
    </row>
    <row r="1336" spans="1:4" ht="14.25">
      <c r="A1336" s="5" t="s">
        <v>463</v>
      </c>
      <c r="B1336" s="6" t="s">
        <v>2704</v>
      </c>
      <c r="C1336" s="7">
        <v>26963</v>
      </c>
      <c r="D1336" s="8" t="s">
        <v>2705</v>
      </c>
    </row>
    <row r="1337" spans="1:4" ht="14.25">
      <c r="A1337" s="5">
        <v>26</v>
      </c>
      <c r="B1337" s="6" t="s">
        <v>2706</v>
      </c>
      <c r="C1337" s="7">
        <v>26963</v>
      </c>
      <c r="D1337" s="8" t="s">
        <v>2707</v>
      </c>
    </row>
    <row r="1338" spans="1:4" ht="14.25">
      <c r="A1338" s="5" t="s">
        <v>2708</v>
      </c>
      <c r="B1338" s="6" t="s">
        <v>2709</v>
      </c>
      <c r="C1338" s="7">
        <v>26965</v>
      </c>
      <c r="D1338" s="8" t="s">
        <v>2710</v>
      </c>
    </row>
    <row r="1339" spans="1:4" ht="14.25">
      <c r="A1339" s="5">
        <v>28</v>
      </c>
      <c r="B1339" s="6" t="s">
        <v>2711</v>
      </c>
      <c r="C1339" s="7">
        <v>26965</v>
      </c>
      <c r="D1339" s="8" t="s">
        <v>2712</v>
      </c>
    </row>
    <row r="1340" spans="1:4" ht="14.25">
      <c r="A1340" s="5" t="s">
        <v>463</v>
      </c>
      <c r="B1340" s="6" t="s">
        <v>2713</v>
      </c>
      <c r="C1340" s="7">
        <v>26968</v>
      </c>
      <c r="D1340" s="8" t="s">
        <v>2714</v>
      </c>
    </row>
    <row r="1341" spans="1:4" ht="14.25">
      <c r="A1341" s="5">
        <v>31</v>
      </c>
      <c r="B1341" s="6" t="s">
        <v>2715</v>
      </c>
      <c r="C1341" s="7">
        <v>26968</v>
      </c>
      <c r="D1341" s="8" t="s">
        <v>2716</v>
      </c>
    </row>
    <row r="1342" spans="1:4" ht="14.25">
      <c r="A1342" s="5" t="s">
        <v>463</v>
      </c>
      <c r="B1342" s="6" t="s">
        <v>2717</v>
      </c>
      <c r="C1342" s="7">
        <v>26969</v>
      </c>
      <c r="D1342" s="8" t="s">
        <v>2718</v>
      </c>
    </row>
    <row r="1343" spans="1:4" ht="14.25">
      <c r="A1343" s="5">
        <v>1</v>
      </c>
      <c r="B1343" s="6" t="s">
        <v>2719</v>
      </c>
      <c r="C1343" s="7">
        <v>26969</v>
      </c>
      <c r="D1343" s="8" t="s">
        <v>2720</v>
      </c>
    </row>
    <row r="1344" spans="1:4" ht="14.25">
      <c r="A1344" s="5" t="s">
        <v>463</v>
      </c>
      <c r="B1344" s="6" t="s">
        <v>2721</v>
      </c>
      <c r="C1344" s="7">
        <v>26970</v>
      </c>
      <c r="D1344" s="8" t="s">
        <v>2722</v>
      </c>
    </row>
    <row r="1345" spans="1:4" ht="14.25">
      <c r="A1345" s="5">
        <v>2</v>
      </c>
      <c r="B1345" s="6" t="s">
        <v>2723</v>
      </c>
      <c r="C1345" s="7">
        <v>26970</v>
      </c>
      <c r="D1345" s="8" t="s">
        <v>2724</v>
      </c>
    </row>
    <row r="1346" spans="1:4" ht="14.25">
      <c r="A1346" s="5" t="s">
        <v>96</v>
      </c>
      <c r="B1346" s="6" t="s">
        <v>2725</v>
      </c>
      <c r="C1346" s="7">
        <v>26971</v>
      </c>
      <c r="D1346" s="8" t="s">
        <v>2726</v>
      </c>
    </row>
    <row r="1347" spans="1:4" ht="14.25">
      <c r="A1347" s="5" t="s">
        <v>463</v>
      </c>
      <c r="B1347" s="6" t="s">
        <v>2727</v>
      </c>
      <c r="C1347" s="7">
        <v>26971</v>
      </c>
      <c r="D1347" s="8" t="s">
        <v>2728</v>
      </c>
    </row>
    <row r="1348" spans="1:4" ht="14.25">
      <c r="A1348" s="5">
        <v>3</v>
      </c>
      <c r="B1348" s="6" t="s">
        <v>2729</v>
      </c>
      <c r="C1348" s="7">
        <v>26971</v>
      </c>
      <c r="D1348" s="8" t="s">
        <v>2730</v>
      </c>
    </row>
    <row r="1349" spans="1:4" ht="14.25">
      <c r="A1349" s="5">
        <v>3</v>
      </c>
      <c r="B1349" s="6" t="s">
        <v>2731</v>
      </c>
      <c r="C1349" s="7">
        <v>26971</v>
      </c>
      <c r="D1349" s="8" t="s">
        <v>2732</v>
      </c>
    </row>
    <row r="1350" spans="1:4" ht="14.25">
      <c r="A1350" s="5" t="s">
        <v>597</v>
      </c>
      <c r="B1350" s="6" t="s">
        <v>2733</v>
      </c>
      <c r="C1350" s="7">
        <v>26972</v>
      </c>
      <c r="D1350" s="8" t="s">
        <v>2734</v>
      </c>
    </row>
    <row r="1351" spans="1:4" ht="14.25">
      <c r="A1351" s="5">
        <v>4</v>
      </c>
      <c r="B1351" s="6" t="s">
        <v>2735</v>
      </c>
      <c r="C1351" s="7">
        <v>26972</v>
      </c>
      <c r="D1351" s="8" t="s">
        <v>2736</v>
      </c>
    </row>
    <row r="1352" spans="1:4" ht="14.25">
      <c r="A1352" s="5" t="s">
        <v>597</v>
      </c>
      <c r="B1352" s="6" t="s">
        <v>2737</v>
      </c>
      <c r="C1352" s="7">
        <v>26974</v>
      </c>
      <c r="D1352" s="8" t="s">
        <v>2738</v>
      </c>
    </row>
    <row r="1353" spans="1:4" ht="14.25">
      <c r="A1353" s="5">
        <v>6</v>
      </c>
      <c r="B1353" s="6" t="s">
        <v>2739</v>
      </c>
      <c r="C1353" s="7">
        <v>26974</v>
      </c>
      <c r="D1353" s="8" t="s">
        <v>2740</v>
      </c>
    </row>
    <row r="1354" spans="1:4" ht="14.25">
      <c r="A1354" s="5" t="s">
        <v>597</v>
      </c>
      <c r="B1354" s="6" t="s">
        <v>2741</v>
      </c>
      <c r="C1354" s="7">
        <v>26975</v>
      </c>
      <c r="D1354" s="8" t="s">
        <v>2742</v>
      </c>
    </row>
    <row r="1355" spans="1:4" ht="14.25">
      <c r="A1355" s="5">
        <v>7</v>
      </c>
      <c r="B1355" s="6" t="s">
        <v>2743</v>
      </c>
      <c r="C1355" s="7">
        <v>26975</v>
      </c>
      <c r="D1355" s="8" t="s">
        <v>2744</v>
      </c>
    </row>
    <row r="1356" spans="1:4" ht="14.25">
      <c r="A1356" s="5" t="s">
        <v>597</v>
      </c>
      <c r="B1356" s="6" t="s">
        <v>2745</v>
      </c>
      <c r="C1356" s="7">
        <v>26976</v>
      </c>
      <c r="D1356" s="8" t="s">
        <v>2746</v>
      </c>
    </row>
    <row r="1357" spans="1:4" ht="14.25">
      <c r="A1357" s="5">
        <v>8</v>
      </c>
      <c r="B1357" s="6" t="s">
        <v>2747</v>
      </c>
      <c r="C1357" s="7">
        <v>26976</v>
      </c>
      <c r="D1357" s="8" t="s">
        <v>2748</v>
      </c>
    </row>
    <row r="1358" spans="1:4" ht="14.25">
      <c r="A1358" s="5" t="s">
        <v>167</v>
      </c>
      <c r="B1358" s="6" t="s">
        <v>2749</v>
      </c>
      <c r="C1358" s="7">
        <v>26978</v>
      </c>
      <c r="D1358" s="8" t="s">
        <v>2750</v>
      </c>
    </row>
    <row r="1359" spans="1:4" ht="14.25">
      <c r="A1359" s="5">
        <v>10</v>
      </c>
      <c r="B1359" s="6" t="s">
        <v>2751</v>
      </c>
      <c r="C1359" s="7">
        <v>26978</v>
      </c>
      <c r="D1359" s="8" t="s">
        <v>2752</v>
      </c>
    </row>
    <row r="1360" spans="1:4" ht="14.25">
      <c r="A1360" s="5" t="s">
        <v>42</v>
      </c>
      <c r="B1360" s="6" t="s">
        <v>2753</v>
      </c>
      <c r="C1360" s="7">
        <v>26979</v>
      </c>
      <c r="D1360" s="8" t="s">
        <v>2754</v>
      </c>
    </row>
    <row r="1361" spans="1:4" ht="14.25">
      <c r="A1361" s="5">
        <v>11</v>
      </c>
      <c r="B1361" s="6" t="s">
        <v>2755</v>
      </c>
      <c r="C1361" s="7">
        <v>26979</v>
      </c>
      <c r="D1361" s="8" t="s">
        <v>2756</v>
      </c>
    </row>
    <row r="1362" spans="1:4" ht="14.25">
      <c r="A1362" s="5" t="s">
        <v>42</v>
      </c>
      <c r="B1362" s="6" t="s">
        <v>2757</v>
      </c>
      <c r="C1362" s="7">
        <v>26980</v>
      </c>
      <c r="D1362" s="8" t="s">
        <v>2758</v>
      </c>
    </row>
    <row r="1363" spans="1:4" ht="14.25">
      <c r="A1363" s="5">
        <v>12</v>
      </c>
      <c r="B1363" s="6" t="s">
        <v>2759</v>
      </c>
      <c r="C1363" s="7">
        <v>26980</v>
      </c>
      <c r="D1363" s="8" t="s">
        <v>2760</v>
      </c>
    </row>
    <row r="1364" spans="1:4" ht="14.25">
      <c r="A1364" s="5" t="s">
        <v>42</v>
      </c>
      <c r="B1364" s="6" t="s">
        <v>2761</v>
      </c>
      <c r="C1364" s="7">
        <v>26981</v>
      </c>
      <c r="D1364" s="8" t="s">
        <v>2762</v>
      </c>
    </row>
    <row r="1365" spans="1:4" ht="14.25">
      <c r="A1365" s="5">
        <v>13</v>
      </c>
      <c r="B1365" s="6" t="s">
        <v>2763</v>
      </c>
      <c r="C1365" s="7">
        <v>26981</v>
      </c>
      <c r="D1365" s="8" t="s">
        <v>2764</v>
      </c>
    </row>
    <row r="1366" spans="1:4" ht="14.25">
      <c r="A1366" s="5" t="s">
        <v>42</v>
      </c>
      <c r="B1366" s="6" t="s">
        <v>2765</v>
      </c>
      <c r="C1366" s="7">
        <v>26982</v>
      </c>
      <c r="D1366" s="8" t="s">
        <v>2766</v>
      </c>
    </row>
    <row r="1367" spans="1:4" ht="14.25">
      <c r="A1367" s="5">
        <v>14</v>
      </c>
      <c r="B1367" s="6" t="s">
        <v>2767</v>
      </c>
      <c r="C1367" s="7">
        <v>26982</v>
      </c>
      <c r="D1367" s="8" t="s">
        <v>2768</v>
      </c>
    </row>
    <row r="1368" spans="1:4" ht="14.25">
      <c r="A1368" s="5" t="s">
        <v>42</v>
      </c>
      <c r="B1368" s="6" t="s">
        <v>2769</v>
      </c>
      <c r="C1368" s="7">
        <v>26984</v>
      </c>
      <c r="D1368" s="8" t="s">
        <v>2770</v>
      </c>
    </row>
    <row r="1369" spans="1:4" ht="14.25">
      <c r="A1369" s="5">
        <v>16</v>
      </c>
      <c r="B1369" s="6" t="s">
        <v>2771</v>
      </c>
      <c r="C1369" s="7">
        <v>26984</v>
      </c>
      <c r="D1369" s="8" t="s">
        <v>2772</v>
      </c>
    </row>
    <row r="1370" spans="1:4" ht="14.25">
      <c r="A1370" s="5" t="s">
        <v>42</v>
      </c>
      <c r="B1370" s="6" t="s">
        <v>2773</v>
      </c>
      <c r="C1370" s="7">
        <v>26986</v>
      </c>
      <c r="D1370" s="8" t="s">
        <v>2774</v>
      </c>
    </row>
    <row r="1371" spans="1:4" ht="14.25">
      <c r="A1371" s="5">
        <v>18</v>
      </c>
      <c r="B1371" s="6" t="s">
        <v>2775</v>
      </c>
      <c r="C1371" s="7">
        <v>26986</v>
      </c>
      <c r="D1371" s="8" t="s">
        <v>2776</v>
      </c>
    </row>
    <row r="1372" spans="1:4" ht="14.25">
      <c r="A1372" s="5" t="s">
        <v>42</v>
      </c>
      <c r="B1372" s="6" t="s">
        <v>2777</v>
      </c>
      <c r="C1372" s="7">
        <v>26993</v>
      </c>
      <c r="D1372" s="8" t="s">
        <v>2778</v>
      </c>
    </row>
    <row r="1373" spans="1:4" ht="14.25">
      <c r="A1373" s="5">
        <v>25</v>
      </c>
      <c r="B1373" s="6" t="s">
        <v>2779</v>
      </c>
      <c r="C1373" s="7">
        <v>26993</v>
      </c>
      <c r="D1373" s="8" t="s">
        <v>2780</v>
      </c>
    </row>
    <row r="1374" spans="1:4" ht="14.25">
      <c r="A1374" s="5" t="s">
        <v>42</v>
      </c>
      <c r="B1374" s="6" t="s">
        <v>2781</v>
      </c>
      <c r="C1374" s="7">
        <v>26997</v>
      </c>
      <c r="D1374" s="8" t="s">
        <v>2782</v>
      </c>
    </row>
    <row r="1375" spans="1:4" ht="14.25">
      <c r="A1375" s="5">
        <v>29</v>
      </c>
      <c r="B1375" s="6" t="s">
        <v>2783</v>
      </c>
      <c r="C1375" s="7">
        <v>26997</v>
      </c>
      <c r="D1375" s="8" t="s">
        <v>2784</v>
      </c>
    </row>
    <row r="1376" spans="1:4" ht="14.25">
      <c r="A1376" s="5" t="s">
        <v>42</v>
      </c>
      <c r="B1376" s="6" t="s">
        <v>2785</v>
      </c>
      <c r="C1376" s="7">
        <v>26998</v>
      </c>
      <c r="D1376" s="8" t="s">
        <v>2786</v>
      </c>
    </row>
    <row r="1377" spans="1:4" ht="14.25">
      <c r="A1377" s="5">
        <v>30</v>
      </c>
      <c r="B1377" s="6" t="s">
        <v>2787</v>
      </c>
      <c r="C1377" s="7">
        <v>26998</v>
      </c>
      <c r="D1377" s="8" t="s">
        <v>2788</v>
      </c>
    </row>
    <row r="1378" spans="1:4" ht="14.25">
      <c r="A1378" s="5" t="s">
        <v>42</v>
      </c>
      <c r="B1378" s="6" t="s">
        <v>2789</v>
      </c>
      <c r="C1378" s="7">
        <v>26999</v>
      </c>
      <c r="D1378" s="8" t="s">
        <v>2790</v>
      </c>
    </row>
    <row r="1379" spans="1:4" ht="14.25">
      <c r="A1379" s="5">
        <v>1</v>
      </c>
      <c r="B1379" s="6" t="s">
        <v>2791</v>
      </c>
      <c r="C1379" s="7">
        <v>26999</v>
      </c>
      <c r="D1379" s="8" t="s">
        <v>2792</v>
      </c>
    </row>
    <row r="1380" spans="1:4" ht="14.25">
      <c r="A1380" s="5" t="s">
        <v>484</v>
      </c>
      <c r="B1380" s="6" t="s">
        <v>2793</v>
      </c>
      <c r="C1380" s="7">
        <v>27000</v>
      </c>
      <c r="D1380" s="8" t="s">
        <v>2794</v>
      </c>
    </row>
    <row r="1381" spans="1:4" ht="14.25">
      <c r="A1381" s="5" t="s">
        <v>42</v>
      </c>
      <c r="B1381" s="6" t="s">
        <v>2795</v>
      </c>
      <c r="C1381" s="7">
        <v>27000</v>
      </c>
      <c r="D1381" s="8" t="s">
        <v>2796</v>
      </c>
    </row>
    <row r="1382" spans="1:4" ht="14.25">
      <c r="A1382" s="5">
        <v>2</v>
      </c>
      <c r="B1382" s="6" t="s">
        <v>2797</v>
      </c>
      <c r="C1382" s="7">
        <v>27000</v>
      </c>
      <c r="D1382" s="8" t="s">
        <v>2798</v>
      </c>
    </row>
    <row r="1383" spans="1:4" ht="14.25">
      <c r="A1383" s="5">
        <v>2</v>
      </c>
      <c r="B1383" s="6" t="s">
        <v>2799</v>
      </c>
      <c r="C1383" s="7">
        <v>27000</v>
      </c>
      <c r="D1383" s="8" t="s">
        <v>2800</v>
      </c>
    </row>
    <row r="1384" spans="1:4" ht="14.25">
      <c r="A1384" s="5" t="s">
        <v>484</v>
      </c>
      <c r="B1384" s="6" t="s">
        <v>2801</v>
      </c>
      <c r="C1384" s="7">
        <v>27001</v>
      </c>
      <c r="D1384" s="8" t="s">
        <v>2802</v>
      </c>
    </row>
    <row r="1385" spans="1:4" ht="14.25">
      <c r="A1385" s="5" t="s">
        <v>42</v>
      </c>
      <c r="B1385" s="6" t="s">
        <v>2803</v>
      </c>
      <c r="C1385" s="7">
        <v>27001</v>
      </c>
      <c r="D1385" s="8" t="s">
        <v>2804</v>
      </c>
    </row>
    <row r="1386" spans="1:4" ht="14.25">
      <c r="A1386" s="5">
        <v>3</v>
      </c>
      <c r="B1386" s="6" t="s">
        <v>2805</v>
      </c>
      <c r="C1386" s="7">
        <v>27001</v>
      </c>
      <c r="D1386" s="8" t="s">
        <v>2806</v>
      </c>
    </row>
    <row r="1387" spans="1:4" ht="14.25">
      <c r="A1387" s="5">
        <v>3</v>
      </c>
      <c r="B1387" s="6" t="s">
        <v>2807</v>
      </c>
      <c r="C1387" s="7">
        <v>27001</v>
      </c>
      <c r="D1387" s="8" t="s">
        <v>2808</v>
      </c>
    </row>
    <row r="1388" spans="1:4" ht="14.25">
      <c r="A1388" s="5" t="s">
        <v>484</v>
      </c>
      <c r="B1388" s="6" t="s">
        <v>2809</v>
      </c>
      <c r="C1388" s="7">
        <v>27002</v>
      </c>
      <c r="D1388" s="8" t="s">
        <v>2810</v>
      </c>
    </row>
    <row r="1389" spans="1:4" ht="14.25">
      <c r="A1389" s="5" t="s">
        <v>42</v>
      </c>
      <c r="B1389" s="6" t="s">
        <v>2811</v>
      </c>
      <c r="C1389" s="7">
        <v>27002</v>
      </c>
      <c r="D1389" s="8" t="s">
        <v>2812</v>
      </c>
    </row>
    <row r="1390" spans="1:4" ht="14.25">
      <c r="A1390" s="5">
        <v>4</v>
      </c>
      <c r="B1390" s="6" t="s">
        <v>2813</v>
      </c>
      <c r="C1390" s="7">
        <v>27002</v>
      </c>
      <c r="D1390" s="8" t="s">
        <v>2814</v>
      </c>
    </row>
    <row r="1391" spans="1:4" ht="14.25">
      <c r="A1391" s="5">
        <v>4</v>
      </c>
      <c r="B1391" s="6" t="s">
        <v>2815</v>
      </c>
      <c r="C1391" s="7">
        <v>27002</v>
      </c>
      <c r="D1391" s="8" t="s">
        <v>2816</v>
      </c>
    </row>
    <row r="1392" spans="1:4" ht="14.25">
      <c r="A1392" s="5" t="s">
        <v>484</v>
      </c>
      <c r="B1392" s="6" t="s">
        <v>2817</v>
      </c>
      <c r="C1392" s="7">
        <v>27003</v>
      </c>
      <c r="D1392" s="8" t="s">
        <v>2818</v>
      </c>
    </row>
    <row r="1393" spans="1:4" ht="14.25">
      <c r="A1393" s="5" t="s">
        <v>484</v>
      </c>
      <c r="B1393" s="6" t="s">
        <v>2819</v>
      </c>
      <c r="C1393" s="7">
        <v>27003</v>
      </c>
      <c r="D1393" s="8" t="s">
        <v>2820</v>
      </c>
    </row>
    <row r="1394" spans="1:4" ht="14.25">
      <c r="A1394" s="5" t="s">
        <v>42</v>
      </c>
      <c r="B1394" s="6" t="s">
        <v>2821</v>
      </c>
      <c r="C1394" s="7">
        <v>27003</v>
      </c>
      <c r="D1394" s="8" t="s">
        <v>2822</v>
      </c>
    </row>
    <row r="1395" spans="1:4" ht="14.25">
      <c r="A1395" s="5" t="s">
        <v>42</v>
      </c>
      <c r="B1395" s="6" t="s">
        <v>2823</v>
      </c>
      <c r="C1395" s="7">
        <v>27003</v>
      </c>
      <c r="D1395" s="8" t="s">
        <v>2824</v>
      </c>
    </row>
    <row r="1396" spans="1:4" ht="14.25">
      <c r="A1396" s="5">
        <v>5</v>
      </c>
      <c r="B1396" s="6" t="s">
        <v>2825</v>
      </c>
      <c r="C1396" s="7">
        <v>27003</v>
      </c>
      <c r="D1396" s="8" t="s">
        <v>2826</v>
      </c>
    </row>
    <row r="1397" spans="1:4" ht="14.25">
      <c r="A1397" s="5">
        <v>5</v>
      </c>
      <c r="B1397" s="6" t="s">
        <v>2827</v>
      </c>
      <c r="C1397" s="7">
        <v>27003</v>
      </c>
      <c r="D1397" s="8" t="s">
        <v>2828</v>
      </c>
    </row>
    <row r="1398" spans="1:4" ht="14.25">
      <c r="A1398" s="5">
        <v>5</v>
      </c>
      <c r="B1398" s="6" t="s">
        <v>2829</v>
      </c>
      <c r="C1398" s="7">
        <v>27003</v>
      </c>
      <c r="D1398" s="8" t="s">
        <v>2830</v>
      </c>
    </row>
    <row r="1399" spans="1:4" ht="14.25">
      <c r="A1399" s="5">
        <v>5</v>
      </c>
      <c r="B1399" s="6" t="s">
        <v>2831</v>
      </c>
      <c r="C1399" s="7">
        <v>27003</v>
      </c>
      <c r="D1399" s="8" t="s">
        <v>2832</v>
      </c>
    </row>
    <row r="1400" spans="1:4" ht="14.25">
      <c r="A1400" s="5" t="s">
        <v>42</v>
      </c>
      <c r="B1400" s="6" t="s">
        <v>2833</v>
      </c>
      <c r="C1400" s="7">
        <v>27004</v>
      </c>
      <c r="D1400" s="8" t="s">
        <v>2834</v>
      </c>
    </row>
    <row r="1401" spans="1:4" ht="14.25">
      <c r="A1401" s="5">
        <v>6</v>
      </c>
      <c r="B1401" s="6" t="s">
        <v>2835</v>
      </c>
      <c r="C1401" s="7">
        <v>27004</v>
      </c>
      <c r="D1401" s="8" t="s">
        <v>2836</v>
      </c>
    </row>
    <row r="1402" spans="1:4" ht="14.25">
      <c r="A1402" s="5" t="s">
        <v>484</v>
      </c>
      <c r="B1402" s="6" t="s">
        <v>2837</v>
      </c>
      <c r="C1402" s="7">
        <v>27005</v>
      </c>
      <c r="D1402" s="8" t="s">
        <v>2838</v>
      </c>
    </row>
    <row r="1403" spans="1:4" ht="14.25">
      <c r="A1403" s="5" t="s">
        <v>42</v>
      </c>
      <c r="B1403" s="6" t="s">
        <v>2839</v>
      </c>
      <c r="C1403" s="7">
        <v>27005</v>
      </c>
      <c r="D1403" s="8" t="s">
        <v>2840</v>
      </c>
    </row>
    <row r="1404" spans="1:4" ht="14.25">
      <c r="A1404" s="5">
        <v>7</v>
      </c>
      <c r="B1404" s="6" t="s">
        <v>2841</v>
      </c>
      <c r="C1404" s="7">
        <v>27005</v>
      </c>
      <c r="D1404" s="8" t="s">
        <v>2842</v>
      </c>
    </row>
    <row r="1405" spans="1:4" ht="14.25">
      <c r="A1405" s="5">
        <v>7</v>
      </c>
      <c r="B1405" s="6" t="s">
        <v>2843</v>
      </c>
      <c r="C1405" s="7">
        <v>27005</v>
      </c>
      <c r="D1405" s="8" t="s">
        <v>2844</v>
      </c>
    </row>
    <row r="1406" spans="1:4" ht="14.25">
      <c r="A1406" s="5" t="s">
        <v>42</v>
      </c>
      <c r="B1406" s="6" t="s">
        <v>2845</v>
      </c>
      <c r="C1406" s="7">
        <v>27006</v>
      </c>
      <c r="D1406" s="8" t="s">
        <v>2846</v>
      </c>
    </row>
    <row r="1407" spans="1:4" ht="14.25">
      <c r="A1407" s="5">
        <v>8</v>
      </c>
      <c r="B1407" s="6" t="s">
        <v>2847</v>
      </c>
      <c r="C1407" s="7">
        <v>27006</v>
      </c>
      <c r="D1407" s="8" t="s">
        <v>2848</v>
      </c>
    </row>
    <row r="1408" spans="1:4" ht="14.25">
      <c r="A1408" s="5" t="s">
        <v>463</v>
      </c>
      <c r="B1408" s="6" t="s">
        <v>2849</v>
      </c>
      <c r="C1408" s="7">
        <v>27007</v>
      </c>
      <c r="D1408" s="8" t="s">
        <v>2850</v>
      </c>
    </row>
    <row r="1409" spans="1:4" ht="14.25">
      <c r="A1409" s="5" t="s">
        <v>42</v>
      </c>
      <c r="B1409" s="6" t="s">
        <v>2851</v>
      </c>
      <c r="C1409" s="7">
        <v>27007</v>
      </c>
      <c r="D1409" s="8" t="s">
        <v>2852</v>
      </c>
    </row>
    <row r="1410" spans="1:4" ht="14.25">
      <c r="A1410" s="5">
        <v>9</v>
      </c>
      <c r="B1410" s="6" t="s">
        <v>2853</v>
      </c>
      <c r="C1410" s="7">
        <v>27007</v>
      </c>
      <c r="D1410" s="8" t="s">
        <v>2854</v>
      </c>
    </row>
    <row r="1411" spans="1:4" ht="14.25">
      <c r="A1411" s="5">
        <v>9</v>
      </c>
      <c r="B1411" s="6" t="s">
        <v>2855</v>
      </c>
      <c r="C1411" s="7">
        <v>27007</v>
      </c>
      <c r="D1411" s="8" t="s">
        <v>2856</v>
      </c>
    </row>
    <row r="1412" spans="1:4" ht="14.25">
      <c r="A1412" s="5" t="s">
        <v>484</v>
      </c>
      <c r="B1412" s="6" t="s">
        <v>2857</v>
      </c>
      <c r="C1412" s="7">
        <v>27009</v>
      </c>
      <c r="D1412" s="8" t="s">
        <v>2858</v>
      </c>
    </row>
    <row r="1413" spans="1:4" ht="14.25">
      <c r="A1413" s="5" t="s">
        <v>42</v>
      </c>
      <c r="B1413" s="6" t="s">
        <v>2859</v>
      </c>
      <c r="C1413" s="7">
        <v>27009</v>
      </c>
      <c r="D1413" s="8" t="s">
        <v>2860</v>
      </c>
    </row>
    <row r="1414" spans="1:4" ht="14.25">
      <c r="A1414" s="5">
        <v>11</v>
      </c>
      <c r="B1414" s="6" t="s">
        <v>2861</v>
      </c>
      <c r="C1414" s="7">
        <v>27009</v>
      </c>
      <c r="D1414" s="8" t="s">
        <v>2862</v>
      </c>
    </row>
    <row r="1415" spans="1:4" ht="14.25">
      <c r="A1415" s="5">
        <v>11</v>
      </c>
      <c r="B1415" s="6" t="s">
        <v>2863</v>
      </c>
      <c r="C1415" s="7">
        <v>27009</v>
      </c>
      <c r="D1415" s="8" t="s">
        <v>2864</v>
      </c>
    </row>
    <row r="1416" spans="1:4" ht="14.25">
      <c r="A1416" s="5" t="s">
        <v>42</v>
      </c>
      <c r="B1416" s="6" t="s">
        <v>2865</v>
      </c>
      <c r="C1416" s="7">
        <v>27010</v>
      </c>
      <c r="D1416" s="8" t="s">
        <v>2866</v>
      </c>
    </row>
    <row r="1417" spans="1:4" ht="14.25">
      <c r="A1417" s="5">
        <v>12</v>
      </c>
      <c r="B1417" s="6" t="s">
        <v>2867</v>
      </c>
      <c r="C1417" s="7">
        <v>27010</v>
      </c>
      <c r="D1417" s="8" t="s">
        <v>2868</v>
      </c>
    </row>
    <row r="1418" spans="1:4" ht="14.25">
      <c r="A1418" s="5" t="s">
        <v>197</v>
      </c>
      <c r="B1418" s="6" t="s">
        <v>2869</v>
      </c>
      <c r="C1418" s="7">
        <v>27011</v>
      </c>
      <c r="D1418" s="8" t="s">
        <v>2870</v>
      </c>
    </row>
    <row r="1419" spans="1:4" ht="14.25">
      <c r="A1419" s="5" t="s">
        <v>197</v>
      </c>
      <c r="B1419" s="6" t="s">
        <v>2871</v>
      </c>
      <c r="C1419" s="7">
        <v>27011</v>
      </c>
      <c r="D1419" s="8" t="s">
        <v>2872</v>
      </c>
    </row>
    <row r="1420" spans="1:4" ht="14.25">
      <c r="A1420" s="5" t="s">
        <v>484</v>
      </c>
      <c r="B1420" s="6" t="s">
        <v>2873</v>
      </c>
      <c r="C1420" s="7">
        <v>27011</v>
      </c>
      <c r="D1420" s="8" t="s">
        <v>2874</v>
      </c>
    </row>
    <row r="1421" spans="1:4" ht="14.25">
      <c r="A1421" s="5" t="s">
        <v>42</v>
      </c>
      <c r="B1421" s="6" t="s">
        <v>2875</v>
      </c>
      <c r="C1421" s="7">
        <v>27011</v>
      </c>
      <c r="D1421" s="8" t="s">
        <v>2876</v>
      </c>
    </row>
    <row r="1422" spans="1:4" ht="14.25">
      <c r="A1422" s="5">
        <v>13</v>
      </c>
      <c r="B1422" s="6" t="s">
        <v>2877</v>
      </c>
      <c r="C1422" s="7">
        <v>27011</v>
      </c>
      <c r="D1422" s="8" t="s">
        <v>2878</v>
      </c>
    </row>
    <row r="1423" spans="1:4" ht="14.25">
      <c r="A1423" s="5">
        <v>13</v>
      </c>
      <c r="B1423" s="6" t="s">
        <v>2879</v>
      </c>
      <c r="C1423" s="7">
        <v>27011</v>
      </c>
      <c r="D1423" s="8" t="s">
        <v>2880</v>
      </c>
    </row>
    <row r="1424" spans="1:4" ht="14.25">
      <c r="A1424" s="5">
        <v>13</v>
      </c>
      <c r="B1424" s="6" t="s">
        <v>2881</v>
      </c>
      <c r="C1424" s="7">
        <v>27011</v>
      </c>
      <c r="D1424" s="8" t="s">
        <v>2882</v>
      </c>
    </row>
    <row r="1425" spans="1:4" ht="14.25">
      <c r="A1425" s="5">
        <v>13</v>
      </c>
      <c r="B1425" s="6" t="s">
        <v>2883</v>
      </c>
      <c r="C1425" s="7">
        <v>27011</v>
      </c>
      <c r="D1425" s="8" t="s">
        <v>2884</v>
      </c>
    </row>
    <row r="1426" spans="1:4" ht="14.25">
      <c r="A1426" s="5" t="s">
        <v>484</v>
      </c>
      <c r="B1426" s="6" t="s">
        <v>2885</v>
      </c>
      <c r="C1426" s="7">
        <v>27012</v>
      </c>
      <c r="D1426" s="8" t="s">
        <v>2886</v>
      </c>
    </row>
    <row r="1427" spans="1:4" ht="14.25">
      <c r="A1427" s="5" t="s">
        <v>42</v>
      </c>
      <c r="B1427" s="6" t="s">
        <v>2887</v>
      </c>
      <c r="C1427" s="7">
        <v>27012</v>
      </c>
      <c r="D1427" s="8" t="s">
        <v>2888</v>
      </c>
    </row>
    <row r="1428" spans="1:4" ht="14.25">
      <c r="A1428" s="5">
        <v>14</v>
      </c>
      <c r="B1428" s="6" t="s">
        <v>2889</v>
      </c>
      <c r="C1428" s="7">
        <v>27012</v>
      </c>
      <c r="D1428" s="8" t="s">
        <v>2890</v>
      </c>
    </row>
    <row r="1429" spans="1:4" ht="14.25">
      <c r="A1429" s="5">
        <v>14</v>
      </c>
      <c r="B1429" s="6" t="s">
        <v>2891</v>
      </c>
      <c r="C1429" s="7">
        <v>27012</v>
      </c>
      <c r="D1429" s="8" t="s">
        <v>2892</v>
      </c>
    </row>
    <row r="1430" spans="1:4" ht="14.25">
      <c r="A1430" s="5" t="s">
        <v>484</v>
      </c>
      <c r="B1430" s="6" t="s">
        <v>2893</v>
      </c>
      <c r="C1430" s="7">
        <v>27013</v>
      </c>
      <c r="D1430" s="8" t="s">
        <v>2894</v>
      </c>
    </row>
    <row r="1431" spans="1:4" ht="14.25">
      <c r="A1431" s="5" t="s">
        <v>42</v>
      </c>
      <c r="B1431" s="6" t="s">
        <v>2895</v>
      </c>
      <c r="C1431" s="7">
        <v>27013</v>
      </c>
      <c r="D1431" s="8" t="s">
        <v>2896</v>
      </c>
    </row>
    <row r="1432" spans="1:4" ht="14.25">
      <c r="A1432" s="5">
        <v>15</v>
      </c>
      <c r="B1432" s="6" t="s">
        <v>2897</v>
      </c>
      <c r="C1432" s="7">
        <v>27013</v>
      </c>
      <c r="D1432" s="8" t="s">
        <v>2898</v>
      </c>
    </row>
    <row r="1433" spans="1:4" ht="14.25">
      <c r="A1433" s="5">
        <v>15</v>
      </c>
      <c r="B1433" s="6" t="s">
        <v>2899</v>
      </c>
      <c r="C1433" s="7">
        <v>27013</v>
      </c>
      <c r="D1433" s="8" t="s">
        <v>2900</v>
      </c>
    </row>
    <row r="1434" spans="1:4" ht="14.25">
      <c r="A1434" s="5" t="s">
        <v>484</v>
      </c>
      <c r="B1434" s="6" t="s">
        <v>2901</v>
      </c>
      <c r="C1434" s="7">
        <v>27014</v>
      </c>
      <c r="D1434" s="8" t="s">
        <v>2902</v>
      </c>
    </row>
    <row r="1435" spans="1:4" ht="14.25">
      <c r="A1435" s="5" t="s">
        <v>42</v>
      </c>
      <c r="B1435" s="6" t="s">
        <v>2903</v>
      </c>
      <c r="C1435" s="7">
        <v>27014</v>
      </c>
      <c r="D1435" s="8" t="s">
        <v>2904</v>
      </c>
    </row>
    <row r="1436" spans="1:4" ht="14.25">
      <c r="A1436" s="5">
        <v>16</v>
      </c>
      <c r="B1436" s="6" t="s">
        <v>2905</v>
      </c>
      <c r="C1436" s="7">
        <v>27014</v>
      </c>
      <c r="D1436" s="8" t="s">
        <v>2906</v>
      </c>
    </row>
    <row r="1437" spans="1:4" ht="14.25">
      <c r="A1437" s="5">
        <v>16</v>
      </c>
      <c r="B1437" s="6" t="s">
        <v>2907</v>
      </c>
      <c r="C1437" s="7">
        <v>27014</v>
      </c>
      <c r="D1437" s="8" t="s">
        <v>2908</v>
      </c>
    </row>
    <row r="1438" spans="1:4" ht="14.25">
      <c r="A1438" s="5" t="s">
        <v>484</v>
      </c>
      <c r="B1438" s="6" t="s">
        <v>2909</v>
      </c>
      <c r="C1438" s="7">
        <v>27015</v>
      </c>
      <c r="D1438" s="8" t="s">
        <v>2910</v>
      </c>
    </row>
    <row r="1439" spans="1:4" ht="14.25">
      <c r="A1439" s="5" t="s">
        <v>42</v>
      </c>
      <c r="B1439" s="6" t="s">
        <v>2911</v>
      </c>
      <c r="C1439" s="7">
        <v>27015</v>
      </c>
      <c r="D1439" s="8" t="s">
        <v>2912</v>
      </c>
    </row>
    <row r="1440" spans="1:4" ht="14.25">
      <c r="A1440" s="5">
        <v>17</v>
      </c>
      <c r="B1440" s="6" t="s">
        <v>2913</v>
      </c>
      <c r="C1440" s="7">
        <v>27015</v>
      </c>
      <c r="D1440" s="8" t="s">
        <v>2914</v>
      </c>
    </row>
    <row r="1441" spans="1:4" ht="14.25">
      <c r="A1441" s="5">
        <v>17</v>
      </c>
      <c r="B1441" s="6" t="s">
        <v>2915</v>
      </c>
      <c r="C1441" s="7">
        <v>27015</v>
      </c>
      <c r="D1441" s="8" t="s">
        <v>2916</v>
      </c>
    </row>
    <row r="1442" spans="1:4" ht="14.25">
      <c r="A1442" s="5" t="s">
        <v>484</v>
      </c>
      <c r="B1442" s="6" t="s">
        <v>2917</v>
      </c>
      <c r="C1442" s="7">
        <v>27016</v>
      </c>
      <c r="D1442" s="8" t="s">
        <v>2918</v>
      </c>
    </row>
    <row r="1443" spans="1:4" ht="14.25">
      <c r="A1443" s="5" t="s">
        <v>42</v>
      </c>
      <c r="B1443" s="6" t="s">
        <v>2919</v>
      </c>
      <c r="C1443" s="7">
        <v>27016</v>
      </c>
      <c r="D1443" s="8" t="s">
        <v>2920</v>
      </c>
    </row>
    <row r="1444" spans="1:4" ht="14.25">
      <c r="A1444" s="5">
        <v>18</v>
      </c>
      <c r="B1444" s="6" t="s">
        <v>2921</v>
      </c>
      <c r="C1444" s="7">
        <v>27016</v>
      </c>
      <c r="D1444" s="8" t="s">
        <v>2922</v>
      </c>
    </row>
    <row r="1445" spans="1:4" ht="14.25">
      <c r="A1445" s="5">
        <v>18</v>
      </c>
      <c r="B1445" s="6" t="s">
        <v>2923</v>
      </c>
      <c r="C1445" s="7">
        <v>27016</v>
      </c>
      <c r="D1445" s="8" t="s">
        <v>2924</v>
      </c>
    </row>
    <row r="1446" spans="1:4" ht="14.25">
      <c r="A1446" s="5" t="s">
        <v>42</v>
      </c>
      <c r="B1446" s="6" t="s">
        <v>2925</v>
      </c>
      <c r="C1446" s="7">
        <v>27017</v>
      </c>
      <c r="D1446" s="8" t="s">
        <v>2926</v>
      </c>
    </row>
    <row r="1447" spans="1:4" ht="14.25">
      <c r="A1447" s="5">
        <v>19</v>
      </c>
      <c r="B1447" s="6" t="s">
        <v>2927</v>
      </c>
      <c r="C1447" s="7">
        <v>27017</v>
      </c>
      <c r="D1447" s="8" t="s">
        <v>2928</v>
      </c>
    </row>
    <row r="1448" spans="1:4" ht="14.25">
      <c r="A1448" s="5" t="s">
        <v>42</v>
      </c>
      <c r="B1448" s="6" t="s">
        <v>2929</v>
      </c>
      <c r="C1448" s="7">
        <v>27018</v>
      </c>
      <c r="D1448" s="8" t="s">
        <v>2930</v>
      </c>
    </row>
    <row r="1449" spans="1:4" ht="14.25">
      <c r="A1449" s="5">
        <v>20</v>
      </c>
      <c r="B1449" s="6" t="s">
        <v>2931</v>
      </c>
      <c r="C1449" s="7">
        <v>27018</v>
      </c>
      <c r="D1449" s="8" t="s">
        <v>2932</v>
      </c>
    </row>
    <row r="1450" spans="1:4" ht="14.25">
      <c r="A1450" s="5" t="s">
        <v>42</v>
      </c>
      <c r="B1450" s="6" t="s">
        <v>2933</v>
      </c>
      <c r="C1450" s="7">
        <v>27020</v>
      </c>
      <c r="D1450" s="8" t="s">
        <v>2934</v>
      </c>
    </row>
    <row r="1451" spans="1:4" ht="14.25">
      <c r="A1451" s="5">
        <v>22</v>
      </c>
      <c r="B1451" s="6" t="s">
        <v>2935</v>
      </c>
      <c r="C1451" s="7">
        <v>27020</v>
      </c>
      <c r="D1451" s="8" t="s">
        <v>2936</v>
      </c>
    </row>
    <row r="1452" spans="1:4" ht="14.25">
      <c r="A1452" s="5" t="s">
        <v>42</v>
      </c>
      <c r="B1452" s="6" t="s">
        <v>2937</v>
      </c>
      <c r="C1452" s="7">
        <v>27021</v>
      </c>
      <c r="D1452" s="8" t="s">
        <v>2938</v>
      </c>
    </row>
    <row r="1453" spans="1:4" ht="14.25">
      <c r="A1453" s="5">
        <v>23</v>
      </c>
      <c r="B1453" s="6" t="s">
        <v>2939</v>
      </c>
      <c r="C1453" s="7">
        <v>27021</v>
      </c>
      <c r="D1453" s="8" t="s">
        <v>2940</v>
      </c>
    </row>
    <row r="1454" spans="1:4" ht="14.25">
      <c r="A1454" s="5" t="s">
        <v>42</v>
      </c>
      <c r="B1454" s="6" t="s">
        <v>2941</v>
      </c>
      <c r="C1454" s="7">
        <v>27022</v>
      </c>
      <c r="D1454" s="8" t="s">
        <v>2942</v>
      </c>
    </row>
    <row r="1455" spans="1:4" ht="14.25">
      <c r="A1455" s="5">
        <v>24</v>
      </c>
      <c r="B1455" s="6" t="s">
        <v>2943</v>
      </c>
      <c r="C1455" s="7">
        <v>27022</v>
      </c>
      <c r="D1455" s="8" t="s">
        <v>2944</v>
      </c>
    </row>
    <row r="1456" spans="1:4" ht="14.25">
      <c r="A1456" s="5" t="s">
        <v>42</v>
      </c>
      <c r="B1456" s="6" t="s">
        <v>2945</v>
      </c>
      <c r="C1456" s="7">
        <v>27023</v>
      </c>
      <c r="D1456" s="8" t="s">
        <v>2946</v>
      </c>
    </row>
    <row r="1457" spans="1:4" ht="14.25">
      <c r="A1457" s="5">
        <v>25</v>
      </c>
      <c r="B1457" s="6" t="s">
        <v>2947</v>
      </c>
      <c r="C1457" s="7">
        <v>27023</v>
      </c>
      <c r="D1457" s="8" t="s">
        <v>2948</v>
      </c>
    </row>
    <row r="1458" spans="1:4" ht="14.25">
      <c r="A1458" s="5" t="s">
        <v>42</v>
      </c>
      <c r="B1458" s="6" t="s">
        <v>2949</v>
      </c>
      <c r="C1458" s="7">
        <v>27024</v>
      </c>
      <c r="D1458" s="8" t="s">
        <v>2950</v>
      </c>
    </row>
    <row r="1459" spans="1:4" ht="14.25">
      <c r="A1459" s="5">
        <v>26</v>
      </c>
      <c r="B1459" s="6" t="s">
        <v>2951</v>
      </c>
      <c r="C1459" s="7">
        <v>27024</v>
      </c>
      <c r="D1459" s="8" t="s">
        <v>2952</v>
      </c>
    </row>
    <row r="1460" spans="1:4" ht="14.25">
      <c r="A1460" s="5" t="s">
        <v>42</v>
      </c>
      <c r="B1460" s="6" t="s">
        <v>2953</v>
      </c>
      <c r="C1460" s="7">
        <v>27025</v>
      </c>
      <c r="D1460" s="8" t="s">
        <v>2954</v>
      </c>
    </row>
    <row r="1461" spans="1:4" ht="14.25">
      <c r="A1461" s="5">
        <v>27</v>
      </c>
      <c r="B1461" s="6" t="s">
        <v>2955</v>
      </c>
      <c r="C1461" s="7">
        <v>27025</v>
      </c>
      <c r="D1461" s="8" t="s">
        <v>2956</v>
      </c>
    </row>
    <row r="1462" spans="1:4" ht="14.25">
      <c r="A1462" s="5" t="s">
        <v>42</v>
      </c>
      <c r="B1462" s="6" t="s">
        <v>2957</v>
      </c>
      <c r="C1462" s="7">
        <v>27026</v>
      </c>
      <c r="D1462" s="8" t="s">
        <v>2958</v>
      </c>
    </row>
    <row r="1463" spans="1:4" ht="14.25">
      <c r="A1463" s="5">
        <v>28</v>
      </c>
      <c r="B1463" s="6" t="s">
        <v>2959</v>
      </c>
      <c r="C1463" s="7">
        <v>27026</v>
      </c>
      <c r="D1463" s="8" t="s">
        <v>2960</v>
      </c>
    </row>
    <row r="1464" spans="1:4" ht="14.25">
      <c r="A1464" s="5" t="s">
        <v>42</v>
      </c>
      <c r="B1464" s="6" t="s">
        <v>2961</v>
      </c>
      <c r="C1464" s="7">
        <v>27027</v>
      </c>
      <c r="D1464" s="8" t="s">
        <v>2962</v>
      </c>
    </row>
    <row r="1465" spans="1:4" ht="14.25">
      <c r="A1465" s="5">
        <v>29</v>
      </c>
      <c r="B1465" s="6" t="s">
        <v>2963</v>
      </c>
      <c r="C1465" s="7">
        <v>27027</v>
      </c>
      <c r="D1465" s="8" t="s">
        <v>2964</v>
      </c>
    </row>
    <row r="1466" spans="1:4" ht="14.25">
      <c r="A1466" s="5" t="s">
        <v>42</v>
      </c>
      <c r="B1466" s="6" t="s">
        <v>2965</v>
      </c>
      <c r="C1466" s="7">
        <v>27028</v>
      </c>
      <c r="D1466" s="8" t="s">
        <v>2966</v>
      </c>
    </row>
    <row r="1467" spans="1:4" ht="14.25">
      <c r="A1467" s="5">
        <v>30</v>
      </c>
      <c r="B1467" s="6" t="s">
        <v>2967</v>
      </c>
      <c r="C1467" s="7">
        <v>27028</v>
      </c>
      <c r="D1467" s="8" t="s">
        <v>2968</v>
      </c>
    </row>
    <row r="1468" spans="1:4" ht="14.25">
      <c r="A1468" s="5" t="s">
        <v>42</v>
      </c>
      <c r="B1468" s="6" t="s">
        <v>2969</v>
      </c>
      <c r="C1468" s="7">
        <v>27029</v>
      </c>
      <c r="D1468" s="8" t="s">
        <v>2970</v>
      </c>
    </row>
    <row r="1469" spans="1:4" ht="14.25">
      <c r="A1469" s="5">
        <v>31</v>
      </c>
      <c r="B1469" s="6" t="s">
        <v>2971</v>
      </c>
      <c r="C1469" s="7">
        <v>27029</v>
      </c>
      <c r="D1469" s="8" t="s">
        <v>2972</v>
      </c>
    </row>
    <row r="1470" spans="1:4" ht="14.25">
      <c r="A1470" s="5" t="s">
        <v>42</v>
      </c>
      <c r="B1470" s="6" t="s">
        <v>2973</v>
      </c>
      <c r="C1470" s="7">
        <v>27030</v>
      </c>
      <c r="D1470" s="8" t="s">
        <v>2974</v>
      </c>
    </row>
    <row r="1471" spans="1:4" ht="14.25">
      <c r="A1471" s="5">
        <v>1</v>
      </c>
      <c r="B1471" s="6" t="s">
        <v>2975</v>
      </c>
      <c r="C1471" s="7">
        <v>27030</v>
      </c>
      <c r="D1471" s="8" t="s">
        <v>2976</v>
      </c>
    </row>
    <row r="1472" spans="1:4" ht="14.25">
      <c r="A1472" s="5">
        <v>1</v>
      </c>
      <c r="B1472" s="6" t="s">
        <v>2977</v>
      </c>
      <c r="C1472" s="7">
        <v>27030</v>
      </c>
      <c r="D1472" s="8" t="s">
        <v>2978</v>
      </c>
    </row>
    <row r="1473" spans="1:4" ht="14.25">
      <c r="A1473" s="5" t="s">
        <v>42</v>
      </c>
      <c r="B1473" s="6" t="s">
        <v>2979</v>
      </c>
      <c r="C1473" s="7">
        <v>27031</v>
      </c>
      <c r="D1473" s="8" t="s">
        <v>2980</v>
      </c>
    </row>
    <row r="1474" spans="1:4" ht="14.25">
      <c r="A1474" s="5">
        <v>2</v>
      </c>
      <c r="B1474" s="6" t="s">
        <v>2981</v>
      </c>
      <c r="C1474" s="7">
        <v>27031</v>
      </c>
      <c r="D1474" s="8" t="s">
        <v>2982</v>
      </c>
    </row>
    <row r="1475" spans="1:4" ht="14.25">
      <c r="A1475" s="5">
        <v>2</v>
      </c>
      <c r="B1475" s="6" t="s">
        <v>2983</v>
      </c>
      <c r="C1475" s="7">
        <v>27031</v>
      </c>
      <c r="D1475" s="8" t="s">
        <v>2984</v>
      </c>
    </row>
    <row r="1476" spans="1:4" ht="14.25">
      <c r="A1476" s="5" t="s">
        <v>484</v>
      </c>
      <c r="B1476" s="6" t="s">
        <v>2985</v>
      </c>
      <c r="C1476" s="7">
        <v>27032</v>
      </c>
      <c r="D1476" s="8" t="s">
        <v>2986</v>
      </c>
    </row>
    <row r="1477" spans="1:4" ht="14.25">
      <c r="A1477" s="5" t="s">
        <v>42</v>
      </c>
      <c r="B1477" s="6" t="s">
        <v>2987</v>
      </c>
      <c r="C1477" s="7">
        <v>27032</v>
      </c>
      <c r="D1477" s="8" t="s">
        <v>2988</v>
      </c>
    </row>
    <row r="1478" spans="1:4" ht="14.25">
      <c r="A1478" s="5">
        <v>3</v>
      </c>
      <c r="B1478" s="6" t="s">
        <v>2989</v>
      </c>
      <c r="C1478" s="7">
        <v>27032</v>
      </c>
      <c r="D1478" s="8" t="s">
        <v>2990</v>
      </c>
    </row>
    <row r="1479" spans="1:4" ht="14.25">
      <c r="A1479" s="5">
        <v>3</v>
      </c>
      <c r="B1479" s="6" t="s">
        <v>2991</v>
      </c>
      <c r="C1479" s="7">
        <v>27032</v>
      </c>
      <c r="D1479" s="8" t="s">
        <v>2992</v>
      </c>
    </row>
    <row r="1480" spans="1:4" ht="14.25">
      <c r="A1480" s="5">
        <v>3</v>
      </c>
      <c r="B1480" s="6" t="s">
        <v>2993</v>
      </c>
      <c r="C1480" s="7">
        <v>27032</v>
      </c>
      <c r="D1480" s="8" t="s">
        <v>2994</v>
      </c>
    </row>
    <row r="1481" spans="1:4" ht="14.25">
      <c r="A1481" s="5">
        <v>3</v>
      </c>
      <c r="B1481" s="6" t="s">
        <v>2995</v>
      </c>
      <c r="C1481" s="7">
        <v>27032</v>
      </c>
      <c r="D1481" s="8" t="s">
        <v>2996</v>
      </c>
    </row>
    <row r="1482" spans="1:4" ht="14.25">
      <c r="A1482" s="5" t="s">
        <v>42</v>
      </c>
      <c r="B1482" s="6" t="s">
        <v>2997</v>
      </c>
      <c r="C1482" s="7">
        <v>27033</v>
      </c>
      <c r="D1482" s="8" t="s">
        <v>2998</v>
      </c>
    </row>
    <row r="1483" spans="1:4" ht="14.25">
      <c r="A1483" s="5">
        <v>4</v>
      </c>
      <c r="B1483" s="6" t="s">
        <v>2999</v>
      </c>
      <c r="C1483" s="7">
        <v>27033</v>
      </c>
      <c r="D1483" s="8" t="s">
        <v>3000</v>
      </c>
    </row>
    <row r="1484" spans="1:4" ht="14.25">
      <c r="A1484" s="5">
        <v>4</v>
      </c>
      <c r="B1484" s="6" t="s">
        <v>3001</v>
      </c>
      <c r="C1484" s="7">
        <v>27033</v>
      </c>
      <c r="D1484" s="8" t="s">
        <v>3002</v>
      </c>
    </row>
    <row r="1485" spans="1:4" ht="14.25">
      <c r="A1485" s="5" t="s">
        <v>484</v>
      </c>
      <c r="B1485" s="6" t="s">
        <v>3003</v>
      </c>
      <c r="C1485" s="7">
        <v>27034</v>
      </c>
      <c r="D1485" s="8" t="s">
        <v>3004</v>
      </c>
    </row>
    <row r="1486" spans="1:4" ht="14.25">
      <c r="A1486" s="5" t="s">
        <v>42</v>
      </c>
      <c r="B1486" s="6" t="s">
        <v>3005</v>
      </c>
      <c r="C1486" s="7">
        <v>27034</v>
      </c>
      <c r="D1486" s="8" t="s">
        <v>3006</v>
      </c>
    </row>
    <row r="1487" spans="1:4" ht="14.25">
      <c r="A1487" s="5">
        <v>5</v>
      </c>
      <c r="B1487" s="6" t="s">
        <v>3007</v>
      </c>
      <c r="C1487" s="7">
        <v>27034</v>
      </c>
      <c r="D1487" s="8" t="s">
        <v>3008</v>
      </c>
    </row>
    <row r="1488" spans="1:4" ht="14.25">
      <c r="A1488" s="5">
        <v>5</v>
      </c>
      <c r="B1488" s="6" t="s">
        <v>3009</v>
      </c>
      <c r="C1488" s="7">
        <v>27034</v>
      </c>
      <c r="D1488" s="8" t="s">
        <v>3010</v>
      </c>
    </row>
    <row r="1489" spans="1:4" ht="14.25">
      <c r="A1489" s="5">
        <v>5</v>
      </c>
      <c r="B1489" s="6" t="s">
        <v>3011</v>
      </c>
      <c r="C1489" s="7">
        <v>27034</v>
      </c>
      <c r="D1489" s="8" t="s">
        <v>3012</v>
      </c>
    </row>
    <row r="1490" spans="1:4" ht="14.25">
      <c r="A1490" s="5">
        <v>5</v>
      </c>
      <c r="B1490" s="6" t="s">
        <v>3013</v>
      </c>
      <c r="C1490" s="7">
        <v>27034</v>
      </c>
      <c r="D1490" s="8" t="s">
        <v>3014</v>
      </c>
    </row>
    <row r="1491" spans="1:4" ht="14.25">
      <c r="A1491" s="5" t="s">
        <v>484</v>
      </c>
      <c r="B1491" s="6" t="s">
        <v>3015</v>
      </c>
      <c r="C1491" s="7">
        <v>27036</v>
      </c>
      <c r="D1491" s="8" t="s">
        <v>3016</v>
      </c>
    </row>
    <row r="1492" spans="1:4" ht="14.25">
      <c r="A1492" s="5" t="s">
        <v>42</v>
      </c>
      <c r="B1492" s="6" t="s">
        <v>3017</v>
      </c>
      <c r="C1492" s="7">
        <v>27036</v>
      </c>
      <c r="D1492" s="8" t="s">
        <v>3018</v>
      </c>
    </row>
    <row r="1493" spans="1:4" ht="14.25">
      <c r="A1493" s="5">
        <v>7</v>
      </c>
      <c r="B1493" s="6" t="s">
        <v>3019</v>
      </c>
      <c r="C1493" s="7">
        <v>27036</v>
      </c>
      <c r="D1493" s="8" t="s">
        <v>3020</v>
      </c>
    </row>
    <row r="1494" spans="1:4" ht="14.25">
      <c r="A1494" s="5">
        <v>7</v>
      </c>
      <c r="B1494" s="6" t="s">
        <v>3021</v>
      </c>
      <c r="C1494" s="7">
        <v>27036</v>
      </c>
      <c r="D1494" s="8" t="s">
        <v>3022</v>
      </c>
    </row>
    <row r="1495" spans="1:4" ht="14.25">
      <c r="A1495" s="5">
        <v>7</v>
      </c>
      <c r="B1495" s="6" t="s">
        <v>3023</v>
      </c>
      <c r="C1495" s="7">
        <v>27036</v>
      </c>
      <c r="D1495" s="8" t="s">
        <v>3024</v>
      </c>
    </row>
    <row r="1496" spans="1:4" ht="14.25">
      <c r="A1496" s="5">
        <v>7</v>
      </c>
      <c r="B1496" s="6" t="s">
        <v>3025</v>
      </c>
      <c r="C1496" s="7">
        <v>27036</v>
      </c>
      <c r="D1496" s="8" t="s">
        <v>3026</v>
      </c>
    </row>
    <row r="1497" spans="1:4" ht="14.25">
      <c r="A1497" s="5" t="s">
        <v>484</v>
      </c>
      <c r="B1497" s="6" t="s">
        <v>3027</v>
      </c>
      <c r="C1497" s="7">
        <v>27037</v>
      </c>
      <c r="D1497" s="8" t="s">
        <v>3028</v>
      </c>
    </row>
    <row r="1498" spans="1:4" ht="14.25">
      <c r="A1498" s="5" t="s">
        <v>42</v>
      </c>
      <c r="B1498" s="6" t="s">
        <v>3029</v>
      </c>
      <c r="C1498" s="7">
        <v>27037</v>
      </c>
      <c r="D1498" s="8" t="s">
        <v>3030</v>
      </c>
    </row>
    <row r="1499" spans="1:4" ht="14.25">
      <c r="A1499" s="5">
        <v>8</v>
      </c>
      <c r="B1499" s="6" t="s">
        <v>3031</v>
      </c>
      <c r="C1499" s="7">
        <v>27037</v>
      </c>
      <c r="D1499" s="8" t="s">
        <v>3032</v>
      </c>
    </row>
    <row r="1500" spans="1:4" ht="14.25">
      <c r="A1500" s="5">
        <v>8</v>
      </c>
      <c r="B1500" s="6" t="s">
        <v>3033</v>
      </c>
      <c r="C1500" s="7">
        <v>27037</v>
      </c>
      <c r="D1500" s="8" t="s">
        <v>3034</v>
      </c>
    </row>
    <row r="1501" spans="1:4" ht="14.25">
      <c r="A1501" s="5">
        <v>8</v>
      </c>
      <c r="B1501" s="6" t="s">
        <v>3035</v>
      </c>
      <c r="C1501" s="7">
        <v>27037</v>
      </c>
      <c r="D1501" s="8" t="s">
        <v>3036</v>
      </c>
    </row>
    <row r="1502" spans="1:4" ht="14.25">
      <c r="A1502" s="5" t="s">
        <v>484</v>
      </c>
      <c r="B1502" s="6" t="s">
        <v>3037</v>
      </c>
      <c r="C1502" s="7">
        <v>27038</v>
      </c>
      <c r="D1502" s="8" t="s">
        <v>3038</v>
      </c>
    </row>
    <row r="1503" spans="1:4" ht="14.25">
      <c r="A1503" s="5" t="s">
        <v>42</v>
      </c>
      <c r="B1503" s="6" t="s">
        <v>3039</v>
      </c>
      <c r="C1503" s="7">
        <v>27038</v>
      </c>
      <c r="D1503" s="8" t="s">
        <v>3040</v>
      </c>
    </row>
    <row r="1504" spans="1:4" ht="14.25">
      <c r="A1504" s="5">
        <v>9</v>
      </c>
      <c r="B1504" s="6" t="s">
        <v>3041</v>
      </c>
      <c r="C1504" s="7">
        <v>27038</v>
      </c>
      <c r="D1504" s="8" t="s">
        <v>3042</v>
      </c>
    </row>
    <row r="1505" spans="1:4" ht="14.25">
      <c r="A1505" s="5">
        <v>9</v>
      </c>
      <c r="B1505" s="6" t="s">
        <v>3043</v>
      </c>
      <c r="C1505" s="7">
        <v>27038</v>
      </c>
      <c r="D1505" s="8" t="s">
        <v>3044</v>
      </c>
    </row>
    <row r="1506" spans="1:4" ht="14.25">
      <c r="A1506" s="5">
        <v>9</v>
      </c>
      <c r="B1506" s="6" t="s">
        <v>3045</v>
      </c>
      <c r="C1506" s="7">
        <v>27038</v>
      </c>
      <c r="D1506" s="8" t="s">
        <v>3046</v>
      </c>
    </row>
    <row r="1507" spans="1:4" ht="14.25">
      <c r="A1507" s="5">
        <v>9</v>
      </c>
      <c r="B1507" s="6" t="s">
        <v>3047</v>
      </c>
      <c r="C1507" s="7">
        <v>27038</v>
      </c>
      <c r="D1507" s="8" t="s">
        <v>3048</v>
      </c>
    </row>
    <row r="1508" spans="1:4" ht="14.25">
      <c r="A1508" s="5" t="s">
        <v>484</v>
      </c>
      <c r="B1508" s="6" t="s">
        <v>3049</v>
      </c>
      <c r="C1508" s="7">
        <v>27039</v>
      </c>
      <c r="D1508" s="8" t="s">
        <v>3050</v>
      </c>
    </row>
    <row r="1509" spans="1:4" ht="14.25">
      <c r="A1509" s="5" t="s">
        <v>42</v>
      </c>
      <c r="B1509" s="6" t="s">
        <v>3051</v>
      </c>
      <c r="C1509" s="7">
        <v>27039</v>
      </c>
      <c r="D1509" s="8" t="s">
        <v>3052</v>
      </c>
    </row>
    <row r="1510" spans="1:4" ht="14.25">
      <c r="A1510" s="5">
        <v>10</v>
      </c>
      <c r="B1510" s="6" t="s">
        <v>3053</v>
      </c>
      <c r="C1510" s="7">
        <v>27039</v>
      </c>
      <c r="D1510" s="8" t="s">
        <v>3054</v>
      </c>
    </row>
    <row r="1511" spans="1:4" ht="14.25">
      <c r="A1511" s="5">
        <v>10</v>
      </c>
      <c r="B1511" s="6" t="s">
        <v>3055</v>
      </c>
      <c r="C1511" s="7">
        <v>27039</v>
      </c>
      <c r="D1511" s="8" t="s">
        <v>3056</v>
      </c>
    </row>
    <row r="1512" spans="1:4" ht="14.25">
      <c r="A1512" s="5">
        <v>10</v>
      </c>
      <c r="B1512" s="6" t="s">
        <v>3057</v>
      </c>
      <c r="C1512" s="7">
        <v>27039</v>
      </c>
      <c r="D1512" s="8" t="s">
        <v>3058</v>
      </c>
    </row>
    <row r="1513" spans="1:4" ht="14.25">
      <c r="A1513" s="5">
        <v>10</v>
      </c>
      <c r="B1513" s="6" t="s">
        <v>3059</v>
      </c>
      <c r="C1513" s="7">
        <v>27039</v>
      </c>
      <c r="D1513" s="8" t="s">
        <v>3060</v>
      </c>
    </row>
    <row r="1514" spans="1:4" ht="14.25">
      <c r="A1514" s="5">
        <v>10</v>
      </c>
      <c r="B1514" s="6" t="s">
        <v>3061</v>
      </c>
      <c r="C1514" s="7">
        <v>27039</v>
      </c>
      <c r="D1514" s="8" t="s">
        <v>3062</v>
      </c>
    </row>
    <row r="1515" spans="1:4" ht="14.25">
      <c r="A1515" s="5" t="s">
        <v>484</v>
      </c>
      <c r="B1515" s="6" t="s">
        <v>3063</v>
      </c>
      <c r="C1515" s="7">
        <v>27040</v>
      </c>
      <c r="D1515" s="8" t="s">
        <v>3064</v>
      </c>
    </row>
    <row r="1516" spans="1:4" ht="14.25">
      <c r="A1516" s="5" t="s">
        <v>42</v>
      </c>
      <c r="B1516" s="6" t="s">
        <v>3065</v>
      </c>
      <c r="C1516" s="7">
        <v>27040</v>
      </c>
      <c r="D1516" s="8" t="s">
        <v>3066</v>
      </c>
    </row>
    <row r="1517" spans="1:4" ht="14.25">
      <c r="A1517" s="5">
        <v>11</v>
      </c>
      <c r="B1517" s="6" t="s">
        <v>3067</v>
      </c>
      <c r="C1517" s="7">
        <v>27040</v>
      </c>
      <c r="D1517" s="8" t="s">
        <v>3068</v>
      </c>
    </row>
    <row r="1518" spans="1:4" ht="14.25">
      <c r="A1518" s="5">
        <v>11</v>
      </c>
      <c r="B1518" s="6" t="s">
        <v>3069</v>
      </c>
      <c r="C1518" s="7">
        <v>27040</v>
      </c>
      <c r="D1518" s="8" t="s">
        <v>3070</v>
      </c>
    </row>
    <row r="1519" spans="1:4" ht="14.25">
      <c r="A1519" s="5">
        <v>11</v>
      </c>
      <c r="B1519" s="6" t="s">
        <v>3071</v>
      </c>
      <c r="C1519" s="7">
        <v>27040</v>
      </c>
      <c r="D1519" s="8" t="s">
        <v>3072</v>
      </c>
    </row>
    <row r="1520" spans="1:4" ht="14.25">
      <c r="A1520" s="5" t="s">
        <v>484</v>
      </c>
      <c r="B1520" s="6" t="s">
        <v>3073</v>
      </c>
      <c r="C1520" s="7">
        <v>27041</v>
      </c>
      <c r="D1520" s="8" t="s">
        <v>3074</v>
      </c>
    </row>
    <row r="1521" spans="1:4" ht="14.25">
      <c r="A1521" s="5" t="s">
        <v>42</v>
      </c>
      <c r="B1521" s="6" t="s">
        <v>3075</v>
      </c>
      <c r="C1521" s="7">
        <v>27041</v>
      </c>
      <c r="D1521" s="8" t="s">
        <v>3076</v>
      </c>
    </row>
    <row r="1522" spans="1:4" ht="14.25">
      <c r="A1522" s="5">
        <v>12</v>
      </c>
      <c r="B1522" s="6" t="s">
        <v>3077</v>
      </c>
      <c r="C1522" s="7">
        <v>27041</v>
      </c>
      <c r="D1522" s="8" t="s">
        <v>3078</v>
      </c>
    </row>
    <row r="1523" spans="1:4" ht="14.25">
      <c r="A1523" s="5">
        <v>12</v>
      </c>
      <c r="B1523" s="6" t="s">
        <v>3079</v>
      </c>
      <c r="C1523" s="7">
        <v>27041</v>
      </c>
      <c r="D1523" s="8" t="s">
        <v>3080</v>
      </c>
    </row>
    <row r="1524" spans="1:4" ht="14.25">
      <c r="A1524" s="5">
        <v>12</v>
      </c>
      <c r="B1524" s="6" t="s">
        <v>3081</v>
      </c>
      <c r="C1524" s="7">
        <v>27041</v>
      </c>
      <c r="D1524" s="8" t="s">
        <v>3082</v>
      </c>
    </row>
    <row r="1525" spans="1:4" ht="14.25">
      <c r="A1525" s="5" t="s">
        <v>42</v>
      </c>
      <c r="B1525" s="6" t="s">
        <v>3083</v>
      </c>
      <c r="C1525" s="7">
        <v>27042</v>
      </c>
      <c r="D1525" s="8" t="s">
        <v>3084</v>
      </c>
    </row>
    <row r="1526" spans="1:4" ht="14.25">
      <c r="A1526" s="5">
        <v>13</v>
      </c>
      <c r="B1526" s="6" t="s">
        <v>3085</v>
      </c>
      <c r="C1526" s="7">
        <v>27042</v>
      </c>
      <c r="D1526" s="8" t="s">
        <v>3086</v>
      </c>
    </row>
    <row r="1527" spans="1:4" ht="14.25">
      <c r="A1527" s="5" t="s">
        <v>484</v>
      </c>
      <c r="B1527" s="6" t="s">
        <v>3087</v>
      </c>
      <c r="C1527" s="7">
        <v>27044</v>
      </c>
      <c r="D1527" s="8" t="s">
        <v>3088</v>
      </c>
    </row>
    <row r="1528" spans="1:4" ht="14.25">
      <c r="A1528" s="5" t="s">
        <v>42</v>
      </c>
      <c r="B1528" s="6" t="s">
        <v>3089</v>
      </c>
      <c r="C1528" s="7">
        <v>27044</v>
      </c>
      <c r="D1528" s="8" t="s">
        <v>3090</v>
      </c>
    </row>
    <row r="1529" spans="1:4" ht="14.25">
      <c r="A1529" s="5">
        <v>15</v>
      </c>
      <c r="B1529" s="6" t="s">
        <v>3091</v>
      </c>
      <c r="C1529" s="7">
        <v>27044</v>
      </c>
      <c r="D1529" s="8" t="s">
        <v>3092</v>
      </c>
    </row>
    <row r="1530" spans="1:4" ht="14.25">
      <c r="A1530" s="5">
        <v>15</v>
      </c>
      <c r="B1530" s="6" t="s">
        <v>3093</v>
      </c>
      <c r="C1530" s="7">
        <v>27044</v>
      </c>
      <c r="D1530" s="8" t="s">
        <v>3094</v>
      </c>
    </row>
    <row r="1531" spans="1:4" ht="14.25">
      <c r="A1531" s="5">
        <v>15</v>
      </c>
      <c r="B1531" s="6" t="s">
        <v>3095</v>
      </c>
      <c r="C1531" s="7">
        <v>27044</v>
      </c>
      <c r="D1531" s="8" t="s">
        <v>3096</v>
      </c>
    </row>
    <row r="1532" spans="1:4" ht="14.25">
      <c r="A1532" s="5" t="s">
        <v>484</v>
      </c>
      <c r="B1532" s="6" t="s">
        <v>3097</v>
      </c>
      <c r="C1532" s="7">
        <v>27045</v>
      </c>
      <c r="D1532" s="8" t="s">
        <v>3098</v>
      </c>
    </row>
    <row r="1533" spans="1:4" ht="14.25">
      <c r="A1533" s="5" t="s">
        <v>42</v>
      </c>
      <c r="B1533" s="6" t="s">
        <v>3099</v>
      </c>
      <c r="C1533" s="7">
        <v>27045</v>
      </c>
      <c r="D1533" s="8" t="s">
        <v>3100</v>
      </c>
    </row>
    <row r="1534" spans="1:4" ht="14.25">
      <c r="A1534" s="5">
        <v>16</v>
      </c>
      <c r="B1534" s="6" t="s">
        <v>3101</v>
      </c>
      <c r="C1534" s="7">
        <v>27045</v>
      </c>
      <c r="D1534" s="8" t="s">
        <v>3102</v>
      </c>
    </row>
    <row r="1535" spans="1:4" ht="14.25">
      <c r="A1535" s="5">
        <v>16</v>
      </c>
      <c r="B1535" s="6" t="s">
        <v>3103</v>
      </c>
      <c r="C1535" s="7">
        <v>27045</v>
      </c>
      <c r="D1535" s="8" t="s">
        <v>3104</v>
      </c>
    </row>
    <row r="1536" spans="1:4" ht="14.25">
      <c r="A1536" s="5">
        <v>16</v>
      </c>
      <c r="B1536" s="6" t="s">
        <v>3105</v>
      </c>
      <c r="C1536" s="7">
        <v>27045</v>
      </c>
      <c r="D1536" s="8" t="s">
        <v>3106</v>
      </c>
    </row>
    <row r="1537" spans="1:4" ht="14.25">
      <c r="A1537" s="5" t="s">
        <v>42</v>
      </c>
      <c r="B1537" s="6" t="s">
        <v>3107</v>
      </c>
      <c r="C1537" s="7">
        <v>27046</v>
      </c>
      <c r="D1537" s="8" t="s">
        <v>3108</v>
      </c>
    </row>
    <row r="1538" spans="1:4" ht="14.25">
      <c r="A1538" s="5">
        <v>17</v>
      </c>
      <c r="B1538" s="6" t="s">
        <v>3109</v>
      </c>
      <c r="C1538" s="7">
        <v>27046</v>
      </c>
      <c r="D1538" s="8" t="s">
        <v>3110</v>
      </c>
    </row>
    <row r="1539" spans="1:4" ht="14.25">
      <c r="A1539" s="5">
        <v>17</v>
      </c>
      <c r="B1539" s="6" t="s">
        <v>3111</v>
      </c>
      <c r="C1539" s="7">
        <v>27046</v>
      </c>
      <c r="D1539" s="8" t="s">
        <v>3112</v>
      </c>
    </row>
    <row r="1540" spans="1:4" ht="14.25">
      <c r="A1540" s="5" t="s">
        <v>484</v>
      </c>
      <c r="B1540" s="6" t="s">
        <v>3113</v>
      </c>
      <c r="C1540" s="7">
        <v>27047</v>
      </c>
      <c r="D1540" s="8" t="s">
        <v>3114</v>
      </c>
    </row>
    <row r="1541" spans="1:4" ht="14.25">
      <c r="A1541" s="5" t="s">
        <v>42</v>
      </c>
      <c r="B1541" s="6" t="s">
        <v>3115</v>
      </c>
      <c r="C1541" s="7">
        <v>27047</v>
      </c>
      <c r="D1541" s="8" t="s">
        <v>3116</v>
      </c>
    </row>
    <row r="1542" spans="1:4" ht="14.25">
      <c r="A1542" s="5" t="s">
        <v>597</v>
      </c>
      <c r="B1542" s="6" t="s">
        <v>3117</v>
      </c>
      <c r="C1542" s="7">
        <v>27047</v>
      </c>
      <c r="D1542" s="8" t="s">
        <v>3118</v>
      </c>
    </row>
    <row r="1543" spans="1:4" ht="14.25">
      <c r="A1543" s="5">
        <v>18</v>
      </c>
      <c r="B1543" s="6" t="s">
        <v>3119</v>
      </c>
      <c r="C1543" s="7">
        <v>27047</v>
      </c>
      <c r="D1543" s="8" t="s">
        <v>3120</v>
      </c>
    </row>
    <row r="1544" spans="1:4" ht="14.25">
      <c r="A1544" s="5">
        <v>18</v>
      </c>
      <c r="B1544" s="6" t="s">
        <v>3121</v>
      </c>
      <c r="C1544" s="7">
        <v>27047</v>
      </c>
      <c r="D1544" s="8" t="s">
        <v>3122</v>
      </c>
    </row>
    <row r="1545" spans="1:4" ht="14.25">
      <c r="A1545" s="5">
        <v>18</v>
      </c>
      <c r="B1545" s="6" t="s">
        <v>3123</v>
      </c>
      <c r="C1545" s="7">
        <v>27047</v>
      </c>
      <c r="D1545" s="8" t="s">
        <v>3124</v>
      </c>
    </row>
    <row r="1546" spans="1:4" ht="14.25">
      <c r="A1546" s="5">
        <v>18</v>
      </c>
      <c r="B1546" s="6" t="s">
        <v>3125</v>
      </c>
      <c r="C1546" s="7">
        <v>27047</v>
      </c>
      <c r="D1546" s="8" t="s">
        <v>3126</v>
      </c>
    </row>
    <row r="1547" spans="1:4" ht="14.25">
      <c r="A1547" s="5" t="s">
        <v>484</v>
      </c>
      <c r="B1547" s="6" t="s">
        <v>3127</v>
      </c>
      <c r="C1547" s="7">
        <v>27048</v>
      </c>
      <c r="D1547" s="8" t="s">
        <v>3128</v>
      </c>
    </row>
    <row r="1548" spans="1:4" ht="14.25">
      <c r="A1548" s="5" t="s">
        <v>42</v>
      </c>
      <c r="B1548" s="6" t="s">
        <v>3129</v>
      </c>
      <c r="C1548" s="7">
        <v>27048</v>
      </c>
      <c r="D1548" s="8" t="s">
        <v>3130</v>
      </c>
    </row>
    <row r="1549" spans="1:4" ht="14.25">
      <c r="A1549" s="5">
        <v>19</v>
      </c>
      <c r="B1549" s="6" t="s">
        <v>3131</v>
      </c>
      <c r="C1549" s="7">
        <v>27048</v>
      </c>
      <c r="D1549" s="8" t="s">
        <v>3132</v>
      </c>
    </row>
    <row r="1550" spans="1:4" ht="14.25">
      <c r="A1550" s="5">
        <v>19</v>
      </c>
      <c r="B1550" s="6" t="s">
        <v>3133</v>
      </c>
      <c r="C1550" s="7">
        <v>27048</v>
      </c>
      <c r="D1550" s="8" t="s">
        <v>3134</v>
      </c>
    </row>
    <row r="1551" spans="1:4" ht="14.25">
      <c r="A1551" s="5">
        <v>19</v>
      </c>
      <c r="B1551" s="6" t="s">
        <v>3135</v>
      </c>
      <c r="C1551" s="7">
        <v>27048</v>
      </c>
      <c r="D1551" s="8" t="s">
        <v>3136</v>
      </c>
    </row>
    <row r="1552" spans="1:4" ht="14.25">
      <c r="A1552" s="5" t="s">
        <v>484</v>
      </c>
      <c r="B1552" s="6" t="s">
        <v>3137</v>
      </c>
      <c r="C1552" s="7">
        <v>27049</v>
      </c>
      <c r="D1552" s="8" t="s">
        <v>3138</v>
      </c>
    </row>
    <row r="1553" spans="1:4" ht="14.25">
      <c r="A1553" s="5" t="s">
        <v>42</v>
      </c>
      <c r="B1553" s="6" t="s">
        <v>3139</v>
      </c>
      <c r="C1553" s="7">
        <v>27049</v>
      </c>
      <c r="D1553" s="8" t="s">
        <v>3140</v>
      </c>
    </row>
    <row r="1554" spans="1:4" ht="14.25">
      <c r="A1554" s="5">
        <v>20</v>
      </c>
      <c r="B1554" s="6" t="s">
        <v>3141</v>
      </c>
      <c r="C1554" s="7">
        <v>27049</v>
      </c>
      <c r="D1554" s="8" t="s">
        <v>3142</v>
      </c>
    </row>
    <row r="1555" spans="1:4" ht="14.25">
      <c r="A1555" s="5">
        <v>20</v>
      </c>
      <c r="B1555" s="6" t="s">
        <v>3143</v>
      </c>
      <c r="C1555" s="7">
        <v>27049</v>
      </c>
      <c r="D1555" s="8" t="s">
        <v>3144</v>
      </c>
    </row>
    <row r="1556" spans="1:4" ht="14.25">
      <c r="A1556" s="5">
        <v>20</v>
      </c>
      <c r="B1556" s="6" t="s">
        <v>3145</v>
      </c>
      <c r="C1556" s="7">
        <v>27049</v>
      </c>
      <c r="D1556" s="8" t="s">
        <v>3146</v>
      </c>
    </row>
    <row r="1557" spans="1:4" ht="14.25">
      <c r="A1557" s="5" t="s">
        <v>484</v>
      </c>
      <c r="B1557" s="6" t="s">
        <v>3147</v>
      </c>
      <c r="C1557" s="7">
        <v>27050</v>
      </c>
      <c r="D1557" s="8" t="s">
        <v>3148</v>
      </c>
    </row>
    <row r="1558" spans="1:4" ht="14.25">
      <c r="A1558" s="5" t="s">
        <v>42</v>
      </c>
      <c r="B1558" s="6" t="s">
        <v>3149</v>
      </c>
      <c r="C1558" s="7">
        <v>27050</v>
      </c>
      <c r="D1558" s="8" t="s">
        <v>3150</v>
      </c>
    </row>
    <row r="1559" spans="1:4" ht="14.25">
      <c r="A1559" s="5">
        <v>21</v>
      </c>
      <c r="B1559" s="6" t="s">
        <v>3151</v>
      </c>
      <c r="C1559" s="7">
        <v>27050</v>
      </c>
      <c r="D1559" s="8" t="s">
        <v>3152</v>
      </c>
    </row>
    <row r="1560" spans="1:4" ht="14.25">
      <c r="A1560" s="5">
        <v>21</v>
      </c>
      <c r="B1560" s="6" t="s">
        <v>3153</v>
      </c>
      <c r="C1560" s="7">
        <v>27050</v>
      </c>
      <c r="D1560" s="8" t="s">
        <v>3154</v>
      </c>
    </row>
    <row r="1561" spans="1:4" ht="14.25">
      <c r="A1561" s="5">
        <v>21</v>
      </c>
      <c r="B1561" s="6" t="s">
        <v>3155</v>
      </c>
      <c r="C1561" s="7">
        <v>27050</v>
      </c>
      <c r="D1561" s="8" t="s">
        <v>3156</v>
      </c>
    </row>
    <row r="1562" spans="1:4" ht="14.25">
      <c r="A1562" s="5" t="s">
        <v>484</v>
      </c>
      <c r="B1562" s="6" t="s">
        <v>3157</v>
      </c>
      <c r="C1562" s="7">
        <v>27051</v>
      </c>
      <c r="D1562" s="8" t="s">
        <v>3158</v>
      </c>
    </row>
    <row r="1563" spans="1:4" ht="14.25">
      <c r="A1563" s="5">
        <v>22</v>
      </c>
      <c r="B1563" s="6" t="s">
        <v>3159</v>
      </c>
      <c r="C1563" s="7">
        <v>27051</v>
      </c>
      <c r="D1563" s="8" t="s">
        <v>3160</v>
      </c>
    </row>
    <row r="1564" spans="1:4" ht="14.25">
      <c r="A1564" s="5">
        <v>22</v>
      </c>
      <c r="B1564" s="6" t="s">
        <v>3161</v>
      </c>
      <c r="C1564" s="7">
        <v>27051</v>
      </c>
      <c r="D1564" s="8" t="s">
        <v>3162</v>
      </c>
    </row>
    <row r="1565" spans="1:4" ht="14.25">
      <c r="A1565" s="5" t="s">
        <v>484</v>
      </c>
      <c r="B1565" s="6" t="s">
        <v>3163</v>
      </c>
      <c r="C1565" s="7">
        <v>27052</v>
      </c>
      <c r="D1565" s="8" t="s">
        <v>3164</v>
      </c>
    </row>
    <row r="1566" spans="1:4" ht="14.25">
      <c r="A1566" s="5" t="s">
        <v>42</v>
      </c>
      <c r="B1566" s="6" t="s">
        <v>3165</v>
      </c>
      <c r="C1566" s="7">
        <v>27052</v>
      </c>
      <c r="D1566" s="8" t="s">
        <v>3166</v>
      </c>
    </row>
    <row r="1567" spans="1:4" ht="14.25">
      <c r="A1567" s="5">
        <v>23</v>
      </c>
      <c r="B1567" s="6" t="s">
        <v>3167</v>
      </c>
      <c r="C1567" s="7">
        <v>27052</v>
      </c>
      <c r="D1567" s="8" t="s">
        <v>3168</v>
      </c>
    </row>
    <row r="1568" spans="1:4" ht="14.25">
      <c r="A1568" s="5">
        <v>23</v>
      </c>
      <c r="B1568" s="6" t="s">
        <v>3169</v>
      </c>
      <c r="C1568" s="7">
        <v>27052</v>
      </c>
      <c r="D1568" s="8" t="s">
        <v>3170</v>
      </c>
    </row>
    <row r="1569" spans="1:4" ht="14.25">
      <c r="A1569" s="5">
        <v>23</v>
      </c>
      <c r="B1569" s="6" t="s">
        <v>3171</v>
      </c>
      <c r="C1569" s="7">
        <v>27052</v>
      </c>
      <c r="D1569" s="8" t="s">
        <v>3172</v>
      </c>
    </row>
    <row r="1570" spans="1:4" ht="14.25">
      <c r="A1570" s="5" t="s">
        <v>42</v>
      </c>
      <c r="B1570" s="6" t="s">
        <v>3173</v>
      </c>
      <c r="C1570" s="7">
        <v>27057</v>
      </c>
      <c r="D1570" s="8" t="s">
        <v>3174</v>
      </c>
    </row>
    <row r="1571" spans="1:4" ht="14.25">
      <c r="A1571" s="5" t="s">
        <v>167</v>
      </c>
      <c r="B1571" s="6" t="s">
        <v>3175</v>
      </c>
      <c r="C1571" s="7">
        <v>27057</v>
      </c>
      <c r="D1571" s="8" t="s">
        <v>3176</v>
      </c>
    </row>
    <row r="1572" spans="1:4" ht="14.25">
      <c r="A1572" s="5">
        <v>28</v>
      </c>
      <c r="B1572" s="6" t="s">
        <v>3177</v>
      </c>
      <c r="C1572" s="7">
        <v>27057</v>
      </c>
      <c r="D1572" s="8" t="s">
        <v>3178</v>
      </c>
    </row>
    <row r="1573" spans="1:4" ht="14.25">
      <c r="A1573" s="5">
        <v>28</v>
      </c>
      <c r="B1573" s="6" t="s">
        <v>3179</v>
      </c>
      <c r="C1573" s="7">
        <v>27057</v>
      </c>
      <c r="D1573" s="8" t="s">
        <v>3180</v>
      </c>
    </row>
    <row r="1574" spans="1:4" ht="14.25">
      <c r="A1574" s="5">
        <v>28</v>
      </c>
      <c r="B1574" s="6" t="s">
        <v>3181</v>
      </c>
      <c r="C1574" s="7">
        <v>27057</v>
      </c>
      <c r="D1574" s="8" t="s">
        <v>3182</v>
      </c>
    </row>
    <row r="1575" spans="1:4" ht="14.25">
      <c r="A1575" s="5" t="s">
        <v>863</v>
      </c>
      <c r="B1575" s="6" t="s">
        <v>3183</v>
      </c>
      <c r="C1575" s="7">
        <v>27058</v>
      </c>
      <c r="D1575" s="8" t="s">
        <v>3184</v>
      </c>
    </row>
    <row r="1576" spans="1:4" ht="14.25">
      <c r="A1576" s="5">
        <v>29</v>
      </c>
      <c r="B1576" s="6" t="s">
        <v>3185</v>
      </c>
      <c r="C1576" s="7">
        <v>27058</v>
      </c>
      <c r="D1576" s="8" t="s">
        <v>3186</v>
      </c>
    </row>
    <row r="1577" spans="1:4" ht="14.25">
      <c r="A1577" s="5" t="s">
        <v>484</v>
      </c>
      <c r="B1577" s="6" t="s">
        <v>3187</v>
      </c>
      <c r="C1577" s="7">
        <v>27059</v>
      </c>
      <c r="D1577" s="8" t="s">
        <v>3188</v>
      </c>
    </row>
    <row r="1578" spans="1:4" ht="14.25">
      <c r="A1578" s="5" t="s">
        <v>463</v>
      </c>
      <c r="B1578" s="6" t="s">
        <v>3189</v>
      </c>
      <c r="C1578" s="7">
        <v>27059</v>
      </c>
      <c r="D1578" s="8" t="s">
        <v>3190</v>
      </c>
    </row>
    <row r="1579" spans="1:4" ht="14.25">
      <c r="A1579" s="5" t="s">
        <v>42</v>
      </c>
      <c r="B1579" s="6" t="s">
        <v>3191</v>
      </c>
      <c r="C1579" s="7">
        <v>27059</v>
      </c>
      <c r="D1579" s="8" t="s">
        <v>3192</v>
      </c>
    </row>
    <row r="1580" spans="1:4" ht="14.25">
      <c r="A1580" s="5">
        <v>30</v>
      </c>
      <c r="B1580" s="6" t="s">
        <v>3193</v>
      </c>
      <c r="C1580" s="7">
        <v>27059</v>
      </c>
      <c r="D1580" s="8" t="s">
        <v>3194</v>
      </c>
    </row>
    <row r="1581" spans="1:4" ht="14.25">
      <c r="A1581" s="5">
        <v>30</v>
      </c>
      <c r="B1581" s="6" t="s">
        <v>3195</v>
      </c>
      <c r="C1581" s="7">
        <v>27059</v>
      </c>
      <c r="D1581" s="8" t="s">
        <v>3196</v>
      </c>
    </row>
    <row r="1582" spans="1:4" ht="14.25">
      <c r="A1582" s="5">
        <v>30</v>
      </c>
      <c r="B1582" s="6" t="s">
        <v>3197</v>
      </c>
      <c r="C1582" s="7">
        <v>27059</v>
      </c>
      <c r="D1582" s="8" t="s">
        <v>3198</v>
      </c>
    </row>
    <row r="1583" spans="1:4" ht="14.25">
      <c r="A1583" s="5">
        <v>30</v>
      </c>
      <c r="B1583" s="6" t="s">
        <v>3199</v>
      </c>
      <c r="C1583" s="7">
        <v>27059</v>
      </c>
      <c r="D1583" s="8" t="s">
        <v>3200</v>
      </c>
    </row>
    <row r="1584" spans="1:4" ht="14.25">
      <c r="A1584" s="5" t="s">
        <v>184</v>
      </c>
      <c r="B1584" s="6" t="s">
        <v>3201</v>
      </c>
      <c r="C1584" s="7">
        <v>27060</v>
      </c>
      <c r="D1584" s="8" t="s">
        <v>3202</v>
      </c>
    </row>
    <row r="1585" spans="1:4" ht="14.25">
      <c r="A1585" s="5">
        <v>31</v>
      </c>
      <c r="B1585" s="6" t="s">
        <v>3203</v>
      </c>
      <c r="C1585" s="7">
        <v>27060</v>
      </c>
      <c r="D1585" s="8" t="s">
        <v>3204</v>
      </c>
    </row>
    <row r="1586" spans="1:4" ht="14.25">
      <c r="A1586" s="5" t="s">
        <v>75</v>
      </c>
      <c r="B1586" s="6" t="s">
        <v>3205</v>
      </c>
      <c r="C1586" s="7">
        <v>27066</v>
      </c>
      <c r="D1586" s="8" t="s">
        <v>3206</v>
      </c>
    </row>
    <row r="1587" spans="1:4" ht="14.25">
      <c r="A1587" s="5" t="s">
        <v>463</v>
      </c>
      <c r="B1587" s="6" t="s">
        <v>3207</v>
      </c>
      <c r="C1587" s="7">
        <v>27066</v>
      </c>
      <c r="D1587" s="8" t="s">
        <v>3208</v>
      </c>
    </row>
    <row r="1588" spans="1:4" ht="14.25">
      <c r="A1588" s="5">
        <v>6</v>
      </c>
      <c r="B1588" s="6" t="s">
        <v>3209</v>
      </c>
      <c r="C1588" s="7">
        <v>27066</v>
      </c>
      <c r="D1588" s="8" t="s">
        <v>3210</v>
      </c>
    </row>
    <row r="1589" spans="1:4" ht="14.25">
      <c r="A1589" s="5">
        <v>6</v>
      </c>
      <c r="B1589" s="6" t="s">
        <v>3211</v>
      </c>
      <c r="C1589" s="7">
        <v>27066</v>
      </c>
      <c r="D1589" s="8" t="s">
        <v>3212</v>
      </c>
    </row>
    <row r="1590" spans="1:4" ht="14.25">
      <c r="A1590" s="5">
        <v>6</v>
      </c>
      <c r="B1590" s="6" t="s">
        <v>3213</v>
      </c>
      <c r="C1590" s="7">
        <v>27066</v>
      </c>
      <c r="D1590" s="8" t="s">
        <v>3214</v>
      </c>
    </row>
    <row r="1591" spans="1:4" ht="14.25">
      <c r="A1591" s="5" t="s">
        <v>96</v>
      </c>
      <c r="B1591" s="6" t="s">
        <v>3215</v>
      </c>
      <c r="C1591" s="7">
        <v>27067</v>
      </c>
      <c r="D1591" s="8" t="s">
        <v>3216</v>
      </c>
    </row>
    <row r="1592" spans="1:4" ht="14.25">
      <c r="A1592" s="5">
        <v>7</v>
      </c>
      <c r="B1592" s="6" t="s">
        <v>3217</v>
      </c>
      <c r="C1592" s="7">
        <v>27067</v>
      </c>
      <c r="D1592" s="8" t="s">
        <v>3218</v>
      </c>
    </row>
    <row r="1593" spans="1:4" ht="14.25">
      <c r="A1593" s="5">
        <v>7</v>
      </c>
      <c r="B1593" s="6" t="s">
        <v>3219</v>
      </c>
      <c r="C1593" s="7">
        <v>27067</v>
      </c>
      <c r="D1593" s="8" t="s">
        <v>3220</v>
      </c>
    </row>
    <row r="1594" spans="1:4" ht="14.25">
      <c r="A1594" s="5" t="s">
        <v>96</v>
      </c>
      <c r="B1594" s="6" t="s">
        <v>3221</v>
      </c>
      <c r="C1594" s="7">
        <v>27068</v>
      </c>
      <c r="D1594" s="8" t="s">
        <v>3222</v>
      </c>
    </row>
    <row r="1595" spans="1:4" ht="14.25">
      <c r="A1595" s="5" t="s">
        <v>463</v>
      </c>
      <c r="B1595" s="6" t="s">
        <v>3223</v>
      </c>
      <c r="C1595" s="7">
        <v>27068</v>
      </c>
      <c r="D1595" s="8" t="s">
        <v>3224</v>
      </c>
    </row>
    <row r="1596" spans="1:4" ht="14.25">
      <c r="A1596" s="5" t="s">
        <v>463</v>
      </c>
      <c r="B1596" s="6" t="s">
        <v>3225</v>
      </c>
      <c r="C1596" s="7">
        <v>27068</v>
      </c>
      <c r="D1596" s="8" t="s">
        <v>3226</v>
      </c>
    </row>
    <row r="1597" spans="1:4" ht="14.25">
      <c r="A1597" s="5">
        <v>8</v>
      </c>
      <c r="B1597" s="6" t="s">
        <v>3227</v>
      </c>
      <c r="C1597" s="7">
        <v>27068</v>
      </c>
      <c r="D1597" s="8" t="s">
        <v>3228</v>
      </c>
    </row>
    <row r="1598" spans="1:4" ht="14.25">
      <c r="A1598" s="5">
        <v>8</v>
      </c>
      <c r="B1598" s="6" t="s">
        <v>3229</v>
      </c>
      <c r="C1598" s="7">
        <v>27068</v>
      </c>
      <c r="D1598" s="8" t="s">
        <v>3230</v>
      </c>
    </row>
    <row r="1599" spans="1:4" ht="14.25">
      <c r="A1599" s="5">
        <v>8</v>
      </c>
      <c r="B1599" s="6" t="s">
        <v>3231</v>
      </c>
      <c r="C1599" s="7">
        <v>27068</v>
      </c>
      <c r="D1599" s="8" t="s">
        <v>3232</v>
      </c>
    </row>
    <row r="1600" spans="1:4" ht="14.25">
      <c r="A1600" s="5" t="s">
        <v>463</v>
      </c>
      <c r="B1600" s="6" t="s">
        <v>3233</v>
      </c>
      <c r="C1600" s="7">
        <v>27069</v>
      </c>
      <c r="D1600" s="8" t="s">
        <v>3234</v>
      </c>
    </row>
    <row r="1601" spans="1:4" ht="14.25">
      <c r="A1601" s="5">
        <v>9</v>
      </c>
      <c r="B1601" s="6" t="s">
        <v>3235</v>
      </c>
      <c r="C1601" s="7">
        <v>27069</v>
      </c>
      <c r="D1601" s="8" t="s">
        <v>3236</v>
      </c>
    </row>
    <row r="1602" spans="1:4" ht="14.25">
      <c r="A1602" s="5" t="s">
        <v>96</v>
      </c>
      <c r="B1602" s="6" t="s">
        <v>3237</v>
      </c>
      <c r="C1602" s="7">
        <v>27070</v>
      </c>
      <c r="D1602" s="8" t="s">
        <v>3238</v>
      </c>
    </row>
    <row r="1603" spans="1:4" ht="14.25">
      <c r="A1603" s="5">
        <v>10</v>
      </c>
      <c r="B1603" s="6" t="s">
        <v>3239</v>
      </c>
      <c r="C1603" s="7">
        <v>27070</v>
      </c>
      <c r="D1603" s="8" t="s">
        <v>3240</v>
      </c>
    </row>
    <row r="1604" spans="1:4" ht="14.25">
      <c r="A1604" s="5" t="s">
        <v>197</v>
      </c>
      <c r="B1604" s="6" t="s">
        <v>3241</v>
      </c>
      <c r="C1604" s="7">
        <v>27071</v>
      </c>
      <c r="D1604" s="8" t="s">
        <v>3242</v>
      </c>
    </row>
    <row r="1605" spans="1:4" ht="14.25">
      <c r="A1605" s="5" t="s">
        <v>484</v>
      </c>
      <c r="B1605" s="6" t="s">
        <v>3243</v>
      </c>
      <c r="C1605" s="7">
        <v>27071</v>
      </c>
      <c r="D1605" s="8" t="s">
        <v>3244</v>
      </c>
    </row>
    <row r="1606" spans="1:4" ht="14.25">
      <c r="A1606" s="5">
        <v>11</v>
      </c>
      <c r="B1606" s="6" t="s">
        <v>3245</v>
      </c>
      <c r="C1606" s="7">
        <v>27071</v>
      </c>
      <c r="D1606" s="8" t="s">
        <v>3246</v>
      </c>
    </row>
    <row r="1607" spans="1:4" ht="14.25">
      <c r="A1607" s="5">
        <v>11</v>
      </c>
      <c r="B1607" s="6" t="s">
        <v>3247</v>
      </c>
      <c r="C1607" s="7">
        <v>27071</v>
      </c>
      <c r="D1607" s="8" t="s">
        <v>3248</v>
      </c>
    </row>
    <row r="1608" spans="1:4" ht="14.25">
      <c r="A1608" s="5" t="s">
        <v>96</v>
      </c>
      <c r="B1608" s="6" t="s">
        <v>3249</v>
      </c>
      <c r="C1608" s="7">
        <v>27072</v>
      </c>
      <c r="D1608" s="8" t="s">
        <v>3250</v>
      </c>
    </row>
    <row r="1609" spans="1:4" ht="14.25">
      <c r="A1609" s="5" t="s">
        <v>167</v>
      </c>
      <c r="B1609" s="6" t="s">
        <v>3251</v>
      </c>
      <c r="C1609" s="7">
        <v>27072</v>
      </c>
      <c r="D1609" s="8" t="s">
        <v>3252</v>
      </c>
    </row>
    <row r="1610" spans="1:4" ht="14.25">
      <c r="A1610" s="5">
        <v>12</v>
      </c>
      <c r="B1610" s="6" t="s">
        <v>3253</v>
      </c>
      <c r="C1610" s="7">
        <v>27072</v>
      </c>
      <c r="D1610" s="8" t="s">
        <v>3254</v>
      </c>
    </row>
    <row r="1611" spans="1:4" ht="14.25">
      <c r="A1611" s="5">
        <v>12</v>
      </c>
      <c r="B1611" s="6" t="s">
        <v>3255</v>
      </c>
      <c r="C1611" s="7">
        <v>27072</v>
      </c>
      <c r="D1611" s="8" t="s">
        <v>3256</v>
      </c>
    </row>
    <row r="1612" spans="1:4" ht="14.25">
      <c r="A1612" s="5" t="s">
        <v>96</v>
      </c>
      <c r="B1612" s="6" t="s">
        <v>3257</v>
      </c>
      <c r="C1612" s="7">
        <v>27073</v>
      </c>
      <c r="D1612" s="8" t="s">
        <v>3258</v>
      </c>
    </row>
    <row r="1613" spans="1:4" ht="14.25">
      <c r="A1613" s="5" t="s">
        <v>463</v>
      </c>
      <c r="B1613" s="6" t="s">
        <v>3259</v>
      </c>
      <c r="C1613" s="7">
        <v>27073</v>
      </c>
      <c r="D1613" s="8" t="s">
        <v>3260</v>
      </c>
    </row>
    <row r="1614" spans="1:4" ht="14.25">
      <c r="A1614" s="5" t="s">
        <v>463</v>
      </c>
      <c r="B1614" s="6" t="s">
        <v>3261</v>
      </c>
      <c r="C1614" s="7">
        <v>27073</v>
      </c>
      <c r="D1614" s="8" t="s">
        <v>3262</v>
      </c>
    </row>
    <row r="1615" spans="1:4" ht="14.25">
      <c r="A1615" s="5">
        <v>13</v>
      </c>
      <c r="B1615" s="6" t="s">
        <v>3263</v>
      </c>
      <c r="C1615" s="7">
        <v>27073</v>
      </c>
      <c r="D1615" s="8" t="s">
        <v>3264</v>
      </c>
    </row>
    <row r="1616" spans="1:4" ht="14.25">
      <c r="A1616" s="5">
        <v>13</v>
      </c>
      <c r="B1616" s="6" t="s">
        <v>3265</v>
      </c>
      <c r="C1616" s="7">
        <v>27073</v>
      </c>
      <c r="D1616" s="8" t="s">
        <v>3266</v>
      </c>
    </row>
    <row r="1617" spans="1:4" ht="14.25">
      <c r="A1617" s="5">
        <v>13</v>
      </c>
      <c r="B1617" s="6" t="s">
        <v>3267</v>
      </c>
      <c r="C1617" s="7">
        <v>27073</v>
      </c>
      <c r="D1617" s="8" t="s">
        <v>3268</v>
      </c>
    </row>
    <row r="1618" spans="1:4" ht="14.25">
      <c r="A1618" s="5">
        <v>13</v>
      </c>
      <c r="B1618" s="6" t="s">
        <v>3269</v>
      </c>
      <c r="C1618" s="7">
        <v>27073</v>
      </c>
      <c r="D1618" s="8" t="s">
        <v>3270</v>
      </c>
    </row>
    <row r="1619" spans="1:4" ht="14.25">
      <c r="A1619" s="5">
        <v>14</v>
      </c>
      <c r="B1619" s="6" t="s">
        <v>3271</v>
      </c>
      <c r="C1619" s="7">
        <v>27074</v>
      </c>
      <c r="D1619" s="8" t="s">
        <v>3272</v>
      </c>
    </row>
    <row r="1620" spans="1:4" ht="14.25">
      <c r="A1620" s="5" t="s">
        <v>484</v>
      </c>
      <c r="B1620" s="6" t="s">
        <v>3273</v>
      </c>
      <c r="C1620" s="7">
        <v>27077</v>
      </c>
      <c r="D1620" s="8" t="s">
        <v>3274</v>
      </c>
    </row>
    <row r="1621" spans="1:4" ht="14.25">
      <c r="A1621" s="5">
        <v>17</v>
      </c>
      <c r="B1621" s="6" t="s">
        <v>3275</v>
      </c>
      <c r="C1621" s="7">
        <v>27077</v>
      </c>
      <c r="D1621" s="8" t="s">
        <v>3276</v>
      </c>
    </row>
    <row r="1622" spans="1:4" ht="14.25">
      <c r="A1622" s="5">
        <v>17</v>
      </c>
      <c r="B1622" s="6" t="s">
        <v>3277</v>
      </c>
      <c r="C1622" s="7">
        <v>27077</v>
      </c>
      <c r="D1622" s="8" t="s">
        <v>3278</v>
      </c>
    </row>
    <row r="1623" spans="1:4" ht="14.25">
      <c r="A1623" s="5" t="s">
        <v>184</v>
      </c>
      <c r="B1623" s="6" t="s">
        <v>3279</v>
      </c>
      <c r="C1623" s="7">
        <v>27078</v>
      </c>
      <c r="D1623" s="8" t="s">
        <v>3280</v>
      </c>
    </row>
    <row r="1624" spans="1:4" ht="14.25">
      <c r="A1624" s="5">
        <v>18</v>
      </c>
      <c r="B1624" s="6" t="s">
        <v>3281</v>
      </c>
      <c r="C1624" s="7">
        <v>27078</v>
      </c>
      <c r="D1624" s="8" t="s">
        <v>3282</v>
      </c>
    </row>
    <row r="1625" spans="1:4" ht="14.25">
      <c r="A1625" s="5">
        <v>18</v>
      </c>
      <c r="B1625" s="6" t="s">
        <v>3283</v>
      </c>
      <c r="C1625" s="7">
        <v>27078</v>
      </c>
      <c r="D1625" s="8" t="s">
        <v>3284</v>
      </c>
    </row>
    <row r="1626" spans="1:4" ht="14.25">
      <c r="A1626" s="5" t="s">
        <v>184</v>
      </c>
      <c r="B1626" s="6" t="s">
        <v>3285</v>
      </c>
      <c r="C1626" s="7">
        <v>27079</v>
      </c>
      <c r="D1626" s="8" t="s">
        <v>3286</v>
      </c>
    </row>
    <row r="1627" spans="1:4" ht="14.25">
      <c r="A1627" s="5" t="s">
        <v>484</v>
      </c>
      <c r="B1627" s="6" t="s">
        <v>3287</v>
      </c>
      <c r="C1627" s="7">
        <v>27079</v>
      </c>
      <c r="D1627" s="8" t="s">
        <v>3288</v>
      </c>
    </row>
    <row r="1628" spans="1:4" ht="14.25">
      <c r="A1628" s="5">
        <v>19</v>
      </c>
      <c r="B1628" s="6" t="s">
        <v>3289</v>
      </c>
      <c r="C1628" s="7">
        <v>27079</v>
      </c>
      <c r="D1628" s="8" t="s">
        <v>3290</v>
      </c>
    </row>
    <row r="1629" spans="1:4" ht="14.25">
      <c r="A1629" s="5">
        <v>19</v>
      </c>
      <c r="B1629" s="6" t="s">
        <v>3291</v>
      </c>
      <c r="C1629" s="7">
        <v>27079</v>
      </c>
      <c r="D1629" s="8" t="s">
        <v>3292</v>
      </c>
    </row>
    <row r="1630" spans="1:4" ht="14.25">
      <c r="A1630" s="5">
        <v>19</v>
      </c>
      <c r="B1630" s="6" t="s">
        <v>3293</v>
      </c>
      <c r="C1630" s="7">
        <v>27079</v>
      </c>
      <c r="D1630" s="8" t="s">
        <v>3294</v>
      </c>
    </row>
    <row r="1631" spans="1:4" ht="14.25">
      <c r="A1631" s="5" t="s">
        <v>184</v>
      </c>
      <c r="B1631" s="6" t="s">
        <v>3295</v>
      </c>
      <c r="C1631" s="7">
        <v>27080</v>
      </c>
      <c r="D1631" s="8" t="s">
        <v>3296</v>
      </c>
    </row>
    <row r="1632" spans="1:4" ht="14.25">
      <c r="A1632" s="5" t="s">
        <v>484</v>
      </c>
      <c r="B1632" s="6" t="s">
        <v>3297</v>
      </c>
      <c r="C1632" s="7">
        <v>27080</v>
      </c>
      <c r="D1632" s="8" t="s">
        <v>3298</v>
      </c>
    </row>
    <row r="1633" spans="1:4" ht="14.25">
      <c r="A1633" s="5">
        <v>20</v>
      </c>
      <c r="B1633" s="6" t="s">
        <v>3299</v>
      </c>
      <c r="C1633" s="7">
        <v>27080</v>
      </c>
      <c r="D1633" s="8" t="s">
        <v>3300</v>
      </c>
    </row>
    <row r="1634" spans="1:4" ht="14.25">
      <c r="A1634" s="5">
        <v>20</v>
      </c>
      <c r="B1634" s="6" t="s">
        <v>3301</v>
      </c>
      <c r="C1634" s="7">
        <v>27080</v>
      </c>
      <c r="D1634" s="8" t="s">
        <v>3302</v>
      </c>
    </row>
    <row r="1635" spans="1:4" ht="14.25">
      <c r="A1635" s="5" t="s">
        <v>463</v>
      </c>
      <c r="B1635" s="6" t="s">
        <v>3303</v>
      </c>
      <c r="C1635" s="7">
        <v>27081</v>
      </c>
      <c r="D1635" s="8" t="s">
        <v>3304</v>
      </c>
    </row>
    <row r="1636" spans="1:4" ht="14.25">
      <c r="A1636" s="5" t="s">
        <v>184</v>
      </c>
      <c r="B1636" s="6" t="s">
        <v>3305</v>
      </c>
      <c r="C1636" s="7">
        <v>27082</v>
      </c>
      <c r="D1636" s="8" t="s">
        <v>3306</v>
      </c>
    </row>
    <row r="1637" spans="1:4" ht="14.25">
      <c r="A1637" s="5" t="s">
        <v>484</v>
      </c>
      <c r="B1637" s="6" t="s">
        <v>3307</v>
      </c>
      <c r="C1637" s="7">
        <v>27082</v>
      </c>
      <c r="D1637" s="8" t="s">
        <v>3308</v>
      </c>
    </row>
    <row r="1638" spans="1:4" ht="14.25">
      <c r="A1638" s="5">
        <v>22</v>
      </c>
      <c r="B1638" s="6" t="s">
        <v>3309</v>
      </c>
      <c r="C1638" s="7">
        <v>27082</v>
      </c>
      <c r="D1638" s="8" t="s">
        <v>3310</v>
      </c>
    </row>
    <row r="1639" spans="1:4" ht="14.25">
      <c r="A1639" s="5">
        <v>22</v>
      </c>
      <c r="B1639" s="6" t="s">
        <v>3311</v>
      </c>
      <c r="C1639" s="7">
        <v>27082</v>
      </c>
      <c r="D1639" s="8" t="s">
        <v>3312</v>
      </c>
    </row>
    <row r="1640" spans="1:4" ht="14.25">
      <c r="A1640" s="5">
        <v>22</v>
      </c>
      <c r="B1640" s="6" t="s">
        <v>3313</v>
      </c>
      <c r="C1640" s="7">
        <v>27082</v>
      </c>
      <c r="D1640" s="8" t="s">
        <v>3314</v>
      </c>
    </row>
    <row r="1641" spans="1:4" ht="14.25">
      <c r="A1641" s="5" t="s">
        <v>184</v>
      </c>
      <c r="B1641" s="6" t="s">
        <v>3315</v>
      </c>
      <c r="C1641" s="7">
        <v>27083</v>
      </c>
      <c r="D1641" s="8" t="s">
        <v>3316</v>
      </c>
    </row>
    <row r="1642" spans="1:4" ht="14.25">
      <c r="A1642" s="5" t="s">
        <v>484</v>
      </c>
      <c r="B1642" s="6" t="s">
        <v>3317</v>
      </c>
      <c r="C1642" s="7">
        <v>27083</v>
      </c>
      <c r="D1642" s="8" t="s">
        <v>3318</v>
      </c>
    </row>
    <row r="1643" spans="1:4" ht="14.25">
      <c r="A1643" s="5">
        <v>23</v>
      </c>
      <c r="B1643" s="6" t="s">
        <v>3319</v>
      </c>
      <c r="C1643" s="7">
        <v>27083</v>
      </c>
      <c r="D1643" s="8" t="s">
        <v>3320</v>
      </c>
    </row>
    <row r="1644" spans="1:4" ht="14.25">
      <c r="A1644" s="5">
        <v>23</v>
      </c>
      <c r="B1644" s="6" t="s">
        <v>3321</v>
      </c>
      <c r="C1644" s="7">
        <v>27083</v>
      </c>
      <c r="D1644" s="8" t="s">
        <v>3322</v>
      </c>
    </row>
    <row r="1645" spans="1:4" ht="14.25">
      <c r="A1645" s="5">
        <v>23</v>
      </c>
      <c r="B1645" s="6" t="s">
        <v>3323</v>
      </c>
      <c r="C1645" s="7">
        <v>27083</v>
      </c>
      <c r="D1645" s="8" t="s">
        <v>3324</v>
      </c>
    </row>
    <row r="1646" spans="1:4" ht="14.25">
      <c r="A1646" s="5">
        <v>23</v>
      </c>
      <c r="B1646" s="6" t="s">
        <v>3325</v>
      </c>
      <c r="C1646" s="7">
        <v>27083</v>
      </c>
      <c r="D1646" s="8" t="s">
        <v>3326</v>
      </c>
    </row>
    <row r="1647" spans="1:4" ht="14.25">
      <c r="A1647" s="5" t="s">
        <v>184</v>
      </c>
      <c r="B1647" s="6" t="s">
        <v>3327</v>
      </c>
      <c r="C1647" s="7">
        <v>27084</v>
      </c>
      <c r="D1647" s="8" t="s">
        <v>3328</v>
      </c>
    </row>
    <row r="1648" spans="1:4" ht="14.25">
      <c r="A1648" s="5">
        <v>24</v>
      </c>
      <c r="B1648" s="6" t="s">
        <v>3329</v>
      </c>
      <c r="C1648" s="7">
        <v>27084</v>
      </c>
      <c r="D1648" s="8" t="s">
        <v>3330</v>
      </c>
    </row>
    <row r="1649" spans="1:4" ht="14.25">
      <c r="A1649" s="5">
        <v>24</v>
      </c>
      <c r="B1649" s="6" t="s">
        <v>3331</v>
      </c>
      <c r="C1649" s="7">
        <v>27084</v>
      </c>
      <c r="D1649" s="8" t="s">
        <v>3332</v>
      </c>
    </row>
    <row r="1650" spans="1:4" ht="14.25">
      <c r="A1650" s="5" t="s">
        <v>184</v>
      </c>
      <c r="B1650" s="6" t="s">
        <v>3333</v>
      </c>
      <c r="C1650" s="7">
        <v>27085</v>
      </c>
      <c r="D1650" s="8" t="s">
        <v>3334</v>
      </c>
    </row>
    <row r="1651" spans="1:4" ht="14.25">
      <c r="A1651" s="5" t="s">
        <v>184</v>
      </c>
      <c r="B1651" s="6" t="s">
        <v>3335</v>
      </c>
      <c r="C1651" s="7">
        <v>27085</v>
      </c>
      <c r="D1651" s="8" t="s">
        <v>3336</v>
      </c>
    </row>
    <row r="1652" spans="1:4" ht="14.25">
      <c r="A1652" s="5" t="s">
        <v>484</v>
      </c>
      <c r="B1652" s="6" t="s">
        <v>3337</v>
      </c>
      <c r="C1652" s="7">
        <v>27085</v>
      </c>
      <c r="D1652" s="8" t="s">
        <v>3338</v>
      </c>
    </row>
    <row r="1653" spans="1:4" ht="14.25">
      <c r="A1653" s="5">
        <v>25</v>
      </c>
      <c r="B1653" s="6" t="s">
        <v>3339</v>
      </c>
      <c r="C1653" s="7">
        <v>27085</v>
      </c>
      <c r="D1653" s="8" t="s">
        <v>3340</v>
      </c>
    </row>
    <row r="1654" spans="1:4" ht="14.25">
      <c r="A1654" s="5">
        <v>25</v>
      </c>
      <c r="B1654" s="6" t="s">
        <v>3341</v>
      </c>
      <c r="C1654" s="7">
        <v>27085</v>
      </c>
      <c r="D1654" s="8" t="s">
        <v>3342</v>
      </c>
    </row>
    <row r="1655" spans="1:4" ht="14.25">
      <c r="A1655" s="5">
        <v>25</v>
      </c>
      <c r="B1655" s="6" t="s">
        <v>3343</v>
      </c>
      <c r="C1655" s="7">
        <v>27085</v>
      </c>
      <c r="D1655" s="8" t="s">
        <v>3344</v>
      </c>
    </row>
    <row r="1656" spans="1:4" ht="14.25">
      <c r="A1656" s="5" t="s">
        <v>2708</v>
      </c>
      <c r="B1656" s="6" t="s">
        <v>3345</v>
      </c>
      <c r="C1656" s="7">
        <v>27086</v>
      </c>
      <c r="D1656" s="8" t="s">
        <v>3346</v>
      </c>
    </row>
    <row r="1657" spans="1:4" ht="14.25">
      <c r="A1657" s="5">
        <v>26</v>
      </c>
      <c r="B1657" s="6" t="s">
        <v>3347</v>
      </c>
      <c r="C1657" s="7">
        <v>27086</v>
      </c>
      <c r="D1657" s="8" t="s">
        <v>3348</v>
      </c>
    </row>
    <row r="1658" spans="1:4" ht="14.25">
      <c r="A1658" s="5">
        <v>26</v>
      </c>
      <c r="B1658" s="6" t="s">
        <v>3349</v>
      </c>
      <c r="C1658" s="7">
        <v>27086</v>
      </c>
      <c r="D1658" s="8" t="s">
        <v>3350</v>
      </c>
    </row>
    <row r="1659" spans="1:4" ht="14.25">
      <c r="A1659" s="5" t="s">
        <v>42</v>
      </c>
      <c r="B1659" s="6" t="s">
        <v>3351</v>
      </c>
      <c r="C1659" s="7">
        <v>27087</v>
      </c>
      <c r="D1659" s="8" t="s">
        <v>3352</v>
      </c>
    </row>
    <row r="1660" spans="1:4" ht="14.25">
      <c r="A1660" s="5">
        <v>27</v>
      </c>
      <c r="B1660" s="6" t="s">
        <v>3353</v>
      </c>
      <c r="C1660" s="7">
        <v>27087</v>
      </c>
      <c r="D1660" s="8" t="s">
        <v>3354</v>
      </c>
    </row>
    <row r="1661" spans="1:4" ht="14.25">
      <c r="A1661" s="5">
        <v>27</v>
      </c>
      <c r="B1661" s="6" t="s">
        <v>3355</v>
      </c>
      <c r="C1661" s="7">
        <v>27087</v>
      </c>
      <c r="D1661" s="8" t="s">
        <v>3356</v>
      </c>
    </row>
    <row r="1662" spans="1:4" ht="14.25">
      <c r="A1662" s="5" t="s">
        <v>3357</v>
      </c>
      <c r="B1662" s="6" t="s">
        <v>3358</v>
      </c>
      <c r="C1662" s="7">
        <v>27089</v>
      </c>
      <c r="D1662" s="8" t="s">
        <v>3359</v>
      </c>
    </row>
    <row r="1663" spans="1:4" ht="14.25">
      <c r="A1663" s="5" t="s">
        <v>3357</v>
      </c>
      <c r="B1663" s="6" t="s">
        <v>3360</v>
      </c>
      <c r="C1663" s="7">
        <v>27089</v>
      </c>
      <c r="D1663" s="8" t="s">
        <v>3361</v>
      </c>
    </row>
    <row r="1664" spans="1:4" ht="14.25">
      <c r="A1664" s="5">
        <v>1</v>
      </c>
      <c r="B1664" s="6" t="s">
        <v>3362</v>
      </c>
      <c r="C1664" s="7">
        <v>27089</v>
      </c>
      <c r="D1664" s="8" t="s">
        <v>3363</v>
      </c>
    </row>
    <row r="1665" spans="1:4" ht="14.25">
      <c r="A1665" s="5">
        <v>1</v>
      </c>
      <c r="B1665" s="6" t="s">
        <v>3364</v>
      </c>
      <c r="C1665" s="7">
        <v>27089</v>
      </c>
      <c r="D1665" s="8" t="s">
        <v>3365</v>
      </c>
    </row>
    <row r="1666" spans="1:4" ht="14.25">
      <c r="A1666" s="5" t="s">
        <v>3357</v>
      </c>
      <c r="B1666" s="6" t="s">
        <v>3366</v>
      </c>
      <c r="C1666" s="7">
        <v>27090</v>
      </c>
      <c r="D1666" s="8" t="s">
        <v>3367</v>
      </c>
    </row>
    <row r="1667" spans="1:4" ht="14.25">
      <c r="A1667" s="5" t="s">
        <v>484</v>
      </c>
      <c r="B1667" s="6" t="s">
        <v>3368</v>
      </c>
      <c r="C1667" s="7">
        <v>27090</v>
      </c>
      <c r="D1667" s="8" t="s">
        <v>3369</v>
      </c>
    </row>
    <row r="1668" spans="1:4" ht="14.25">
      <c r="A1668" s="5">
        <v>2</v>
      </c>
      <c r="B1668" s="6" t="s">
        <v>3370</v>
      </c>
      <c r="C1668" s="7">
        <v>27090</v>
      </c>
      <c r="D1668" s="8" t="s">
        <v>3371</v>
      </c>
    </row>
    <row r="1669" spans="1:4" ht="14.25">
      <c r="A1669" s="5">
        <v>2</v>
      </c>
      <c r="B1669" s="6" t="s">
        <v>3372</v>
      </c>
      <c r="C1669" s="7">
        <v>27090</v>
      </c>
      <c r="D1669" s="8" t="s">
        <v>3373</v>
      </c>
    </row>
    <row r="1670" spans="1:4" ht="14.25">
      <c r="A1670" s="5" t="s">
        <v>3357</v>
      </c>
      <c r="B1670" s="6" t="s">
        <v>3374</v>
      </c>
      <c r="C1670" s="7">
        <v>27091</v>
      </c>
      <c r="D1670" s="8" t="s">
        <v>3375</v>
      </c>
    </row>
    <row r="1671" spans="1:4" ht="14.25">
      <c r="A1671" s="5" t="s">
        <v>484</v>
      </c>
      <c r="B1671" s="6" t="s">
        <v>3376</v>
      </c>
      <c r="C1671" s="7">
        <v>27091</v>
      </c>
      <c r="D1671" s="8" t="s">
        <v>3377</v>
      </c>
    </row>
    <row r="1672" spans="1:4" ht="14.25">
      <c r="A1672" s="5">
        <v>3</v>
      </c>
      <c r="B1672" s="6" t="s">
        <v>3378</v>
      </c>
      <c r="C1672" s="7">
        <v>27091</v>
      </c>
      <c r="D1672" s="8" t="s">
        <v>3379</v>
      </c>
    </row>
    <row r="1673" spans="1:4" ht="14.25">
      <c r="A1673" s="5">
        <v>3</v>
      </c>
      <c r="B1673" s="6" t="s">
        <v>3380</v>
      </c>
      <c r="C1673" s="7">
        <v>27091</v>
      </c>
      <c r="D1673" s="8" t="s">
        <v>3381</v>
      </c>
    </row>
    <row r="1674" spans="1:4" ht="14.25">
      <c r="A1674" s="5">
        <v>3</v>
      </c>
      <c r="B1674" s="6" t="s">
        <v>3382</v>
      </c>
      <c r="C1674" s="7">
        <v>27091</v>
      </c>
      <c r="D1674" s="8" t="s">
        <v>3383</v>
      </c>
    </row>
    <row r="1675" spans="1:4" ht="14.25">
      <c r="A1675" s="5" t="s">
        <v>3357</v>
      </c>
      <c r="B1675" s="6" t="s">
        <v>3384</v>
      </c>
      <c r="C1675" s="7">
        <v>27092</v>
      </c>
      <c r="D1675" s="8" t="s">
        <v>3385</v>
      </c>
    </row>
    <row r="1676" spans="1:4" ht="14.25">
      <c r="A1676" s="5" t="s">
        <v>484</v>
      </c>
      <c r="B1676" s="6" t="s">
        <v>3386</v>
      </c>
      <c r="C1676" s="7">
        <v>27092</v>
      </c>
      <c r="D1676" s="8" t="s">
        <v>3387</v>
      </c>
    </row>
    <row r="1677" spans="1:4" ht="14.25">
      <c r="A1677" s="5">
        <v>4</v>
      </c>
      <c r="B1677" s="6" t="s">
        <v>3388</v>
      </c>
      <c r="C1677" s="7">
        <v>27092</v>
      </c>
      <c r="D1677" s="8" t="s">
        <v>3389</v>
      </c>
    </row>
    <row r="1678" spans="1:4" ht="14.25">
      <c r="A1678" s="5">
        <v>4</v>
      </c>
      <c r="B1678" s="6" t="s">
        <v>3390</v>
      </c>
      <c r="C1678" s="7">
        <v>27092</v>
      </c>
      <c r="D1678" s="8" t="s">
        <v>3391</v>
      </c>
    </row>
    <row r="1679" spans="1:4" ht="14.25">
      <c r="A1679" s="5">
        <v>4</v>
      </c>
      <c r="B1679" s="6" t="s">
        <v>3392</v>
      </c>
      <c r="C1679" s="7">
        <v>27092</v>
      </c>
      <c r="D1679" s="8" t="s">
        <v>3393</v>
      </c>
    </row>
    <row r="1680" spans="1:4" ht="14.25">
      <c r="A1680" s="5" t="s">
        <v>484</v>
      </c>
      <c r="B1680" s="6" t="s">
        <v>3394</v>
      </c>
      <c r="C1680" s="7">
        <v>27093</v>
      </c>
      <c r="D1680" s="8" t="s">
        <v>3395</v>
      </c>
    </row>
    <row r="1681" spans="1:4" ht="14.25">
      <c r="A1681" s="5">
        <v>5</v>
      </c>
      <c r="B1681" s="6" t="s">
        <v>3396</v>
      </c>
      <c r="C1681" s="7">
        <v>27093</v>
      </c>
      <c r="D1681" s="8" t="s">
        <v>3397</v>
      </c>
    </row>
    <row r="1682" spans="1:4" ht="14.25">
      <c r="A1682" s="5" t="s">
        <v>484</v>
      </c>
      <c r="B1682" s="6" t="s">
        <v>3398</v>
      </c>
      <c r="C1682" s="7">
        <v>27094</v>
      </c>
      <c r="D1682" s="8" t="s">
        <v>3399</v>
      </c>
    </row>
    <row r="1683" spans="1:4" ht="14.25">
      <c r="A1683" s="5">
        <v>6</v>
      </c>
      <c r="B1683" s="6" t="s">
        <v>3400</v>
      </c>
      <c r="C1683" s="7">
        <v>27094</v>
      </c>
      <c r="D1683" s="8" t="s">
        <v>3401</v>
      </c>
    </row>
    <row r="1684" spans="1:4" ht="14.25">
      <c r="A1684" s="5">
        <v>6</v>
      </c>
      <c r="B1684" s="6" t="s">
        <v>3402</v>
      </c>
      <c r="C1684" s="7">
        <v>27094</v>
      </c>
      <c r="D1684" s="8" t="s">
        <v>3403</v>
      </c>
    </row>
    <row r="1685" spans="1:4" ht="14.25">
      <c r="A1685" s="5" t="s">
        <v>3357</v>
      </c>
      <c r="B1685" s="6" t="s">
        <v>3404</v>
      </c>
      <c r="C1685" s="7">
        <v>27095</v>
      </c>
      <c r="D1685" s="8" t="s">
        <v>3405</v>
      </c>
    </row>
    <row r="1686" spans="1:4" ht="14.25">
      <c r="A1686" s="5" t="s">
        <v>484</v>
      </c>
      <c r="B1686" s="6" t="s">
        <v>3406</v>
      </c>
      <c r="C1686" s="7">
        <v>27095</v>
      </c>
      <c r="D1686" s="8" t="s">
        <v>3407</v>
      </c>
    </row>
    <row r="1687" spans="1:4" ht="14.25">
      <c r="A1687" s="5">
        <v>7</v>
      </c>
      <c r="B1687" s="6" t="s">
        <v>3408</v>
      </c>
      <c r="C1687" s="7">
        <v>27095</v>
      </c>
      <c r="D1687" s="8" t="s">
        <v>3409</v>
      </c>
    </row>
    <row r="1688" spans="1:4" ht="14.25">
      <c r="A1688" s="5">
        <v>7</v>
      </c>
      <c r="B1688" s="6" t="s">
        <v>3410</v>
      </c>
      <c r="C1688" s="7">
        <v>27095</v>
      </c>
      <c r="D1688" s="8" t="s">
        <v>3411</v>
      </c>
    </row>
    <row r="1689" spans="1:4" ht="14.25">
      <c r="A1689" s="5">
        <v>7</v>
      </c>
      <c r="B1689" s="6" t="s">
        <v>3412</v>
      </c>
      <c r="C1689" s="7">
        <v>27095</v>
      </c>
      <c r="D1689" s="8" t="s">
        <v>3413</v>
      </c>
    </row>
    <row r="1690" spans="1:4" ht="14.25">
      <c r="A1690" s="5" t="s">
        <v>3357</v>
      </c>
      <c r="B1690" s="6" t="s">
        <v>3414</v>
      </c>
      <c r="C1690" s="7">
        <v>27097</v>
      </c>
      <c r="D1690" s="8" t="s">
        <v>3415</v>
      </c>
    </row>
    <row r="1691" spans="1:4" ht="14.25">
      <c r="A1691" s="5" t="s">
        <v>484</v>
      </c>
      <c r="B1691" s="6" t="s">
        <v>3416</v>
      </c>
      <c r="C1691" s="7">
        <v>27097</v>
      </c>
      <c r="D1691" s="8" t="s">
        <v>3417</v>
      </c>
    </row>
    <row r="1692" spans="1:4" ht="14.25">
      <c r="A1692" s="5">
        <v>9</v>
      </c>
      <c r="B1692" s="6" t="s">
        <v>3418</v>
      </c>
      <c r="C1692" s="7">
        <v>27097</v>
      </c>
      <c r="D1692" s="8" t="s">
        <v>3419</v>
      </c>
    </row>
    <row r="1693" spans="1:4" ht="14.25">
      <c r="A1693" s="5">
        <v>9</v>
      </c>
      <c r="B1693" s="6" t="s">
        <v>3420</v>
      </c>
      <c r="C1693" s="7">
        <v>27097</v>
      </c>
      <c r="D1693" s="8" t="s">
        <v>3421</v>
      </c>
    </row>
    <row r="1694" spans="1:4" ht="14.25">
      <c r="A1694" s="5">
        <v>9</v>
      </c>
      <c r="B1694" s="6" t="s">
        <v>3422</v>
      </c>
      <c r="C1694" s="7">
        <v>27097</v>
      </c>
      <c r="D1694" s="8" t="s">
        <v>3423</v>
      </c>
    </row>
    <row r="1695" spans="1:4" ht="14.25">
      <c r="A1695" s="5">
        <v>9</v>
      </c>
      <c r="B1695" s="6" t="s">
        <v>3424</v>
      </c>
      <c r="C1695" s="7">
        <v>27097</v>
      </c>
      <c r="D1695" s="8" t="s">
        <v>3425</v>
      </c>
    </row>
    <row r="1696" spans="1:4" ht="14.25">
      <c r="A1696" s="5">
        <v>10</v>
      </c>
      <c r="B1696" s="6" t="s">
        <v>3426</v>
      </c>
      <c r="C1696" s="7">
        <v>27098</v>
      </c>
      <c r="D1696" s="8" t="s">
        <v>3427</v>
      </c>
    </row>
    <row r="1697" spans="1:4" ht="14.25">
      <c r="A1697" s="5" t="s">
        <v>484</v>
      </c>
      <c r="B1697" s="6" t="s">
        <v>3428</v>
      </c>
      <c r="C1697" s="7">
        <v>27100</v>
      </c>
      <c r="D1697" s="8" t="s">
        <v>3429</v>
      </c>
    </row>
    <row r="1698" spans="1:4" ht="14.25">
      <c r="A1698" s="5">
        <v>12</v>
      </c>
      <c r="B1698" s="6" t="s">
        <v>3430</v>
      </c>
      <c r="C1698" s="7">
        <v>27100</v>
      </c>
      <c r="D1698" s="8" t="s">
        <v>3431</v>
      </c>
    </row>
    <row r="1699" spans="1:4" ht="14.25">
      <c r="A1699" s="5" t="s">
        <v>3357</v>
      </c>
      <c r="B1699" s="6" t="s">
        <v>3432</v>
      </c>
      <c r="C1699" s="7">
        <v>27101</v>
      </c>
      <c r="D1699" s="8" t="s">
        <v>3433</v>
      </c>
    </row>
    <row r="1700" spans="1:4" ht="14.25">
      <c r="A1700" s="5" t="s">
        <v>484</v>
      </c>
      <c r="B1700" s="6" t="s">
        <v>3434</v>
      </c>
      <c r="C1700" s="7">
        <v>27101</v>
      </c>
      <c r="D1700" s="8" t="s">
        <v>3435</v>
      </c>
    </row>
    <row r="1701" spans="1:4" ht="14.25">
      <c r="A1701" s="5">
        <v>13</v>
      </c>
      <c r="B1701" s="6" t="s">
        <v>3436</v>
      </c>
      <c r="C1701" s="7">
        <v>27101</v>
      </c>
      <c r="D1701" s="8" t="s">
        <v>3437</v>
      </c>
    </row>
    <row r="1702" spans="1:4" ht="14.25">
      <c r="A1702" s="5">
        <v>13</v>
      </c>
      <c r="B1702" s="6" t="s">
        <v>3438</v>
      </c>
      <c r="C1702" s="7">
        <v>27101</v>
      </c>
      <c r="D1702" s="8" t="s">
        <v>3439</v>
      </c>
    </row>
    <row r="1703" spans="1:4" ht="14.25">
      <c r="A1703" s="5">
        <v>13</v>
      </c>
      <c r="B1703" s="6" t="s">
        <v>3440</v>
      </c>
      <c r="C1703" s="7">
        <v>27101</v>
      </c>
      <c r="D1703" s="8" t="s">
        <v>3441</v>
      </c>
    </row>
    <row r="1704" spans="1:4" ht="14.25">
      <c r="A1704" s="5" t="s">
        <v>484</v>
      </c>
      <c r="B1704" s="6" t="s">
        <v>3442</v>
      </c>
      <c r="C1704" s="7">
        <v>27102</v>
      </c>
      <c r="D1704" s="8" t="s">
        <v>3443</v>
      </c>
    </row>
    <row r="1705" spans="1:4" ht="14.25">
      <c r="A1705" s="5">
        <v>14</v>
      </c>
      <c r="B1705" s="6" t="s">
        <v>3444</v>
      </c>
      <c r="C1705" s="7">
        <v>27102</v>
      </c>
      <c r="D1705" s="8" t="s">
        <v>3445</v>
      </c>
    </row>
    <row r="1706" spans="1:4" ht="14.25">
      <c r="A1706" s="5">
        <v>14</v>
      </c>
      <c r="B1706" s="6" t="s">
        <v>3446</v>
      </c>
      <c r="C1706" s="7">
        <v>27102</v>
      </c>
      <c r="D1706" s="8" t="s">
        <v>3447</v>
      </c>
    </row>
    <row r="1707" spans="1:4" ht="14.25">
      <c r="A1707" s="5">
        <v>14</v>
      </c>
      <c r="B1707" s="6" t="s">
        <v>3448</v>
      </c>
      <c r="C1707" s="7">
        <v>27102</v>
      </c>
      <c r="D1707" s="8" t="s">
        <v>3449</v>
      </c>
    </row>
    <row r="1708" spans="1:4" ht="14.25">
      <c r="A1708" s="5" t="s">
        <v>3357</v>
      </c>
      <c r="B1708" s="6" t="s">
        <v>3450</v>
      </c>
      <c r="C1708" s="7">
        <v>27103</v>
      </c>
      <c r="D1708" s="8" t="s">
        <v>3451</v>
      </c>
    </row>
    <row r="1709" spans="1:4" ht="14.25">
      <c r="A1709" s="5" t="s">
        <v>484</v>
      </c>
      <c r="B1709" s="6" t="s">
        <v>3452</v>
      </c>
      <c r="C1709" s="7">
        <v>27103</v>
      </c>
      <c r="D1709" s="8" t="s">
        <v>3453</v>
      </c>
    </row>
    <row r="1710" spans="1:4" ht="14.25">
      <c r="A1710" s="5" t="s">
        <v>463</v>
      </c>
      <c r="B1710" s="6" t="s">
        <v>3454</v>
      </c>
      <c r="C1710" s="7">
        <v>27103</v>
      </c>
      <c r="D1710" s="8" t="s">
        <v>3455</v>
      </c>
    </row>
    <row r="1711" spans="1:4" ht="14.25">
      <c r="A1711" s="5">
        <v>15</v>
      </c>
      <c r="B1711" s="6" t="s">
        <v>3456</v>
      </c>
      <c r="C1711" s="7">
        <v>27103</v>
      </c>
      <c r="D1711" s="8" t="s">
        <v>3457</v>
      </c>
    </row>
    <row r="1712" spans="1:4" ht="14.25">
      <c r="A1712" s="5">
        <v>15</v>
      </c>
      <c r="B1712" s="6" t="s">
        <v>3458</v>
      </c>
      <c r="C1712" s="7">
        <v>27103</v>
      </c>
      <c r="D1712" s="8" t="s">
        <v>3459</v>
      </c>
    </row>
    <row r="1713" spans="1:4" ht="14.25">
      <c r="A1713" s="5">
        <v>15</v>
      </c>
      <c r="B1713" s="6" t="s">
        <v>3460</v>
      </c>
      <c r="C1713" s="7">
        <v>27103</v>
      </c>
      <c r="D1713" s="8" t="s">
        <v>3461</v>
      </c>
    </row>
    <row r="1714" spans="1:4" ht="14.25">
      <c r="A1714" s="5">
        <v>15</v>
      </c>
      <c r="B1714" s="6" t="s">
        <v>3462</v>
      </c>
      <c r="C1714" s="7">
        <v>27103</v>
      </c>
      <c r="D1714" s="8" t="s">
        <v>3463</v>
      </c>
    </row>
    <row r="1715" spans="1:4" ht="14.25">
      <c r="A1715" s="5" t="s">
        <v>484</v>
      </c>
      <c r="B1715" s="6" t="s">
        <v>3464</v>
      </c>
      <c r="C1715" s="7">
        <v>27104</v>
      </c>
      <c r="D1715" s="8" t="s">
        <v>3465</v>
      </c>
    </row>
    <row r="1716" spans="1:4" ht="14.25">
      <c r="A1716" s="5" t="s">
        <v>463</v>
      </c>
      <c r="B1716" s="6" t="s">
        <v>3466</v>
      </c>
      <c r="C1716" s="7">
        <v>27104</v>
      </c>
      <c r="D1716" s="8" t="s">
        <v>3467</v>
      </c>
    </row>
    <row r="1717" spans="1:4" ht="14.25">
      <c r="A1717" s="5" t="s">
        <v>463</v>
      </c>
      <c r="B1717" s="6" t="s">
        <v>3468</v>
      </c>
      <c r="C1717" s="7">
        <v>27104</v>
      </c>
      <c r="D1717" s="8" t="s">
        <v>3469</v>
      </c>
    </row>
    <row r="1718" spans="1:4" ht="14.25">
      <c r="A1718" s="5" t="s">
        <v>597</v>
      </c>
      <c r="B1718" s="6" t="s">
        <v>3470</v>
      </c>
      <c r="C1718" s="7">
        <v>27104</v>
      </c>
      <c r="D1718" s="8" t="s">
        <v>3471</v>
      </c>
    </row>
    <row r="1719" spans="1:4" ht="14.25">
      <c r="A1719" s="5">
        <v>16</v>
      </c>
      <c r="B1719" s="6" t="s">
        <v>3472</v>
      </c>
      <c r="C1719" s="7">
        <v>27104</v>
      </c>
      <c r="D1719" s="8" t="s">
        <v>3473</v>
      </c>
    </row>
    <row r="1720" spans="1:4" ht="14.25">
      <c r="A1720" s="5">
        <v>16</v>
      </c>
      <c r="B1720" s="6" t="s">
        <v>3474</v>
      </c>
      <c r="C1720" s="7">
        <v>27104</v>
      </c>
      <c r="D1720" s="8" t="s">
        <v>3475</v>
      </c>
    </row>
    <row r="1721" spans="1:4" ht="14.25">
      <c r="A1721" s="5">
        <v>16</v>
      </c>
      <c r="B1721" s="6" t="s">
        <v>3476</v>
      </c>
      <c r="C1721" s="7">
        <v>27104</v>
      </c>
      <c r="D1721" s="8" t="s">
        <v>3477</v>
      </c>
    </row>
    <row r="1722" spans="1:4" ht="14.25">
      <c r="A1722" s="5">
        <v>16</v>
      </c>
      <c r="B1722" s="6" t="s">
        <v>3478</v>
      </c>
      <c r="C1722" s="7">
        <v>27104</v>
      </c>
      <c r="D1722" s="8" t="s">
        <v>3479</v>
      </c>
    </row>
    <row r="1723" spans="1:4" ht="14.25">
      <c r="A1723" s="5">
        <v>16</v>
      </c>
      <c r="B1723" s="6" t="s">
        <v>3480</v>
      </c>
      <c r="C1723" s="7">
        <v>27104</v>
      </c>
      <c r="D1723" s="8" t="s">
        <v>3481</v>
      </c>
    </row>
    <row r="1724" spans="1:4" ht="14.25">
      <c r="A1724" s="5" t="s">
        <v>484</v>
      </c>
      <c r="B1724" s="6" t="s">
        <v>3482</v>
      </c>
      <c r="C1724" s="7">
        <v>27105</v>
      </c>
      <c r="D1724" s="8" t="s">
        <v>3483</v>
      </c>
    </row>
    <row r="1725" spans="1:4" ht="14.25">
      <c r="A1725" s="5" t="s">
        <v>597</v>
      </c>
      <c r="B1725" s="6" t="s">
        <v>3484</v>
      </c>
      <c r="C1725" s="7">
        <v>27105</v>
      </c>
      <c r="D1725" s="8" t="s">
        <v>3485</v>
      </c>
    </row>
    <row r="1726" spans="1:4" ht="14.25">
      <c r="A1726" s="5">
        <v>17</v>
      </c>
      <c r="B1726" s="6" t="s">
        <v>3486</v>
      </c>
      <c r="C1726" s="7">
        <v>27105</v>
      </c>
      <c r="D1726" s="8" t="s">
        <v>3487</v>
      </c>
    </row>
    <row r="1727" spans="1:4" ht="14.25">
      <c r="A1727" s="5">
        <v>17</v>
      </c>
      <c r="B1727" s="6" t="s">
        <v>3488</v>
      </c>
      <c r="C1727" s="7">
        <v>27105</v>
      </c>
      <c r="D1727" s="8" t="s">
        <v>3489</v>
      </c>
    </row>
    <row r="1728" spans="1:4" ht="14.25">
      <c r="A1728" s="5">
        <v>17</v>
      </c>
      <c r="B1728" s="6" t="s">
        <v>3490</v>
      </c>
      <c r="C1728" s="7">
        <v>27105</v>
      </c>
      <c r="D1728" s="8" t="s">
        <v>3491</v>
      </c>
    </row>
    <row r="1729" spans="1:4" ht="14.25">
      <c r="A1729" s="5">
        <v>17</v>
      </c>
      <c r="B1729" s="6" t="s">
        <v>3492</v>
      </c>
      <c r="C1729" s="7">
        <v>27105</v>
      </c>
      <c r="D1729" s="8" t="s">
        <v>3493</v>
      </c>
    </row>
    <row r="1730" spans="1:4" ht="14.25">
      <c r="A1730" s="5" t="s">
        <v>484</v>
      </c>
      <c r="B1730" s="6" t="s">
        <v>3494</v>
      </c>
      <c r="C1730" s="7">
        <v>27106</v>
      </c>
      <c r="D1730" s="8" t="s">
        <v>3495</v>
      </c>
    </row>
    <row r="1731" spans="1:4" ht="14.25">
      <c r="A1731" s="5">
        <v>18</v>
      </c>
      <c r="B1731" s="6" t="s">
        <v>3496</v>
      </c>
      <c r="C1731" s="7">
        <v>27106</v>
      </c>
      <c r="D1731" s="8" t="s">
        <v>3497</v>
      </c>
    </row>
    <row r="1732" spans="1:4" ht="14.25">
      <c r="A1732" s="5">
        <v>18</v>
      </c>
      <c r="B1732" s="6" t="s">
        <v>3498</v>
      </c>
      <c r="C1732" s="7">
        <v>27106</v>
      </c>
      <c r="D1732" s="8" t="s">
        <v>3499</v>
      </c>
    </row>
    <row r="1733" spans="1:4" ht="14.25">
      <c r="A1733" s="5" t="s">
        <v>597</v>
      </c>
      <c r="B1733" s="6" t="s">
        <v>3500</v>
      </c>
      <c r="C1733" s="7">
        <v>27107</v>
      </c>
      <c r="D1733" s="8" t="s">
        <v>3501</v>
      </c>
    </row>
    <row r="1734" spans="1:4" ht="14.25">
      <c r="A1734" s="5">
        <v>19</v>
      </c>
      <c r="B1734" s="6" t="s">
        <v>3502</v>
      </c>
      <c r="C1734" s="7">
        <v>27107</v>
      </c>
      <c r="D1734" s="8" t="s">
        <v>3503</v>
      </c>
    </row>
    <row r="1735" spans="1:4" ht="14.25">
      <c r="A1735" s="5">
        <v>19</v>
      </c>
      <c r="B1735" s="6" t="s">
        <v>3504</v>
      </c>
      <c r="C1735" s="7">
        <v>27107</v>
      </c>
      <c r="D1735" s="8" t="s">
        <v>3505</v>
      </c>
    </row>
    <row r="1736" spans="1:4" ht="14.25">
      <c r="A1736" s="5" t="s">
        <v>484</v>
      </c>
      <c r="B1736" s="6" t="s">
        <v>3506</v>
      </c>
      <c r="C1736" s="7">
        <v>27108</v>
      </c>
      <c r="D1736" s="8" t="s">
        <v>3507</v>
      </c>
    </row>
    <row r="1737" spans="1:4" ht="14.25">
      <c r="A1737" s="5">
        <v>20</v>
      </c>
      <c r="B1737" s="6" t="s">
        <v>3508</v>
      </c>
      <c r="C1737" s="7">
        <v>27108</v>
      </c>
      <c r="D1737" s="8" t="s">
        <v>3509</v>
      </c>
    </row>
    <row r="1738" spans="1:4" ht="14.25">
      <c r="A1738" s="5" t="s">
        <v>96</v>
      </c>
      <c r="B1738" s="6" t="s">
        <v>3510</v>
      </c>
      <c r="C1738" s="7">
        <v>27109</v>
      </c>
      <c r="D1738" s="8" t="s">
        <v>3511</v>
      </c>
    </row>
    <row r="1739" spans="1:4" ht="14.25">
      <c r="A1739" s="5">
        <v>21</v>
      </c>
      <c r="B1739" s="6" t="s">
        <v>3512</v>
      </c>
      <c r="C1739" s="7">
        <v>27109</v>
      </c>
      <c r="D1739" s="8" t="s">
        <v>3513</v>
      </c>
    </row>
    <row r="1740" spans="1:4" ht="14.25">
      <c r="A1740" s="5">
        <v>21</v>
      </c>
      <c r="B1740" s="6" t="s">
        <v>3514</v>
      </c>
      <c r="C1740" s="7">
        <v>27109</v>
      </c>
      <c r="D1740" s="8" t="s">
        <v>3515</v>
      </c>
    </row>
    <row r="1741" spans="1:4" ht="14.25">
      <c r="A1741" s="5" t="s">
        <v>96</v>
      </c>
      <c r="B1741" s="6" t="s">
        <v>3516</v>
      </c>
      <c r="C1741" s="7">
        <v>27110</v>
      </c>
      <c r="D1741" s="8" t="s">
        <v>3517</v>
      </c>
    </row>
    <row r="1742" spans="1:4" ht="14.25">
      <c r="A1742" s="5">
        <v>22</v>
      </c>
      <c r="B1742" s="6" t="s">
        <v>3518</v>
      </c>
      <c r="C1742" s="7">
        <v>27110</v>
      </c>
      <c r="D1742" s="8" t="s">
        <v>3519</v>
      </c>
    </row>
    <row r="1743" spans="1:4" ht="14.25">
      <c r="A1743" s="5">
        <v>22</v>
      </c>
      <c r="B1743" s="6" t="s">
        <v>3520</v>
      </c>
      <c r="C1743" s="7">
        <v>27110</v>
      </c>
      <c r="D1743" s="8" t="s">
        <v>3521</v>
      </c>
    </row>
    <row r="1744" spans="1:4" ht="14.25">
      <c r="A1744" s="5" t="s">
        <v>96</v>
      </c>
      <c r="B1744" s="6" t="s">
        <v>3522</v>
      </c>
      <c r="C1744" s="7">
        <v>27111</v>
      </c>
      <c r="D1744" s="8" t="s">
        <v>3523</v>
      </c>
    </row>
    <row r="1745" spans="1:4" ht="14.25">
      <c r="A1745" s="5" t="s">
        <v>484</v>
      </c>
      <c r="B1745" s="6" t="s">
        <v>3524</v>
      </c>
      <c r="C1745" s="7">
        <v>27111</v>
      </c>
      <c r="D1745" s="8" t="s">
        <v>3525</v>
      </c>
    </row>
    <row r="1746" spans="1:4" ht="14.25">
      <c r="A1746" s="5">
        <v>23</v>
      </c>
      <c r="B1746" s="6" t="s">
        <v>3526</v>
      </c>
      <c r="C1746" s="7">
        <v>27111</v>
      </c>
      <c r="D1746" s="8" t="s">
        <v>3527</v>
      </c>
    </row>
    <row r="1747" spans="1:4" ht="14.25">
      <c r="A1747" s="5">
        <v>23</v>
      </c>
      <c r="B1747" s="6" t="s">
        <v>3528</v>
      </c>
      <c r="C1747" s="7">
        <v>27111</v>
      </c>
      <c r="D1747" s="8" t="s">
        <v>3529</v>
      </c>
    </row>
    <row r="1748" spans="1:4" ht="14.25">
      <c r="A1748" s="5">
        <v>23</v>
      </c>
      <c r="B1748" s="6" t="s">
        <v>3530</v>
      </c>
      <c r="C1748" s="7">
        <v>27111</v>
      </c>
      <c r="D1748" s="8" t="s">
        <v>3531</v>
      </c>
    </row>
    <row r="1749" spans="1:4" ht="14.25">
      <c r="A1749" s="5">
        <v>23</v>
      </c>
      <c r="B1749" s="6" t="s">
        <v>3532</v>
      </c>
      <c r="C1749" s="7">
        <v>27111</v>
      </c>
      <c r="D1749" s="8" t="s">
        <v>3533</v>
      </c>
    </row>
    <row r="1750" spans="1:4" ht="14.25">
      <c r="A1750" s="5" t="s">
        <v>96</v>
      </c>
      <c r="B1750" s="6" t="s">
        <v>3534</v>
      </c>
      <c r="C1750" s="7">
        <v>27112</v>
      </c>
      <c r="D1750" s="8" t="s">
        <v>3535</v>
      </c>
    </row>
    <row r="1751" spans="1:4" ht="14.25">
      <c r="A1751" s="5" t="s">
        <v>484</v>
      </c>
      <c r="B1751" s="6" t="s">
        <v>3536</v>
      </c>
      <c r="C1751" s="7">
        <v>27112</v>
      </c>
      <c r="D1751" s="8" t="s">
        <v>3537</v>
      </c>
    </row>
    <row r="1752" spans="1:4" ht="14.25">
      <c r="A1752" s="5">
        <v>24</v>
      </c>
      <c r="B1752" s="6" t="s">
        <v>3538</v>
      </c>
      <c r="C1752" s="7">
        <v>27112</v>
      </c>
      <c r="D1752" s="8" t="s">
        <v>3539</v>
      </c>
    </row>
    <row r="1753" spans="1:4" ht="14.25">
      <c r="A1753" s="5">
        <v>24</v>
      </c>
      <c r="B1753" s="6" t="s">
        <v>3540</v>
      </c>
      <c r="C1753" s="7">
        <v>27112</v>
      </c>
      <c r="D1753" s="8" t="s">
        <v>3541</v>
      </c>
    </row>
    <row r="1754" spans="1:4" ht="14.25">
      <c r="A1754" s="5">
        <v>24</v>
      </c>
      <c r="B1754" s="6" t="s">
        <v>3542</v>
      </c>
      <c r="C1754" s="7">
        <v>27112</v>
      </c>
      <c r="D1754" s="8" t="s">
        <v>3543</v>
      </c>
    </row>
    <row r="1755" spans="1:4" ht="14.25">
      <c r="A1755" s="5">
        <v>24</v>
      </c>
      <c r="B1755" s="6" t="s">
        <v>3544</v>
      </c>
      <c r="C1755" s="7">
        <v>27112</v>
      </c>
      <c r="D1755" s="8" t="s">
        <v>3545</v>
      </c>
    </row>
    <row r="1756" spans="1:4" ht="14.25">
      <c r="A1756" s="5" t="s">
        <v>96</v>
      </c>
      <c r="B1756" s="6" t="s">
        <v>3546</v>
      </c>
      <c r="C1756" s="7">
        <v>27113</v>
      </c>
      <c r="D1756" s="8" t="s">
        <v>3547</v>
      </c>
    </row>
    <row r="1757" spans="1:4" ht="14.25">
      <c r="A1757" s="5" t="s">
        <v>484</v>
      </c>
      <c r="B1757" s="6" t="s">
        <v>3548</v>
      </c>
      <c r="C1757" s="7">
        <v>27113</v>
      </c>
      <c r="D1757" s="8" t="s">
        <v>3549</v>
      </c>
    </row>
    <row r="1758" spans="1:4" ht="14.25">
      <c r="A1758" s="5">
        <v>25</v>
      </c>
      <c r="B1758" s="6" t="s">
        <v>3550</v>
      </c>
      <c r="C1758" s="7">
        <v>27113</v>
      </c>
      <c r="D1758" s="8" t="s">
        <v>3551</v>
      </c>
    </row>
    <row r="1759" spans="1:4" ht="14.25">
      <c r="A1759" s="5">
        <v>25</v>
      </c>
      <c r="B1759" s="6" t="s">
        <v>3552</v>
      </c>
      <c r="C1759" s="7">
        <v>27113</v>
      </c>
      <c r="D1759" s="8" t="s">
        <v>3553</v>
      </c>
    </row>
    <row r="1760" spans="1:4" ht="14.25">
      <c r="A1760" s="5">
        <v>25</v>
      </c>
      <c r="B1760" s="6" t="s">
        <v>3554</v>
      </c>
      <c r="C1760" s="7">
        <v>27113</v>
      </c>
      <c r="D1760" s="8" t="s">
        <v>3555</v>
      </c>
    </row>
    <row r="1761" spans="1:4" ht="14.25">
      <c r="A1761" s="5" t="s">
        <v>96</v>
      </c>
      <c r="B1761" s="6" t="s">
        <v>3556</v>
      </c>
      <c r="C1761" s="7">
        <v>27114</v>
      </c>
      <c r="D1761" s="8" t="s">
        <v>3557</v>
      </c>
    </row>
    <row r="1762" spans="1:4" ht="14.25">
      <c r="A1762" s="5" t="s">
        <v>484</v>
      </c>
      <c r="B1762" s="6" t="s">
        <v>3558</v>
      </c>
      <c r="C1762" s="7">
        <v>27114</v>
      </c>
      <c r="D1762" s="8" t="s">
        <v>3559</v>
      </c>
    </row>
    <row r="1763" spans="1:4" ht="14.25">
      <c r="A1763" s="5">
        <v>26</v>
      </c>
      <c r="B1763" s="6" t="s">
        <v>3560</v>
      </c>
      <c r="C1763" s="7">
        <v>27114</v>
      </c>
      <c r="D1763" s="8" t="s">
        <v>3561</v>
      </c>
    </row>
    <row r="1764" spans="1:4" ht="14.25">
      <c r="A1764" s="5">
        <v>26</v>
      </c>
      <c r="B1764" s="6" t="s">
        <v>3562</v>
      </c>
      <c r="C1764" s="7">
        <v>27114</v>
      </c>
      <c r="D1764" s="8" t="s">
        <v>3563</v>
      </c>
    </row>
    <row r="1765" spans="1:4" ht="14.25">
      <c r="A1765" s="5">
        <v>26</v>
      </c>
      <c r="B1765" s="6" t="s">
        <v>3564</v>
      </c>
      <c r="C1765" s="7">
        <v>27114</v>
      </c>
      <c r="D1765" s="8" t="s">
        <v>3565</v>
      </c>
    </row>
    <row r="1766" spans="1:4" ht="14.25">
      <c r="A1766" s="5" t="s">
        <v>96</v>
      </c>
      <c r="B1766" s="6" t="s">
        <v>3566</v>
      </c>
      <c r="C1766" s="7">
        <v>27115</v>
      </c>
      <c r="D1766" s="8" t="s">
        <v>3567</v>
      </c>
    </row>
    <row r="1767" spans="1:4" ht="14.25">
      <c r="A1767" s="5" t="s">
        <v>484</v>
      </c>
      <c r="B1767" s="6" t="s">
        <v>3568</v>
      </c>
      <c r="C1767" s="7">
        <v>27115</v>
      </c>
      <c r="D1767" s="8" t="s">
        <v>3569</v>
      </c>
    </row>
    <row r="1768" spans="1:4" ht="14.25">
      <c r="A1768" s="5" t="s">
        <v>463</v>
      </c>
      <c r="B1768" s="6" t="s">
        <v>3570</v>
      </c>
      <c r="C1768" s="7">
        <v>27115</v>
      </c>
      <c r="D1768" s="8" t="s">
        <v>3571</v>
      </c>
    </row>
    <row r="1769" spans="1:4" ht="14.25">
      <c r="A1769" s="5">
        <v>27</v>
      </c>
      <c r="B1769" s="6" t="s">
        <v>3572</v>
      </c>
      <c r="C1769" s="7">
        <v>27115</v>
      </c>
      <c r="D1769" s="8" t="s">
        <v>3573</v>
      </c>
    </row>
    <row r="1770" spans="1:4" ht="14.25">
      <c r="A1770" s="5">
        <v>27</v>
      </c>
      <c r="B1770" s="6" t="s">
        <v>3574</v>
      </c>
      <c r="C1770" s="7">
        <v>27115</v>
      </c>
      <c r="D1770" s="8" t="s">
        <v>3575</v>
      </c>
    </row>
    <row r="1771" spans="1:4" ht="14.25">
      <c r="A1771" s="5">
        <v>27</v>
      </c>
      <c r="B1771" s="6" t="s">
        <v>3576</v>
      </c>
      <c r="C1771" s="7">
        <v>27115</v>
      </c>
      <c r="D1771" s="8" t="s">
        <v>3577</v>
      </c>
    </row>
    <row r="1772" spans="1:4" ht="14.25">
      <c r="A1772" s="5">
        <v>27</v>
      </c>
      <c r="B1772" s="6" t="s">
        <v>3578</v>
      </c>
      <c r="C1772" s="7">
        <v>27115</v>
      </c>
      <c r="D1772" s="8" t="s">
        <v>3579</v>
      </c>
    </row>
    <row r="1773" spans="1:4" ht="14.25">
      <c r="A1773" s="5" t="s">
        <v>96</v>
      </c>
      <c r="B1773" s="6" t="s">
        <v>3580</v>
      </c>
      <c r="C1773" s="7">
        <v>27116</v>
      </c>
      <c r="D1773" s="8" t="s">
        <v>3581</v>
      </c>
    </row>
    <row r="1774" spans="1:4" ht="14.25">
      <c r="A1774" s="5" t="s">
        <v>484</v>
      </c>
      <c r="B1774" s="6" t="s">
        <v>3582</v>
      </c>
      <c r="C1774" s="7">
        <v>27116</v>
      </c>
      <c r="D1774" s="8" t="s">
        <v>3583</v>
      </c>
    </row>
    <row r="1775" spans="1:4" ht="14.25">
      <c r="A1775" s="5">
        <v>28</v>
      </c>
      <c r="B1775" s="6" t="s">
        <v>3584</v>
      </c>
      <c r="C1775" s="7">
        <v>27116</v>
      </c>
      <c r="D1775" s="8" t="s">
        <v>3585</v>
      </c>
    </row>
    <row r="1776" spans="1:4" ht="14.25">
      <c r="A1776" s="5">
        <v>28</v>
      </c>
      <c r="B1776" s="6" t="s">
        <v>3586</v>
      </c>
      <c r="C1776" s="7">
        <v>27116</v>
      </c>
      <c r="D1776" s="8" t="s">
        <v>3587</v>
      </c>
    </row>
    <row r="1777" spans="1:4" ht="14.25">
      <c r="A1777" s="5">
        <v>28</v>
      </c>
      <c r="B1777" s="6" t="s">
        <v>3588</v>
      </c>
      <c r="C1777" s="7">
        <v>27116</v>
      </c>
      <c r="D1777" s="8" t="s">
        <v>3589</v>
      </c>
    </row>
    <row r="1778" spans="1:4" ht="14.25">
      <c r="A1778" s="5" t="s">
        <v>96</v>
      </c>
      <c r="B1778" s="6" t="s">
        <v>3590</v>
      </c>
      <c r="C1778" s="7">
        <v>27117</v>
      </c>
      <c r="D1778" s="8" t="s">
        <v>3591</v>
      </c>
    </row>
    <row r="1779" spans="1:4" ht="14.25">
      <c r="A1779" s="5" t="s">
        <v>484</v>
      </c>
      <c r="B1779" s="6" t="s">
        <v>3592</v>
      </c>
      <c r="C1779" s="7">
        <v>27117</v>
      </c>
      <c r="D1779" s="8" t="s">
        <v>3593</v>
      </c>
    </row>
    <row r="1780" spans="1:4" ht="14.25">
      <c r="A1780" s="5">
        <v>29</v>
      </c>
      <c r="B1780" s="6" t="s">
        <v>3594</v>
      </c>
      <c r="C1780" s="7">
        <v>27117</v>
      </c>
      <c r="D1780" s="8" t="s">
        <v>3595</v>
      </c>
    </row>
    <row r="1781" spans="1:4" ht="14.25">
      <c r="A1781" s="5">
        <v>29</v>
      </c>
      <c r="B1781" s="6" t="s">
        <v>3596</v>
      </c>
      <c r="C1781" s="7">
        <v>27117</v>
      </c>
      <c r="D1781" s="8" t="s">
        <v>3597</v>
      </c>
    </row>
    <row r="1782" spans="1:4" ht="14.25">
      <c r="A1782" s="5">
        <v>29</v>
      </c>
      <c r="B1782" s="6" t="s">
        <v>3598</v>
      </c>
      <c r="C1782" s="7">
        <v>27117</v>
      </c>
      <c r="D1782" s="8" t="s">
        <v>3599</v>
      </c>
    </row>
    <row r="1783" spans="1:4" ht="14.25">
      <c r="A1783" s="5">
        <v>29</v>
      </c>
      <c r="B1783" s="6" t="s">
        <v>3600</v>
      </c>
      <c r="C1783" s="7">
        <v>27117</v>
      </c>
      <c r="D1783" s="8" t="s">
        <v>3601</v>
      </c>
    </row>
    <row r="1784" spans="1:4" ht="14.25">
      <c r="A1784" s="5" t="s">
        <v>96</v>
      </c>
      <c r="B1784" s="6" t="s">
        <v>3602</v>
      </c>
      <c r="C1784" s="7">
        <v>27118</v>
      </c>
      <c r="D1784" s="8" t="s">
        <v>3603</v>
      </c>
    </row>
    <row r="1785" spans="1:4" ht="14.25">
      <c r="A1785" s="5" t="s">
        <v>484</v>
      </c>
      <c r="B1785" s="6" t="s">
        <v>3604</v>
      </c>
      <c r="C1785" s="7">
        <v>27118</v>
      </c>
      <c r="D1785" s="8" t="s">
        <v>3605</v>
      </c>
    </row>
    <row r="1786" spans="1:4" ht="14.25">
      <c r="A1786" s="5">
        <v>30</v>
      </c>
      <c r="B1786" s="6" t="s">
        <v>3606</v>
      </c>
      <c r="C1786" s="7">
        <v>27118</v>
      </c>
      <c r="D1786" s="8" t="s">
        <v>3607</v>
      </c>
    </row>
    <row r="1787" spans="1:4" ht="14.25">
      <c r="A1787" s="5">
        <v>30</v>
      </c>
      <c r="B1787" s="6" t="s">
        <v>3608</v>
      </c>
      <c r="C1787" s="7">
        <v>27118</v>
      </c>
      <c r="D1787" s="8" t="s">
        <v>3609</v>
      </c>
    </row>
    <row r="1788" spans="1:4" ht="14.25">
      <c r="A1788" s="5">
        <v>30</v>
      </c>
      <c r="B1788" s="6" t="s">
        <v>3610</v>
      </c>
      <c r="C1788" s="7">
        <v>27118</v>
      </c>
      <c r="D1788" s="8" t="s">
        <v>3611</v>
      </c>
    </row>
    <row r="1789" spans="1:4" ht="14.25">
      <c r="A1789" s="5">
        <v>30</v>
      </c>
      <c r="B1789" s="6" t="s">
        <v>3612</v>
      </c>
      <c r="C1789" s="7">
        <v>27118</v>
      </c>
      <c r="D1789" s="8" t="s">
        <v>3613</v>
      </c>
    </row>
    <row r="1790" spans="1:4" ht="14.25">
      <c r="A1790" s="5" t="s">
        <v>96</v>
      </c>
      <c r="B1790" s="6" t="s">
        <v>3614</v>
      </c>
      <c r="C1790" s="7">
        <v>27119</v>
      </c>
      <c r="D1790" s="8" t="s">
        <v>3615</v>
      </c>
    </row>
    <row r="1791" spans="1:4" ht="14.25">
      <c r="A1791" s="5" t="s">
        <v>484</v>
      </c>
      <c r="B1791" s="6" t="s">
        <v>3616</v>
      </c>
      <c r="C1791" s="7">
        <v>27119</v>
      </c>
      <c r="D1791" s="8" t="s">
        <v>3617</v>
      </c>
    </row>
    <row r="1792" spans="1:4" ht="14.25">
      <c r="A1792" s="5">
        <v>31</v>
      </c>
      <c r="B1792" s="6" t="s">
        <v>3618</v>
      </c>
      <c r="C1792" s="7">
        <v>27119</v>
      </c>
      <c r="D1792" s="8" t="s">
        <v>3619</v>
      </c>
    </row>
    <row r="1793" spans="1:4" ht="14.25">
      <c r="A1793" s="5">
        <v>31</v>
      </c>
      <c r="B1793" s="6" t="s">
        <v>3620</v>
      </c>
      <c r="C1793" s="7">
        <v>27119</v>
      </c>
      <c r="D1793" s="8" t="s">
        <v>3621</v>
      </c>
    </row>
    <row r="1794" spans="1:4" ht="14.25">
      <c r="A1794" s="5">
        <v>31</v>
      </c>
      <c r="B1794" s="6" t="s">
        <v>3622</v>
      </c>
      <c r="C1794" s="7">
        <v>27119</v>
      </c>
      <c r="D1794" s="8" t="s">
        <v>3623</v>
      </c>
    </row>
    <row r="1795" spans="1:4" ht="14.25">
      <c r="A1795" s="5">
        <v>31</v>
      </c>
      <c r="B1795" s="6" t="s">
        <v>3624</v>
      </c>
      <c r="C1795" s="7">
        <v>27119</v>
      </c>
      <c r="D1795" s="8" t="s">
        <v>3625</v>
      </c>
    </row>
    <row r="1796" spans="1:4" ht="14.25">
      <c r="A1796" s="5" t="s">
        <v>96</v>
      </c>
      <c r="B1796" s="6" t="s">
        <v>3626</v>
      </c>
      <c r="C1796" s="7">
        <v>27120</v>
      </c>
      <c r="D1796" s="8" t="s">
        <v>3627</v>
      </c>
    </row>
    <row r="1797" spans="1:4" ht="14.25">
      <c r="A1797" s="5" t="s">
        <v>197</v>
      </c>
      <c r="B1797" s="6" t="s">
        <v>3628</v>
      </c>
      <c r="C1797" s="7">
        <v>27120</v>
      </c>
      <c r="D1797" s="8" t="s">
        <v>3629</v>
      </c>
    </row>
    <row r="1798" spans="1:4" ht="14.25">
      <c r="A1798" s="5" t="s">
        <v>484</v>
      </c>
      <c r="B1798" s="6" t="s">
        <v>3630</v>
      </c>
      <c r="C1798" s="7">
        <v>27120</v>
      </c>
      <c r="D1798" s="8" t="s">
        <v>3631</v>
      </c>
    </row>
    <row r="1799" spans="1:4" ht="14.25">
      <c r="A1799" s="5">
        <v>1</v>
      </c>
      <c r="B1799" s="6" t="s">
        <v>3632</v>
      </c>
      <c r="C1799" s="7">
        <v>27120</v>
      </c>
      <c r="D1799" s="8" t="s">
        <v>3633</v>
      </c>
    </row>
    <row r="1800" spans="1:4" ht="14.25">
      <c r="A1800" s="5">
        <v>1</v>
      </c>
      <c r="B1800" s="6" t="s">
        <v>3634</v>
      </c>
      <c r="C1800" s="7">
        <v>27120</v>
      </c>
      <c r="D1800" s="8" t="s">
        <v>3635</v>
      </c>
    </row>
    <row r="1801" spans="1:4" ht="14.25">
      <c r="A1801" s="5">
        <v>1</v>
      </c>
      <c r="B1801" s="6" t="s">
        <v>3636</v>
      </c>
      <c r="C1801" s="7">
        <v>27120</v>
      </c>
      <c r="D1801" s="8" t="s">
        <v>3637</v>
      </c>
    </row>
    <row r="1802" spans="1:4" ht="14.25">
      <c r="A1802" s="5">
        <v>1</v>
      </c>
      <c r="B1802" s="6" t="s">
        <v>3638</v>
      </c>
      <c r="C1802" s="7">
        <v>27120</v>
      </c>
      <c r="D1802" s="8" t="s">
        <v>3639</v>
      </c>
    </row>
    <row r="1803" spans="1:4" ht="14.25">
      <c r="A1803" s="5">
        <v>1</v>
      </c>
      <c r="B1803" s="6" t="s">
        <v>3640</v>
      </c>
      <c r="C1803" s="7">
        <v>27120</v>
      </c>
      <c r="D1803" s="8" t="s">
        <v>3641</v>
      </c>
    </row>
    <row r="1804" spans="1:4" ht="14.25">
      <c r="A1804" s="5">
        <v>1</v>
      </c>
      <c r="B1804" s="6" t="s">
        <v>3642</v>
      </c>
      <c r="C1804" s="7">
        <v>27120</v>
      </c>
      <c r="D1804" s="8" t="s">
        <v>3643</v>
      </c>
    </row>
    <row r="1805" spans="1:4" ht="14.25">
      <c r="A1805" s="5">
        <v>1</v>
      </c>
      <c r="B1805" s="6" t="s">
        <v>3644</v>
      </c>
      <c r="C1805" s="7">
        <v>27120</v>
      </c>
      <c r="D1805" s="8" t="s">
        <v>3645</v>
      </c>
    </row>
    <row r="1806" spans="1:4" ht="14.25">
      <c r="A1806" s="5" t="s">
        <v>96</v>
      </c>
      <c r="B1806" s="6" t="s">
        <v>3646</v>
      </c>
      <c r="C1806" s="7">
        <v>27121</v>
      </c>
      <c r="D1806" s="8" t="s">
        <v>3647</v>
      </c>
    </row>
    <row r="1807" spans="1:4" ht="14.25">
      <c r="A1807" s="5" t="s">
        <v>484</v>
      </c>
      <c r="B1807" s="6" t="s">
        <v>3648</v>
      </c>
      <c r="C1807" s="7">
        <v>27121</v>
      </c>
      <c r="D1807" s="8" t="s">
        <v>3649</v>
      </c>
    </row>
    <row r="1808" spans="1:4" ht="14.25">
      <c r="A1808" s="5">
        <v>2</v>
      </c>
      <c r="B1808" s="6" t="s">
        <v>3650</v>
      </c>
      <c r="C1808" s="7">
        <v>27121</v>
      </c>
      <c r="D1808" s="8" t="s">
        <v>3651</v>
      </c>
    </row>
    <row r="1809" spans="1:4" ht="14.25">
      <c r="A1809" s="5">
        <v>2</v>
      </c>
      <c r="B1809" s="6" t="s">
        <v>3652</v>
      </c>
      <c r="C1809" s="7">
        <v>27121</v>
      </c>
      <c r="D1809" s="8" t="s">
        <v>3653</v>
      </c>
    </row>
    <row r="1810" spans="1:4" ht="14.25">
      <c r="A1810" s="5">
        <v>2</v>
      </c>
      <c r="B1810" s="6" t="s">
        <v>3654</v>
      </c>
      <c r="C1810" s="7">
        <v>27121</v>
      </c>
      <c r="D1810" s="8" t="s">
        <v>3655</v>
      </c>
    </row>
    <row r="1811" spans="1:4" ht="14.25">
      <c r="A1811" s="5">
        <v>2</v>
      </c>
      <c r="B1811" s="6" t="s">
        <v>3656</v>
      </c>
      <c r="C1811" s="7">
        <v>27121</v>
      </c>
      <c r="D1811" s="8" t="s">
        <v>3657</v>
      </c>
    </row>
    <row r="1812" spans="1:4" ht="14.25">
      <c r="A1812" s="5" t="s">
        <v>96</v>
      </c>
      <c r="B1812" s="6" t="s">
        <v>3658</v>
      </c>
      <c r="C1812" s="7">
        <v>27122</v>
      </c>
      <c r="D1812" s="8" t="s">
        <v>3659</v>
      </c>
    </row>
    <row r="1813" spans="1:4" ht="14.25">
      <c r="A1813" s="5" t="s">
        <v>484</v>
      </c>
      <c r="B1813" s="6" t="s">
        <v>3660</v>
      </c>
      <c r="C1813" s="7">
        <v>27122</v>
      </c>
      <c r="D1813" s="8" t="s">
        <v>3661</v>
      </c>
    </row>
    <row r="1814" spans="1:4" ht="14.25">
      <c r="A1814" s="5">
        <v>3</v>
      </c>
      <c r="B1814" s="6" t="s">
        <v>3662</v>
      </c>
      <c r="C1814" s="7">
        <v>27122</v>
      </c>
      <c r="D1814" s="8" t="s">
        <v>3663</v>
      </c>
    </row>
    <row r="1815" spans="1:4" ht="14.25">
      <c r="A1815" s="5">
        <v>3</v>
      </c>
      <c r="B1815" s="6" t="s">
        <v>3664</v>
      </c>
      <c r="C1815" s="7">
        <v>27122</v>
      </c>
      <c r="D1815" s="8" t="s">
        <v>3665</v>
      </c>
    </row>
    <row r="1816" spans="1:4" ht="14.25">
      <c r="A1816" s="5">
        <v>3</v>
      </c>
      <c r="B1816" s="6" t="s">
        <v>3666</v>
      </c>
      <c r="C1816" s="7">
        <v>27122</v>
      </c>
      <c r="D1816" s="8" t="s">
        <v>3667</v>
      </c>
    </row>
    <row r="1817" spans="1:4" ht="14.25">
      <c r="A1817" s="5">
        <v>3</v>
      </c>
      <c r="B1817" s="6" t="s">
        <v>3668</v>
      </c>
      <c r="C1817" s="7">
        <v>27122</v>
      </c>
      <c r="D1817" s="8" t="s">
        <v>3669</v>
      </c>
    </row>
    <row r="1818" spans="1:4" ht="14.25">
      <c r="A1818" s="5" t="s">
        <v>96</v>
      </c>
      <c r="B1818" s="6" t="s">
        <v>3670</v>
      </c>
      <c r="C1818" s="7">
        <v>27123</v>
      </c>
      <c r="D1818" s="8" t="s">
        <v>3671</v>
      </c>
    </row>
    <row r="1819" spans="1:4" ht="14.25">
      <c r="A1819" s="5" t="s">
        <v>484</v>
      </c>
      <c r="B1819" s="6" t="s">
        <v>3672</v>
      </c>
      <c r="C1819" s="7">
        <v>27123</v>
      </c>
      <c r="D1819" s="8" t="s">
        <v>3673</v>
      </c>
    </row>
    <row r="1820" spans="1:4" ht="14.25">
      <c r="A1820" s="5">
        <v>4</v>
      </c>
      <c r="B1820" s="6" t="s">
        <v>3674</v>
      </c>
      <c r="C1820" s="7">
        <v>27123</v>
      </c>
      <c r="D1820" s="8" t="s">
        <v>3675</v>
      </c>
    </row>
    <row r="1821" spans="1:4" ht="14.25">
      <c r="A1821" s="5">
        <v>4</v>
      </c>
      <c r="B1821" s="6" t="s">
        <v>3676</v>
      </c>
      <c r="C1821" s="7">
        <v>27123</v>
      </c>
      <c r="D1821" s="8" t="s">
        <v>3677</v>
      </c>
    </row>
    <row r="1822" spans="1:4" ht="14.25">
      <c r="A1822" s="5">
        <v>4</v>
      </c>
      <c r="B1822" s="6" t="s">
        <v>3678</v>
      </c>
      <c r="C1822" s="7">
        <v>27123</v>
      </c>
      <c r="D1822" s="8" t="s">
        <v>3679</v>
      </c>
    </row>
    <row r="1823" spans="1:4" ht="14.25">
      <c r="A1823" s="5" t="s">
        <v>96</v>
      </c>
      <c r="B1823" s="6" t="s">
        <v>3680</v>
      </c>
      <c r="C1823" s="7">
        <v>27124</v>
      </c>
      <c r="D1823" s="8" t="s">
        <v>3681</v>
      </c>
    </row>
    <row r="1824" spans="1:4" ht="14.25">
      <c r="A1824" s="5" t="s">
        <v>96</v>
      </c>
      <c r="B1824" s="6" t="s">
        <v>3682</v>
      </c>
      <c r="C1824" s="7">
        <v>27124</v>
      </c>
      <c r="D1824" s="8" t="s">
        <v>3683</v>
      </c>
    </row>
    <row r="1825" spans="1:4" ht="14.25">
      <c r="A1825" s="5" t="s">
        <v>484</v>
      </c>
      <c r="B1825" s="6" t="s">
        <v>3684</v>
      </c>
      <c r="C1825" s="7">
        <v>27124</v>
      </c>
      <c r="D1825" s="8" t="s">
        <v>3685</v>
      </c>
    </row>
    <row r="1826" spans="1:4" ht="14.25">
      <c r="A1826" s="5">
        <v>5</v>
      </c>
      <c r="B1826" s="6" t="s">
        <v>3686</v>
      </c>
      <c r="C1826" s="7">
        <v>27124</v>
      </c>
      <c r="D1826" s="8" t="s">
        <v>3687</v>
      </c>
    </row>
    <row r="1827" spans="1:4" ht="14.25">
      <c r="A1827" s="5">
        <v>5</v>
      </c>
      <c r="B1827" s="6" t="s">
        <v>3688</v>
      </c>
      <c r="C1827" s="7">
        <v>27124</v>
      </c>
      <c r="D1827" s="8" t="s">
        <v>3689</v>
      </c>
    </row>
    <row r="1828" spans="1:4" ht="14.25">
      <c r="A1828" s="5">
        <v>5</v>
      </c>
      <c r="B1828" s="6" t="s">
        <v>3690</v>
      </c>
      <c r="C1828" s="7">
        <v>27124</v>
      </c>
      <c r="D1828" s="8" t="s">
        <v>3691</v>
      </c>
    </row>
    <row r="1829" spans="1:4" ht="14.25">
      <c r="A1829" s="5">
        <v>5</v>
      </c>
      <c r="B1829" s="6" t="s">
        <v>3692</v>
      </c>
      <c r="C1829" s="7">
        <v>27124</v>
      </c>
      <c r="D1829" s="8" t="s">
        <v>3693</v>
      </c>
    </row>
    <row r="1830" spans="1:4" ht="14.25">
      <c r="A1830" s="5">
        <v>5</v>
      </c>
      <c r="B1830" s="6" t="s">
        <v>3694</v>
      </c>
      <c r="C1830" s="7">
        <v>27124</v>
      </c>
      <c r="D1830" s="8" t="s">
        <v>3695</v>
      </c>
    </row>
    <row r="1831" spans="1:4" ht="14.25">
      <c r="A1831" s="5" t="s">
        <v>96</v>
      </c>
      <c r="B1831" s="6" t="s">
        <v>3696</v>
      </c>
      <c r="C1831" s="7">
        <v>27125</v>
      </c>
      <c r="D1831" s="8" t="s">
        <v>3697</v>
      </c>
    </row>
    <row r="1832" spans="1:4" ht="14.25">
      <c r="A1832" s="5" t="s">
        <v>484</v>
      </c>
      <c r="B1832" s="6" t="s">
        <v>3698</v>
      </c>
      <c r="C1832" s="7">
        <v>27125</v>
      </c>
      <c r="D1832" s="8" t="s">
        <v>3699</v>
      </c>
    </row>
    <row r="1833" spans="1:4" ht="14.25">
      <c r="A1833" s="5">
        <v>6</v>
      </c>
      <c r="B1833" s="6" t="s">
        <v>3700</v>
      </c>
      <c r="C1833" s="7">
        <v>27125</v>
      </c>
      <c r="D1833" s="8" t="s">
        <v>3701</v>
      </c>
    </row>
    <row r="1834" spans="1:4" ht="14.25">
      <c r="A1834" s="5">
        <v>6</v>
      </c>
      <c r="B1834" s="6" t="s">
        <v>3702</v>
      </c>
      <c r="C1834" s="7">
        <v>27125</v>
      </c>
      <c r="D1834" s="8" t="s">
        <v>3703</v>
      </c>
    </row>
    <row r="1835" spans="1:4" ht="14.25">
      <c r="A1835" s="5">
        <v>6</v>
      </c>
      <c r="B1835" s="6" t="s">
        <v>3704</v>
      </c>
      <c r="C1835" s="7">
        <v>27125</v>
      </c>
      <c r="D1835" s="8" t="s">
        <v>3705</v>
      </c>
    </row>
    <row r="1836" spans="1:4" ht="14.25">
      <c r="A1836" s="5" t="s">
        <v>96</v>
      </c>
      <c r="B1836" s="6" t="s">
        <v>3706</v>
      </c>
      <c r="C1836" s="7">
        <v>27126</v>
      </c>
      <c r="D1836" s="8" t="s">
        <v>3707</v>
      </c>
    </row>
    <row r="1837" spans="1:4" ht="14.25">
      <c r="A1837" s="5" t="s">
        <v>484</v>
      </c>
      <c r="B1837" s="6" t="s">
        <v>3708</v>
      </c>
      <c r="C1837" s="7">
        <v>27126</v>
      </c>
      <c r="D1837" s="8" t="s">
        <v>3709</v>
      </c>
    </row>
    <row r="1838" spans="1:4" ht="14.25">
      <c r="A1838" s="5">
        <v>7</v>
      </c>
      <c r="B1838" s="6" t="s">
        <v>3710</v>
      </c>
      <c r="C1838" s="7">
        <v>27126</v>
      </c>
      <c r="D1838" s="8" t="s">
        <v>3711</v>
      </c>
    </row>
    <row r="1839" spans="1:4" ht="14.25">
      <c r="A1839" s="5">
        <v>7</v>
      </c>
      <c r="B1839" s="6" t="s">
        <v>3712</v>
      </c>
      <c r="C1839" s="7">
        <v>27126</v>
      </c>
      <c r="D1839" s="8" t="s">
        <v>3713</v>
      </c>
    </row>
    <row r="1840" spans="1:4" ht="14.25">
      <c r="A1840" s="5">
        <v>7</v>
      </c>
      <c r="B1840" s="6" t="s">
        <v>3714</v>
      </c>
      <c r="C1840" s="7">
        <v>27126</v>
      </c>
      <c r="D1840" s="8" t="s">
        <v>3715</v>
      </c>
    </row>
    <row r="1841" spans="1:4" ht="14.25">
      <c r="A1841" s="5" t="s">
        <v>96</v>
      </c>
      <c r="B1841" s="6" t="s">
        <v>3716</v>
      </c>
      <c r="C1841" s="7">
        <v>27127</v>
      </c>
      <c r="D1841" s="8" t="s">
        <v>3717</v>
      </c>
    </row>
    <row r="1842" spans="1:4" ht="14.25">
      <c r="A1842" s="5" t="s">
        <v>484</v>
      </c>
      <c r="B1842" s="6" t="s">
        <v>3718</v>
      </c>
      <c r="C1842" s="7">
        <v>27127</v>
      </c>
      <c r="D1842" s="8" t="s">
        <v>3719</v>
      </c>
    </row>
    <row r="1843" spans="1:4" ht="14.25">
      <c r="A1843" s="5">
        <v>8</v>
      </c>
      <c r="B1843" s="6" t="s">
        <v>3720</v>
      </c>
      <c r="C1843" s="7">
        <v>27127</v>
      </c>
      <c r="D1843" s="8" t="s">
        <v>3721</v>
      </c>
    </row>
    <row r="1844" spans="1:4" ht="14.25">
      <c r="A1844" s="5">
        <v>8</v>
      </c>
      <c r="B1844" s="6" t="s">
        <v>3722</v>
      </c>
      <c r="C1844" s="7">
        <v>27127</v>
      </c>
      <c r="D1844" s="8" t="s">
        <v>3723</v>
      </c>
    </row>
    <row r="1845" spans="1:4" ht="14.25">
      <c r="A1845" s="5">
        <v>8</v>
      </c>
      <c r="B1845" s="6" t="s">
        <v>3724</v>
      </c>
      <c r="C1845" s="7">
        <v>27127</v>
      </c>
      <c r="D1845" s="8" t="s">
        <v>3725</v>
      </c>
    </row>
    <row r="1846" spans="1:4" ht="14.25">
      <c r="A1846" s="5">
        <v>8</v>
      </c>
      <c r="B1846" s="6" t="s">
        <v>3726</v>
      </c>
      <c r="C1846" s="7">
        <v>27127</v>
      </c>
      <c r="D1846" s="8" t="s">
        <v>3727</v>
      </c>
    </row>
    <row r="1847" spans="1:4" ht="14.25">
      <c r="A1847" s="5" t="s">
        <v>96</v>
      </c>
      <c r="B1847" s="6" t="s">
        <v>3728</v>
      </c>
      <c r="C1847" s="7">
        <v>27128</v>
      </c>
      <c r="D1847" s="8" t="s">
        <v>3729</v>
      </c>
    </row>
    <row r="1848" spans="1:4" ht="14.25">
      <c r="A1848" s="5">
        <v>9</v>
      </c>
      <c r="B1848" s="6" t="s">
        <v>3730</v>
      </c>
      <c r="C1848" s="7">
        <v>27128</v>
      </c>
      <c r="D1848" s="8" t="s">
        <v>3731</v>
      </c>
    </row>
    <row r="1849" spans="1:4" ht="14.25">
      <c r="A1849" s="5">
        <v>9</v>
      </c>
      <c r="B1849" s="6" t="s">
        <v>3732</v>
      </c>
      <c r="C1849" s="7">
        <v>27128</v>
      </c>
      <c r="D1849" s="8" t="s">
        <v>3733</v>
      </c>
    </row>
    <row r="1850" spans="1:4" ht="14.25">
      <c r="A1850" s="5" t="s">
        <v>96</v>
      </c>
      <c r="B1850" s="6" t="s">
        <v>3734</v>
      </c>
      <c r="C1850" s="7">
        <v>27129</v>
      </c>
      <c r="D1850" s="8" t="s">
        <v>3735</v>
      </c>
    </row>
    <row r="1851" spans="1:4" ht="14.25">
      <c r="A1851" s="5" t="s">
        <v>484</v>
      </c>
      <c r="B1851" s="6" t="s">
        <v>3736</v>
      </c>
      <c r="C1851" s="7">
        <v>27129</v>
      </c>
      <c r="D1851" s="8" t="s">
        <v>3737</v>
      </c>
    </row>
    <row r="1852" spans="1:4" ht="14.25">
      <c r="A1852" s="5">
        <v>10</v>
      </c>
      <c r="B1852" s="6" t="s">
        <v>3738</v>
      </c>
      <c r="C1852" s="7">
        <v>27129</v>
      </c>
      <c r="D1852" s="8" t="s">
        <v>3739</v>
      </c>
    </row>
    <row r="1853" spans="1:4" ht="14.25">
      <c r="A1853" s="5">
        <v>10</v>
      </c>
      <c r="B1853" s="6" t="s">
        <v>3740</v>
      </c>
      <c r="C1853" s="7">
        <v>27129</v>
      </c>
      <c r="D1853" s="8" t="s">
        <v>3741</v>
      </c>
    </row>
    <row r="1854" spans="1:4" ht="14.25">
      <c r="A1854" s="5">
        <v>10</v>
      </c>
      <c r="B1854" s="6" t="s">
        <v>3742</v>
      </c>
      <c r="C1854" s="7">
        <v>27129</v>
      </c>
      <c r="D1854" s="8" t="s">
        <v>3743</v>
      </c>
    </row>
    <row r="1855" spans="1:4" ht="14.25">
      <c r="A1855" s="5">
        <v>10</v>
      </c>
      <c r="B1855" s="6" t="s">
        <v>3744</v>
      </c>
      <c r="C1855" s="7">
        <v>27129</v>
      </c>
      <c r="D1855" s="8" t="s">
        <v>3745</v>
      </c>
    </row>
    <row r="1856" spans="1:4" ht="14.25">
      <c r="A1856" s="5" t="s">
        <v>96</v>
      </c>
      <c r="B1856" s="6" t="s">
        <v>3746</v>
      </c>
      <c r="C1856" s="7">
        <v>27130</v>
      </c>
      <c r="D1856" s="8" t="s">
        <v>3747</v>
      </c>
    </row>
    <row r="1857" spans="1:4" ht="14.25">
      <c r="A1857" s="5" t="s">
        <v>484</v>
      </c>
      <c r="B1857" s="6" t="s">
        <v>3748</v>
      </c>
      <c r="C1857" s="7">
        <v>27130</v>
      </c>
      <c r="D1857" s="8" t="s">
        <v>3749</v>
      </c>
    </row>
    <row r="1858" spans="1:4" ht="14.25">
      <c r="A1858" s="5">
        <v>11</v>
      </c>
      <c r="B1858" s="6" t="s">
        <v>3750</v>
      </c>
      <c r="C1858" s="7">
        <v>27130</v>
      </c>
      <c r="D1858" s="8" t="s">
        <v>3751</v>
      </c>
    </row>
    <row r="1859" spans="1:4" ht="14.25">
      <c r="A1859" s="5">
        <v>11</v>
      </c>
      <c r="B1859" s="6" t="s">
        <v>3752</v>
      </c>
      <c r="C1859" s="7">
        <v>27130</v>
      </c>
      <c r="D1859" s="8" t="s">
        <v>3753</v>
      </c>
    </row>
    <row r="1860" spans="1:4" ht="14.25">
      <c r="A1860" s="5">
        <v>11</v>
      </c>
      <c r="B1860" s="6" t="s">
        <v>3754</v>
      </c>
      <c r="C1860" s="7">
        <v>27130</v>
      </c>
      <c r="D1860" s="8" t="s">
        <v>3755</v>
      </c>
    </row>
    <row r="1861" spans="1:4" ht="14.25">
      <c r="A1861" s="5" t="s">
        <v>96</v>
      </c>
      <c r="B1861" s="6" t="s">
        <v>3756</v>
      </c>
      <c r="C1861" s="7">
        <v>27131</v>
      </c>
      <c r="D1861" s="8" t="s">
        <v>3757</v>
      </c>
    </row>
    <row r="1862" spans="1:4" ht="14.25">
      <c r="A1862" s="5" t="s">
        <v>484</v>
      </c>
      <c r="B1862" s="6" t="s">
        <v>3758</v>
      </c>
      <c r="C1862" s="7">
        <v>27131</v>
      </c>
      <c r="D1862" s="8" t="s">
        <v>3759</v>
      </c>
    </row>
    <row r="1863" spans="1:4" ht="14.25">
      <c r="A1863" s="5">
        <v>12</v>
      </c>
      <c r="B1863" s="6" t="s">
        <v>3760</v>
      </c>
      <c r="C1863" s="7">
        <v>27131</v>
      </c>
      <c r="D1863" s="8" t="s">
        <v>3761</v>
      </c>
    </row>
    <row r="1864" spans="1:4" ht="14.25">
      <c r="A1864" s="5">
        <v>12</v>
      </c>
      <c r="B1864" s="6" t="s">
        <v>3762</v>
      </c>
      <c r="C1864" s="7">
        <v>27131</v>
      </c>
      <c r="D1864" s="8" t="s">
        <v>3763</v>
      </c>
    </row>
    <row r="1865" spans="1:4" ht="14.25">
      <c r="A1865" s="5">
        <v>12</v>
      </c>
      <c r="B1865" s="6" t="s">
        <v>3764</v>
      </c>
      <c r="C1865" s="7">
        <v>27131</v>
      </c>
      <c r="D1865" s="8" t="s">
        <v>3765</v>
      </c>
    </row>
    <row r="1866" spans="1:4" ht="14.25">
      <c r="A1866" s="5" t="s">
        <v>96</v>
      </c>
      <c r="B1866" s="6" t="s">
        <v>3766</v>
      </c>
      <c r="C1866" s="7">
        <v>27132</v>
      </c>
      <c r="D1866" s="8" t="s">
        <v>3767</v>
      </c>
    </row>
    <row r="1867" spans="1:4" ht="14.25">
      <c r="A1867" s="5" t="s">
        <v>484</v>
      </c>
      <c r="B1867" s="6" t="s">
        <v>3768</v>
      </c>
      <c r="C1867" s="7">
        <v>27132</v>
      </c>
      <c r="D1867" s="8" t="s">
        <v>3769</v>
      </c>
    </row>
    <row r="1868" spans="1:4" ht="14.25">
      <c r="A1868" s="5">
        <v>13</v>
      </c>
      <c r="B1868" s="6" t="s">
        <v>3770</v>
      </c>
      <c r="C1868" s="7">
        <v>27132</v>
      </c>
      <c r="D1868" s="8" t="s">
        <v>3771</v>
      </c>
    </row>
    <row r="1869" spans="1:4" ht="14.25">
      <c r="A1869" s="5">
        <v>13</v>
      </c>
      <c r="B1869" s="6" t="s">
        <v>3772</v>
      </c>
      <c r="C1869" s="7">
        <v>27132</v>
      </c>
      <c r="D1869" s="8" t="s">
        <v>3773</v>
      </c>
    </row>
    <row r="1870" spans="1:4" ht="14.25">
      <c r="A1870" s="5">
        <v>13</v>
      </c>
      <c r="B1870" s="6" t="s">
        <v>3774</v>
      </c>
      <c r="C1870" s="7">
        <v>27132</v>
      </c>
      <c r="D1870" s="8" t="s">
        <v>3775</v>
      </c>
    </row>
    <row r="1871" spans="1:4" ht="14.25">
      <c r="A1871" s="5" t="s">
        <v>96</v>
      </c>
      <c r="B1871" s="6" t="s">
        <v>3776</v>
      </c>
      <c r="C1871" s="7">
        <v>27133</v>
      </c>
      <c r="D1871" s="8" t="s">
        <v>3777</v>
      </c>
    </row>
    <row r="1872" spans="1:4" ht="14.25">
      <c r="A1872" s="5" t="s">
        <v>484</v>
      </c>
      <c r="B1872" s="6" t="s">
        <v>3778</v>
      </c>
      <c r="C1872" s="7">
        <v>27133</v>
      </c>
      <c r="D1872" s="8" t="s">
        <v>3779</v>
      </c>
    </row>
    <row r="1873" spans="1:4" ht="14.25">
      <c r="A1873" s="5">
        <v>14</v>
      </c>
      <c r="B1873" s="6" t="s">
        <v>3780</v>
      </c>
      <c r="C1873" s="7">
        <v>27133</v>
      </c>
      <c r="D1873" s="8" t="s">
        <v>3781</v>
      </c>
    </row>
    <row r="1874" spans="1:4" ht="14.25">
      <c r="A1874" s="5">
        <v>14</v>
      </c>
      <c r="B1874" s="6" t="s">
        <v>3782</v>
      </c>
      <c r="C1874" s="7">
        <v>27133</v>
      </c>
      <c r="D1874" s="8" t="s">
        <v>3783</v>
      </c>
    </row>
    <row r="1875" spans="1:4" ht="14.25">
      <c r="A1875" s="5" t="s">
        <v>96</v>
      </c>
      <c r="B1875" s="6" t="s">
        <v>3784</v>
      </c>
      <c r="C1875" s="7">
        <v>27134</v>
      </c>
      <c r="D1875" s="8" t="s">
        <v>3785</v>
      </c>
    </row>
    <row r="1876" spans="1:4" ht="14.25">
      <c r="A1876" s="5">
        <v>15</v>
      </c>
      <c r="B1876" s="6" t="s">
        <v>3786</v>
      </c>
      <c r="C1876" s="7">
        <v>27134</v>
      </c>
      <c r="D1876" s="8" t="s">
        <v>3787</v>
      </c>
    </row>
    <row r="1877" spans="1:4" ht="14.25">
      <c r="A1877" s="5">
        <v>15</v>
      </c>
      <c r="B1877" s="6" t="s">
        <v>3788</v>
      </c>
      <c r="C1877" s="7">
        <v>27134</v>
      </c>
      <c r="D1877" s="8" t="s">
        <v>3789</v>
      </c>
    </row>
    <row r="1878" spans="1:4" ht="14.25">
      <c r="A1878" s="5" t="s">
        <v>96</v>
      </c>
      <c r="B1878" s="6" t="s">
        <v>3790</v>
      </c>
      <c r="C1878" s="7">
        <v>27135</v>
      </c>
      <c r="D1878" s="8" t="s">
        <v>3791</v>
      </c>
    </row>
    <row r="1879" spans="1:4" ht="14.25">
      <c r="A1879" s="5" t="s">
        <v>484</v>
      </c>
      <c r="B1879" s="6" t="s">
        <v>3792</v>
      </c>
      <c r="C1879" s="7">
        <v>27135</v>
      </c>
      <c r="D1879" s="8" t="s">
        <v>3793</v>
      </c>
    </row>
    <row r="1880" spans="1:4" ht="14.25">
      <c r="A1880" s="5">
        <v>16</v>
      </c>
      <c r="B1880" s="6" t="s">
        <v>3794</v>
      </c>
      <c r="C1880" s="7">
        <v>27135</v>
      </c>
      <c r="D1880" s="8" t="s">
        <v>3795</v>
      </c>
    </row>
    <row r="1881" spans="1:4" ht="14.25">
      <c r="A1881" s="5">
        <v>16</v>
      </c>
      <c r="B1881" s="6" t="s">
        <v>3796</v>
      </c>
      <c r="C1881" s="7">
        <v>27135</v>
      </c>
      <c r="D1881" s="8" t="s">
        <v>3797</v>
      </c>
    </row>
    <row r="1882" spans="1:4" ht="14.25">
      <c r="A1882" s="5">
        <v>16</v>
      </c>
      <c r="B1882" s="6" t="s">
        <v>3798</v>
      </c>
      <c r="C1882" s="7">
        <v>27135</v>
      </c>
      <c r="D1882" s="8" t="s">
        <v>3799</v>
      </c>
    </row>
    <row r="1883" spans="1:4" ht="14.25">
      <c r="A1883" s="5" t="s">
        <v>96</v>
      </c>
      <c r="B1883" s="6" t="s">
        <v>3800</v>
      </c>
      <c r="C1883" s="7">
        <v>27136</v>
      </c>
      <c r="D1883" s="8" t="s">
        <v>3801</v>
      </c>
    </row>
    <row r="1884" spans="1:4" ht="14.25">
      <c r="A1884" s="5" t="s">
        <v>484</v>
      </c>
      <c r="B1884" s="6" t="s">
        <v>3802</v>
      </c>
      <c r="C1884" s="7">
        <v>27136</v>
      </c>
      <c r="D1884" s="8" t="s">
        <v>3803</v>
      </c>
    </row>
    <row r="1885" spans="1:4" ht="14.25">
      <c r="A1885" s="5">
        <v>17</v>
      </c>
      <c r="B1885" s="6" t="s">
        <v>3804</v>
      </c>
      <c r="C1885" s="7">
        <v>27136</v>
      </c>
      <c r="D1885" s="8" t="s">
        <v>3805</v>
      </c>
    </row>
    <row r="1886" spans="1:4" ht="14.25">
      <c r="A1886" s="5">
        <v>17</v>
      </c>
      <c r="B1886" s="6" t="s">
        <v>3806</v>
      </c>
      <c r="C1886" s="7">
        <v>27136</v>
      </c>
      <c r="D1886" s="8" t="s">
        <v>3807</v>
      </c>
    </row>
    <row r="1887" spans="1:4" ht="14.25">
      <c r="A1887" s="5">
        <v>17</v>
      </c>
      <c r="B1887" s="6" t="s">
        <v>3808</v>
      </c>
      <c r="C1887" s="7">
        <v>27136</v>
      </c>
      <c r="D1887" s="8" t="s">
        <v>3809</v>
      </c>
    </row>
    <row r="1888" spans="1:4" ht="14.25">
      <c r="A1888" s="5" t="s">
        <v>2</v>
      </c>
      <c r="B1888" s="6" t="s">
        <v>3810</v>
      </c>
      <c r="C1888" s="7">
        <v>27137</v>
      </c>
      <c r="D1888" s="8" t="s">
        <v>3811</v>
      </c>
    </row>
    <row r="1889" spans="1:4" ht="14.25">
      <c r="A1889" s="5" t="s">
        <v>484</v>
      </c>
      <c r="B1889" s="6" t="s">
        <v>3812</v>
      </c>
      <c r="C1889" s="7">
        <v>27137</v>
      </c>
      <c r="D1889" s="8" t="s">
        <v>3813</v>
      </c>
    </row>
    <row r="1890" spans="1:4" ht="14.25">
      <c r="A1890" s="5" t="s">
        <v>42</v>
      </c>
      <c r="B1890" s="6" t="s">
        <v>3814</v>
      </c>
      <c r="C1890" s="7">
        <v>27137</v>
      </c>
      <c r="D1890" s="8" t="s">
        <v>3815</v>
      </c>
    </row>
    <row r="1891" spans="1:4" ht="14.25">
      <c r="A1891" s="5">
        <v>18</v>
      </c>
      <c r="B1891" s="6" t="s">
        <v>3816</v>
      </c>
      <c r="C1891" s="7">
        <v>27137</v>
      </c>
      <c r="D1891" s="8" t="s">
        <v>3817</v>
      </c>
    </row>
    <row r="1892" spans="1:4" ht="14.25">
      <c r="A1892" s="5">
        <v>18</v>
      </c>
      <c r="B1892" s="6" t="s">
        <v>3818</v>
      </c>
      <c r="C1892" s="7">
        <v>27137</v>
      </c>
      <c r="D1892" s="8" t="s">
        <v>3819</v>
      </c>
    </row>
    <row r="1893" spans="1:4" ht="14.25">
      <c r="A1893" s="5">
        <v>18</v>
      </c>
      <c r="B1893" s="6" t="s">
        <v>3820</v>
      </c>
      <c r="C1893" s="7">
        <v>27137</v>
      </c>
      <c r="D1893" s="8" t="s">
        <v>3821</v>
      </c>
    </row>
    <row r="1894" spans="1:4" ht="14.25">
      <c r="A1894" s="5">
        <v>18</v>
      </c>
      <c r="B1894" s="6" t="s">
        <v>3822</v>
      </c>
      <c r="C1894" s="7">
        <v>27137</v>
      </c>
      <c r="D1894" s="8" t="s">
        <v>3823</v>
      </c>
    </row>
    <row r="1895" spans="1:4" ht="14.25">
      <c r="A1895" s="5">
        <v>18</v>
      </c>
      <c r="B1895" s="6" t="s">
        <v>3824</v>
      </c>
      <c r="C1895" s="7">
        <v>27137</v>
      </c>
      <c r="D1895" s="8" t="s">
        <v>3825</v>
      </c>
    </row>
    <row r="1896" spans="1:4" ht="14.25">
      <c r="A1896" s="5" t="s">
        <v>1786</v>
      </c>
      <c r="B1896" s="6" t="s">
        <v>3826</v>
      </c>
      <c r="C1896" s="7">
        <v>27138</v>
      </c>
      <c r="D1896" s="8" t="s">
        <v>3827</v>
      </c>
    </row>
    <row r="1897" spans="1:4" ht="14.25">
      <c r="A1897" s="5" t="s">
        <v>484</v>
      </c>
      <c r="B1897" s="6" t="s">
        <v>3828</v>
      </c>
      <c r="C1897" s="7">
        <v>27138</v>
      </c>
      <c r="D1897" s="8" t="s">
        <v>3829</v>
      </c>
    </row>
    <row r="1898" spans="1:4" ht="14.25">
      <c r="A1898" s="5">
        <v>19</v>
      </c>
      <c r="B1898" s="6" t="s">
        <v>3830</v>
      </c>
      <c r="C1898" s="7">
        <v>27138</v>
      </c>
      <c r="D1898" s="8" t="s">
        <v>3831</v>
      </c>
    </row>
    <row r="1899" spans="1:4" ht="14.25">
      <c r="A1899" s="5">
        <v>19</v>
      </c>
      <c r="B1899" s="6" t="s">
        <v>3832</v>
      </c>
      <c r="C1899" s="7">
        <v>27138</v>
      </c>
      <c r="D1899" s="8" t="s">
        <v>3833</v>
      </c>
    </row>
    <row r="1900" spans="1:4" ht="14.25">
      <c r="A1900" s="5">
        <v>19</v>
      </c>
      <c r="B1900" s="6" t="s">
        <v>3834</v>
      </c>
      <c r="C1900" s="7">
        <v>27138</v>
      </c>
      <c r="D1900" s="8" t="s">
        <v>3835</v>
      </c>
    </row>
    <row r="1901" spans="1:4" ht="14.25">
      <c r="A1901" s="5">
        <v>19</v>
      </c>
      <c r="B1901" s="6" t="s">
        <v>3836</v>
      </c>
      <c r="C1901" s="7">
        <v>27138</v>
      </c>
      <c r="D1901" s="8" t="s">
        <v>3837</v>
      </c>
    </row>
    <row r="1902" spans="1:4" ht="14.25">
      <c r="A1902" s="5" t="s">
        <v>1786</v>
      </c>
      <c r="B1902" s="6" t="s">
        <v>3838</v>
      </c>
      <c r="C1902" s="7">
        <v>27139</v>
      </c>
      <c r="D1902" s="8" t="s">
        <v>3839</v>
      </c>
    </row>
    <row r="1903" spans="1:4" ht="14.25">
      <c r="A1903" s="5" t="s">
        <v>484</v>
      </c>
      <c r="B1903" s="6" t="s">
        <v>3840</v>
      </c>
      <c r="C1903" s="7">
        <v>27139</v>
      </c>
      <c r="D1903" s="8" t="s">
        <v>3841</v>
      </c>
    </row>
    <row r="1904" spans="1:4" ht="14.25">
      <c r="A1904" s="5" t="s">
        <v>463</v>
      </c>
      <c r="B1904" s="6" t="s">
        <v>3842</v>
      </c>
      <c r="C1904" s="7">
        <v>27139</v>
      </c>
      <c r="D1904" s="8" t="s">
        <v>3843</v>
      </c>
    </row>
    <row r="1905" spans="1:4" ht="14.25">
      <c r="A1905" s="5">
        <v>20</v>
      </c>
      <c r="B1905" s="6" t="s">
        <v>3844</v>
      </c>
      <c r="C1905" s="7">
        <v>27139</v>
      </c>
      <c r="D1905" s="8" t="s">
        <v>3845</v>
      </c>
    </row>
    <row r="1906" spans="1:4" ht="14.25">
      <c r="A1906" s="5">
        <v>20</v>
      </c>
      <c r="B1906" s="6" t="s">
        <v>3846</v>
      </c>
      <c r="C1906" s="7">
        <v>27139</v>
      </c>
      <c r="D1906" s="8" t="s">
        <v>3847</v>
      </c>
    </row>
    <row r="1907" spans="1:4" ht="14.25">
      <c r="A1907" s="5">
        <v>20</v>
      </c>
      <c r="B1907" s="6" t="s">
        <v>3848</v>
      </c>
      <c r="C1907" s="7">
        <v>27139</v>
      </c>
      <c r="D1907" s="8" t="s">
        <v>3849</v>
      </c>
    </row>
    <row r="1908" spans="1:4" ht="14.25">
      <c r="A1908" s="5">
        <v>20</v>
      </c>
      <c r="B1908" s="6" t="s">
        <v>3850</v>
      </c>
      <c r="C1908" s="7">
        <v>27139</v>
      </c>
      <c r="D1908" s="8" t="s">
        <v>3851</v>
      </c>
    </row>
    <row r="1909" spans="1:4" ht="14.25">
      <c r="A1909" s="5">
        <v>20</v>
      </c>
      <c r="B1909" s="6" t="s">
        <v>3852</v>
      </c>
      <c r="C1909" s="7">
        <v>27139</v>
      </c>
      <c r="D1909" s="8" t="s">
        <v>3853</v>
      </c>
    </row>
    <row r="1910" spans="1:4" ht="14.25">
      <c r="A1910" s="5" t="s">
        <v>42</v>
      </c>
      <c r="B1910" s="6" t="s">
        <v>3854</v>
      </c>
      <c r="C1910" s="7">
        <v>27140</v>
      </c>
      <c r="D1910" s="8" t="s">
        <v>3855</v>
      </c>
    </row>
    <row r="1911" spans="1:4" ht="14.25">
      <c r="A1911" s="5">
        <v>21</v>
      </c>
      <c r="B1911" s="6" t="s">
        <v>3856</v>
      </c>
      <c r="C1911" s="7">
        <v>27140</v>
      </c>
      <c r="D1911" s="8" t="s">
        <v>3857</v>
      </c>
    </row>
    <row r="1912" spans="1:4" ht="14.25">
      <c r="A1912" s="5">
        <v>21</v>
      </c>
      <c r="B1912" s="6" t="s">
        <v>3858</v>
      </c>
      <c r="C1912" s="7">
        <v>27140</v>
      </c>
      <c r="D1912" s="8" t="s">
        <v>3859</v>
      </c>
    </row>
    <row r="1913" spans="1:4" ht="14.25">
      <c r="A1913" s="5" t="s">
        <v>484</v>
      </c>
      <c r="B1913" s="6" t="s">
        <v>3860</v>
      </c>
      <c r="C1913" s="7">
        <v>27141</v>
      </c>
      <c r="D1913" s="8" t="s">
        <v>3861</v>
      </c>
    </row>
    <row r="1914" spans="1:4" ht="14.25">
      <c r="A1914" s="5" t="s">
        <v>42</v>
      </c>
      <c r="B1914" s="6" t="s">
        <v>3862</v>
      </c>
      <c r="C1914" s="7">
        <v>27141</v>
      </c>
      <c r="D1914" s="8" t="s">
        <v>3863</v>
      </c>
    </row>
    <row r="1915" spans="1:4" ht="14.25">
      <c r="A1915" s="5">
        <v>22</v>
      </c>
      <c r="B1915" s="6" t="s">
        <v>3864</v>
      </c>
      <c r="C1915" s="7">
        <v>27141</v>
      </c>
      <c r="D1915" s="8" t="s">
        <v>3865</v>
      </c>
    </row>
    <row r="1916" spans="1:4" ht="14.25">
      <c r="A1916" s="5">
        <v>22</v>
      </c>
      <c r="B1916" s="6" t="s">
        <v>3866</v>
      </c>
      <c r="C1916" s="7">
        <v>27141</v>
      </c>
      <c r="D1916" s="8" t="s">
        <v>3867</v>
      </c>
    </row>
    <row r="1917" spans="1:4" ht="14.25">
      <c r="A1917" s="5">
        <v>22</v>
      </c>
      <c r="B1917" s="6" t="s">
        <v>3868</v>
      </c>
      <c r="C1917" s="7">
        <v>27141</v>
      </c>
      <c r="D1917" s="8" t="s">
        <v>3869</v>
      </c>
    </row>
    <row r="1918" spans="1:4" ht="14.25">
      <c r="A1918" s="5">
        <v>22</v>
      </c>
      <c r="B1918" s="6" t="s">
        <v>3870</v>
      </c>
      <c r="C1918" s="7">
        <v>27141</v>
      </c>
      <c r="D1918" s="8" t="s">
        <v>3871</v>
      </c>
    </row>
    <row r="1919" spans="1:4" ht="14.25">
      <c r="A1919" s="5" t="s">
        <v>484</v>
      </c>
      <c r="B1919" s="6" t="s">
        <v>3872</v>
      </c>
      <c r="C1919" s="7">
        <v>27142</v>
      </c>
      <c r="D1919" s="8" t="s">
        <v>3873</v>
      </c>
    </row>
    <row r="1920" spans="1:4" ht="14.25">
      <c r="A1920" s="5" t="s">
        <v>42</v>
      </c>
      <c r="B1920" s="6" t="s">
        <v>3874</v>
      </c>
      <c r="C1920" s="7">
        <v>27142</v>
      </c>
      <c r="D1920" s="8" t="s">
        <v>3875</v>
      </c>
    </row>
    <row r="1921" spans="1:4" ht="14.25">
      <c r="A1921" s="5">
        <v>23</v>
      </c>
      <c r="B1921" s="6" t="s">
        <v>3876</v>
      </c>
      <c r="C1921" s="7">
        <v>27142</v>
      </c>
      <c r="D1921" s="8" t="s">
        <v>3877</v>
      </c>
    </row>
    <row r="1922" spans="1:4" ht="14.25">
      <c r="A1922" s="5">
        <v>23</v>
      </c>
      <c r="B1922" s="6" t="s">
        <v>3878</v>
      </c>
      <c r="C1922" s="7">
        <v>27142</v>
      </c>
      <c r="D1922" s="8" t="s">
        <v>3879</v>
      </c>
    </row>
    <row r="1923" spans="1:4" ht="14.25">
      <c r="A1923" s="5">
        <v>23</v>
      </c>
      <c r="B1923" s="6" t="s">
        <v>3880</v>
      </c>
      <c r="C1923" s="7">
        <v>27142</v>
      </c>
      <c r="D1923" s="8" t="s">
        <v>3881</v>
      </c>
    </row>
    <row r="1924" spans="1:4" ht="14.25">
      <c r="A1924" s="5">
        <v>23</v>
      </c>
      <c r="B1924" s="6" t="s">
        <v>3882</v>
      </c>
      <c r="C1924" s="7">
        <v>27142</v>
      </c>
      <c r="D1924" s="8" t="s">
        <v>3883</v>
      </c>
    </row>
    <row r="1925" spans="1:4" ht="14.25">
      <c r="A1925" s="5">
        <v>23</v>
      </c>
      <c r="B1925" s="6" t="s">
        <v>3884</v>
      </c>
      <c r="C1925" s="7">
        <v>27142</v>
      </c>
      <c r="D1925" s="8" t="s">
        <v>3885</v>
      </c>
    </row>
    <row r="1926" spans="1:4" ht="14.25">
      <c r="A1926" s="5" t="s">
        <v>484</v>
      </c>
      <c r="B1926" s="6" t="s">
        <v>3886</v>
      </c>
      <c r="C1926" s="7">
        <v>27143</v>
      </c>
      <c r="D1926" s="8" t="s">
        <v>3887</v>
      </c>
    </row>
    <row r="1927" spans="1:4" ht="14.25">
      <c r="A1927" s="5" t="s">
        <v>42</v>
      </c>
      <c r="B1927" s="6" t="s">
        <v>3888</v>
      </c>
      <c r="C1927" s="7">
        <v>27143</v>
      </c>
      <c r="D1927" s="8" t="s">
        <v>3889</v>
      </c>
    </row>
    <row r="1928" spans="1:4" ht="14.25">
      <c r="A1928" s="5">
        <v>24</v>
      </c>
      <c r="B1928" s="6" t="s">
        <v>3890</v>
      </c>
      <c r="C1928" s="7">
        <v>27143</v>
      </c>
      <c r="D1928" s="8" t="s">
        <v>3891</v>
      </c>
    </row>
    <row r="1929" spans="1:4" ht="14.25">
      <c r="A1929" s="5">
        <v>24</v>
      </c>
      <c r="B1929" s="6" t="s">
        <v>3892</v>
      </c>
      <c r="C1929" s="7">
        <v>27143</v>
      </c>
      <c r="D1929" s="8" t="s">
        <v>3893</v>
      </c>
    </row>
    <row r="1930" spans="1:4" ht="14.25">
      <c r="A1930" s="5">
        <v>25</v>
      </c>
      <c r="B1930" s="6" t="s">
        <v>3894</v>
      </c>
      <c r="C1930" s="7">
        <v>27144</v>
      </c>
      <c r="D1930" s="8" t="s">
        <v>3895</v>
      </c>
    </row>
    <row r="1931" spans="1:4" ht="14.25">
      <c r="A1931" s="5" t="s">
        <v>2</v>
      </c>
      <c r="B1931" s="6" t="s">
        <v>3896</v>
      </c>
      <c r="C1931" s="7">
        <v>27145</v>
      </c>
      <c r="D1931" s="8" t="s">
        <v>3897</v>
      </c>
    </row>
    <row r="1932" spans="1:4" ht="14.25">
      <c r="A1932" s="5" t="s">
        <v>463</v>
      </c>
      <c r="B1932" s="6" t="s">
        <v>3898</v>
      </c>
      <c r="C1932" s="7">
        <v>27145</v>
      </c>
      <c r="D1932" s="8" t="s">
        <v>3899</v>
      </c>
    </row>
    <row r="1933" spans="1:4" ht="14.25">
      <c r="A1933" s="5" t="s">
        <v>42</v>
      </c>
      <c r="B1933" s="6" t="s">
        <v>3900</v>
      </c>
      <c r="C1933" s="7">
        <v>27145</v>
      </c>
      <c r="D1933" s="8" t="s">
        <v>3901</v>
      </c>
    </row>
    <row r="1934" spans="1:4" ht="14.25">
      <c r="A1934" s="5">
        <v>26</v>
      </c>
      <c r="B1934" s="6" t="s">
        <v>3902</v>
      </c>
      <c r="C1934" s="7">
        <v>27145</v>
      </c>
      <c r="D1934" s="8" t="s">
        <v>3903</v>
      </c>
    </row>
    <row r="1935" spans="1:4" ht="14.25">
      <c r="A1935" s="5">
        <v>26</v>
      </c>
      <c r="B1935" s="6" t="s">
        <v>3904</v>
      </c>
      <c r="C1935" s="7">
        <v>27145</v>
      </c>
      <c r="D1935" s="8" t="s">
        <v>3905</v>
      </c>
    </row>
    <row r="1936" spans="1:4" ht="14.25">
      <c r="A1936" s="5">
        <v>26</v>
      </c>
      <c r="B1936" s="6" t="s">
        <v>3906</v>
      </c>
      <c r="C1936" s="7">
        <v>27145</v>
      </c>
      <c r="D1936" s="8" t="s">
        <v>3907</v>
      </c>
    </row>
    <row r="1937" spans="1:4" ht="14.25">
      <c r="A1937" s="5" t="s">
        <v>184</v>
      </c>
      <c r="B1937" s="6" t="s">
        <v>3908</v>
      </c>
      <c r="C1937" s="7">
        <v>27146</v>
      </c>
      <c r="D1937" s="8" t="s">
        <v>3909</v>
      </c>
    </row>
    <row r="1938" spans="1:4" ht="14.25">
      <c r="A1938" s="5">
        <v>27</v>
      </c>
      <c r="B1938" s="6" t="s">
        <v>3910</v>
      </c>
      <c r="C1938" s="7">
        <v>27146</v>
      </c>
      <c r="D1938" s="8" t="s">
        <v>3911</v>
      </c>
    </row>
    <row r="1939" spans="1:4" ht="14.25">
      <c r="A1939" s="5">
        <v>27</v>
      </c>
      <c r="B1939" s="6" t="s">
        <v>3912</v>
      </c>
      <c r="C1939" s="7">
        <v>27146</v>
      </c>
      <c r="D1939" s="8" t="s">
        <v>3913</v>
      </c>
    </row>
    <row r="1940" spans="1:4" ht="14.25">
      <c r="A1940" s="5" t="s">
        <v>184</v>
      </c>
      <c r="B1940" s="6" t="s">
        <v>3914</v>
      </c>
      <c r="C1940" s="7">
        <v>27147</v>
      </c>
      <c r="D1940" s="8" t="s">
        <v>3915</v>
      </c>
    </row>
    <row r="1941" spans="1:4" ht="14.25">
      <c r="A1941" s="5">
        <v>28</v>
      </c>
      <c r="B1941" s="6" t="s">
        <v>3916</v>
      </c>
      <c r="C1941" s="7">
        <v>27147</v>
      </c>
      <c r="D1941" s="8" t="s">
        <v>3917</v>
      </c>
    </row>
    <row r="1942" spans="1:4" ht="14.25">
      <c r="A1942" s="5">
        <v>28</v>
      </c>
      <c r="B1942" s="6" t="s">
        <v>3918</v>
      </c>
      <c r="C1942" s="7">
        <v>27147</v>
      </c>
      <c r="D1942" s="8" t="s">
        <v>3919</v>
      </c>
    </row>
    <row r="1943" spans="1:4" ht="14.25">
      <c r="A1943" s="5" t="s">
        <v>484</v>
      </c>
      <c r="B1943" s="6" t="s">
        <v>3920</v>
      </c>
      <c r="C1943" s="7">
        <v>27148</v>
      </c>
      <c r="D1943" s="8" t="s">
        <v>3921</v>
      </c>
    </row>
    <row r="1944" spans="1:4" ht="14.25">
      <c r="A1944" s="5">
        <v>29</v>
      </c>
      <c r="B1944" s="6" t="s">
        <v>3922</v>
      </c>
      <c r="C1944" s="7">
        <v>27148</v>
      </c>
      <c r="D1944" s="8" t="s">
        <v>3923</v>
      </c>
    </row>
    <row r="1945" spans="1:4" ht="14.25">
      <c r="A1945" s="5">
        <v>29</v>
      </c>
      <c r="B1945" s="6" t="s">
        <v>3924</v>
      </c>
      <c r="C1945" s="7">
        <v>27148</v>
      </c>
      <c r="D1945" s="8" t="s">
        <v>3925</v>
      </c>
    </row>
    <row r="1946" spans="1:4" ht="14.25">
      <c r="A1946" s="5" t="s">
        <v>484</v>
      </c>
      <c r="B1946" s="6" t="s">
        <v>3926</v>
      </c>
      <c r="C1946" s="7">
        <v>27150</v>
      </c>
      <c r="D1946" s="8" t="s">
        <v>3927</v>
      </c>
    </row>
    <row r="1947" spans="1:4" ht="14.25">
      <c r="A1947" s="5">
        <v>1</v>
      </c>
      <c r="B1947" s="6" t="s">
        <v>3928</v>
      </c>
      <c r="C1947" s="7">
        <v>27150</v>
      </c>
      <c r="D1947" s="8" t="s">
        <v>3929</v>
      </c>
    </row>
    <row r="1948" spans="1:4" ht="14.25">
      <c r="A1948" s="5" t="s">
        <v>484</v>
      </c>
      <c r="B1948" s="6" t="s">
        <v>3930</v>
      </c>
      <c r="C1948" s="7">
        <v>27151</v>
      </c>
      <c r="D1948" s="8" t="s">
        <v>3931</v>
      </c>
    </row>
    <row r="1949" spans="1:4" ht="14.25">
      <c r="A1949" s="5">
        <v>2</v>
      </c>
      <c r="B1949" s="6" t="s">
        <v>3932</v>
      </c>
      <c r="C1949" s="7">
        <v>27151</v>
      </c>
      <c r="D1949" s="8" t="s">
        <v>3933</v>
      </c>
    </row>
    <row r="1950" spans="1:4" ht="14.25">
      <c r="A1950" s="5" t="s">
        <v>484</v>
      </c>
      <c r="B1950" s="6" t="s">
        <v>3934</v>
      </c>
      <c r="C1950" s="7">
        <v>27152</v>
      </c>
      <c r="D1950" s="8" t="s">
        <v>3935</v>
      </c>
    </row>
    <row r="1951" spans="1:4" ht="14.25">
      <c r="A1951" s="5">
        <v>3</v>
      </c>
      <c r="B1951" s="6" t="s">
        <v>3936</v>
      </c>
      <c r="C1951" s="7">
        <v>27152</v>
      </c>
      <c r="D1951" s="8" t="s">
        <v>3937</v>
      </c>
    </row>
    <row r="1952" spans="1:4" ht="14.25">
      <c r="A1952" s="5" t="s">
        <v>484</v>
      </c>
      <c r="B1952" s="6" t="s">
        <v>3938</v>
      </c>
      <c r="C1952" s="7">
        <v>27153</v>
      </c>
      <c r="D1952" s="8" t="s">
        <v>3939</v>
      </c>
    </row>
    <row r="1953" spans="1:4" ht="14.25">
      <c r="A1953" s="5">
        <v>4</v>
      </c>
      <c r="B1953" s="6" t="s">
        <v>3940</v>
      </c>
      <c r="C1953" s="7">
        <v>27153</v>
      </c>
      <c r="D1953" s="8" t="s">
        <v>3941</v>
      </c>
    </row>
    <row r="1954" spans="1:4" ht="14.25">
      <c r="A1954" s="5" t="s">
        <v>197</v>
      </c>
      <c r="B1954" s="6" t="s">
        <v>3942</v>
      </c>
      <c r="C1954" s="7">
        <v>27154</v>
      </c>
      <c r="D1954" s="8" t="s">
        <v>3943</v>
      </c>
    </row>
    <row r="1955" spans="1:4" ht="14.25">
      <c r="A1955" s="5" t="s">
        <v>484</v>
      </c>
      <c r="B1955" s="6" t="s">
        <v>3944</v>
      </c>
      <c r="C1955" s="7">
        <v>27154</v>
      </c>
      <c r="D1955" s="8" t="s">
        <v>3945</v>
      </c>
    </row>
    <row r="1956" spans="1:4" ht="14.25">
      <c r="A1956" s="5">
        <v>5</v>
      </c>
      <c r="B1956" s="6" t="s">
        <v>3946</v>
      </c>
      <c r="C1956" s="7">
        <v>27154</v>
      </c>
      <c r="D1956" s="8" t="s">
        <v>3947</v>
      </c>
    </row>
    <row r="1957" spans="1:4" ht="14.25">
      <c r="A1957" s="5">
        <v>5</v>
      </c>
      <c r="B1957" s="6" t="s">
        <v>3948</v>
      </c>
      <c r="C1957" s="7">
        <v>27154</v>
      </c>
      <c r="D1957" s="8" t="s">
        <v>3949</v>
      </c>
    </row>
    <row r="1958" spans="1:4" ht="14.25">
      <c r="A1958" s="5">
        <v>5</v>
      </c>
      <c r="B1958" s="6" t="s">
        <v>3950</v>
      </c>
      <c r="C1958" s="7">
        <v>27154</v>
      </c>
      <c r="D1958" s="8" t="s">
        <v>3951</v>
      </c>
    </row>
    <row r="1959" spans="1:4" ht="14.25">
      <c r="A1959" s="5" t="s">
        <v>484</v>
      </c>
      <c r="B1959" s="6" t="s">
        <v>3952</v>
      </c>
      <c r="C1959" s="7">
        <v>27155</v>
      </c>
      <c r="D1959" s="8" t="s">
        <v>3953</v>
      </c>
    </row>
    <row r="1960" spans="1:4" ht="14.25">
      <c r="A1960" s="5">
        <v>6</v>
      </c>
      <c r="B1960" s="6" t="s">
        <v>3954</v>
      </c>
      <c r="C1960" s="7">
        <v>27155</v>
      </c>
      <c r="D1960" s="8" t="s">
        <v>3955</v>
      </c>
    </row>
    <row r="1961" spans="1:4" ht="14.25">
      <c r="A1961" s="5" t="s">
        <v>484</v>
      </c>
      <c r="B1961" s="6" t="s">
        <v>3956</v>
      </c>
      <c r="C1961" s="7">
        <v>27157</v>
      </c>
      <c r="D1961" s="8" t="s">
        <v>3957</v>
      </c>
    </row>
    <row r="1962" spans="1:4" ht="14.25">
      <c r="A1962" s="5">
        <v>8</v>
      </c>
      <c r="B1962" s="6" t="s">
        <v>3958</v>
      </c>
      <c r="C1962" s="7">
        <v>27157</v>
      </c>
      <c r="D1962" s="8" t="s">
        <v>3959</v>
      </c>
    </row>
    <row r="1963" spans="1:4" ht="14.25">
      <c r="A1963" s="5" t="s">
        <v>484</v>
      </c>
      <c r="B1963" s="6" t="s">
        <v>3960</v>
      </c>
      <c r="C1963" s="7">
        <v>27158</v>
      </c>
      <c r="D1963" s="8" t="s">
        <v>3961</v>
      </c>
    </row>
    <row r="1964" spans="1:4" ht="14.25">
      <c r="A1964" s="5">
        <v>9</v>
      </c>
      <c r="B1964" s="6" t="s">
        <v>3962</v>
      </c>
      <c r="C1964" s="7">
        <v>27158</v>
      </c>
      <c r="D1964" s="8" t="s">
        <v>3963</v>
      </c>
    </row>
    <row r="1965" spans="1:4" ht="14.25">
      <c r="A1965" s="5" t="s">
        <v>3964</v>
      </c>
      <c r="B1965" s="6" t="s">
        <v>3965</v>
      </c>
      <c r="C1965" s="7">
        <v>27161</v>
      </c>
      <c r="D1965" s="8" t="s">
        <v>3966</v>
      </c>
    </row>
    <row r="1966" spans="1:4" ht="14.25">
      <c r="A1966" s="5">
        <v>12</v>
      </c>
      <c r="B1966" s="6" t="s">
        <v>3967</v>
      </c>
      <c r="C1966" s="7">
        <v>27161</v>
      </c>
      <c r="D1966" s="8" t="s">
        <v>3968</v>
      </c>
    </row>
    <row r="1967" spans="1:4" ht="14.25">
      <c r="A1967" s="5">
        <v>12</v>
      </c>
      <c r="B1967" s="6" t="s">
        <v>3969</v>
      </c>
      <c r="C1967" s="7">
        <v>27161</v>
      </c>
      <c r="D1967" s="8" t="s">
        <v>3970</v>
      </c>
    </row>
    <row r="1968" spans="1:4" ht="14.25">
      <c r="A1968" s="5" t="s">
        <v>463</v>
      </c>
      <c r="B1968" s="6" t="s">
        <v>3971</v>
      </c>
      <c r="C1968" s="7">
        <v>27172</v>
      </c>
      <c r="D1968" s="8" t="s">
        <v>3972</v>
      </c>
    </row>
    <row r="1969" spans="1:4" ht="14.25">
      <c r="A1969" s="5">
        <v>23</v>
      </c>
      <c r="B1969" s="6" t="s">
        <v>3973</v>
      </c>
      <c r="C1969" s="7">
        <v>27172</v>
      </c>
      <c r="D1969" s="8" t="s">
        <v>3974</v>
      </c>
    </row>
    <row r="1970" spans="1:4" ht="14.25">
      <c r="A1970" s="5">
        <v>23</v>
      </c>
      <c r="B1970" s="6" t="s">
        <v>3975</v>
      </c>
      <c r="C1970" s="7">
        <v>27172</v>
      </c>
      <c r="D1970" s="8" t="s">
        <v>3976</v>
      </c>
    </row>
    <row r="1971" spans="1:4" ht="14.25">
      <c r="A1971" s="5" t="s">
        <v>484</v>
      </c>
      <c r="B1971" s="6" t="s">
        <v>3977</v>
      </c>
      <c r="C1971" s="7">
        <v>27173</v>
      </c>
      <c r="D1971" s="8" t="s">
        <v>3978</v>
      </c>
    </row>
    <row r="1972" spans="1:4" ht="14.25">
      <c r="A1972" s="5" t="s">
        <v>463</v>
      </c>
      <c r="B1972" s="6" t="s">
        <v>3979</v>
      </c>
      <c r="C1972" s="7">
        <v>27173</v>
      </c>
      <c r="D1972" s="8" t="s">
        <v>3980</v>
      </c>
    </row>
    <row r="1973" spans="1:4" ht="14.25">
      <c r="A1973" s="5" t="s">
        <v>463</v>
      </c>
      <c r="B1973" s="6" t="s">
        <v>3981</v>
      </c>
      <c r="C1973" s="7">
        <v>27173</v>
      </c>
      <c r="D1973" s="8" t="s">
        <v>3982</v>
      </c>
    </row>
    <row r="1974" spans="1:4" ht="14.25">
      <c r="A1974" s="5" t="s">
        <v>463</v>
      </c>
      <c r="B1974" s="6" t="s">
        <v>3983</v>
      </c>
      <c r="C1974" s="7">
        <v>27173</v>
      </c>
      <c r="D1974" s="8" t="s">
        <v>3984</v>
      </c>
    </row>
    <row r="1975" spans="1:4" ht="14.25">
      <c r="A1975" s="5" t="s">
        <v>463</v>
      </c>
      <c r="B1975" s="6" t="s">
        <v>3985</v>
      </c>
      <c r="C1975" s="7">
        <v>27173</v>
      </c>
      <c r="D1975" s="8" t="s">
        <v>3986</v>
      </c>
    </row>
    <row r="1976" spans="1:4" ht="14.25">
      <c r="A1976" s="5" t="s">
        <v>42</v>
      </c>
      <c r="B1976" s="6" t="s">
        <v>3987</v>
      </c>
      <c r="C1976" s="7">
        <v>27173</v>
      </c>
      <c r="D1976" s="8" t="s">
        <v>3988</v>
      </c>
    </row>
    <row r="1977" spans="1:4" ht="14.25">
      <c r="A1977" s="5">
        <v>24</v>
      </c>
      <c r="B1977" s="6" t="s">
        <v>3989</v>
      </c>
      <c r="C1977" s="7">
        <v>27173</v>
      </c>
      <c r="D1977" s="8" t="s">
        <v>3990</v>
      </c>
    </row>
    <row r="1978" spans="1:4" ht="14.25">
      <c r="A1978" s="5">
        <v>24</v>
      </c>
      <c r="B1978" s="6" t="s">
        <v>3991</v>
      </c>
      <c r="C1978" s="7">
        <v>27173</v>
      </c>
      <c r="D1978" s="8" t="s">
        <v>3992</v>
      </c>
    </row>
    <row r="1979" spans="1:4" ht="14.25">
      <c r="A1979" s="5">
        <v>24</v>
      </c>
      <c r="B1979" s="6" t="s">
        <v>3993</v>
      </c>
      <c r="C1979" s="7">
        <v>27173</v>
      </c>
      <c r="D1979" s="8" t="s">
        <v>3994</v>
      </c>
    </row>
    <row r="1980" spans="1:4" ht="14.25">
      <c r="A1980" s="5">
        <v>24</v>
      </c>
      <c r="B1980" s="6" t="s">
        <v>3995</v>
      </c>
      <c r="C1980" s="7">
        <v>27173</v>
      </c>
      <c r="D1980" s="8" t="s">
        <v>3996</v>
      </c>
    </row>
    <row r="1981" spans="1:4" ht="14.25">
      <c r="A1981" s="5">
        <v>24</v>
      </c>
      <c r="B1981" s="6" t="s">
        <v>3997</v>
      </c>
      <c r="C1981" s="7">
        <v>27173</v>
      </c>
      <c r="D1981" s="8" t="s">
        <v>3998</v>
      </c>
    </row>
    <row r="1982" spans="1:4" ht="14.25">
      <c r="A1982" s="5">
        <v>24</v>
      </c>
      <c r="B1982" s="6" t="s">
        <v>3999</v>
      </c>
      <c r="C1982" s="7">
        <v>27173</v>
      </c>
      <c r="D1982" s="8" t="s">
        <v>4000</v>
      </c>
    </row>
    <row r="1983" spans="1:4" ht="14.25">
      <c r="A1983" s="5">
        <v>24</v>
      </c>
      <c r="B1983" s="6" t="s">
        <v>4001</v>
      </c>
      <c r="C1983" s="7">
        <v>27173</v>
      </c>
      <c r="D1983" s="8" t="s">
        <v>4002</v>
      </c>
    </row>
    <row r="1984" spans="1:4" ht="14.25">
      <c r="A1984" s="5">
        <v>24</v>
      </c>
      <c r="B1984" s="6" t="s">
        <v>4003</v>
      </c>
      <c r="C1984" s="7">
        <v>27173</v>
      </c>
      <c r="D1984" s="8" t="s">
        <v>4004</v>
      </c>
    </row>
    <row r="1985" spans="1:4" ht="14.25">
      <c r="A1985" s="5">
        <v>24</v>
      </c>
      <c r="B1985" s="6" t="s">
        <v>4005</v>
      </c>
      <c r="C1985" s="7">
        <v>27173</v>
      </c>
      <c r="D1985" s="8" t="s">
        <v>4006</v>
      </c>
    </row>
    <row r="1986" spans="1:4" ht="14.25">
      <c r="A1986" s="5" t="s">
        <v>96</v>
      </c>
      <c r="B1986" s="6" t="s">
        <v>4007</v>
      </c>
      <c r="C1986" s="7">
        <v>27174</v>
      </c>
      <c r="D1986" s="8" t="s">
        <v>4008</v>
      </c>
    </row>
    <row r="1987" spans="1:4" ht="14.25">
      <c r="A1987" s="5" t="s">
        <v>484</v>
      </c>
      <c r="B1987" s="6" t="s">
        <v>4009</v>
      </c>
      <c r="C1987" s="7">
        <v>27174</v>
      </c>
      <c r="D1987" s="8" t="s">
        <v>4010</v>
      </c>
    </row>
    <row r="1988" spans="1:4" ht="14.25">
      <c r="A1988" s="5">
        <v>25</v>
      </c>
      <c r="B1988" s="6" t="s">
        <v>4011</v>
      </c>
      <c r="C1988" s="7">
        <v>27174</v>
      </c>
      <c r="D1988" s="8" t="s">
        <v>4012</v>
      </c>
    </row>
    <row r="1989" spans="1:4" ht="14.25">
      <c r="A1989" s="5">
        <v>25</v>
      </c>
      <c r="B1989" s="6" t="s">
        <v>4013</v>
      </c>
      <c r="C1989" s="7">
        <v>27174</v>
      </c>
      <c r="D1989" s="8" t="s">
        <v>4014</v>
      </c>
    </row>
    <row r="1990" spans="1:4" ht="14.25">
      <c r="A1990" s="5" t="s">
        <v>484</v>
      </c>
      <c r="B1990" s="6" t="s">
        <v>4015</v>
      </c>
      <c r="C1990" s="7">
        <v>27175</v>
      </c>
      <c r="D1990" s="8" t="s">
        <v>4016</v>
      </c>
    </row>
    <row r="1991" spans="1:4" ht="14.25">
      <c r="A1991" s="5" t="s">
        <v>42</v>
      </c>
      <c r="B1991" s="6" t="s">
        <v>4017</v>
      </c>
      <c r="C1991" s="7">
        <v>27175</v>
      </c>
      <c r="D1991" s="8" t="s">
        <v>4018</v>
      </c>
    </row>
    <row r="1992" spans="1:4" ht="14.25">
      <c r="A1992" s="5">
        <v>26</v>
      </c>
      <c r="B1992" s="6" t="s">
        <v>4019</v>
      </c>
      <c r="C1992" s="7">
        <v>27175</v>
      </c>
      <c r="D1992" s="8" t="s">
        <v>4020</v>
      </c>
    </row>
    <row r="1993" spans="1:4" ht="14.25">
      <c r="A1993" s="5">
        <v>26</v>
      </c>
      <c r="B1993" s="6" t="s">
        <v>4021</v>
      </c>
      <c r="C1993" s="7">
        <v>27175</v>
      </c>
      <c r="D1993" s="8" t="s">
        <v>4022</v>
      </c>
    </row>
    <row r="1994" spans="1:4" ht="14.25">
      <c r="A1994" s="5">
        <v>26</v>
      </c>
      <c r="B1994" s="6" t="s">
        <v>4023</v>
      </c>
      <c r="C1994" s="7">
        <v>27175</v>
      </c>
      <c r="D1994" s="8" t="s">
        <v>4024</v>
      </c>
    </row>
    <row r="1995" spans="1:4" ht="14.25">
      <c r="A1995" s="5" t="s">
        <v>484</v>
      </c>
      <c r="B1995" s="6" t="s">
        <v>4025</v>
      </c>
      <c r="C1995" s="7">
        <v>27176</v>
      </c>
      <c r="D1995" s="8" t="s">
        <v>4026</v>
      </c>
    </row>
    <row r="1996" spans="1:4" ht="14.25">
      <c r="A1996" s="5" t="s">
        <v>42</v>
      </c>
      <c r="B1996" s="6" t="s">
        <v>4027</v>
      </c>
      <c r="C1996" s="7">
        <v>27176</v>
      </c>
      <c r="D1996" s="8" t="s">
        <v>4028</v>
      </c>
    </row>
    <row r="1997" spans="1:4" ht="14.25">
      <c r="A1997" s="5">
        <v>27</v>
      </c>
      <c r="B1997" s="6" t="s">
        <v>4029</v>
      </c>
      <c r="C1997" s="7">
        <v>27176</v>
      </c>
      <c r="D1997" s="8" t="s">
        <v>4030</v>
      </c>
    </row>
    <row r="1998" spans="1:4" ht="14.25">
      <c r="A1998" s="5">
        <v>27</v>
      </c>
      <c r="B1998" s="6" t="s">
        <v>4031</v>
      </c>
      <c r="C1998" s="7">
        <v>27176</v>
      </c>
      <c r="D1998" s="8" t="s">
        <v>4032</v>
      </c>
    </row>
    <row r="1999" spans="1:4" ht="14.25">
      <c r="A1999" s="5">
        <v>27</v>
      </c>
      <c r="B1999" s="6" t="s">
        <v>4033</v>
      </c>
      <c r="C1999" s="7">
        <v>27176</v>
      </c>
      <c r="D1999" s="8" t="s">
        <v>4034</v>
      </c>
    </row>
    <row r="2000" spans="1:4" ht="14.25">
      <c r="A2000" s="5" t="s">
        <v>484</v>
      </c>
      <c r="B2000" s="6" t="s">
        <v>4035</v>
      </c>
      <c r="C2000" s="7">
        <v>27177</v>
      </c>
      <c r="D2000" s="8" t="s">
        <v>4036</v>
      </c>
    </row>
    <row r="2001" spans="1:4" ht="14.25">
      <c r="A2001" s="5" t="s">
        <v>42</v>
      </c>
      <c r="B2001" s="6" t="s">
        <v>4037</v>
      </c>
      <c r="C2001" s="7">
        <v>27177</v>
      </c>
      <c r="D2001" s="8" t="s">
        <v>4038</v>
      </c>
    </row>
    <row r="2002" spans="1:4" ht="14.25">
      <c r="A2002" s="5" t="s">
        <v>42</v>
      </c>
      <c r="B2002" s="6" t="s">
        <v>4039</v>
      </c>
      <c r="C2002" s="7">
        <v>27177</v>
      </c>
      <c r="D2002" s="8" t="s">
        <v>4040</v>
      </c>
    </row>
    <row r="2003" spans="1:4" ht="14.25">
      <c r="A2003" s="5">
        <v>28</v>
      </c>
      <c r="B2003" s="6" t="s">
        <v>4041</v>
      </c>
      <c r="C2003" s="7">
        <v>27177</v>
      </c>
      <c r="D2003" s="8" t="s">
        <v>4042</v>
      </c>
    </row>
    <row r="2004" spans="1:4" ht="14.25">
      <c r="A2004" s="5">
        <v>28</v>
      </c>
      <c r="B2004" s="6" t="s">
        <v>4043</v>
      </c>
      <c r="C2004" s="7">
        <v>27177</v>
      </c>
      <c r="D2004" s="8" t="s">
        <v>4044</v>
      </c>
    </row>
    <row r="2005" spans="1:4" ht="14.25">
      <c r="A2005" s="5">
        <v>28</v>
      </c>
      <c r="B2005" s="6" t="s">
        <v>4045</v>
      </c>
      <c r="C2005" s="7">
        <v>27177</v>
      </c>
      <c r="D2005" s="8" t="s">
        <v>4046</v>
      </c>
    </row>
    <row r="2006" spans="1:4" ht="14.25">
      <c r="A2006" s="5">
        <v>28</v>
      </c>
      <c r="B2006" s="6" t="s">
        <v>4047</v>
      </c>
      <c r="C2006" s="7">
        <v>27177</v>
      </c>
      <c r="D2006" s="8" t="s">
        <v>4048</v>
      </c>
    </row>
    <row r="2007" spans="1:4" ht="14.25">
      <c r="A2007" s="5">
        <v>29</v>
      </c>
      <c r="B2007" s="6" t="s">
        <v>4049</v>
      </c>
      <c r="C2007" s="7">
        <v>27178</v>
      </c>
      <c r="D2007" s="8" t="s">
        <v>4050</v>
      </c>
    </row>
    <row r="2008" spans="1:4" ht="14.25">
      <c r="A2008" s="5" t="s">
        <v>484</v>
      </c>
      <c r="B2008" s="6" t="s">
        <v>4051</v>
      </c>
      <c r="C2008" s="7">
        <v>27179</v>
      </c>
      <c r="D2008" s="8" t="s">
        <v>4052</v>
      </c>
    </row>
    <row r="2009" spans="1:4" ht="14.25">
      <c r="A2009" s="5" t="s">
        <v>484</v>
      </c>
      <c r="B2009" s="6" t="s">
        <v>4053</v>
      </c>
      <c r="C2009" s="7">
        <v>27179</v>
      </c>
      <c r="D2009" s="8" t="s">
        <v>4054</v>
      </c>
    </row>
    <row r="2010" spans="1:4" ht="14.25">
      <c r="A2010" s="5" t="s">
        <v>167</v>
      </c>
      <c r="B2010" s="6" t="s">
        <v>4055</v>
      </c>
      <c r="C2010" s="7">
        <v>27179</v>
      </c>
      <c r="D2010" s="8" t="s">
        <v>4056</v>
      </c>
    </row>
    <row r="2011" spans="1:4" ht="14.25">
      <c r="A2011" s="5">
        <v>30</v>
      </c>
      <c r="B2011" s="6" t="s">
        <v>4057</v>
      </c>
      <c r="C2011" s="7">
        <v>27179</v>
      </c>
      <c r="D2011" s="8" t="s">
        <v>4058</v>
      </c>
    </row>
    <row r="2012" spans="1:4" ht="14.25">
      <c r="A2012" s="5">
        <v>30</v>
      </c>
      <c r="B2012" s="6" t="s">
        <v>4059</v>
      </c>
      <c r="C2012" s="7">
        <v>27179</v>
      </c>
      <c r="D2012" s="8" t="s">
        <v>4060</v>
      </c>
    </row>
    <row r="2013" spans="1:4" ht="14.25">
      <c r="A2013" s="5">
        <v>30</v>
      </c>
      <c r="B2013" s="6" t="s">
        <v>4061</v>
      </c>
      <c r="C2013" s="7">
        <v>27179</v>
      </c>
      <c r="D2013" s="8" t="s">
        <v>4062</v>
      </c>
    </row>
    <row r="2014" spans="1:4" ht="14.25">
      <c r="A2014" s="5">
        <v>30</v>
      </c>
      <c r="B2014" s="6" t="s">
        <v>4063</v>
      </c>
      <c r="C2014" s="7">
        <v>27179</v>
      </c>
      <c r="D2014" s="8" t="s">
        <v>4064</v>
      </c>
    </row>
    <row r="2015" spans="1:4" ht="14.25">
      <c r="A2015" s="5" t="s">
        <v>96</v>
      </c>
      <c r="B2015" s="6" t="s">
        <v>4065</v>
      </c>
      <c r="C2015" s="7">
        <v>27180</v>
      </c>
      <c r="D2015" s="8" t="s">
        <v>4066</v>
      </c>
    </row>
    <row r="2016" spans="1:4" ht="14.25">
      <c r="A2016" s="5" t="s">
        <v>463</v>
      </c>
      <c r="B2016" s="6" t="s">
        <v>4067</v>
      </c>
      <c r="C2016" s="7">
        <v>27180</v>
      </c>
      <c r="D2016" s="8" t="s">
        <v>4068</v>
      </c>
    </row>
    <row r="2017" spans="1:4" ht="14.25">
      <c r="A2017" s="5" t="s">
        <v>463</v>
      </c>
      <c r="B2017" s="6" t="s">
        <v>4069</v>
      </c>
      <c r="C2017" s="7">
        <v>27180</v>
      </c>
      <c r="D2017" s="8" t="s">
        <v>4070</v>
      </c>
    </row>
    <row r="2018" spans="1:4" ht="14.25">
      <c r="A2018" s="5" t="s">
        <v>42</v>
      </c>
      <c r="B2018" s="6" t="s">
        <v>4071</v>
      </c>
      <c r="C2018" s="7">
        <v>27180</v>
      </c>
      <c r="D2018" s="8" t="s">
        <v>4072</v>
      </c>
    </row>
    <row r="2019" spans="1:4" ht="14.25">
      <c r="A2019" s="5">
        <v>31</v>
      </c>
      <c r="B2019" s="6" t="s">
        <v>4073</v>
      </c>
      <c r="C2019" s="7">
        <v>27180</v>
      </c>
      <c r="D2019" s="8" t="s">
        <v>4074</v>
      </c>
    </row>
    <row r="2020" spans="1:4" ht="14.25">
      <c r="A2020" s="5">
        <v>31</v>
      </c>
      <c r="B2020" s="6" t="s">
        <v>4075</v>
      </c>
      <c r="C2020" s="7">
        <v>27180</v>
      </c>
      <c r="D2020" s="8" t="s">
        <v>4076</v>
      </c>
    </row>
    <row r="2021" spans="1:4" ht="14.25">
      <c r="A2021" s="5">
        <v>31</v>
      </c>
      <c r="B2021" s="6" t="s">
        <v>4077</v>
      </c>
      <c r="C2021" s="7">
        <v>27180</v>
      </c>
      <c r="D2021" s="8" t="s">
        <v>4078</v>
      </c>
    </row>
    <row r="2022" spans="1:4" ht="14.25">
      <c r="A2022" s="5">
        <v>31</v>
      </c>
      <c r="B2022" s="6" t="s">
        <v>4079</v>
      </c>
      <c r="C2022" s="7">
        <v>27180</v>
      </c>
      <c r="D2022" s="8" t="s">
        <v>4080</v>
      </c>
    </row>
    <row r="2023" spans="1:4" ht="14.25">
      <c r="A2023" s="5">
        <v>31</v>
      </c>
      <c r="B2023" s="6" t="s">
        <v>4081</v>
      </c>
      <c r="C2023" s="7">
        <v>27180</v>
      </c>
      <c r="D2023" s="8" t="s">
        <v>4082</v>
      </c>
    </row>
    <row r="2024" spans="1:4" ht="14.25">
      <c r="A2024" s="5">
        <v>31</v>
      </c>
      <c r="B2024" s="6" t="s">
        <v>4083</v>
      </c>
      <c r="C2024" s="7">
        <v>27180</v>
      </c>
      <c r="D2024" s="8" t="s">
        <v>4084</v>
      </c>
    </row>
    <row r="2025" spans="1:4" ht="14.25">
      <c r="A2025" s="5">
        <v>31</v>
      </c>
      <c r="B2025" s="6" t="s">
        <v>4085</v>
      </c>
      <c r="C2025" s="7">
        <v>27180</v>
      </c>
      <c r="D2025" s="8" t="s">
        <v>4086</v>
      </c>
    </row>
    <row r="2026" spans="1:4" ht="14.25">
      <c r="A2026" s="5" t="s">
        <v>96</v>
      </c>
      <c r="B2026" s="6" t="s">
        <v>4087</v>
      </c>
      <c r="C2026" s="7">
        <v>27181</v>
      </c>
      <c r="D2026" s="8" t="s">
        <v>4088</v>
      </c>
    </row>
    <row r="2027" spans="1:4" ht="14.25">
      <c r="A2027" s="5" t="s">
        <v>484</v>
      </c>
      <c r="B2027" s="6" t="s">
        <v>4089</v>
      </c>
      <c r="C2027" s="7">
        <v>27181</v>
      </c>
      <c r="D2027" s="8" t="s">
        <v>4090</v>
      </c>
    </row>
    <row r="2028" spans="1:4" ht="14.25">
      <c r="A2028" s="5" t="s">
        <v>42</v>
      </c>
      <c r="B2028" s="6" t="s">
        <v>4091</v>
      </c>
      <c r="C2028" s="7">
        <v>27181</v>
      </c>
      <c r="D2028" s="8" t="s">
        <v>4092</v>
      </c>
    </row>
    <row r="2029" spans="1:4" ht="14.25">
      <c r="A2029" s="5">
        <v>1</v>
      </c>
      <c r="B2029" s="6" t="s">
        <v>4093</v>
      </c>
      <c r="C2029" s="7">
        <v>27181</v>
      </c>
      <c r="D2029" s="8" t="s">
        <v>4094</v>
      </c>
    </row>
    <row r="2030" spans="1:4" ht="14.25">
      <c r="A2030" s="5">
        <v>1</v>
      </c>
      <c r="B2030" s="6" t="s">
        <v>4095</v>
      </c>
      <c r="C2030" s="7">
        <v>27181</v>
      </c>
      <c r="D2030" s="8" t="s">
        <v>4096</v>
      </c>
    </row>
    <row r="2031" spans="1:4" ht="14.25">
      <c r="A2031" s="5">
        <v>1</v>
      </c>
      <c r="B2031" s="6" t="s">
        <v>4097</v>
      </c>
      <c r="C2031" s="7">
        <v>27181</v>
      </c>
      <c r="D2031" s="8" t="s">
        <v>4098</v>
      </c>
    </row>
    <row r="2032" spans="1:4" ht="14.25">
      <c r="A2032" s="5">
        <v>1</v>
      </c>
      <c r="B2032" s="6" t="s">
        <v>4099</v>
      </c>
      <c r="C2032" s="7">
        <v>27181</v>
      </c>
      <c r="D2032" s="8" t="s">
        <v>4100</v>
      </c>
    </row>
    <row r="2033" spans="1:4" ht="14.25">
      <c r="A2033" s="5">
        <v>1</v>
      </c>
      <c r="B2033" s="6" t="s">
        <v>4101</v>
      </c>
      <c r="C2033" s="7">
        <v>27181</v>
      </c>
      <c r="D2033" s="8" t="s">
        <v>4102</v>
      </c>
    </row>
    <row r="2034" spans="1:4" ht="14.25">
      <c r="A2034" s="5" t="s">
        <v>484</v>
      </c>
      <c r="B2034" s="6" t="s">
        <v>4103</v>
      </c>
      <c r="C2034" s="7">
        <v>27182</v>
      </c>
      <c r="D2034" s="8" t="s">
        <v>4104</v>
      </c>
    </row>
    <row r="2035" spans="1:4" ht="14.25">
      <c r="A2035" s="5" t="s">
        <v>42</v>
      </c>
      <c r="B2035" s="6" t="s">
        <v>4105</v>
      </c>
      <c r="C2035" s="7">
        <v>27182</v>
      </c>
      <c r="D2035" s="8" t="s">
        <v>4106</v>
      </c>
    </row>
    <row r="2036" spans="1:4" ht="14.25">
      <c r="A2036" s="5">
        <v>2</v>
      </c>
      <c r="B2036" s="6" t="s">
        <v>4107</v>
      </c>
      <c r="C2036" s="7">
        <v>27182</v>
      </c>
      <c r="D2036" s="8" t="s">
        <v>4108</v>
      </c>
    </row>
    <row r="2037" spans="1:4" ht="14.25">
      <c r="A2037" s="5">
        <v>2</v>
      </c>
      <c r="B2037" s="6" t="s">
        <v>4109</v>
      </c>
      <c r="C2037" s="7">
        <v>27182</v>
      </c>
      <c r="D2037" s="8" t="s">
        <v>4110</v>
      </c>
    </row>
    <row r="2038" spans="1:4" ht="14.25">
      <c r="A2038" s="5">
        <v>2</v>
      </c>
      <c r="B2038" s="6" t="s">
        <v>4111</v>
      </c>
      <c r="C2038" s="7">
        <v>27182</v>
      </c>
      <c r="D2038" s="8" t="s">
        <v>4112</v>
      </c>
    </row>
    <row r="2039" spans="1:4" ht="14.25">
      <c r="A2039" s="5">
        <v>2</v>
      </c>
      <c r="B2039" s="6" t="s">
        <v>4113</v>
      </c>
      <c r="C2039" s="7">
        <v>27182</v>
      </c>
      <c r="D2039" s="8" t="s">
        <v>4114</v>
      </c>
    </row>
    <row r="2040" spans="1:4" ht="14.25">
      <c r="A2040" s="5" t="s">
        <v>484</v>
      </c>
      <c r="B2040" s="6" t="s">
        <v>4115</v>
      </c>
      <c r="C2040" s="7">
        <v>27183</v>
      </c>
      <c r="D2040" s="8" t="s">
        <v>4116</v>
      </c>
    </row>
    <row r="2041" spans="1:4" ht="14.25">
      <c r="A2041" s="5" t="s">
        <v>42</v>
      </c>
      <c r="B2041" s="6" t="s">
        <v>4117</v>
      </c>
      <c r="C2041" s="7">
        <v>27183</v>
      </c>
      <c r="D2041" s="8" t="s">
        <v>4118</v>
      </c>
    </row>
    <row r="2042" spans="1:4" ht="14.25">
      <c r="A2042" s="5">
        <v>3</v>
      </c>
      <c r="B2042" s="6" t="s">
        <v>4119</v>
      </c>
      <c r="C2042" s="7">
        <v>27183</v>
      </c>
      <c r="D2042" s="8" t="s">
        <v>4120</v>
      </c>
    </row>
    <row r="2043" spans="1:4" ht="14.25">
      <c r="A2043" s="5">
        <v>3</v>
      </c>
      <c r="B2043" s="6" t="s">
        <v>4121</v>
      </c>
      <c r="C2043" s="7">
        <v>27183</v>
      </c>
      <c r="D2043" s="8" t="s">
        <v>4122</v>
      </c>
    </row>
    <row r="2044" spans="1:4" ht="14.25">
      <c r="A2044" s="5">
        <v>3</v>
      </c>
      <c r="B2044" s="6" t="s">
        <v>4123</v>
      </c>
      <c r="C2044" s="7">
        <v>27183</v>
      </c>
      <c r="D2044" s="8" t="s">
        <v>4124</v>
      </c>
    </row>
    <row r="2045" spans="1:4" ht="14.25">
      <c r="A2045" s="5" t="s">
        <v>463</v>
      </c>
      <c r="B2045" s="6" t="s">
        <v>4125</v>
      </c>
      <c r="C2045" s="7">
        <v>27184</v>
      </c>
      <c r="D2045" s="8" t="s">
        <v>4126</v>
      </c>
    </row>
    <row r="2046" spans="1:4" ht="14.25">
      <c r="A2046" s="5" t="s">
        <v>463</v>
      </c>
      <c r="B2046" s="6" t="s">
        <v>4127</v>
      </c>
      <c r="C2046" s="7">
        <v>27184</v>
      </c>
      <c r="D2046" s="8" t="s">
        <v>4128</v>
      </c>
    </row>
    <row r="2047" spans="1:4" ht="14.25">
      <c r="A2047" s="5" t="s">
        <v>42</v>
      </c>
      <c r="B2047" s="6" t="s">
        <v>4129</v>
      </c>
      <c r="C2047" s="7">
        <v>27184</v>
      </c>
      <c r="D2047" s="8" t="s">
        <v>4130</v>
      </c>
    </row>
    <row r="2048" spans="1:4" ht="14.25">
      <c r="A2048" s="5">
        <v>4</v>
      </c>
      <c r="B2048" s="6" t="s">
        <v>4131</v>
      </c>
      <c r="C2048" s="7">
        <v>27184</v>
      </c>
      <c r="D2048" s="8" t="s">
        <v>4132</v>
      </c>
    </row>
    <row r="2049" spans="1:4" ht="14.25">
      <c r="A2049" s="5">
        <v>4</v>
      </c>
      <c r="B2049" s="6" t="s">
        <v>4133</v>
      </c>
      <c r="C2049" s="7">
        <v>27184</v>
      </c>
      <c r="D2049" s="8" t="s">
        <v>4134</v>
      </c>
    </row>
    <row r="2050" spans="1:4" ht="14.25">
      <c r="A2050" s="5">
        <v>4</v>
      </c>
      <c r="B2050" s="6" t="s">
        <v>4135</v>
      </c>
      <c r="C2050" s="7">
        <v>27184</v>
      </c>
      <c r="D2050" s="8" t="s">
        <v>4136</v>
      </c>
    </row>
    <row r="2051" spans="1:4" ht="14.25">
      <c r="A2051" s="5">
        <v>4</v>
      </c>
      <c r="B2051" s="6" t="s">
        <v>4137</v>
      </c>
      <c r="C2051" s="7">
        <v>27184</v>
      </c>
      <c r="D2051" s="8" t="s">
        <v>4138</v>
      </c>
    </row>
    <row r="2052" spans="1:4" ht="14.25">
      <c r="A2052" s="5">
        <v>4</v>
      </c>
      <c r="B2052" s="6" t="s">
        <v>4139</v>
      </c>
      <c r="C2052" s="7">
        <v>27184</v>
      </c>
      <c r="D2052" s="8" t="s">
        <v>4140</v>
      </c>
    </row>
    <row r="2053" spans="1:4" ht="14.25">
      <c r="A2053" s="5">
        <v>4</v>
      </c>
      <c r="B2053" s="6" t="s">
        <v>4141</v>
      </c>
      <c r="C2053" s="7">
        <v>27184</v>
      </c>
      <c r="D2053" s="8" t="s">
        <v>4142</v>
      </c>
    </row>
    <row r="2054" spans="1:4" ht="14.25">
      <c r="A2054" s="5" t="s">
        <v>484</v>
      </c>
      <c r="B2054" s="6" t="s">
        <v>4143</v>
      </c>
      <c r="C2054" s="7">
        <v>27185</v>
      </c>
      <c r="D2054" s="8" t="s">
        <v>4144</v>
      </c>
    </row>
    <row r="2055" spans="1:4" ht="14.25">
      <c r="A2055" s="5" t="s">
        <v>463</v>
      </c>
      <c r="B2055" s="6" t="s">
        <v>4145</v>
      </c>
      <c r="C2055" s="7">
        <v>27185</v>
      </c>
      <c r="D2055" s="8" t="s">
        <v>4146</v>
      </c>
    </row>
    <row r="2056" spans="1:4" ht="14.25">
      <c r="A2056" s="5" t="s">
        <v>463</v>
      </c>
      <c r="B2056" s="6" t="s">
        <v>4147</v>
      </c>
      <c r="C2056" s="7">
        <v>27185</v>
      </c>
      <c r="D2056" s="8" t="s">
        <v>4148</v>
      </c>
    </row>
    <row r="2057" spans="1:4" ht="14.25">
      <c r="A2057" s="5">
        <v>5</v>
      </c>
      <c r="B2057" s="6" t="s">
        <v>4149</v>
      </c>
      <c r="C2057" s="7">
        <v>27185</v>
      </c>
      <c r="D2057" s="8" t="s">
        <v>4150</v>
      </c>
    </row>
    <row r="2058" spans="1:4" ht="14.25">
      <c r="A2058" s="5">
        <v>5</v>
      </c>
      <c r="B2058" s="6" t="s">
        <v>4151</v>
      </c>
      <c r="C2058" s="7">
        <v>27185</v>
      </c>
      <c r="D2058" s="8" t="s">
        <v>4152</v>
      </c>
    </row>
    <row r="2059" spans="1:4" ht="14.25">
      <c r="A2059" s="5">
        <v>5</v>
      </c>
      <c r="B2059" s="6" t="s">
        <v>4153</v>
      </c>
      <c r="C2059" s="7">
        <v>27185</v>
      </c>
      <c r="D2059" s="8" t="s">
        <v>4154</v>
      </c>
    </row>
    <row r="2060" spans="1:4" ht="14.25">
      <c r="A2060" s="5">
        <v>5</v>
      </c>
      <c r="B2060" s="6" t="s">
        <v>4155</v>
      </c>
      <c r="C2060" s="7">
        <v>27185</v>
      </c>
      <c r="D2060" s="8" t="s">
        <v>4156</v>
      </c>
    </row>
    <row r="2061" spans="1:4" ht="14.25">
      <c r="A2061" s="5">
        <v>5</v>
      </c>
      <c r="B2061" s="6" t="s">
        <v>4157</v>
      </c>
      <c r="C2061" s="7">
        <v>27185</v>
      </c>
      <c r="D2061" s="8" t="s">
        <v>4158</v>
      </c>
    </row>
    <row r="2062" spans="1:4" ht="14.25">
      <c r="A2062" s="5">
        <v>5</v>
      </c>
      <c r="B2062" s="6" t="s">
        <v>4159</v>
      </c>
      <c r="C2062" s="7">
        <v>27185</v>
      </c>
      <c r="D2062" s="8" t="s">
        <v>4160</v>
      </c>
    </row>
    <row r="2063" spans="1:4" ht="14.25">
      <c r="A2063" s="5" t="s">
        <v>1786</v>
      </c>
      <c r="B2063" s="6" t="s">
        <v>4161</v>
      </c>
      <c r="C2063" s="7">
        <v>27186</v>
      </c>
      <c r="D2063" s="8" t="s">
        <v>4162</v>
      </c>
    </row>
    <row r="2064" spans="1:4" ht="14.25">
      <c r="A2064" s="5" t="s">
        <v>484</v>
      </c>
      <c r="B2064" s="6" t="s">
        <v>4163</v>
      </c>
      <c r="C2064" s="7">
        <v>27186</v>
      </c>
      <c r="D2064" s="8" t="s">
        <v>4164</v>
      </c>
    </row>
    <row r="2065" spans="1:4" ht="14.25">
      <c r="A2065" s="5" t="s">
        <v>167</v>
      </c>
      <c r="B2065" s="6" t="s">
        <v>4165</v>
      </c>
      <c r="C2065" s="7">
        <v>27186</v>
      </c>
      <c r="D2065" s="8" t="s">
        <v>4166</v>
      </c>
    </row>
    <row r="2066" spans="1:4" ht="14.25">
      <c r="A2066" s="5">
        <v>6</v>
      </c>
      <c r="B2066" s="6" t="s">
        <v>4167</v>
      </c>
      <c r="C2066" s="7">
        <v>27186</v>
      </c>
      <c r="D2066" s="8" t="s">
        <v>4168</v>
      </c>
    </row>
    <row r="2067" spans="1:4" ht="14.25">
      <c r="A2067" s="5">
        <v>6</v>
      </c>
      <c r="B2067" s="6" t="s">
        <v>4169</v>
      </c>
      <c r="C2067" s="7">
        <v>27186</v>
      </c>
      <c r="D2067" s="8" t="s">
        <v>4170</v>
      </c>
    </row>
    <row r="2068" spans="1:4" ht="14.25">
      <c r="A2068" s="5">
        <v>6</v>
      </c>
      <c r="B2068" s="6" t="s">
        <v>4171</v>
      </c>
      <c r="C2068" s="7">
        <v>27186</v>
      </c>
      <c r="D2068" s="8" t="s">
        <v>4172</v>
      </c>
    </row>
    <row r="2069" spans="1:4" ht="14.25">
      <c r="A2069" s="5">
        <v>6</v>
      </c>
      <c r="B2069" s="6" t="s">
        <v>4173</v>
      </c>
      <c r="C2069" s="7">
        <v>27186</v>
      </c>
      <c r="D2069" s="8" t="s">
        <v>4174</v>
      </c>
    </row>
    <row r="2070" spans="1:4" ht="14.25">
      <c r="A2070" s="5">
        <v>6</v>
      </c>
      <c r="B2070" s="6" t="s">
        <v>4175</v>
      </c>
      <c r="C2070" s="7">
        <v>27186</v>
      </c>
      <c r="D2070" s="8" t="s">
        <v>4176</v>
      </c>
    </row>
    <row r="2071" spans="1:4" ht="14.25">
      <c r="A2071" s="5">
        <v>6</v>
      </c>
      <c r="B2071" s="6" t="s">
        <v>4177</v>
      </c>
      <c r="C2071" s="7">
        <v>27186</v>
      </c>
      <c r="D2071" s="8" t="s">
        <v>4178</v>
      </c>
    </row>
    <row r="2072" spans="1:4" ht="14.25">
      <c r="A2072" s="5" t="s">
        <v>202</v>
      </c>
      <c r="B2072" s="6" t="s">
        <v>4179</v>
      </c>
      <c r="C2072" s="7">
        <v>27187</v>
      </c>
      <c r="D2072" s="8" t="s">
        <v>4180</v>
      </c>
    </row>
    <row r="2073" spans="1:4" ht="14.25">
      <c r="A2073" s="5">
        <v>7</v>
      </c>
      <c r="B2073" s="6" t="s">
        <v>4181</v>
      </c>
      <c r="C2073" s="7">
        <v>27187</v>
      </c>
      <c r="D2073" s="8" t="s">
        <v>4182</v>
      </c>
    </row>
    <row r="2074" spans="1:4" ht="14.25">
      <c r="A2074" s="5">
        <v>7</v>
      </c>
      <c r="B2074" s="6" t="s">
        <v>4183</v>
      </c>
      <c r="C2074" s="7">
        <v>27187</v>
      </c>
      <c r="D2074" s="8" t="s">
        <v>4184</v>
      </c>
    </row>
    <row r="2075" spans="1:4" ht="14.25">
      <c r="A2075" s="5" t="s">
        <v>863</v>
      </c>
      <c r="B2075" s="6" t="s">
        <v>4185</v>
      </c>
      <c r="C2075" s="7">
        <v>27188</v>
      </c>
      <c r="D2075" s="8" t="s">
        <v>4186</v>
      </c>
    </row>
    <row r="2076" spans="1:4" ht="14.25">
      <c r="A2076" s="5" t="s">
        <v>484</v>
      </c>
      <c r="B2076" s="6" t="s">
        <v>4187</v>
      </c>
      <c r="C2076" s="7">
        <v>27188</v>
      </c>
      <c r="D2076" s="8" t="s">
        <v>4188</v>
      </c>
    </row>
    <row r="2077" spans="1:4" ht="14.25">
      <c r="A2077" s="5">
        <v>8</v>
      </c>
      <c r="B2077" s="6" t="s">
        <v>4189</v>
      </c>
      <c r="C2077" s="7">
        <v>27188</v>
      </c>
      <c r="D2077" s="8" t="s">
        <v>4190</v>
      </c>
    </row>
    <row r="2078" spans="1:4" ht="14.25">
      <c r="A2078" s="5">
        <v>8</v>
      </c>
      <c r="B2078" s="6" t="s">
        <v>4191</v>
      </c>
      <c r="C2078" s="7">
        <v>27188</v>
      </c>
      <c r="D2078" s="8" t="s">
        <v>4192</v>
      </c>
    </row>
    <row r="2079" spans="1:4" ht="14.25">
      <c r="A2079" s="5">
        <v>8</v>
      </c>
      <c r="B2079" s="6" t="s">
        <v>4193</v>
      </c>
      <c r="C2079" s="7">
        <v>27188</v>
      </c>
      <c r="D2079" s="8" t="s">
        <v>4194</v>
      </c>
    </row>
    <row r="2080" spans="1:4" ht="14.25">
      <c r="A2080" s="5">
        <v>8</v>
      </c>
      <c r="B2080" s="6" t="s">
        <v>4195</v>
      </c>
      <c r="C2080" s="7">
        <v>27188</v>
      </c>
      <c r="D2080" s="8" t="s">
        <v>4196</v>
      </c>
    </row>
    <row r="2081" spans="1:4" ht="14.25">
      <c r="A2081" s="5" t="s">
        <v>484</v>
      </c>
      <c r="B2081" s="6" t="s">
        <v>4197</v>
      </c>
      <c r="C2081" s="7">
        <v>27189</v>
      </c>
      <c r="D2081" s="8" t="s">
        <v>4198</v>
      </c>
    </row>
    <row r="2082" spans="1:4" ht="14.25">
      <c r="A2082" s="5" t="s">
        <v>463</v>
      </c>
      <c r="B2082" s="6" t="s">
        <v>4199</v>
      </c>
      <c r="C2082" s="7">
        <v>27189</v>
      </c>
      <c r="D2082" s="8" t="s">
        <v>4200</v>
      </c>
    </row>
    <row r="2083" spans="1:4" ht="14.25">
      <c r="A2083" s="5" t="s">
        <v>597</v>
      </c>
      <c r="B2083" s="6" t="s">
        <v>4201</v>
      </c>
      <c r="C2083" s="7">
        <v>27189</v>
      </c>
      <c r="D2083" s="8" t="s">
        <v>4202</v>
      </c>
    </row>
    <row r="2084" spans="1:4" ht="14.25">
      <c r="A2084" s="5">
        <v>9</v>
      </c>
      <c r="B2084" s="6" t="s">
        <v>4203</v>
      </c>
      <c r="C2084" s="7">
        <v>27189</v>
      </c>
      <c r="D2084" s="8" t="s">
        <v>4204</v>
      </c>
    </row>
    <row r="2085" spans="1:4" ht="14.25">
      <c r="A2085" s="5">
        <v>9</v>
      </c>
      <c r="B2085" s="6" t="s">
        <v>4205</v>
      </c>
      <c r="C2085" s="7">
        <v>27189</v>
      </c>
      <c r="D2085" s="8" t="s">
        <v>4206</v>
      </c>
    </row>
    <row r="2086" spans="1:4" ht="14.25">
      <c r="A2086" s="5">
        <v>9</v>
      </c>
      <c r="B2086" s="6" t="s">
        <v>4207</v>
      </c>
      <c r="C2086" s="7">
        <v>27189</v>
      </c>
      <c r="D2086" s="8" t="s">
        <v>4208</v>
      </c>
    </row>
    <row r="2087" spans="1:4" ht="14.25">
      <c r="A2087" s="5">
        <v>9</v>
      </c>
      <c r="B2087" s="6" t="s">
        <v>4209</v>
      </c>
      <c r="C2087" s="7">
        <v>27189</v>
      </c>
      <c r="D2087" s="8" t="s">
        <v>4210</v>
      </c>
    </row>
    <row r="2088" spans="1:4" ht="14.25">
      <c r="A2088" s="5">
        <v>9</v>
      </c>
      <c r="B2088" s="6" t="s">
        <v>4211</v>
      </c>
      <c r="C2088" s="7">
        <v>27189</v>
      </c>
      <c r="D2088" s="8" t="s">
        <v>4212</v>
      </c>
    </row>
    <row r="2089" spans="1:4" ht="14.25">
      <c r="A2089" s="5" t="s">
        <v>463</v>
      </c>
      <c r="B2089" s="6" t="s">
        <v>4213</v>
      </c>
      <c r="C2089" s="7">
        <v>27190</v>
      </c>
      <c r="D2089" s="8" t="s">
        <v>4214</v>
      </c>
    </row>
    <row r="2090" spans="1:4" ht="14.25">
      <c r="A2090" s="5">
        <v>10</v>
      </c>
      <c r="B2090" s="6" t="s">
        <v>4215</v>
      </c>
      <c r="C2090" s="7">
        <v>27190</v>
      </c>
      <c r="D2090" s="8" t="s">
        <v>4216</v>
      </c>
    </row>
    <row r="2091" spans="1:4" ht="14.25">
      <c r="A2091" s="5" t="s">
        <v>484</v>
      </c>
      <c r="B2091" s="6" t="s">
        <v>4217</v>
      </c>
      <c r="C2091" s="7">
        <v>27191</v>
      </c>
      <c r="D2091" s="8" t="s">
        <v>4218</v>
      </c>
    </row>
    <row r="2092" spans="1:4" ht="14.25">
      <c r="A2092" s="5" t="s">
        <v>463</v>
      </c>
      <c r="B2092" s="6" t="s">
        <v>4219</v>
      </c>
      <c r="C2092" s="7">
        <v>27191</v>
      </c>
      <c r="D2092" s="8" t="s">
        <v>4220</v>
      </c>
    </row>
    <row r="2093" spans="1:4" ht="14.25">
      <c r="A2093" s="5" t="s">
        <v>463</v>
      </c>
      <c r="B2093" s="6" t="s">
        <v>4221</v>
      </c>
      <c r="C2093" s="7">
        <v>27191</v>
      </c>
      <c r="D2093" s="8" t="s">
        <v>4222</v>
      </c>
    </row>
    <row r="2094" spans="1:4" ht="14.25">
      <c r="A2094" s="5" t="s">
        <v>597</v>
      </c>
      <c r="B2094" s="6" t="s">
        <v>4223</v>
      </c>
      <c r="C2094" s="7">
        <v>27191</v>
      </c>
      <c r="D2094" s="8" t="s">
        <v>4224</v>
      </c>
    </row>
    <row r="2095" spans="1:4" ht="14.25">
      <c r="A2095" s="5">
        <v>11</v>
      </c>
      <c r="B2095" s="6" t="s">
        <v>4225</v>
      </c>
      <c r="C2095" s="7">
        <v>27191</v>
      </c>
      <c r="D2095" s="8" t="s">
        <v>4226</v>
      </c>
    </row>
    <row r="2096" spans="1:4" ht="14.25">
      <c r="A2096" s="5">
        <v>11</v>
      </c>
      <c r="B2096" s="6" t="s">
        <v>4227</v>
      </c>
      <c r="C2096" s="7">
        <v>27191</v>
      </c>
      <c r="D2096" s="8" t="s">
        <v>4228</v>
      </c>
    </row>
    <row r="2097" spans="1:4" ht="14.25">
      <c r="A2097" s="5">
        <v>11</v>
      </c>
      <c r="B2097" s="6" t="s">
        <v>4229</v>
      </c>
      <c r="C2097" s="7">
        <v>27191</v>
      </c>
      <c r="D2097" s="8" t="s">
        <v>4230</v>
      </c>
    </row>
    <row r="2098" spans="1:4" ht="14.25">
      <c r="A2098" s="5">
        <v>11</v>
      </c>
      <c r="B2098" s="6" t="s">
        <v>4231</v>
      </c>
      <c r="C2098" s="7">
        <v>27191</v>
      </c>
      <c r="D2098" s="8" t="s">
        <v>4232</v>
      </c>
    </row>
    <row r="2099" spans="1:4" ht="14.25">
      <c r="A2099" s="5">
        <v>11</v>
      </c>
      <c r="B2099" s="6" t="s">
        <v>4233</v>
      </c>
      <c r="C2099" s="7">
        <v>27191</v>
      </c>
      <c r="D2099" s="8" t="s">
        <v>4234</v>
      </c>
    </row>
    <row r="2100" spans="1:4" ht="14.25">
      <c r="A2100" s="5">
        <v>11</v>
      </c>
      <c r="B2100" s="6" t="s">
        <v>4235</v>
      </c>
      <c r="C2100" s="7">
        <v>27191</v>
      </c>
      <c r="D2100" s="8" t="s">
        <v>4236</v>
      </c>
    </row>
    <row r="2101" spans="1:4" ht="14.25">
      <c r="A2101" s="5">
        <v>11</v>
      </c>
      <c r="B2101" s="6" t="s">
        <v>4237</v>
      </c>
      <c r="C2101" s="7">
        <v>27191</v>
      </c>
      <c r="D2101" s="8" t="s">
        <v>4238</v>
      </c>
    </row>
    <row r="2102" spans="1:4" ht="14.25">
      <c r="A2102" s="5" t="s">
        <v>484</v>
      </c>
      <c r="B2102" s="6" t="s">
        <v>4239</v>
      </c>
      <c r="C2102" s="7">
        <v>27192</v>
      </c>
      <c r="D2102" s="8" t="s">
        <v>4240</v>
      </c>
    </row>
    <row r="2103" spans="1:4" ht="14.25">
      <c r="A2103" s="5" t="s">
        <v>463</v>
      </c>
      <c r="B2103" s="6" t="s">
        <v>4241</v>
      </c>
      <c r="C2103" s="7">
        <v>27192</v>
      </c>
      <c r="D2103" s="8" t="s">
        <v>4242</v>
      </c>
    </row>
    <row r="2104" spans="1:4" ht="14.25">
      <c r="A2104" s="5" t="s">
        <v>463</v>
      </c>
      <c r="B2104" s="6" t="s">
        <v>4243</v>
      </c>
      <c r="C2104" s="7">
        <v>27192</v>
      </c>
      <c r="D2104" s="8" t="s">
        <v>4244</v>
      </c>
    </row>
    <row r="2105" spans="1:4" ht="14.25">
      <c r="A2105" s="5" t="s">
        <v>597</v>
      </c>
      <c r="B2105" s="6" t="s">
        <v>4245</v>
      </c>
      <c r="C2105" s="7">
        <v>27192</v>
      </c>
      <c r="D2105" s="8" t="s">
        <v>4246</v>
      </c>
    </row>
    <row r="2106" spans="1:4" ht="14.25">
      <c r="A2106" s="5" t="s">
        <v>167</v>
      </c>
      <c r="B2106" s="6" t="s">
        <v>4247</v>
      </c>
      <c r="C2106" s="7">
        <v>27192</v>
      </c>
      <c r="D2106" s="8" t="s">
        <v>4248</v>
      </c>
    </row>
    <row r="2107" spans="1:4" ht="14.25">
      <c r="A2107" s="5">
        <v>12</v>
      </c>
      <c r="B2107" s="6" t="s">
        <v>4249</v>
      </c>
      <c r="C2107" s="7">
        <v>27192</v>
      </c>
      <c r="D2107" s="8" t="s">
        <v>4250</v>
      </c>
    </row>
    <row r="2108" spans="1:4" ht="14.25">
      <c r="A2108" s="5">
        <v>12</v>
      </c>
      <c r="B2108" s="6" t="s">
        <v>4251</v>
      </c>
      <c r="C2108" s="7">
        <v>27192</v>
      </c>
      <c r="D2108" s="8" t="s">
        <v>4252</v>
      </c>
    </row>
    <row r="2109" spans="1:4" ht="14.25">
      <c r="A2109" s="5">
        <v>12</v>
      </c>
      <c r="B2109" s="6" t="s">
        <v>4253</v>
      </c>
      <c r="C2109" s="7">
        <v>27192</v>
      </c>
      <c r="D2109" s="8" t="s">
        <v>4254</v>
      </c>
    </row>
    <row r="2110" spans="1:4" ht="14.25">
      <c r="A2110" s="5">
        <v>12</v>
      </c>
      <c r="B2110" s="6" t="s">
        <v>4255</v>
      </c>
      <c r="C2110" s="7">
        <v>27192</v>
      </c>
      <c r="D2110" s="8" t="s">
        <v>4256</v>
      </c>
    </row>
    <row r="2111" spans="1:4" ht="14.25">
      <c r="A2111" s="5">
        <v>12</v>
      </c>
      <c r="B2111" s="6" t="s">
        <v>4257</v>
      </c>
      <c r="C2111" s="7">
        <v>27192</v>
      </c>
      <c r="D2111" s="8" t="s">
        <v>4258</v>
      </c>
    </row>
    <row r="2112" spans="1:4" ht="14.25">
      <c r="A2112" s="5">
        <v>12</v>
      </c>
      <c r="B2112" s="6" t="s">
        <v>4259</v>
      </c>
      <c r="C2112" s="7">
        <v>27192</v>
      </c>
      <c r="D2112" s="8" t="s">
        <v>4260</v>
      </c>
    </row>
    <row r="2113" spans="1:4" ht="14.25">
      <c r="A2113" s="5">
        <v>12</v>
      </c>
      <c r="B2113" s="6" t="s">
        <v>4261</v>
      </c>
      <c r="C2113" s="7">
        <v>27192</v>
      </c>
      <c r="D2113" s="8" t="s">
        <v>4262</v>
      </c>
    </row>
    <row r="2114" spans="1:4" ht="14.25">
      <c r="A2114" s="5">
        <v>12</v>
      </c>
      <c r="B2114" s="6" t="s">
        <v>4263</v>
      </c>
      <c r="C2114" s="7">
        <v>27192</v>
      </c>
      <c r="D2114" s="8" t="s">
        <v>4264</v>
      </c>
    </row>
    <row r="2115" spans="1:4" ht="14.25">
      <c r="A2115" s="5">
        <v>12</v>
      </c>
      <c r="B2115" s="6" t="s">
        <v>4265</v>
      </c>
      <c r="C2115" s="7">
        <v>27192</v>
      </c>
      <c r="D2115" s="8" t="s">
        <v>4266</v>
      </c>
    </row>
    <row r="2116" spans="1:4" ht="14.25">
      <c r="A2116" s="5" t="s">
        <v>184</v>
      </c>
      <c r="B2116" s="6" t="s">
        <v>4267</v>
      </c>
      <c r="C2116" s="7">
        <v>27193</v>
      </c>
      <c r="D2116" s="8" t="s">
        <v>4268</v>
      </c>
    </row>
    <row r="2117" spans="1:4" ht="14.25">
      <c r="A2117" s="5" t="s">
        <v>484</v>
      </c>
      <c r="B2117" s="6" t="s">
        <v>4269</v>
      </c>
      <c r="C2117" s="7">
        <v>27193</v>
      </c>
      <c r="D2117" s="8" t="s">
        <v>4270</v>
      </c>
    </row>
    <row r="2118" spans="1:4" ht="14.25">
      <c r="A2118" s="5" t="s">
        <v>463</v>
      </c>
      <c r="B2118" s="6" t="s">
        <v>4271</v>
      </c>
      <c r="C2118" s="7">
        <v>27193</v>
      </c>
      <c r="D2118" s="8" t="s">
        <v>4272</v>
      </c>
    </row>
    <row r="2119" spans="1:4" ht="14.25">
      <c r="A2119" s="5" t="s">
        <v>463</v>
      </c>
      <c r="B2119" s="6" t="s">
        <v>4273</v>
      </c>
      <c r="C2119" s="7">
        <v>27193</v>
      </c>
      <c r="D2119" s="8" t="s">
        <v>4274</v>
      </c>
    </row>
    <row r="2120" spans="1:4" ht="14.25">
      <c r="A2120" s="5" t="s">
        <v>597</v>
      </c>
      <c r="B2120" s="6" t="s">
        <v>4275</v>
      </c>
      <c r="C2120" s="7">
        <v>27193</v>
      </c>
      <c r="D2120" s="8" t="s">
        <v>4276</v>
      </c>
    </row>
    <row r="2121" spans="1:4" ht="14.25">
      <c r="A2121" s="5">
        <v>13</v>
      </c>
      <c r="B2121" s="6" t="s">
        <v>4277</v>
      </c>
      <c r="C2121" s="7">
        <v>27193</v>
      </c>
      <c r="D2121" s="8" t="s">
        <v>4278</v>
      </c>
    </row>
    <row r="2122" spans="1:4" ht="14.25">
      <c r="A2122" s="5">
        <v>13</v>
      </c>
      <c r="B2122" s="6" t="s">
        <v>4279</v>
      </c>
      <c r="C2122" s="7">
        <v>27193</v>
      </c>
      <c r="D2122" s="8" t="s">
        <v>4280</v>
      </c>
    </row>
    <row r="2123" spans="1:4" ht="14.25">
      <c r="A2123" s="5">
        <v>13</v>
      </c>
      <c r="B2123" s="6" t="s">
        <v>4281</v>
      </c>
      <c r="C2123" s="7">
        <v>27193</v>
      </c>
      <c r="D2123" s="8" t="s">
        <v>4282</v>
      </c>
    </row>
    <row r="2124" spans="1:4" ht="14.25">
      <c r="A2124" s="5">
        <v>13</v>
      </c>
      <c r="B2124" s="6" t="s">
        <v>4283</v>
      </c>
      <c r="C2124" s="7">
        <v>27193</v>
      </c>
      <c r="D2124" s="8" t="s">
        <v>4284</v>
      </c>
    </row>
    <row r="2125" spans="1:4" ht="14.25">
      <c r="A2125" s="5">
        <v>13</v>
      </c>
      <c r="B2125" s="6" t="s">
        <v>4285</v>
      </c>
      <c r="C2125" s="7">
        <v>27193</v>
      </c>
      <c r="D2125" s="8" t="s">
        <v>4286</v>
      </c>
    </row>
    <row r="2126" spans="1:4" ht="14.25">
      <c r="A2126" s="5">
        <v>13</v>
      </c>
      <c r="B2126" s="6" t="s">
        <v>4287</v>
      </c>
      <c r="C2126" s="7">
        <v>27193</v>
      </c>
      <c r="D2126" s="8" t="s">
        <v>4288</v>
      </c>
    </row>
    <row r="2127" spans="1:4" ht="14.25">
      <c r="A2127" s="5">
        <v>13</v>
      </c>
      <c r="B2127" s="6" t="s">
        <v>4289</v>
      </c>
      <c r="C2127" s="7">
        <v>27193</v>
      </c>
      <c r="D2127" s="8" t="s">
        <v>4290</v>
      </c>
    </row>
    <row r="2128" spans="1:4" ht="14.25">
      <c r="A2128" s="5">
        <v>13</v>
      </c>
      <c r="B2128" s="6" t="s">
        <v>4291</v>
      </c>
      <c r="C2128" s="7">
        <v>27193</v>
      </c>
      <c r="D2128" s="8" t="s">
        <v>4292</v>
      </c>
    </row>
    <row r="2129" spans="1:4" ht="14.25">
      <c r="A2129" s="5">
        <v>13</v>
      </c>
      <c r="B2129" s="6" t="s">
        <v>4293</v>
      </c>
      <c r="C2129" s="7">
        <v>27193</v>
      </c>
      <c r="D2129" s="8" t="s">
        <v>4294</v>
      </c>
    </row>
    <row r="2130" spans="1:4" ht="14.25">
      <c r="A2130" s="5">
        <v>13</v>
      </c>
      <c r="B2130" s="6" t="s">
        <v>4295</v>
      </c>
      <c r="C2130" s="7">
        <v>27193</v>
      </c>
      <c r="D2130" s="8" t="s">
        <v>4296</v>
      </c>
    </row>
    <row r="2131" spans="1:4" ht="14.25">
      <c r="A2131" s="5" t="s">
        <v>484</v>
      </c>
      <c r="B2131" s="6" t="s">
        <v>4297</v>
      </c>
      <c r="C2131" s="7">
        <v>27194</v>
      </c>
      <c r="D2131" s="8" t="s">
        <v>4298</v>
      </c>
    </row>
    <row r="2132" spans="1:4" ht="14.25">
      <c r="A2132" s="5" t="s">
        <v>463</v>
      </c>
      <c r="B2132" s="6" t="s">
        <v>4299</v>
      </c>
      <c r="C2132" s="7">
        <v>27194</v>
      </c>
      <c r="D2132" s="8" t="s">
        <v>4300</v>
      </c>
    </row>
    <row r="2133" spans="1:4" ht="14.25">
      <c r="A2133" s="5" t="s">
        <v>597</v>
      </c>
      <c r="B2133" s="6" t="s">
        <v>4301</v>
      </c>
      <c r="C2133" s="7">
        <v>27194</v>
      </c>
      <c r="D2133" s="8" t="s">
        <v>4302</v>
      </c>
    </row>
    <row r="2134" spans="1:4" ht="14.25">
      <c r="A2134" s="5">
        <v>14</v>
      </c>
      <c r="B2134" s="6" t="s">
        <v>4303</v>
      </c>
      <c r="C2134" s="7">
        <v>27194</v>
      </c>
      <c r="D2134" s="8" t="s">
        <v>4304</v>
      </c>
    </row>
    <row r="2135" spans="1:4" ht="14.25">
      <c r="A2135" s="5">
        <v>14</v>
      </c>
      <c r="B2135" s="6" t="s">
        <v>4305</v>
      </c>
      <c r="C2135" s="7">
        <v>27194</v>
      </c>
      <c r="D2135" s="8" t="s">
        <v>4306</v>
      </c>
    </row>
    <row r="2136" spans="1:4" ht="14.25">
      <c r="A2136" s="5">
        <v>14</v>
      </c>
      <c r="B2136" s="6" t="s">
        <v>4307</v>
      </c>
      <c r="C2136" s="7">
        <v>27194</v>
      </c>
      <c r="D2136" s="8" t="s">
        <v>4308</v>
      </c>
    </row>
    <row r="2137" spans="1:4" ht="14.25">
      <c r="A2137" s="5">
        <v>14</v>
      </c>
      <c r="B2137" s="6" t="s">
        <v>4309</v>
      </c>
      <c r="C2137" s="7">
        <v>27194</v>
      </c>
      <c r="D2137" s="8" t="s">
        <v>4310</v>
      </c>
    </row>
    <row r="2138" spans="1:4" ht="14.25">
      <c r="A2138" s="5">
        <v>14</v>
      </c>
      <c r="B2138" s="6" t="s">
        <v>4311</v>
      </c>
      <c r="C2138" s="7">
        <v>27194</v>
      </c>
      <c r="D2138" s="8" t="s">
        <v>4312</v>
      </c>
    </row>
    <row r="2139" spans="1:4" ht="14.25">
      <c r="A2139" s="5">
        <v>14</v>
      </c>
      <c r="B2139" s="6" t="s">
        <v>4313</v>
      </c>
      <c r="C2139" s="7">
        <v>27194</v>
      </c>
      <c r="D2139" s="8" t="s">
        <v>4314</v>
      </c>
    </row>
    <row r="2140" spans="1:4" ht="14.25">
      <c r="A2140" s="5">
        <v>14</v>
      </c>
      <c r="B2140" s="6" t="s">
        <v>4315</v>
      </c>
      <c r="C2140" s="7">
        <v>27194</v>
      </c>
      <c r="D2140" s="8" t="s">
        <v>4316</v>
      </c>
    </row>
    <row r="2141" spans="1:4" ht="14.25">
      <c r="A2141" s="5" t="s">
        <v>463</v>
      </c>
      <c r="B2141" s="6" t="s">
        <v>4317</v>
      </c>
      <c r="C2141" s="7">
        <v>27195</v>
      </c>
      <c r="D2141" s="8" t="s">
        <v>4318</v>
      </c>
    </row>
    <row r="2142" spans="1:4" ht="14.25">
      <c r="A2142" s="5" t="s">
        <v>463</v>
      </c>
      <c r="B2142" s="6" t="s">
        <v>4319</v>
      </c>
      <c r="C2142" s="7">
        <v>27195</v>
      </c>
      <c r="D2142" s="8" t="s">
        <v>4320</v>
      </c>
    </row>
    <row r="2143" spans="1:4" ht="14.25">
      <c r="A2143" s="5" t="s">
        <v>597</v>
      </c>
      <c r="B2143" s="6" t="s">
        <v>4321</v>
      </c>
      <c r="C2143" s="7">
        <v>27195</v>
      </c>
      <c r="D2143" s="8" t="s">
        <v>4322</v>
      </c>
    </row>
    <row r="2144" spans="1:4" ht="14.25">
      <c r="A2144" s="5">
        <v>15</v>
      </c>
      <c r="B2144" s="6" t="s">
        <v>4323</v>
      </c>
      <c r="C2144" s="7">
        <v>27195</v>
      </c>
      <c r="D2144" s="8" t="s">
        <v>4324</v>
      </c>
    </row>
    <row r="2145" spans="1:4" ht="14.25">
      <c r="A2145" s="5">
        <v>15</v>
      </c>
      <c r="B2145" s="6" t="s">
        <v>4325</v>
      </c>
      <c r="C2145" s="7">
        <v>27195</v>
      </c>
      <c r="D2145" s="8" t="s">
        <v>4326</v>
      </c>
    </row>
    <row r="2146" spans="1:4" ht="14.25">
      <c r="A2146" s="5">
        <v>15</v>
      </c>
      <c r="B2146" s="6" t="s">
        <v>4327</v>
      </c>
      <c r="C2146" s="7">
        <v>27195</v>
      </c>
      <c r="D2146" s="8" t="s">
        <v>4328</v>
      </c>
    </row>
    <row r="2147" spans="1:4" ht="14.25">
      <c r="A2147" s="5">
        <v>15</v>
      </c>
      <c r="B2147" s="6" t="s">
        <v>4329</v>
      </c>
      <c r="C2147" s="7">
        <v>27195</v>
      </c>
      <c r="D2147" s="8" t="s">
        <v>4330</v>
      </c>
    </row>
    <row r="2148" spans="1:4" ht="14.25">
      <c r="A2148" s="5">
        <v>15</v>
      </c>
      <c r="B2148" s="6" t="s">
        <v>4331</v>
      </c>
      <c r="C2148" s="7">
        <v>27195</v>
      </c>
      <c r="D2148" s="8" t="s">
        <v>4332</v>
      </c>
    </row>
    <row r="2149" spans="1:4" ht="14.25">
      <c r="A2149" s="5">
        <v>15</v>
      </c>
      <c r="B2149" s="6" t="s">
        <v>4333</v>
      </c>
      <c r="C2149" s="7">
        <v>27195</v>
      </c>
      <c r="D2149" s="8" t="s">
        <v>4334</v>
      </c>
    </row>
    <row r="2150" spans="1:4" ht="14.25">
      <c r="A2150" s="5" t="s">
        <v>18</v>
      </c>
      <c r="B2150" s="6" t="s">
        <v>4335</v>
      </c>
      <c r="C2150" s="7">
        <v>27196</v>
      </c>
      <c r="D2150" s="8" t="s">
        <v>4336</v>
      </c>
    </row>
    <row r="2151" spans="1:4" ht="14.25">
      <c r="A2151" s="5">
        <v>16</v>
      </c>
      <c r="B2151" s="6" t="s">
        <v>4337</v>
      </c>
      <c r="C2151" s="7">
        <v>27196</v>
      </c>
      <c r="D2151" s="8" t="s">
        <v>4338</v>
      </c>
    </row>
    <row r="2152" spans="1:4" ht="14.25">
      <c r="A2152" s="5">
        <v>16</v>
      </c>
      <c r="B2152" s="6" t="s">
        <v>4339</v>
      </c>
      <c r="C2152" s="7">
        <v>27196</v>
      </c>
      <c r="D2152" s="8" t="s">
        <v>4340</v>
      </c>
    </row>
    <row r="2153" spans="1:4" ht="14.25">
      <c r="A2153" s="5" t="s">
        <v>484</v>
      </c>
      <c r="B2153" s="6" t="s">
        <v>4341</v>
      </c>
      <c r="C2153" s="7">
        <v>27197</v>
      </c>
      <c r="D2153" s="8" t="s">
        <v>4342</v>
      </c>
    </row>
    <row r="2154" spans="1:4" ht="14.25">
      <c r="A2154" s="5" t="s">
        <v>463</v>
      </c>
      <c r="B2154" s="6" t="s">
        <v>4343</v>
      </c>
      <c r="C2154" s="7">
        <v>27197</v>
      </c>
      <c r="D2154" s="8" t="s">
        <v>4344</v>
      </c>
    </row>
    <row r="2155" spans="1:4" ht="14.25">
      <c r="A2155" s="5">
        <v>17</v>
      </c>
      <c r="B2155" s="6" t="s">
        <v>4345</v>
      </c>
      <c r="C2155" s="7">
        <v>27197</v>
      </c>
      <c r="D2155" s="8" t="s">
        <v>4346</v>
      </c>
    </row>
    <row r="2156" spans="1:4" ht="14.25">
      <c r="A2156" s="5">
        <v>17</v>
      </c>
      <c r="B2156" s="6" t="s">
        <v>4347</v>
      </c>
      <c r="C2156" s="7">
        <v>27197</v>
      </c>
      <c r="D2156" s="8" t="s">
        <v>4348</v>
      </c>
    </row>
    <row r="2157" spans="1:4" ht="14.25">
      <c r="A2157" s="5">
        <v>17</v>
      </c>
      <c r="B2157" s="6" t="s">
        <v>4349</v>
      </c>
      <c r="C2157" s="7">
        <v>27197</v>
      </c>
      <c r="D2157" s="8" t="s">
        <v>4350</v>
      </c>
    </row>
    <row r="2158" spans="1:4" ht="14.25">
      <c r="A2158" s="5" t="s">
        <v>18</v>
      </c>
      <c r="B2158" s="6" t="s">
        <v>4351</v>
      </c>
      <c r="C2158" s="7">
        <v>27198</v>
      </c>
      <c r="D2158" s="8" t="s">
        <v>4352</v>
      </c>
    </row>
    <row r="2159" spans="1:4" ht="14.25">
      <c r="A2159" s="5">
        <v>18</v>
      </c>
      <c r="B2159" s="6" t="s">
        <v>4353</v>
      </c>
      <c r="C2159" s="7">
        <v>27198</v>
      </c>
      <c r="D2159" s="8" t="s">
        <v>4354</v>
      </c>
    </row>
    <row r="2160" spans="1:4" ht="14.25">
      <c r="A2160" s="5">
        <v>18</v>
      </c>
      <c r="B2160" s="6" t="s">
        <v>4355</v>
      </c>
      <c r="C2160" s="7">
        <v>27198</v>
      </c>
      <c r="D2160" s="8" t="s">
        <v>4356</v>
      </c>
    </row>
    <row r="2161" spans="1:4" ht="14.25">
      <c r="A2161" s="5" t="s">
        <v>484</v>
      </c>
      <c r="B2161" s="6" t="s">
        <v>4357</v>
      </c>
      <c r="C2161" s="7">
        <v>27199</v>
      </c>
      <c r="D2161" s="8" t="s">
        <v>4358</v>
      </c>
    </row>
    <row r="2162" spans="1:4" ht="14.25">
      <c r="A2162" s="5" t="s">
        <v>463</v>
      </c>
      <c r="B2162" s="6" t="s">
        <v>4359</v>
      </c>
      <c r="C2162" s="7">
        <v>27199</v>
      </c>
      <c r="D2162" s="8" t="s">
        <v>4360</v>
      </c>
    </row>
    <row r="2163" spans="1:4" ht="14.25">
      <c r="A2163" s="5" t="s">
        <v>463</v>
      </c>
      <c r="B2163" s="6" t="s">
        <v>4361</v>
      </c>
      <c r="C2163" s="7">
        <v>27199</v>
      </c>
      <c r="D2163" s="8" t="s">
        <v>4362</v>
      </c>
    </row>
    <row r="2164" spans="1:4" ht="14.25">
      <c r="A2164" s="5">
        <v>19</v>
      </c>
      <c r="B2164" s="6" t="s">
        <v>4363</v>
      </c>
      <c r="C2164" s="7">
        <v>27199</v>
      </c>
      <c r="D2164" s="8" t="s">
        <v>4364</v>
      </c>
    </row>
    <row r="2165" spans="1:4" ht="14.25">
      <c r="A2165" s="5">
        <v>19</v>
      </c>
      <c r="B2165" s="6" t="s">
        <v>4365</v>
      </c>
      <c r="C2165" s="7">
        <v>27199</v>
      </c>
      <c r="D2165" s="8" t="s">
        <v>4366</v>
      </c>
    </row>
    <row r="2166" spans="1:4" ht="14.25">
      <c r="A2166" s="5">
        <v>19</v>
      </c>
      <c r="B2166" s="6" t="s">
        <v>4367</v>
      </c>
      <c r="C2166" s="7">
        <v>27199</v>
      </c>
      <c r="D2166" s="8" t="s">
        <v>4368</v>
      </c>
    </row>
    <row r="2167" spans="1:4" ht="14.25">
      <c r="A2167" s="5">
        <v>19</v>
      </c>
      <c r="B2167" s="6" t="s">
        <v>4369</v>
      </c>
      <c r="C2167" s="7">
        <v>27199</v>
      </c>
      <c r="D2167" s="8" t="s">
        <v>4370</v>
      </c>
    </row>
    <row r="2168" spans="1:4" ht="14.25">
      <c r="A2168" s="5">
        <v>19</v>
      </c>
      <c r="B2168" s="6" t="s">
        <v>4371</v>
      </c>
      <c r="C2168" s="7">
        <v>27199</v>
      </c>
      <c r="D2168" s="8" t="s">
        <v>4372</v>
      </c>
    </row>
    <row r="2169" spans="1:4" ht="14.25">
      <c r="A2169" s="5" t="s">
        <v>484</v>
      </c>
      <c r="B2169" s="6" t="s">
        <v>4373</v>
      </c>
      <c r="C2169" s="7">
        <v>27200</v>
      </c>
      <c r="D2169" s="8" t="s">
        <v>4374</v>
      </c>
    </row>
    <row r="2170" spans="1:4" ht="14.25">
      <c r="A2170" s="5" t="s">
        <v>484</v>
      </c>
      <c r="B2170" s="6" t="s">
        <v>4375</v>
      </c>
      <c r="C2170" s="7">
        <v>27200</v>
      </c>
      <c r="D2170" s="8" t="s">
        <v>4376</v>
      </c>
    </row>
    <row r="2171" spans="1:4" ht="14.25">
      <c r="A2171" s="5" t="s">
        <v>463</v>
      </c>
      <c r="B2171" s="6" t="s">
        <v>4377</v>
      </c>
      <c r="C2171" s="7">
        <v>27200</v>
      </c>
      <c r="D2171" s="8" t="s">
        <v>4378</v>
      </c>
    </row>
    <row r="2172" spans="1:4" ht="14.25">
      <c r="A2172" s="5">
        <v>20</v>
      </c>
      <c r="B2172" s="6" t="s">
        <v>4379</v>
      </c>
      <c r="C2172" s="7">
        <v>27200</v>
      </c>
      <c r="D2172" s="8" t="s">
        <v>4380</v>
      </c>
    </row>
    <row r="2173" spans="1:4" ht="14.25">
      <c r="A2173" s="5">
        <v>20</v>
      </c>
      <c r="B2173" s="6" t="s">
        <v>4381</v>
      </c>
      <c r="C2173" s="7">
        <v>27200</v>
      </c>
      <c r="D2173" s="8" t="s">
        <v>4382</v>
      </c>
    </row>
    <row r="2174" spans="1:4" ht="14.25">
      <c r="A2174" s="5">
        <v>20</v>
      </c>
      <c r="B2174" s="6" t="s">
        <v>4383</v>
      </c>
      <c r="C2174" s="7">
        <v>27200</v>
      </c>
      <c r="D2174" s="8" t="s">
        <v>4384</v>
      </c>
    </row>
    <row r="2175" spans="1:4" ht="14.25">
      <c r="A2175" s="5" t="s">
        <v>18</v>
      </c>
      <c r="B2175" s="6" t="s">
        <v>4385</v>
      </c>
      <c r="C2175" s="7">
        <v>27201</v>
      </c>
      <c r="D2175" s="8" t="s">
        <v>4386</v>
      </c>
    </row>
    <row r="2176" spans="1:4" ht="14.25">
      <c r="A2176" s="5" t="s">
        <v>484</v>
      </c>
      <c r="B2176" s="6" t="s">
        <v>4387</v>
      </c>
      <c r="C2176" s="7">
        <v>27201</v>
      </c>
      <c r="D2176" s="8" t="s">
        <v>4388</v>
      </c>
    </row>
    <row r="2177" spans="1:4" ht="14.25">
      <c r="A2177" s="5">
        <v>21</v>
      </c>
      <c r="B2177" s="6" t="s">
        <v>4389</v>
      </c>
      <c r="C2177" s="7">
        <v>27201</v>
      </c>
      <c r="D2177" s="8" t="s">
        <v>4390</v>
      </c>
    </row>
    <row r="2178" spans="1:4" ht="14.25">
      <c r="A2178" s="5">
        <v>21</v>
      </c>
      <c r="B2178" s="6" t="s">
        <v>4391</v>
      </c>
      <c r="C2178" s="7">
        <v>27201</v>
      </c>
      <c r="D2178" s="8" t="s">
        <v>4392</v>
      </c>
    </row>
    <row r="2179" spans="1:4" ht="14.25">
      <c r="A2179" s="5">
        <v>21</v>
      </c>
      <c r="B2179" s="6" t="s">
        <v>4393</v>
      </c>
      <c r="C2179" s="7">
        <v>27201</v>
      </c>
      <c r="D2179" s="8" t="s">
        <v>4394</v>
      </c>
    </row>
    <row r="2180" spans="1:4" ht="14.25">
      <c r="A2180" s="5" t="s">
        <v>18</v>
      </c>
      <c r="B2180" s="6" t="s">
        <v>4395</v>
      </c>
      <c r="C2180" s="7">
        <v>27202</v>
      </c>
      <c r="D2180" s="8" t="s">
        <v>4396</v>
      </c>
    </row>
    <row r="2181" spans="1:4" ht="14.25">
      <c r="A2181" s="5" t="s">
        <v>484</v>
      </c>
      <c r="B2181" s="6" t="s">
        <v>4397</v>
      </c>
      <c r="C2181" s="7">
        <v>27202</v>
      </c>
      <c r="D2181" s="8" t="s">
        <v>4398</v>
      </c>
    </row>
    <row r="2182" spans="1:4" ht="14.25">
      <c r="A2182" s="5" t="s">
        <v>463</v>
      </c>
      <c r="B2182" s="6" t="s">
        <v>4399</v>
      </c>
      <c r="C2182" s="7">
        <v>27202</v>
      </c>
      <c r="D2182" s="8" t="s">
        <v>4400</v>
      </c>
    </row>
    <row r="2183" spans="1:4" ht="14.25">
      <c r="A2183" s="5" t="s">
        <v>167</v>
      </c>
      <c r="B2183" s="6" t="s">
        <v>4401</v>
      </c>
      <c r="C2183" s="7">
        <v>27202</v>
      </c>
      <c r="D2183" s="8" t="s">
        <v>4402</v>
      </c>
    </row>
    <row r="2184" spans="1:4" ht="14.25">
      <c r="A2184" s="5">
        <v>22</v>
      </c>
      <c r="B2184" s="6" t="s">
        <v>4403</v>
      </c>
      <c r="C2184" s="7">
        <v>27202</v>
      </c>
      <c r="D2184" s="8" t="s">
        <v>4404</v>
      </c>
    </row>
    <row r="2185" spans="1:4" ht="14.25">
      <c r="A2185" s="5">
        <v>22</v>
      </c>
      <c r="B2185" s="6" t="s">
        <v>4405</v>
      </c>
      <c r="C2185" s="7">
        <v>27202</v>
      </c>
      <c r="D2185" s="8" t="s">
        <v>4406</v>
      </c>
    </row>
    <row r="2186" spans="1:4" ht="14.25">
      <c r="A2186" s="5">
        <v>22</v>
      </c>
      <c r="B2186" s="6" t="s">
        <v>4407</v>
      </c>
      <c r="C2186" s="7">
        <v>27202</v>
      </c>
      <c r="D2186" s="8" t="s">
        <v>4408</v>
      </c>
    </row>
    <row r="2187" spans="1:4" ht="14.25">
      <c r="A2187" s="5">
        <v>22</v>
      </c>
      <c r="B2187" s="6" t="s">
        <v>4409</v>
      </c>
      <c r="C2187" s="7">
        <v>27202</v>
      </c>
      <c r="D2187" s="8" t="s">
        <v>4410</v>
      </c>
    </row>
    <row r="2188" spans="1:4" ht="14.25">
      <c r="A2188" s="5">
        <v>22</v>
      </c>
      <c r="B2188" s="6" t="s">
        <v>4411</v>
      </c>
      <c r="C2188" s="7">
        <v>27202</v>
      </c>
      <c r="D2188" s="8" t="s">
        <v>4412</v>
      </c>
    </row>
    <row r="2189" spans="1:4" ht="14.25">
      <c r="A2189" s="5" t="s">
        <v>18</v>
      </c>
      <c r="B2189" s="6" t="s">
        <v>4413</v>
      </c>
      <c r="C2189" s="7">
        <v>27203</v>
      </c>
      <c r="D2189" s="8" t="s">
        <v>4414</v>
      </c>
    </row>
    <row r="2190" spans="1:4" ht="14.25">
      <c r="A2190" s="5">
        <v>23</v>
      </c>
      <c r="B2190" s="6" t="s">
        <v>4415</v>
      </c>
      <c r="C2190" s="7">
        <v>27203</v>
      </c>
      <c r="D2190" s="8" t="s">
        <v>4416</v>
      </c>
    </row>
    <row r="2191" spans="1:4" ht="14.25">
      <c r="A2191" s="5" t="s">
        <v>1786</v>
      </c>
      <c r="B2191" s="6" t="s">
        <v>4417</v>
      </c>
      <c r="C2191" s="7">
        <v>27205</v>
      </c>
      <c r="D2191" s="8" t="s">
        <v>4418</v>
      </c>
    </row>
    <row r="2192" spans="1:4" ht="14.25">
      <c r="A2192" s="5">
        <v>25</v>
      </c>
      <c r="B2192" s="6" t="s">
        <v>4419</v>
      </c>
      <c r="C2192" s="7">
        <v>27205</v>
      </c>
      <c r="D2192" s="8" t="s">
        <v>4420</v>
      </c>
    </row>
    <row r="2193" spans="1:4" ht="14.25">
      <c r="A2193" s="5">
        <v>25</v>
      </c>
      <c r="B2193" s="6" t="s">
        <v>4421</v>
      </c>
      <c r="C2193" s="7">
        <v>27205</v>
      </c>
      <c r="D2193" s="8" t="s">
        <v>4422</v>
      </c>
    </row>
    <row r="2194" spans="1:4" ht="14.25">
      <c r="A2194" s="5" t="s">
        <v>597</v>
      </c>
      <c r="B2194" s="6" t="s">
        <v>4423</v>
      </c>
      <c r="C2194" s="7">
        <v>27206</v>
      </c>
      <c r="D2194" s="8" t="s">
        <v>4424</v>
      </c>
    </row>
    <row r="2195" spans="1:4" ht="14.25">
      <c r="A2195" s="5">
        <v>26</v>
      </c>
      <c r="B2195" s="6" t="s">
        <v>4425</v>
      </c>
      <c r="C2195" s="7">
        <v>27206</v>
      </c>
      <c r="D2195" s="8" t="s">
        <v>4426</v>
      </c>
    </row>
    <row r="2196" spans="1:4" ht="14.25">
      <c r="A2196" s="5">
        <v>26</v>
      </c>
      <c r="B2196" s="6" t="s">
        <v>4427</v>
      </c>
      <c r="C2196" s="7">
        <v>27206</v>
      </c>
      <c r="D2196" s="8" t="s">
        <v>4428</v>
      </c>
    </row>
    <row r="2197" spans="1:4" ht="14.25">
      <c r="A2197" s="5" t="s">
        <v>75</v>
      </c>
      <c r="B2197" s="6" t="s">
        <v>4429</v>
      </c>
      <c r="C2197" s="7">
        <v>27207</v>
      </c>
      <c r="D2197" s="8" t="s">
        <v>4430</v>
      </c>
    </row>
    <row r="2198" spans="1:4" ht="14.25">
      <c r="A2198" s="5" t="s">
        <v>484</v>
      </c>
      <c r="B2198" s="6" t="s">
        <v>4431</v>
      </c>
      <c r="C2198" s="7">
        <v>27207</v>
      </c>
      <c r="D2198" s="8" t="s">
        <v>4432</v>
      </c>
    </row>
    <row r="2199" spans="1:4" ht="14.25">
      <c r="A2199" s="5">
        <v>27</v>
      </c>
      <c r="B2199" s="6" t="s">
        <v>4433</v>
      </c>
      <c r="C2199" s="7">
        <v>27207</v>
      </c>
      <c r="D2199" s="8" t="s">
        <v>4434</v>
      </c>
    </row>
    <row r="2200" spans="1:4" ht="14.25">
      <c r="A2200" s="5">
        <v>27</v>
      </c>
      <c r="B2200" s="6" t="s">
        <v>4435</v>
      </c>
      <c r="C2200" s="7">
        <v>27207</v>
      </c>
      <c r="D2200" s="8" t="s">
        <v>4436</v>
      </c>
    </row>
    <row r="2201" spans="1:4" ht="14.25">
      <c r="A2201" s="5">
        <v>27</v>
      </c>
      <c r="B2201" s="6" t="s">
        <v>4437</v>
      </c>
      <c r="C2201" s="7">
        <v>27207</v>
      </c>
      <c r="D2201" s="8" t="s">
        <v>4438</v>
      </c>
    </row>
    <row r="2202" spans="1:4" ht="14.25">
      <c r="A2202" s="5" t="s">
        <v>463</v>
      </c>
      <c r="B2202" s="6" t="s">
        <v>4439</v>
      </c>
      <c r="C2202" s="7">
        <v>27208</v>
      </c>
      <c r="D2202" s="8" t="s">
        <v>4440</v>
      </c>
    </row>
    <row r="2203" spans="1:4" ht="14.25">
      <c r="A2203" s="5" t="s">
        <v>167</v>
      </c>
      <c r="B2203" s="6" t="s">
        <v>4441</v>
      </c>
      <c r="C2203" s="7">
        <v>27208</v>
      </c>
      <c r="D2203" s="8" t="s">
        <v>4442</v>
      </c>
    </row>
    <row r="2204" spans="1:4" ht="14.25">
      <c r="A2204" s="5">
        <v>28</v>
      </c>
      <c r="B2204" s="6" t="s">
        <v>4443</v>
      </c>
      <c r="C2204" s="7">
        <v>27208</v>
      </c>
      <c r="D2204" s="8" t="s">
        <v>4444</v>
      </c>
    </row>
    <row r="2205" spans="1:4" ht="14.25">
      <c r="A2205" s="5">
        <v>28</v>
      </c>
      <c r="B2205" s="6" t="s">
        <v>4445</v>
      </c>
      <c r="C2205" s="7">
        <v>27208</v>
      </c>
      <c r="D2205" s="8" t="s">
        <v>4446</v>
      </c>
    </row>
    <row r="2206" spans="1:4" ht="14.25">
      <c r="A2206" s="5">
        <v>28</v>
      </c>
      <c r="B2206" s="6" t="s">
        <v>4447</v>
      </c>
      <c r="C2206" s="7">
        <v>27208</v>
      </c>
      <c r="D2206" s="8" t="s">
        <v>4448</v>
      </c>
    </row>
    <row r="2207" spans="1:4" ht="14.25">
      <c r="A2207" s="5">
        <v>28</v>
      </c>
      <c r="B2207" s="6" t="s">
        <v>4449</v>
      </c>
      <c r="C2207" s="7">
        <v>27208</v>
      </c>
      <c r="D2207" s="8" t="s">
        <v>4450</v>
      </c>
    </row>
    <row r="2208" spans="1:4" ht="14.25">
      <c r="A2208" s="5" t="s">
        <v>184</v>
      </c>
      <c r="B2208" s="6" t="s">
        <v>4451</v>
      </c>
      <c r="C2208" s="7">
        <v>27209</v>
      </c>
      <c r="D2208" s="8" t="s">
        <v>4452</v>
      </c>
    </row>
    <row r="2209" spans="1:4" ht="14.25">
      <c r="A2209" s="5" t="s">
        <v>236</v>
      </c>
      <c r="B2209" s="6" t="s">
        <v>4453</v>
      </c>
      <c r="C2209" s="7">
        <v>27209</v>
      </c>
      <c r="D2209" s="8" t="s">
        <v>4454</v>
      </c>
    </row>
    <row r="2210" spans="1:4" ht="14.25">
      <c r="A2210" s="5" t="s">
        <v>2</v>
      </c>
      <c r="B2210" s="6" t="s">
        <v>4455</v>
      </c>
      <c r="C2210" s="7">
        <v>27209</v>
      </c>
      <c r="D2210" s="8" t="s">
        <v>4456</v>
      </c>
    </row>
    <row r="2211" spans="1:4" ht="14.25">
      <c r="A2211" s="5" t="s">
        <v>484</v>
      </c>
      <c r="B2211" s="6" t="s">
        <v>4457</v>
      </c>
      <c r="C2211" s="7">
        <v>27209</v>
      </c>
      <c r="D2211" s="8" t="s">
        <v>4458</v>
      </c>
    </row>
    <row r="2212" spans="1:4" ht="14.25">
      <c r="A2212" s="5" t="s">
        <v>463</v>
      </c>
      <c r="B2212" s="6" t="s">
        <v>4459</v>
      </c>
      <c r="C2212" s="7">
        <v>27209</v>
      </c>
      <c r="D2212" s="8" t="s">
        <v>4460</v>
      </c>
    </row>
    <row r="2213" spans="1:4" ht="14.25">
      <c r="A2213" s="5" t="s">
        <v>463</v>
      </c>
      <c r="B2213" s="6" t="s">
        <v>4461</v>
      </c>
      <c r="C2213" s="7">
        <v>27209</v>
      </c>
      <c r="D2213" s="8" t="s">
        <v>4462</v>
      </c>
    </row>
    <row r="2214" spans="1:4" ht="14.25">
      <c r="A2214" s="5">
        <v>29</v>
      </c>
      <c r="B2214" s="6" t="s">
        <v>4463</v>
      </c>
      <c r="C2214" s="7">
        <v>27209</v>
      </c>
      <c r="D2214" s="8" t="s">
        <v>4464</v>
      </c>
    </row>
    <row r="2215" spans="1:4" ht="14.25">
      <c r="A2215" s="5">
        <v>29</v>
      </c>
      <c r="B2215" s="6" t="s">
        <v>4465</v>
      </c>
      <c r="C2215" s="7">
        <v>27209</v>
      </c>
      <c r="D2215" s="8" t="s">
        <v>4466</v>
      </c>
    </row>
    <row r="2216" spans="1:4" ht="14.25">
      <c r="A2216" s="5">
        <v>29</v>
      </c>
      <c r="B2216" s="6" t="s">
        <v>4467</v>
      </c>
      <c r="C2216" s="7">
        <v>27209</v>
      </c>
      <c r="D2216" s="8" t="s">
        <v>4468</v>
      </c>
    </row>
    <row r="2217" spans="1:4" ht="14.25">
      <c r="A2217" s="5">
        <v>29</v>
      </c>
      <c r="B2217" s="6" t="s">
        <v>4469</v>
      </c>
      <c r="C2217" s="7">
        <v>27209</v>
      </c>
      <c r="D2217" s="8" t="s">
        <v>4470</v>
      </c>
    </row>
    <row r="2218" spans="1:4" ht="14.25">
      <c r="A2218" s="5">
        <v>29</v>
      </c>
      <c r="B2218" s="6" t="s">
        <v>4471</v>
      </c>
      <c r="C2218" s="7">
        <v>27209</v>
      </c>
      <c r="D2218" s="8" t="s">
        <v>4472</v>
      </c>
    </row>
    <row r="2219" spans="1:4" ht="14.25">
      <c r="A2219" s="5">
        <v>29</v>
      </c>
      <c r="B2219" s="6" t="s">
        <v>4473</v>
      </c>
      <c r="C2219" s="7">
        <v>27209</v>
      </c>
      <c r="D2219" s="8" t="s">
        <v>4474</v>
      </c>
    </row>
    <row r="2220" spans="1:4" ht="14.25">
      <c r="A2220" s="5">
        <v>29</v>
      </c>
      <c r="B2220" s="6" t="s">
        <v>4475</v>
      </c>
      <c r="C2220" s="7">
        <v>27209</v>
      </c>
      <c r="D2220" s="8" t="s">
        <v>4476</v>
      </c>
    </row>
    <row r="2221" spans="1:4" ht="14.25">
      <c r="A2221" s="5">
        <v>29</v>
      </c>
      <c r="B2221" s="6" t="s">
        <v>4477</v>
      </c>
      <c r="C2221" s="7">
        <v>27209</v>
      </c>
      <c r="D2221" s="8" t="s">
        <v>4478</v>
      </c>
    </row>
    <row r="2222" spans="1:4" ht="14.25">
      <c r="A2222" s="5">
        <v>29</v>
      </c>
      <c r="B2222" s="6" t="s">
        <v>4479</v>
      </c>
      <c r="C2222" s="7">
        <v>27209</v>
      </c>
      <c r="D2222" s="8" t="s">
        <v>4480</v>
      </c>
    </row>
    <row r="2223" spans="1:4" ht="14.25">
      <c r="A2223" s="5">
        <v>29</v>
      </c>
      <c r="B2223" s="6" t="s">
        <v>4481</v>
      </c>
      <c r="C2223" s="7">
        <v>27209</v>
      </c>
      <c r="D2223" s="8" t="s">
        <v>4482</v>
      </c>
    </row>
    <row r="2224" spans="1:4" ht="14.25">
      <c r="A2224" s="5">
        <v>29</v>
      </c>
      <c r="B2224" s="6" t="s">
        <v>4483</v>
      </c>
      <c r="C2224" s="7">
        <v>27209</v>
      </c>
      <c r="D2224" s="8" t="s">
        <v>4484</v>
      </c>
    </row>
    <row r="2225" spans="1:4" ht="14.25">
      <c r="A2225" s="5" t="s">
        <v>236</v>
      </c>
      <c r="B2225" s="6" t="s">
        <v>4485</v>
      </c>
      <c r="C2225" s="7">
        <v>27210</v>
      </c>
      <c r="D2225" s="8" t="s">
        <v>4486</v>
      </c>
    </row>
    <row r="2226" spans="1:4" ht="14.25">
      <c r="A2226" s="5">
        <v>30</v>
      </c>
      <c r="B2226" s="6" t="s">
        <v>4487</v>
      </c>
      <c r="C2226" s="7">
        <v>27210</v>
      </c>
      <c r="D2226" s="8" t="s">
        <v>4488</v>
      </c>
    </row>
    <row r="2227" spans="1:4" ht="14.25">
      <c r="A2227" s="5" t="s">
        <v>463</v>
      </c>
      <c r="B2227" s="6" t="s">
        <v>4489</v>
      </c>
      <c r="C2227" s="7">
        <v>27211</v>
      </c>
      <c r="D2227" s="8" t="s">
        <v>4490</v>
      </c>
    </row>
    <row r="2228" spans="1:4" ht="14.25">
      <c r="A2228" s="5" t="s">
        <v>167</v>
      </c>
      <c r="B2228" s="6" t="s">
        <v>4491</v>
      </c>
      <c r="C2228" s="7">
        <v>27211</v>
      </c>
      <c r="D2228" s="8" t="s">
        <v>4492</v>
      </c>
    </row>
    <row r="2229" spans="1:4" ht="14.25">
      <c r="A2229" s="5" t="s">
        <v>167</v>
      </c>
      <c r="B2229" s="6" t="s">
        <v>4493</v>
      </c>
      <c r="C2229" s="7">
        <v>27211</v>
      </c>
      <c r="D2229" s="8" t="s">
        <v>4494</v>
      </c>
    </row>
    <row r="2230" spans="1:4" ht="14.25">
      <c r="A2230" s="5">
        <v>1</v>
      </c>
      <c r="B2230" s="6" t="s">
        <v>4495</v>
      </c>
      <c r="C2230" s="7">
        <v>27211</v>
      </c>
      <c r="D2230" s="8" t="s">
        <v>4496</v>
      </c>
    </row>
    <row r="2231" spans="1:4" ht="14.25">
      <c r="A2231" s="5">
        <v>1</v>
      </c>
      <c r="B2231" s="6" t="s">
        <v>4497</v>
      </c>
      <c r="C2231" s="7">
        <v>27211</v>
      </c>
      <c r="D2231" s="8" t="s">
        <v>4498</v>
      </c>
    </row>
    <row r="2232" spans="1:4" ht="14.25">
      <c r="A2232" s="5">
        <v>1</v>
      </c>
      <c r="B2232" s="6" t="s">
        <v>4499</v>
      </c>
      <c r="C2232" s="7">
        <v>27211</v>
      </c>
      <c r="D2232" s="8" t="s">
        <v>4500</v>
      </c>
    </row>
    <row r="2233" spans="1:4" ht="14.25">
      <c r="A2233" s="5">
        <v>1</v>
      </c>
      <c r="B2233" s="6" t="s">
        <v>4501</v>
      </c>
      <c r="C2233" s="7">
        <v>27211</v>
      </c>
      <c r="D2233" s="8" t="s">
        <v>4502</v>
      </c>
    </row>
    <row r="2234" spans="1:4" ht="14.25">
      <c r="A2234" s="5" t="s">
        <v>463</v>
      </c>
      <c r="B2234" s="6" t="s">
        <v>4503</v>
      </c>
      <c r="C2234" s="7">
        <v>27212</v>
      </c>
      <c r="D2234" s="8" t="s">
        <v>4504</v>
      </c>
    </row>
    <row r="2235" spans="1:4" ht="14.25">
      <c r="A2235" s="5" t="s">
        <v>463</v>
      </c>
      <c r="B2235" s="6" t="s">
        <v>4505</v>
      </c>
      <c r="C2235" s="7">
        <v>27212</v>
      </c>
      <c r="D2235" s="8" t="s">
        <v>4506</v>
      </c>
    </row>
    <row r="2236" spans="1:4" ht="14.25">
      <c r="A2236" s="5">
        <v>2</v>
      </c>
      <c r="B2236" s="6" t="s">
        <v>4507</v>
      </c>
      <c r="C2236" s="7">
        <v>27212</v>
      </c>
      <c r="D2236" s="8" t="s">
        <v>4508</v>
      </c>
    </row>
    <row r="2237" spans="1:4" ht="14.25">
      <c r="A2237" s="5">
        <v>2</v>
      </c>
      <c r="B2237" s="6" t="s">
        <v>4509</v>
      </c>
      <c r="C2237" s="7">
        <v>27212</v>
      </c>
      <c r="D2237" s="8" t="s">
        <v>4510</v>
      </c>
    </row>
    <row r="2238" spans="1:4" ht="14.25">
      <c r="A2238" s="5">
        <v>2</v>
      </c>
      <c r="B2238" s="6" t="s">
        <v>4511</v>
      </c>
      <c r="C2238" s="7">
        <v>27212</v>
      </c>
      <c r="D2238" s="8" t="s">
        <v>4512</v>
      </c>
    </row>
    <row r="2239" spans="1:4" ht="14.25">
      <c r="A2239" s="5">
        <v>2</v>
      </c>
      <c r="B2239" s="6" t="s">
        <v>4513</v>
      </c>
      <c r="C2239" s="7">
        <v>27212</v>
      </c>
      <c r="D2239" s="8" t="s">
        <v>4514</v>
      </c>
    </row>
    <row r="2240" spans="1:4" ht="14.25">
      <c r="A2240" s="5">
        <v>2</v>
      </c>
      <c r="B2240" s="6" t="s">
        <v>4515</v>
      </c>
      <c r="C2240" s="7">
        <v>27212</v>
      </c>
      <c r="D2240" s="8" t="s">
        <v>4516</v>
      </c>
    </row>
    <row r="2241" spans="1:4" ht="14.25">
      <c r="A2241" s="5" t="s">
        <v>4517</v>
      </c>
      <c r="B2241" s="6" t="s">
        <v>4518</v>
      </c>
      <c r="C2241" s="7">
        <v>27214</v>
      </c>
      <c r="D2241" s="8" t="s">
        <v>4519</v>
      </c>
    </row>
    <row r="2242" spans="1:4" ht="14.25">
      <c r="A2242" s="5" t="s">
        <v>2</v>
      </c>
      <c r="B2242" s="6" t="s">
        <v>4520</v>
      </c>
      <c r="C2242" s="7">
        <v>27214</v>
      </c>
      <c r="D2242" s="8" t="s">
        <v>4521</v>
      </c>
    </row>
    <row r="2243" spans="1:4" ht="14.25">
      <c r="A2243" s="5" t="s">
        <v>42</v>
      </c>
      <c r="B2243" s="6" t="s">
        <v>4522</v>
      </c>
      <c r="C2243" s="7">
        <v>27214</v>
      </c>
      <c r="D2243" s="8" t="s">
        <v>4523</v>
      </c>
    </row>
    <row r="2244" spans="1:4" ht="14.25">
      <c r="A2244" s="5">
        <v>4</v>
      </c>
      <c r="B2244" s="6" t="s">
        <v>4524</v>
      </c>
      <c r="C2244" s="7">
        <v>27214</v>
      </c>
      <c r="D2244" s="8" t="s">
        <v>4525</v>
      </c>
    </row>
    <row r="2245" spans="1:4" ht="14.25">
      <c r="A2245" s="5">
        <v>4</v>
      </c>
      <c r="B2245" s="6" t="s">
        <v>4526</v>
      </c>
      <c r="C2245" s="7">
        <v>27214</v>
      </c>
      <c r="D2245" s="8" t="s">
        <v>4527</v>
      </c>
    </row>
    <row r="2246" spans="1:4" ht="14.25">
      <c r="A2246" s="5">
        <v>4</v>
      </c>
      <c r="B2246" s="6" t="s">
        <v>4528</v>
      </c>
      <c r="C2246" s="7">
        <v>27214</v>
      </c>
      <c r="D2246" s="8" t="s">
        <v>4529</v>
      </c>
    </row>
    <row r="2247" spans="1:4" ht="14.25">
      <c r="A2247" s="5">
        <v>4</v>
      </c>
      <c r="B2247" s="6" t="s">
        <v>4530</v>
      </c>
      <c r="C2247" s="7">
        <v>27214</v>
      </c>
      <c r="D2247" s="8" t="s">
        <v>4531</v>
      </c>
    </row>
    <row r="2248" spans="1:4" ht="14.25">
      <c r="A2248" s="5" t="s">
        <v>42</v>
      </c>
      <c r="B2248" s="6" t="s">
        <v>4532</v>
      </c>
      <c r="C2248" s="7">
        <v>27215</v>
      </c>
      <c r="D2248" s="8" t="s">
        <v>4533</v>
      </c>
    </row>
    <row r="2249" spans="1:4" ht="14.25">
      <c r="A2249" s="5">
        <v>5</v>
      </c>
      <c r="B2249" s="6" t="s">
        <v>4534</v>
      </c>
      <c r="C2249" s="7">
        <v>27215</v>
      </c>
      <c r="D2249" s="8" t="s">
        <v>4535</v>
      </c>
    </row>
    <row r="2250" spans="1:4" ht="14.25">
      <c r="A2250" s="5">
        <v>5</v>
      </c>
      <c r="B2250" s="6" t="s">
        <v>4536</v>
      </c>
      <c r="C2250" s="7">
        <v>27215</v>
      </c>
      <c r="D2250" s="8" t="s">
        <v>4537</v>
      </c>
    </row>
    <row r="2251" spans="1:4" ht="14.25">
      <c r="A2251" s="5" t="s">
        <v>863</v>
      </c>
      <c r="B2251" s="6" t="s">
        <v>4538</v>
      </c>
      <c r="C2251" s="7">
        <v>27218</v>
      </c>
      <c r="D2251" s="8" t="s">
        <v>4539</v>
      </c>
    </row>
    <row r="2252" spans="1:4" ht="14.25">
      <c r="A2252" s="5" t="s">
        <v>463</v>
      </c>
      <c r="B2252" s="6" t="s">
        <v>4540</v>
      </c>
      <c r="C2252" s="7">
        <v>27218</v>
      </c>
      <c r="D2252" s="8" t="s">
        <v>4541</v>
      </c>
    </row>
    <row r="2253" spans="1:4" ht="14.25">
      <c r="A2253" s="5">
        <v>8</v>
      </c>
      <c r="B2253" s="6" t="s">
        <v>4542</v>
      </c>
      <c r="C2253" s="7">
        <v>27218</v>
      </c>
      <c r="D2253" s="8" t="s">
        <v>4543</v>
      </c>
    </row>
    <row r="2254" spans="1:4" ht="14.25">
      <c r="A2254" s="5">
        <v>8</v>
      </c>
      <c r="B2254" s="6" t="s">
        <v>4544</v>
      </c>
      <c r="C2254" s="7">
        <v>27218</v>
      </c>
      <c r="D2254" s="8" t="s">
        <v>4545</v>
      </c>
    </row>
    <row r="2255" spans="1:4" ht="14.25">
      <c r="A2255" s="5">
        <v>8</v>
      </c>
      <c r="B2255" s="6" t="s">
        <v>4546</v>
      </c>
      <c r="C2255" s="7">
        <v>27218</v>
      </c>
      <c r="D2255" s="8" t="s">
        <v>4547</v>
      </c>
    </row>
    <row r="2256" spans="1:4" ht="14.25">
      <c r="A2256" s="5" t="s">
        <v>484</v>
      </c>
      <c r="B2256" s="6" t="s">
        <v>4548</v>
      </c>
      <c r="C2256" s="7">
        <v>27219</v>
      </c>
      <c r="D2256" s="8" t="s">
        <v>4549</v>
      </c>
    </row>
    <row r="2257" spans="1:4" ht="14.25">
      <c r="A2257" s="5" t="s">
        <v>42</v>
      </c>
      <c r="B2257" s="6" t="s">
        <v>4550</v>
      </c>
      <c r="C2257" s="7">
        <v>27219</v>
      </c>
      <c r="D2257" s="8" t="s">
        <v>4551</v>
      </c>
    </row>
    <row r="2258" spans="1:4" ht="14.25">
      <c r="A2258" s="5">
        <v>9</v>
      </c>
      <c r="B2258" s="6" t="s">
        <v>4552</v>
      </c>
      <c r="C2258" s="7">
        <v>27219</v>
      </c>
      <c r="D2258" s="8" t="s">
        <v>4553</v>
      </c>
    </row>
    <row r="2259" spans="1:4" ht="14.25">
      <c r="A2259" s="5">
        <v>9</v>
      </c>
      <c r="B2259" s="6" t="s">
        <v>4554</v>
      </c>
      <c r="C2259" s="7">
        <v>27219</v>
      </c>
      <c r="D2259" s="8" t="s">
        <v>4555</v>
      </c>
    </row>
    <row r="2260" spans="1:4" ht="14.25">
      <c r="A2260" s="5">
        <v>9</v>
      </c>
      <c r="B2260" s="6" t="s">
        <v>4556</v>
      </c>
      <c r="C2260" s="7">
        <v>27219</v>
      </c>
      <c r="D2260" s="8" t="s">
        <v>4557</v>
      </c>
    </row>
    <row r="2261" spans="1:4" ht="14.25">
      <c r="A2261" s="5" t="s">
        <v>42</v>
      </c>
      <c r="B2261" s="6" t="s">
        <v>4558</v>
      </c>
      <c r="C2261" s="7">
        <v>27220</v>
      </c>
      <c r="D2261" s="8" t="s">
        <v>4559</v>
      </c>
    </row>
    <row r="2262" spans="1:4" ht="14.25">
      <c r="A2262" s="5">
        <v>10</v>
      </c>
      <c r="B2262" s="6" t="s">
        <v>4560</v>
      </c>
      <c r="C2262" s="7">
        <v>27220</v>
      </c>
      <c r="D2262" s="8" t="s">
        <v>4561</v>
      </c>
    </row>
    <row r="2263" spans="1:4" ht="14.25">
      <c r="A2263" s="5">
        <v>10</v>
      </c>
      <c r="B2263" s="6" t="s">
        <v>4562</v>
      </c>
      <c r="C2263" s="7">
        <v>27220</v>
      </c>
      <c r="D2263" s="8" t="s">
        <v>4563</v>
      </c>
    </row>
    <row r="2264" spans="1:4" ht="14.25">
      <c r="A2264" s="5" t="s">
        <v>42</v>
      </c>
      <c r="B2264" s="6" t="s">
        <v>4564</v>
      </c>
      <c r="C2264" s="7">
        <v>27221</v>
      </c>
      <c r="D2264" s="8" t="s">
        <v>4565</v>
      </c>
    </row>
    <row r="2265" spans="1:4" ht="14.25">
      <c r="A2265" s="5">
        <v>11</v>
      </c>
      <c r="B2265" s="6" t="s">
        <v>4566</v>
      </c>
      <c r="C2265" s="7">
        <v>27221</v>
      </c>
      <c r="D2265" s="8" t="s">
        <v>4567</v>
      </c>
    </row>
    <row r="2266" spans="1:4" ht="14.25">
      <c r="A2266" s="5">
        <v>11</v>
      </c>
      <c r="B2266" s="6" t="s">
        <v>4568</v>
      </c>
      <c r="C2266" s="7">
        <v>27221</v>
      </c>
      <c r="D2266" s="8" t="s">
        <v>4569</v>
      </c>
    </row>
    <row r="2267" spans="1:4" ht="14.25">
      <c r="A2267" s="5" t="s">
        <v>3357</v>
      </c>
      <c r="B2267" s="6" t="s">
        <v>4570</v>
      </c>
      <c r="C2267" s="7">
        <v>27222</v>
      </c>
      <c r="D2267" s="8" t="s">
        <v>4571</v>
      </c>
    </row>
    <row r="2268" spans="1:4" ht="14.25">
      <c r="A2268" s="5" t="s">
        <v>484</v>
      </c>
      <c r="B2268" s="6" t="s">
        <v>4572</v>
      </c>
      <c r="C2268" s="7">
        <v>27222</v>
      </c>
      <c r="D2268" s="8" t="s">
        <v>4573</v>
      </c>
    </row>
    <row r="2269" spans="1:4" ht="14.25">
      <c r="A2269" s="5" t="s">
        <v>42</v>
      </c>
      <c r="B2269" s="6" t="s">
        <v>4574</v>
      </c>
      <c r="C2269" s="7">
        <v>27222</v>
      </c>
      <c r="D2269" s="8" t="s">
        <v>4575</v>
      </c>
    </row>
    <row r="2270" spans="1:4" ht="14.25">
      <c r="A2270" s="5">
        <v>12</v>
      </c>
      <c r="B2270" s="6" t="s">
        <v>4576</v>
      </c>
      <c r="C2270" s="7">
        <v>27222</v>
      </c>
      <c r="D2270" s="8" t="s">
        <v>4577</v>
      </c>
    </row>
    <row r="2271" spans="1:4" ht="14.25">
      <c r="A2271" s="5">
        <v>12</v>
      </c>
      <c r="B2271" s="6" t="s">
        <v>4578</v>
      </c>
      <c r="C2271" s="7">
        <v>27222</v>
      </c>
      <c r="D2271" s="8" t="s">
        <v>4579</v>
      </c>
    </row>
    <row r="2272" spans="1:4" ht="14.25">
      <c r="A2272" s="5">
        <v>12</v>
      </c>
      <c r="B2272" s="6" t="s">
        <v>4580</v>
      </c>
      <c r="C2272" s="7">
        <v>27222</v>
      </c>
      <c r="D2272" s="8" t="s">
        <v>4581</v>
      </c>
    </row>
    <row r="2273" spans="1:4" ht="14.25">
      <c r="A2273" s="5">
        <v>12</v>
      </c>
      <c r="B2273" s="6" t="s">
        <v>4582</v>
      </c>
      <c r="C2273" s="7">
        <v>27222</v>
      </c>
      <c r="D2273" s="8" t="s">
        <v>4583</v>
      </c>
    </row>
    <row r="2274" spans="1:4" ht="14.25">
      <c r="A2274" s="5" t="s">
        <v>3357</v>
      </c>
      <c r="B2274" s="6" t="s">
        <v>4584</v>
      </c>
      <c r="C2274" s="7">
        <v>27223</v>
      </c>
      <c r="D2274" s="8" t="s">
        <v>4585</v>
      </c>
    </row>
    <row r="2275" spans="1:4" ht="14.25">
      <c r="A2275" s="5" t="s">
        <v>484</v>
      </c>
      <c r="B2275" s="6" t="s">
        <v>4586</v>
      </c>
      <c r="C2275" s="7">
        <v>27223</v>
      </c>
      <c r="D2275" s="8" t="s">
        <v>4587</v>
      </c>
    </row>
    <row r="2276" spans="1:4" ht="14.25">
      <c r="A2276" s="5" t="s">
        <v>42</v>
      </c>
      <c r="B2276" s="6" t="s">
        <v>4588</v>
      </c>
      <c r="C2276" s="7">
        <v>27223</v>
      </c>
      <c r="D2276" s="8" t="s">
        <v>4589</v>
      </c>
    </row>
    <row r="2277" spans="1:4" ht="14.25">
      <c r="A2277" s="5">
        <v>13</v>
      </c>
      <c r="B2277" s="6" t="s">
        <v>4590</v>
      </c>
      <c r="C2277" s="7">
        <v>27223</v>
      </c>
      <c r="D2277" s="8" t="s">
        <v>4591</v>
      </c>
    </row>
    <row r="2278" spans="1:4" ht="14.25">
      <c r="A2278" s="5">
        <v>13</v>
      </c>
      <c r="B2278" s="6" t="s">
        <v>4592</v>
      </c>
      <c r="C2278" s="7">
        <v>27223</v>
      </c>
      <c r="D2278" s="8" t="s">
        <v>4593</v>
      </c>
    </row>
    <row r="2279" spans="1:4" ht="14.25">
      <c r="A2279" s="5">
        <v>13</v>
      </c>
      <c r="B2279" s="6" t="s">
        <v>4594</v>
      </c>
      <c r="C2279" s="7">
        <v>27223</v>
      </c>
      <c r="D2279" s="8" t="s">
        <v>4595</v>
      </c>
    </row>
    <row r="2280" spans="1:4" ht="14.25">
      <c r="A2280" s="5">
        <v>13</v>
      </c>
      <c r="B2280" s="6" t="s">
        <v>4596</v>
      </c>
      <c r="C2280" s="7">
        <v>27223</v>
      </c>
      <c r="D2280" s="8" t="s">
        <v>4597</v>
      </c>
    </row>
    <row r="2281" spans="1:4" ht="14.25">
      <c r="A2281" s="5">
        <v>13</v>
      </c>
      <c r="B2281" s="6" t="s">
        <v>4598</v>
      </c>
      <c r="C2281" s="7">
        <v>27223</v>
      </c>
      <c r="D2281" s="8" t="s">
        <v>4599</v>
      </c>
    </row>
    <row r="2282" spans="1:4" ht="14.25">
      <c r="A2282" s="5" t="s">
        <v>3357</v>
      </c>
      <c r="B2282" s="6" t="s">
        <v>4600</v>
      </c>
      <c r="C2282" s="7">
        <v>27224</v>
      </c>
      <c r="D2282" s="8" t="s">
        <v>4601</v>
      </c>
    </row>
    <row r="2283" spans="1:4" ht="14.25">
      <c r="A2283" s="5" t="s">
        <v>484</v>
      </c>
      <c r="B2283" s="6" t="s">
        <v>4602</v>
      </c>
      <c r="C2283" s="7">
        <v>27224</v>
      </c>
      <c r="D2283" s="8" t="s">
        <v>4603</v>
      </c>
    </row>
    <row r="2284" spans="1:4" ht="14.25">
      <c r="A2284" s="5" t="s">
        <v>42</v>
      </c>
      <c r="B2284" s="6" t="s">
        <v>4604</v>
      </c>
      <c r="C2284" s="7">
        <v>27224</v>
      </c>
      <c r="D2284" s="8" t="s">
        <v>4605</v>
      </c>
    </row>
    <row r="2285" spans="1:4" ht="14.25">
      <c r="A2285" s="5">
        <v>14</v>
      </c>
      <c r="B2285" s="6" t="s">
        <v>4606</v>
      </c>
      <c r="C2285" s="7">
        <v>27224</v>
      </c>
      <c r="D2285" s="8" t="s">
        <v>4607</v>
      </c>
    </row>
    <row r="2286" spans="1:4" ht="14.25">
      <c r="A2286" s="5">
        <v>14</v>
      </c>
      <c r="B2286" s="6" t="s">
        <v>4608</v>
      </c>
      <c r="C2286" s="7">
        <v>27224</v>
      </c>
      <c r="D2286" s="8" t="s">
        <v>4609</v>
      </c>
    </row>
    <row r="2287" spans="1:4" ht="14.25">
      <c r="A2287" s="5">
        <v>14</v>
      </c>
      <c r="B2287" s="6" t="s">
        <v>4610</v>
      </c>
      <c r="C2287" s="7">
        <v>27224</v>
      </c>
      <c r="D2287" s="8" t="s">
        <v>4611</v>
      </c>
    </row>
    <row r="2288" spans="1:4" ht="14.25">
      <c r="A2288" s="5">
        <v>14</v>
      </c>
      <c r="B2288" s="6" t="s">
        <v>4612</v>
      </c>
      <c r="C2288" s="7">
        <v>27224</v>
      </c>
      <c r="D2288" s="8" t="s">
        <v>4613</v>
      </c>
    </row>
    <row r="2289" spans="1:4" ht="14.25">
      <c r="A2289" s="5" t="s">
        <v>4614</v>
      </c>
      <c r="B2289" s="6" t="s">
        <v>4615</v>
      </c>
      <c r="C2289" s="7">
        <v>27225</v>
      </c>
      <c r="D2289" s="8" t="s">
        <v>4616</v>
      </c>
    </row>
    <row r="2290" spans="1:4" ht="14.25">
      <c r="A2290" s="5">
        <v>15</v>
      </c>
      <c r="B2290" s="6" t="s">
        <v>4617</v>
      </c>
      <c r="C2290" s="7">
        <v>27225</v>
      </c>
      <c r="D2290" s="8" t="s">
        <v>4618</v>
      </c>
    </row>
    <row r="2291" spans="1:4" ht="14.25">
      <c r="A2291" s="5" t="s">
        <v>42</v>
      </c>
      <c r="B2291" s="6" t="s">
        <v>4619</v>
      </c>
      <c r="C2291" s="7">
        <v>27228</v>
      </c>
      <c r="D2291" s="8" t="s">
        <v>4620</v>
      </c>
    </row>
    <row r="2292" spans="1:4" ht="14.25">
      <c r="A2292" s="5">
        <v>18</v>
      </c>
      <c r="B2292" s="6" t="s">
        <v>4621</v>
      </c>
      <c r="C2292" s="7">
        <v>27228</v>
      </c>
      <c r="D2292" s="8" t="s">
        <v>4622</v>
      </c>
    </row>
    <row r="2293" spans="1:4" ht="14.25">
      <c r="A2293" s="5" t="s">
        <v>42</v>
      </c>
      <c r="B2293" s="6" t="s">
        <v>4623</v>
      </c>
      <c r="C2293" s="7">
        <v>27229</v>
      </c>
      <c r="D2293" s="8" t="s">
        <v>4624</v>
      </c>
    </row>
    <row r="2294" spans="1:4" ht="14.25">
      <c r="A2294" s="5">
        <v>19</v>
      </c>
      <c r="B2294" s="6" t="s">
        <v>4625</v>
      </c>
      <c r="C2294" s="7">
        <v>27229</v>
      </c>
      <c r="D2294" s="8" t="s">
        <v>4626</v>
      </c>
    </row>
    <row r="2295" spans="1:4" ht="14.25">
      <c r="A2295" s="5" t="s">
        <v>42</v>
      </c>
      <c r="B2295" s="6" t="s">
        <v>4627</v>
      </c>
      <c r="C2295" s="7">
        <v>27231</v>
      </c>
      <c r="D2295" s="8" t="s">
        <v>4628</v>
      </c>
    </row>
    <row r="2296" spans="1:4" ht="14.25">
      <c r="A2296" s="5">
        <v>21</v>
      </c>
      <c r="B2296" s="6" t="s">
        <v>4629</v>
      </c>
      <c r="C2296" s="7">
        <v>27231</v>
      </c>
      <c r="D2296" s="8" t="s">
        <v>4630</v>
      </c>
    </row>
    <row r="2297" spans="1:4" ht="14.25">
      <c r="A2297" s="5" t="s">
        <v>42</v>
      </c>
      <c r="B2297" s="6" t="s">
        <v>4631</v>
      </c>
      <c r="C2297" s="7">
        <v>27234</v>
      </c>
      <c r="D2297" s="8" t="s">
        <v>4632</v>
      </c>
    </row>
    <row r="2298" spans="1:4" ht="14.25">
      <c r="A2298" s="5">
        <v>24</v>
      </c>
      <c r="B2298" s="6" t="s">
        <v>4633</v>
      </c>
      <c r="C2298" s="7">
        <v>27234</v>
      </c>
      <c r="D2298" s="8" t="s">
        <v>4634</v>
      </c>
    </row>
    <row r="2299" spans="1:4" ht="14.25">
      <c r="A2299" s="5" t="s">
        <v>4614</v>
      </c>
      <c r="B2299" s="6" t="s">
        <v>4635</v>
      </c>
      <c r="C2299" s="7">
        <v>27235</v>
      </c>
      <c r="D2299" s="8" t="s">
        <v>4636</v>
      </c>
    </row>
    <row r="2300" spans="1:4" ht="14.25">
      <c r="A2300" s="5">
        <v>25</v>
      </c>
      <c r="B2300" s="6" t="s">
        <v>4637</v>
      </c>
      <c r="C2300" s="7">
        <v>27235</v>
      </c>
      <c r="D2300" s="8" t="s">
        <v>4638</v>
      </c>
    </row>
    <row r="2301" spans="1:4" ht="14.25">
      <c r="A2301" s="5" t="s">
        <v>96</v>
      </c>
      <c r="B2301" s="6" t="s">
        <v>4639</v>
      </c>
      <c r="C2301" s="7">
        <v>27243</v>
      </c>
      <c r="D2301" s="8" t="s">
        <v>4640</v>
      </c>
    </row>
    <row r="2302" spans="1:4" ht="14.25">
      <c r="A2302" s="5">
        <v>2</v>
      </c>
      <c r="B2302" s="6" t="s">
        <v>4641</v>
      </c>
      <c r="C2302" s="7">
        <v>27243</v>
      </c>
      <c r="D2302" s="8" t="s">
        <v>4642</v>
      </c>
    </row>
    <row r="2303" spans="1:4" ht="14.25">
      <c r="A2303" s="5">
        <v>2</v>
      </c>
      <c r="B2303" s="6" t="s">
        <v>4643</v>
      </c>
      <c r="C2303" s="7">
        <v>27243</v>
      </c>
      <c r="D2303" s="8" t="s">
        <v>4644</v>
      </c>
    </row>
    <row r="2304" spans="1:4" ht="14.25">
      <c r="A2304" s="5" t="s">
        <v>96</v>
      </c>
      <c r="B2304" s="6" t="s">
        <v>4645</v>
      </c>
      <c r="C2304" s="7">
        <v>27244</v>
      </c>
      <c r="D2304" s="8" t="s">
        <v>4646</v>
      </c>
    </row>
    <row r="2305" spans="1:4" ht="14.25">
      <c r="A2305" s="5" t="s">
        <v>42</v>
      </c>
      <c r="B2305" s="6" t="s">
        <v>4647</v>
      </c>
      <c r="C2305" s="7">
        <v>27244</v>
      </c>
      <c r="D2305" s="8" t="s">
        <v>4648</v>
      </c>
    </row>
    <row r="2306" spans="1:4" ht="14.25">
      <c r="A2306" s="5">
        <v>3</v>
      </c>
      <c r="B2306" s="6" t="s">
        <v>4649</v>
      </c>
      <c r="C2306" s="7">
        <v>27244</v>
      </c>
      <c r="D2306" s="8" t="s">
        <v>4650</v>
      </c>
    </row>
    <row r="2307" spans="1:4" ht="14.25">
      <c r="A2307" s="5">
        <v>3</v>
      </c>
      <c r="B2307" s="6" t="s">
        <v>4651</v>
      </c>
      <c r="C2307" s="7">
        <v>27244</v>
      </c>
      <c r="D2307" s="8" t="s">
        <v>4652</v>
      </c>
    </row>
    <row r="2308" spans="1:4" ht="14.25">
      <c r="A2308" s="5">
        <v>3</v>
      </c>
      <c r="B2308" s="6" t="s">
        <v>4653</v>
      </c>
      <c r="C2308" s="7">
        <v>27244</v>
      </c>
      <c r="D2308" s="8" t="s">
        <v>4654</v>
      </c>
    </row>
    <row r="2309" spans="1:4" ht="14.25">
      <c r="A2309" s="5">
        <v>3</v>
      </c>
      <c r="B2309" s="6" t="s">
        <v>4655</v>
      </c>
      <c r="C2309" s="7">
        <v>27244</v>
      </c>
      <c r="D2309" s="8" t="s">
        <v>4656</v>
      </c>
    </row>
    <row r="2310" spans="1:4" ht="14.25">
      <c r="A2310" s="5" t="s">
        <v>96</v>
      </c>
      <c r="B2310" s="6" t="s">
        <v>4657</v>
      </c>
      <c r="C2310" s="7">
        <v>27245</v>
      </c>
      <c r="D2310" s="8" t="s">
        <v>4658</v>
      </c>
    </row>
    <row r="2311" spans="1:4" ht="14.25">
      <c r="A2311" s="5" t="s">
        <v>42</v>
      </c>
      <c r="B2311" s="6" t="s">
        <v>4659</v>
      </c>
      <c r="C2311" s="7">
        <v>27245</v>
      </c>
      <c r="D2311" s="8" t="s">
        <v>4660</v>
      </c>
    </row>
    <row r="2312" spans="1:4" ht="14.25">
      <c r="A2312" s="5" t="s">
        <v>4661</v>
      </c>
      <c r="B2312" s="6" t="s">
        <v>4662</v>
      </c>
      <c r="C2312" s="7">
        <v>27245</v>
      </c>
      <c r="D2312" s="8" t="s">
        <v>4663</v>
      </c>
    </row>
    <row r="2313" spans="1:4" ht="14.25">
      <c r="A2313" s="5" t="s">
        <v>4661</v>
      </c>
      <c r="B2313" s="6" t="s">
        <v>4664</v>
      </c>
      <c r="C2313" s="7">
        <v>27245</v>
      </c>
      <c r="D2313" s="8" t="s">
        <v>4665</v>
      </c>
    </row>
    <row r="2314" spans="1:4" ht="14.25">
      <c r="A2314" s="5">
        <v>4</v>
      </c>
      <c r="B2314" s="6" t="s">
        <v>4666</v>
      </c>
      <c r="C2314" s="7">
        <v>27245</v>
      </c>
      <c r="D2314" s="8" t="s">
        <v>4667</v>
      </c>
    </row>
    <row r="2315" spans="1:4" ht="14.25">
      <c r="A2315" s="5">
        <v>4</v>
      </c>
      <c r="B2315" s="6" t="s">
        <v>4668</v>
      </c>
      <c r="C2315" s="7">
        <v>27245</v>
      </c>
      <c r="D2315" s="8" t="s">
        <v>4669</v>
      </c>
    </row>
    <row r="2316" spans="1:4" ht="14.25">
      <c r="A2316" s="5" t="s">
        <v>96</v>
      </c>
      <c r="B2316" s="6" t="s">
        <v>4670</v>
      </c>
      <c r="C2316" s="7">
        <v>27246</v>
      </c>
      <c r="D2316" s="8" t="s">
        <v>4671</v>
      </c>
    </row>
    <row r="2317" spans="1:4" ht="14.25">
      <c r="A2317" s="5" t="s">
        <v>463</v>
      </c>
      <c r="B2317" s="6" t="s">
        <v>4672</v>
      </c>
      <c r="C2317" s="7">
        <v>27246</v>
      </c>
      <c r="D2317" s="8" t="s">
        <v>4673</v>
      </c>
    </row>
    <row r="2318" spans="1:4" ht="14.25">
      <c r="A2318" s="5" t="s">
        <v>42</v>
      </c>
      <c r="B2318" s="6" t="s">
        <v>4674</v>
      </c>
      <c r="C2318" s="7">
        <v>27246</v>
      </c>
      <c r="D2318" s="8" t="s">
        <v>4675</v>
      </c>
    </row>
    <row r="2319" spans="1:4" ht="14.25">
      <c r="A2319" s="5">
        <v>5</v>
      </c>
      <c r="B2319" s="6" t="s">
        <v>4676</v>
      </c>
      <c r="C2319" s="7">
        <v>27246</v>
      </c>
      <c r="D2319" s="8" t="s">
        <v>4677</v>
      </c>
    </row>
    <row r="2320" spans="1:4" ht="14.25">
      <c r="A2320" s="5">
        <v>5</v>
      </c>
      <c r="B2320" s="6" t="s">
        <v>4678</v>
      </c>
      <c r="C2320" s="7">
        <v>27246</v>
      </c>
      <c r="D2320" s="8" t="s">
        <v>4679</v>
      </c>
    </row>
    <row r="2321" spans="1:4" ht="14.25">
      <c r="A2321" s="5">
        <v>5</v>
      </c>
      <c r="B2321" s="6" t="s">
        <v>4680</v>
      </c>
      <c r="C2321" s="7">
        <v>27246</v>
      </c>
      <c r="D2321" s="8" t="s">
        <v>4681</v>
      </c>
    </row>
    <row r="2322" spans="1:4" ht="14.25">
      <c r="A2322" s="5">
        <v>5</v>
      </c>
      <c r="B2322" s="6" t="s">
        <v>4682</v>
      </c>
      <c r="C2322" s="7">
        <v>27246</v>
      </c>
      <c r="D2322" s="8" t="s">
        <v>4683</v>
      </c>
    </row>
    <row r="2323" spans="1:4" ht="14.25">
      <c r="A2323" s="5" t="s">
        <v>96</v>
      </c>
      <c r="B2323" s="6" t="s">
        <v>4684</v>
      </c>
      <c r="C2323" s="7">
        <v>27247</v>
      </c>
      <c r="D2323" s="8" t="s">
        <v>4685</v>
      </c>
    </row>
    <row r="2324" spans="1:4" ht="14.25">
      <c r="A2324" s="5" t="s">
        <v>42</v>
      </c>
      <c r="B2324" s="6" t="s">
        <v>4686</v>
      </c>
      <c r="C2324" s="7">
        <v>27247</v>
      </c>
      <c r="D2324" s="8" t="s">
        <v>4687</v>
      </c>
    </row>
    <row r="2325" spans="1:4" ht="14.25">
      <c r="A2325" s="5">
        <v>6</v>
      </c>
      <c r="B2325" s="6" t="s">
        <v>4688</v>
      </c>
      <c r="C2325" s="7">
        <v>27247</v>
      </c>
      <c r="D2325" s="8" t="s">
        <v>4689</v>
      </c>
    </row>
    <row r="2326" spans="1:4" ht="14.25">
      <c r="A2326" s="5">
        <v>6</v>
      </c>
      <c r="B2326" s="6" t="s">
        <v>4690</v>
      </c>
      <c r="C2326" s="7">
        <v>27247</v>
      </c>
      <c r="D2326" s="8" t="s">
        <v>4691</v>
      </c>
    </row>
    <row r="2327" spans="1:4" ht="14.25">
      <c r="A2327" s="5">
        <v>6</v>
      </c>
      <c r="B2327" s="6" t="s">
        <v>4692</v>
      </c>
      <c r="C2327" s="7">
        <v>27247</v>
      </c>
      <c r="D2327" s="8" t="s">
        <v>4693</v>
      </c>
    </row>
    <row r="2328" spans="1:4" ht="14.25">
      <c r="A2328" s="5">
        <v>6</v>
      </c>
      <c r="B2328" s="6" t="s">
        <v>4694</v>
      </c>
      <c r="C2328" s="7">
        <v>27247</v>
      </c>
      <c r="D2328" s="8" t="s">
        <v>4695</v>
      </c>
    </row>
    <row r="2329" spans="1:4" ht="14.25">
      <c r="A2329" s="5" t="s">
        <v>184</v>
      </c>
      <c r="B2329" s="6" t="s">
        <v>4696</v>
      </c>
      <c r="C2329" s="7">
        <v>27250</v>
      </c>
      <c r="D2329" s="8" t="s">
        <v>4697</v>
      </c>
    </row>
    <row r="2330" spans="1:4" ht="14.25">
      <c r="A2330" s="5" t="s">
        <v>42</v>
      </c>
      <c r="B2330" s="6" t="s">
        <v>4698</v>
      </c>
      <c r="C2330" s="7">
        <v>27250</v>
      </c>
      <c r="D2330" s="8" t="s">
        <v>4699</v>
      </c>
    </row>
    <row r="2331" spans="1:4" ht="14.25">
      <c r="A2331" s="5">
        <v>9</v>
      </c>
      <c r="B2331" s="6" t="s">
        <v>4700</v>
      </c>
      <c r="C2331" s="7">
        <v>27250</v>
      </c>
      <c r="D2331" s="8" t="s">
        <v>4701</v>
      </c>
    </row>
    <row r="2332" spans="1:4" ht="14.25">
      <c r="A2332" s="5">
        <v>9</v>
      </c>
      <c r="B2332" s="6" t="s">
        <v>4702</v>
      </c>
      <c r="C2332" s="7">
        <v>27250</v>
      </c>
      <c r="D2332" s="8" t="s">
        <v>4703</v>
      </c>
    </row>
    <row r="2333" spans="1:4" ht="14.25">
      <c r="A2333" s="5">
        <v>9</v>
      </c>
      <c r="B2333" s="6" t="s">
        <v>4704</v>
      </c>
      <c r="C2333" s="7">
        <v>27250</v>
      </c>
      <c r="D2333" s="8" t="s">
        <v>4705</v>
      </c>
    </row>
    <row r="2334" spans="1:4" ht="14.25">
      <c r="A2334" s="5">
        <v>9</v>
      </c>
      <c r="B2334" s="6" t="s">
        <v>4706</v>
      </c>
      <c r="C2334" s="7">
        <v>27250</v>
      </c>
      <c r="D2334" s="8" t="s">
        <v>4707</v>
      </c>
    </row>
    <row r="2335" spans="1:4" ht="14.25">
      <c r="A2335" s="5" t="s">
        <v>184</v>
      </c>
      <c r="B2335" s="6" t="s">
        <v>4708</v>
      </c>
      <c r="C2335" s="7">
        <v>27251</v>
      </c>
      <c r="D2335" s="8" t="s">
        <v>4709</v>
      </c>
    </row>
    <row r="2336" spans="1:4" ht="14.25">
      <c r="A2336" s="5" t="s">
        <v>42</v>
      </c>
      <c r="B2336" s="6" t="s">
        <v>4710</v>
      </c>
      <c r="C2336" s="7">
        <v>27251</v>
      </c>
      <c r="D2336" s="8" t="s">
        <v>4711</v>
      </c>
    </row>
    <row r="2337" spans="1:4" ht="14.25">
      <c r="A2337" s="5">
        <v>10</v>
      </c>
      <c r="B2337" s="6" t="s">
        <v>4712</v>
      </c>
      <c r="C2337" s="7">
        <v>27251</v>
      </c>
      <c r="D2337" s="8" t="s">
        <v>4713</v>
      </c>
    </row>
    <row r="2338" spans="1:4" ht="14.25">
      <c r="A2338" s="5">
        <v>10</v>
      </c>
      <c r="B2338" s="6" t="s">
        <v>4714</v>
      </c>
      <c r="C2338" s="7">
        <v>27251</v>
      </c>
      <c r="D2338" s="8" t="s">
        <v>4715</v>
      </c>
    </row>
    <row r="2339" spans="1:4" ht="14.25">
      <c r="A2339" s="5">
        <v>10</v>
      </c>
      <c r="B2339" s="6" t="s">
        <v>4716</v>
      </c>
      <c r="C2339" s="7">
        <v>27251</v>
      </c>
      <c r="D2339" s="8" t="s">
        <v>4717</v>
      </c>
    </row>
    <row r="2340" spans="1:4" ht="14.25">
      <c r="A2340" s="5">
        <v>10</v>
      </c>
      <c r="B2340" s="6" t="s">
        <v>4718</v>
      </c>
      <c r="C2340" s="7">
        <v>27251</v>
      </c>
      <c r="D2340" s="8" t="s">
        <v>4719</v>
      </c>
    </row>
    <row r="2341" spans="1:4" ht="14.25">
      <c r="A2341" s="5" t="s">
        <v>184</v>
      </c>
      <c r="B2341" s="6" t="s">
        <v>4720</v>
      </c>
      <c r="C2341" s="7">
        <v>27252</v>
      </c>
      <c r="D2341" s="8" t="s">
        <v>4721</v>
      </c>
    </row>
    <row r="2342" spans="1:4" ht="14.25">
      <c r="A2342" s="5" t="s">
        <v>42</v>
      </c>
      <c r="B2342" s="6" t="s">
        <v>4722</v>
      </c>
      <c r="C2342" s="7">
        <v>27252</v>
      </c>
      <c r="D2342" s="8" t="s">
        <v>4723</v>
      </c>
    </row>
    <row r="2343" spans="1:4" ht="14.25">
      <c r="A2343" s="5">
        <v>11</v>
      </c>
      <c r="B2343" s="6" t="s">
        <v>4724</v>
      </c>
      <c r="C2343" s="7">
        <v>27252</v>
      </c>
      <c r="D2343" s="8" t="s">
        <v>4725</v>
      </c>
    </row>
    <row r="2344" spans="1:4" ht="14.25">
      <c r="A2344" s="5">
        <v>11</v>
      </c>
      <c r="B2344" s="6" t="s">
        <v>4726</v>
      </c>
      <c r="C2344" s="7">
        <v>27252</v>
      </c>
      <c r="D2344" s="8" t="s">
        <v>4727</v>
      </c>
    </row>
    <row r="2345" spans="1:4" ht="14.25">
      <c r="A2345" s="5">
        <v>11</v>
      </c>
      <c r="B2345" s="6" t="s">
        <v>4728</v>
      </c>
      <c r="C2345" s="7">
        <v>27252</v>
      </c>
      <c r="D2345" s="8" t="s">
        <v>4729</v>
      </c>
    </row>
    <row r="2346" spans="1:4" ht="14.25">
      <c r="A2346" s="5">
        <v>11</v>
      </c>
      <c r="B2346" s="6" t="s">
        <v>4730</v>
      </c>
      <c r="C2346" s="7">
        <v>27252</v>
      </c>
      <c r="D2346" s="8" t="s">
        <v>4731</v>
      </c>
    </row>
    <row r="2347" spans="1:4" ht="14.25">
      <c r="A2347" s="5">
        <v>11</v>
      </c>
      <c r="B2347" s="6" t="s">
        <v>4732</v>
      </c>
      <c r="C2347" s="7">
        <v>27252</v>
      </c>
      <c r="D2347" s="8" t="s">
        <v>4733</v>
      </c>
    </row>
    <row r="2348" spans="1:4" ht="14.25">
      <c r="A2348" s="5" t="s">
        <v>184</v>
      </c>
      <c r="B2348" s="6" t="s">
        <v>4734</v>
      </c>
      <c r="C2348" s="7">
        <v>27253</v>
      </c>
      <c r="D2348" s="8" t="s">
        <v>4735</v>
      </c>
    </row>
    <row r="2349" spans="1:4" ht="14.25">
      <c r="A2349" s="5" t="s">
        <v>42</v>
      </c>
      <c r="B2349" s="6" t="s">
        <v>4736</v>
      </c>
      <c r="C2349" s="7">
        <v>27253</v>
      </c>
      <c r="D2349" s="8" t="s">
        <v>4737</v>
      </c>
    </row>
    <row r="2350" spans="1:4" ht="14.25">
      <c r="A2350" s="5">
        <v>12</v>
      </c>
      <c r="B2350" s="6" t="s">
        <v>4738</v>
      </c>
      <c r="C2350" s="7">
        <v>27253</v>
      </c>
      <c r="D2350" s="8" t="s">
        <v>4739</v>
      </c>
    </row>
    <row r="2351" spans="1:4" ht="14.25">
      <c r="A2351" s="5">
        <v>12</v>
      </c>
      <c r="B2351" s="6" t="s">
        <v>4740</v>
      </c>
      <c r="C2351" s="7">
        <v>27253</v>
      </c>
      <c r="D2351" s="8" t="s">
        <v>4741</v>
      </c>
    </row>
    <row r="2352" spans="1:4" ht="14.25">
      <c r="A2352" s="5">
        <v>12</v>
      </c>
      <c r="B2352" s="6" t="s">
        <v>4742</v>
      </c>
      <c r="C2352" s="7">
        <v>27253</v>
      </c>
      <c r="D2352" s="8" t="s">
        <v>4743</v>
      </c>
    </row>
    <row r="2353" spans="1:4" ht="14.25">
      <c r="A2353" s="5" t="s">
        <v>184</v>
      </c>
      <c r="B2353" s="6" t="s">
        <v>4744</v>
      </c>
      <c r="C2353" s="7">
        <v>27254</v>
      </c>
      <c r="D2353" s="8" t="s">
        <v>4745</v>
      </c>
    </row>
    <row r="2354" spans="1:4" ht="14.25">
      <c r="A2354" s="5" t="s">
        <v>42</v>
      </c>
      <c r="B2354" s="6" t="s">
        <v>4746</v>
      </c>
      <c r="C2354" s="7">
        <v>27254</v>
      </c>
      <c r="D2354" s="8" t="s">
        <v>4747</v>
      </c>
    </row>
    <row r="2355" spans="1:4" ht="14.25">
      <c r="A2355" s="5">
        <v>13</v>
      </c>
      <c r="B2355" s="6" t="s">
        <v>4748</v>
      </c>
      <c r="C2355" s="7">
        <v>27254</v>
      </c>
      <c r="D2355" s="8" t="s">
        <v>4749</v>
      </c>
    </row>
    <row r="2356" spans="1:4" ht="14.25">
      <c r="A2356" s="5">
        <v>13</v>
      </c>
      <c r="B2356" s="6" t="s">
        <v>4750</v>
      </c>
      <c r="C2356" s="7">
        <v>27254</v>
      </c>
      <c r="D2356" s="8" t="s">
        <v>4751</v>
      </c>
    </row>
    <row r="2357" spans="1:4" ht="14.25">
      <c r="A2357" s="5">
        <v>13</v>
      </c>
      <c r="B2357" s="6" t="s">
        <v>4752</v>
      </c>
      <c r="C2357" s="7">
        <v>27254</v>
      </c>
      <c r="D2357" s="8" t="s">
        <v>4753</v>
      </c>
    </row>
    <row r="2358" spans="1:4" ht="14.25">
      <c r="A2358" s="5">
        <v>13</v>
      </c>
      <c r="B2358" s="6" t="s">
        <v>4754</v>
      </c>
      <c r="C2358" s="7">
        <v>27254</v>
      </c>
      <c r="D2358" s="8" t="s">
        <v>4755</v>
      </c>
    </row>
    <row r="2359" spans="1:4" ht="14.25">
      <c r="A2359" s="5" t="s">
        <v>42</v>
      </c>
      <c r="B2359" s="6" t="s">
        <v>4756</v>
      </c>
      <c r="C2359" s="7">
        <v>27255</v>
      </c>
      <c r="D2359" s="8" t="s">
        <v>4757</v>
      </c>
    </row>
    <row r="2360" spans="1:4" ht="14.25">
      <c r="A2360" s="5">
        <v>14</v>
      </c>
      <c r="B2360" s="6" t="s">
        <v>4758</v>
      </c>
      <c r="C2360" s="7">
        <v>27255</v>
      </c>
      <c r="D2360" s="8" t="s">
        <v>4759</v>
      </c>
    </row>
    <row r="2361" spans="1:4" ht="14.25">
      <c r="A2361" s="5">
        <v>14</v>
      </c>
      <c r="B2361" s="6" t="s">
        <v>4760</v>
      </c>
      <c r="C2361" s="7">
        <v>27255</v>
      </c>
      <c r="D2361" s="8" t="s">
        <v>4761</v>
      </c>
    </row>
    <row r="2362" spans="1:4" ht="14.25">
      <c r="A2362" s="5" t="s">
        <v>184</v>
      </c>
      <c r="B2362" s="6" t="s">
        <v>4762</v>
      </c>
      <c r="C2362" s="7">
        <v>27256</v>
      </c>
      <c r="D2362" s="8" t="s">
        <v>4763</v>
      </c>
    </row>
    <row r="2363" spans="1:4" ht="14.25">
      <c r="A2363" s="5">
        <v>15</v>
      </c>
      <c r="B2363" s="6" t="s">
        <v>4764</v>
      </c>
      <c r="C2363" s="7">
        <v>27256</v>
      </c>
      <c r="D2363" s="8" t="s">
        <v>4765</v>
      </c>
    </row>
    <row r="2364" spans="1:4" ht="14.25">
      <c r="A2364" s="5">
        <v>15</v>
      </c>
      <c r="B2364" s="6" t="s">
        <v>4766</v>
      </c>
      <c r="C2364" s="7">
        <v>27256</v>
      </c>
      <c r="D2364" s="8" t="s">
        <v>4767</v>
      </c>
    </row>
    <row r="2365" spans="1:4" ht="14.25">
      <c r="A2365" s="5" t="s">
        <v>184</v>
      </c>
      <c r="B2365" s="6" t="s">
        <v>4768</v>
      </c>
      <c r="C2365" s="7">
        <v>27257</v>
      </c>
      <c r="D2365" s="8" t="s">
        <v>4769</v>
      </c>
    </row>
    <row r="2366" spans="1:4" ht="14.25">
      <c r="A2366" s="5" t="s">
        <v>42</v>
      </c>
      <c r="B2366" s="6" t="s">
        <v>4770</v>
      </c>
      <c r="C2366" s="7">
        <v>27257</v>
      </c>
      <c r="D2366" s="8" t="s">
        <v>4771</v>
      </c>
    </row>
    <row r="2367" spans="1:4" ht="14.25">
      <c r="A2367" s="5">
        <v>16</v>
      </c>
      <c r="B2367" s="6" t="s">
        <v>4772</v>
      </c>
      <c r="C2367" s="7">
        <v>27257</v>
      </c>
      <c r="D2367" s="8" t="s">
        <v>4773</v>
      </c>
    </row>
    <row r="2368" spans="1:4" ht="14.25">
      <c r="A2368" s="5">
        <v>16</v>
      </c>
      <c r="B2368" s="6" t="s">
        <v>4774</v>
      </c>
      <c r="C2368" s="7">
        <v>27257</v>
      </c>
      <c r="D2368" s="8" t="s">
        <v>4775</v>
      </c>
    </row>
    <row r="2369" spans="1:4" ht="14.25">
      <c r="A2369" s="5">
        <v>16</v>
      </c>
      <c r="B2369" s="6" t="s">
        <v>4776</v>
      </c>
      <c r="C2369" s="7">
        <v>27257</v>
      </c>
      <c r="D2369" s="8" t="s">
        <v>4777</v>
      </c>
    </row>
    <row r="2370" spans="1:4" ht="14.25">
      <c r="A2370" s="5" t="s">
        <v>42</v>
      </c>
      <c r="B2370" s="6" t="s">
        <v>4778</v>
      </c>
      <c r="C2370" s="7">
        <v>27258</v>
      </c>
      <c r="D2370" s="8" t="s">
        <v>4779</v>
      </c>
    </row>
    <row r="2371" spans="1:4" ht="14.25">
      <c r="A2371" s="5">
        <v>17</v>
      </c>
      <c r="B2371" s="6" t="s">
        <v>4780</v>
      </c>
      <c r="C2371" s="7">
        <v>27258</v>
      </c>
      <c r="D2371" s="8" t="s">
        <v>4781</v>
      </c>
    </row>
    <row r="2372" spans="1:4" ht="14.25">
      <c r="A2372" s="5" t="s">
        <v>167</v>
      </c>
      <c r="B2372" s="6" t="s">
        <v>4782</v>
      </c>
      <c r="C2372" s="7">
        <v>27259</v>
      </c>
      <c r="D2372" s="8" t="s">
        <v>4783</v>
      </c>
    </row>
    <row r="2373" spans="1:4" ht="14.25">
      <c r="A2373" s="5">
        <v>18</v>
      </c>
      <c r="B2373" s="6" t="s">
        <v>4784</v>
      </c>
      <c r="C2373" s="7">
        <v>27259</v>
      </c>
      <c r="D2373" s="8" t="s">
        <v>4785</v>
      </c>
    </row>
    <row r="2374" spans="1:4" ht="14.25">
      <c r="A2374" s="5" t="s">
        <v>167</v>
      </c>
      <c r="B2374" s="6" t="s">
        <v>4786</v>
      </c>
      <c r="C2374" s="7">
        <v>27282</v>
      </c>
      <c r="D2374" s="8" t="s">
        <v>4787</v>
      </c>
    </row>
    <row r="2375" spans="1:4" ht="14.25">
      <c r="A2375" s="5">
        <v>10</v>
      </c>
      <c r="B2375" s="6" t="s">
        <v>4788</v>
      </c>
      <c r="C2375" s="7">
        <v>27282</v>
      </c>
      <c r="D2375" s="8" t="s">
        <v>4789</v>
      </c>
    </row>
    <row r="2376" spans="1:4" ht="14.25">
      <c r="A2376" s="5">
        <v>10</v>
      </c>
      <c r="B2376" s="6" t="s">
        <v>4790</v>
      </c>
      <c r="C2376" s="7">
        <v>27282</v>
      </c>
      <c r="D2376" s="8" t="s">
        <v>4791</v>
      </c>
    </row>
    <row r="2377" spans="1:4" ht="14.25">
      <c r="A2377" s="5" t="s">
        <v>167</v>
      </c>
      <c r="B2377" s="6" t="s">
        <v>4792</v>
      </c>
      <c r="C2377" s="7">
        <v>27283</v>
      </c>
      <c r="D2377" s="8" t="s">
        <v>4793</v>
      </c>
    </row>
    <row r="2378" spans="1:4" ht="14.25">
      <c r="A2378" s="5">
        <v>11</v>
      </c>
      <c r="B2378" s="6" t="s">
        <v>4794</v>
      </c>
      <c r="C2378" s="7">
        <v>27283</v>
      </c>
      <c r="D2378" s="8" t="s">
        <v>4795</v>
      </c>
    </row>
    <row r="2379" spans="1:4" ht="14.25">
      <c r="A2379" s="5" t="s">
        <v>1786</v>
      </c>
      <c r="B2379" s="6" t="s">
        <v>4796</v>
      </c>
      <c r="C2379" s="7">
        <v>27294</v>
      </c>
      <c r="D2379" s="8" t="s">
        <v>4797</v>
      </c>
    </row>
    <row r="2380" spans="1:4" ht="14.25">
      <c r="A2380" s="5">
        <v>22</v>
      </c>
      <c r="B2380" s="6" t="s">
        <v>4798</v>
      </c>
      <c r="C2380" s="7">
        <v>27294</v>
      </c>
      <c r="D2380" s="8" t="s">
        <v>4799</v>
      </c>
    </row>
    <row r="2381" spans="1:4" ht="14.25">
      <c r="A2381" s="5" t="s">
        <v>96</v>
      </c>
      <c r="B2381" s="6" t="s">
        <v>4800</v>
      </c>
      <c r="C2381" s="7">
        <v>27295</v>
      </c>
      <c r="D2381" s="8" t="s">
        <v>4801</v>
      </c>
    </row>
    <row r="2382" spans="1:4" ht="14.25">
      <c r="A2382" s="5">
        <v>23</v>
      </c>
      <c r="B2382" s="6" t="s">
        <v>4802</v>
      </c>
      <c r="C2382" s="7">
        <v>27295</v>
      </c>
      <c r="D2382" s="8" t="s">
        <v>4803</v>
      </c>
    </row>
    <row r="2383" spans="1:4" ht="14.25">
      <c r="A2383" s="5">
        <v>23</v>
      </c>
      <c r="B2383" s="6" t="s">
        <v>4804</v>
      </c>
      <c r="C2383" s="7">
        <v>27295</v>
      </c>
      <c r="D2383" s="8" t="s">
        <v>4805</v>
      </c>
    </row>
    <row r="2384" spans="1:4" ht="14.25">
      <c r="A2384" s="5">
        <v>23</v>
      </c>
      <c r="B2384" s="6" t="s">
        <v>4806</v>
      </c>
      <c r="C2384" s="7">
        <v>27295</v>
      </c>
      <c r="D2384" s="8" t="s">
        <v>4807</v>
      </c>
    </row>
    <row r="2385" spans="1:4" ht="14.25">
      <c r="A2385" s="5" t="s">
        <v>42</v>
      </c>
      <c r="B2385" s="6" t="s">
        <v>4808</v>
      </c>
      <c r="C2385" s="7">
        <v>27298</v>
      </c>
      <c r="D2385" s="8" t="s">
        <v>4809</v>
      </c>
    </row>
    <row r="2386" spans="1:4" ht="14.25">
      <c r="A2386" s="5">
        <v>26</v>
      </c>
      <c r="B2386" s="6" t="s">
        <v>4810</v>
      </c>
      <c r="C2386" s="7">
        <v>27298</v>
      </c>
      <c r="D2386" s="8" t="s">
        <v>4811</v>
      </c>
    </row>
    <row r="2387" spans="1:4" ht="14.25">
      <c r="A2387" s="5">
        <v>26</v>
      </c>
      <c r="B2387" s="6" t="s">
        <v>4812</v>
      </c>
      <c r="C2387" s="7">
        <v>27298</v>
      </c>
      <c r="D2387" s="8" t="s">
        <v>4813</v>
      </c>
    </row>
    <row r="2388" spans="1:4" ht="14.25">
      <c r="A2388" s="5" t="s">
        <v>863</v>
      </c>
      <c r="B2388" s="6" t="s">
        <v>4814</v>
      </c>
      <c r="C2388" s="7">
        <v>27299</v>
      </c>
      <c r="D2388" s="8" t="s">
        <v>4815</v>
      </c>
    </row>
    <row r="2389" spans="1:4" ht="14.25">
      <c r="A2389" s="5" t="s">
        <v>42</v>
      </c>
      <c r="B2389" s="6" t="s">
        <v>4816</v>
      </c>
      <c r="C2389" s="7">
        <v>27299</v>
      </c>
      <c r="D2389" s="8" t="s">
        <v>4817</v>
      </c>
    </row>
    <row r="2390" spans="1:4" ht="14.25">
      <c r="A2390" s="5">
        <v>27</v>
      </c>
      <c r="B2390" s="6" t="s">
        <v>4818</v>
      </c>
      <c r="C2390" s="7">
        <v>27299</v>
      </c>
      <c r="D2390" s="8" t="s">
        <v>4819</v>
      </c>
    </row>
    <row r="2391" spans="1:4" ht="14.25">
      <c r="A2391" s="5">
        <v>27</v>
      </c>
      <c r="B2391" s="6" t="s">
        <v>4820</v>
      </c>
      <c r="C2391" s="7">
        <v>27299</v>
      </c>
      <c r="D2391" s="8" t="s">
        <v>4821</v>
      </c>
    </row>
    <row r="2392" spans="1:4" ht="14.25">
      <c r="A2392" s="5">
        <v>27</v>
      </c>
      <c r="B2392" s="6" t="s">
        <v>4822</v>
      </c>
      <c r="C2392" s="7">
        <v>27299</v>
      </c>
      <c r="D2392" s="8" t="s">
        <v>4823</v>
      </c>
    </row>
    <row r="2393" spans="1:4" ht="14.25">
      <c r="A2393" s="5">
        <v>27</v>
      </c>
      <c r="B2393" s="6" t="s">
        <v>4824</v>
      </c>
      <c r="C2393" s="7">
        <v>27299</v>
      </c>
      <c r="D2393" s="8" t="s">
        <v>4825</v>
      </c>
    </row>
    <row r="2394" spans="1:4" ht="14.25">
      <c r="A2394" s="5" t="s">
        <v>42</v>
      </c>
      <c r="B2394" s="6" t="s">
        <v>4826</v>
      </c>
      <c r="C2394" s="7">
        <v>27300</v>
      </c>
      <c r="D2394" s="8" t="s">
        <v>4827</v>
      </c>
    </row>
    <row r="2395" spans="1:4" ht="14.25">
      <c r="A2395" s="5">
        <v>28</v>
      </c>
      <c r="B2395" s="6" t="s">
        <v>4828</v>
      </c>
      <c r="C2395" s="7">
        <v>27300</v>
      </c>
      <c r="D2395" s="8" t="s">
        <v>4829</v>
      </c>
    </row>
    <row r="2396" spans="1:4" ht="14.25">
      <c r="A2396" s="5">
        <v>28</v>
      </c>
      <c r="B2396" s="6" t="s">
        <v>4830</v>
      </c>
      <c r="C2396" s="7">
        <v>27300</v>
      </c>
      <c r="D2396" s="8" t="s">
        <v>4831</v>
      </c>
    </row>
    <row r="2397" spans="1:4" ht="14.25">
      <c r="A2397" s="5" t="s">
        <v>42</v>
      </c>
      <c r="B2397" s="6" t="s">
        <v>4832</v>
      </c>
      <c r="C2397" s="7">
        <v>27301</v>
      </c>
      <c r="D2397" s="8" t="s">
        <v>4833</v>
      </c>
    </row>
    <row r="2398" spans="1:4" ht="14.25">
      <c r="A2398" s="5">
        <v>29</v>
      </c>
      <c r="B2398" s="6" t="s">
        <v>4834</v>
      </c>
      <c r="C2398" s="7">
        <v>27301</v>
      </c>
      <c r="D2398" s="8" t="s">
        <v>4835</v>
      </c>
    </row>
    <row r="2399" spans="1:4" ht="14.25">
      <c r="A2399" s="5">
        <v>29</v>
      </c>
      <c r="B2399" s="6" t="s">
        <v>4836</v>
      </c>
      <c r="C2399" s="7">
        <v>27301</v>
      </c>
      <c r="D2399" s="8" t="s">
        <v>4837</v>
      </c>
    </row>
    <row r="2400" spans="1:4" ht="14.25">
      <c r="A2400" s="5">
        <v>29</v>
      </c>
      <c r="B2400" s="6" t="s">
        <v>4838</v>
      </c>
      <c r="C2400" s="7">
        <v>27301</v>
      </c>
      <c r="D2400" s="8" t="s">
        <v>4839</v>
      </c>
    </row>
    <row r="2401" spans="1:4" ht="14.25">
      <c r="A2401" s="5" t="s">
        <v>42</v>
      </c>
      <c r="B2401" s="6" t="s">
        <v>4840</v>
      </c>
      <c r="C2401" s="7">
        <v>27302</v>
      </c>
      <c r="D2401" s="8" t="s">
        <v>4841</v>
      </c>
    </row>
    <row r="2402" spans="1:4" ht="14.25">
      <c r="A2402" s="5">
        <v>30</v>
      </c>
      <c r="B2402" s="6" t="s">
        <v>4842</v>
      </c>
      <c r="C2402" s="7">
        <v>27302</v>
      </c>
      <c r="D2402" s="8" t="s">
        <v>4843</v>
      </c>
    </row>
    <row r="2403" spans="1:4" ht="14.25">
      <c r="A2403" s="5">
        <v>30</v>
      </c>
      <c r="B2403" s="6" t="s">
        <v>4844</v>
      </c>
      <c r="C2403" s="7">
        <v>27302</v>
      </c>
      <c r="D2403" s="8" t="s">
        <v>4845</v>
      </c>
    </row>
    <row r="2404" spans="1:4" ht="14.25">
      <c r="A2404" s="5" t="s">
        <v>42</v>
      </c>
      <c r="B2404" s="6" t="s">
        <v>4846</v>
      </c>
      <c r="C2404" s="7">
        <v>27303</v>
      </c>
      <c r="D2404" s="8" t="s">
        <v>4847</v>
      </c>
    </row>
    <row r="2405" spans="1:4" ht="14.25">
      <c r="A2405" s="5">
        <v>1</v>
      </c>
      <c r="B2405" s="6" t="s">
        <v>4848</v>
      </c>
      <c r="C2405" s="7">
        <v>27303</v>
      </c>
      <c r="D2405" s="8" t="s">
        <v>4849</v>
      </c>
    </row>
    <row r="2406" spans="1:4" ht="14.25">
      <c r="A2406" s="5">
        <v>1</v>
      </c>
      <c r="B2406" s="6" t="s">
        <v>4850</v>
      </c>
      <c r="C2406" s="7">
        <v>27303</v>
      </c>
      <c r="D2406" s="8" t="s">
        <v>4851</v>
      </c>
    </row>
    <row r="2407" spans="1:4" ht="14.25">
      <c r="A2407" s="5" t="s">
        <v>42</v>
      </c>
      <c r="B2407" s="6" t="s">
        <v>4852</v>
      </c>
      <c r="C2407" s="7">
        <v>27305</v>
      </c>
      <c r="D2407" s="8" t="s">
        <v>4853</v>
      </c>
    </row>
    <row r="2408" spans="1:4" ht="14.25">
      <c r="A2408" s="5">
        <v>3</v>
      </c>
      <c r="B2408" s="6" t="s">
        <v>4854</v>
      </c>
      <c r="C2408" s="7">
        <v>27305</v>
      </c>
      <c r="D2408" s="8" t="s">
        <v>4855</v>
      </c>
    </row>
    <row r="2409" spans="1:4" ht="14.25">
      <c r="A2409" s="5">
        <v>3</v>
      </c>
      <c r="B2409" s="6" t="s">
        <v>4856</v>
      </c>
      <c r="C2409" s="7">
        <v>27305</v>
      </c>
      <c r="D2409" s="8" t="s">
        <v>4857</v>
      </c>
    </row>
    <row r="2410" spans="1:4" ht="14.25">
      <c r="A2410" s="5">
        <v>3</v>
      </c>
      <c r="B2410" s="6" t="s">
        <v>4858</v>
      </c>
      <c r="C2410" s="7">
        <v>27305</v>
      </c>
      <c r="D2410" s="8" t="s">
        <v>4859</v>
      </c>
    </row>
    <row r="2411" spans="1:4" ht="14.25">
      <c r="A2411" s="5" t="s">
        <v>42</v>
      </c>
      <c r="B2411" s="6" t="s">
        <v>4860</v>
      </c>
      <c r="C2411" s="7">
        <v>27306</v>
      </c>
      <c r="D2411" s="8" t="s">
        <v>4861</v>
      </c>
    </row>
    <row r="2412" spans="1:4" ht="14.25">
      <c r="A2412" s="5">
        <v>4</v>
      </c>
      <c r="B2412" s="6" t="s">
        <v>4862</v>
      </c>
      <c r="C2412" s="7">
        <v>27306</v>
      </c>
      <c r="D2412" s="8" t="s">
        <v>4863</v>
      </c>
    </row>
    <row r="2413" spans="1:4" ht="14.25">
      <c r="A2413" s="5">
        <v>4</v>
      </c>
      <c r="B2413" s="6" t="s">
        <v>4864</v>
      </c>
      <c r="C2413" s="7">
        <v>27306</v>
      </c>
      <c r="D2413" s="8" t="s">
        <v>4865</v>
      </c>
    </row>
    <row r="2414" spans="1:4" ht="14.25">
      <c r="A2414" s="5" t="s">
        <v>42</v>
      </c>
      <c r="B2414" s="6" t="s">
        <v>4866</v>
      </c>
      <c r="C2414" s="7">
        <v>27307</v>
      </c>
      <c r="D2414" s="8" t="s">
        <v>4867</v>
      </c>
    </row>
    <row r="2415" spans="1:4" ht="14.25">
      <c r="A2415" s="5">
        <v>5</v>
      </c>
      <c r="B2415" s="6" t="s">
        <v>4868</v>
      </c>
      <c r="C2415" s="7">
        <v>27307</v>
      </c>
      <c r="D2415" s="8" t="s">
        <v>4869</v>
      </c>
    </row>
    <row r="2416" spans="1:4" ht="14.25">
      <c r="A2416" s="5">
        <v>5</v>
      </c>
      <c r="B2416" s="6" t="s">
        <v>4870</v>
      </c>
      <c r="C2416" s="7">
        <v>27307</v>
      </c>
      <c r="D2416" s="8" t="s">
        <v>4871</v>
      </c>
    </row>
    <row r="2417" spans="1:4" ht="14.25">
      <c r="A2417" s="5" t="s">
        <v>42</v>
      </c>
      <c r="B2417" s="6" t="s">
        <v>4872</v>
      </c>
      <c r="C2417" s="7">
        <v>27308</v>
      </c>
      <c r="D2417" s="8" t="s">
        <v>4873</v>
      </c>
    </row>
    <row r="2418" spans="1:4" ht="14.25">
      <c r="A2418" s="5">
        <v>6</v>
      </c>
      <c r="B2418" s="6" t="s">
        <v>4874</v>
      </c>
      <c r="C2418" s="7">
        <v>27308</v>
      </c>
      <c r="D2418" s="8" t="s">
        <v>4875</v>
      </c>
    </row>
    <row r="2419" spans="1:4" ht="14.25">
      <c r="A2419" s="5">
        <v>6</v>
      </c>
      <c r="B2419" s="6" t="s">
        <v>4876</v>
      </c>
      <c r="C2419" s="7">
        <v>27308</v>
      </c>
      <c r="D2419" s="8" t="s">
        <v>4877</v>
      </c>
    </row>
    <row r="2420" spans="1:4" ht="14.25">
      <c r="A2420" s="5">
        <v>7</v>
      </c>
      <c r="B2420" s="6" t="s">
        <v>4878</v>
      </c>
      <c r="C2420" s="7">
        <v>27309</v>
      </c>
      <c r="D2420" s="8" t="s">
        <v>4879</v>
      </c>
    </row>
    <row r="2421" spans="1:4" ht="14.25">
      <c r="A2421" s="5" t="s">
        <v>42</v>
      </c>
      <c r="B2421" s="6" t="s">
        <v>4880</v>
      </c>
      <c r="C2421" s="7">
        <v>27310</v>
      </c>
      <c r="D2421" s="8" t="s">
        <v>4881</v>
      </c>
    </row>
    <row r="2422" spans="1:4" ht="14.25">
      <c r="A2422" s="5">
        <v>8</v>
      </c>
      <c r="B2422" s="6" t="s">
        <v>4882</v>
      </c>
      <c r="C2422" s="7">
        <v>27310</v>
      </c>
      <c r="D2422" s="8" t="s">
        <v>4883</v>
      </c>
    </row>
    <row r="2423" spans="1:4" ht="14.25">
      <c r="A2423" s="5">
        <v>8</v>
      </c>
      <c r="B2423" s="6" t="s">
        <v>4884</v>
      </c>
      <c r="C2423" s="7">
        <v>27310</v>
      </c>
      <c r="D2423" s="8" t="s">
        <v>4885</v>
      </c>
    </row>
    <row r="2424" spans="1:4" ht="14.25">
      <c r="A2424" s="5" t="s">
        <v>42</v>
      </c>
      <c r="B2424" s="6" t="s">
        <v>4886</v>
      </c>
      <c r="C2424" s="7">
        <v>27311</v>
      </c>
      <c r="D2424" s="8" t="s">
        <v>4887</v>
      </c>
    </row>
    <row r="2425" spans="1:4" ht="14.25">
      <c r="A2425" s="5">
        <v>9</v>
      </c>
      <c r="B2425" s="6" t="s">
        <v>4888</v>
      </c>
      <c r="C2425" s="7">
        <v>27311</v>
      </c>
      <c r="D2425" s="8" t="s">
        <v>4889</v>
      </c>
    </row>
    <row r="2426" spans="1:4" ht="14.25">
      <c r="A2426" s="5">
        <v>9</v>
      </c>
      <c r="B2426" s="6" t="s">
        <v>4890</v>
      </c>
      <c r="C2426" s="7">
        <v>27311</v>
      </c>
      <c r="D2426" s="8" t="s">
        <v>4891</v>
      </c>
    </row>
    <row r="2427" spans="1:4" ht="14.25">
      <c r="A2427" s="5" t="s">
        <v>42</v>
      </c>
      <c r="B2427" s="6" t="s">
        <v>4892</v>
      </c>
      <c r="C2427" s="7">
        <v>27312</v>
      </c>
      <c r="D2427" s="8" t="s">
        <v>4893</v>
      </c>
    </row>
    <row r="2428" spans="1:4" ht="14.25">
      <c r="A2428" s="5">
        <v>10</v>
      </c>
      <c r="B2428" s="6" t="s">
        <v>4894</v>
      </c>
      <c r="C2428" s="7">
        <v>27312</v>
      </c>
      <c r="D2428" s="8" t="s">
        <v>4895</v>
      </c>
    </row>
    <row r="2429" spans="1:4" ht="14.25">
      <c r="A2429" s="5">
        <v>10</v>
      </c>
      <c r="B2429" s="6" t="s">
        <v>4896</v>
      </c>
      <c r="C2429" s="7">
        <v>27312</v>
      </c>
      <c r="D2429" s="8" t="s">
        <v>4897</v>
      </c>
    </row>
    <row r="2430" spans="1:4" ht="14.25">
      <c r="A2430" s="5" t="s">
        <v>42</v>
      </c>
      <c r="B2430" s="6" t="s">
        <v>4898</v>
      </c>
      <c r="C2430" s="7">
        <v>27313</v>
      </c>
      <c r="D2430" s="8" t="s">
        <v>4899</v>
      </c>
    </row>
    <row r="2431" spans="1:4" ht="14.25">
      <c r="A2431" s="5">
        <v>11</v>
      </c>
      <c r="B2431" s="6" t="s">
        <v>4900</v>
      </c>
      <c r="C2431" s="7">
        <v>27313</v>
      </c>
      <c r="D2431" s="8" t="s">
        <v>4901</v>
      </c>
    </row>
    <row r="2432" spans="1:4" ht="14.25">
      <c r="A2432" s="5">
        <v>11</v>
      </c>
      <c r="B2432" s="6" t="s">
        <v>4902</v>
      </c>
      <c r="C2432" s="7">
        <v>27313</v>
      </c>
      <c r="D2432" s="8" t="s">
        <v>4903</v>
      </c>
    </row>
    <row r="2433" spans="1:4" ht="14.25">
      <c r="A2433" s="5" t="s">
        <v>42</v>
      </c>
      <c r="B2433" s="6" t="s">
        <v>4904</v>
      </c>
      <c r="C2433" s="7">
        <v>27314</v>
      </c>
      <c r="D2433" s="8" t="s">
        <v>4905</v>
      </c>
    </row>
    <row r="2434" spans="1:4" ht="14.25">
      <c r="A2434" s="5">
        <v>12</v>
      </c>
      <c r="B2434" s="6" t="s">
        <v>4906</v>
      </c>
      <c r="C2434" s="7">
        <v>27314</v>
      </c>
      <c r="D2434" s="8" t="s">
        <v>4907</v>
      </c>
    </row>
    <row r="2435" spans="1:4" ht="14.25">
      <c r="A2435" s="5">
        <v>12</v>
      </c>
      <c r="B2435" s="6" t="s">
        <v>4908</v>
      </c>
      <c r="C2435" s="7">
        <v>27314</v>
      </c>
      <c r="D2435" s="8" t="s">
        <v>4909</v>
      </c>
    </row>
    <row r="2436" spans="1:4" ht="14.25">
      <c r="A2436" s="5" t="s">
        <v>42</v>
      </c>
      <c r="B2436" s="6" t="s">
        <v>4910</v>
      </c>
      <c r="C2436" s="7">
        <v>27315</v>
      </c>
      <c r="D2436" s="8" t="s">
        <v>4911</v>
      </c>
    </row>
    <row r="2437" spans="1:4" ht="14.25">
      <c r="A2437" s="5">
        <v>13</v>
      </c>
      <c r="B2437" s="6" t="s">
        <v>4912</v>
      </c>
      <c r="C2437" s="7">
        <v>27315</v>
      </c>
      <c r="D2437" s="8" t="s">
        <v>4913</v>
      </c>
    </row>
    <row r="2438" spans="1:4" ht="14.25">
      <c r="A2438" s="5">
        <v>13</v>
      </c>
      <c r="B2438" s="6" t="s">
        <v>4914</v>
      </c>
      <c r="C2438" s="7">
        <v>27315</v>
      </c>
      <c r="D2438" s="8" t="s">
        <v>4915</v>
      </c>
    </row>
    <row r="2439" spans="1:4" ht="14.25">
      <c r="A2439" s="5" t="s">
        <v>42</v>
      </c>
      <c r="B2439" s="6" t="s">
        <v>4916</v>
      </c>
      <c r="C2439" s="7">
        <v>27316</v>
      </c>
      <c r="D2439" s="8" t="s">
        <v>4917</v>
      </c>
    </row>
    <row r="2440" spans="1:4" ht="14.25">
      <c r="A2440" s="5">
        <v>14</v>
      </c>
      <c r="B2440" s="6" t="s">
        <v>4918</v>
      </c>
      <c r="C2440" s="7">
        <v>27316</v>
      </c>
      <c r="D2440" s="8" t="s">
        <v>4919</v>
      </c>
    </row>
    <row r="2441" spans="1:4" ht="14.25">
      <c r="A2441" s="5">
        <v>14</v>
      </c>
      <c r="B2441" s="6" t="s">
        <v>4920</v>
      </c>
      <c r="C2441" s="7">
        <v>27316</v>
      </c>
      <c r="D2441" s="8" t="s">
        <v>4921</v>
      </c>
    </row>
    <row r="2442" spans="1:4" ht="14.25">
      <c r="A2442" s="5" t="s">
        <v>42</v>
      </c>
      <c r="B2442" s="6" t="s">
        <v>4922</v>
      </c>
      <c r="C2442" s="7">
        <v>27317</v>
      </c>
      <c r="D2442" s="8" t="s">
        <v>4923</v>
      </c>
    </row>
    <row r="2443" spans="1:4" ht="14.25">
      <c r="A2443" s="5">
        <v>15</v>
      </c>
      <c r="B2443" s="6" t="s">
        <v>4924</v>
      </c>
      <c r="C2443" s="7">
        <v>27317</v>
      </c>
      <c r="D2443" s="8" t="s">
        <v>4925</v>
      </c>
    </row>
    <row r="2444" spans="1:4" ht="14.25">
      <c r="A2444" s="5">
        <v>15</v>
      </c>
      <c r="B2444" s="6" t="s">
        <v>4926</v>
      </c>
      <c r="C2444" s="7">
        <v>27317</v>
      </c>
      <c r="D2444" s="8" t="s">
        <v>4927</v>
      </c>
    </row>
    <row r="2445" spans="1:4" ht="14.25">
      <c r="A2445" s="5">
        <v>15</v>
      </c>
      <c r="B2445" s="6" t="s">
        <v>4928</v>
      </c>
      <c r="C2445" s="7">
        <v>27317</v>
      </c>
      <c r="D2445" s="8" t="s">
        <v>4929</v>
      </c>
    </row>
    <row r="2446" spans="1:4" ht="14.25">
      <c r="A2446" s="5" t="s">
        <v>42</v>
      </c>
      <c r="B2446" s="6" t="s">
        <v>4930</v>
      </c>
      <c r="C2446" s="7">
        <v>27318</v>
      </c>
      <c r="D2446" s="8" t="s">
        <v>4931</v>
      </c>
    </row>
    <row r="2447" spans="1:4" ht="14.25">
      <c r="A2447" s="5">
        <v>16</v>
      </c>
      <c r="B2447" s="6" t="s">
        <v>4932</v>
      </c>
      <c r="C2447" s="7">
        <v>27318</v>
      </c>
      <c r="D2447" s="8" t="s">
        <v>4933</v>
      </c>
    </row>
    <row r="2448" spans="1:4" ht="14.25">
      <c r="A2448" s="5">
        <v>16</v>
      </c>
      <c r="B2448" s="6" t="s">
        <v>4934</v>
      </c>
      <c r="C2448" s="7">
        <v>27318</v>
      </c>
      <c r="D2448" s="8" t="s">
        <v>4935</v>
      </c>
    </row>
    <row r="2449" spans="1:4" ht="14.25">
      <c r="A2449" s="5">
        <v>16</v>
      </c>
      <c r="B2449" s="6" t="s">
        <v>4936</v>
      </c>
      <c r="C2449" s="7">
        <v>27318</v>
      </c>
      <c r="D2449" s="8" t="s">
        <v>4937</v>
      </c>
    </row>
    <row r="2450" spans="1:4" ht="14.25">
      <c r="A2450" s="5" t="s">
        <v>42</v>
      </c>
      <c r="B2450" s="6" t="s">
        <v>4938</v>
      </c>
      <c r="C2450" s="7">
        <v>27321</v>
      </c>
      <c r="D2450" s="8" t="s">
        <v>4939</v>
      </c>
    </row>
    <row r="2451" spans="1:4" ht="14.25">
      <c r="A2451" s="5">
        <v>19</v>
      </c>
      <c r="B2451" s="6" t="s">
        <v>4940</v>
      </c>
      <c r="C2451" s="7">
        <v>27321</v>
      </c>
      <c r="D2451" s="8" t="s">
        <v>4941</v>
      </c>
    </row>
    <row r="2452" spans="1:4" ht="14.25">
      <c r="A2452" s="5">
        <v>19</v>
      </c>
      <c r="B2452" s="6" t="s">
        <v>4942</v>
      </c>
      <c r="C2452" s="7">
        <v>27321</v>
      </c>
      <c r="D2452" s="8" t="s">
        <v>4943</v>
      </c>
    </row>
    <row r="2453" spans="1:4" ht="14.25">
      <c r="A2453" s="5" t="s">
        <v>42</v>
      </c>
      <c r="B2453" s="6" t="s">
        <v>4944</v>
      </c>
      <c r="C2453" s="7">
        <v>27322</v>
      </c>
      <c r="D2453" s="8" t="s">
        <v>4945</v>
      </c>
    </row>
    <row r="2454" spans="1:4" ht="14.25">
      <c r="A2454" s="5">
        <v>20</v>
      </c>
      <c r="B2454" s="6" t="s">
        <v>4946</v>
      </c>
      <c r="C2454" s="7">
        <v>27322</v>
      </c>
      <c r="D2454" s="8" t="s">
        <v>4947</v>
      </c>
    </row>
    <row r="2455" spans="1:4" ht="14.25">
      <c r="A2455" s="5">
        <v>20</v>
      </c>
      <c r="B2455" s="6" t="s">
        <v>4948</v>
      </c>
      <c r="C2455" s="7">
        <v>27322</v>
      </c>
      <c r="D2455" s="8" t="s">
        <v>4949</v>
      </c>
    </row>
    <row r="2456" spans="1:4" ht="14.25">
      <c r="A2456" s="5" t="s">
        <v>42</v>
      </c>
      <c r="B2456" s="6" t="s">
        <v>4950</v>
      </c>
      <c r="C2456" s="7">
        <v>27323</v>
      </c>
      <c r="D2456" s="8" t="s">
        <v>4951</v>
      </c>
    </row>
    <row r="2457" spans="1:4" ht="14.25">
      <c r="A2457" s="5">
        <v>21</v>
      </c>
      <c r="B2457" s="6" t="s">
        <v>4952</v>
      </c>
      <c r="C2457" s="7">
        <v>27323</v>
      </c>
      <c r="D2457" s="8" t="s">
        <v>4953</v>
      </c>
    </row>
    <row r="2458" spans="1:4" ht="14.25">
      <c r="A2458" s="5">
        <v>21</v>
      </c>
      <c r="B2458" s="6" t="s">
        <v>4954</v>
      </c>
      <c r="C2458" s="7">
        <v>27323</v>
      </c>
      <c r="D2458" s="8" t="s">
        <v>4955</v>
      </c>
    </row>
    <row r="2459" spans="1:4" ht="14.25">
      <c r="A2459" s="5" t="s">
        <v>42</v>
      </c>
      <c r="B2459" s="6" t="s">
        <v>4956</v>
      </c>
      <c r="C2459" s="7">
        <v>27324</v>
      </c>
      <c r="D2459" s="8" t="s">
        <v>4957</v>
      </c>
    </row>
    <row r="2460" spans="1:4" ht="14.25">
      <c r="A2460" s="5">
        <v>22</v>
      </c>
      <c r="B2460" s="6" t="s">
        <v>4958</v>
      </c>
      <c r="C2460" s="7">
        <v>27324</v>
      </c>
      <c r="D2460" s="8" t="s">
        <v>4959</v>
      </c>
    </row>
    <row r="2461" spans="1:4" ht="14.25">
      <c r="A2461" s="5">
        <v>22</v>
      </c>
      <c r="B2461" s="6" t="s">
        <v>4960</v>
      </c>
      <c r="C2461" s="7">
        <v>27324</v>
      </c>
      <c r="D2461" s="8" t="s">
        <v>4961</v>
      </c>
    </row>
    <row r="2462" spans="1:4" ht="14.25">
      <c r="A2462" s="5" t="s">
        <v>42</v>
      </c>
      <c r="B2462" s="6" t="s">
        <v>4962</v>
      </c>
      <c r="C2462" s="7">
        <v>27325</v>
      </c>
      <c r="D2462" s="8" t="s">
        <v>4963</v>
      </c>
    </row>
    <row r="2463" spans="1:4" ht="14.25">
      <c r="A2463" s="5">
        <v>23</v>
      </c>
      <c r="B2463" s="6" t="s">
        <v>4964</v>
      </c>
      <c r="C2463" s="7">
        <v>27325</v>
      </c>
      <c r="D2463" s="8" t="s">
        <v>4965</v>
      </c>
    </row>
    <row r="2464" spans="1:4" ht="14.25">
      <c r="A2464" s="5">
        <v>23</v>
      </c>
      <c r="B2464" s="6" t="s">
        <v>4966</v>
      </c>
      <c r="C2464" s="7">
        <v>27325</v>
      </c>
      <c r="D2464" s="8" t="s">
        <v>4967</v>
      </c>
    </row>
    <row r="2465" spans="1:4" ht="14.25">
      <c r="A2465" s="5" t="s">
        <v>42</v>
      </c>
      <c r="B2465" s="6" t="s">
        <v>4968</v>
      </c>
      <c r="C2465" s="7">
        <v>27326</v>
      </c>
      <c r="D2465" s="8" t="s">
        <v>4969</v>
      </c>
    </row>
    <row r="2466" spans="1:4" ht="14.25">
      <c r="A2466" s="5">
        <v>24</v>
      </c>
      <c r="B2466" s="6" t="s">
        <v>4970</v>
      </c>
      <c r="C2466" s="7">
        <v>27326</v>
      </c>
      <c r="D2466" s="8" t="s">
        <v>4971</v>
      </c>
    </row>
    <row r="2467" spans="1:4" ht="14.25">
      <c r="A2467" s="5">
        <v>24</v>
      </c>
      <c r="B2467" s="6" t="s">
        <v>4972</v>
      </c>
      <c r="C2467" s="7">
        <v>27326</v>
      </c>
      <c r="D2467" s="8" t="s">
        <v>4973</v>
      </c>
    </row>
    <row r="2468" spans="1:4" ht="14.25">
      <c r="A2468" s="5" t="s">
        <v>42</v>
      </c>
      <c r="B2468" s="6" t="s">
        <v>4974</v>
      </c>
      <c r="C2468" s="7">
        <v>27327</v>
      </c>
      <c r="D2468" s="8" t="s">
        <v>4975</v>
      </c>
    </row>
    <row r="2469" spans="1:4" ht="14.25">
      <c r="A2469" s="5">
        <v>25</v>
      </c>
      <c r="B2469" s="6" t="s">
        <v>4976</v>
      </c>
      <c r="C2469" s="7">
        <v>27327</v>
      </c>
      <c r="D2469" s="8" t="s">
        <v>4977</v>
      </c>
    </row>
    <row r="2470" spans="1:4" ht="14.25">
      <c r="A2470" s="5">
        <v>25</v>
      </c>
      <c r="B2470" s="6" t="s">
        <v>4978</v>
      </c>
      <c r="C2470" s="7">
        <v>27327</v>
      </c>
      <c r="D2470" s="8" t="s">
        <v>4979</v>
      </c>
    </row>
    <row r="2471" spans="1:4" ht="14.25">
      <c r="A2471" s="5" t="s">
        <v>42</v>
      </c>
      <c r="B2471" s="6" t="s">
        <v>4980</v>
      </c>
      <c r="C2471" s="7">
        <v>27328</v>
      </c>
      <c r="D2471" s="8" t="s">
        <v>4981</v>
      </c>
    </row>
    <row r="2472" spans="1:4" ht="14.25">
      <c r="A2472" s="5">
        <v>26</v>
      </c>
      <c r="B2472" s="6" t="s">
        <v>4982</v>
      </c>
      <c r="C2472" s="7">
        <v>27328</v>
      </c>
      <c r="D2472" s="8" t="s">
        <v>4983</v>
      </c>
    </row>
    <row r="2473" spans="1:4" ht="14.25">
      <c r="A2473" s="5">
        <v>26</v>
      </c>
      <c r="B2473" s="6" t="s">
        <v>4984</v>
      </c>
      <c r="C2473" s="7">
        <v>27328</v>
      </c>
      <c r="D2473" s="8" t="s">
        <v>4985</v>
      </c>
    </row>
    <row r="2474" spans="1:4" ht="14.25">
      <c r="A2474" s="5" t="s">
        <v>42</v>
      </c>
      <c r="B2474" s="6" t="s">
        <v>4986</v>
      </c>
      <c r="C2474" s="7">
        <v>27329</v>
      </c>
      <c r="D2474" s="8" t="s">
        <v>4987</v>
      </c>
    </row>
    <row r="2475" spans="1:4" ht="14.25">
      <c r="A2475" s="5">
        <v>27</v>
      </c>
      <c r="B2475" s="6" t="s">
        <v>4988</v>
      </c>
      <c r="C2475" s="7">
        <v>27329</v>
      </c>
      <c r="D2475" s="8" t="s">
        <v>4989</v>
      </c>
    </row>
    <row r="2476" spans="1:4" ht="14.25">
      <c r="A2476" s="5">
        <v>27</v>
      </c>
      <c r="B2476" s="6" t="s">
        <v>4990</v>
      </c>
      <c r="C2476" s="7">
        <v>27329</v>
      </c>
      <c r="D2476" s="8" t="s">
        <v>4991</v>
      </c>
    </row>
    <row r="2477" spans="1:4" ht="14.25">
      <c r="A2477" s="5" t="s">
        <v>42</v>
      </c>
      <c r="B2477" s="6" t="s">
        <v>4992</v>
      </c>
      <c r="C2477" s="7">
        <v>27330</v>
      </c>
      <c r="D2477" s="8" t="s">
        <v>4993</v>
      </c>
    </row>
    <row r="2478" spans="1:4" ht="14.25">
      <c r="A2478" s="5">
        <v>28</v>
      </c>
      <c r="B2478" s="6" t="s">
        <v>4994</v>
      </c>
      <c r="C2478" s="7">
        <v>27330</v>
      </c>
      <c r="D2478" s="8" t="s">
        <v>4995</v>
      </c>
    </row>
    <row r="2479" spans="1:4" ht="14.25">
      <c r="A2479" s="5">
        <v>28</v>
      </c>
      <c r="B2479" s="6" t="s">
        <v>4996</v>
      </c>
      <c r="C2479" s="7">
        <v>27330</v>
      </c>
      <c r="D2479" s="8" t="s">
        <v>4997</v>
      </c>
    </row>
    <row r="2480" spans="1:4" ht="14.25">
      <c r="A2480" s="5" t="s">
        <v>42</v>
      </c>
      <c r="B2480" s="6" t="s">
        <v>4998</v>
      </c>
      <c r="C2480" s="7">
        <v>27331</v>
      </c>
      <c r="D2480" s="8" t="s">
        <v>4999</v>
      </c>
    </row>
    <row r="2481" spans="1:4" ht="14.25">
      <c r="A2481" s="5">
        <v>29</v>
      </c>
      <c r="B2481" s="6" t="s">
        <v>5000</v>
      </c>
      <c r="C2481" s="7">
        <v>27331</v>
      </c>
      <c r="D2481" s="8" t="s">
        <v>5001</v>
      </c>
    </row>
    <row r="2482" spans="1:4" ht="14.25">
      <c r="A2482" s="5">
        <v>29</v>
      </c>
      <c r="B2482" s="6" t="s">
        <v>5002</v>
      </c>
      <c r="C2482" s="7">
        <v>27331</v>
      </c>
      <c r="D2482" s="8" t="s">
        <v>5003</v>
      </c>
    </row>
    <row r="2483" spans="1:4" ht="14.25">
      <c r="A2483" s="5" t="s">
        <v>2078</v>
      </c>
      <c r="B2483" s="6" t="s">
        <v>5004</v>
      </c>
      <c r="C2483" s="7">
        <v>27334</v>
      </c>
      <c r="D2483" s="8" t="s">
        <v>5005</v>
      </c>
    </row>
    <row r="2484" spans="1:4" ht="14.25">
      <c r="A2484" s="5">
        <v>1</v>
      </c>
      <c r="B2484" s="6" t="s">
        <v>5006</v>
      </c>
      <c r="C2484" s="7">
        <v>27334</v>
      </c>
      <c r="D2484" s="8" t="s">
        <v>5007</v>
      </c>
    </row>
    <row r="2485" spans="1:4" ht="14.25">
      <c r="A2485" s="5">
        <v>1</v>
      </c>
      <c r="B2485" s="6" t="s">
        <v>5008</v>
      </c>
      <c r="C2485" s="7">
        <v>27334</v>
      </c>
      <c r="D2485" s="8" t="s">
        <v>5009</v>
      </c>
    </row>
    <row r="2486" spans="1:4" ht="14.25">
      <c r="A2486" s="5" t="s">
        <v>2078</v>
      </c>
      <c r="B2486" s="6" t="s">
        <v>5010</v>
      </c>
      <c r="C2486" s="7">
        <v>27335</v>
      </c>
      <c r="D2486" s="8" t="s">
        <v>5011</v>
      </c>
    </row>
    <row r="2487" spans="1:4" ht="14.25">
      <c r="A2487" s="5">
        <v>2</v>
      </c>
      <c r="B2487" s="6" t="s">
        <v>5012</v>
      </c>
      <c r="C2487" s="7">
        <v>27335</v>
      </c>
      <c r="D2487" s="8" t="s">
        <v>5013</v>
      </c>
    </row>
    <row r="2488" spans="1:4" ht="14.25">
      <c r="A2488" s="5">
        <v>2</v>
      </c>
      <c r="B2488" s="6" t="s">
        <v>5014</v>
      </c>
      <c r="C2488" s="7">
        <v>27335</v>
      </c>
      <c r="D2488" s="8" t="s">
        <v>5015</v>
      </c>
    </row>
    <row r="2489" spans="1:4" ht="14.25">
      <c r="A2489" s="5" t="s">
        <v>2078</v>
      </c>
      <c r="B2489" s="6" t="s">
        <v>5016</v>
      </c>
      <c r="C2489" s="7">
        <v>27336</v>
      </c>
      <c r="D2489" s="8" t="s">
        <v>5017</v>
      </c>
    </row>
    <row r="2490" spans="1:4" ht="14.25">
      <c r="A2490" s="5">
        <v>3</v>
      </c>
      <c r="B2490" s="6" t="s">
        <v>5018</v>
      </c>
      <c r="C2490" s="7">
        <v>27336</v>
      </c>
      <c r="D2490" s="8" t="s">
        <v>5019</v>
      </c>
    </row>
    <row r="2491" spans="1:4" ht="14.25">
      <c r="A2491" s="5">
        <v>3</v>
      </c>
      <c r="B2491" s="6" t="s">
        <v>5020</v>
      </c>
      <c r="C2491" s="7">
        <v>27336</v>
      </c>
      <c r="D2491" s="8" t="s">
        <v>5021</v>
      </c>
    </row>
    <row r="2492" spans="1:4" ht="14.25">
      <c r="A2492" s="5" t="s">
        <v>2078</v>
      </c>
      <c r="B2492" s="6" t="s">
        <v>5022</v>
      </c>
      <c r="C2492" s="7">
        <v>27337</v>
      </c>
      <c r="D2492" s="8" t="s">
        <v>5023</v>
      </c>
    </row>
    <row r="2493" spans="1:4" ht="14.25">
      <c r="A2493" s="5">
        <v>4</v>
      </c>
      <c r="B2493" s="6" t="s">
        <v>5024</v>
      </c>
      <c r="C2493" s="7">
        <v>27337</v>
      </c>
      <c r="D2493" s="8" t="s">
        <v>5025</v>
      </c>
    </row>
    <row r="2494" spans="1:4" ht="14.25">
      <c r="A2494" s="5">
        <v>4</v>
      </c>
      <c r="B2494" s="6" t="s">
        <v>5026</v>
      </c>
      <c r="C2494" s="7">
        <v>27337</v>
      </c>
      <c r="D2494" s="8" t="s">
        <v>5027</v>
      </c>
    </row>
    <row r="2495" spans="1:4" ht="14.25">
      <c r="A2495" s="5" t="s">
        <v>2078</v>
      </c>
      <c r="B2495" s="6" t="s">
        <v>5028</v>
      </c>
      <c r="C2495" s="7">
        <v>27338</v>
      </c>
      <c r="D2495" s="8" t="s">
        <v>5029</v>
      </c>
    </row>
    <row r="2496" spans="1:4" ht="14.25">
      <c r="A2496" s="5">
        <v>5</v>
      </c>
      <c r="B2496" s="6" t="s">
        <v>5030</v>
      </c>
      <c r="C2496" s="7">
        <v>27338</v>
      </c>
      <c r="D2496" s="8" t="s">
        <v>5031</v>
      </c>
    </row>
    <row r="2497" spans="1:4" ht="14.25">
      <c r="A2497" s="5">
        <v>5</v>
      </c>
      <c r="B2497" s="6" t="s">
        <v>5032</v>
      </c>
      <c r="C2497" s="7">
        <v>27338</v>
      </c>
      <c r="D2497" s="8" t="s">
        <v>5033</v>
      </c>
    </row>
    <row r="2498" spans="1:4" ht="14.25">
      <c r="A2498" s="5" t="s">
        <v>2078</v>
      </c>
      <c r="B2498" s="6" t="s">
        <v>5034</v>
      </c>
      <c r="C2498" s="7">
        <v>27340</v>
      </c>
      <c r="D2498" s="8" t="s">
        <v>5035</v>
      </c>
    </row>
    <row r="2499" spans="1:4" ht="14.25">
      <c r="A2499" s="5">
        <v>7</v>
      </c>
      <c r="B2499" s="6" t="s">
        <v>5036</v>
      </c>
      <c r="C2499" s="7">
        <v>27340</v>
      </c>
      <c r="D2499" s="8" t="s">
        <v>5037</v>
      </c>
    </row>
    <row r="2500" spans="1:4" ht="14.25">
      <c r="A2500" s="5">
        <v>7</v>
      </c>
      <c r="B2500" s="6" t="s">
        <v>5038</v>
      </c>
      <c r="C2500" s="7">
        <v>27340</v>
      </c>
      <c r="D2500" s="8" t="s">
        <v>5039</v>
      </c>
    </row>
    <row r="2501" spans="1:4" ht="14.25">
      <c r="A2501" s="5" t="s">
        <v>2078</v>
      </c>
      <c r="B2501" s="6" t="s">
        <v>5040</v>
      </c>
      <c r="C2501" s="7">
        <v>27341</v>
      </c>
      <c r="D2501" s="8" t="s">
        <v>5041</v>
      </c>
    </row>
    <row r="2502" spans="1:4" ht="14.25">
      <c r="A2502" s="5">
        <v>8</v>
      </c>
      <c r="B2502" s="6" t="s">
        <v>5042</v>
      </c>
      <c r="C2502" s="7">
        <v>27341</v>
      </c>
      <c r="D2502" s="8" t="s">
        <v>5043</v>
      </c>
    </row>
    <row r="2503" spans="1:4" ht="14.25">
      <c r="A2503" s="5">
        <v>8</v>
      </c>
      <c r="B2503" s="6" t="s">
        <v>5044</v>
      </c>
      <c r="C2503" s="7">
        <v>27341</v>
      </c>
      <c r="D2503" s="8" t="s">
        <v>5045</v>
      </c>
    </row>
    <row r="2504" spans="1:4" ht="14.25">
      <c r="A2504" s="5" t="s">
        <v>2078</v>
      </c>
      <c r="B2504" s="6" t="s">
        <v>5046</v>
      </c>
      <c r="C2504" s="7">
        <v>27342</v>
      </c>
      <c r="D2504" s="8" t="s">
        <v>5047</v>
      </c>
    </row>
    <row r="2505" spans="1:4" ht="14.25">
      <c r="A2505" s="5">
        <v>9</v>
      </c>
      <c r="B2505" s="6" t="s">
        <v>5048</v>
      </c>
      <c r="C2505" s="7">
        <v>27342</v>
      </c>
      <c r="D2505" s="8" t="s">
        <v>5049</v>
      </c>
    </row>
    <row r="2506" spans="1:4" ht="14.25">
      <c r="A2506" s="5">
        <v>9</v>
      </c>
      <c r="B2506" s="6" t="s">
        <v>5050</v>
      </c>
      <c r="C2506" s="7">
        <v>27342</v>
      </c>
      <c r="D2506" s="8" t="s">
        <v>5051</v>
      </c>
    </row>
    <row r="2507" spans="1:4" ht="14.25">
      <c r="A2507" s="5" t="s">
        <v>2078</v>
      </c>
      <c r="B2507" s="6" t="s">
        <v>5052</v>
      </c>
      <c r="C2507" s="7">
        <v>27343</v>
      </c>
      <c r="D2507" s="8" t="s">
        <v>5053</v>
      </c>
    </row>
    <row r="2508" spans="1:4" ht="14.25">
      <c r="A2508" s="5">
        <v>10</v>
      </c>
      <c r="B2508" s="6" t="s">
        <v>5054</v>
      </c>
      <c r="C2508" s="7">
        <v>27343</v>
      </c>
      <c r="D2508" s="8" t="s">
        <v>5055</v>
      </c>
    </row>
    <row r="2509" spans="1:4" ht="14.25">
      <c r="A2509" s="5">
        <v>10</v>
      </c>
      <c r="B2509" s="6" t="s">
        <v>5056</v>
      </c>
      <c r="C2509" s="7">
        <v>27343</v>
      </c>
      <c r="D2509" s="8" t="s">
        <v>5057</v>
      </c>
    </row>
    <row r="2510" spans="1:4" ht="14.25">
      <c r="A2510" s="5" t="s">
        <v>2078</v>
      </c>
      <c r="B2510" s="6" t="s">
        <v>5058</v>
      </c>
      <c r="C2510" s="7">
        <v>27344</v>
      </c>
      <c r="D2510" s="8" t="s">
        <v>5059</v>
      </c>
    </row>
    <row r="2511" spans="1:4" ht="14.25">
      <c r="A2511" s="5">
        <v>11</v>
      </c>
      <c r="B2511" s="6" t="s">
        <v>5060</v>
      </c>
      <c r="C2511" s="7">
        <v>27344</v>
      </c>
      <c r="D2511" s="8" t="s">
        <v>5061</v>
      </c>
    </row>
    <row r="2512" spans="1:4" ht="14.25">
      <c r="A2512" s="5">
        <v>11</v>
      </c>
      <c r="B2512" s="6" t="s">
        <v>5062</v>
      </c>
      <c r="C2512" s="7">
        <v>27344</v>
      </c>
      <c r="D2512" s="8" t="s">
        <v>5063</v>
      </c>
    </row>
    <row r="2513" spans="1:4" ht="14.25">
      <c r="A2513" s="5" t="s">
        <v>2078</v>
      </c>
      <c r="B2513" s="6" t="s">
        <v>5064</v>
      </c>
      <c r="C2513" s="7">
        <v>27345</v>
      </c>
      <c r="D2513" s="8" t="s">
        <v>5065</v>
      </c>
    </row>
    <row r="2514" spans="1:4" ht="14.25">
      <c r="A2514" s="5">
        <v>12</v>
      </c>
      <c r="B2514" s="6" t="s">
        <v>5066</v>
      </c>
      <c r="C2514" s="7">
        <v>27345</v>
      </c>
      <c r="D2514" s="8" t="s">
        <v>5067</v>
      </c>
    </row>
    <row r="2515" spans="1:4" ht="14.25">
      <c r="A2515" s="5">
        <v>12</v>
      </c>
      <c r="B2515" s="6" t="s">
        <v>5068</v>
      </c>
      <c r="C2515" s="7">
        <v>27345</v>
      </c>
      <c r="D2515" s="8" t="s">
        <v>5069</v>
      </c>
    </row>
    <row r="2516" spans="1:4" ht="14.25">
      <c r="A2516" s="5" t="s">
        <v>2078</v>
      </c>
      <c r="B2516" s="6" t="s">
        <v>5070</v>
      </c>
      <c r="C2516" s="7">
        <v>27346</v>
      </c>
      <c r="D2516" s="8" t="s">
        <v>5071</v>
      </c>
    </row>
    <row r="2517" spans="1:4" ht="14.25">
      <c r="A2517" s="5">
        <v>13</v>
      </c>
      <c r="B2517" s="6" t="s">
        <v>5072</v>
      </c>
      <c r="C2517" s="7">
        <v>27346</v>
      </c>
      <c r="D2517" s="8" t="s">
        <v>5073</v>
      </c>
    </row>
    <row r="2518" spans="1:4" ht="14.25">
      <c r="A2518" s="5">
        <v>13</v>
      </c>
      <c r="B2518" s="6" t="s">
        <v>5074</v>
      </c>
      <c r="C2518" s="7">
        <v>27346</v>
      </c>
      <c r="D2518" s="8" t="s">
        <v>5075</v>
      </c>
    </row>
    <row r="2519" spans="1:4" ht="14.25">
      <c r="A2519" s="5" t="s">
        <v>2078</v>
      </c>
      <c r="B2519" s="6" t="s">
        <v>5076</v>
      </c>
      <c r="C2519" s="7">
        <v>27347</v>
      </c>
      <c r="D2519" s="8" t="s">
        <v>5077</v>
      </c>
    </row>
    <row r="2520" spans="1:4" ht="14.25">
      <c r="A2520" s="5">
        <v>14</v>
      </c>
      <c r="B2520" s="6" t="s">
        <v>5078</v>
      </c>
      <c r="C2520" s="7">
        <v>27347</v>
      </c>
      <c r="D2520" s="8" t="s">
        <v>5079</v>
      </c>
    </row>
    <row r="2521" spans="1:4" ht="14.25">
      <c r="A2521" s="5">
        <v>14</v>
      </c>
      <c r="B2521" s="6" t="s">
        <v>5080</v>
      </c>
      <c r="C2521" s="7">
        <v>27347</v>
      </c>
      <c r="D2521" s="8" t="s">
        <v>5081</v>
      </c>
    </row>
    <row r="2522" spans="1:4" ht="14.25">
      <c r="A2522" s="5" t="s">
        <v>2078</v>
      </c>
      <c r="B2522" s="6" t="s">
        <v>5082</v>
      </c>
      <c r="C2522" s="7">
        <v>27348</v>
      </c>
      <c r="D2522" s="8" t="s">
        <v>5083</v>
      </c>
    </row>
    <row r="2523" spans="1:4" ht="14.25">
      <c r="A2523" s="5">
        <v>15</v>
      </c>
      <c r="B2523" s="6" t="s">
        <v>5084</v>
      </c>
      <c r="C2523" s="7">
        <v>27348</v>
      </c>
      <c r="D2523" s="8" t="s">
        <v>5085</v>
      </c>
    </row>
    <row r="2524" spans="1:4" ht="14.25">
      <c r="A2524" s="5">
        <v>15</v>
      </c>
      <c r="B2524" s="6" t="s">
        <v>5086</v>
      </c>
      <c r="C2524" s="7">
        <v>27348</v>
      </c>
      <c r="D2524" s="8" t="s">
        <v>5087</v>
      </c>
    </row>
    <row r="2525" spans="1:4" ht="14.25">
      <c r="A2525" s="5" t="s">
        <v>2078</v>
      </c>
      <c r="B2525" s="6" t="s">
        <v>5088</v>
      </c>
      <c r="C2525" s="7">
        <v>27349</v>
      </c>
      <c r="D2525" s="8" t="s">
        <v>5089</v>
      </c>
    </row>
    <row r="2526" spans="1:4" ht="14.25">
      <c r="A2526" s="5">
        <v>16</v>
      </c>
      <c r="B2526" s="6" t="s">
        <v>5090</v>
      </c>
      <c r="C2526" s="7">
        <v>27349</v>
      </c>
      <c r="D2526" s="8" t="s">
        <v>5091</v>
      </c>
    </row>
    <row r="2527" spans="1:4" ht="14.25">
      <c r="A2527" s="5">
        <v>16</v>
      </c>
      <c r="B2527" s="6" t="s">
        <v>5092</v>
      </c>
      <c r="C2527" s="7">
        <v>27349</v>
      </c>
      <c r="D2527" s="8" t="s">
        <v>5093</v>
      </c>
    </row>
    <row r="2528" spans="1:4" ht="14.25">
      <c r="A2528" s="5" t="s">
        <v>2078</v>
      </c>
      <c r="B2528" s="6" t="s">
        <v>5094</v>
      </c>
      <c r="C2528" s="7">
        <v>27350</v>
      </c>
      <c r="D2528" s="8" t="s">
        <v>5095</v>
      </c>
    </row>
    <row r="2529" spans="1:4" ht="14.25">
      <c r="A2529" s="5">
        <v>17</v>
      </c>
      <c r="B2529" s="6" t="s">
        <v>5096</v>
      </c>
      <c r="C2529" s="7">
        <v>27350</v>
      </c>
      <c r="D2529" s="8" t="s">
        <v>5097</v>
      </c>
    </row>
    <row r="2530" spans="1:4" ht="14.25">
      <c r="A2530" s="5">
        <v>17</v>
      </c>
      <c r="B2530" s="6" t="s">
        <v>5098</v>
      </c>
      <c r="C2530" s="7">
        <v>27350</v>
      </c>
      <c r="D2530" s="8" t="s">
        <v>5099</v>
      </c>
    </row>
    <row r="2531" spans="1:4" ht="14.25">
      <c r="A2531" s="5" t="s">
        <v>2078</v>
      </c>
      <c r="B2531" s="6" t="s">
        <v>5100</v>
      </c>
      <c r="C2531" s="7">
        <v>27351</v>
      </c>
      <c r="D2531" s="8" t="s">
        <v>5101</v>
      </c>
    </row>
    <row r="2532" spans="1:4" ht="14.25">
      <c r="A2532" s="5">
        <v>18</v>
      </c>
      <c r="B2532" s="6" t="s">
        <v>5102</v>
      </c>
      <c r="C2532" s="7">
        <v>27351</v>
      </c>
      <c r="D2532" s="8" t="s">
        <v>5103</v>
      </c>
    </row>
    <row r="2533" spans="1:4" ht="14.25">
      <c r="A2533" s="5">
        <v>18</v>
      </c>
      <c r="B2533" s="6" t="s">
        <v>5104</v>
      </c>
      <c r="C2533" s="7">
        <v>27351</v>
      </c>
      <c r="D2533" s="8" t="s">
        <v>5105</v>
      </c>
    </row>
    <row r="2534" spans="1:4" ht="14.25">
      <c r="A2534" s="5" t="s">
        <v>2078</v>
      </c>
      <c r="B2534" s="6" t="s">
        <v>5106</v>
      </c>
      <c r="C2534" s="7">
        <v>27352</v>
      </c>
      <c r="D2534" s="8" t="s">
        <v>5107</v>
      </c>
    </row>
    <row r="2535" spans="1:4" ht="14.25">
      <c r="A2535" s="5">
        <v>19</v>
      </c>
      <c r="B2535" s="6" t="s">
        <v>5108</v>
      </c>
      <c r="C2535" s="7">
        <v>27352</v>
      </c>
      <c r="D2535" s="8" t="s">
        <v>5109</v>
      </c>
    </row>
    <row r="2536" spans="1:4" ht="14.25">
      <c r="A2536" s="5">
        <v>19</v>
      </c>
      <c r="B2536" s="6" t="s">
        <v>5110</v>
      </c>
      <c r="C2536" s="7">
        <v>27352</v>
      </c>
      <c r="D2536" s="8" t="s">
        <v>5111</v>
      </c>
    </row>
    <row r="2537" spans="1:4" ht="14.25">
      <c r="A2537" s="5" t="s">
        <v>2078</v>
      </c>
      <c r="B2537" s="6" t="s">
        <v>5112</v>
      </c>
      <c r="C2537" s="7">
        <v>27353</v>
      </c>
      <c r="D2537" s="8" t="s">
        <v>5113</v>
      </c>
    </row>
    <row r="2538" spans="1:4" ht="14.25">
      <c r="A2538" s="5">
        <v>20</v>
      </c>
      <c r="B2538" s="6" t="s">
        <v>5114</v>
      </c>
      <c r="C2538" s="7">
        <v>27353</v>
      </c>
      <c r="D2538" s="8" t="s">
        <v>5115</v>
      </c>
    </row>
    <row r="2539" spans="1:4" ht="14.25">
      <c r="A2539" s="5">
        <v>20</v>
      </c>
      <c r="B2539" s="6" t="s">
        <v>5116</v>
      </c>
      <c r="C2539" s="7">
        <v>27353</v>
      </c>
      <c r="D2539" s="8" t="s">
        <v>5117</v>
      </c>
    </row>
    <row r="2540" spans="1:4" ht="14.25">
      <c r="A2540" s="5" t="s">
        <v>2078</v>
      </c>
      <c r="B2540" s="6" t="s">
        <v>5118</v>
      </c>
      <c r="C2540" s="7">
        <v>27354</v>
      </c>
      <c r="D2540" s="8" t="s">
        <v>5119</v>
      </c>
    </row>
    <row r="2541" spans="1:4" ht="14.25">
      <c r="A2541" s="5">
        <v>21</v>
      </c>
      <c r="B2541" s="6" t="s">
        <v>5120</v>
      </c>
      <c r="C2541" s="7">
        <v>27354</v>
      </c>
      <c r="D2541" s="8" t="s">
        <v>5121</v>
      </c>
    </row>
    <row r="2542" spans="1:4" ht="14.25">
      <c r="A2542" s="5">
        <v>21</v>
      </c>
      <c r="B2542" s="6" t="s">
        <v>5122</v>
      </c>
      <c r="C2542" s="7">
        <v>27354</v>
      </c>
      <c r="D2542" s="8" t="s">
        <v>5123</v>
      </c>
    </row>
    <row r="2543" spans="1:4" ht="14.25">
      <c r="A2543" s="5" t="s">
        <v>2078</v>
      </c>
      <c r="B2543" s="6" t="s">
        <v>5124</v>
      </c>
      <c r="C2543" s="7">
        <v>27355</v>
      </c>
      <c r="D2543" s="8" t="s">
        <v>5125</v>
      </c>
    </row>
    <row r="2544" spans="1:4" ht="14.25">
      <c r="A2544" s="5" t="s">
        <v>2078</v>
      </c>
      <c r="B2544" s="6" t="s">
        <v>5126</v>
      </c>
      <c r="C2544" s="7">
        <v>27355</v>
      </c>
      <c r="D2544" s="8" t="s">
        <v>5127</v>
      </c>
    </row>
    <row r="2545" spans="1:4" ht="14.25">
      <c r="A2545" s="5">
        <v>22</v>
      </c>
      <c r="B2545" s="6" t="s">
        <v>5128</v>
      </c>
      <c r="C2545" s="7">
        <v>27355</v>
      </c>
      <c r="D2545" s="8" t="s">
        <v>5129</v>
      </c>
    </row>
    <row r="2546" spans="1:4" ht="14.25">
      <c r="A2546" s="5">
        <v>22</v>
      </c>
      <c r="B2546" s="6" t="s">
        <v>5130</v>
      </c>
      <c r="C2546" s="7">
        <v>27355</v>
      </c>
      <c r="D2546" s="8" t="s">
        <v>5131</v>
      </c>
    </row>
    <row r="2547" spans="1:4" ht="14.25">
      <c r="A2547" s="5" t="s">
        <v>2078</v>
      </c>
      <c r="B2547" s="6" t="s">
        <v>5132</v>
      </c>
      <c r="C2547" s="7">
        <v>27356</v>
      </c>
      <c r="D2547" s="8" t="s">
        <v>5133</v>
      </c>
    </row>
    <row r="2548" spans="1:4" ht="14.25">
      <c r="A2548" s="5">
        <v>23</v>
      </c>
      <c r="B2548" s="6" t="s">
        <v>5134</v>
      </c>
      <c r="C2548" s="7">
        <v>27356</v>
      </c>
      <c r="D2548" s="8" t="s">
        <v>5135</v>
      </c>
    </row>
    <row r="2549" spans="1:4" ht="14.25">
      <c r="A2549" s="5">
        <v>23</v>
      </c>
      <c r="B2549" s="6" t="s">
        <v>5136</v>
      </c>
      <c r="C2549" s="7">
        <v>27356</v>
      </c>
      <c r="D2549" s="8" t="s">
        <v>5137</v>
      </c>
    </row>
    <row r="2550" spans="1:4" ht="14.25">
      <c r="A2550" s="5" t="s">
        <v>2078</v>
      </c>
      <c r="B2550" s="6" t="s">
        <v>5138</v>
      </c>
      <c r="C2550" s="7">
        <v>27357</v>
      </c>
      <c r="D2550" s="8" t="s">
        <v>5139</v>
      </c>
    </row>
    <row r="2551" spans="1:4" ht="14.25">
      <c r="A2551" s="5">
        <v>24</v>
      </c>
      <c r="B2551" s="6" t="s">
        <v>5140</v>
      </c>
      <c r="C2551" s="7">
        <v>27357</v>
      </c>
      <c r="D2551" s="8" t="s">
        <v>5141</v>
      </c>
    </row>
    <row r="2552" spans="1:4" ht="14.25">
      <c r="A2552" s="5">
        <v>24</v>
      </c>
      <c r="B2552" s="6" t="s">
        <v>5142</v>
      </c>
      <c r="C2552" s="7">
        <v>27357</v>
      </c>
      <c r="D2552" s="8" t="s">
        <v>5143</v>
      </c>
    </row>
    <row r="2553" spans="1:4" ht="14.25">
      <c r="A2553" s="5" t="s">
        <v>2078</v>
      </c>
      <c r="B2553" s="6" t="s">
        <v>5144</v>
      </c>
      <c r="C2553" s="7">
        <v>27358</v>
      </c>
      <c r="D2553" s="8" t="s">
        <v>5145</v>
      </c>
    </row>
    <row r="2554" spans="1:4" ht="14.25">
      <c r="A2554" s="5">
        <v>25</v>
      </c>
      <c r="B2554" s="6" t="s">
        <v>5146</v>
      </c>
      <c r="C2554" s="7">
        <v>27358</v>
      </c>
      <c r="D2554" s="8" t="s">
        <v>5147</v>
      </c>
    </row>
    <row r="2555" spans="1:4" ht="14.25">
      <c r="A2555" s="5">
        <v>25</v>
      </c>
      <c r="B2555" s="6" t="s">
        <v>5148</v>
      </c>
      <c r="C2555" s="7">
        <v>27358</v>
      </c>
      <c r="D2555" s="8" t="s">
        <v>5149</v>
      </c>
    </row>
    <row r="2556" spans="1:4" ht="14.25">
      <c r="A2556" s="5" t="s">
        <v>2078</v>
      </c>
      <c r="B2556" s="6" t="s">
        <v>5150</v>
      </c>
      <c r="C2556" s="7">
        <v>27359</v>
      </c>
      <c r="D2556" s="8" t="s">
        <v>5151</v>
      </c>
    </row>
    <row r="2557" spans="1:4" ht="14.25">
      <c r="A2557" s="5">
        <v>26</v>
      </c>
      <c r="B2557" s="6" t="s">
        <v>5152</v>
      </c>
      <c r="C2557" s="7">
        <v>27359</v>
      </c>
      <c r="D2557" s="8" t="s">
        <v>5153</v>
      </c>
    </row>
    <row r="2558" spans="1:4" ht="14.25">
      <c r="A2558" s="5">
        <v>26</v>
      </c>
      <c r="B2558" s="6" t="s">
        <v>5154</v>
      </c>
      <c r="C2558" s="7">
        <v>27359</v>
      </c>
      <c r="D2558" s="8" t="s">
        <v>5155</v>
      </c>
    </row>
    <row r="2559" spans="1:4" ht="14.25">
      <c r="A2559" s="5" t="s">
        <v>2078</v>
      </c>
      <c r="B2559" s="6" t="s">
        <v>5156</v>
      </c>
      <c r="C2559" s="7">
        <v>27360</v>
      </c>
      <c r="D2559" s="8" t="s">
        <v>5157</v>
      </c>
    </row>
    <row r="2560" spans="1:4" ht="14.25">
      <c r="A2560" s="5">
        <v>27</v>
      </c>
      <c r="B2560" s="6" t="s">
        <v>5158</v>
      </c>
      <c r="C2560" s="7">
        <v>27360</v>
      </c>
      <c r="D2560" s="8" t="s">
        <v>5159</v>
      </c>
    </row>
    <row r="2561" spans="1:4" ht="14.25">
      <c r="A2561" s="5">
        <v>27</v>
      </c>
      <c r="B2561" s="6" t="s">
        <v>5160</v>
      </c>
      <c r="C2561" s="7">
        <v>27360</v>
      </c>
      <c r="D2561" s="8" t="s">
        <v>5161</v>
      </c>
    </row>
    <row r="2562" spans="1:4" ht="14.25">
      <c r="A2562" s="5" t="s">
        <v>2078</v>
      </c>
      <c r="B2562" s="6" t="s">
        <v>5162</v>
      </c>
      <c r="C2562" s="7">
        <v>27361</v>
      </c>
      <c r="D2562" s="8" t="s">
        <v>5163</v>
      </c>
    </row>
    <row r="2563" spans="1:4" ht="14.25">
      <c r="A2563" s="5">
        <v>28</v>
      </c>
      <c r="B2563" s="6" t="s">
        <v>5164</v>
      </c>
      <c r="C2563" s="7">
        <v>27361</v>
      </c>
      <c r="D2563" s="8" t="s">
        <v>5165</v>
      </c>
    </row>
    <row r="2564" spans="1:4" ht="14.25">
      <c r="A2564" s="5">
        <v>28</v>
      </c>
      <c r="B2564" s="6" t="s">
        <v>5166</v>
      </c>
      <c r="C2564" s="7">
        <v>27361</v>
      </c>
      <c r="D2564" s="8" t="s">
        <v>5167</v>
      </c>
    </row>
    <row r="2565" spans="1:4" ht="14.25">
      <c r="A2565" s="5" t="s">
        <v>2078</v>
      </c>
      <c r="B2565" s="6" t="s">
        <v>5168</v>
      </c>
      <c r="C2565" s="7">
        <v>27362</v>
      </c>
      <c r="D2565" s="8" t="s">
        <v>5169</v>
      </c>
    </row>
    <row r="2566" spans="1:4" ht="14.25">
      <c r="A2566" s="5">
        <v>29</v>
      </c>
      <c r="B2566" s="6" t="s">
        <v>5170</v>
      </c>
      <c r="C2566" s="7">
        <v>27362</v>
      </c>
      <c r="D2566" s="8" t="s">
        <v>5171</v>
      </c>
    </row>
    <row r="2567" spans="1:4" ht="14.25">
      <c r="A2567" s="5">
        <v>29</v>
      </c>
      <c r="B2567" s="6" t="s">
        <v>5172</v>
      </c>
      <c r="C2567" s="7">
        <v>27362</v>
      </c>
      <c r="D2567" s="8" t="s">
        <v>5173</v>
      </c>
    </row>
    <row r="2568" spans="1:4" ht="14.25">
      <c r="A2568" s="5" t="s">
        <v>2078</v>
      </c>
      <c r="B2568" s="6" t="s">
        <v>5174</v>
      </c>
      <c r="C2568" s="7">
        <v>27363</v>
      </c>
      <c r="D2568" s="8" t="s">
        <v>5175</v>
      </c>
    </row>
    <row r="2569" spans="1:4" ht="14.25">
      <c r="A2569" s="5">
        <v>30</v>
      </c>
      <c r="B2569" s="6" t="s">
        <v>5176</v>
      </c>
      <c r="C2569" s="7">
        <v>27363</v>
      </c>
      <c r="D2569" s="8" t="s">
        <v>5177</v>
      </c>
    </row>
    <row r="2570" spans="1:4" ht="14.25">
      <c r="A2570" s="5">
        <v>30</v>
      </c>
      <c r="B2570" s="6" t="s">
        <v>5178</v>
      </c>
      <c r="C2570" s="7">
        <v>27363</v>
      </c>
      <c r="D2570" s="8" t="s">
        <v>5179</v>
      </c>
    </row>
    <row r="2571" spans="1:4" ht="14.25">
      <c r="A2571" s="5" t="s">
        <v>2078</v>
      </c>
      <c r="B2571" s="6" t="s">
        <v>5180</v>
      </c>
      <c r="C2571" s="7">
        <v>27364</v>
      </c>
      <c r="D2571" s="8" t="s">
        <v>5181</v>
      </c>
    </row>
    <row r="2572" spans="1:4" ht="14.25">
      <c r="A2572" s="5">
        <v>1</v>
      </c>
      <c r="B2572" s="6" t="s">
        <v>5182</v>
      </c>
      <c r="C2572" s="7">
        <v>27364</v>
      </c>
      <c r="D2572" s="8" t="s">
        <v>5183</v>
      </c>
    </row>
    <row r="2573" spans="1:4" ht="14.25">
      <c r="A2573" s="5">
        <v>1</v>
      </c>
      <c r="B2573" s="6" t="s">
        <v>5184</v>
      </c>
      <c r="C2573" s="7">
        <v>27364</v>
      </c>
      <c r="D2573" s="8" t="s">
        <v>5185</v>
      </c>
    </row>
    <row r="2574" spans="1:4" ht="14.25">
      <c r="A2574" s="5" t="s">
        <v>2078</v>
      </c>
      <c r="B2574" s="6" t="s">
        <v>5186</v>
      </c>
      <c r="C2574" s="7">
        <v>27365</v>
      </c>
      <c r="D2574" s="8" t="s">
        <v>5187</v>
      </c>
    </row>
    <row r="2575" spans="1:4" ht="14.25">
      <c r="A2575" s="5">
        <v>2</v>
      </c>
      <c r="B2575" s="6" t="s">
        <v>5188</v>
      </c>
      <c r="C2575" s="7">
        <v>27365</v>
      </c>
      <c r="D2575" s="8" t="s">
        <v>5189</v>
      </c>
    </row>
    <row r="2576" spans="1:4" ht="14.25">
      <c r="A2576" s="5">
        <v>2</v>
      </c>
      <c r="B2576" s="6" t="s">
        <v>5190</v>
      </c>
      <c r="C2576" s="7">
        <v>27365</v>
      </c>
      <c r="D2576" s="8" t="s">
        <v>5191</v>
      </c>
    </row>
    <row r="2577" spans="1:4" ht="14.25">
      <c r="A2577" s="5" t="s">
        <v>2078</v>
      </c>
      <c r="B2577" s="6" t="s">
        <v>5192</v>
      </c>
      <c r="C2577" s="7">
        <v>27366</v>
      </c>
      <c r="D2577" s="8" t="s">
        <v>5193</v>
      </c>
    </row>
    <row r="2578" spans="1:4" ht="14.25">
      <c r="A2578" s="5">
        <v>3</v>
      </c>
      <c r="B2578" s="6" t="s">
        <v>5194</v>
      </c>
      <c r="C2578" s="7">
        <v>27366</v>
      </c>
      <c r="D2578" s="8" t="s">
        <v>5195</v>
      </c>
    </row>
    <row r="2579" spans="1:4" ht="14.25">
      <c r="A2579" s="5">
        <v>3</v>
      </c>
      <c r="B2579" s="6" t="s">
        <v>5196</v>
      </c>
      <c r="C2579" s="7">
        <v>27366</v>
      </c>
      <c r="D2579" s="8" t="s">
        <v>5197</v>
      </c>
    </row>
    <row r="2580" spans="1:4" ht="14.25">
      <c r="A2580" s="5" t="s">
        <v>2078</v>
      </c>
      <c r="B2580" s="6" t="s">
        <v>5198</v>
      </c>
      <c r="C2580" s="7">
        <v>27367</v>
      </c>
      <c r="D2580" s="8" t="s">
        <v>5199</v>
      </c>
    </row>
    <row r="2581" spans="1:4" ht="14.25">
      <c r="A2581" s="5">
        <v>4</v>
      </c>
      <c r="B2581" s="6" t="s">
        <v>5200</v>
      </c>
      <c r="C2581" s="7">
        <v>27367</v>
      </c>
      <c r="D2581" s="8" t="s">
        <v>5201</v>
      </c>
    </row>
    <row r="2582" spans="1:4" ht="14.25">
      <c r="A2582" s="5">
        <v>4</v>
      </c>
      <c r="B2582" s="6" t="s">
        <v>5202</v>
      </c>
      <c r="C2582" s="7">
        <v>27367</v>
      </c>
      <c r="D2582" s="8" t="s">
        <v>5203</v>
      </c>
    </row>
    <row r="2583" spans="1:4" ht="14.25">
      <c r="A2583" s="5" t="s">
        <v>2078</v>
      </c>
      <c r="B2583" s="6" t="s">
        <v>5204</v>
      </c>
      <c r="C2583" s="7">
        <v>27368</v>
      </c>
      <c r="D2583" s="8" t="s">
        <v>5205</v>
      </c>
    </row>
    <row r="2584" spans="1:4" ht="14.25">
      <c r="A2584" s="5">
        <v>5</v>
      </c>
      <c r="B2584" s="6" t="s">
        <v>5206</v>
      </c>
      <c r="C2584" s="7">
        <v>27368</v>
      </c>
      <c r="D2584" s="8" t="s">
        <v>5207</v>
      </c>
    </row>
    <row r="2585" spans="1:4" ht="14.25">
      <c r="A2585" s="5">
        <v>5</v>
      </c>
      <c r="B2585" s="6" t="s">
        <v>5208</v>
      </c>
      <c r="C2585" s="7">
        <v>27368</v>
      </c>
      <c r="D2585" s="8" t="s">
        <v>5209</v>
      </c>
    </row>
    <row r="2586" spans="1:4" ht="14.25">
      <c r="A2586" s="5" t="s">
        <v>2078</v>
      </c>
      <c r="B2586" s="6" t="s">
        <v>5210</v>
      </c>
      <c r="C2586" s="7">
        <v>27369</v>
      </c>
      <c r="D2586" s="8" t="s">
        <v>5211</v>
      </c>
    </row>
    <row r="2587" spans="1:4" ht="14.25">
      <c r="A2587" s="5">
        <v>6</v>
      </c>
      <c r="B2587" s="6" t="s">
        <v>5212</v>
      </c>
      <c r="C2587" s="7">
        <v>27369</v>
      </c>
      <c r="D2587" s="8" t="s">
        <v>5213</v>
      </c>
    </row>
    <row r="2588" spans="1:4" ht="14.25">
      <c r="A2588" s="5">
        <v>6</v>
      </c>
      <c r="B2588" s="6" t="s">
        <v>5214</v>
      </c>
      <c r="C2588" s="7">
        <v>27369</v>
      </c>
      <c r="D2588" s="8" t="s">
        <v>5215</v>
      </c>
    </row>
    <row r="2589" spans="1:4" ht="14.25">
      <c r="A2589" s="5" t="s">
        <v>2078</v>
      </c>
      <c r="B2589" s="6" t="s">
        <v>5216</v>
      </c>
      <c r="C2589" s="7">
        <v>27370</v>
      </c>
      <c r="D2589" s="8" t="s">
        <v>5217</v>
      </c>
    </row>
    <row r="2590" spans="1:4" ht="14.25">
      <c r="A2590" s="5">
        <v>7</v>
      </c>
      <c r="B2590" s="6" t="s">
        <v>5218</v>
      </c>
      <c r="C2590" s="7">
        <v>27370</v>
      </c>
      <c r="D2590" s="8" t="s">
        <v>5219</v>
      </c>
    </row>
    <row r="2591" spans="1:4" ht="14.25">
      <c r="A2591" s="5">
        <v>7</v>
      </c>
      <c r="B2591" s="6" t="s">
        <v>5220</v>
      </c>
      <c r="C2591" s="7">
        <v>27370</v>
      </c>
      <c r="D2591" s="8" t="s">
        <v>5221</v>
      </c>
    </row>
    <row r="2592" spans="1:4" ht="14.25">
      <c r="A2592" s="5" t="s">
        <v>2078</v>
      </c>
      <c r="B2592" s="6" t="s">
        <v>5222</v>
      </c>
      <c r="C2592" s="7">
        <v>27371</v>
      </c>
      <c r="D2592" s="8" t="s">
        <v>5223</v>
      </c>
    </row>
    <row r="2593" spans="1:4" ht="14.25">
      <c r="A2593" s="5">
        <v>8</v>
      </c>
      <c r="B2593" s="6" t="s">
        <v>5224</v>
      </c>
      <c r="C2593" s="7">
        <v>27371</v>
      </c>
      <c r="D2593" s="8" t="s">
        <v>5225</v>
      </c>
    </row>
    <row r="2594" spans="1:4" ht="14.25">
      <c r="A2594" s="5">
        <v>8</v>
      </c>
      <c r="B2594" s="6" t="s">
        <v>5226</v>
      </c>
      <c r="C2594" s="7">
        <v>27371</v>
      </c>
      <c r="D2594" s="8" t="s">
        <v>5227</v>
      </c>
    </row>
    <row r="2595" spans="1:4" ht="14.25">
      <c r="A2595" s="5" t="s">
        <v>2078</v>
      </c>
      <c r="B2595" s="6" t="s">
        <v>5228</v>
      </c>
      <c r="C2595" s="7">
        <v>27372</v>
      </c>
      <c r="D2595" s="8" t="s">
        <v>5229</v>
      </c>
    </row>
    <row r="2596" spans="1:4" ht="14.25">
      <c r="A2596" s="5">
        <v>9</v>
      </c>
      <c r="B2596" s="6" t="s">
        <v>5230</v>
      </c>
      <c r="C2596" s="7">
        <v>27372</v>
      </c>
      <c r="D2596" s="8" t="s">
        <v>5231</v>
      </c>
    </row>
    <row r="2597" spans="1:4" ht="14.25">
      <c r="A2597" s="5">
        <v>9</v>
      </c>
      <c r="B2597" s="6" t="s">
        <v>5232</v>
      </c>
      <c r="C2597" s="7">
        <v>27372</v>
      </c>
      <c r="D2597" s="8" t="s">
        <v>5233</v>
      </c>
    </row>
    <row r="2598" spans="1:4" ht="14.25">
      <c r="A2598" s="5" t="s">
        <v>2078</v>
      </c>
      <c r="B2598" s="6" t="s">
        <v>5234</v>
      </c>
      <c r="C2598" s="7">
        <v>27373</v>
      </c>
      <c r="D2598" s="8" t="s">
        <v>5235</v>
      </c>
    </row>
    <row r="2599" spans="1:4" ht="14.25">
      <c r="A2599" s="5">
        <v>10</v>
      </c>
      <c r="B2599" s="6" t="s">
        <v>5236</v>
      </c>
      <c r="C2599" s="7">
        <v>27373</v>
      </c>
      <c r="D2599" s="8" t="s">
        <v>5237</v>
      </c>
    </row>
    <row r="2600" spans="1:4" ht="14.25">
      <c r="A2600" s="5">
        <v>10</v>
      </c>
      <c r="B2600" s="6" t="s">
        <v>5238</v>
      </c>
      <c r="C2600" s="7">
        <v>27373</v>
      </c>
      <c r="D2600" s="8" t="s">
        <v>5239</v>
      </c>
    </row>
    <row r="2601" spans="1:4" ht="14.25">
      <c r="A2601" s="5" t="s">
        <v>2078</v>
      </c>
      <c r="B2601" s="6" t="s">
        <v>5240</v>
      </c>
      <c r="C2601" s="7">
        <v>27374</v>
      </c>
      <c r="D2601" s="8" t="s">
        <v>5241</v>
      </c>
    </row>
    <row r="2602" spans="1:4" ht="14.25">
      <c r="A2602" s="5">
        <v>11</v>
      </c>
      <c r="B2602" s="6" t="s">
        <v>5242</v>
      </c>
      <c r="C2602" s="7">
        <v>27374</v>
      </c>
      <c r="D2602" s="8" t="s">
        <v>5243</v>
      </c>
    </row>
    <row r="2603" spans="1:4" ht="14.25">
      <c r="A2603" s="5">
        <v>11</v>
      </c>
      <c r="B2603" s="6" t="s">
        <v>5244</v>
      </c>
      <c r="C2603" s="7">
        <v>27374</v>
      </c>
      <c r="D2603" s="8" t="s">
        <v>5245</v>
      </c>
    </row>
    <row r="2604" spans="1:4" ht="14.25">
      <c r="A2604" s="5" t="s">
        <v>2078</v>
      </c>
      <c r="B2604" s="6" t="s">
        <v>5246</v>
      </c>
      <c r="C2604" s="7">
        <v>27375</v>
      </c>
      <c r="D2604" s="8" t="s">
        <v>5247</v>
      </c>
    </row>
    <row r="2605" spans="1:4" ht="14.25">
      <c r="A2605" s="5">
        <v>12</v>
      </c>
      <c r="B2605" s="6" t="s">
        <v>5248</v>
      </c>
      <c r="C2605" s="7">
        <v>27375</v>
      </c>
      <c r="D2605" s="8" t="s">
        <v>5249</v>
      </c>
    </row>
    <row r="2606" spans="1:4" ht="14.25">
      <c r="A2606" s="5">
        <v>12</v>
      </c>
      <c r="B2606" s="6" t="s">
        <v>5250</v>
      </c>
      <c r="C2606" s="7">
        <v>27375</v>
      </c>
      <c r="D2606" s="8" t="s">
        <v>5251</v>
      </c>
    </row>
    <row r="2607" spans="1:4" ht="14.25">
      <c r="A2607" s="5" t="s">
        <v>2078</v>
      </c>
      <c r="B2607" s="6" t="s">
        <v>5252</v>
      </c>
      <c r="C2607" s="7">
        <v>27376</v>
      </c>
      <c r="D2607" s="8" t="s">
        <v>5253</v>
      </c>
    </row>
    <row r="2608" spans="1:4" ht="14.25">
      <c r="A2608" s="5">
        <v>13</v>
      </c>
      <c r="B2608" s="6" t="s">
        <v>5254</v>
      </c>
      <c r="C2608" s="7">
        <v>27376</v>
      </c>
      <c r="D2608" s="8" t="s">
        <v>5255</v>
      </c>
    </row>
    <row r="2609" spans="1:4" ht="14.25">
      <c r="A2609" s="5">
        <v>13</v>
      </c>
      <c r="B2609" s="6" t="s">
        <v>5256</v>
      </c>
      <c r="C2609" s="7">
        <v>27376</v>
      </c>
      <c r="D2609" s="8" t="s">
        <v>5257</v>
      </c>
    </row>
    <row r="2610" spans="1:4" ht="14.25">
      <c r="A2610" s="5" t="s">
        <v>2078</v>
      </c>
      <c r="B2610" s="6" t="s">
        <v>5258</v>
      </c>
      <c r="C2610" s="7">
        <v>27377</v>
      </c>
      <c r="D2610" s="8" t="s">
        <v>5259</v>
      </c>
    </row>
    <row r="2611" spans="1:4" ht="14.25">
      <c r="A2611" s="5">
        <v>14</v>
      </c>
      <c r="B2611" s="6" t="s">
        <v>5260</v>
      </c>
      <c r="C2611" s="7">
        <v>27377</v>
      </c>
      <c r="D2611" s="8" t="s">
        <v>5261</v>
      </c>
    </row>
    <row r="2612" spans="1:4" ht="14.25">
      <c r="A2612" s="5">
        <v>14</v>
      </c>
      <c r="B2612" s="6" t="s">
        <v>5262</v>
      </c>
      <c r="C2612" s="7">
        <v>27377</v>
      </c>
      <c r="D2612" s="8" t="s">
        <v>5263</v>
      </c>
    </row>
    <row r="2613" spans="1:4" ht="14.25">
      <c r="A2613" s="5" t="s">
        <v>2078</v>
      </c>
      <c r="B2613" s="6" t="s">
        <v>5264</v>
      </c>
      <c r="C2613" s="7">
        <v>27378</v>
      </c>
      <c r="D2613" s="8" t="s">
        <v>5265</v>
      </c>
    </row>
    <row r="2614" spans="1:4" ht="14.25">
      <c r="A2614" s="5">
        <v>15</v>
      </c>
      <c r="B2614" s="6" t="s">
        <v>5266</v>
      </c>
      <c r="C2614" s="7">
        <v>27378</v>
      </c>
      <c r="D2614" s="8" t="s">
        <v>5267</v>
      </c>
    </row>
    <row r="2615" spans="1:4" ht="14.25">
      <c r="A2615" s="5">
        <v>15</v>
      </c>
      <c r="B2615" s="6" t="s">
        <v>5268</v>
      </c>
      <c r="C2615" s="7">
        <v>27378</v>
      </c>
      <c r="D2615" s="8" t="s">
        <v>5269</v>
      </c>
    </row>
    <row r="2616" spans="1:4" ht="14.25">
      <c r="A2616" s="5" t="s">
        <v>2078</v>
      </c>
      <c r="B2616" s="6" t="s">
        <v>5270</v>
      </c>
      <c r="C2616" s="7">
        <v>27379</v>
      </c>
      <c r="D2616" s="8" t="s">
        <v>5271</v>
      </c>
    </row>
    <row r="2617" spans="1:4" ht="14.25">
      <c r="A2617" s="5">
        <v>16</v>
      </c>
      <c r="B2617" s="6" t="s">
        <v>5272</v>
      </c>
      <c r="C2617" s="7">
        <v>27379</v>
      </c>
      <c r="D2617" s="8" t="s">
        <v>5273</v>
      </c>
    </row>
    <row r="2618" spans="1:4" ht="14.25">
      <c r="A2618" s="5">
        <v>16</v>
      </c>
      <c r="B2618" s="6" t="s">
        <v>5274</v>
      </c>
      <c r="C2618" s="7">
        <v>27379</v>
      </c>
      <c r="D2618" s="8" t="s">
        <v>5275</v>
      </c>
    </row>
    <row r="2619" spans="1:4" ht="14.25">
      <c r="A2619" s="5" t="s">
        <v>2078</v>
      </c>
      <c r="B2619" s="6" t="s">
        <v>5276</v>
      </c>
      <c r="C2619" s="7">
        <v>27380</v>
      </c>
      <c r="D2619" s="8" t="s">
        <v>5277</v>
      </c>
    </row>
    <row r="2620" spans="1:4" ht="14.25">
      <c r="A2620" s="5">
        <v>17</v>
      </c>
      <c r="B2620" s="6" t="s">
        <v>5278</v>
      </c>
      <c r="C2620" s="7">
        <v>27380</v>
      </c>
      <c r="D2620" s="8" t="s">
        <v>5279</v>
      </c>
    </row>
    <row r="2621" spans="1:4" ht="14.25">
      <c r="A2621" s="5">
        <v>17</v>
      </c>
      <c r="B2621" s="6" t="s">
        <v>5280</v>
      </c>
      <c r="C2621" s="7">
        <v>27380</v>
      </c>
      <c r="D2621" s="8" t="s">
        <v>5281</v>
      </c>
    </row>
    <row r="2622" spans="1:4" ht="14.25">
      <c r="A2622" s="5" t="s">
        <v>2078</v>
      </c>
      <c r="B2622" s="6" t="s">
        <v>5282</v>
      </c>
      <c r="C2622" s="7">
        <v>27381</v>
      </c>
      <c r="D2622" s="8" t="s">
        <v>5283</v>
      </c>
    </row>
    <row r="2623" spans="1:4" ht="14.25">
      <c r="A2623" s="5">
        <v>18</v>
      </c>
      <c r="B2623" s="6" t="s">
        <v>5284</v>
      </c>
      <c r="C2623" s="7">
        <v>27381</v>
      </c>
      <c r="D2623" s="8" t="s">
        <v>5285</v>
      </c>
    </row>
    <row r="2624" spans="1:4" ht="14.25">
      <c r="A2624" s="5">
        <v>18</v>
      </c>
      <c r="B2624" s="6" t="s">
        <v>5286</v>
      </c>
      <c r="C2624" s="7">
        <v>27381</v>
      </c>
      <c r="D2624" s="8" t="s">
        <v>5287</v>
      </c>
    </row>
    <row r="2625" spans="1:4" ht="14.25">
      <c r="A2625" s="5" t="s">
        <v>2078</v>
      </c>
      <c r="B2625" s="6" t="s">
        <v>5288</v>
      </c>
      <c r="C2625" s="7">
        <v>27382</v>
      </c>
      <c r="D2625" s="8" t="s">
        <v>5289</v>
      </c>
    </row>
    <row r="2626" spans="1:4" ht="14.25">
      <c r="A2626" s="5">
        <v>19</v>
      </c>
      <c r="B2626" s="6" t="s">
        <v>5290</v>
      </c>
      <c r="C2626" s="7">
        <v>27382</v>
      </c>
      <c r="D2626" s="8" t="s">
        <v>5291</v>
      </c>
    </row>
    <row r="2627" spans="1:4" ht="14.25">
      <c r="A2627" s="5">
        <v>19</v>
      </c>
      <c r="B2627" s="6" t="s">
        <v>5292</v>
      </c>
      <c r="C2627" s="7">
        <v>27382</v>
      </c>
      <c r="D2627" s="8" t="s">
        <v>5293</v>
      </c>
    </row>
    <row r="2628" spans="1:4" ht="14.25">
      <c r="A2628" s="5" t="s">
        <v>2078</v>
      </c>
      <c r="B2628" s="6" t="s">
        <v>5294</v>
      </c>
      <c r="C2628" s="7">
        <v>27383</v>
      </c>
      <c r="D2628" s="8" t="s">
        <v>5295</v>
      </c>
    </row>
    <row r="2629" spans="1:4" ht="14.25">
      <c r="A2629" s="5">
        <v>20</v>
      </c>
      <c r="B2629" s="6" t="s">
        <v>5296</v>
      </c>
      <c r="C2629" s="7">
        <v>27383</v>
      </c>
      <c r="D2629" s="8" t="s">
        <v>5297</v>
      </c>
    </row>
    <row r="2630" spans="1:4" ht="14.25">
      <c r="A2630" s="5">
        <v>20</v>
      </c>
      <c r="B2630" s="6" t="s">
        <v>5298</v>
      </c>
      <c r="C2630" s="7">
        <v>27383</v>
      </c>
      <c r="D2630" s="8" t="s">
        <v>5299</v>
      </c>
    </row>
    <row r="2631" spans="1:4" ht="14.25">
      <c r="A2631" s="5" t="s">
        <v>2078</v>
      </c>
      <c r="B2631" s="6" t="s">
        <v>5300</v>
      </c>
      <c r="C2631" s="7">
        <v>27384</v>
      </c>
      <c r="D2631" s="8" t="s">
        <v>5301</v>
      </c>
    </row>
    <row r="2632" spans="1:4" ht="14.25">
      <c r="A2632" s="5">
        <v>21</v>
      </c>
      <c r="B2632" s="6" t="s">
        <v>5302</v>
      </c>
      <c r="C2632" s="7">
        <v>27384</v>
      </c>
      <c r="D2632" s="8" t="s">
        <v>5303</v>
      </c>
    </row>
    <row r="2633" spans="1:4" ht="14.25">
      <c r="A2633" s="5">
        <v>21</v>
      </c>
      <c r="B2633" s="6" t="s">
        <v>5304</v>
      </c>
      <c r="C2633" s="7">
        <v>27384</v>
      </c>
      <c r="D2633" s="8" t="s">
        <v>5305</v>
      </c>
    </row>
    <row r="2634" spans="1:4" ht="14.25">
      <c r="A2634" s="5" t="s">
        <v>2078</v>
      </c>
      <c r="B2634" s="6" t="s">
        <v>5306</v>
      </c>
      <c r="C2634" s="7">
        <v>27385</v>
      </c>
      <c r="D2634" s="8" t="s">
        <v>5307</v>
      </c>
    </row>
    <row r="2635" spans="1:4" ht="14.25">
      <c r="A2635" s="5">
        <v>22</v>
      </c>
      <c r="B2635" s="6" t="s">
        <v>5308</v>
      </c>
      <c r="C2635" s="7">
        <v>27385</v>
      </c>
      <c r="D2635" s="8" t="s">
        <v>5309</v>
      </c>
    </row>
    <row r="2636" spans="1:4" ht="14.25">
      <c r="A2636" s="5">
        <v>22</v>
      </c>
      <c r="B2636" s="6" t="s">
        <v>5310</v>
      </c>
      <c r="C2636" s="7">
        <v>27385</v>
      </c>
      <c r="D2636" s="8" t="s">
        <v>5311</v>
      </c>
    </row>
    <row r="2637" spans="1:4" ht="14.25">
      <c r="A2637" s="5" t="s">
        <v>2078</v>
      </c>
      <c r="B2637" s="6" t="s">
        <v>5312</v>
      </c>
      <c r="C2637" s="7">
        <v>27386</v>
      </c>
      <c r="D2637" s="8" t="s">
        <v>5313</v>
      </c>
    </row>
    <row r="2638" spans="1:4" ht="14.25">
      <c r="A2638" s="5">
        <v>23</v>
      </c>
      <c r="B2638" s="6" t="s">
        <v>5314</v>
      </c>
      <c r="C2638" s="7">
        <v>27386</v>
      </c>
      <c r="D2638" s="8" t="s">
        <v>5315</v>
      </c>
    </row>
    <row r="2639" spans="1:4" ht="14.25">
      <c r="A2639" s="5">
        <v>23</v>
      </c>
      <c r="B2639" s="6" t="s">
        <v>5316</v>
      </c>
      <c r="C2639" s="7">
        <v>27386</v>
      </c>
      <c r="D2639" s="8" t="s">
        <v>5317</v>
      </c>
    </row>
    <row r="2640" spans="1:4" ht="14.25">
      <c r="A2640" s="5" t="s">
        <v>2078</v>
      </c>
      <c r="B2640" s="6" t="s">
        <v>5318</v>
      </c>
      <c r="C2640" s="7">
        <v>27387</v>
      </c>
      <c r="D2640" s="8" t="s">
        <v>5319</v>
      </c>
    </row>
    <row r="2641" spans="1:4" ht="14.25">
      <c r="A2641" s="5">
        <v>24</v>
      </c>
      <c r="B2641" s="6" t="s">
        <v>5320</v>
      </c>
      <c r="C2641" s="7">
        <v>27387</v>
      </c>
      <c r="D2641" s="8" t="s">
        <v>5321</v>
      </c>
    </row>
    <row r="2642" spans="1:4" ht="14.25">
      <c r="A2642" s="5">
        <v>24</v>
      </c>
      <c r="B2642" s="6" t="s">
        <v>5322</v>
      </c>
      <c r="C2642" s="7">
        <v>27387</v>
      </c>
      <c r="D2642" s="8" t="s">
        <v>5323</v>
      </c>
    </row>
    <row r="2643" spans="1:4" ht="14.25">
      <c r="A2643" s="5" t="s">
        <v>2078</v>
      </c>
      <c r="B2643" s="6" t="s">
        <v>5324</v>
      </c>
      <c r="C2643" s="7">
        <v>27388</v>
      </c>
      <c r="D2643" s="8" t="s">
        <v>5325</v>
      </c>
    </row>
    <row r="2644" spans="1:4" ht="14.25">
      <c r="A2644" s="5">
        <v>25</v>
      </c>
      <c r="B2644" s="6" t="s">
        <v>5326</v>
      </c>
      <c r="C2644" s="7">
        <v>27388</v>
      </c>
      <c r="D2644" s="8" t="s">
        <v>5327</v>
      </c>
    </row>
    <row r="2645" spans="1:4" ht="14.25">
      <c r="A2645" s="5">
        <v>25</v>
      </c>
      <c r="B2645" s="6" t="s">
        <v>5328</v>
      </c>
      <c r="C2645" s="7">
        <v>27388</v>
      </c>
      <c r="D2645" s="8" t="s">
        <v>5329</v>
      </c>
    </row>
    <row r="2646" spans="1:4" ht="14.25">
      <c r="A2646" s="5" t="s">
        <v>2078</v>
      </c>
      <c r="B2646" s="6" t="s">
        <v>5330</v>
      </c>
      <c r="C2646" s="7">
        <v>27389</v>
      </c>
      <c r="D2646" s="8" t="s">
        <v>5331</v>
      </c>
    </row>
    <row r="2647" spans="1:4" ht="14.25">
      <c r="A2647" s="5">
        <v>26</v>
      </c>
      <c r="B2647" s="6" t="s">
        <v>5332</v>
      </c>
      <c r="C2647" s="7">
        <v>27389</v>
      </c>
      <c r="D2647" s="8" t="s">
        <v>5333</v>
      </c>
    </row>
    <row r="2648" spans="1:4" ht="14.25">
      <c r="A2648" s="5">
        <v>26</v>
      </c>
      <c r="B2648" s="6" t="s">
        <v>5334</v>
      </c>
      <c r="C2648" s="7">
        <v>27389</v>
      </c>
      <c r="D2648" s="8" t="s">
        <v>5335</v>
      </c>
    </row>
    <row r="2649" spans="1:4" ht="14.25">
      <c r="A2649" s="5" t="s">
        <v>2078</v>
      </c>
      <c r="B2649" s="6" t="s">
        <v>5336</v>
      </c>
      <c r="C2649" s="7">
        <v>27390</v>
      </c>
      <c r="D2649" s="8" t="s">
        <v>5337</v>
      </c>
    </row>
    <row r="2650" spans="1:4" ht="14.25">
      <c r="A2650" s="5">
        <v>27</v>
      </c>
      <c r="B2650" s="6" t="s">
        <v>5338</v>
      </c>
      <c r="C2650" s="7">
        <v>27390</v>
      </c>
      <c r="D2650" s="8" t="s">
        <v>5339</v>
      </c>
    </row>
    <row r="2651" spans="1:4" ht="14.25">
      <c r="A2651" s="5">
        <v>27</v>
      </c>
      <c r="B2651" s="6" t="s">
        <v>5340</v>
      </c>
      <c r="C2651" s="7">
        <v>27390</v>
      </c>
      <c r="D2651" s="8" t="s">
        <v>5341</v>
      </c>
    </row>
    <row r="2652" spans="1:4" ht="14.25">
      <c r="A2652" s="5" t="s">
        <v>2078</v>
      </c>
      <c r="B2652" s="6" t="s">
        <v>5342</v>
      </c>
      <c r="C2652" s="7">
        <v>27391</v>
      </c>
      <c r="D2652" s="8" t="s">
        <v>5343</v>
      </c>
    </row>
    <row r="2653" spans="1:4" ht="14.25">
      <c r="A2653" s="5">
        <v>28</v>
      </c>
      <c r="B2653" s="6" t="s">
        <v>5344</v>
      </c>
      <c r="C2653" s="7">
        <v>27391</v>
      </c>
      <c r="D2653" s="8" t="s">
        <v>5345</v>
      </c>
    </row>
    <row r="2654" spans="1:4" ht="14.25">
      <c r="A2654" s="5">
        <v>28</v>
      </c>
      <c r="B2654" s="6" t="s">
        <v>5346</v>
      </c>
      <c r="C2654" s="7">
        <v>27391</v>
      </c>
      <c r="D2654" s="8" t="s">
        <v>5347</v>
      </c>
    </row>
    <row r="2655" spans="1:4" ht="14.25">
      <c r="A2655" s="5" t="s">
        <v>2078</v>
      </c>
      <c r="B2655" s="6" t="s">
        <v>5348</v>
      </c>
      <c r="C2655" s="7">
        <v>27392</v>
      </c>
      <c r="D2655" s="8" t="s">
        <v>5349</v>
      </c>
    </row>
    <row r="2656" spans="1:4" ht="14.25">
      <c r="A2656" s="5">
        <v>29</v>
      </c>
      <c r="B2656" s="6" t="s">
        <v>5350</v>
      </c>
      <c r="C2656" s="7">
        <v>27392</v>
      </c>
      <c r="D2656" s="8" t="s">
        <v>5351</v>
      </c>
    </row>
    <row r="2657" spans="1:4" ht="14.25">
      <c r="A2657" s="5">
        <v>29</v>
      </c>
      <c r="B2657" s="6" t="s">
        <v>5352</v>
      </c>
      <c r="C2657" s="7">
        <v>27392</v>
      </c>
      <c r="D2657" s="8" t="s">
        <v>5353</v>
      </c>
    </row>
    <row r="2658" spans="1:4" ht="14.25">
      <c r="A2658" s="5" t="s">
        <v>2078</v>
      </c>
      <c r="B2658" s="6" t="s">
        <v>5354</v>
      </c>
      <c r="C2658" s="7">
        <v>27393</v>
      </c>
      <c r="D2658" s="8" t="s">
        <v>5355</v>
      </c>
    </row>
    <row r="2659" spans="1:4" ht="14.25">
      <c r="A2659" s="5">
        <v>30</v>
      </c>
      <c r="B2659" s="6" t="s">
        <v>5356</v>
      </c>
      <c r="C2659" s="7">
        <v>27393</v>
      </c>
      <c r="D2659" s="8" t="s">
        <v>5357</v>
      </c>
    </row>
    <row r="2660" spans="1:4" ht="14.25">
      <c r="A2660" s="5" t="s">
        <v>2078</v>
      </c>
      <c r="B2660" s="6" t="s">
        <v>5358</v>
      </c>
      <c r="C2660" s="7">
        <v>27394</v>
      </c>
      <c r="D2660" s="8" t="s">
        <v>5359</v>
      </c>
    </row>
    <row r="2661" spans="1:4" ht="14.25">
      <c r="A2661" s="5">
        <v>31</v>
      </c>
      <c r="B2661" s="6" t="s">
        <v>5360</v>
      </c>
      <c r="C2661" s="7">
        <v>27394</v>
      </c>
      <c r="D2661" s="8" t="s">
        <v>5361</v>
      </c>
    </row>
    <row r="2662" spans="1:4" ht="14.25">
      <c r="A2662" s="5" t="s">
        <v>2078</v>
      </c>
      <c r="B2662" s="6" t="s">
        <v>5362</v>
      </c>
      <c r="C2662" s="7">
        <v>27395</v>
      </c>
      <c r="D2662" s="8" t="s">
        <v>5363</v>
      </c>
    </row>
    <row r="2663" spans="1:4" ht="14.25">
      <c r="A2663" s="5">
        <v>1</v>
      </c>
      <c r="B2663" s="6" t="s">
        <v>5364</v>
      </c>
      <c r="C2663" s="7">
        <v>27395</v>
      </c>
      <c r="D2663" s="8" t="s">
        <v>5365</v>
      </c>
    </row>
    <row r="2664" spans="1:4" ht="14.25">
      <c r="A2664" s="5">
        <v>1</v>
      </c>
      <c r="B2664" s="6" t="s">
        <v>5366</v>
      </c>
      <c r="C2664" s="7">
        <v>27395</v>
      </c>
      <c r="D2664" s="8" t="s">
        <v>5367</v>
      </c>
    </row>
    <row r="2665" spans="1:4" ht="14.25">
      <c r="A2665" s="5" t="s">
        <v>2078</v>
      </c>
      <c r="B2665" s="6" t="s">
        <v>5368</v>
      </c>
      <c r="C2665" s="7">
        <v>27396</v>
      </c>
      <c r="D2665" s="8" t="s">
        <v>5369</v>
      </c>
    </row>
    <row r="2666" spans="1:4" ht="14.25">
      <c r="A2666" s="5">
        <v>2</v>
      </c>
      <c r="B2666" s="6" t="s">
        <v>5370</v>
      </c>
      <c r="C2666" s="7">
        <v>27396</v>
      </c>
      <c r="D2666" s="8" t="s">
        <v>5371</v>
      </c>
    </row>
    <row r="2667" spans="1:4" ht="14.25">
      <c r="A2667" s="5">
        <v>2</v>
      </c>
      <c r="B2667" s="6" t="s">
        <v>5372</v>
      </c>
      <c r="C2667" s="7">
        <v>27396</v>
      </c>
      <c r="D2667" s="8" t="s">
        <v>5373</v>
      </c>
    </row>
    <row r="2668" spans="1:4" ht="14.25">
      <c r="A2668" s="5" t="s">
        <v>2078</v>
      </c>
      <c r="B2668" s="6" t="s">
        <v>5374</v>
      </c>
      <c r="C2668" s="7">
        <v>27397</v>
      </c>
      <c r="D2668" s="8" t="s">
        <v>5375</v>
      </c>
    </row>
    <row r="2669" spans="1:4" ht="14.25">
      <c r="A2669" s="5">
        <v>3</v>
      </c>
      <c r="B2669" s="6" t="s">
        <v>5376</v>
      </c>
      <c r="C2669" s="7">
        <v>27397</v>
      </c>
      <c r="D2669" s="8" t="s">
        <v>5377</v>
      </c>
    </row>
    <row r="2670" spans="1:4" ht="14.25">
      <c r="A2670" s="5">
        <v>3</v>
      </c>
      <c r="B2670" s="6" t="s">
        <v>5378</v>
      </c>
      <c r="C2670" s="7">
        <v>27397</v>
      </c>
      <c r="D2670" s="8" t="s">
        <v>5379</v>
      </c>
    </row>
    <row r="2671" spans="1:4" ht="14.25">
      <c r="A2671" s="5">
        <v>3</v>
      </c>
      <c r="B2671" s="6" t="s">
        <v>5380</v>
      </c>
      <c r="C2671" s="7">
        <v>27397</v>
      </c>
      <c r="D2671" s="8" t="s">
        <v>5381</v>
      </c>
    </row>
    <row r="2672" spans="1:4" ht="14.25">
      <c r="A2672" s="5" t="s">
        <v>2078</v>
      </c>
      <c r="B2672" s="6" t="s">
        <v>5382</v>
      </c>
      <c r="C2672" s="7">
        <v>27398</v>
      </c>
      <c r="D2672" s="8" t="s">
        <v>5383</v>
      </c>
    </row>
    <row r="2673" spans="1:4" ht="14.25">
      <c r="A2673" s="5">
        <v>4</v>
      </c>
      <c r="B2673" s="6" t="s">
        <v>5384</v>
      </c>
      <c r="C2673" s="7">
        <v>27398</v>
      </c>
      <c r="D2673" s="8" t="s">
        <v>5385</v>
      </c>
    </row>
    <row r="2674" spans="1:4" ht="14.25">
      <c r="A2674" s="5">
        <v>4</v>
      </c>
      <c r="B2674" s="6" t="s">
        <v>5386</v>
      </c>
      <c r="C2674" s="7">
        <v>27398</v>
      </c>
      <c r="D2674" s="8" t="s">
        <v>5387</v>
      </c>
    </row>
    <row r="2675" spans="1:4" ht="14.25">
      <c r="A2675" s="5" t="s">
        <v>2078</v>
      </c>
      <c r="B2675" s="6" t="s">
        <v>5388</v>
      </c>
      <c r="C2675" s="7">
        <v>27399</v>
      </c>
      <c r="D2675" s="8" t="s">
        <v>5389</v>
      </c>
    </row>
    <row r="2676" spans="1:4" ht="14.25">
      <c r="A2676" s="5">
        <v>5</v>
      </c>
      <c r="B2676" s="6" t="s">
        <v>5390</v>
      </c>
      <c r="C2676" s="7">
        <v>27399</v>
      </c>
      <c r="D2676" s="8" t="s">
        <v>5391</v>
      </c>
    </row>
    <row r="2677" spans="1:4" ht="14.25">
      <c r="A2677" s="5">
        <v>5</v>
      </c>
      <c r="B2677" s="6" t="s">
        <v>5392</v>
      </c>
      <c r="C2677" s="7">
        <v>27399</v>
      </c>
      <c r="D2677" s="8" t="s">
        <v>5393</v>
      </c>
    </row>
    <row r="2678" spans="1:4" ht="14.25">
      <c r="A2678" s="5" t="s">
        <v>2078</v>
      </c>
      <c r="B2678" s="6" t="s">
        <v>5394</v>
      </c>
      <c r="C2678" s="7">
        <v>27400</v>
      </c>
      <c r="D2678" s="8" t="s">
        <v>5395</v>
      </c>
    </row>
    <row r="2679" spans="1:4" ht="14.25">
      <c r="A2679" s="5">
        <v>6</v>
      </c>
      <c r="B2679" s="6" t="s">
        <v>5396</v>
      </c>
      <c r="C2679" s="7">
        <v>27400</v>
      </c>
      <c r="D2679" s="8" t="s">
        <v>5397</v>
      </c>
    </row>
    <row r="2680" spans="1:4" ht="14.25">
      <c r="A2680" s="5">
        <v>6</v>
      </c>
      <c r="B2680" s="6" t="s">
        <v>5398</v>
      </c>
      <c r="C2680" s="7">
        <v>27400</v>
      </c>
      <c r="D2680" s="8" t="s">
        <v>5399</v>
      </c>
    </row>
    <row r="2681" spans="1:4" ht="14.25">
      <c r="A2681" s="5" t="s">
        <v>2078</v>
      </c>
      <c r="B2681" s="6" t="s">
        <v>5400</v>
      </c>
      <c r="C2681" s="7">
        <v>27401</v>
      </c>
      <c r="D2681" s="8" t="s">
        <v>5401</v>
      </c>
    </row>
    <row r="2682" spans="1:4" ht="14.25">
      <c r="A2682" s="5">
        <v>7</v>
      </c>
      <c r="B2682" s="6" t="s">
        <v>5402</v>
      </c>
      <c r="C2682" s="7">
        <v>27401</v>
      </c>
      <c r="D2682" s="8" t="s">
        <v>5403</v>
      </c>
    </row>
    <row r="2683" spans="1:4" ht="14.25">
      <c r="A2683" s="5">
        <v>7</v>
      </c>
      <c r="B2683" s="6" t="s">
        <v>5404</v>
      </c>
      <c r="C2683" s="7">
        <v>27401</v>
      </c>
      <c r="D2683" s="8" t="s">
        <v>5405</v>
      </c>
    </row>
    <row r="2684" spans="1:4" ht="14.25">
      <c r="A2684" s="5" t="s">
        <v>2078</v>
      </c>
      <c r="B2684" s="6" t="s">
        <v>5406</v>
      </c>
      <c r="C2684" s="7">
        <v>27402</v>
      </c>
      <c r="D2684" s="8" t="s">
        <v>5407</v>
      </c>
    </row>
    <row r="2685" spans="1:4" ht="14.25">
      <c r="A2685" s="5">
        <v>8</v>
      </c>
      <c r="B2685" s="6" t="s">
        <v>5408</v>
      </c>
      <c r="C2685" s="7">
        <v>27402</v>
      </c>
      <c r="D2685" s="8" t="s">
        <v>5409</v>
      </c>
    </row>
    <row r="2686" spans="1:4" ht="14.25">
      <c r="A2686" s="5">
        <v>8</v>
      </c>
      <c r="B2686" s="6" t="s">
        <v>5410</v>
      </c>
      <c r="C2686" s="7">
        <v>27402</v>
      </c>
      <c r="D2686" s="8" t="s">
        <v>5411</v>
      </c>
    </row>
    <row r="2687" spans="1:4" ht="14.25">
      <c r="A2687" s="5" t="s">
        <v>2078</v>
      </c>
      <c r="B2687" s="6" t="s">
        <v>5412</v>
      </c>
      <c r="C2687" s="7">
        <v>27403</v>
      </c>
      <c r="D2687" s="8" t="s">
        <v>5413</v>
      </c>
    </row>
    <row r="2688" spans="1:4" ht="14.25">
      <c r="A2688" s="5">
        <v>9</v>
      </c>
      <c r="B2688" s="6" t="s">
        <v>5414</v>
      </c>
      <c r="C2688" s="7">
        <v>27403</v>
      </c>
      <c r="D2688" s="8" t="s">
        <v>5415</v>
      </c>
    </row>
    <row r="2689" spans="1:4" ht="14.25">
      <c r="A2689" s="5">
        <v>9</v>
      </c>
      <c r="B2689" s="6" t="s">
        <v>5416</v>
      </c>
      <c r="C2689" s="7">
        <v>27403</v>
      </c>
      <c r="D2689" s="8" t="s">
        <v>5417</v>
      </c>
    </row>
    <row r="2690" spans="1:4" ht="14.25">
      <c r="A2690" s="5" t="s">
        <v>2078</v>
      </c>
      <c r="B2690" s="6" t="s">
        <v>5418</v>
      </c>
      <c r="C2690" s="7">
        <v>27405</v>
      </c>
      <c r="D2690" s="8" t="s">
        <v>5419</v>
      </c>
    </row>
    <row r="2691" spans="1:4" ht="14.25">
      <c r="A2691" s="5">
        <v>11</v>
      </c>
      <c r="B2691" s="6" t="s">
        <v>5420</v>
      </c>
      <c r="C2691" s="7">
        <v>27405</v>
      </c>
      <c r="D2691" s="8" t="s">
        <v>5421</v>
      </c>
    </row>
    <row r="2692" spans="1:4" ht="14.25">
      <c r="A2692" s="5">
        <v>11</v>
      </c>
      <c r="B2692" s="6" t="s">
        <v>5422</v>
      </c>
      <c r="C2692" s="7">
        <v>27405</v>
      </c>
      <c r="D2692" s="8" t="s">
        <v>5423</v>
      </c>
    </row>
    <row r="2693" spans="1:4" ht="14.25">
      <c r="A2693" s="5" t="s">
        <v>2078</v>
      </c>
      <c r="B2693" s="6" t="s">
        <v>5424</v>
      </c>
      <c r="C2693" s="7">
        <v>27406</v>
      </c>
      <c r="D2693" s="8" t="s">
        <v>5425</v>
      </c>
    </row>
    <row r="2694" spans="1:4" ht="14.25">
      <c r="A2694" s="5">
        <v>12</v>
      </c>
      <c r="B2694" s="6" t="s">
        <v>5426</v>
      </c>
      <c r="C2694" s="7">
        <v>27406</v>
      </c>
      <c r="D2694" s="8" t="s">
        <v>5427</v>
      </c>
    </row>
    <row r="2695" spans="1:4" ht="14.25">
      <c r="A2695" s="5">
        <v>12</v>
      </c>
      <c r="B2695" s="6" t="s">
        <v>5428</v>
      </c>
      <c r="C2695" s="7">
        <v>27406</v>
      </c>
      <c r="D2695" s="8" t="s">
        <v>5429</v>
      </c>
    </row>
    <row r="2696" spans="1:4" ht="14.25">
      <c r="A2696" s="5" t="s">
        <v>2078</v>
      </c>
      <c r="B2696" s="6" t="s">
        <v>5430</v>
      </c>
      <c r="C2696" s="7">
        <v>27408</v>
      </c>
      <c r="D2696" s="8" t="s">
        <v>5431</v>
      </c>
    </row>
    <row r="2697" spans="1:4" ht="14.25">
      <c r="A2697" s="5">
        <v>14</v>
      </c>
      <c r="B2697" s="6" t="s">
        <v>5432</v>
      </c>
      <c r="C2697" s="7">
        <v>27408</v>
      </c>
      <c r="D2697" s="8" t="s">
        <v>5433</v>
      </c>
    </row>
    <row r="2698" spans="1:4" ht="14.25">
      <c r="A2698" s="5">
        <v>14</v>
      </c>
      <c r="B2698" s="6" t="s">
        <v>5434</v>
      </c>
      <c r="C2698" s="7">
        <v>27408</v>
      </c>
      <c r="D2698" s="8" t="s">
        <v>5435</v>
      </c>
    </row>
    <row r="2699" spans="1:4" ht="14.25">
      <c r="A2699" s="5" t="s">
        <v>2078</v>
      </c>
      <c r="B2699" s="6" t="s">
        <v>5436</v>
      </c>
      <c r="C2699" s="7">
        <v>27409</v>
      </c>
      <c r="D2699" s="8" t="s">
        <v>5437</v>
      </c>
    </row>
    <row r="2700" spans="1:4" ht="14.25">
      <c r="A2700" s="5">
        <v>15</v>
      </c>
      <c r="B2700" s="6" t="s">
        <v>5438</v>
      </c>
      <c r="C2700" s="7">
        <v>27409</v>
      </c>
      <c r="D2700" s="8" t="s">
        <v>5439</v>
      </c>
    </row>
    <row r="2701" spans="1:4" ht="14.25">
      <c r="A2701" s="5">
        <v>15</v>
      </c>
      <c r="B2701" s="6" t="s">
        <v>5440</v>
      </c>
      <c r="C2701" s="7">
        <v>27409</v>
      </c>
      <c r="D2701" s="8" t="s">
        <v>5441</v>
      </c>
    </row>
    <row r="2702" spans="1:4" ht="14.25">
      <c r="A2702" s="5" t="s">
        <v>2078</v>
      </c>
      <c r="B2702" s="6" t="s">
        <v>5442</v>
      </c>
      <c r="C2702" s="7">
        <v>27410</v>
      </c>
      <c r="D2702" s="8" t="s">
        <v>5443</v>
      </c>
    </row>
    <row r="2703" spans="1:4" ht="14.25">
      <c r="A2703" s="5">
        <v>16</v>
      </c>
      <c r="B2703" s="6" t="s">
        <v>5444</v>
      </c>
      <c r="C2703" s="7">
        <v>27410</v>
      </c>
      <c r="D2703" s="8" t="s">
        <v>5445</v>
      </c>
    </row>
    <row r="2704" spans="1:4" ht="14.25">
      <c r="A2704" s="5">
        <v>16</v>
      </c>
      <c r="B2704" s="6" t="s">
        <v>5446</v>
      </c>
      <c r="C2704" s="7">
        <v>27410</v>
      </c>
      <c r="D2704" s="8" t="s">
        <v>5447</v>
      </c>
    </row>
    <row r="2705" spans="1:4" ht="14.25">
      <c r="A2705" s="5" t="s">
        <v>2078</v>
      </c>
      <c r="B2705" s="6" t="s">
        <v>5448</v>
      </c>
      <c r="C2705" s="7">
        <v>27411</v>
      </c>
      <c r="D2705" s="8" t="s">
        <v>5449</v>
      </c>
    </row>
    <row r="2706" spans="1:4" ht="14.25">
      <c r="A2706" s="5">
        <v>17</v>
      </c>
      <c r="B2706" s="6" t="s">
        <v>5450</v>
      </c>
      <c r="C2706" s="7">
        <v>27411</v>
      </c>
      <c r="D2706" s="8" t="s">
        <v>5451</v>
      </c>
    </row>
    <row r="2707" spans="1:4" ht="14.25">
      <c r="A2707" s="5">
        <v>17</v>
      </c>
      <c r="B2707" s="6" t="s">
        <v>5452</v>
      </c>
      <c r="C2707" s="7">
        <v>27411</v>
      </c>
      <c r="D2707" s="8" t="s">
        <v>5453</v>
      </c>
    </row>
    <row r="2708" spans="1:4" ht="14.25">
      <c r="A2708" s="5" t="s">
        <v>2078</v>
      </c>
      <c r="B2708" s="6" t="s">
        <v>5454</v>
      </c>
      <c r="C2708" s="7">
        <v>27412</v>
      </c>
      <c r="D2708" s="8" t="s">
        <v>5455</v>
      </c>
    </row>
    <row r="2709" spans="1:4" ht="14.25">
      <c r="A2709" s="5">
        <v>18</v>
      </c>
      <c r="B2709" s="6" t="s">
        <v>5456</v>
      </c>
      <c r="C2709" s="7">
        <v>27412</v>
      </c>
      <c r="D2709" s="8" t="s">
        <v>5457</v>
      </c>
    </row>
    <row r="2710" spans="1:4" ht="14.25">
      <c r="A2710" s="5">
        <v>18</v>
      </c>
      <c r="B2710" s="6" t="s">
        <v>5458</v>
      </c>
      <c r="C2710" s="7">
        <v>27412</v>
      </c>
      <c r="D2710" s="8" t="s">
        <v>5459</v>
      </c>
    </row>
    <row r="2711" spans="1:4" ht="14.25">
      <c r="A2711" s="5" t="s">
        <v>2078</v>
      </c>
      <c r="B2711" s="6" t="s">
        <v>5460</v>
      </c>
      <c r="C2711" s="7">
        <v>27413</v>
      </c>
      <c r="D2711" s="8" t="s">
        <v>5461</v>
      </c>
    </row>
    <row r="2712" spans="1:4" ht="14.25">
      <c r="A2712" s="5">
        <v>19</v>
      </c>
      <c r="B2712" s="6" t="s">
        <v>5462</v>
      </c>
      <c r="C2712" s="7">
        <v>27413</v>
      </c>
      <c r="D2712" s="8" t="s">
        <v>5463</v>
      </c>
    </row>
    <row r="2713" spans="1:4" ht="14.25">
      <c r="A2713" s="5">
        <v>19</v>
      </c>
      <c r="B2713" s="6" t="s">
        <v>5464</v>
      </c>
      <c r="C2713" s="7">
        <v>27413</v>
      </c>
      <c r="D2713" s="8" t="s">
        <v>5465</v>
      </c>
    </row>
    <row r="2714" spans="1:4" ht="14.25">
      <c r="A2714" s="5" t="s">
        <v>2078</v>
      </c>
      <c r="B2714" s="6" t="s">
        <v>5466</v>
      </c>
      <c r="C2714" s="7">
        <v>27414</v>
      </c>
      <c r="D2714" s="8" t="s">
        <v>5467</v>
      </c>
    </row>
    <row r="2715" spans="1:4" ht="14.25">
      <c r="A2715" s="5">
        <v>20</v>
      </c>
      <c r="B2715" s="6" t="s">
        <v>5468</v>
      </c>
      <c r="C2715" s="7">
        <v>27414</v>
      </c>
      <c r="D2715" s="8" t="s">
        <v>5469</v>
      </c>
    </row>
    <row r="2716" spans="1:4" ht="14.25">
      <c r="A2716" s="5">
        <v>20</v>
      </c>
      <c r="B2716" s="6" t="s">
        <v>5470</v>
      </c>
      <c r="C2716" s="7">
        <v>27414</v>
      </c>
      <c r="D2716" s="8" t="s">
        <v>5471</v>
      </c>
    </row>
    <row r="2717" spans="1:4" ht="14.25">
      <c r="A2717" s="5" t="s">
        <v>2078</v>
      </c>
      <c r="B2717" s="6" t="s">
        <v>5472</v>
      </c>
      <c r="C2717" s="7">
        <v>27415</v>
      </c>
      <c r="D2717" s="8" t="s">
        <v>5473</v>
      </c>
    </row>
    <row r="2718" spans="1:4" ht="14.25">
      <c r="A2718" s="5">
        <v>21</v>
      </c>
      <c r="B2718" s="6" t="s">
        <v>5474</v>
      </c>
      <c r="C2718" s="7">
        <v>27415</v>
      </c>
      <c r="D2718" s="8" t="s">
        <v>5475</v>
      </c>
    </row>
    <row r="2719" spans="1:4" ht="14.25">
      <c r="A2719" s="5">
        <v>21</v>
      </c>
      <c r="B2719" s="6" t="s">
        <v>5476</v>
      </c>
      <c r="C2719" s="7">
        <v>27415</v>
      </c>
      <c r="D2719" s="8" t="s">
        <v>5477</v>
      </c>
    </row>
    <row r="2720" spans="1:4" ht="14.25">
      <c r="A2720" s="5" t="s">
        <v>2078</v>
      </c>
      <c r="B2720" s="6" t="s">
        <v>5478</v>
      </c>
      <c r="C2720" s="7">
        <v>27416</v>
      </c>
      <c r="D2720" s="8" t="s">
        <v>5479</v>
      </c>
    </row>
    <row r="2721" spans="1:4" ht="14.25">
      <c r="A2721" s="5">
        <v>22</v>
      </c>
      <c r="B2721" s="6" t="s">
        <v>5480</v>
      </c>
      <c r="C2721" s="7">
        <v>27416</v>
      </c>
      <c r="D2721" s="8" t="s">
        <v>5481</v>
      </c>
    </row>
    <row r="2722" spans="1:4" ht="14.25">
      <c r="A2722" s="5">
        <v>22</v>
      </c>
      <c r="B2722" s="6" t="s">
        <v>5482</v>
      </c>
      <c r="C2722" s="7">
        <v>27416</v>
      </c>
      <c r="D2722" s="8" t="s">
        <v>5483</v>
      </c>
    </row>
    <row r="2723" spans="1:4" ht="14.25">
      <c r="A2723" s="5" t="s">
        <v>1148</v>
      </c>
      <c r="B2723" s="6" t="s">
        <v>5484</v>
      </c>
      <c r="C2723" s="7">
        <v>27417</v>
      </c>
      <c r="D2723" s="8" t="s">
        <v>5485</v>
      </c>
    </row>
    <row r="2724" spans="1:4" ht="14.25">
      <c r="A2724" s="5">
        <v>23</v>
      </c>
      <c r="B2724" s="6" t="s">
        <v>5486</v>
      </c>
      <c r="C2724" s="7">
        <v>27417</v>
      </c>
      <c r="D2724" s="8" t="s">
        <v>5487</v>
      </c>
    </row>
    <row r="2725" spans="1:4" ht="14.25">
      <c r="A2725" s="5">
        <v>23</v>
      </c>
      <c r="B2725" s="6" t="s">
        <v>5488</v>
      </c>
      <c r="C2725" s="7">
        <v>27417</v>
      </c>
      <c r="D2725" s="8" t="s">
        <v>5489</v>
      </c>
    </row>
    <row r="2726" spans="1:4" ht="14.25">
      <c r="A2726" s="5" t="s">
        <v>184</v>
      </c>
      <c r="B2726" s="6" t="s">
        <v>5490</v>
      </c>
      <c r="C2726" s="7">
        <v>27419</v>
      </c>
      <c r="D2726" s="8" t="s">
        <v>5491</v>
      </c>
    </row>
    <row r="2727" spans="1:4" ht="14.25">
      <c r="A2727" s="5">
        <v>25</v>
      </c>
      <c r="B2727" s="6" t="s">
        <v>5492</v>
      </c>
      <c r="C2727" s="7">
        <v>27419</v>
      </c>
      <c r="D2727" s="8" t="s">
        <v>5493</v>
      </c>
    </row>
    <row r="2728" spans="1:4" ht="14.25">
      <c r="A2728" s="5">
        <v>25</v>
      </c>
      <c r="B2728" s="6" t="s">
        <v>5494</v>
      </c>
      <c r="C2728" s="7">
        <v>27419</v>
      </c>
      <c r="D2728" s="8" t="s">
        <v>5495</v>
      </c>
    </row>
    <row r="2729" spans="1:4" ht="14.25">
      <c r="A2729" s="5" t="s">
        <v>463</v>
      </c>
      <c r="B2729" s="6" t="s">
        <v>5496</v>
      </c>
      <c r="C2729" s="7">
        <v>27420</v>
      </c>
      <c r="D2729" s="8" t="s">
        <v>5497</v>
      </c>
    </row>
    <row r="2730" spans="1:4" ht="14.25">
      <c r="A2730" s="5">
        <v>26</v>
      </c>
      <c r="B2730" s="6" t="s">
        <v>5498</v>
      </c>
      <c r="C2730" s="7">
        <v>27420</v>
      </c>
      <c r="D2730" s="8" t="s">
        <v>5499</v>
      </c>
    </row>
    <row r="2731" spans="1:4" ht="14.25">
      <c r="A2731" s="5">
        <v>26</v>
      </c>
      <c r="B2731" s="6" t="s">
        <v>5500</v>
      </c>
      <c r="C2731" s="7">
        <v>27420</v>
      </c>
      <c r="D2731" s="8" t="s">
        <v>5501</v>
      </c>
    </row>
    <row r="2732" spans="1:4" ht="14.25">
      <c r="A2732" s="5" t="s">
        <v>1148</v>
      </c>
      <c r="B2732" s="6" t="s">
        <v>5502</v>
      </c>
      <c r="C2732" s="7">
        <v>27421</v>
      </c>
      <c r="D2732" s="8" t="s">
        <v>5503</v>
      </c>
    </row>
    <row r="2733" spans="1:4" ht="14.25">
      <c r="A2733" s="5" t="s">
        <v>463</v>
      </c>
      <c r="B2733" s="6" t="s">
        <v>5504</v>
      </c>
      <c r="C2733" s="7">
        <v>27421</v>
      </c>
      <c r="D2733" s="8" t="s">
        <v>5505</v>
      </c>
    </row>
    <row r="2734" spans="1:4" ht="14.25">
      <c r="A2734" s="5">
        <v>27</v>
      </c>
      <c r="B2734" s="6" t="s">
        <v>5506</v>
      </c>
      <c r="C2734" s="7">
        <v>27421</v>
      </c>
      <c r="D2734" s="8" t="s">
        <v>5507</v>
      </c>
    </row>
    <row r="2735" spans="1:4" ht="14.25">
      <c r="A2735" s="5">
        <v>27</v>
      </c>
      <c r="B2735" s="6" t="s">
        <v>5508</v>
      </c>
      <c r="C2735" s="7">
        <v>27421</v>
      </c>
      <c r="D2735" s="8" t="s">
        <v>5509</v>
      </c>
    </row>
    <row r="2736" spans="1:4" ht="14.25">
      <c r="A2736" s="5">
        <v>27</v>
      </c>
      <c r="B2736" s="6" t="s">
        <v>5510</v>
      </c>
      <c r="C2736" s="7">
        <v>27421</v>
      </c>
      <c r="D2736" s="8" t="s">
        <v>5511</v>
      </c>
    </row>
    <row r="2737" spans="1:4" ht="14.25">
      <c r="A2737" s="5">
        <v>27</v>
      </c>
      <c r="B2737" s="6" t="s">
        <v>5512</v>
      </c>
      <c r="C2737" s="7">
        <v>27421</v>
      </c>
      <c r="D2737" s="8" t="s">
        <v>5513</v>
      </c>
    </row>
    <row r="2738" spans="1:4" ht="14.25">
      <c r="A2738" s="5" t="s">
        <v>1148</v>
      </c>
      <c r="B2738" s="6" t="s">
        <v>5514</v>
      </c>
      <c r="C2738" s="7">
        <v>27422</v>
      </c>
      <c r="D2738" s="8" t="s">
        <v>5515</v>
      </c>
    </row>
    <row r="2739" spans="1:4" ht="14.25">
      <c r="A2739" s="5">
        <v>28</v>
      </c>
      <c r="B2739" s="6" t="s">
        <v>5516</v>
      </c>
      <c r="C2739" s="7">
        <v>27422</v>
      </c>
      <c r="D2739" s="8" t="s">
        <v>5517</v>
      </c>
    </row>
    <row r="2740" spans="1:4" ht="14.25">
      <c r="A2740" s="5">
        <v>28</v>
      </c>
      <c r="B2740" s="6" t="s">
        <v>5518</v>
      </c>
      <c r="C2740" s="7">
        <v>27422</v>
      </c>
      <c r="D2740" s="8" t="s">
        <v>5519</v>
      </c>
    </row>
    <row r="2741" spans="1:4" ht="14.25">
      <c r="A2741" s="5" t="s">
        <v>1148</v>
      </c>
      <c r="B2741" s="6" t="s">
        <v>5520</v>
      </c>
      <c r="C2741" s="7">
        <v>27423</v>
      </c>
      <c r="D2741" s="8" t="s">
        <v>5521</v>
      </c>
    </row>
    <row r="2742" spans="1:4" ht="14.25">
      <c r="A2742" s="5">
        <v>29</v>
      </c>
      <c r="B2742" s="6" t="s">
        <v>5522</v>
      </c>
      <c r="C2742" s="7">
        <v>27423</v>
      </c>
      <c r="D2742" s="8" t="s">
        <v>5523</v>
      </c>
    </row>
    <row r="2743" spans="1:4" ht="14.25">
      <c r="A2743" s="5">
        <v>29</v>
      </c>
      <c r="B2743" s="6" t="s">
        <v>5524</v>
      </c>
      <c r="C2743" s="7">
        <v>27423</v>
      </c>
      <c r="D2743" s="8" t="s">
        <v>5525</v>
      </c>
    </row>
    <row r="2744" spans="1:4" ht="14.25">
      <c r="A2744" s="5" t="s">
        <v>1148</v>
      </c>
      <c r="B2744" s="6" t="s">
        <v>5526</v>
      </c>
      <c r="C2744" s="7">
        <v>27424</v>
      </c>
      <c r="D2744" s="8" t="s">
        <v>5527</v>
      </c>
    </row>
    <row r="2745" spans="1:4" ht="14.25">
      <c r="A2745" s="5">
        <v>30</v>
      </c>
      <c r="B2745" s="6" t="s">
        <v>5528</v>
      </c>
      <c r="C2745" s="7">
        <v>27424</v>
      </c>
      <c r="D2745" s="8" t="s">
        <v>5529</v>
      </c>
    </row>
    <row r="2746" spans="1:4" ht="14.25">
      <c r="A2746" s="5">
        <v>30</v>
      </c>
      <c r="B2746" s="6" t="s">
        <v>5530</v>
      </c>
      <c r="C2746" s="7">
        <v>27424</v>
      </c>
      <c r="D2746" s="8" t="s">
        <v>5531</v>
      </c>
    </row>
    <row r="2747" spans="1:4" ht="14.25">
      <c r="A2747" s="5" t="s">
        <v>1148</v>
      </c>
      <c r="B2747" s="6" t="s">
        <v>5532</v>
      </c>
      <c r="C2747" s="7">
        <v>27425</v>
      </c>
      <c r="D2747" s="8" t="s">
        <v>5533</v>
      </c>
    </row>
    <row r="2748" spans="1:4" ht="14.25">
      <c r="A2748" s="5">
        <v>31</v>
      </c>
      <c r="B2748" s="6" t="s">
        <v>5534</v>
      </c>
      <c r="C2748" s="7">
        <v>27425</v>
      </c>
      <c r="D2748" s="8" t="s">
        <v>5535</v>
      </c>
    </row>
    <row r="2749" spans="1:4" ht="14.25">
      <c r="A2749" s="5">
        <v>31</v>
      </c>
      <c r="B2749" s="6" t="s">
        <v>5536</v>
      </c>
      <c r="C2749" s="7">
        <v>27425</v>
      </c>
      <c r="D2749" s="8" t="s">
        <v>5537</v>
      </c>
    </row>
    <row r="2750" spans="1:4" ht="14.25">
      <c r="A2750" s="5" t="s">
        <v>1148</v>
      </c>
      <c r="B2750" s="6" t="s">
        <v>5538</v>
      </c>
      <c r="C2750" s="7">
        <v>27427</v>
      </c>
      <c r="D2750" s="8" t="s">
        <v>5539</v>
      </c>
    </row>
    <row r="2751" spans="1:4" ht="14.25">
      <c r="A2751" s="5">
        <v>2</v>
      </c>
      <c r="B2751" s="6" t="s">
        <v>5540</v>
      </c>
      <c r="C2751" s="7">
        <v>27427</v>
      </c>
      <c r="D2751" s="8" t="s">
        <v>5541</v>
      </c>
    </row>
    <row r="2752" spans="1:4" ht="14.25">
      <c r="A2752" s="5">
        <v>2</v>
      </c>
      <c r="B2752" s="6" t="s">
        <v>5542</v>
      </c>
      <c r="C2752" s="7">
        <v>27427</v>
      </c>
      <c r="D2752" s="8" t="s">
        <v>5543</v>
      </c>
    </row>
    <row r="2753" spans="1:4" ht="14.25">
      <c r="A2753" s="5" t="s">
        <v>1148</v>
      </c>
      <c r="B2753" s="6" t="s">
        <v>5544</v>
      </c>
      <c r="C2753" s="7">
        <v>27428</v>
      </c>
      <c r="D2753" s="8" t="s">
        <v>5545</v>
      </c>
    </row>
    <row r="2754" spans="1:4" ht="14.25">
      <c r="A2754" s="5" t="s">
        <v>484</v>
      </c>
      <c r="B2754" s="6" t="s">
        <v>5546</v>
      </c>
      <c r="C2754" s="7">
        <v>27428</v>
      </c>
      <c r="D2754" s="8" t="s">
        <v>5547</v>
      </c>
    </row>
    <row r="2755" spans="1:4" ht="14.25">
      <c r="A2755" s="5">
        <v>3</v>
      </c>
      <c r="B2755" s="6" t="s">
        <v>5548</v>
      </c>
      <c r="C2755" s="7">
        <v>27428</v>
      </c>
      <c r="D2755" s="8" t="s">
        <v>5549</v>
      </c>
    </row>
    <row r="2756" spans="1:4" ht="14.25">
      <c r="A2756" s="5">
        <v>3</v>
      </c>
      <c r="B2756" s="6" t="s">
        <v>5550</v>
      </c>
      <c r="C2756" s="7">
        <v>27428</v>
      </c>
      <c r="D2756" s="8" t="s">
        <v>5551</v>
      </c>
    </row>
    <row r="2757" spans="1:4" ht="14.25">
      <c r="A2757" s="5">
        <v>3</v>
      </c>
      <c r="B2757" s="6" t="s">
        <v>5552</v>
      </c>
      <c r="C2757" s="7">
        <v>27428</v>
      </c>
      <c r="D2757" s="8" t="s">
        <v>5553</v>
      </c>
    </row>
    <row r="2758" spans="1:4" ht="14.25">
      <c r="A2758" s="5">
        <v>3</v>
      </c>
      <c r="B2758" s="6" t="s">
        <v>5554</v>
      </c>
      <c r="C2758" s="7">
        <v>27428</v>
      </c>
      <c r="D2758" s="8" t="s">
        <v>5555</v>
      </c>
    </row>
    <row r="2759" spans="1:4" ht="14.25">
      <c r="A2759" s="5" t="s">
        <v>1148</v>
      </c>
      <c r="B2759" s="6" t="s">
        <v>5556</v>
      </c>
      <c r="C2759" s="7">
        <v>27429</v>
      </c>
      <c r="D2759" s="8" t="s">
        <v>5557</v>
      </c>
    </row>
    <row r="2760" spans="1:4" ht="14.25">
      <c r="A2760" s="5">
        <v>4</v>
      </c>
      <c r="B2760" s="6" t="s">
        <v>5558</v>
      </c>
      <c r="C2760" s="7">
        <v>27429</v>
      </c>
      <c r="D2760" s="8" t="s">
        <v>5559</v>
      </c>
    </row>
    <row r="2761" spans="1:4" ht="14.25">
      <c r="A2761" s="5">
        <v>4</v>
      </c>
      <c r="B2761" s="6" t="s">
        <v>5560</v>
      </c>
      <c r="C2761" s="7">
        <v>27429</v>
      </c>
      <c r="D2761" s="8" t="s">
        <v>5561</v>
      </c>
    </row>
    <row r="2762" spans="1:4" ht="14.25">
      <c r="A2762" s="5">
        <v>4</v>
      </c>
      <c r="B2762" s="6" t="s">
        <v>5562</v>
      </c>
      <c r="C2762" s="7">
        <v>27429</v>
      </c>
      <c r="D2762" s="8" t="s">
        <v>5563</v>
      </c>
    </row>
    <row r="2763" spans="1:4" ht="14.25">
      <c r="A2763" s="5" t="s">
        <v>1148</v>
      </c>
      <c r="B2763" s="6" t="s">
        <v>5564</v>
      </c>
      <c r="C2763" s="7">
        <v>27430</v>
      </c>
      <c r="D2763" s="8" t="s">
        <v>5565</v>
      </c>
    </row>
    <row r="2764" spans="1:4" ht="14.25">
      <c r="A2764" s="5">
        <v>5</v>
      </c>
      <c r="B2764" s="6" t="s">
        <v>5566</v>
      </c>
      <c r="C2764" s="7">
        <v>27430</v>
      </c>
      <c r="D2764" s="8" t="s">
        <v>5567</v>
      </c>
    </row>
    <row r="2765" spans="1:4" ht="14.25">
      <c r="A2765" s="5">
        <v>5</v>
      </c>
      <c r="B2765" s="6" t="s">
        <v>5568</v>
      </c>
      <c r="C2765" s="7">
        <v>27430</v>
      </c>
      <c r="D2765" s="8" t="s">
        <v>5569</v>
      </c>
    </row>
    <row r="2766" spans="1:4" ht="14.25">
      <c r="A2766" s="5" t="s">
        <v>1148</v>
      </c>
      <c r="B2766" s="6" t="s">
        <v>5570</v>
      </c>
      <c r="C2766" s="7">
        <v>27431</v>
      </c>
      <c r="D2766" s="8" t="s">
        <v>5571</v>
      </c>
    </row>
    <row r="2767" spans="1:4" ht="14.25">
      <c r="A2767" s="5">
        <v>6</v>
      </c>
      <c r="B2767" s="6" t="s">
        <v>5572</v>
      </c>
      <c r="C2767" s="7">
        <v>27431</v>
      </c>
      <c r="D2767" s="8" t="s">
        <v>5573</v>
      </c>
    </row>
    <row r="2768" spans="1:4" ht="14.25">
      <c r="A2768" s="5">
        <v>6</v>
      </c>
      <c r="B2768" s="6" t="s">
        <v>5574</v>
      </c>
      <c r="C2768" s="7">
        <v>27431</v>
      </c>
      <c r="D2768" s="8" t="s">
        <v>5575</v>
      </c>
    </row>
    <row r="2769" spans="1:4" ht="14.25">
      <c r="A2769" s="5" t="s">
        <v>1148</v>
      </c>
      <c r="B2769" s="6" t="s">
        <v>5576</v>
      </c>
      <c r="C2769" s="7">
        <v>27432</v>
      </c>
      <c r="D2769" s="8" t="s">
        <v>5577</v>
      </c>
    </row>
    <row r="2770" spans="1:4" ht="14.25">
      <c r="A2770" s="5">
        <v>7</v>
      </c>
      <c r="B2770" s="6" t="s">
        <v>5578</v>
      </c>
      <c r="C2770" s="7">
        <v>27432</v>
      </c>
      <c r="D2770" s="8" t="s">
        <v>5579</v>
      </c>
    </row>
    <row r="2771" spans="1:4" ht="14.25">
      <c r="A2771" s="5">
        <v>7</v>
      </c>
      <c r="B2771" s="6" t="s">
        <v>5580</v>
      </c>
      <c r="C2771" s="7">
        <v>27432</v>
      </c>
      <c r="D2771" s="8" t="s">
        <v>5581</v>
      </c>
    </row>
    <row r="2772" spans="1:4" ht="14.25">
      <c r="A2772" s="5" t="s">
        <v>1148</v>
      </c>
      <c r="B2772" s="6" t="s">
        <v>5582</v>
      </c>
      <c r="C2772" s="7">
        <v>27433</v>
      </c>
      <c r="D2772" s="8" t="s">
        <v>5583</v>
      </c>
    </row>
    <row r="2773" spans="1:4" ht="14.25">
      <c r="A2773" s="5" t="s">
        <v>1148</v>
      </c>
      <c r="B2773" s="6" t="s">
        <v>5584</v>
      </c>
      <c r="C2773" s="7">
        <v>27433</v>
      </c>
      <c r="D2773" s="8" t="s">
        <v>5585</v>
      </c>
    </row>
    <row r="2774" spans="1:4" ht="14.25">
      <c r="A2774" s="5">
        <v>8</v>
      </c>
      <c r="B2774" s="6" t="s">
        <v>5586</v>
      </c>
      <c r="C2774" s="7">
        <v>27433</v>
      </c>
      <c r="D2774" s="8" t="s">
        <v>5587</v>
      </c>
    </row>
    <row r="2775" spans="1:4" ht="14.25">
      <c r="A2775" s="5">
        <v>8</v>
      </c>
      <c r="B2775" s="6" t="s">
        <v>5588</v>
      </c>
      <c r="C2775" s="7">
        <v>27433</v>
      </c>
      <c r="D2775" s="8" t="s">
        <v>5589</v>
      </c>
    </row>
    <row r="2776" spans="1:4" ht="14.25">
      <c r="A2776" s="5" t="s">
        <v>863</v>
      </c>
      <c r="B2776" s="6" t="s">
        <v>5590</v>
      </c>
      <c r="C2776" s="7">
        <v>27434</v>
      </c>
      <c r="D2776" s="8" t="s">
        <v>5591</v>
      </c>
    </row>
    <row r="2777" spans="1:4" ht="14.25">
      <c r="A2777" s="5">
        <v>9</v>
      </c>
      <c r="B2777" s="6" t="s">
        <v>5592</v>
      </c>
      <c r="C2777" s="7">
        <v>27434</v>
      </c>
      <c r="D2777" s="8" t="s">
        <v>5593</v>
      </c>
    </row>
    <row r="2778" spans="1:4" ht="14.25">
      <c r="A2778" s="5">
        <v>9</v>
      </c>
      <c r="B2778" s="6" t="s">
        <v>5594</v>
      </c>
      <c r="C2778" s="7">
        <v>27434</v>
      </c>
      <c r="D2778" s="8" t="s">
        <v>5595</v>
      </c>
    </row>
    <row r="2779" spans="1:4" ht="14.25">
      <c r="A2779" s="5" t="s">
        <v>484</v>
      </c>
      <c r="B2779" s="6" t="s">
        <v>5596</v>
      </c>
      <c r="C2779" s="7">
        <v>27435</v>
      </c>
      <c r="D2779" s="8" t="s">
        <v>5597</v>
      </c>
    </row>
    <row r="2780" spans="1:4" ht="14.25">
      <c r="A2780" s="5" t="s">
        <v>597</v>
      </c>
      <c r="B2780" s="6" t="s">
        <v>5598</v>
      </c>
      <c r="C2780" s="7">
        <v>27435</v>
      </c>
      <c r="D2780" s="8" t="s">
        <v>5599</v>
      </c>
    </row>
    <row r="2781" spans="1:4" ht="14.25">
      <c r="A2781" s="5">
        <v>10</v>
      </c>
      <c r="B2781" s="6" t="s">
        <v>5600</v>
      </c>
      <c r="C2781" s="7">
        <v>27435</v>
      </c>
      <c r="D2781" s="8" t="s">
        <v>5601</v>
      </c>
    </row>
    <row r="2782" spans="1:4" ht="14.25">
      <c r="A2782" s="5">
        <v>10</v>
      </c>
      <c r="B2782" s="6" t="s">
        <v>5602</v>
      </c>
      <c r="C2782" s="7">
        <v>27435</v>
      </c>
      <c r="D2782" s="8" t="s">
        <v>5603</v>
      </c>
    </row>
    <row r="2783" spans="1:4" ht="14.25">
      <c r="A2783" s="5">
        <v>10</v>
      </c>
      <c r="B2783" s="6" t="s">
        <v>5604</v>
      </c>
      <c r="C2783" s="7">
        <v>27435</v>
      </c>
      <c r="D2783" s="8" t="s">
        <v>5605</v>
      </c>
    </row>
    <row r="2784" spans="1:4" ht="14.25">
      <c r="A2784" s="5" t="s">
        <v>863</v>
      </c>
      <c r="B2784" s="6" t="s">
        <v>5606</v>
      </c>
      <c r="C2784" s="7">
        <v>27436</v>
      </c>
      <c r="D2784" s="8" t="s">
        <v>5607</v>
      </c>
    </row>
    <row r="2785" spans="1:4" ht="14.25">
      <c r="A2785" s="5" t="s">
        <v>18</v>
      </c>
      <c r="B2785" s="6" t="s">
        <v>5608</v>
      </c>
      <c r="C2785" s="7">
        <v>27436</v>
      </c>
      <c r="D2785" s="8" t="s">
        <v>5609</v>
      </c>
    </row>
    <row r="2786" spans="1:4" ht="14.25">
      <c r="A2786" s="5">
        <v>11</v>
      </c>
      <c r="B2786" s="6" t="s">
        <v>5610</v>
      </c>
      <c r="C2786" s="7">
        <v>27436</v>
      </c>
      <c r="D2786" s="8" t="s">
        <v>5611</v>
      </c>
    </row>
    <row r="2787" spans="1:4" ht="14.25">
      <c r="A2787" s="5">
        <v>11</v>
      </c>
      <c r="B2787" s="6" t="s">
        <v>5612</v>
      </c>
      <c r="C2787" s="7">
        <v>27436</v>
      </c>
      <c r="D2787" s="8" t="s">
        <v>5613</v>
      </c>
    </row>
    <row r="2788" spans="1:4" ht="14.25">
      <c r="A2788" s="5">
        <v>11</v>
      </c>
      <c r="B2788" s="6" t="s">
        <v>5614</v>
      </c>
      <c r="C2788" s="7">
        <v>27436</v>
      </c>
      <c r="D2788" s="8" t="s">
        <v>5615</v>
      </c>
    </row>
    <row r="2789" spans="1:4" ht="14.25">
      <c r="A2789" s="5">
        <v>11</v>
      </c>
      <c r="B2789" s="6" t="s">
        <v>5616</v>
      </c>
      <c r="C2789" s="7">
        <v>27436</v>
      </c>
      <c r="D2789" s="8" t="s">
        <v>5617</v>
      </c>
    </row>
    <row r="2790" spans="1:4" ht="14.25">
      <c r="A2790" s="5" t="s">
        <v>18</v>
      </c>
      <c r="B2790" s="6" t="s">
        <v>5618</v>
      </c>
      <c r="C2790" s="7">
        <v>27437</v>
      </c>
      <c r="D2790" s="8" t="s">
        <v>5619</v>
      </c>
    </row>
    <row r="2791" spans="1:4" ht="14.25">
      <c r="A2791" s="5" t="s">
        <v>463</v>
      </c>
      <c r="B2791" s="6" t="s">
        <v>5620</v>
      </c>
      <c r="C2791" s="7">
        <v>27437</v>
      </c>
      <c r="D2791" s="8" t="s">
        <v>5621</v>
      </c>
    </row>
    <row r="2792" spans="1:4" ht="14.25">
      <c r="A2792" s="5">
        <v>12</v>
      </c>
      <c r="B2792" s="6" t="s">
        <v>5622</v>
      </c>
      <c r="C2792" s="7">
        <v>27437</v>
      </c>
      <c r="D2792" s="8" t="s">
        <v>5623</v>
      </c>
    </row>
    <row r="2793" spans="1:4" ht="14.25">
      <c r="A2793" s="5">
        <v>12</v>
      </c>
      <c r="B2793" s="6" t="s">
        <v>5624</v>
      </c>
      <c r="C2793" s="7">
        <v>27437</v>
      </c>
      <c r="D2793" s="8" t="s">
        <v>5625</v>
      </c>
    </row>
    <row r="2794" spans="1:4" ht="14.25">
      <c r="A2794" s="5">
        <v>12</v>
      </c>
      <c r="B2794" s="6" t="s">
        <v>5626</v>
      </c>
      <c r="C2794" s="7">
        <v>27437</v>
      </c>
      <c r="D2794" s="8" t="s">
        <v>5627</v>
      </c>
    </row>
    <row r="2795" spans="1:4" ht="14.25">
      <c r="A2795" s="5">
        <v>12</v>
      </c>
      <c r="B2795" s="6" t="s">
        <v>5628</v>
      </c>
      <c r="C2795" s="7">
        <v>27437</v>
      </c>
      <c r="D2795" s="8" t="s">
        <v>5629</v>
      </c>
    </row>
    <row r="2796" spans="1:4" ht="14.25">
      <c r="A2796" s="5" t="s">
        <v>463</v>
      </c>
      <c r="B2796" s="6" t="s">
        <v>5630</v>
      </c>
      <c r="C2796" s="7">
        <v>27438</v>
      </c>
      <c r="D2796" s="8" t="s">
        <v>5631</v>
      </c>
    </row>
    <row r="2797" spans="1:4" ht="14.25">
      <c r="A2797" s="5">
        <v>13</v>
      </c>
      <c r="B2797" s="6" t="s">
        <v>5632</v>
      </c>
      <c r="C2797" s="7">
        <v>27438</v>
      </c>
      <c r="D2797" s="8" t="s">
        <v>5633</v>
      </c>
    </row>
    <row r="2798" spans="1:4" ht="14.25">
      <c r="A2798" s="5">
        <v>13</v>
      </c>
      <c r="B2798" s="6" t="s">
        <v>5634</v>
      </c>
      <c r="C2798" s="7">
        <v>27438</v>
      </c>
      <c r="D2798" s="8" t="s">
        <v>5635</v>
      </c>
    </row>
    <row r="2799" spans="1:4" ht="14.25">
      <c r="A2799" s="5" t="s">
        <v>18</v>
      </c>
      <c r="B2799" s="6" t="s">
        <v>5636</v>
      </c>
      <c r="C2799" s="7">
        <v>27439</v>
      </c>
      <c r="D2799" s="8" t="s">
        <v>5637</v>
      </c>
    </row>
    <row r="2800" spans="1:4" ht="14.25">
      <c r="A2800" s="5" t="s">
        <v>167</v>
      </c>
      <c r="B2800" s="6" t="s">
        <v>5638</v>
      </c>
      <c r="C2800" s="7">
        <v>27439</v>
      </c>
      <c r="D2800" s="8" t="s">
        <v>5639</v>
      </c>
    </row>
    <row r="2801" spans="1:4" ht="14.25">
      <c r="A2801" s="5">
        <v>14</v>
      </c>
      <c r="B2801" s="6" t="s">
        <v>5640</v>
      </c>
      <c r="C2801" s="7">
        <v>27439</v>
      </c>
      <c r="D2801" s="8" t="s">
        <v>5641</v>
      </c>
    </row>
    <row r="2802" spans="1:4" ht="14.25">
      <c r="A2802" s="5">
        <v>14</v>
      </c>
      <c r="B2802" s="6" t="s">
        <v>5642</v>
      </c>
      <c r="C2802" s="7">
        <v>27439</v>
      </c>
      <c r="D2802" s="8" t="s">
        <v>5643</v>
      </c>
    </row>
    <row r="2803" spans="1:4" ht="14.25">
      <c r="A2803" s="5">
        <v>14</v>
      </c>
      <c r="B2803" s="6" t="s">
        <v>5644</v>
      </c>
      <c r="C2803" s="7">
        <v>27439</v>
      </c>
      <c r="D2803" s="8" t="s">
        <v>5645</v>
      </c>
    </row>
    <row r="2804" spans="1:4" ht="14.25">
      <c r="A2804" s="5" t="s">
        <v>18</v>
      </c>
      <c r="B2804" s="6" t="s">
        <v>5646</v>
      </c>
      <c r="C2804" s="7">
        <v>27440</v>
      </c>
      <c r="D2804" s="8" t="s">
        <v>5647</v>
      </c>
    </row>
    <row r="2805" spans="1:4" ht="14.25">
      <c r="A2805" s="5" t="s">
        <v>463</v>
      </c>
      <c r="B2805" s="6" t="s">
        <v>5648</v>
      </c>
      <c r="C2805" s="7">
        <v>27440</v>
      </c>
      <c r="D2805" s="8" t="s">
        <v>5649</v>
      </c>
    </row>
    <row r="2806" spans="1:4" ht="14.25">
      <c r="A2806" s="5">
        <v>15</v>
      </c>
      <c r="B2806" s="6" t="s">
        <v>5650</v>
      </c>
      <c r="C2806" s="7">
        <v>27440</v>
      </c>
      <c r="D2806" s="8" t="s">
        <v>5651</v>
      </c>
    </row>
    <row r="2807" spans="1:4" ht="14.25">
      <c r="A2807" s="5">
        <v>15</v>
      </c>
      <c r="B2807" s="6" t="s">
        <v>5652</v>
      </c>
      <c r="C2807" s="7">
        <v>27440</v>
      </c>
      <c r="D2807" s="8" t="s">
        <v>5653</v>
      </c>
    </row>
    <row r="2808" spans="1:4" ht="14.25">
      <c r="A2808" s="5">
        <v>15</v>
      </c>
      <c r="B2808" s="6" t="s">
        <v>5654</v>
      </c>
      <c r="C2808" s="7">
        <v>27440</v>
      </c>
      <c r="D2808" s="8" t="s">
        <v>5655</v>
      </c>
    </row>
    <row r="2809" spans="1:4" ht="14.25">
      <c r="A2809" s="5">
        <v>15</v>
      </c>
      <c r="B2809" s="6" t="s">
        <v>5656</v>
      </c>
      <c r="C2809" s="7">
        <v>27440</v>
      </c>
      <c r="D2809" s="8" t="s">
        <v>5657</v>
      </c>
    </row>
    <row r="2810" spans="1:4" ht="14.25">
      <c r="A2810" s="5" t="s">
        <v>18</v>
      </c>
      <c r="B2810" s="6" t="s">
        <v>5658</v>
      </c>
      <c r="C2810" s="7">
        <v>27441</v>
      </c>
      <c r="D2810" s="8" t="s">
        <v>5659</v>
      </c>
    </row>
    <row r="2811" spans="1:4" ht="14.25">
      <c r="A2811" s="5">
        <v>16</v>
      </c>
      <c r="B2811" s="6" t="s">
        <v>5660</v>
      </c>
      <c r="C2811" s="7">
        <v>27441</v>
      </c>
      <c r="D2811" s="8" t="s">
        <v>5661</v>
      </c>
    </row>
    <row r="2812" spans="1:4" ht="14.25">
      <c r="A2812" s="5">
        <v>16</v>
      </c>
      <c r="B2812" s="6" t="s">
        <v>5662</v>
      </c>
      <c r="C2812" s="7">
        <v>27441</v>
      </c>
      <c r="D2812" s="8" t="s">
        <v>5663</v>
      </c>
    </row>
    <row r="2813" spans="1:4" ht="14.25">
      <c r="A2813" s="5" t="s">
        <v>18</v>
      </c>
      <c r="B2813" s="6" t="s">
        <v>5664</v>
      </c>
      <c r="C2813" s="7">
        <v>27442</v>
      </c>
      <c r="D2813" s="8" t="s">
        <v>5665</v>
      </c>
    </row>
    <row r="2814" spans="1:4" ht="14.25">
      <c r="A2814" s="5">
        <v>17</v>
      </c>
      <c r="B2814" s="6" t="s">
        <v>5666</v>
      </c>
      <c r="C2814" s="7">
        <v>27442</v>
      </c>
      <c r="D2814" s="8" t="s">
        <v>5667</v>
      </c>
    </row>
    <row r="2815" spans="1:4" ht="14.25">
      <c r="A2815" s="5">
        <v>17</v>
      </c>
      <c r="B2815" s="6" t="s">
        <v>5668</v>
      </c>
      <c r="C2815" s="7">
        <v>27442</v>
      </c>
      <c r="D2815" s="8" t="s">
        <v>5669</v>
      </c>
    </row>
    <row r="2816" spans="1:4" ht="14.25">
      <c r="A2816" s="5" t="s">
        <v>4614</v>
      </c>
      <c r="B2816" s="6" t="s">
        <v>5670</v>
      </c>
      <c r="C2816" s="7">
        <v>27443</v>
      </c>
      <c r="D2816" s="8" t="s">
        <v>5671</v>
      </c>
    </row>
    <row r="2817" spans="1:4" ht="14.25">
      <c r="A2817" s="5">
        <v>18</v>
      </c>
      <c r="B2817" s="6" t="s">
        <v>5672</v>
      </c>
      <c r="C2817" s="7">
        <v>27443</v>
      </c>
      <c r="D2817" s="8" t="s">
        <v>5673</v>
      </c>
    </row>
    <row r="2818" spans="1:4" ht="14.25">
      <c r="A2818" s="5" t="s">
        <v>463</v>
      </c>
      <c r="B2818" s="6" t="s">
        <v>5674</v>
      </c>
      <c r="C2818" s="7">
        <v>27444</v>
      </c>
      <c r="D2818" s="8" t="s">
        <v>5675</v>
      </c>
    </row>
    <row r="2819" spans="1:4" ht="14.25">
      <c r="A2819" s="5" t="s">
        <v>463</v>
      </c>
      <c r="B2819" s="6" t="s">
        <v>5676</v>
      </c>
      <c r="C2819" s="7">
        <v>27444</v>
      </c>
      <c r="D2819" s="8" t="s">
        <v>5677</v>
      </c>
    </row>
    <row r="2820" spans="1:4" ht="14.25">
      <c r="A2820" s="5">
        <v>19</v>
      </c>
      <c r="B2820" s="6" t="s">
        <v>5678</v>
      </c>
      <c r="C2820" s="7">
        <v>27444</v>
      </c>
      <c r="D2820" s="8" t="s">
        <v>5679</v>
      </c>
    </row>
    <row r="2821" spans="1:4" ht="14.25">
      <c r="A2821" s="5">
        <v>19</v>
      </c>
      <c r="B2821" s="6" t="s">
        <v>5680</v>
      </c>
      <c r="C2821" s="7">
        <v>27444</v>
      </c>
      <c r="D2821" s="8" t="s">
        <v>5681</v>
      </c>
    </row>
    <row r="2822" spans="1:4" ht="14.25">
      <c r="A2822" s="5">
        <v>19</v>
      </c>
      <c r="B2822" s="6" t="s">
        <v>5682</v>
      </c>
      <c r="C2822" s="7">
        <v>27444</v>
      </c>
      <c r="D2822" s="8" t="s">
        <v>5683</v>
      </c>
    </row>
    <row r="2823" spans="1:4" ht="14.25">
      <c r="A2823" s="5" t="s">
        <v>42</v>
      </c>
      <c r="B2823" s="6" t="s">
        <v>5684</v>
      </c>
      <c r="C2823" s="7">
        <v>27445</v>
      </c>
      <c r="D2823" s="8" t="s">
        <v>5685</v>
      </c>
    </row>
    <row r="2824" spans="1:4" ht="14.25">
      <c r="A2824" s="5">
        <v>20</v>
      </c>
      <c r="B2824" s="6" t="s">
        <v>5686</v>
      </c>
      <c r="C2824" s="7">
        <v>27445</v>
      </c>
      <c r="D2824" s="8" t="s">
        <v>5687</v>
      </c>
    </row>
    <row r="2825" spans="1:4" ht="14.25">
      <c r="A2825" s="5">
        <v>20</v>
      </c>
      <c r="B2825" s="6" t="s">
        <v>5688</v>
      </c>
      <c r="C2825" s="7">
        <v>27445</v>
      </c>
      <c r="D2825" s="8" t="s">
        <v>5689</v>
      </c>
    </row>
    <row r="2826" spans="1:4" ht="14.25">
      <c r="A2826" s="5" t="s">
        <v>484</v>
      </c>
      <c r="B2826" s="6" t="s">
        <v>5690</v>
      </c>
      <c r="C2826" s="7">
        <v>27446</v>
      </c>
      <c r="D2826" s="8" t="s">
        <v>5691</v>
      </c>
    </row>
    <row r="2827" spans="1:4" ht="14.25">
      <c r="A2827" s="5" t="s">
        <v>463</v>
      </c>
      <c r="B2827" s="6" t="s">
        <v>5692</v>
      </c>
      <c r="C2827" s="7">
        <v>27446</v>
      </c>
      <c r="D2827" s="8" t="s">
        <v>5693</v>
      </c>
    </row>
    <row r="2828" spans="1:4" ht="14.25">
      <c r="A2828" s="5" t="s">
        <v>42</v>
      </c>
      <c r="B2828" s="6" t="s">
        <v>5694</v>
      </c>
      <c r="C2828" s="7">
        <v>27446</v>
      </c>
      <c r="D2828" s="8" t="s">
        <v>5695</v>
      </c>
    </row>
    <row r="2829" spans="1:4" ht="14.25">
      <c r="A2829" s="5">
        <v>21</v>
      </c>
      <c r="B2829" s="6" t="s">
        <v>5696</v>
      </c>
      <c r="C2829" s="7">
        <v>27446</v>
      </c>
      <c r="D2829" s="8" t="s">
        <v>5697</v>
      </c>
    </row>
    <row r="2830" spans="1:4" ht="14.25">
      <c r="A2830" s="5">
        <v>21</v>
      </c>
      <c r="B2830" s="6" t="s">
        <v>5698</v>
      </c>
      <c r="C2830" s="7">
        <v>27446</v>
      </c>
      <c r="D2830" s="8" t="s">
        <v>5699</v>
      </c>
    </row>
    <row r="2831" spans="1:4" ht="14.25">
      <c r="A2831" s="5">
        <v>21</v>
      </c>
      <c r="B2831" s="6" t="s">
        <v>5700</v>
      </c>
      <c r="C2831" s="7">
        <v>27446</v>
      </c>
      <c r="D2831" s="8" t="s">
        <v>5701</v>
      </c>
    </row>
    <row r="2832" spans="1:4" ht="14.25">
      <c r="A2832" s="5">
        <v>21</v>
      </c>
      <c r="B2832" s="6" t="s">
        <v>5702</v>
      </c>
      <c r="C2832" s="7">
        <v>27446</v>
      </c>
      <c r="D2832" s="8" t="s">
        <v>5703</v>
      </c>
    </row>
    <row r="2833" spans="1:4" ht="14.25">
      <c r="A2833" s="5">
        <v>21</v>
      </c>
      <c r="B2833" s="6" t="s">
        <v>5704</v>
      </c>
      <c r="C2833" s="7">
        <v>27446</v>
      </c>
      <c r="D2833" s="8" t="s">
        <v>5705</v>
      </c>
    </row>
    <row r="2834" spans="1:4" ht="14.25">
      <c r="A2834" s="5">
        <v>21</v>
      </c>
      <c r="B2834" s="6" t="s">
        <v>5706</v>
      </c>
      <c r="C2834" s="7">
        <v>27446</v>
      </c>
      <c r="D2834" s="8" t="s">
        <v>5707</v>
      </c>
    </row>
    <row r="2835" spans="1:4" ht="14.25">
      <c r="A2835" s="5" t="s">
        <v>463</v>
      </c>
      <c r="B2835" s="6" t="s">
        <v>5708</v>
      </c>
      <c r="C2835" s="7">
        <v>27447</v>
      </c>
      <c r="D2835" s="8" t="s">
        <v>5709</v>
      </c>
    </row>
    <row r="2836" spans="1:4" ht="14.25">
      <c r="A2836" s="5" t="s">
        <v>167</v>
      </c>
      <c r="B2836" s="6" t="s">
        <v>5710</v>
      </c>
      <c r="C2836" s="7">
        <v>27447</v>
      </c>
      <c r="D2836" s="8" t="s">
        <v>5711</v>
      </c>
    </row>
    <row r="2837" spans="1:4" ht="14.25">
      <c r="A2837" s="5">
        <v>22</v>
      </c>
      <c r="B2837" s="6" t="s">
        <v>5712</v>
      </c>
      <c r="C2837" s="7">
        <v>27447</v>
      </c>
      <c r="D2837" s="8" t="s">
        <v>5713</v>
      </c>
    </row>
    <row r="2838" spans="1:4" ht="14.25">
      <c r="A2838" s="5">
        <v>22</v>
      </c>
      <c r="B2838" s="6" t="s">
        <v>5714</v>
      </c>
      <c r="C2838" s="7">
        <v>27447</v>
      </c>
      <c r="D2838" s="8" t="s">
        <v>5715</v>
      </c>
    </row>
    <row r="2839" spans="1:4" ht="14.25">
      <c r="A2839" s="5">
        <v>22</v>
      </c>
      <c r="B2839" s="6" t="s">
        <v>5716</v>
      </c>
      <c r="C2839" s="7">
        <v>27447</v>
      </c>
      <c r="D2839" s="8" t="s">
        <v>5717</v>
      </c>
    </row>
    <row r="2840" spans="1:4" ht="14.25">
      <c r="A2840" s="5">
        <v>22</v>
      </c>
      <c r="B2840" s="6" t="s">
        <v>5718</v>
      </c>
      <c r="C2840" s="7">
        <v>27447</v>
      </c>
      <c r="D2840" s="8" t="s">
        <v>5719</v>
      </c>
    </row>
    <row r="2841" spans="1:4" ht="14.25">
      <c r="A2841" s="5" t="s">
        <v>5</v>
      </c>
      <c r="B2841" s="6" t="s">
        <v>5720</v>
      </c>
      <c r="C2841" s="7">
        <v>27447</v>
      </c>
      <c r="D2841" s="8" t="s">
        <v>5721</v>
      </c>
    </row>
    <row r="2842" spans="1:4" ht="14.25">
      <c r="A2842" s="5" t="s">
        <v>42</v>
      </c>
      <c r="B2842" s="6" t="s">
        <v>5722</v>
      </c>
      <c r="C2842" s="7">
        <v>27448</v>
      </c>
      <c r="D2842" s="8" t="s">
        <v>5723</v>
      </c>
    </row>
    <row r="2843" spans="1:4" ht="14.25">
      <c r="A2843" s="5">
        <v>23</v>
      </c>
      <c r="B2843" s="6" t="s">
        <v>5724</v>
      </c>
      <c r="C2843" s="7">
        <v>27448</v>
      </c>
      <c r="D2843" s="8" t="s">
        <v>5725</v>
      </c>
    </row>
    <row r="2844" spans="1:4" ht="14.25">
      <c r="A2844" s="5">
        <v>23</v>
      </c>
      <c r="B2844" s="6" t="s">
        <v>5726</v>
      </c>
      <c r="C2844" s="7">
        <v>27448</v>
      </c>
      <c r="D2844" s="8" t="s">
        <v>5727</v>
      </c>
    </row>
    <row r="2845" spans="1:4" ht="14.25">
      <c r="A2845" s="5">
        <v>23</v>
      </c>
      <c r="B2845" s="6" t="s">
        <v>5728</v>
      </c>
      <c r="C2845" s="7">
        <v>27448</v>
      </c>
      <c r="D2845" s="8" t="s">
        <v>5729</v>
      </c>
    </row>
    <row r="2846" spans="1:4" ht="14.25">
      <c r="A2846" s="5" t="s">
        <v>42</v>
      </c>
      <c r="B2846" s="6" t="s">
        <v>5730</v>
      </c>
      <c r="C2846" s="7">
        <v>27449</v>
      </c>
      <c r="D2846" s="8" t="s">
        <v>5731</v>
      </c>
    </row>
    <row r="2847" spans="1:4" ht="14.25">
      <c r="A2847" s="5">
        <v>24</v>
      </c>
      <c r="B2847" s="6" t="s">
        <v>5732</v>
      </c>
      <c r="C2847" s="7">
        <v>27449</v>
      </c>
      <c r="D2847" s="8" t="s">
        <v>5733</v>
      </c>
    </row>
    <row r="2848" spans="1:4" ht="14.25">
      <c r="A2848" s="5">
        <v>24</v>
      </c>
      <c r="B2848" s="6" t="s">
        <v>5734</v>
      </c>
      <c r="C2848" s="7">
        <v>27449</v>
      </c>
      <c r="D2848" s="8" t="s">
        <v>5735</v>
      </c>
    </row>
    <row r="2849" spans="1:4" ht="14.25">
      <c r="A2849" s="5" t="s">
        <v>863</v>
      </c>
      <c r="B2849" s="6" t="s">
        <v>5736</v>
      </c>
      <c r="C2849" s="7">
        <v>27450</v>
      </c>
      <c r="D2849" s="8" t="s">
        <v>5737</v>
      </c>
    </row>
    <row r="2850" spans="1:4" ht="14.25">
      <c r="A2850" s="5" t="s">
        <v>1786</v>
      </c>
      <c r="B2850" s="6" t="s">
        <v>5738</v>
      </c>
      <c r="C2850" s="7">
        <v>27450</v>
      </c>
      <c r="D2850" s="8" t="s">
        <v>5739</v>
      </c>
    </row>
    <row r="2851" spans="1:4" ht="14.25">
      <c r="A2851" s="5" t="s">
        <v>1786</v>
      </c>
      <c r="B2851" s="6" t="s">
        <v>5740</v>
      </c>
      <c r="C2851" s="7">
        <v>27450</v>
      </c>
      <c r="D2851" s="8" t="s">
        <v>5741</v>
      </c>
    </row>
    <row r="2852" spans="1:4" ht="14.25">
      <c r="A2852" s="5" t="s">
        <v>4614</v>
      </c>
      <c r="B2852" s="6" t="s">
        <v>5742</v>
      </c>
      <c r="C2852" s="7">
        <v>27450</v>
      </c>
      <c r="D2852" s="8" t="s">
        <v>5743</v>
      </c>
    </row>
    <row r="2853" spans="1:4" ht="14.25">
      <c r="A2853" s="5">
        <v>25</v>
      </c>
      <c r="B2853" s="6" t="s">
        <v>5744</v>
      </c>
      <c r="C2853" s="7">
        <v>27450</v>
      </c>
      <c r="D2853" s="8" t="s">
        <v>5745</v>
      </c>
    </row>
    <row r="2854" spans="1:4" ht="14.25">
      <c r="A2854" s="5">
        <v>25</v>
      </c>
      <c r="B2854" s="6" t="s">
        <v>5746</v>
      </c>
      <c r="C2854" s="7">
        <v>27450</v>
      </c>
      <c r="D2854" s="8" t="s">
        <v>5747</v>
      </c>
    </row>
    <row r="2855" spans="1:4" ht="14.25">
      <c r="A2855" s="5">
        <v>25</v>
      </c>
      <c r="B2855" s="6" t="s">
        <v>5748</v>
      </c>
      <c r="C2855" s="7">
        <v>27450</v>
      </c>
      <c r="D2855" s="8" t="s">
        <v>5749</v>
      </c>
    </row>
    <row r="2856" spans="1:4" ht="14.25">
      <c r="A2856" s="5">
        <v>25</v>
      </c>
      <c r="B2856" s="6" t="s">
        <v>5750</v>
      </c>
      <c r="C2856" s="7">
        <v>27450</v>
      </c>
      <c r="D2856" s="8" t="s">
        <v>5751</v>
      </c>
    </row>
    <row r="2857" spans="1:4" ht="14.25">
      <c r="A2857" s="5">
        <v>25</v>
      </c>
      <c r="B2857" s="6" t="s">
        <v>5752</v>
      </c>
      <c r="C2857" s="7">
        <v>27450</v>
      </c>
      <c r="D2857" s="8" t="s">
        <v>5753</v>
      </c>
    </row>
    <row r="2858" spans="1:4" ht="14.25">
      <c r="A2858" s="5" t="s">
        <v>1786</v>
      </c>
      <c r="B2858" s="6" t="s">
        <v>5754</v>
      </c>
      <c r="C2858" s="7">
        <v>27451</v>
      </c>
      <c r="D2858" s="8" t="s">
        <v>5755</v>
      </c>
    </row>
    <row r="2859" spans="1:4" ht="14.25">
      <c r="A2859" s="5">
        <v>26</v>
      </c>
      <c r="B2859" s="6" t="s">
        <v>5756</v>
      </c>
      <c r="C2859" s="7">
        <v>27451</v>
      </c>
      <c r="D2859" s="8" t="s">
        <v>5757</v>
      </c>
    </row>
    <row r="2860" spans="1:4" ht="14.25">
      <c r="A2860" s="5">
        <v>26</v>
      </c>
      <c r="B2860" s="6" t="s">
        <v>5758</v>
      </c>
      <c r="C2860" s="7">
        <v>27451</v>
      </c>
      <c r="D2860" s="8" t="s">
        <v>5759</v>
      </c>
    </row>
    <row r="2861" spans="1:4" ht="14.25">
      <c r="A2861" s="5" t="s">
        <v>1786</v>
      </c>
      <c r="B2861" s="6" t="s">
        <v>5760</v>
      </c>
      <c r="C2861" s="7">
        <v>27452</v>
      </c>
      <c r="D2861" s="8" t="s">
        <v>5761</v>
      </c>
    </row>
    <row r="2862" spans="1:4" ht="14.25">
      <c r="A2862" s="5">
        <v>27</v>
      </c>
      <c r="B2862" s="6" t="s">
        <v>5762</v>
      </c>
      <c r="C2862" s="7">
        <v>27452</v>
      </c>
      <c r="D2862" s="8" t="s">
        <v>5763</v>
      </c>
    </row>
    <row r="2863" spans="1:4" ht="14.25">
      <c r="A2863" s="5">
        <v>27</v>
      </c>
      <c r="B2863" s="6" t="s">
        <v>5764</v>
      </c>
      <c r="C2863" s="7">
        <v>27452</v>
      </c>
      <c r="D2863" s="8" t="s">
        <v>5765</v>
      </c>
    </row>
    <row r="2864" spans="1:4" ht="14.25">
      <c r="A2864" s="5" t="s">
        <v>863</v>
      </c>
      <c r="B2864" s="6" t="s">
        <v>5766</v>
      </c>
      <c r="C2864" s="7">
        <v>27453</v>
      </c>
      <c r="D2864" s="8" t="s">
        <v>5767</v>
      </c>
    </row>
    <row r="2865" spans="1:4" ht="14.25">
      <c r="A2865" s="5" t="s">
        <v>463</v>
      </c>
      <c r="B2865" s="6" t="s">
        <v>5768</v>
      </c>
      <c r="C2865" s="7">
        <v>27453</v>
      </c>
      <c r="D2865" s="8" t="s">
        <v>5769</v>
      </c>
    </row>
    <row r="2866" spans="1:4" ht="14.25">
      <c r="A2866" s="5" t="s">
        <v>167</v>
      </c>
      <c r="B2866" s="6" t="s">
        <v>5770</v>
      </c>
      <c r="C2866" s="7">
        <v>27453</v>
      </c>
      <c r="D2866" s="8" t="s">
        <v>5771</v>
      </c>
    </row>
    <row r="2867" spans="1:4" ht="14.25">
      <c r="A2867" s="5">
        <v>28</v>
      </c>
      <c r="B2867" s="6" t="s">
        <v>5772</v>
      </c>
      <c r="C2867" s="7">
        <v>27453</v>
      </c>
      <c r="D2867" s="8" t="s">
        <v>5773</v>
      </c>
    </row>
    <row r="2868" spans="1:4" ht="14.25">
      <c r="A2868" s="5">
        <v>28</v>
      </c>
      <c r="B2868" s="6" t="s">
        <v>5774</v>
      </c>
      <c r="C2868" s="7">
        <v>27453</v>
      </c>
      <c r="D2868" s="8" t="s">
        <v>5775</v>
      </c>
    </row>
    <row r="2869" spans="1:4" ht="14.25">
      <c r="A2869" s="5">
        <v>28</v>
      </c>
      <c r="B2869" s="6" t="s">
        <v>5776</v>
      </c>
      <c r="C2869" s="7">
        <v>27453</v>
      </c>
      <c r="D2869" s="8" t="s">
        <v>5777</v>
      </c>
    </row>
    <row r="2870" spans="1:4" ht="14.25">
      <c r="A2870" s="5">
        <v>28</v>
      </c>
      <c r="B2870" s="6" t="s">
        <v>5778</v>
      </c>
      <c r="C2870" s="7">
        <v>27453</v>
      </c>
      <c r="D2870" s="8" t="s">
        <v>5779</v>
      </c>
    </row>
    <row r="2871" spans="1:4" ht="14.25">
      <c r="A2871" s="5">
        <v>28</v>
      </c>
      <c r="B2871" s="6" t="s">
        <v>5780</v>
      </c>
      <c r="C2871" s="7">
        <v>27453</v>
      </c>
      <c r="D2871" s="8" t="s">
        <v>5781</v>
      </c>
    </row>
    <row r="2872" spans="1:4" ht="14.25">
      <c r="A2872" s="5" t="s">
        <v>5</v>
      </c>
      <c r="B2872" s="6" t="s">
        <v>5782</v>
      </c>
      <c r="C2872" s="7">
        <v>27453</v>
      </c>
      <c r="D2872" s="8" t="s">
        <v>5783</v>
      </c>
    </row>
    <row r="2873" spans="1:4" ht="14.25">
      <c r="A2873" s="5" t="s">
        <v>3357</v>
      </c>
      <c r="B2873" s="6" t="s">
        <v>5784</v>
      </c>
      <c r="C2873" s="7">
        <v>27454</v>
      </c>
      <c r="D2873" s="8" t="s">
        <v>5785</v>
      </c>
    </row>
    <row r="2874" spans="1:4" ht="14.25">
      <c r="A2874" s="5" t="s">
        <v>484</v>
      </c>
      <c r="B2874" s="6" t="s">
        <v>5786</v>
      </c>
      <c r="C2874" s="7">
        <v>27454</v>
      </c>
      <c r="D2874" s="8" t="s">
        <v>5787</v>
      </c>
    </row>
    <row r="2875" spans="1:4" ht="14.25">
      <c r="A2875" s="5" t="s">
        <v>463</v>
      </c>
      <c r="B2875" s="6" t="s">
        <v>5788</v>
      </c>
      <c r="C2875" s="7">
        <v>27454</v>
      </c>
      <c r="D2875" s="8" t="s">
        <v>5789</v>
      </c>
    </row>
    <row r="2876" spans="1:4" ht="14.25">
      <c r="A2876" s="5" t="s">
        <v>463</v>
      </c>
      <c r="B2876" s="6" t="s">
        <v>5790</v>
      </c>
      <c r="C2876" s="7">
        <v>27454</v>
      </c>
      <c r="D2876" s="8" t="s">
        <v>5791</v>
      </c>
    </row>
    <row r="2877" spans="1:4" ht="14.25">
      <c r="A2877" s="5" t="s">
        <v>463</v>
      </c>
      <c r="B2877" s="6" t="s">
        <v>5792</v>
      </c>
      <c r="C2877" s="7">
        <v>27454</v>
      </c>
      <c r="D2877" s="8" t="s">
        <v>5793</v>
      </c>
    </row>
    <row r="2878" spans="1:4" ht="14.25">
      <c r="A2878" s="5">
        <v>1</v>
      </c>
      <c r="B2878" s="6" t="s">
        <v>5794</v>
      </c>
      <c r="C2878" s="7">
        <v>27454</v>
      </c>
      <c r="D2878" s="8" t="s">
        <v>5795</v>
      </c>
    </row>
    <row r="2879" spans="1:4" ht="14.25">
      <c r="A2879" s="5">
        <v>1</v>
      </c>
      <c r="B2879" s="6" t="s">
        <v>5796</v>
      </c>
      <c r="C2879" s="7">
        <v>27454</v>
      </c>
      <c r="D2879" s="8" t="s">
        <v>5797</v>
      </c>
    </row>
    <row r="2880" spans="1:4" ht="14.25">
      <c r="A2880" s="5">
        <v>1</v>
      </c>
      <c r="B2880" s="6" t="s">
        <v>5798</v>
      </c>
      <c r="C2880" s="7">
        <v>27454</v>
      </c>
      <c r="D2880" s="8" t="s">
        <v>5799</v>
      </c>
    </row>
    <row r="2881" spans="1:4" ht="14.25">
      <c r="A2881" s="5">
        <v>1</v>
      </c>
      <c r="B2881" s="6" t="s">
        <v>5800</v>
      </c>
      <c r="C2881" s="7">
        <v>27454</v>
      </c>
      <c r="D2881" s="8" t="s">
        <v>5801</v>
      </c>
    </row>
    <row r="2882" spans="1:4" ht="14.25">
      <c r="A2882" s="5">
        <v>1</v>
      </c>
      <c r="B2882" s="6" t="s">
        <v>5802</v>
      </c>
      <c r="C2882" s="7">
        <v>27454</v>
      </c>
      <c r="D2882" s="8" t="s">
        <v>5803</v>
      </c>
    </row>
    <row r="2883" spans="1:4" ht="14.25">
      <c r="A2883" s="5">
        <v>1</v>
      </c>
      <c r="B2883" s="6" t="s">
        <v>5804</v>
      </c>
      <c r="C2883" s="7">
        <v>27454</v>
      </c>
      <c r="D2883" s="8" t="s">
        <v>5805</v>
      </c>
    </row>
    <row r="2884" spans="1:4" ht="14.25">
      <c r="A2884" s="5">
        <v>1</v>
      </c>
      <c r="B2884" s="6" t="s">
        <v>5806</v>
      </c>
      <c r="C2884" s="7">
        <v>27454</v>
      </c>
      <c r="D2884" s="8" t="s">
        <v>5807</v>
      </c>
    </row>
    <row r="2885" spans="1:4" ht="14.25">
      <c r="A2885" s="5">
        <v>1</v>
      </c>
      <c r="B2885" s="6" t="s">
        <v>5808</v>
      </c>
      <c r="C2885" s="7">
        <v>27454</v>
      </c>
      <c r="D2885" s="8" t="s">
        <v>5809</v>
      </c>
    </row>
    <row r="2886" spans="1:4" ht="14.25">
      <c r="A2886" s="5">
        <v>1</v>
      </c>
      <c r="B2886" s="6" t="s">
        <v>5810</v>
      </c>
      <c r="C2886" s="7">
        <v>27454</v>
      </c>
      <c r="D2886" s="8" t="s">
        <v>5811</v>
      </c>
    </row>
    <row r="2887" spans="1:4" ht="14.25">
      <c r="A2887" s="5" t="s">
        <v>197</v>
      </c>
      <c r="B2887" s="6" t="s">
        <v>5812</v>
      </c>
      <c r="C2887" s="7">
        <v>27455</v>
      </c>
      <c r="D2887" s="8" t="s">
        <v>5813</v>
      </c>
    </row>
    <row r="2888" spans="1:4" ht="14.25">
      <c r="A2888" s="5" t="s">
        <v>484</v>
      </c>
      <c r="B2888" s="6" t="s">
        <v>5814</v>
      </c>
      <c r="C2888" s="7">
        <v>27455</v>
      </c>
      <c r="D2888" s="8" t="s">
        <v>5815</v>
      </c>
    </row>
    <row r="2889" spans="1:4" ht="14.25">
      <c r="A2889" s="5" t="s">
        <v>463</v>
      </c>
      <c r="B2889" s="6" t="s">
        <v>5816</v>
      </c>
      <c r="C2889" s="7">
        <v>27455</v>
      </c>
      <c r="D2889" s="8" t="s">
        <v>5817</v>
      </c>
    </row>
    <row r="2890" spans="1:4" ht="14.25">
      <c r="A2890" s="5" t="s">
        <v>463</v>
      </c>
      <c r="B2890" s="6" t="s">
        <v>5818</v>
      </c>
      <c r="C2890" s="7">
        <v>27455</v>
      </c>
      <c r="D2890" s="8" t="s">
        <v>5819</v>
      </c>
    </row>
    <row r="2891" spans="1:4" ht="14.25">
      <c r="A2891" s="5" t="s">
        <v>167</v>
      </c>
      <c r="B2891" s="6" t="s">
        <v>5820</v>
      </c>
      <c r="C2891" s="7">
        <v>27455</v>
      </c>
      <c r="D2891" s="8" t="s">
        <v>5821</v>
      </c>
    </row>
    <row r="2892" spans="1:4" ht="14.25">
      <c r="A2892" s="5">
        <v>2</v>
      </c>
      <c r="B2892" s="6" t="s">
        <v>5822</v>
      </c>
      <c r="C2892" s="7">
        <v>27455</v>
      </c>
      <c r="D2892" s="8" t="s">
        <v>5823</v>
      </c>
    </row>
    <row r="2893" spans="1:4" ht="14.25">
      <c r="A2893" s="5">
        <v>2</v>
      </c>
      <c r="B2893" s="6" t="s">
        <v>5824</v>
      </c>
      <c r="C2893" s="7">
        <v>27455</v>
      </c>
      <c r="D2893" s="8" t="s">
        <v>5825</v>
      </c>
    </row>
    <row r="2894" spans="1:4" ht="14.25">
      <c r="A2894" s="5">
        <v>2</v>
      </c>
      <c r="B2894" s="6" t="s">
        <v>5826</v>
      </c>
      <c r="C2894" s="7">
        <v>27455</v>
      </c>
      <c r="D2894" s="8" t="s">
        <v>5827</v>
      </c>
    </row>
    <row r="2895" spans="1:4" ht="14.25">
      <c r="A2895" s="5">
        <v>2</v>
      </c>
      <c r="B2895" s="6" t="s">
        <v>5828</v>
      </c>
      <c r="C2895" s="7">
        <v>27455</v>
      </c>
      <c r="D2895" s="8" t="s">
        <v>5829</v>
      </c>
    </row>
    <row r="2896" spans="1:4" ht="14.25">
      <c r="A2896" s="5">
        <v>2</v>
      </c>
      <c r="B2896" s="6" t="s">
        <v>5830</v>
      </c>
      <c r="C2896" s="7">
        <v>27455</v>
      </c>
      <c r="D2896" s="8" t="s">
        <v>5831</v>
      </c>
    </row>
    <row r="2897" spans="1:4" ht="14.25">
      <c r="A2897" s="5">
        <v>2</v>
      </c>
      <c r="B2897" s="6" t="s">
        <v>5832</v>
      </c>
      <c r="C2897" s="7">
        <v>27455</v>
      </c>
      <c r="D2897" s="8" t="s">
        <v>5833</v>
      </c>
    </row>
    <row r="2898" spans="1:4" ht="14.25">
      <c r="A2898" s="5">
        <v>2</v>
      </c>
      <c r="B2898" s="6" t="s">
        <v>5834</v>
      </c>
      <c r="C2898" s="7">
        <v>27455</v>
      </c>
      <c r="D2898" s="8" t="s">
        <v>5835</v>
      </c>
    </row>
    <row r="2899" spans="1:4" ht="14.25">
      <c r="A2899" s="5" t="s">
        <v>863</v>
      </c>
      <c r="B2899" s="6" t="s">
        <v>5836</v>
      </c>
      <c r="C2899" s="7">
        <v>27456</v>
      </c>
      <c r="D2899" s="8" t="s">
        <v>5837</v>
      </c>
    </row>
    <row r="2900" spans="1:4" ht="14.25">
      <c r="A2900" s="5" t="s">
        <v>2078</v>
      </c>
      <c r="B2900" s="6" t="s">
        <v>5838</v>
      </c>
      <c r="C2900" s="7">
        <v>27456</v>
      </c>
      <c r="D2900" s="8" t="s">
        <v>5839</v>
      </c>
    </row>
    <row r="2901" spans="1:4" ht="14.25">
      <c r="A2901" s="5">
        <v>3</v>
      </c>
      <c r="B2901" s="6" t="s">
        <v>5840</v>
      </c>
      <c r="C2901" s="7">
        <v>27456</v>
      </c>
      <c r="D2901" s="8" t="s">
        <v>5841</v>
      </c>
    </row>
    <row r="2902" spans="1:4" ht="14.25">
      <c r="A2902" s="5">
        <v>3</v>
      </c>
      <c r="B2902" s="6" t="s">
        <v>5842</v>
      </c>
      <c r="C2902" s="7">
        <v>27456</v>
      </c>
      <c r="D2902" s="8" t="s">
        <v>5843</v>
      </c>
    </row>
    <row r="2903" spans="1:4" ht="14.25">
      <c r="A2903" s="5">
        <v>3</v>
      </c>
      <c r="B2903" s="6" t="s">
        <v>5844</v>
      </c>
      <c r="C2903" s="7">
        <v>27456</v>
      </c>
      <c r="D2903" s="8" t="s">
        <v>5845</v>
      </c>
    </row>
    <row r="2904" spans="1:4" ht="14.25">
      <c r="A2904" s="5">
        <v>3</v>
      </c>
      <c r="B2904" s="6" t="s">
        <v>5846</v>
      </c>
      <c r="C2904" s="7">
        <v>27456</v>
      </c>
      <c r="D2904" s="8" t="s">
        <v>5847</v>
      </c>
    </row>
    <row r="2905" spans="1:4" ht="14.25">
      <c r="A2905" s="5" t="s">
        <v>3357</v>
      </c>
      <c r="B2905" s="6" t="s">
        <v>5848</v>
      </c>
      <c r="C2905" s="7">
        <v>27457</v>
      </c>
      <c r="D2905" s="8" t="s">
        <v>5849</v>
      </c>
    </row>
    <row r="2906" spans="1:4" ht="14.25">
      <c r="A2906" s="5" t="s">
        <v>484</v>
      </c>
      <c r="B2906" s="6" t="s">
        <v>5850</v>
      </c>
      <c r="C2906" s="7">
        <v>27457</v>
      </c>
      <c r="D2906" s="8" t="s">
        <v>5851</v>
      </c>
    </row>
    <row r="2907" spans="1:4" ht="14.25">
      <c r="A2907" s="5">
        <v>4</v>
      </c>
      <c r="B2907" s="6" t="s">
        <v>5852</v>
      </c>
      <c r="C2907" s="7">
        <v>27457</v>
      </c>
      <c r="D2907" s="8" t="s">
        <v>5853</v>
      </c>
    </row>
    <row r="2908" spans="1:4" ht="14.25">
      <c r="A2908" s="5">
        <v>4</v>
      </c>
      <c r="B2908" s="6" t="s">
        <v>5854</v>
      </c>
      <c r="C2908" s="7">
        <v>27457</v>
      </c>
      <c r="D2908" s="8" t="s">
        <v>5855</v>
      </c>
    </row>
    <row r="2909" spans="1:4" ht="14.25">
      <c r="A2909" s="5">
        <v>4</v>
      </c>
      <c r="B2909" s="6" t="s">
        <v>5856</v>
      </c>
      <c r="C2909" s="7">
        <v>27457</v>
      </c>
      <c r="D2909" s="8" t="s">
        <v>5857</v>
      </c>
    </row>
    <row r="2910" spans="1:4" ht="14.25">
      <c r="A2910" s="5">
        <v>4</v>
      </c>
      <c r="B2910" s="6" t="s">
        <v>5858</v>
      </c>
      <c r="C2910" s="7">
        <v>27457</v>
      </c>
      <c r="D2910" s="8" t="s">
        <v>5859</v>
      </c>
    </row>
    <row r="2911" spans="1:4" ht="14.25">
      <c r="A2911" s="5" t="s">
        <v>2</v>
      </c>
      <c r="B2911" s="6" t="s">
        <v>5860</v>
      </c>
      <c r="C2911" s="7">
        <v>27458</v>
      </c>
      <c r="D2911" s="8" t="s">
        <v>5861</v>
      </c>
    </row>
    <row r="2912" spans="1:4" ht="14.25">
      <c r="A2912" s="5" t="s">
        <v>597</v>
      </c>
      <c r="B2912" s="6" t="s">
        <v>5862</v>
      </c>
      <c r="C2912" s="7">
        <v>27458</v>
      </c>
      <c r="D2912" s="8" t="s">
        <v>5863</v>
      </c>
    </row>
    <row r="2913" spans="1:4" ht="14.25">
      <c r="A2913" s="5">
        <v>5</v>
      </c>
      <c r="B2913" s="6" t="s">
        <v>5864</v>
      </c>
      <c r="C2913" s="7">
        <v>27458</v>
      </c>
      <c r="D2913" s="8" t="s">
        <v>5865</v>
      </c>
    </row>
    <row r="2914" spans="1:4" ht="14.25">
      <c r="A2914" s="5">
        <v>5</v>
      </c>
      <c r="B2914" s="6" t="s">
        <v>5866</v>
      </c>
      <c r="C2914" s="7">
        <v>27458</v>
      </c>
      <c r="D2914" s="8" t="s">
        <v>5867</v>
      </c>
    </row>
    <row r="2915" spans="1:4" ht="14.25">
      <c r="A2915" s="5">
        <v>5</v>
      </c>
      <c r="B2915" s="6" t="s">
        <v>5868</v>
      </c>
      <c r="C2915" s="7">
        <v>27458</v>
      </c>
      <c r="D2915" s="8" t="s">
        <v>5869</v>
      </c>
    </row>
    <row r="2916" spans="1:4" ht="14.25">
      <c r="A2916" s="5">
        <v>5</v>
      </c>
      <c r="B2916" s="6" t="s">
        <v>5870</v>
      </c>
      <c r="C2916" s="7">
        <v>27458</v>
      </c>
      <c r="D2916" s="8" t="s">
        <v>5871</v>
      </c>
    </row>
    <row r="2917" spans="1:4" ht="14.25">
      <c r="A2917" s="5" t="s">
        <v>42</v>
      </c>
      <c r="B2917" s="6" t="s">
        <v>5872</v>
      </c>
      <c r="C2917" s="7">
        <v>27459</v>
      </c>
      <c r="D2917" s="8" t="s">
        <v>5873</v>
      </c>
    </row>
    <row r="2918" spans="1:4" ht="14.25">
      <c r="A2918" s="5" t="s">
        <v>42</v>
      </c>
      <c r="B2918" s="6" t="s">
        <v>5874</v>
      </c>
      <c r="C2918" s="7">
        <v>27459</v>
      </c>
      <c r="D2918" s="8" t="s">
        <v>5875</v>
      </c>
    </row>
    <row r="2919" spans="1:4" ht="14.25">
      <c r="A2919" s="5" t="s">
        <v>597</v>
      </c>
      <c r="B2919" s="6" t="s">
        <v>5876</v>
      </c>
      <c r="C2919" s="7">
        <v>27459</v>
      </c>
      <c r="D2919" s="8" t="s">
        <v>5877</v>
      </c>
    </row>
    <row r="2920" spans="1:4" ht="14.25">
      <c r="A2920" s="5">
        <v>6</v>
      </c>
      <c r="B2920" s="6" t="s">
        <v>5878</v>
      </c>
      <c r="C2920" s="7">
        <v>27459</v>
      </c>
      <c r="D2920" s="8" t="s">
        <v>5879</v>
      </c>
    </row>
    <row r="2921" spans="1:4" ht="14.25">
      <c r="A2921" s="5">
        <v>6</v>
      </c>
      <c r="B2921" s="6" t="s">
        <v>5880</v>
      </c>
      <c r="C2921" s="7">
        <v>27459</v>
      </c>
      <c r="D2921" s="8" t="s">
        <v>5881</v>
      </c>
    </row>
    <row r="2922" spans="1:4" ht="14.25">
      <c r="A2922" s="5">
        <v>6</v>
      </c>
      <c r="B2922" s="6" t="s">
        <v>5882</v>
      </c>
      <c r="C2922" s="7">
        <v>27459</v>
      </c>
      <c r="D2922" s="8" t="s">
        <v>5883</v>
      </c>
    </row>
    <row r="2923" spans="1:4" ht="14.25">
      <c r="A2923" s="5" t="s">
        <v>5</v>
      </c>
      <c r="B2923" s="6" t="s">
        <v>5884</v>
      </c>
      <c r="C2923" s="7">
        <v>27460</v>
      </c>
      <c r="D2923" s="8" t="s">
        <v>5885</v>
      </c>
    </row>
    <row r="2924" spans="1:4" ht="14.25">
      <c r="A2924" s="5">
        <v>7</v>
      </c>
      <c r="B2924" s="6" t="s">
        <v>5886</v>
      </c>
      <c r="C2924" s="7">
        <v>27460</v>
      </c>
      <c r="D2924" s="8" t="s">
        <v>5887</v>
      </c>
    </row>
    <row r="2925" spans="1:4" ht="14.25">
      <c r="A2925" s="5" t="s">
        <v>863</v>
      </c>
      <c r="B2925" s="6" t="s">
        <v>5888</v>
      </c>
      <c r="C2925" s="7">
        <v>27461</v>
      </c>
      <c r="D2925" s="8" t="s">
        <v>5889</v>
      </c>
    </row>
    <row r="2926" spans="1:4" ht="14.25">
      <c r="A2926" s="5" t="s">
        <v>463</v>
      </c>
      <c r="B2926" s="6" t="s">
        <v>5890</v>
      </c>
      <c r="C2926" s="7">
        <v>27461</v>
      </c>
      <c r="D2926" s="8" t="s">
        <v>5891</v>
      </c>
    </row>
    <row r="2927" spans="1:4" ht="14.25">
      <c r="A2927" s="5">
        <v>8</v>
      </c>
      <c r="B2927" s="6" t="s">
        <v>5892</v>
      </c>
      <c r="C2927" s="7">
        <v>27461</v>
      </c>
      <c r="D2927" s="8" t="s">
        <v>5893</v>
      </c>
    </row>
    <row r="2928" spans="1:4" ht="14.25">
      <c r="A2928" s="5">
        <v>8</v>
      </c>
      <c r="B2928" s="6" t="s">
        <v>5894</v>
      </c>
      <c r="C2928" s="7">
        <v>27461</v>
      </c>
      <c r="D2928" s="8" t="s">
        <v>5895</v>
      </c>
    </row>
    <row r="2929" spans="1:4" ht="14.25">
      <c r="A2929" s="5" t="s">
        <v>184</v>
      </c>
      <c r="B2929" s="6" t="s">
        <v>5896</v>
      </c>
      <c r="C2929" s="7">
        <v>27462</v>
      </c>
      <c r="D2929" s="8" t="s">
        <v>5897</v>
      </c>
    </row>
    <row r="2930" spans="1:4" ht="14.25">
      <c r="A2930" s="5" t="s">
        <v>463</v>
      </c>
      <c r="B2930" s="6" t="s">
        <v>5898</v>
      </c>
      <c r="C2930" s="7">
        <v>27462</v>
      </c>
      <c r="D2930" s="8" t="s">
        <v>5899</v>
      </c>
    </row>
    <row r="2931" spans="1:4" ht="14.25">
      <c r="A2931" s="5">
        <v>9</v>
      </c>
      <c r="B2931" s="6" t="s">
        <v>5900</v>
      </c>
      <c r="C2931" s="7">
        <v>27462</v>
      </c>
      <c r="D2931" s="8" t="s">
        <v>5901</v>
      </c>
    </row>
    <row r="2932" spans="1:4" ht="14.25">
      <c r="A2932" s="5">
        <v>9</v>
      </c>
      <c r="B2932" s="6" t="s">
        <v>5902</v>
      </c>
      <c r="C2932" s="7">
        <v>27462</v>
      </c>
      <c r="D2932" s="8" t="s">
        <v>5903</v>
      </c>
    </row>
    <row r="2933" spans="1:4" ht="14.25">
      <c r="A2933" s="5">
        <v>9</v>
      </c>
      <c r="B2933" s="6" t="s">
        <v>5904</v>
      </c>
      <c r="C2933" s="7">
        <v>27462</v>
      </c>
      <c r="D2933" s="8" t="s">
        <v>5905</v>
      </c>
    </row>
    <row r="2934" spans="1:4" ht="14.25">
      <c r="A2934" s="5">
        <v>9</v>
      </c>
      <c r="B2934" s="6" t="s">
        <v>5906</v>
      </c>
      <c r="C2934" s="7">
        <v>27462</v>
      </c>
      <c r="D2934" s="8" t="s">
        <v>5907</v>
      </c>
    </row>
    <row r="2935" spans="1:4" ht="14.25">
      <c r="A2935" s="5" t="s">
        <v>184</v>
      </c>
      <c r="B2935" s="6" t="s">
        <v>5908</v>
      </c>
      <c r="C2935" s="7">
        <v>27463</v>
      </c>
      <c r="D2935" s="8" t="s">
        <v>5909</v>
      </c>
    </row>
    <row r="2936" spans="1:4" ht="14.25">
      <c r="A2936" s="5">
        <v>10</v>
      </c>
      <c r="B2936" s="6" t="s">
        <v>5910</v>
      </c>
      <c r="C2936" s="7">
        <v>27463</v>
      </c>
      <c r="D2936" s="8" t="s">
        <v>5911</v>
      </c>
    </row>
    <row r="2937" spans="1:4" ht="14.25">
      <c r="A2937" s="5">
        <v>10</v>
      </c>
      <c r="B2937" s="6" t="s">
        <v>5912</v>
      </c>
      <c r="C2937" s="7">
        <v>27463</v>
      </c>
      <c r="D2937" s="8" t="s">
        <v>5913</v>
      </c>
    </row>
    <row r="2938" spans="1:4" ht="14.25">
      <c r="A2938" s="5" t="s">
        <v>184</v>
      </c>
      <c r="B2938" s="6" t="s">
        <v>5914</v>
      </c>
      <c r="C2938" s="7">
        <v>27464</v>
      </c>
      <c r="D2938" s="8" t="s">
        <v>5915</v>
      </c>
    </row>
    <row r="2939" spans="1:4" ht="14.25">
      <c r="A2939" s="5" t="s">
        <v>484</v>
      </c>
      <c r="B2939" s="6" t="s">
        <v>5916</v>
      </c>
      <c r="C2939" s="7">
        <v>27464</v>
      </c>
      <c r="D2939" s="8" t="s">
        <v>5917</v>
      </c>
    </row>
    <row r="2940" spans="1:4" ht="14.25">
      <c r="A2940" s="5">
        <v>11</v>
      </c>
      <c r="B2940" s="6" t="s">
        <v>5918</v>
      </c>
      <c r="C2940" s="7">
        <v>27464</v>
      </c>
      <c r="D2940" s="8" t="s">
        <v>5919</v>
      </c>
    </row>
    <row r="2941" spans="1:4" ht="14.25">
      <c r="A2941" s="5">
        <v>11</v>
      </c>
      <c r="B2941" s="6" t="s">
        <v>5920</v>
      </c>
      <c r="C2941" s="7">
        <v>27464</v>
      </c>
      <c r="D2941" s="8" t="s">
        <v>5921</v>
      </c>
    </row>
    <row r="2942" spans="1:4" ht="14.25">
      <c r="A2942" s="5">
        <v>11</v>
      </c>
      <c r="B2942" s="6" t="s">
        <v>5922</v>
      </c>
      <c r="C2942" s="7">
        <v>27464</v>
      </c>
      <c r="D2942" s="8" t="s">
        <v>5923</v>
      </c>
    </row>
    <row r="2943" spans="1:4" ht="14.25">
      <c r="A2943" s="5">
        <v>11</v>
      </c>
      <c r="B2943" s="6" t="s">
        <v>5924</v>
      </c>
      <c r="C2943" s="7">
        <v>27464</v>
      </c>
      <c r="D2943" s="8" t="s">
        <v>5925</v>
      </c>
    </row>
    <row r="2944" spans="1:4" ht="14.25">
      <c r="A2944" s="5" t="s">
        <v>4614</v>
      </c>
      <c r="B2944" s="6" t="s">
        <v>5926</v>
      </c>
      <c r="C2944" s="7">
        <v>27465</v>
      </c>
      <c r="D2944" s="8" t="s">
        <v>5927</v>
      </c>
    </row>
    <row r="2945" spans="1:4" ht="14.25">
      <c r="A2945" s="5" t="s">
        <v>167</v>
      </c>
      <c r="B2945" s="6" t="s">
        <v>5928</v>
      </c>
      <c r="C2945" s="7">
        <v>27465</v>
      </c>
      <c r="D2945" s="8" t="s">
        <v>5929</v>
      </c>
    </row>
    <row r="2946" spans="1:4" ht="14.25">
      <c r="A2946" s="5">
        <v>12</v>
      </c>
      <c r="B2946" s="6" t="s">
        <v>5930</v>
      </c>
      <c r="C2946" s="7">
        <v>27465</v>
      </c>
      <c r="D2946" s="8" t="s">
        <v>5931</v>
      </c>
    </row>
    <row r="2947" spans="1:4" ht="14.25">
      <c r="A2947" s="5">
        <v>12</v>
      </c>
      <c r="B2947" s="6" t="s">
        <v>5932</v>
      </c>
      <c r="C2947" s="7">
        <v>27465</v>
      </c>
      <c r="D2947" s="8" t="s">
        <v>5933</v>
      </c>
    </row>
    <row r="2948" spans="1:4" ht="14.25">
      <c r="A2948" s="5" t="s">
        <v>484</v>
      </c>
      <c r="B2948" s="6" t="s">
        <v>5934</v>
      </c>
      <c r="C2948" s="7">
        <v>27466</v>
      </c>
      <c r="D2948" s="8" t="s">
        <v>5935</v>
      </c>
    </row>
    <row r="2949" spans="1:4" ht="14.25">
      <c r="A2949" s="5" t="s">
        <v>463</v>
      </c>
      <c r="B2949" s="6" t="s">
        <v>5936</v>
      </c>
      <c r="C2949" s="7">
        <v>27466</v>
      </c>
      <c r="D2949" s="8" t="s">
        <v>5937</v>
      </c>
    </row>
    <row r="2950" spans="1:4" ht="14.25">
      <c r="A2950" s="5" t="s">
        <v>463</v>
      </c>
      <c r="B2950" s="6" t="s">
        <v>5938</v>
      </c>
      <c r="C2950" s="7">
        <v>27466</v>
      </c>
      <c r="D2950" s="8" t="s">
        <v>5939</v>
      </c>
    </row>
    <row r="2951" spans="1:4" ht="14.25">
      <c r="A2951" s="5" t="s">
        <v>42</v>
      </c>
      <c r="B2951" s="6" t="s">
        <v>5940</v>
      </c>
      <c r="C2951" s="7">
        <v>27466</v>
      </c>
      <c r="D2951" s="8" t="s">
        <v>5941</v>
      </c>
    </row>
    <row r="2952" spans="1:4" ht="14.25">
      <c r="A2952" s="5" t="s">
        <v>42</v>
      </c>
      <c r="B2952" s="6" t="s">
        <v>5942</v>
      </c>
      <c r="C2952" s="7">
        <v>27466</v>
      </c>
      <c r="D2952" s="8" t="s">
        <v>5943</v>
      </c>
    </row>
    <row r="2953" spans="1:4" ht="14.25">
      <c r="A2953" s="5">
        <v>13</v>
      </c>
      <c r="B2953" s="6" t="s">
        <v>5944</v>
      </c>
      <c r="C2953" s="7">
        <v>27466</v>
      </c>
      <c r="D2953" s="8" t="s">
        <v>5945</v>
      </c>
    </row>
    <row r="2954" spans="1:4" ht="14.25">
      <c r="A2954" s="5">
        <v>13</v>
      </c>
      <c r="B2954" s="6" t="s">
        <v>5946</v>
      </c>
      <c r="C2954" s="7">
        <v>27466</v>
      </c>
      <c r="D2954" s="8" t="s">
        <v>5947</v>
      </c>
    </row>
    <row r="2955" spans="1:4" ht="14.25">
      <c r="A2955" s="5">
        <v>13</v>
      </c>
      <c r="B2955" s="6" t="s">
        <v>5948</v>
      </c>
      <c r="C2955" s="7">
        <v>27466</v>
      </c>
      <c r="D2955" s="8" t="s">
        <v>5949</v>
      </c>
    </row>
    <row r="2956" spans="1:4" ht="14.25">
      <c r="A2956" s="5">
        <v>13</v>
      </c>
      <c r="B2956" s="6" t="s">
        <v>5950</v>
      </c>
      <c r="C2956" s="7">
        <v>27466</v>
      </c>
      <c r="D2956" s="8" t="s">
        <v>5951</v>
      </c>
    </row>
    <row r="2957" spans="1:4" ht="14.25">
      <c r="A2957" s="5">
        <v>13</v>
      </c>
      <c r="B2957" s="6" t="s">
        <v>5952</v>
      </c>
      <c r="C2957" s="7">
        <v>27466</v>
      </c>
      <c r="D2957" s="8" t="s">
        <v>5953</v>
      </c>
    </row>
    <row r="2958" spans="1:4" ht="14.25">
      <c r="A2958" s="5">
        <v>13</v>
      </c>
      <c r="B2958" s="6" t="s">
        <v>5954</v>
      </c>
      <c r="C2958" s="7">
        <v>27466</v>
      </c>
      <c r="D2958" s="8" t="s">
        <v>5955</v>
      </c>
    </row>
    <row r="2959" spans="1:4" ht="14.25">
      <c r="A2959" s="5">
        <v>13</v>
      </c>
      <c r="B2959" s="6" t="s">
        <v>5956</v>
      </c>
      <c r="C2959" s="7">
        <v>27466</v>
      </c>
      <c r="D2959" s="8" t="s">
        <v>5957</v>
      </c>
    </row>
    <row r="2960" spans="1:4" ht="14.25">
      <c r="A2960" s="5" t="s">
        <v>484</v>
      </c>
      <c r="B2960" s="6" t="s">
        <v>5958</v>
      </c>
      <c r="C2960" s="7">
        <v>27467</v>
      </c>
      <c r="D2960" s="8" t="s">
        <v>5959</v>
      </c>
    </row>
    <row r="2961" spans="1:4" ht="14.25">
      <c r="A2961" s="5" t="s">
        <v>463</v>
      </c>
      <c r="B2961" s="6" t="s">
        <v>5960</v>
      </c>
      <c r="C2961" s="7">
        <v>27467</v>
      </c>
      <c r="D2961" s="8" t="s">
        <v>5961</v>
      </c>
    </row>
    <row r="2962" spans="1:4" ht="14.25">
      <c r="A2962" s="5" t="s">
        <v>463</v>
      </c>
      <c r="B2962" s="6" t="s">
        <v>5962</v>
      </c>
      <c r="C2962" s="7">
        <v>27467</v>
      </c>
      <c r="D2962" s="8" t="s">
        <v>5963</v>
      </c>
    </row>
    <row r="2963" spans="1:4" ht="14.25">
      <c r="A2963" s="5">
        <v>14</v>
      </c>
      <c r="B2963" s="6" t="s">
        <v>5964</v>
      </c>
      <c r="C2963" s="7">
        <v>27467</v>
      </c>
      <c r="D2963" s="8" t="s">
        <v>5965</v>
      </c>
    </row>
    <row r="2964" spans="1:4" ht="14.25">
      <c r="A2964" s="5">
        <v>14</v>
      </c>
      <c r="B2964" s="6" t="s">
        <v>5966</v>
      </c>
      <c r="C2964" s="7">
        <v>27467</v>
      </c>
      <c r="D2964" s="8" t="s">
        <v>5967</v>
      </c>
    </row>
    <row r="2965" spans="1:4" ht="14.25">
      <c r="A2965" s="5">
        <v>14</v>
      </c>
      <c r="B2965" s="6" t="s">
        <v>5968</v>
      </c>
      <c r="C2965" s="7">
        <v>27467</v>
      </c>
      <c r="D2965" s="8" t="s">
        <v>5969</v>
      </c>
    </row>
    <row r="2966" spans="1:4" ht="14.25">
      <c r="A2966" s="5">
        <v>14</v>
      </c>
      <c r="B2966" s="6" t="s">
        <v>5970</v>
      </c>
      <c r="C2966" s="7">
        <v>27467</v>
      </c>
      <c r="D2966" s="8" t="s">
        <v>5971</v>
      </c>
    </row>
    <row r="2967" spans="1:4" ht="14.25">
      <c r="A2967" s="5" t="s">
        <v>484</v>
      </c>
      <c r="B2967" s="6" t="s">
        <v>5972</v>
      </c>
      <c r="C2967" s="7">
        <v>27468</v>
      </c>
      <c r="D2967" s="8" t="s">
        <v>5973</v>
      </c>
    </row>
    <row r="2968" spans="1:4" ht="14.25">
      <c r="A2968" s="5" t="s">
        <v>463</v>
      </c>
      <c r="B2968" s="6" t="s">
        <v>5974</v>
      </c>
      <c r="C2968" s="7">
        <v>27468</v>
      </c>
      <c r="D2968" s="8" t="s">
        <v>5975</v>
      </c>
    </row>
    <row r="2969" spans="1:4" ht="14.25">
      <c r="A2969" s="5">
        <v>15</v>
      </c>
      <c r="B2969" s="6" t="s">
        <v>5976</v>
      </c>
      <c r="C2969" s="7">
        <v>27468</v>
      </c>
      <c r="D2969" s="8" t="s">
        <v>5977</v>
      </c>
    </row>
    <row r="2970" spans="1:4" ht="14.25">
      <c r="A2970" s="5">
        <v>15</v>
      </c>
      <c r="B2970" s="6" t="s">
        <v>5978</v>
      </c>
      <c r="C2970" s="7">
        <v>27468</v>
      </c>
      <c r="D2970" s="8" t="s">
        <v>5979</v>
      </c>
    </row>
    <row r="2971" spans="1:4" ht="14.25">
      <c r="A2971" s="5" t="s">
        <v>863</v>
      </c>
      <c r="B2971" s="6" t="s">
        <v>5980</v>
      </c>
      <c r="C2971" s="7">
        <v>27473</v>
      </c>
      <c r="D2971" s="8" t="s">
        <v>5981</v>
      </c>
    </row>
    <row r="2972" spans="1:4" ht="14.25">
      <c r="A2972" s="5" t="s">
        <v>863</v>
      </c>
      <c r="B2972" s="6" t="s">
        <v>5982</v>
      </c>
      <c r="C2972" s="7">
        <v>27473</v>
      </c>
      <c r="D2972" s="8" t="s">
        <v>5983</v>
      </c>
    </row>
    <row r="2973" spans="1:4" ht="14.25">
      <c r="A2973" s="5">
        <v>20</v>
      </c>
      <c r="B2973" s="6" t="s">
        <v>5984</v>
      </c>
      <c r="C2973" s="7">
        <v>27473</v>
      </c>
      <c r="D2973" s="8" t="s">
        <v>5985</v>
      </c>
    </row>
    <row r="2974" spans="1:4" ht="14.25">
      <c r="A2974" s="5">
        <v>20</v>
      </c>
      <c r="B2974" s="6" t="s">
        <v>5986</v>
      </c>
      <c r="C2974" s="7">
        <v>27473</v>
      </c>
      <c r="D2974" s="8" t="s">
        <v>5987</v>
      </c>
    </row>
    <row r="2975" spans="1:4" ht="14.25">
      <c r="A2975" s="5" t="s">
        <v>2</v>
      </c>
      <c r="B2975" s="6" t="s">
        <v>5988</v>
      </c>
      <c r="C2975" s="7">
        <v>27474</v>
      </c>
      <c r="D2975" s="8" t="s">
        <v>5989</v>
      </c>
    </row>
    <row r="2976" spans="1:4" ht="14.25">
      <c r="A2976" s="5" t="s">
        <v>463</v>
      </c>
      <c r="B2976" s="6" t="s">
        <v>5990</v>
      </c>
      <c r="C2976" s="7">
        <v>27474</v>
      </c>
      <c r="D2976" s="8" t="s">
        <v>5991</v>
      </c>
    </row>
    <row r="2977" spans="1:4" ht="14.25">
      <c r="A2977" s="5">
        <v>21</v>
      </c>
      <c r="B2977" s="6" t="s">
        <v>5992</v>
      </c>
      <c r="C2977" s="7">
        <v>27474</v>
      </c>
      <c r="D2977" s="8" t="s">
        <v>5993</v>
      </c>
    </row>
    <row r="2978" spans="1:4" ht="14.25">
      <c r="A2978" s="5">
        <v>21</v>
      </c>
      <c r="B2978" s="6" t="s">
        <v>5994</v>
      </c>
      <c r="C2978" s="7">
        <v>27474</v>
      </c>
      <c r="D2978" s="8" t="s">
        <v>5995</v>
      </c>
    </row>
    <row r="2979" spans="1:4" ht="14.25">
      <c r="A2979" s="5">
        <v>21</v>
      </c>
      <c r="B2979" s="6" t="s">
        <v>5996</v>
      </c>
      <c r="C2979" s="7">
        <v>27474</v>
      </c>
      <c r="D2979" s="8" t="s">
        <v>5997</v>
      </c>
    </row>
    <row r="2980" spans="1:4" ht="14.25">
      <c r="A2980" s="5">
        <v>22</v>
      </c>
      <c r="B2980" s="6" t="s">
        <v>5998</v>
      </c>
      <c r="C2980" s="7">
        <v>27475</v>
      </c>
      <c r="D2980" s="8" t="s">
        <v>5999</v>
      </c>
    </row>
    <row r="2981" spans="1:4" ht="14.25">
      <c r="A2981" s="5" t="s">
        <v>863</v>
      </c>
      <c r="B2981" s="6" t="s">
        <v>6000</v>
      </c>
      <c r="C2981" s="7">
        <v>27476</v>
      </c>
      <c r="D2981" s="8" t="s">
        <v>6001</v>
      </c>
    </row>
    <row r="2982" spans="1:4" ht="14.25">
      <c r="A2982" s="5" t="s">
        <v>463</v>
      </c>
      <c r="B2982" s="6" t="s">
        <v>6002</v>
      </c>
      <c r="C2982" s="7">
        <v>27476</v>
      </c>
      <c r="D2982" s="8" t="s">
        <v>6003</v>
      </c>
    </row>
    <row r="2983" spans="1:4" ht="14.25">
      <c r="A2983" s="5">
        <v>23</v>
      </c>
      <c r="B2983" s="6" t="s">
        <v>6004</v>
      </c>
      <c r="C2983" s="7">
        <v>27476</v>
      </c>
      <c r="D2983" s="8" t="s">
        <v>6005</v>
      </c>
    </row>
    <row r="2984" spans="1:4" ht="14.25">
      <c r="A2984" s="5">
        <v>23</v>
      </c>
      <c r="B2984" s="6" t="s">
        <v>6006</v>
      </c>
      <c r="C2984" s="7">
        <v>27476</v>
      </c>
      <c r="D2984" s="8" t="s">
        <v>6007</v>
      </c>
    </row>
    <row r="2985" spans="1:4" ht="14.25">
      <c r="A2985" s="5">
        <v>23</v>
      </c>
      <c r="B2985" s="6" t="s">
        <v>6008</v>
      </c>
      <c r="C2985" s="7">
        <v>27476</v>
      </c>
      <c r="D2985" s="8" t="s">
        <v>6009</v>
      </c>
    </row>
    <row r="2986" spans="1:4" ht="14.25">
      <c r="A2986" s="5" t="s">
        <v>3357</v>
      </c>
      <c r="B2986" s="6" t="s">
        <v>6010</v>
      </c>
      <c r="C2986" s="7">
        <v>27478</v>
      </c>
      <c r="D2986" s="8" t="s">
        <v>6011</v>
      </c>
    </row>
    <row r="2987" spans="1:4" ht="14.25">
      <c r="A2987" s="5" t="s">
        <v>484</v>
      </c>
      <c r="B2987" s="6" t="s">
        <v>6012</v>
      </c>
      <c r="C2987" s="7">
        <v>27478</v>
      </c>
      <c r="D2987" s="8" t="s">
        <v>6013</v>
      </c>
    </row>
    <row r="2988" spans="1:4" ht="14.25">
      <c r="A2988" s="5">
        <v>25</v>
      </c>
      <c r="B2988" s="6" t="s">
        <v>6014</v>
      </c>
      <c r="C2988" s="7">
        <v>27478</v>
      </c>
      <c r="D2988" s="8" t="s">
        <v>6015</v>
      </c>
    </row>
    <row r="2989" spans="1:4" ht="14.25">
      <c r="A2989" s="5">
        <v>25</v>
      </c>
      <c r="B2989" s="6" t="s">
        <v>6016</v>
      </c>
      <c r="C2989" s="7">
        <v>27478</v>
      </c>
      <c r="D2989" s="8" t="s">
        <v>6017</v>
      </c>
    </row>
    <row r="2990" spans="1:4" ht="14.25">
      <c r="A2990" s="5">
        <v>25</v>
      </c>
      <c r="B2990" s="6" t="s">
        <v>6018</v>
      </c>
      <c r="C2990" s="7">
        <v>27478</v>
      </c>
      <c r="D2990" s="8" t="s">
        <v>6019</v>
      </c>
    </row>
    <row r="2991" spans="1:4" ht="14.25">
      <c r="A2991" s="5" t="s">
        <v>3357</v>
      </c>
      <c r="B2991" s="6" t="s">
        <v>6020</v>
      </c>
      <c r="C2991" s="7">
        <v>27479</v>
      </c>
      <c r="D2991" s="8" t="s">
        <v>6021</v>
      </c>
    </row>
    <row r="2992" spans="1:4" ht="14.25">
      <c r="A2992" s="5" t="s">
        <v>484</v>
      </c>
      <c r="B2992" s="6" t="s">
        <v>6022</v>
      </c>
      <c r="C2992" s="7">
        <v>27479</v>
      </c>
      <c r="D2992" s="8" t="s">
        <v>6023</v>
      </c>
    </row>
    <row r="2993" spans="1:4" ht="14.25">
      <c r="A2993" s="5">
        <v>26</v>
      </c>
      <c r="B2993" s="6" t="s">
        <v>6024</v>
      </c>
      <c r="C2993" s="7">
        <v>27479</v>
      </c>
      <c r="D2993" s="8" t="s">
        <v>6025</v>
      </c>
    </row>
    <row r="2994" spans="1:4" ht="14.25">
      <c r="A2994" s="5">
        <v>26</v>
      </c>
      <c r="B2994" s="6" t="s">
        <v>6026</v>
      </c>
      <c r="C2994" s="7">
        <v>27479</v>
      </c>
      <c r="D2994" s="8" t="s">
        <v>6027</v>
      </c>
    </row>
    <row r="2995" spans="1:4" ht="14.25">
      <c r="A2995" s="5">
        <v>26</v>
      </c>
      <c r="B2995" s="6" t="s">
        <v>6028</v>
      </c>
      <c r="C2995" s="7">
        <v>27479</v>
      </c>
      <c r="D2995" s="8" t="s">
        <v>6029</v>
      </c>
    </row>
    <row r="2996" spans="1:4" ht="14.25">
      <c r="A2996" s="5" t="s">
        <v>3357</v>
      </c>
      <c r="B2996" s="6" t="s">
        <v>6030</v>
      </c>
      <c r="C2996" s="7">
        <v>27480</v>
      </c>
      <c r="D2996" s="8" t="s">
        <v>6031</v>
      </c>
    </row>
    <row r="2997" spans="1:4" ht="14.25">
      <c r="A2997" s="5" t="s">
        <v>463</v>
      </c>
      <c r="B2997" s="6" t="s">
        <v>6032</v>
      </c>
      <c r="C2997" s="7">
        <v>27480</v>
      </c>
      <c r="D2997" s="8" t="s">
        <v>6033</v>
      </c>
    </row>
    <row r="2998" spans="1:4" ht="14.25">
      <c r="A2998" s="5">
        <v>27</v>
      </c>
      <c r="B2998" s="6" t="s">
        <v>6034</v>
      </c>
      <c r="C2998" s="7">
        <v>27480</v>
      </c>
      <c r="D2998" s="8" t="s">
        <v>6035</v>
      </c>
    </row>
    <row r="2999" spans="1:4" ht="14.25">
      <c r="A2999" s="5">
        <v>27</v>
      </c>
      <c r="B2999" s="6" t="s">
        <v>6036</v>
      </c>
      <c r="C2999" s="7">
        <v>27480</v>
      </c>
      <c r="D2999" s="8" t="s">
        <v>6037</v>
      </c>
    </row>
    <row r="3000" spans="1:4" ht="14.25">
      <c r="A3000" s="5">
        <v>27</v>
      </c>
      <c r="B3000" s="6" t="s">
        <v>6038</v>
      </c>
      <c r="C3000" s="7">
        <v>27480</v>
      </c>
      <c r="D3000" s="8" t="s">
        <v>6039</v>
      </c>
    </row>
    <row r="3001" spans="1:4" ht="14.25">
      <c r="A3001" s="5" t="s">
        <v>3357</v>
      </c>
      <c r="B3001" s="6" t="s">
        <v>6040</v>
      </c>
      <c r="C3001" s="7">
        <v>27481</v>
      </c>
      <c r="D3001" s="8" t="s">
        <v>6041</v>
      </c>
    </row>
    <row r="3002" spans="1:4" ht="14.25">
      <c r="A3002" s="5">
        <v>28</v>
      </c>
      <c r="B3002" s="6" t="s">
        <v>6042</v>
      </c>
      <c r="C3002" s="7">
        <v>27481</v>
      </c>
      <c r="D3002" s="8" t="s">
        <v>6043</v>
      </c>
    </row>
    <row r="3003" spans="1:4" ht="14.25">
      <c r="A3003" s="5">
        <v>28</v>
      </c>
      <c r="B3003" s="6" t="s">
        <v>6044</v>
      </c>
      <c r="C3003" s="7">
        <v>27481</v>
      </c>
      <c r="D3003" s="8" t="s">
        <v>6045</v>
      </c>
    </row>
    <row r="3004" spans="1:4" ht="14.25">
      <c r="A3004" s="5" t="s">
        <v>3357</v>
      </c>
      <c r="B3004" s="6" t="s">
        <v>6046</v>
      </c>
      <c r="C3004" s="7">
        <v>27482</v>
      </c>
      <c r="D3004" s="8" t="s">
        <v>6047</v>
      </c>
    </row>
    <row r="3005" spans="1:4" ht="14.25">
      <c r="A3005" s="5" t="s">
        <v>167</v>
      </c>
      <c r="B3005" s="6" t="s">
        <v>6048</v>
      </c>
      <c r="C3005" s="7">
        <v>27482</v>
      </c>
      <c r="D3005" s="8" t="s">
        <v>6049</v>
      </c>
    </row>
    <row r="3006" spans="1:4" ht="14.25">
      <c r="A3006" s="5">
        <v>29</v>
      </c>
      <c r="B3006" s="6" t="s">
        <v>6050</v>
      </c>
      <c r="C3006" s="7">
        <v>27482</v>
      </c>
      <c r="D3006" s="8" t="s">
        <v>6051</v>
      </c>
    </row>
    <row r="3007" spans="1:4" ht="14.25">
      <c r="A3007" s="5">
        <v>29</v>
      </c>
      <c r="B3007" s="6" t="s">
        <v>6052</v>
      </c>
      <c r="C3007" s="7">
        <v>27482</v>
      </c>
      <c r="D3007" s="8" t="s">
        <v>6053</v>
      </c>
    </row>
    <row r="3008" spans="1:4" ht="14.25">
      <c r="A3008" s="5">
        <v>29</v>
      </c>
      <c r="B3008" s="6" t="s">
        <v>6054</v>
      </c>
      <c r="C3008" s="7">
        <v>27482</v>
      </c>
      <c r="D3008" s="8" t="s">
        <v>6055</v>
      </c>
    </row>
    <row r="3009" spans="1:4" ht="14.25">
      <c r="A3009" s="5" t="s">
        <v>3357</v>
      </c>
      <c r="B3009" s="6" t="s">
        <v>6056</v>
      </c>
      <c r="C3009" s="7">
        <v>27483</v>
      </c>
      <c r="D3009" s="8" t="s">
        <v>6057</v>
      </c>
    </row>
    <row r="3010" spans="1:4" ht="14.25">
      <c r="A3010" s="5" t="s">
        <v>463</v>
      </c>
      <c r="B3010" s="6" t="s">
        <v>6058</v>
      </c>
      <c r="C3010" s="7">
        <v>27483</v>
      </c>
      <c r="D3010" s="8" t="s">
        <v>6059</v>
      </c>
    </row>
    <row r="3011" spans="1:4" ht="14.25">
      <c r="A3011" s="5" t="s">
        <v>463</v>
      </c>
      <c r="B3011" s="6" t="s">
        <v>6060</v>
      </c>
      <c r="C3011" s="7">
        <v>27483</v>
      </c>
      <c r="D3011" s="8" t="s">
        <v>6061</v>
      </c>
    </row>
    <row r="3012" spans="1:4" ht="14.25">
      <c r="A3012" s="5">
        <v>30</v>
      </c>
      <c r="B3012" s="6" t="s">
        <v>6062</v>
      </c>
      <c r="C3012" s="7">
        <v>27483</v>
      </c>
      <c r="D3012" s="8" t="s">
        <v>6063</v>
      </c>
    </row>
    <row r="3013" spans="1:4" ht="14.25">
      <c r="A3013" s="5">
        <v>30</v>
      </c>
      <c r="B3013" s="6" t="s">
        <v>6064</v>
      </c>
      <c r="C3013" s="7">
        <v>27483</v>
      </c>
      <c r="D3013" s="8" t="s">
        <v>6065</v>
      </c>
    </row>
    <row r="3014" spans="1:4" ht="14.25">
      <c r="A3014" s="5">
        <v>30</v>
      </c>
      <c r="B3014" s="6" t="s">
        <v>6066</v>
      </c>
      <c r="C3014" s="7">
        <v>27483</v>
      </c>
      <c r="D3014" s="8" t="s">
        <v>6067</v>
      </c>
    </row>
    <row r="3015" spans="1:4" ht="14.25">
      <c r="A3015" s="5">
        <v>30</v>
      </c>
      <c r="B3015" s="6" t="s">
        <v>6068</v>
      </c>
      <c r="C3015" s="7">
        <v>27483</v>
      </c>
      <c r="D3015" s="8" t="s">
        <v>6069</v>
      </c>
    </row>
    <row r="3016" spans="1:4" ht="14.25">
      <c r="A3016" s="5">
        <v>30</v>
      </c>
      <c r="B3016" s="6" t="s">
        <v>6070</v>
      </c>
      <c r="C3016" s="7">
        <v>27483</v>
      </c>
      <c r="D3016" s="8" t="s">
        <v>6071</v>
      </c>
    </row>
    <row r="3017" spans="1:4" ht="14.25">
      <c r="A3017" s="5" t="s">
        <v>3357</v>
      </c>
      <c r="B3017" s="6" t="s">
        <v>6072</v>
      </c>
      <c r="C3017" s="7">
        <v>27484</v>
      </c>
      <c r="D3017" s="8" t="s">
        <v>6073</v>
      </c>
    </row>
    <row r="3018" spans="1:4" ht="14.25">
      <c r="A3018" s="5" t="s">
        <v>463</v>
      </c>
      <c r="B3018" s="6" t="s">
        <v>6074</v>
      </c>
      <c r="C3018" s="7">
        <v>27484</v>
      </c>
      <c r="D3018" s="8" t="s">
        <v>6075</v>
      </c>
    </row>
    <row r="3019" spans="1:4" ht="14.25">
      <c r="A3019" s="5">
        <v>31</v>
      </c>
      <c r="B3019" s="6" t="s">
        <v>6076</v>
      </c>
      <c r="C3019" s="7">
        <v>27484</v>
      </c>
      <c r="D3019" s="8" t="s">
        <v>6077</v>
      </c>
    </row>
    <row r="3020" spans="1:4" ht="14.25">
      <c r="A3020" s="5">
        <v>31</v>
      </c>
      <c r="B3020" s="6" t="s">
        <v>6078</v>
      </c>
      <c r="C3020" s="7">
        <v>27484</v>
      </c>
      <c r="D3020" s="8" t="s">
        <v>6079</v>
      </c>
    </row>
    <row r="3021" spans="1:4" ht="14.25">
      <c r="A3021" s="5">
        <v>31</v>
      </c>
      <c r="B3021" s="6" t="s">
        <v>6080</v>
      </c>
      <c r="C3021" s="7">
        <v>27484</v>
      </c>
      <c r="D3021" s="8" t="s">
        <v>6081</v>
      </c>
    </row>
    <row r="3022" spans="1:4" ht="14.25">
      <c r="A3022" s="5" t="s">
        <v>3357</v>
      </c>
      <c r="B3022" s="6" t="s">
        <v>6082</v>
      </c>
      <c r="C3022" s="7">
        <v>27485</v>
      </c>
      <c r="D3022" s="8" t="s">
        <v>6083</v>
      </c>
    </row>
    <row r="3023" spans="1:4" ht="14.25">
      <c r="A3023" s="5" t="s">
        <v>484</v>
      </c>
      <c r="B3023" s="6" t="s">
        <v>6084</v>
      </c>
      <c r="C3023" s="7">
        <v>27485</v>
      </c>
      <c r="D3023" s="8" t="s">
        <v>6085</v>
      </c>
    </row>
    <row r="3024" spans="1:4" ht="14.25">
      <c r="A3024" s="5" t="s">
        <v>463</v>
      </c>
      <c r="B3024" s="6" t="s">
        <v>6086</v>
      </c>
      <c r="C3024" s="7">
        <v>27485</v>
      </c>
      <c r="D3024" s="8" t="s">
        <v>6087</v>
      </c>
    </row>
    <row r="3025" spans="1:4" ht="14.25">
      <c r="A3025" s="5">
        <v>1</v>
      </c>
      <c r="B3025" s="6" t="s">
        <v>6088</v>
      </c>
      <c r="C3025" s="7">
        <v>27485</v>
      </c>
      <c r="D3025" s="8" t="s">
        <v>6089</v>
      </c>
    </row>
    <row r="3026" spans="1:4" ht="14.25">
      <c r="A3026" s="5">
        <v>1</v>
      </c>
      <c r="B3026" s="6" t="s">
        <v>6090</v>
      </c>
      <c r="C3026" s="7">
        <v>27485</v>
      </c>
      <c r="D3026" s="8" t="s">
        <v>6091</v>
      </c>
    </row>
    <row r="3027" spans="1:4" ht="14.25">
      <c r="A3027" s="5">
        <v>1</v>
      </c>
      <c r="B3027" s="6" t="s">
        <v>6092</v>
      </c>
      <c r="C3027" s="7">
        <v>27485</v>
      </c>
      <c r="D3027" s="8" t="s">
        <v>6093</v>
      </c>
    </row>
    <row r="3028" spans="1:4" ht="14.25">
      <c r="A3028" s="5">
        <v>1</v>
      </c>
      <c r="B3028" s="6" t="s">
        <v>6094</v>
      </c>
      <c r="C3028" s="7">
        <v>27485</v>
      </c>
      <c r="D3028" s="8" t="s">
        <v>6095</v>
      </c>
    </row>
    <row r="3029" spans="1:4" ht="14.25">
      <c r="A3029" s="5">
        <v>1</v>
      </c>
      <c r="B3029" s="6" t="s">
        <v>6096</v>
      </c>
      <c r="C3029" s="7">
        <v>27485</v>
      </c>
      <c r="D3029" s="8" t="s">
        <v>6097</v>
      </c>
    </row>
    <row r="3030" spans="1:4" ht="14.25">
      <c r="A3030" s="5">
        <v>1</v>
      </c>
      <c r="B3030" s="6" t="s">
        <v>6098</v>
      </c>
      <c r="C3030" s="7">
        <v>27485</v>
      </c>
      <c r="D3030" s="8" t="s">
        <v>6099</v>
      </c>
    </row>
    <row r="3031" spans="1:4" ht="14.25">
      <c r="A3031" s="5" t="s">
        <v>3357</v>
      </c>
      <c r="B3031" s="6" t="s">
        <v>6100</v>
      </c>
      <c r="C3031" s="7">
        <v>27486</v>
      </c>
      <c r="D3031" s="8" t="s">
        <v>6101</v>
      </c>
    </row>
    <row r="3032" spans="1:4" ht="14.25">
      <c r="A3032" s="5" t="s">
        <v>484</v>
      </c>
      <c r="B3032" s="6" t="s">
        <v>6102</v>
      </c>
      <c r="C3032" s="7">
        <v>27486</v>
      </c>
      <c r="D3032" s="8" t="s">
        <v>6103</v>
      </c>
    </row>
    <row r="3033" spans="1:4" ht="14.25">
      <c r="A3033" s="5">
        <v>2</v>
      </c>
      <c r="B3033" s="6" t="s">
        <v>6104</v>
      </c>
      <c r="C3033" s="7">
        <v>27486</v>
      </c>
      <c r="D3033" s="8" t="s">
        <v>6105</v>
      </c>
    </row>
    <row r="3034" spans="1:4" ht="14.25">
      <c r="A3034" s="5">
        <v>2</v>
      </c>
      <c r="B3034" s="6" t="s">
        <v>6106</v>
      </c>
      <c r="C3034" s="7">
        <v>27486</v>
      </c>
      <c r="D3034" s="8" t="s">
        <v>6107</v>
      </c>
    </row>
    <row r="3035" spans="1:4" ht="14.25">
      <c r="A3035" s="5">
        <v>2</v>
      </c>
      <c r="B3035" s="6" t="s">
        <v>6108</v>
      </c>
      <c r="C3035" s="7">
        <v>27486</v>
      </c>
      <c r="D3035" s="8" t="s">
        <v>6109</v>
      </c>
    </row>
    <row r="3036" spans="1:4" ht="14.25">
      <c r="A3036" s="5">
        <v>2</v>
      </c>
      <c r="B3036" s="6" t="s">
        <v>6110</v>
      </c>
      <c r="C3036" s="7">
        <v>27486</v>
      </c>
      <c r="D3036" s="8" t="s">
        <v>6111</v>
      </c>
    </row>
    <row r="3037" spans="1:4" ht="14.25">
      <c r="A3037" s="5" t="s">
        <v>3357</v>
      </c>
      <c r="B3037" s="6" t="s">
        <v>6112</v>
      </c>
      <c r="C3037" s="7">
        <v>27487</v>
      </c>
      <c r="D3037" s="8" t="s">
        <v>6113</v>
      </c>
    </row>
    <row r="3038" spans="1:4" ht="14.25">
      <c r="A3038" s="5" t="s">
        <v>484</v>
      </c>
      <c r="B3038" s="6" t="s">
        <v>6114</v>
      </c>
      <c r="C3038" s="7">
        <v>27487</v>
      </c>
      <c r="D3038" s="8" t="s">
        <v>6115</v>
      </c>
    </row>
    <row r="3039" spans="1:4" ht="14.25">
      <c r="A3039" s="5" t="s">
        <v>484</v>
      </c>
      <c r="B3039" s="6" t="s">
        <v>6116</v>
      </c>
      <c r="C3039" s="7">
        <v>27487</v>
      </c>
      <c r="D3039" s="8" t="s">
        <v>6117</v>
      </c>
    </row>
    <row r="3040" spans="1:4" ht="14.25">
      <c r="A3040" s="5">
        <v>3</v>
      </c>
      <c r="B3040" s="6" t="s">
        <v>6118</v>
      </c>
      <c r="C3040" s="7">
        <v>27487</v>
      </c>
      <c r="D3040" s="8" t="s">
        <v>6119</v>
      </c>
    </row>
    <row r="3041" spans="1:4" ht="14.25">
      <c r="A3041" s="5">
        <v>3</v>
      </c>
      <c r="B3041" s="6" t="s">
        <v>6120</v>
      </c>
      <c r="C3041" s="7">
        <v>27487</v>
      </c>
      <c r="D3041" s="8" t="s">
        <v>6121</v>
      </c>
    </row>
    <row r="3042" spans="1:4" ht="14.25">
      <c r="A3042" s="5">
        <v>3</v>
      </c>
      <c r="B3042" s="6" t="s">
        <v>6122</v>
      </c>
      <c r="C3042" s="7">
        <v>27487</v>
      </c>
      <c r="D3042" s="8" t="s">
        <v>6123</v>
      </c>
    </row>
    <row r="3043" spans="1:4" ht="14.25">
      <c r="A3043" s="5">
        <v>3</v>
      </c>
      <c r="B3043" s="6" t="s">
        <v>6124</v>
      </c>
      <c r="C3043" s="7">
        <v>27487</v>
      </c>
      <c r="D3043" s="8" t="s">
        <v>6125</v>
      </c>
    </row>
    <row r="3044" spans="1:4" ht="14.25">
      <c r="A3044" s="5">
        <v>3</v>
      </c>
      <c r="B3044" s="6" t="s">
        <v>6126</v>
      </c>
      <c r="C3044" s="7">
        <v>27487</v>
      </c>
      <c r="D3044" s="8" t="s">
        <v>6127</v>
      </c>
    </row>
    <row r="3045" spans="1:4" ht="14.25">
      <c r="A3045" s="5" t="s">
        <v>3357</v>
      </c>
      <c r="B3045" s="6" t="s">
        <v>6128</v>
      </c>
      <c r="C3045" s="7">
        <v>27488</v>
      </c>
      <c r="D3045" s="8" t="s">
        <v>6129</v>
      </c>
    </row>
    <row r="3046" spans="1:4" ht="14.25">
      <c r="A3046" s="5" t="s">
        <v>484</v>
      </c>
      <c r="B3046" s="6" t="s">
        <v>6130</v>
      </c>
      <c r="C3046" s="7">
        <v>27488</v>
      </c>
      <c r="D3046" s="8" t="s">
        <v>6131</v>
      </c>
    </row>
    <row r="3047" spans="1:4" ht="14.25">
      <c r="A3047" s="5" t="s">
        <v>463</v>
      </c>
      <c r="B3047" s="6" t="s">
        <v>6132</v>
      </c>
      <c r="C3047" s="7">
        <v>27488</v>
      </c>
      <c r="D3047" s="8" t="s">
        <v>6133</v>
      </c>
    </row>
    <row r="3048" spans="1:4" ht="14.25">
      <c r="A3048" s="5">
        <v>4</v>
      </c>
      <c r="B3048" s="6" t="s">
        <v>6134</v>
      </c>
      <c r="C3048" s="7">
        <v>27488</v>
      </c>
      <c r="D3048" s="8" t="s">
        <v>6135</v>
      </c>
    </row>
    <row r="3049" spans="1:4" ht="14.25">
      <c r="A3049" s="5">
        <v>4</v>
      </c>
      <c r="B3049" s="6" t="s">
        <v>6136</v>
      </c>
      <c r="C3049" s="7">
        <v>27488</v>
      </c>
      <c r="D3049" s="8" t="s">
        <v>6137</v>
      </c>
    </row>
    <row r="3050" spans="1:4" ht="14.25">
      <c r="A3050" s="5">
        <v>4</v>
      </c>
      <c r="B3050" s="6" t="s">
        <v>6138</v>
      </c>
      <c r="C3050" s="7">
        <v>27488</v>
      </c>
      <c r="D3050" s="8" t="s">
        <v>6139</v>
      </c>
    </row>
    <row r="3051" spans="1:4" ht="14.25">
      <c r="A3051" s="5">
        <v>4</v>
      </c>
      <c r="B3051" s="6" t="s">
        <v>6140</v>
      </c>
      <c r="C3051" s="7">
        <v>27488</v>
      </c>
      <c r="D3051" s="8" t="s">
        <v>6141</v>
      </c>
    </row>
    <row r="3052" spans="1:4" ht="14.25">
      <c r="A3052" s="5">
        <v>4</v>
      </c>
      <c r="B3052" s="6" t="s">
        <v>6142</v>
      </c>
      <c r="C3052" s="7">
        <v>27488</v>
      </c>
      <c r="D3052" s="8" t="s">
        <v>6143</v>
      </c>
    </row>
    <row r="3053" spans="1:4" ht="14.25">
      <c r="A3053" s="5">
        <v>4</v>
      </c>
      <c r="B3053" s="6" t="s">
        <v>6144</v>
      </c>
      <c r="C3053" s="7">
        <v>27488</v>
      </c>
      <c r="D3053" s="8" t="s">
        <v>6145</v>
      </c>
    </row>
    <row r="3054" spans="1:4" ht="14.25">
      <c r="A3054" s="5" t="s">
        <v>3357</v>
      </c>
      <c r="B3054" s="6" t="s">
        <v>6146</v>
      </c>
      <c r="C3054" s="7">
        <v>27489</v>
      </c>
      <c r="D3054" s="8" t="s">
        <v>6147</v>
      </c>
    </row>
    <row r="3055" spans="1:4" ht="14.25">
      <c r="A3055" s="5" t="s">
        <v>484</v>
      </c>
      <c r="B3055" s="6" t="s">
        <v>6148</v>
      </c>
      <c r="C3055" s="7">
        <v>27489</v>
      </c>
      <c r="D3055" s="8" t="s">
        <v>6149</v>
      </c>
    </row>
    <row r="3056" spans="1:4" ht="14.25">
      <c r="A3056" s="5">
        <v>5</v>
      </c>
      <c r="B3056" s="6" t="s">
        <v>6150</v>
      </c>
      <c r="C3056" s="7">
        <v>27489</v>
      </c>
      <c r="D3056" s="8" t="s">
        <v>6151</v>
      </c>
    </row>
    <row r="3057" spans="1:4" ht="14.25">
      <c r="A3057" s="5">
        <v>5</v>
      </c>
      <c r="B3057" s="6" t="s">
        <v>6152</v>
      </c>
      <c r="C3057" s="7">
        <v>27489</v>
      </c>
      <c r="D3057" s="8" t="s">
        <v>6153</v>
      </c>
    </row>
    <row r="3058" spans="1:4" ht="14.25">
      <c r="A3058" s="5">
        <v>5</v>
      </c>
      <c r="B3058" s="6" t="s">
        <v>6154</v>
      </c>
      <c r="C3058" s="7">
        <v>27489</v>
      </c>
      <c r="D3058" s="8" t="s">
        <v>6155</v>
      </c>
    </row>
    <row r="3059" spans="1:4" ht="14.25">
      <c r="A3059" s="5" t="s">
        <v>3357</v>
      </c>
      <c r="B3059" s="6" t="s">
        <v>6156</v>
      </c>
      <c r="C3059" s="7">
        <v>27490</v>
      </c>
      <c r="D3059" s="8" t="s">
        <v>6157</v>
      </c>
    </row>
    <row r="3060" spans="1:4" ht="14.25">
      <c r="A3060" s="5" t="s">
        <v>484</v>
      </c>
      <c r="B3060" s="6" t="s">
        <v>6158</v>
      </c>
      <c r="C3060" s="7">
        <v>27490</v>
      </c>
      <c r="D3060" s="8" t="s">
        <v>6159</v>
      </c>
    </row>
    <row r="3061" spans="1:4" ht="14.25">
      <c r="A3061" s="5" t="s">
        <v>167</v>
      </c>
      <c r="B3061" s="6" t="s">
        <v>6160</v>
      </c>
      <c r="C3061" s="7">
        <v>27490</v>
      </c>
      <c r="D3061" s="8" t="s">
        <v>6161</v>
      </c>
    </row>
    <row r="3062" spans="1:4" ht="14.25">
      <c r="A3062" s="5">
        <v>6</v>
      </c>
      <c r="B3062" s="6" t="s">
        <v>6162</v>
      </c>
      <c r="C3062" s="7">
        <v>27490</v>
      </c>
      <c r="D3062" s="8" t="s">
        <v>6163</v>
      </c>
    </row>
    <row r="3063" spans="1:4" ht="14.25">
      <c r="A3063" s="5">
        <v>6</v>
      </c>
      <c r="B3063" s="6" t="s">
        <v>6164</v>
      </c>
      <c r="C3063" s="7">
        <v>27490</v>
      </c>
      <c r="D3063" s="8" t="s">
        <v>6165</v>
      </c>
    </row>
    <row r="3064" spans="1:4" ht="14.25">
      <c r="A3064" s="5">
        <v>6</v>
      </c>
      <c r="B3064" s="6" t="s">
        <v>6166</v>
      </c>
      <c r="C3064" s="7">
        <v>27490</v>
      </c>
      <c r="D3064" s="8" t="s">
        <v>6167</v>
      </c>
    </row>
    <row r="3065" spans="1:4" ht="14.25">
      <c r="A3065" s="5">
        <v>6</v>
      </c>
      <c r="B3065" s="6" t="s">
        <v>6168</v>
      </c>
      <c r="C3065" s="7">
        <v>27490</v>
      </c>
      <c r="D3065" s="8" t="s">
        <v>6169</v>
      </c>
    </row>
    <row r="3066" spans="1:4" ht="14.25">
      <c r="A3066" s="5" t="s">
        <v>3357</v>
      </c>
      <c r="B3066" s="6" t="s">
        <v>6170</v>
      </c>
      <c r="C3066" s="7">
        <v>27491</v>
      </c>
      <c r="D3066" s="8" t="s">
        <v>6171</v>
      </c>
    </row>
    <row r="3067" spans="1:4" ht="14.25">
      <c r="A3067" s="5" t="s">
        <v>484</v>
      </c>
      <c r="B3067" s="6" t="s">
        <v>6172</v>
      </c>
      <c r="C3067" s="7">
        <v>27491</v>
      </c>
      <c r="D3067" s="8" t="s">
        <v>6173</v>
      </c>
    </row>
    <row r="3068" spans="1:4" ht="14.25">
      <c r="A3068" s="5">
        <v>7</v>
      </c>
      <c r="B3068" s="6" t="s">
        <v>6174</v>
      </c>
      <c r="C3068" s="7">
        <v>27491</v>
      </c>
      <c r="D3068" s="8" t="s">
        <v>6175</v>
      </c>
    </row>
    <row r="3069" spans="1:4" ht="14.25">
      <c r="A3069" s="5">
        <v>7</v>
      </c>
      <c r="B3069" s="6" t="s">
        <v>6176</v>
      </c>
      <c r="C3069" s="7">
        <v>27491</v>
      </c>
      <c r="D3069" s="8" t="s">
        <v>6177</v>
      </c>
    </row>
    <row r="3070" spans="1:4" ht="14.25">
      <c r="A3070" s="5">
        <v>7</v>
      </c>
      <c r="B3070" s="6" t="s">
        <v>6178</v>
      </c>
      <c r="C3070" s="7">
        <v>27491</v>
      </c>
      <c r="D3070" s="8" t="s">
        <v>6179</v>
      </c>
    </row>
    <row r="3071" spans="1:4" ht="14.25">
      <c r="A3071" s="5">
        <v>7</v>
      </c>
      <c r="B3071" s="6" t="s">
        <v>6180</v>
      </c>
      <c r="C3071" s="7">
        <v>27491</v>
      </c>
      <c r="D3071" s="8" t="s">
        <v>6181</v>
      </c>
    </row>
    <row r="3072" spans="1:4" ht="14.25">
      <c r="A3072" s="5" t="s">
        <v>3357</v>
      </c>
      <c r="B3072" s="6" t="s">
        <v>6182</v>
      </c>
      <c r="C3072" s="7">
        <v>27492</v>
      </c>
      <c r="D3072" s="8" t="s">
        <v>6183</v>
      </c>
    </row>
    <row r="3073" spans="1:4" ht="14.25">
      <c r="A3073" s="5" t="s">
        <v>484</v>
      </c>
      <c r="B3073" s="6" t="s">
        <v>6184</v>
      </c>
      <c r="C3073" s="7">
        <v>27492</v>
      </c>
      <c r="D3073" s="8" t="s">
        <v>6185</v>
      </c>
    </row>
    <row r="3074" spans="1:4" ht="14.25">
      <c r="A3074" s="5">
        <v>8</v>
      </c>
      <c r="B3074" s="6" t="s">
        <v>6186</v>
      </c>
      <c r="C3074" s="7">
        <v>27492</v>
      </c>
      <c r="D3074" s="8" t="s">
        <v>6187</v>
      </c>
    </row>
    <row r="3075" spans="1:4" ht="14.25">
      <c r="A3075" s="5">
        <v>8</v>
      </c>
      <c r="B3075" s="6" t="s">
        <v>6188</v>
      </c>
      <c r="C3075" s="7">
        <v>27492</v>
      </c>
      <c r="D3075" s="8" t="s">
        <v>6189</v>
      </c>
    </row>
    <row r="3076" spans="1:4" ht="14.25">
      <c r="A3076" s="5">
        <v>8</v>
      </c>
      <c r="B3076" s="6" t="s">
        <v>6190</v>
      </c>
      <c r="C3076" s="7">
        <v>27492</v>
      </c>
      <c r="D3076" s="8" t="s">
        <v>6191</v>
      </c>
    </row>
    <row r="3077" spans="1:4" ht="14.25">
      <c r="A3077" s="5" t="s">
        <v>3357</v>
      </c>
      <c r="B3077" s="6" t="s">
        <v>6192</v>
      </c>
      <c r="C3077" s="7">
        <v>27493</v>
      </c>
      <c r="D3077" s="8" t="s">
        <v>6193</v>
      </c>
    </row>
    <row r="3078" spans="1:4" ht="14.25">
      <c r="A3078" s="5" t="s">
        <v>484</v>
      </c>
      <c r="B3078" s="6" t="s">
        <v>6194</v>
      </c>
      <c r="C3078" s="7">
        <v>27493</v>
      </c>
      <c r="D3078" s="8" t="s">
        <v>6195</v>
      </c>
    </row>
    <row r="3079" spans="1:4" ht="14.25">
      <c r="A3079" s="5">
        <v>9</v>
      </c>
      <c r="B3079" s="6" t="s">
        <v>6196</v>
      </c>
      <c r="C3079" s="7">
        <v>27493</v>
      </c>
      <c r="D3079" s="8" t="s">
        <v>6197</v>
      </c>
    </row>
    <row r="3080" spans="1:4" ht="14.25">
      <c r="A3080" s="5">
        <v>9</v>
      </c>
      <c r="B3080" s="6" t="s">
        <v>6198</v>
      </c>
      <c r="C3080" s="7">
        <v>27493</v>
      </c>
      <c r="D3080" s="8" t="s">
        <v>6199</v>
      </c>
    </row>
    <row r="3081" spans="1:4" ht="14.25">
      <c r="A3081" s="5">
        <v>9</v>
      </c>
      <c r="B3081" s="6" t="s">
        <v>6200</v>
      </c>
      <c r="C3081" s="7">
        <v>27493</v>
      </c>
      <c r="D3081" s="8" t="s">
        <v>6201</v>
      </c>
    </row>
    <row r="3082" spans="1:4" ht="14.25">
      <c r="A3082" s="5" t="s">
        <v>968</v>
      </c>
      <c r="B3082" s="6" t="s">
        <v>6202</v>
      </c>
      <c r="C3082" s="7">
        <v>27494</v>
      </c>
      <c r="D3082" s="8" t="s">
        <v>6203</v>
      </c>
    </row>
    <row r="3083" spans="1:4" ht="14.25">
      <c r="A3083" s="5">
        <v>10</v>
      </c>
      <c r="B3083" s="6" t="s">
        <v>6204</v>
      </c>
      <c r="C3083" s="7">
        <v>27494</v>
      </c>
      <c r="D3083" s="8" t="s">
        <v>6205</v>
      </c>
    </row>
    <row r="3084" spans="1:4" ht="14.25">
      <c r="A3084" s="5">
        <v>10</v>
      </c>
      <c r="B3084" s="6" t="s">
        <v>6206</v>
      </c>
      <c r="C3084" s="7">
        <v>27494</v>
      </c>
      <c r="D3084" s="8" t="s">
        <v>6207</v>
      </c>
    </row>
    <row r="3085" spans="1:4" ht="14.25">
      <c r="A3085" s="5" t="s">
        <v>968</v>
      </c>
      <c r="B3085" s="6" t="s">
        <v>6208</v>
      </c>
      <c r="C3085" s="7">
        <v>27495</v>
      </c>
      <c r="D3085" s="8" t="s">
        <v>6209</v>
      </c>
    </row>
    <row r="3086" spans="1:4" ht="14.25">
      <c r="A3086" s="5">
        <v>11</v>
      </c>
      <c r="B3086" s="6" t="s">
        <v>6210</v>
      </c>
      <c r="C3086" s="7">
        <v>27495</v>
      </c>
      <c r="D3086" s="8" t="s">
        <v>6211</v>
      </c>
    </row>
    <row r="3087" spans="1:4" ht="14.25">
      <c r="A3087" s="5">
        <v>11</v>
      </c>
      <c r="B3087" s="6" t="s">
        <v>6212</v>
      </c>
      <c r="C3087" s="7">
        <v>27495</v>
      </c>
      <c r="D3087" s="8" t="s">
        <v>6213</v>
      </c>
    </row>
    <row r="3088" spans="1:4" ht="14.25">
      <c r="A3088" s="5" t="s">
        <v>463</v>
      </c>
      <c r="B3088" s="6" t="s">
        <v>6214</v>
      </c>
      <c r="C3088" s="7">
        <v>27496</v>
      </c>
      <c r="D3088" s="8" t="s">
        <v>6215</v>
      </c>
    </row>
    <row r="3089" spans="1:4" ht="14.25">
      <c r="A3089" s="5" t="s">
        <v>463</v>
      </c>
      <c r="B3089" s="6" t="s">
        <v>6216</v>
      </c>
      <c r="C3089" s="7">
        <v>27496</v>
      </c>
      <c r="D3089" s="8" t="s">
        <v>6217</v>
      </c>
    </row>
    <row r="3090" spans="1:4" ht="14.25">
      <c r="A3090" s="5" t="s">
        <v>463</v>
      </c>
      <c r="B3090" s="6" t="s">
        <v>6218</v>
      </c>
      <c r="C3090" s="7">
        <v>27496</v>
      </c>
      <c r="D3090" s="8" t="s">
        <v>6219</v>
      </c>
    </row>
    <row r="3091" spans="1:4" ht="14.25">
      <c r="A3091" s="5" t="s">
        <v>463</v>
      </c>
      <c r="B3091" s="6" t="s">
        <v>6220</v>
      </c>
      <c r="C3091" s="7">
        <v>27496</v>
      </c>
      <c r="D3091" s="8" t="s">
        <v>6221</v>
      </c>
    </row>
    <row r="3092" spans="1:4" ht="14.25">
      <c r="A3092" s="5" t="s">
        <v>968</v>
      </c>
      <c r="B3092" s="6" t="s">
        <v>6222</v>
      </c>
      <c r="C3092" s="7">
        <v>27496</v>
      </c>
      <c r="D3092" s="8" t="s">
        <v>6223</v>
      </c>
    </row>
    <row r="3093" spans="1:4" ht="14.25">
      <c r="A3093" s="5">
        <v>12</v>
      </c>
      <c r="B3093" s="6" t="s">
        <v>6224</v>
      </c>
      <c r="C3093" s="7">
        <v>27496</v>
      </c>
      <c r="D3093" s="8" t="s">
        <v>6225</v>
      </c>
    </row>
    <row r="3094" spans="1:4" ht="14.25">
      <c r="A3094" s="5">
        <v>12</v>
      </c>
      <c r="B3094" s="6" t="s">
        <v>6226</v>
      </c>
      <c r="C3094" s="7">
        <v>27496</v>
      </c>
      <c r="D3094" s="8" t="s">
        <v>6227</v>
      </c>
    </row>
    <row r="3095" spans="1:4" ht="14.25">
      <c r="A3095" s="5">
        <v>12</v>
      </c>
      <c r="B3095" s="6" t="s">
        <v>6228</v>
      </c>
      <c r="C3095" s="7">
        <v>27496</v>
      </c>
      <c r="D3095" s="8" t="s">
        <v>6229</v>
      </c>
    </row>
    <row r="3096" spans="1:4" ht="14.25">
      <c r="A3096" s="5">
        <v>12</v>
      </c>
      <c r="B3096" s="6" t="s">
        <v>6230</v>
      </c>
      <c r="C3096" s="7">
        <v>27496</v>
      </c>
      <c r="D3096" s="8" t="s">
        <v>6231</v>
      </c>
    </row>
    <row r="3097" spans="1:4" ht="14.25">
      <c r="A3097" s="5">
        <v>12</v>
      </c>
      <c r="B3097" s="6" t="s">
        <v>6232</v>
      </c>
      <c r="C3097" s="7">
        <v>27496</v>
      </c>
      <c r="D3097" s="8" t="s">
        <v>6233</v>
      </c>
    </row>
    <row r="3098" spans="1:4" ht="14.25">
      <c r="A3098" s="5">
        <v>12</v>
      </c>
      <c r="B3098" s="6" t="s">
        <v>6234</v>
      </c>
      <c r="C3098" s="7">
        <v>27496</v>
      </c>
      <c r="D3098" s="8" t="s">
        <v>6235</v>
      </c>
    </row>
    <row r="3099" spans="1:4" ht="14.25">
      <c r="A3099" s="5">
        <v>12</v>
      </c>
      <c r="B3099" s="6" t="s">
        <v>6236</v>
      </c>
      <c r="C3099" s="7">
        <v>27496</v>
      </c>
      <c r="D3099" s="8" t="s">
        <v>6237</v>
      </c>
    </row>
    <row r="3100" spans="1:4" ht="14.25">
      <c r="A3100" s="5" t="s">
        <v>968</v>
      </c>
      <c r="B3100" s="6" t="s">
        <v>6238</v>
      </c>
      <c r="C3100" s="7">
        <v>27497</v>
      </c>
      <c r="D3100" s="8" t="s">
        <v>6239</v>
      </c>
    </row>
    <row r="3101" spans="1:4" ht="14.25">
      <c r="A3101" s="5">
        <v>13</v>
      </c>
      <c r="B3101" s="6" t="s">
        <v>6240</v>
      </c>
      <c r="C3101" s="7">
        <v>27497</v>
      </c>
      <c r="D3101" s="8" t="s">
        <v>6241</v>
      </c>
    </row>
    <row r="3102" spans="1:4" ht="14.25">
      <c r="A3102" s="5">
        <v>13</v>
      </c>
      <c r="B3102" s="6" t="s">
        <v>6242</v>
      </c>
      <c r="C3102" s="7">
        <v>27497</v>
      </c>
      <c r="D3102" s="8" t="s">
        <v>6243</v>
      </c>
    </row>
    <row r="3103" spans="1:4" ht="14.25">
      <c r="A3103" s="5" t="s">
        <v>863</v>
      </c>
      <c r="B3103" s="6" t="s">
        <v>6244</v>
      </c>
      <c r="C3103" s="7">
        <v>27498</v>
      </c>
      <c r="D3103" s="8" t="s">
        <v>6245</v>
      </c>
    </row>
    <row r="3104" spans="1:4" ht="14.25">
      <c r="A3104" s="5" t="s">
        <v>463</v>
      </c>
      <c r="B3104" s="6" t="s">
        <v>6246</v>
      </c>
      <c r="C3104" s="7">
        <v>27498</v>
      </c>
      <c r="D3104" s="8" t="s">
        <v>6247</v>
      </c>
    </row>
    <row r="3105" spans="1:4" ht="14.25">
      <c r="A3105" s="5" t="s">
        <v>167</v>
      </c>
      <c r="B3105" s="6" t="s">
        <v>6248</v>
      </c>
      <c r="C3105" s="7">
        <v>27498</v>
      </c>
      <c r="D3105" s="8" t="s">
        <v>6249</v>
      </c>
    </row>
    <row r="3106" spans="1:4" ht="14.25">
      <c r="A3106" s="5" t="s">
        <v>167</v>
      </c>
      <c r="B3106" s="6" t="s">
        <v>6250</v>
      </c>
      <c r="C3106" s="7">
        <v>27498</v>
      </c>
      <c r="D3106" s="8" t="s">
        <v>6251</v>
      </c>
    </row>
    <row r="3107" spans="1:4" ht="14.25">
      <c r="A3107" s="5">
        <v>14</v>
      </c>
      <c r="B3107" s="6" t="s">
        <v>6252</v>
      </c>
      <c r="C3107" s="7">
        <v>27498</v>
      </c>
      <c r="D3107" s="8" t="s">
        <v>6253</v>
      </c>
    </row>
    <row r="3108" spans="1:4" ht="14.25">
      <c r="A3108" s="5">
        <v>14</v>
      </c>
      <c r="B3108" s="6" t="s">
        <v>6254</v>
      </c>
      <c r="C3108" s="7">
        <v>27498</v>
      </c>
      <c r="D3108" s="8" t="s">
        <v>6255</v>
      </c>
    </row>
    <row r="3109" spans="1:4" ht="14.25">
      <c r="A3109" s="5">
        <v>14</v>
      </c>
      <c r="B3109" s="6" t="s">
        <v>6256</v>
      </c>
      <c r="C3109" s="7">
        <v>27498</v>
      </c>
      <c r="D3109" s="8" t="s">
        <v>6257</v>
      </c>
    </row>
    <row r="3110" spans="1:4" ht="14.25">
      <c r="A3110" s="5">
        <v>14</v>
      </c>
      <c r="B3110" s="6" t="s">
        <v>6258</v>
      </c>
      <c r="C3110" s="7">
        <v>27498</v>
      </c>
      <c r="D3110" s="8" t="s">
        <v>6259</v>
      </c>
    </row>
    <row r="3111" spans="1:4" ht="14.25">
      <c r="A3111" s="5">
        <v>14</v>
      </c>
      <c r="B3111" s="6" t="s">
        <v>6260</v>
      </c>
      <c r="C3111" s="7">
        <v>27498</v>
      </c>
      <c r="D3111" s="8" t="s">
        <v>6261</v>
      </c>
    </row>
    <row r="3112" spans="1:4" ht="14.25">
      <c r="A3112" s="5">
        <v>14</v>
      </c>
      <c r="B3112" s="6" t="s">
        <v>6262</v>
      </c>
      <c r="C3112" s="7">
        <v>27498</v>
      </c>
      <c r="D3112" s="8" t="s">
        <v>6263</v>
      </c>
    </row>
    <row r="3113" spans="1:4" ht="14.25">
      <c r="A3113" s="5" t="s">
        <v>968</v>
      </c>
      <c r="B3113" s="6" t="s">
        <v>6264</v>
      </c>
      <c r="C3113" s="7">
        <v>27499</v>
      </c>
      <c r="D3113" s="8" t="s">
        <v>6265</v>
      </c>
    </row>
    <row r="3114" spans="1:4" ht="14.25">
      <c r="A3114" s="5">
        <v>15</v>
      </c>
      <c r="B3114" s="6" t="s">
        <v>6266</v>
      </c>
      <c r="C3114" s="7">
        <v>27499</v>
      </c>
      <c r="D3114" s="8" t="s">
        <v>6267</v>
      </c>
    </row>
    <row r="3115" spans="1:4" ht="14.25">
      <c r="A3115" s="5">
        <v>15</v>
      </c>
      <c r="B3115" s="6" t="s">
        <v>6268</v>
      </c>
      <c r="C3115" s="7">
        <v>27499</v>
      </c>
      <c r="D3115" s="8" t="s">
        <v>6269</v>
      </c>
    </row>
    <row r="3116" spans="1:4" ht="14.25">
      <c r="A3116" s="5" t="s">
        <v>236</v>
      </c>
      <c r="B3116" s="6" t="s">
        <v>6270</v>
      </c>
      <c r="C3116" s="7">
        <v>27501</v>
      </c>
      <c r="D3116" s="8" t="s">
        <v>6271</v>
      </c>
    </row>
    <row r="3117" spans="1:4" ht="14.25">
      <c r="A3117" s="5" t="s">
        <v>484</v>
      </c>
      <c r="B3117" s="6" t="s">
        <v>6272</v>
      </c>
      <c r="C3117" s="7">
        <v>27501</v>
      </c>
      <c r="D3117" s="8" t="s">
        <v>6273</v>
      </c>
    </row>
    <row r="3118" spans="1:4" ht="14.25">
      <c r="A3118" s="5">
        <v>17</v>
      </c>
      <c r="B3118" s="6" t="s">
        <v>6274</v>
      </c>
      <c r="C3118" s="7">
        <v>27501</v>
      </c>
      <c r="D3118" s="8" t="s">
        <v>6275</v>
      </c>
    </row>
    <row r="3119" spans="1:4" ht="14.25">
      <c r="A3119" s="5">
        <v>17</v>
      </c>
      <c r="B3119" s="6" t="s">
        <v>6276</v>
      </c>
      <c r="C3119" s="7">
        <v>27501</v>
      </c>
      <c r="D3119" s="8" t="s">
        <v>6277</v>
      </c>
    </row>
    <row r="3120" spans="1:4" ht="14.25">
      <c r="A3120" s="5">
        <v>17</v>
      </c>
      <c r="B3120" s="6" t="s">
        <v>6278</v>
      </c>
      <c r="C3120" s="7">
        <v>27501</v>
      </c>
      <c r="D3120" s="8" t="s">
        <v>6279</v>
      </c>
    </row>
    <row r="3121" spans="1:4" ht="14.25">
      <c r="A3121" s="5" t="s">
        <v>42</v>
      </c>
      <c r="B3121" s="6" t="s">
        <v>6280</v>
      </c>
      <c r="C3121" s="7">
        <v>27502</v>
      </c>
      <c r="D3121" s="8" t="s">
        <v>6281</v>
      </c>
    </row>
    <row r="3122" spans="1:4" ht="14.25">
      <c r="A3122" s="5">
        <v>18</v>
      </c>
      <c r="B3122" s="6" t="s">
        <v>6282</v>
      </c>
      <c r="C3122" s="7">
        <v>27502</v>
      </c>
      <c r="D3122" s="8" t="s">
        <v>6283</v>
      </c>
    </row>
    <row r="3123" spans="1:4" ht="14.25">
      <c r="A3123" s="5">
        <v>18</v>
      </c>
      <c r="B3123" s="6" t="s">
        <v>6284</v>
      </c>
      <c r="C3123" s="7">
        <v>27502</v>
      </c>
      <c r="D3123" s="8" t="s">
        <v>6285</v>
      </c>
    </row>
    <row r="3124" spans="1:4" ht="14.25">
      <c r="A3124" s="5" t="s">
        <v>484</v>
      </c>
      <c r="B3124" s="6" t="s">
        <v>6286</v>
      </c>
      <c r="C3124" s="7">
        <v>27503</v>
      </c>
      <c r="D3124" s="8" t="s">
        <v>6287</v>
      </c>
    </row>
    <row r="3125" spans="1:4" ht="14.25">
      <c r="A3125" s="5" t="s">
        <v>463</v>
      </c>
      <c r="B3125" s="6" t="s">
        <v>6288</v>
      </c>
      <c r="C3125" s="7">
        <v>27503</v>
      </c>
      <c r="D3125" s="8" t="s">
        <v>6289</v>
      </c>
    </row>
    <row r="3126" spans="1:4" ht="14.25">
      <c r="A3126" s="5">
        <v>19</v>
      </c>
      <c r="B3126" s="6" t="s">
        <v>6290</v>
      </c>
      <c r="C3126" s="7">
        <v>27503</v>
      </c>
      <c r="D3126" s="8" t="s">
        <v>6291</v>
      </c>
    </row>
    <row r="3127" spans="1:4" ht="14.25">
      <c r="A3127" s="5">
        <v>19</v>
      </c>
      <c r="B3127" s="6" t="s">
        <v>6292</v>
      </c>
      <c r="C3127" s="7">
        <v>27503</v>
      </c>
      <c r="D3127" s="8" t="s">
        <v>6293</v>
      </c>
    </row>
    <row r="3128" spans="1:4" ht="14.25">
      <c r="A3128" s="5" t="s">
        <v>463</v>
      </c>
      <c r="B3128" s="6" t="s">
        <v>6294</v>
      </c>
      <c r="C3128" s="7">
        <v>27504</v>
      </c>
      <c r="D3128" s="8" t="s">
        <v>6295</v>
      </c>
    </row>
    <row r="3129" spans="1:4" ht="14.25">
      <c r="A3129" s="5" t="s">
        <v>167</v>
      </c>
      <c r="B3129" s="6" t="s">
        <v>6296</v>
      </c>
      <c r="C3129" s="7">
        <v>27504</v>
      </c>
      <c r="D3129" s="8" t="s">
        <v>6297</v>
      </c>
    </row>
    <row r="3130" spans="1:4" ht="14.25">
      <c r="A3130" s="5">
        <v>20</v>
      </c>
      <c r="B3130" s="6" t="s">
        <v>6298</v>
      </c>
      <c r="C3130" s="7">
        <v>27504</v>
      </c>
      <c r="D3130" s="8" t="s">
        <v>6299</v>
      </c>
    </row>
    <row r="3131" spans="1:4" ht="14.25">
      <c r="A3131" s="5">
        <v>20</v>
      </c>
      <c r="B3131" s="6" t="s">
        <v>6300</v>
      </c>
      <c r="C3131" s="7">
        <v>27504</v>
      </c>
      <c r="D3131" s="8" t="s">
        <v>6301</v>
      </c>
    </row>
    <row r="3132" spans="1:4" ht="14.25">
      <c r="A3132" s="5">
        <v>20</v>
      </c>
      <c r="B3132" s="6" t="s">
        <v>6302</v>
      </c>
      <c r="C3132" s="7">
        <v>27504</v>
      </c>
      <c r="D3132" s="8" t="s">
        <v>6303</v>
      </c>
    </row>
    <row r="3133" spans="1:4" ht="14.25">
      <c r="A3133" s="5">
        <v>20</v>
      </c>
      <c r="B3133" s="6" t="s">
        <v>6304</v>
      </c>
      <c r="C3133" s="7">
        <v>27504</v>
      </c>
      <c r="D3133" s="8" t="s">
        <v>6305</v>
      </c>
    </row>
    <row r="3134" spans="1:4" ht="14.25">
      <c r="A3134" s="5">
        <v>20</v>
      </c>
      <c r="B3134" s="6" t="s">
        <v>6306</v>
      </c>
      <c r="C3134" s="7">
        <v>27504</v>
      </c>
      <c r="D3134" s="8" t="s">
        <v>6307</v>
      </c>
    </row>
    <row r="3135" spans="1:4" ht="14.25">
      <c r="A3135" s="5" t="s">
        <v>484</v>
      </c>
      <c r="B3135" s="6" t="s">
        <v>6308</v>
      </c>
      <c r="C3135" s="7">
        <v>27507</v>
      </c>
      <c r="D3135" s="8" t="s">
        <v>6309</v>
      </c>
    </row>
    <row r="3136" spans="1:4" ht="14.25">
      <c r="A3136" s="5" t="s">
        <v>42</v>
      </c>
      <c r="B3136" s="6" t="s">
        <v>6310</v>
      </c>
      <c r="C3136" s="7">
        <v>27507</v>
      </c>
      <c r="D3136" s="8" t="s">
        <v>6311</v>
      </c>
    </row>
    <row r="3137" spans="1:4" ht="14.25">
      <c r="A3137" s="5">
        <v>23</v>
      </c>
      <c r="B3137" s="6" t="s">
        <v>6312</v>
      </c>
      <c r="C3137" s="7">
        <v>27507</v>
      </c>
      <c r="D3137" s="8" t="s">
        <v>6313</v>
      </c>
    </row>
    <row r="3138" spans="1:4" ht="14.25">
      <c r="A3138" s="5">
        <v>23</v>
      </c>
      <c r="B3138" s="6" t="s">
        <v>6314</v>
      </c>
      <c r="C3138" s="7">
        <v>27507</v>
      </c>
      <c r="D3138" s="8" t="s">
        <v>6315</v>
      </c>
    </row>
    <row r="3139" spans="1:4" ht="14.25">
      <c r="A3139" s="5">
        <v>23</v>
      </c>
      <c r="B3139" s="6" t="s">
        <v>6316</v>
      </c>
      <c r="C3139" s="7">
        <v>27507</v>
      </c>
      <c r="D3139" s="8" t="s">
        <v>6317</v>
      </c>
    </row>
    <row r="3140" spans="1:4" ht="14.25">
      <c r="A3140" s="5" t="s">
        <v>42</v>
      </c>
      <c r="B3140" s="6" t="s">
        <v>6318</v>
      </c>
      <c r="C3140" s="7">
        <v>27508</v>
      </c>
      <c r="D3140" s="8" t="s">
        <v>6319</v>
      </c>
    </row>
    <row r="3141" spans="1:4" ht="14.25">
      <c r="A3141" s="5">
        <v>24</v>
      </c>
      <c r="B3141" s="6" t="s">
        <v>6320</v>
      </c>
      <c r="C3141" s="7">
        <v>27508</v>
      </c>
      <c r="D3141" s="8" t="s">
        <v>6321</v>
      </c>
    </row>
    <row r="3142" spans="1:4" ht="14.25">
      <c r="A3142" s="5">
        <v>24</v>
      </c>
      <c r="B3142" s="6" t="s">
        <v>6322</v>
      </c>
      <c r="C3142" s="7">
        <v>27508</v>
      </c>
      <c r="D3142" s="8" t="s">
        <v>6323</v>
      </c>
    </row>
    <row r="3143" spans="1:4" ht="14.25">
      <c r="A3143" s="5" t="s">
        <v>167</v>
      </c>
      <c r="B3143" s="6" t="s">
        <v>6324</v>
      </c>
      <c r="C3143" s="7">
        <v>27511</v>
      </c>
      <c r="D3143" s="8" t="s">
        <v>6325</v>
      </c>
    </row>
    <row r="3144" spans="1:4" ht="14.25">
      <c r="A3144" s="5">
        <v>27</v>
      </c>
      <c r="B3144" s="6" t="s">
        <v>6326</v>
      </c>
      <c r="C3144" s="7">
        <v>27511</v>
      </c>
      <c r="D3144" s="8" t="s">
        <v>6327</v>
      </c>
    </row>
    <row r="3145" spans="1:4" ht="14.25">
      <c r="A3145" s="5" t="s">
        <v>484</v>
      </c>
      <c r="B3145" s="6" t="s">
        <v>6328</v>
      </c>
      <c r="C3145" s="7">
        <v>27512</v>
      </c>
      <c r="D3145" s="8" t="s">
        <v>6329</v>
      </c>
    </row>
    <row r="3146" spans="1:4" ht="14.25">
      <c r="A3146" s="5">
        <v>28</v>
      </c>
      <c r="B3146" s="6" t="s">
        <v>6330</v>
      </c>
      <c r="C3146" s="7">
        <v>27512</v>
      </c>
      <c r="D3146" s="8" t="s">
        <v>6331</v>
      </c>
    </row>
    <row r="3147" spans="1:4" ht="14.25">
      <c r="A3147" s="5" t="s">
        <v>167</v>
      </c>
      <c r="B3147" s="6" t="s">
        <v>6332</v>
      </c>
      <c r="C3147" s="7">
        <v>27520</v>
      </c>
      <c r="D3147" s="8" t="s">
        <v>6333</v>
      </c>
    </row>
    <row r="3148" spans="1:4" ht="14.25">
      <c r="A3148" s="5">
        <v>6</v>
      </c>
      <c r="B3148" s="6" t="s">
        <v>6334</v>
      </c>
      <c r="C3148" s="7">
        <v>27520</v>
      </c>
      <c r="D3148" s="8" t="s">
        <v>6335</v>
      </c>
    </row>
    <row r="3149" spans="1:4" ht="14.25">
      <c r="A3149" s="5" t="s">
        <v>484</v>
      </c>
      <c r="B3149" s="6" t="s">
        <v>6336</v>
      </c>
      <c r="C3149" s="7">
        <v>27521</v>
      </c>
      <c r="D3149" s="8" t="s">
        <v>6337</v>
      </c>
    </row>
    <row r="3150" spans="1:4" ht="14.25">
      <c r="A3150" s="5">
        <v>7</v>
      </c>
      <c r="B3150" s="6" t="s">
        <v>6338</v>
      </c>
      <c r="C3150" s="7">
        <v>27521</v>
      </c>
      <c r="D3150" s="8" t="s">
        <v>6339</v>
      </c>
    </row>
    <row r="3151" spans="1:4" ht="14.25">
      <c r="A3151" s="5" t="s">
        <v>484</v>
      </c>
      <c r="B3151" s="6" t="s">
        <v>6340</v>
      </c>
      <c r="C3151" s="7">
        <v>27522</v>
      </c>
      <c r="D3151" s="8" t="s">
        <v>6341</v>
      </c>
    </row>
    <row r="3152" spans="1:4" ht="14.25">
      <c r="A3152" s="5" t="s">
        <v>463</v>
      </c>
      <c r="B3152" s="6" t="s">
        <v>6342</v>
      </c>
      <c r="C3152" s="7">
        <v>27522</v>
      </c>
      <c r="D3152" s="8" t="s">
        <v>6343</v>
      </c>
    </row>
    <row r="3153" spans="1:4" ht="14.25">
      <c r="A3153" s="5">
        <v>8</v>
      </c>
      <c r="B3153" s="6" t="s">
        <v>6344</v>
      </c>
      <c r="C3153" s="7">
        <v>27522</v>
      </c>
      <c r="D3153" s="8" t="s">
        <v>6345</v>
      </c>
    </row>
    <row r="3154" spans="1:4" ht="14.25">
      <c r="A3154" s="5">
        <v>8</v>
      </c>
      <c r="B3154" s="6" t="s">
        <v>6346</v>
      </c>
      <c r="C3154" s="7">
        <v>27522</v>
      </c>
      <c r="D3154" s="8" t="s">
        <v>6347</v>
      </c>
    </row>
    <row r="3155" spans="1:4" ht="14.25">
      <c r="A3155" s="5">
        <v>8</v>
      </c>
      <c r="B3155" s="6" t="s">
        <v>6348</v>
      </c>
      <c r="C3155" s="7">
        <v>27522</v>
      </c>
      <c r="D3155" s="8" t="s">
        <v>6349</v>
      </c>
    </row>
    <row r="3156" spans="1:4" ht="14.25">
      <c r="A3156" s="5">
        <v>8</v>
      </c>
      <c r="B3156" s="6" t="s">
        <v>6350</v>
      </c>
      <c r="C3156" s="7">
        <v>27522</v>
      </c>
      <c r="D3156" s="8" t="s">
        <v>6351</v>
      </c>
    </row>
    <row r="3157" spans="1:4" ht="14.25">
      <c r="A3157" s="5" t="s">
        <v>484</v>
      </c>
      <c r="B3157" s="6" t="s">
        <v>6352</v>
      </c>
      <c r="C3157" s="7">
        <v>27523</v>
      </c>
      <c r="D3157" s="8" t="s">
        <v>6353</v>
      </c>
    </row>
    <row r="3158" spans="1:4" ht="14.25">
      <c r="A3158" s="5">
        <v>9</v>
      </c>
      <c r="B3158" s="6" t="s">
        <v>6354</v>
      </c>
      <c r="C3158" s="7">
        <v>27523</v>
      </c>
      <c r="D3158" s="8" t="s">
        <v>6355</v>
      </c>
    </row>
    <row r="3159" spans="1:4" ht="14.25">
      <c r="A3159" s="5" t="s">
        <v>484</v>
      </c>
      <c r="B3159" s="6" t="s">
        <v>6356</v>
      </c>
      <c r="C3159" s="7">
        <v>27524</v>
      </c>
      <c r="D3159" s="8" t="s">
        <v>6357</v>
      </c>
    </row>
    <row r="3160" spans="1:4" ht="14.25">
      <c r="A3160" s="5" t="s">
        <v>463</v>
      </c>
      <c r="B3160" s="6" t="s">
        <v>6358</v>
      </c>
      <c r="C3160" s="7">
        <v>27524</v>
      </c>
      <c r="D3160" s="8" t="s">
        <v>6359</v>
      </c>
    </row>
    <row r="3161" spans="1:4" ht="14.25">
      <c r="A3161" s="5">
        <v>10</v>
      </c>
      <c r="B3161" s="6" t="s">
        <v>6360</v>
      </c>
      <c r="C3161" s="7">
        <v>27524</v>
      </c>
      <c r="D3161" s="8" t="s">
        <v>6361</v>
      </c>
    </row>
    <row r="3162" spans="1:4" ht="14.25">
      <c r="A3162" s="5">
        <v>10</v>
      </c>
      <c r="B3162" s="6" t="s">
        <v>6362</v>
      </c>
      <c r="C3162" s="7">
        <v>27524</v>
      </c>
      <c r="D3162" s="8" t="s">
        <v>6363</v>
      </c>
    </row>
    <row r="3163" spans="1:4" ht="14.25">
      <c r="A3163" s="5" t="s">
        <v>484</v>
      </c>
      <c r="B3163" s="6" t="s">
        <v>6364</v>
      </c>
      <c r="C3163" s="7">
        <v>27525</v>
      </c>
      <c r="D3163" s="8" t="s">
        <v>6365</v>
      </c>
    </row>
    <row r="3164" spans="1:4" ht="14.25">
      <c r="A3164" s="5">
        <v>11</v>
      </c>
      <c r="B3164" s="6" t="s">
        <v>6366</v>
      </c>
      <c r="C3164" s="7">
        <v>27525</v>
      </c>
      <c r="D3164" s="8" t="s">
        <v>6367</v>
      </c>
    </row>
    <row r="3165" spans="1:4" ht="14.25">
      <c r="A3165" s="5" t="s">
        <v>484</v>
      </c>
      <c r="B3165" s="6" t="s">
        <v>6368</v>
      </c>
      <c r="C3165" s="7">
        <v>27526</v>
      </c>
      <c r="D3165" s="8" t="s">
        <v>6369</v>
      </c>
    </row>
    <row r="3166" spans="1:4" ht="14.25">
      <c r="A3166" s="5" t="s">
        <v>463</v>
      </c>
      <c r="B3166" s="6" t="s">
        <v>6370</v>
      </c>
      <c r="C3166" s="7">
        <v>27526</v>
      </c>
      <c r="D3166" s="8" t="s">
        <v>6371</v>
      </c>
    </row>
    <row r="3167" spans="1:4" ht="14.25">
      <c r="A3167" s="5">
        <v>12</v>
      </c>
      <c r="B3167" s="6" t="s">
        <v>6372</v>
      </c>
      <c r="C3167" s="7">
        <v>27526</v>
      </c>
      <c r="D3167" s="8" t="s">
        <v>6373</v>
      </c>
    </row>
    <row r="3168" spans="1:4" ht="14.25">
      <c r="A3168" s="5">
        <v>12</v>
      </c>
      <c r="B3168" s="6" t="s">
        <v>6374</v>
      </c>
      <c r="C3168" s="7">
        <v>27526</v>
      </c>
      <c r="D3168" s="8" t="s">
        <v>6375</v>
      </c>
    </row>
    <row r="3169" spans="1:4" ht="14.25">
      <c r="A3169" s="5">
        <v>12</v>
      </c>
      <c r="B3169" s="6" t="s">
        <v>6376</v>
      </c>
      <c r="C3169" s="7">
        <v>27526</v>
      </c>
      <c r="D3169" s="8" t="s">
        <v>6377</v>
      </c>
    </row>
    <row r="3170" spans="1:4" ht="14.25">
      <c r="A3170" s="5" t="s">
        <v>484</v>
      </c>
      <c r="B3170" s="6" t="s">
        <v>6378</v>
      </c>
      <c r="C3170" s="7">
        <v>27527</v>
      </c>
      <c r="D3170" s="8" t="s">
        <v>6379</v>
      </c>
    </row>
    <row r="3171" spans="1:4" ht="14.25">
      <c r="A3171" s="5" t="s">
        <v>463</v>
      </c>
      <c r="B3171" s="6" t="s">
        <v>6380</v>
      </c>
      <c r="C3171" s="7">
        <v>27527</v>
      </c>
      <c r="D3171" s="8" t="s">
        <v>6381</v>
      </c>
    </row>
    <row r="3172" spans="1:4" ht="14.25">
      <c r="A3172" s="5" t="s">
        <v>463</v>
      </c>
      <c r="B3172" s="6" t="s">
        <v>6382</v>
      </c>
      <c r="C3172" s="7">
        <v>27527</v>
      </c>
      <c r="D3172" s="8" t="s">
        <v>6383</v>
      </c>
    </row>
    <row r="3173" spans="1:4" ht="14.25">
      <c r="A3173" s="5" t="s">
        <v>463</v>
      </c>
      <c r="B3173" s="6" t="s">
        <v>6384</v>
      </c>
      <c r="C3173" s="7">
        <v>27527</v>
      </c>
      <c r="D3173" s="8" t="s">
        <v>6385</v>
      </c>
    </row>
    <row r="3174" spans="1:4" ht="14.25">
      <c r="A3174" s="5">
        <v>13</v>
      </c>
      <c r="B3174" s="6" t="s">
        <v>6386</v>
      </c>
      <c r="C3174" s="7">
        <v>27527</v>
      </c>
      <c r="D3174" s="8" t="s">
        <v>6387</v>
      </c>
    </row>
    <row r="3175" spans="1:4" ht="14.25">
      <c r="A3175" s="5">
        <v>13</v>
      </c>
      <c r="B3175" s="6" t="s">
        <v>6388</v>
      </c>
      <c r="C3175" s="7">
        <v>27527</v>
      </c>
      <c r="D3175" s="8" t="s">
        <v>6389</v>
      </c>
    </row>
    <row r="3176" spans="1:4" ht="14.25">
      <c r="A3176" s="5">
        <v>13</v>
      </c>
      <c r="B3176" s="6" t="s">
        <v>6390</v>
      </c>
      <c r="C3176" s="7">
        <v>27527</v>
      </c>
      <c r="D3176" s="8" t="s">
        <v>6391</v>
      </c>
    </row>
    <row r="3177" spans="1:4" ht="14.25">
      <c r="A3177" s="5">
        <v>13</v>
      </c>
      <c r="B3177" s="6" t="s">
        <v>6392</v>
      </c>
      <c r="C3177" s="7">
        <v>27527</v>
      </c>
      <c r="D3177" s="8" t="s">
        <v>6393</v>
      </c>
    </row>
    <row r="3178" spans="1:4" ht="14.25">
      <c r="A3178" s="5" t="s">
        <v>484</v>
      </c>
      <c r="B3178" s="6" t="s">
        <v>6394</v>
      </c>
      <c r="C3178" s="7">
        <v>27528</v>
      </c>
      <c r="D3178" s="8" t="s">
        <v>6395</v>
      </c>
    </row>
    <row r="3179" spans="1:4" ht="14.25">
      <c r="A3179" s="5" t="s">
        <v>463</v>
      </c>
      <c r="B3179" s="6" t="s">
        <v>6396</v>
      </c>
      <c r="C3179" s="7">
        <v>27528</v>
      </c>
      <c r="D3179" s="8" t="s">
        <v>6397</v>
      </c>
    </row>
    <row r="3180" spans="1:4" ht="14.25">
      <c r="A3180" s="5">
        <v>14</v>
      </c>
      <c r="B3180" s="6" t="s">
        <v>6398</v>
      </c>
      <c r="C3180" s="7">
        <v>27528</v>
      </c>
      <c r="D3180" s="8" t="s">
        <v>6399</v>
      </c>
    </row>
    <row r="3181" spans="1:4" ht="14.25">
      <c r="A3181" s="5">
        <v>14</v>
      </c>
      <c r="B3181" s="6" t="s">
        <v>6400</v>
      </c>
      <c r="C3181" s="7">
        <v>27528</v>
      </c>
      <c r="D3181" s="8" t="s">
        <v>6401</v>
      </c>
    </row>
    <row r="3182" spans="1:4" ht="14.25">
      <c r="A3182" s="5" t="s">
        <v>484</v>
      </c>
      <c r="B3182" s="6" t="s">
        <v>6402</v>
      </c>
      <c r="C3182" s="7">
        <v>27529</v>
      </c>
      <c r="D3182" s="8" t="s">
        <v>6403</v>
      </c>
    </row>
    <row r="3183" spans="1:4" ht="14.25">
      <c r="A3183" s="5">
        <v>15</v>
      </c>
      <c r="B3183" s="6" t="s">
        <v>6404</v>
      </c>
      <c r="C3183" s="7">
        <v>27529</v>
      </c>
      <c r="D3183" s="8" t="s">
        <v>6405</v>
      </c>
    </row>
    <row r="3184" spans="1:4" ht="14.25">
      <c r="A3184" s="5" t="s">
        <v>484</v>
      </c>
      <c r="B3184" s="6" t="s">
        <v>6406</v>
      </c>
      <c r="C3184" s="7">
        <v>27530</v>
      </c>
      <c r="D3184" s="8" t="s">
        <v>6407</v>
      </c>
    </row>
    <row r="3185" spans="1:4" ht="14.25">
      <c r="A3185" s="5" t="s">
        <v>463</v>
      </c>
      <c r="B3185" s="6" t="s">
        <v>6408</v>
      </c>
      <c r="C3185" s="7">
        <v>27530</v>
      </c>
      <c r="D3185" s="8" t="s">
        <v>6409</v>
      </c>
    </row>
    <row r="3186" spans="1:4" ht="14.25">
      <c r="A3186" s="5" t="s">
        <v>463</v>
      </c>
      <c r="B3186" s="6" t="s">
        <v>6410</v>
      </c>
      <c r="C3186" s="7">
        <v>27530</v>
      </c>
      <c r="D3186" s="8" t="s">
        <v>6411</v>
      </c>
    </row>
    <row r="3187" spans="1:4" ht="14.25">
      <c r="A3187" s="5">
        <v>16</v>
      </c>
      <c r="B3187" s="6" t="s">
        <v>6412</v>
      </c>
      <c r="C3187" s="7">
        <v>27530</v>
      </c>
      <c r="D3187" s="8" t="s">
        <v>6413</v>
      </c>
    </row>
    <row r="3188" spans="1:4" ht="14.25">
      <c r="A3188" s="5">
        <v>16</v>
      </c>
      <c r="B3188" s="6" t="s">
        <v>6414</v>
      </c>
      <c r="C3188" s="7">
        <v>27530</v>
      </c>
      <c r="D3188" s="8" t="s">
        <v>6415</v>
      </c>
    </row>
    <row r="3189" spans="1:4" ht="14.25">
      <c r="A3189" s="5">
        <v>16</v>
      </c>
      <c r="B3189" s="6" t="s">
        <v>6416</v>
      </c>
      <c r="C3189" s="7">
        <v>27530</v>
      </c>
      <c r="D3189" s="8" t="s">
        <v>6417</v>
      </c>
    </row>
    <row r="3190" spans="1:4" ht="14.25">
      <c r="A3190" s="5">
        <v>16</v>
      </c>
      <c r="B3190" s="6" t="s">
        <v>6418</v>
      </c>
      <c r="C3190" s="7">
        <v>27530</v>
      </c>
      <c r="D3190" s="8" t="s">
        <v>6419</v>
      </c>
    </row>
    <row r="3191" spans="1:4" ht="14.25">
      <c r="A3191" s="5" t="s">
        <v>484</v>
      </c>
      <c r="B3191" s="6" t="s">
        <v>6420</v>
      </c>
      <c r="C3191" s="7">
        <v>27531</v>
      </c>
      <c r="D3191" s="8" t="s">
        <v>6421</v>
      </c>
    </row>
    <row r="3192" spans="1:4" ht="14.25">
      <c r="A3192" s="5" t="s">
        <v>463</v>
      </c>
      <c r="B3192" s="6" t="s">
        <v>6422</v>
      </c>
      <c r="C3192" s="7">
        <v>27531</v>
      </c>
      <c r="D3192" s="8" t="s">
        <v>6423</v>
      </c>
    </row>
    <row r="3193" spans="1:4" ht="14.25">
      <c r="A3193" s="5">
        <v>17</v>
      </c>
      <c r="B3193" s="6" t="s">
        <v>6424</v>
      </c>
      <c r="C3193" s="7">
        <v>27531</v>
      </c>
      <c r="D3193" s="8" t="s">
        <v>6425</v>
      </c>
    </row>
    <row r="3194" spans="1:4" ht="14.25">
      <c r="A3194" s="5">
        <v>17</v>
      </c>
      <c r="B3194" s="6" t="s">
        <v>6426</v>
      </c>
      <c r="C3194" s="7">
        <v>27531</v>
      </c>
      <c r="D3194" s="8" t="s">
        <v>6427</v>
      </c>
    </row>
    <row r="3195" spans="1:4" ht="14.25">
      <c r="A3195" s="5" t="s">
        <v>2</v>
      </c>
      <c r="B3195" s="6" t="s">
        <v>6428</v>
      </c>
      <c r="C3195" s="7">
        <v>27533</v>
      </c>
      <c r="D3195" s="8" t="s">
        <v>6429</v>
      </c>
    </row>
    <row r="3196" spans="1:4" ht="14.25">
      <c r="A3196" s="5" t="s">
        <v>484</v>
      </c>
      <c r="B3196" s="6" t="s">
        <v>6430</v>
      </c>
      <c r="C3196" s="7">
        <v>27533</v>
      </c>
      <c r="D3196" s="8" t="s">
        <v>6431</v>
      </c>
    </row>
    <row r="3197" spans="1:4" ht="14.25">
      <c r="A3197" s="5" t="s">
        <v>463</v>
      </c>
      <c r="B3197" s="6" t="s">
        <v>6432</v>
      </c>
      <c r="C3197" s="7">
        <v>27533</v>
      </c>
      <c r="D3197" s="8" t="s">
        <v>6433</v>
      </c>
    </row>
    <row r="3198" spans="1:4" ht="14.25">
      <c r="A3198" s="5" t="s">
        <v>463</v>
      </c>
      <c r="B3198" s="6" t="s">
        <v>6434</v>
      </c>
      <c r="C3198" s="7">
        <v>27533</v>
      </c>
      <c r="D3198" s="8" t="s">
        <v>6435</v>
      </c>
    </row>
    <row r="3199" spans="1:4" ht="14.25">
      <c r="A3199" s="5" t="s">
        <v>463</v>
      </c>
      <c r="B3199" s="6" t="s">
        <v>6436</v>
      </c>
      <c r="C3199" s="7">
        <v>27533</v>
      </c>
      <c r="D3199" s="8" t="s">
        <v>6437</v>
      </c>
    </row>
    <row r="3200" spans="1:4" ht="14.25">
      <c r="A3200" s="5" t="s">
        <v>167</v>
      </c>
      <c r="B3200" s="6" t="s">
        <v>6438</v>
      </c>
      <c r="C3200" s="7">
        <v>27533</v>
      </c>
      <c r="D3200" s="8" t="s">
        <v>6439</v>
      </c>
    </row>
    <row r="3201" spans="1:4" ht="14.25">
      <c r="A3201" s="5">
        <v>19</v>
      </c>
      <c r="B3201" s="6" t="s">
        <v>6440</v>
      </c>
      <c r="C3201" s="7">
        <v>27533</v>
      </c>
      <c r="D3201" s="8" t="s">
        <v>6441</v>
      </c>
    </row>
    <row r="3202" spans="1:4" ht="14.25">
      <c r="A3202" s="5">
        <v>19</v>
      </c>
      <c r="B3202" s="6" t="s">
        <v>6442</v>
      </c>
      <c r="C3202" s="7">
        <v>27533</v>
      </c>
      <c r="D3202" s="8" t="s">
        <v>6443</v>
      </c>
    </row>
    <row r="3203" spans="1:4" ht="14.25">
      <c r="A3203" s="5">
        <v>19</v>
      </c>
      <c r="B3203" s="6" t="s">
        <v>6444</v>
      </c>
      <c r="C3203" s="7">
        <v>27533</v>
      </c>
      <c r="D3203" s="8" t="s">
        <v>6445</v>
      </c>
    </row>
    <row r="3204" spans="1:4" ht="14.25">
      <c r="A3204" s="5">
        <v>19</v>
      </c>
      <c r="B3204" s="6" t="s">
        <v>6446</v>
      </c>
      <c r="C3204" s="7">
        <v>27533</v>
      </c>
      <c r="D3204" s="8" t="s">
        <v>6447</v>
      </c>
    </row>
    <row r="3205" spans="1:4" ht="14.25">
      <c r="A3205" s="5">
        <v>19</v>
      </c>
      <c r="B3205" s="6" t="s">
        <v>6448</v>
      </c>
      <c r="C3205" s="7">
        <v>27533</v>
      </c>
      <c r="D3205" s="8" t="s">
        <v>6449</v>
      </c>
    </row>
    <row r="3206" spans="1:4" ht="14.25">
      <c r="A3206" s="5">
        <v>19</v>
      </c>
      <c r="B3206" s="6" t="s">
        <v>6450</v>
      </c>
      <c r="C3206" s="7">
        <v>27533</v>
      </c>
      <c r="D3206" s="8" t="s">
        <v>6451</v>
      </c>
    </row>
    <row r="3207" spans="1:4" ht="14.25">
      <c r="A3207" s="5">
        <v>19</v>
      </c>
      <c r="B3207" s="6" t="s">
        <v>6452</v>
      </c>
      <c r="C3207" s="7">
        <v>27533</v>
      </c>
      <c r="D3207" s="8" t="s">
        <v>6453</v>
      </c>
    </row>
    <row r="3208" spans="1:4" ht="14.25">
      <c r="A3208" s="5">
        <v>19</v>
      </c>
      <c r="B3208" s="6" t="s">
        <v>6454</v>
      </c>
      <c r="C3208" s="7">
        <v>27533</v>
      </c>
      <c r="D3208" s="8" t="s">
        <v>6455</v>
      </c>
    </row>
    <row r="3209" spans="1:4" ht="14.25">
      <c r="A3209" s="5">
        <v>19</v>
      </c>
      <c r="B3209" s="6" t="s">
        <v>6456</v>
      </c>
      <c r="C3209" s="7">
        <v>27533</v>
      </c>
      <c r="D3209" s="8" t="s">
        <v>6457</v>
      </c>
    </row>
    <row r="3210" spans="1:4" ht="14.25">
      <c r="A3210" s="5" t="s">
        <v>484</v>
      </c>
      <c r="B3210" s="6" t="s">
        <v>6458</v>
      </c>
      <c r="C3210" s="7">
        <v>27534</v>
      </c>
      <c r="D3210" s="8" t="s">
        <v>6459</v>
      </c>
    </row>
    <row r="3211" spans="1:4" ht="14.25">
      <c r="A3211" s="5" t="s">
        <v>463</v>
      </c>
      <c r="B3211" s="6" t="s">
        <v>6460</v>
      </c>
      <c r="C3211" s="7">
        <v>27534</v>
      </c>
      <c r="D3211" s="8" t="s">
        <v>6461</v>
      </c>
    </row>
    <row r="3212" spans="1:4" ht="14.25">
      <c r="A3212" s="5" t="s">
        <v>1001</v>
      </c>
      <c r="B3212" s="6" t="s">
        <v>6462</v>
      </c>
      <c r="C3212" s="7">
        <v>27534</v>
      </c>
      <c r="D3212" s="8" t="s">
        <v>6463</v>
      </c>
    </row>
    <row r="3213" spans="1:4" ht="14.25">
      <c r="A3213" s="5">
        <v>20</v>
      </c>
      <c r="B3213" s="6" t="s">
        <v>6464</v>
      </c>
      <c r="C3213" s="7">
        <v>27534</v>
      </c>
      <c r="D3213" s="8" t="s">
        <v>6465</v>
      </c>
    </row>
    <row r="3214" spans="1:4" ht="14.25">
      <c r="A3214" s="5">
        <v>20</v>
      </c>
      <c r="B3214" s="6" t="s">
        <v>6466</v>
      </c>
      <c r="C3214" s="7">
        <v>27534</v>
      </c>
      <c r="D3214" s="8" t="s">
        <v>6467</v>
      </c>
    </row>
    <row r="3215" spans="1:4" ht="14.25">
      <c r="A3215" s="5">
        <v>20</v>
      </c>
      <c r="B3215" s="6" t="s">
        <v>6468</v>
      </c>
      <c r="C3215" s="7">
        <v>27534</v>
      </c>
      <c r="D3215" s="9" t="s">
        <v>6469</v>
      </c>
    </row>
    <row r="3216" spans="1:4" ht="14.25">
      <c r="A3216" s="5">
        <v>20</v>
      </c>
      <c r="B3216" s="6" t="s">
        <v>6470</v>
      </c>
      <c r="C3216" s="7">
        <v>27534</v>
      </c>
      <c r="D3216" s="8" t="s">
        <v>6471</v>
      </c>
    </row>
    <row r="3217" spans="1:4" ht="14.25">
      <c r="A3217" s="5" t="s">
        <v>484</v>
      </c>
      <c r="B3217" s="6" t="s">
        <v>6472</v>
      </c>
      <c r="C3217" s="7">
        <v>27535</v>
      </c>
      <c r="D3217" s="8" t="s">
        <v>6473</v>
      </c>
    </row>
    <row r="3218" spans="1:4" ht="14.25">
      <c r="A3218" s="5" t="s">
        <v>463</v>
      </c>
      <c r="B3218" s="6" t="s">
        <v>6474</v>
      </c>
      <c r="C3218" s="7">
        <v>27535</v>
      </c>
      <c r="D3218" s="8" t="s">
        <v>6475</v>
      </c>
    </row>
    <row r="3219" spans="1:4" ht="14.25">
      <c r="A3219" s="5" t="s">
        <v>1001</v>
      </c>
      <c r="B3219" s="6" t="s">
        <v>6476</v>
      </c>
      <c r="C3219" s="7">
        <v>27535</v>
      </c>
      <c r="D3219" s="8" t="s">
        <v>6477</v>
      </c>
    </row>
    <row r="3220" spans="1:4" ht="14.25">
      <c r="A3220" s="5">
        <v>21</v>
      </c>
      <c r="B3220" s="6" t="s">
        <v>6478</v>
      </c>
      <c r="C3220" s="7">
        <v>27535</v>
      </c>
      <c r="D3220" s="8" t="s">
        <v>6479</v>
      </c>
    </row>
    <row r="3221" spans="1:4" ht="14.25">
      <c r="A3221" s="5">
        <v>21</v>
      </c>
      <c r="B3221" s="6" t="s">
        <v>6480</v>
      </c>
      <c r="C3221" s="7">
        <v>27535</v>
      </c>
      <c r="D3221" s="8" t="s">
        <v>6481</v>
      </c>
    </row>
    <row r="3222" spans="1:4" ht="14.25">
      <c r="A3222" s="5">
        <v>21</v>
      </c>
      <c r="B3222" s="6" t="s">
        <v>6482</v>
      </c>
      <c r="C3222" s="7">
        <v>27535</v>
      </c>
      <c r="D3222" s="8" t="s">
        <v>6483</v>
      </c>
    </row>
    <row r="3223" spans="1:4" ht="14.25">
      <c r="A3223" s="5">
        <v>21</v>
      </c>
      <c r="B3223" s="6" t="s">
        <v>6484</v>
      </c>
      <c r="C3223" s="7">
        <v>27535</v>
      </c>
      <c r="D3223" s="8" t="s">
        <v>6485</v>
      </c>
    </row>
    <row r="3224" spans="1:4" ht="14.25">
      <c r="A3224" s="5">
        <v>21</v>
      </c>
      <c r="B3224" s="6" t="s">
        <v>6486</v>
      </c>
      <c r="C3224" s="7">
        <v>27535</v>
      </c>
      <c r="D3224" s="8" t="s">
        <v>6487</v>
      </c>
    </row>
    <row r="3225" spans="1:4" ht="14.25">
      <c r="A3225" s="5" t="s">
        <v>484</v>
      </c>
      <c r="B3225" s="6" t="s">
        <v>6488</v>
      </c>
      <c r="C3225" s="7">
        <v>27536</v>
      </c>
      <c r="D3225" s="8" t="s">
        <v>6489</v>
      </c>
    </row>
    <row r="3226" spans="1:4" ht="14.25">
      <c r="A3226" s="5" t="s">
        <v>463</v>
      </c>
      <c r="B3226" s="6" t="s">
        <v>6490</v>
      </c>
      <c r="C3226" s="7">
        <v>27536</v>
      </c>
      <c r="D3226" s="8" t="s">
        <v>6491</v>
      </c>
    </row>
    <row r="3227" spans="1:4" ht="14.25">
      <c r="A3227" s="5" t="s">
        <v>463</v>
      </c>
      <c r="B3227" s="6" t="s">
        <v>6492</v>
      </c>
      <c r="C3227" s="7">
        <v>27536</v>
      </c>
      <c r="D3227" s="8" t="s">
        <v>6493</v>
      </c>
    </row>
    <row r="3228" spans="1:4" ht="14.25">
      <c r="A3228" s="5" t="s">
        <v>1001</v>
      </c>
      <c r="B3228" s="6" t="s">
        <v>6494</v>
      </c>
      <c r="C3228" s="7">
        <v>27536</v>
      </c>
      <c r="D3228" s="8" t="s">
        <v>6495</v>
      </c>
    </row>
    <row r="3229" spans="1:4" ht="14.25">
      <c r="A3229" s="5" t="s">
        <v>1001</v>
      </c>
      <c r="B3229" s="6" t="s">
        <v>6496</v>
      </c>
      <c r="C3229" s="7">
        <v>27536</v>
      </c>
      <c r="D3229" s="8" t="s">
        <v>6497</v>
      </c>
    </row>
    <row r="3230" spans="1:4" ht="14.25">
      <c r="A3230" s="5">
        <v>22</v>
      </c>
      <c r="B3230" s="6" t="s">
        <v>6498</v>
      </c>
      <c r="C3230" s="7">
        <v>27536</v>
      </c>
      <c r="D3230" s="8" t="s">
        <v>6499</v>
      </c>
    </row>
    <row r="3231" spans="1:4" ht="14.25">
      <c r="A3231" s="5">
        <v>22</v>
      </c>
      <c r="B3231" s="6" t="s">
        <v>6500</v>
      </c>
      <c r="C3231" s="7">
        <v>27536</v>
      </c>
      <c r="D3231" s="8" t="s">
        <v>6501</v>
      </c>
    </row>
    <row r="3232" spans="1:4" ht="14.25">
      <c r="A3232" s="5">
        <v>22</v>
      </c>
      <c r="B3232" s="6" t="s">
        <v>6502</v>
      </c>
      <c r="C3232" s="7">
        <v>27536</v>
      </c>
      <c r="D3232" s="8" t="s">
        <v>6503</v>
      </c>
    </row>
    <row r="3233" spans="1:4" ht="14.25">
      <c r="A3233" s="5">
        <v>22</v>
      </c>
      <c r="B3233" s="6" t="s">
        <v>6504</v>
      </c>
      <c r="C3233" s="7">
        <v>27536</v>
      </c>
      <c r="D3233" s="8" t="s">
        <v>6505</v>
      </c>
    </row>
    <row r="3234" spans="1:4" ht="14.25">
      <c r="A3234" s="5">
        <v>22</v>
      </c>
      <c r="B3234" s="6" t="s">
        <v>6506</v>
      </c>
      <c r="C3234" s="7">
        <v>27536</v>
      </c>
      <c r="D3234" s="9" t="s">
        <v>6507</v>
      </c>
    </row>
    <row r="3235" spans="1:4" ht="14.25">
      <c r="A3235" s="5">
        <v>22</v>
      </c>
      <c r="B3235" s="6" t="s">
        <v>6508</v>
      </c>
      <c r="C3235" s="7">
        <v>27536</v>
      </c>
      <c r="D3235" s="8" t="s">
        <v>6509</v>
      </c>
    </row>
    <row r="3236" spans="1:4" ht="14.25">
      <c r="A3236" s="5" t="s">
        <v>484</v>
      </c>
      <c r="B3236" s="6" t="s">
        <v>6510</v>
      </c>
      <c r="C3236" s="7">
        <v>27537</v>
      </c>
      <c r="D3236" s="8" t="s">
        <v>6511</v>
      </c>
    </row>
    <row r="3237" spans="1:4" ht="14.25">
      <c r="A3237" s="5">
        <v>23</v>
      </c>
      <c r="B3237" s="6" t="s">
        <v>6512</v>
      </c>
      <c r="C3237" s="7">
        <v>27537</v>
      </c>
      <c r="D3237" s="8" t="s">
        <v>6513</v>
      </c>
    </row>
    <row r="3238" spans="1:4" ht="14.25">
      <c r="A3238" s="5">
        <v>23</v>
      </c>
      <c r="B3238" s="6" t="s">
        <v>6514</v>
      </c>
      <c r="C3238" s="7">
        <v>27537</v>
      </c>
      <c r="D3238" s="8" t="s">
        <v>6515</v>
      </c>
    </row>
    <row r="3239" spans="1:4" ht="14.25">
      <c r="A3239" s="5" t="s">
        <v>184</v>
      </c>
      <c r="B3239" s="6" t="s">
        <v>6516</v>
      </c>
      <c r="C3239" s="7">
        <v>27538</v>
      </c>
      <c r="D3239" s="8" t="s">
        <v>6517</v>
      </c>
    </row>
    <row r="3240" spans="1:4" ht="14.25">
      <c r="A3240" s="5">
        <v>24</v>
      </c>
      <c r="B3240" s="6" t="s">
        <v>6518</v>
      </c>
      <c r="C3240" s="7">
        <v>27538</v>
      </c>
      <c r="D3240" s="8" t="s">
        <v>6519</v>
      </c>
    </row>
    <row r="3241" spans="1:4" ht="14.25">
      <c r="A3241" s="5">
        <v>24</v>
      </c>
      <c r="B3241" s="6" t="s">
        <v>6520</v>
      </c>
      <c r="C3241" s="7">
        <v>27538</v>
      </c>
      <c r="D3241" s="8" t="s">
        <v>6521</v>
      </c>
    </row>
    <row r="3242" spans="1:4" ht="14.25">
      <c r="A3242" s="5" t="s">
        <v>863</v>
      </c>
      <c r="B3242" s="6" t="s">
        <v>6522</v>
      </c>
      <c r="C3242" s="7">
        <v>27539</v>
      </c>
      <c r="D3242" s="8" t="s">
        <v>6523</v>
      </c>
    </row>
    <row r="3243" spans="1:4" ht="14.25">
      <c r="A3243" s="5" t="s">
        <v>2</v>
      </c>
      <c r="B3243" s="6" t="s">
        <v>6524</v>
      </c>
      <c r="C3243" s="7">
        <v>27539</v>
      </c>
      <c r="D3243" s="8" t="s">
        <v>6525</v>
      </c>
    </row>
    <row r="3244" spans="1:4" ht="14.25">
      <c r="A3244" s="5" t="s">
        <v>167</v>
      </c>
      <c r="B3244" s="6" t="s">
        <v>6526</v>
      </c>
      <c r="C3244" s="7">
        <v>27539</v>
      </c>
      <c r="D3244" s="8" t="s">
        <v>6527</v>
      </c>
    </row>
    <row r="3245" spans="1:4" ht="14.25">
      <c r="A3245" s="5">
        <v>25</v>
      </c>
      <c r="B3245" s="6" t="s">
        <v>6528</v>
      </c>
      <c r="C3245" s="7">
        <v>27539</v>
      </c>
      <c r="D3245" s="8" t="s">
        <v>6529</v>
      </c>
    </row>
    <row r="3246" spans="1:4" ht="14.25">
      <c r="A3246" s="5">
        <v>25</v>
      </c>
      <c r="B3246" s="6" t="s">
        <v>6530</v>
      </c>
      <c r="C3246" s="7">
        <v>27539</v>
      </c>
      <c r="D3246" s="8" t="s">
        <v>6531</v>
      </c>
    </row>
    <row r="3247" spans="1:4" ht="14.25">
      <c r="A3247" s="5">
        <v>25</v>
      </c>
      <c r="B3247" s="6" t="s">
        <v>6532</v>
      </c>
      <c r="C3247" s="7">
        <v>27539</v>
      </c>
      <c r="D3247" s="8" t="s">
        <v>6533</v>
      </c>
    </row>
    <row r="3248" spans="1:4" ht="14.25">
      <c r="A3248" s="5">
        <v>25</v>
      </c>
      <c r="B3248" s="6" t="s">
        <v>6534</v>
      </c>
      <c r="C3248" s="7">
        <v>27539</v>
      </c>
      <c r="D3248" s="8" t="s">
        <v>6535</v>
      </c>
    </row>
    <row r="3249" spans="1:4" ht="14.25">
      <c r="A3249" s="5">
        <v>25</v>
      </c>
      <c r="B3249" s="6" t="s">
        <v>6536</v>
      </c>
      <c r="C3249" s="7">
        <v>27539</v>
      </c>
      <c r="D3249" s="8" t="s">
        <v>6537</v>
      </c>
    </row>
    <row r="3250" spans="1:4" ht="14.25">
      <c r="A3250" s="5" t="s">
        <v>484</v>
      </c>
      <c r="B3250" s="6" t="s">
        <v>6538</v>
      </c>
      <c r="C3250" s="7">
        <v>27541</v>
      </c>
      <c r="D3250" s="8" t="s">
        <v>6539</v>
      </c>
    </row>
    <row r="3251" spans="1:4" ht="14.25">
      <c r="A3251" s="5">
        <v>27</v>
      </c>
      <c r="B3251" s="6" t="s">
        <v>6540</v>
      </c>
      <c r="C3251" s="7">
        <v>27541</v>
      </c>
      <c r="D3251" s="8" t="s">
        <v>6541</v>
      </c>
    </row>
    <row r="3252" spans="1:4" ht="14.25">
      <c r="A3252" s="5" t="s">
        <v>484</v>
      </c>
      <c r="B3252" s="6" t="s">
        <v>6542</v>
      </c>
      <c r="C3252" s="7">
        <v>27542</v>
      </c>
      <c r="D3252" s="8" t="s">
        <v>6543</v>
      </c>
    </row>
    <row r="3253" spans="1:4" ht="14.25">
      <c r="A3253" s="5">
        <v>28</v>
      </c>
      <c r="B3253" s="6" t="s">
        <v>6544</v>
      </c>
      <c r="C3253" s="7">
        <v>27542</v>
      </c>
      <c r="D3253" s="8" t="s">
        <v>6545</v>
      </c>
    </row>
    <row r="3254" spans="1:4" ht="14.25">
      <c r="A3254" s="5" t="s">
        <v>484</v>
      </c>
      <c r="B3254" s="6" t="s">
        <v>6546</v>
      </c>
      <c r="C3254" s="7">
        <v>27543</v>
      </c>
      <c r="D3254" s="8" t="s">
        <v>6547</v>
      </c>
    </row>
    <row r="3255" spans="1:4" ht="14.25">
      <c r="A3255" s="5">
        <v>29</v>
      </c>
      <c r="B3255" s="6" t="s">
        <v>6548</v>
      </c>
      <c r="C3255" s="7">
        <v>27543</v>
      </c>
      <c r="D3255" s="8" t="s">
        <v>6549</v>
      </c>
    </row>
    <row r="3256" spans="1:4" ht="14.25">
      <c r="A3256" s="5" t="s">
        <v>484</v>
      </c>
      <c r="B3256" s="6" t="s">
        <v>6550</v>
      </c>
      <c r="C3256" s="7">
        <v>27545</v>
      </c>
      <c r="D3256" s="8" t="s">
        <v>6551</v>
      </c>
    </row>
    <row r="3257" spans="1:4" ht="14.25">
      <c r="A3257" s="5">
        <v>31</v>
      </c>
      <c r="B3257" s="6" t="s">
        <v>6552</v>
      </c>
      <c r="C3257" s="7">
        <v>27545</v>
      </c>
      <c r="D3257" s="8" t="s">
        <v>6553</v>
      </c>
    </row>
    <row r="3258" spans="1:4" ht="14.25">
      <c r="A3258" s="5" t="s">
        <v>2078</v>
      </c>
      <c r="B3258" s="6" t="s">
        <v>6554</v>
      </c>
      <c r="C3258" s="7">
        <v>27546</v>
      </c>
      <c r="D3258" s="8" t="s">
        <v>6555</v>
      </c>
    </row>
    <row r="3259" spans="1:4" ht="14.25">
      <c r="A3259" s="5">
        <v>1</v>
      </c>
      <c r="B3259" s="6" t="s">
        <v>6556</v>
      </c>
      <c r="C3259" s="7">
        <v>27546</v>
      </c>
      <c r="D3259" s="8" t="s">
        <v>6557</v>
      </c>
    </row>
    <row r="3260" spans="1:4" ht="14.25">
      <c r="A3260" s="5">
        <v>1</v>
      </c>
      <c r="B3260" s="6" t="s">
        <v>6558</v>
      </c>
      <c r="C3260" s="7">
        <v>27546</v>
      </c>
      <c r="D3260" s="8" t="s">
        <v>6559</v>
      </c>
    </row>
    <row r="3261" spans="1:4" ht="14.25">
      <c r="A3261" s="5" t="s">
        <v>484</v>
      </c>
      <c r="B3261" s="6" t="s">
        <v>6560</v>
      </c>
      <c r="C3261" s="7">
        <v>27547</v>
      </c>
      <c r="D3261" s="8" t="s">
        <v>6561</v>
      </c>
    </row>
    <row r="3262" spans="1:4" ht="14.25">
      <c r="A3262" s="5">
        <v>2</v>
      </c>
      <c r="B3262" s="6" t="s">
        <v>6562</v>
      </c>
      <c r="C3262" s="7">
        <v>27547</v>
      </c>
      <c r="D3262" s="8" t="s">
        <v>6563</v>
      </c>
    </row>
    <row r="3263" spans="1:4" ht="14.25">
      <c r="A3263" s="5" t="s">
        <v>167</v>
      </c>
      <c r="B3263" s="6" t="s">
        <v>6564</v>
      </c>
      <c r="C3263" s="7">
        <v>27548</v>
      </c>
      <c r="D3263" s="8" t="s">
        <v>6565</v>
      </c>
    </row>
    <row r="3264" spans="1:4" ht="14.25">
      <c r="A3264" s="5">
        <v>3</v>
      </c>
      <c r="B3264" s="6" t="s">
        <v>6566</v>
      </c>
      <c r="C3264" s="7">
        <v>27548</v>
      </c>
      <c r="D3264" s="8" t="s">
        <v>6567</v>
      </c>
    </row>
    <row r="3265" spans="1:4" ht="14.25">
      <c r="A3265" s="5" t="s">
        <v>484</v>
      </c>
      <c r="B3265" s="6" t="s">
        <v>6568</v>
      </c>
      <c r="C3265" s="7">
        <v>27549</v>
      </c>
      <c r="D3265" s="8" t="s">
        <v>6569</v>
      </c>
    </row>
    <row r="3266" spans="1:4" ht="14.25">
      <c r="A3266" s="5">
        <v>4</v>
      </c>
      <c r="B3266" s="6" t="s">
        <v>6570</v>
      </c>
      <c r="C3266" s="7">
        <v>27549</v>
      </c>
      <c r="D3266" s="8" t="s">
        <v>6571</v>
      </c>
    </row>
    <row r="3267" spans="1:4" ht="14.25">
      <c r="A3267" s="5" t="s">
        <v>484</v>
      </c>
      <c r="B3267" s="6" t="s">
        <v>6572</v>
      </c>
      <c r="C3267" s="7">
        <v>27552</v>
      </c>
      <c r="D3267" s="8" t="s">
        <v>6573</v>
      </c>
    </row>
    <row r="3268" spans="1:4" ht="14.25">
      <c r="A3268" s="5" t="s">
        <v>463</v>
      </c>
      <c r="B3268" s="6" t="s">
        <v>6574</v>
      </c>
      <c r="C3268" s="7">
        <v>27552</v>
      </c>
      <c r="D3268" s="8" t="s">
        <v>6575</v>
      </c>
    </row>
    <row r="3269" spans="1:4" ht="14.25">
      <c r="A3269" s="5">
        <v>7</v>
      </c>
      <c r="B3269" s="6" t="s">
        <v>6576</v>
      </c>
      <c r="C3269" s="7">
        <v>27552</v>
      </c>
      <c r="D3269" s="8" t="s">
        <v>6577</v>
      </c>
    </row>
    <row r="3270" spans="1:4" ht="14.25">
      <c r="A3270" s="5">
        <v>7</v>
      </c>
      <c r="B3270" s="6" t="s">
        <v>6578</v>
      </c>
      <c r="C3270" s="7">
        <v>27552</v>
      </c>
      <c r="D3270" s="8" t="s">
        <v>6579</v>
      </c>
    </row>
    <row r="3271" spans="1:4" ht="14.25">
      <c r="A3271" s="5">
        <v>7</v>
      </c>
      <c r="B3271" s="6" t="s">
        <v>6580</v>
      </c>
      <c r="C3271" s="7">
        <v>27552</v>
      </c>
      <c r="D3271" s="8" t="s">
        <v>6581</v>
      </c>
    </row>
    <row r="3272" spans="1:4" ht="14.25">
      <c r="A3272" s="5">
        <v>7</v>
      </c>
      <c r="B3272" s="6" t="s">
        <v>6582</v>
      </c>
      <c r="C3272" s="7">
        <v>27552</v>
      </c>
      <c r="D3272" s="8" t="s">
        <v>6583</v>
      </c>
    </row>
    <row r="3273" spans="1:4" ht="14.25">
      <c r="A3273" s="5" t="s">
        <v>484</v>
      </c>
      <c r="B3273" s="6" t="s">
        <v>6584</v>
      </c>
      <c r="C3273" s="7">
        <v>27553</v>
      </c>
      <c r="D3273" s="8" t="s">
        <v>6585</v>
      </c>
    </row>
    <row r="3274" spans="1:4" ht="14.25">
      <c r="A3274" s="5" t="s">
        <v>1001</v>
      </c>
      <c r="B3274" s="6" t="s">
        <v>6586</v>
      </c>
      <c r="C3274" s="7">
        <v>27553</v>
      </c>
      <c r="D3274" s="8" t="s">
        <v>6587</v>
      </c>
    </row>
    <row r="3275" spans="1:4" ht="14.25">
      <c r="A3275" s="5">
        <v>8</v>
      </c>
      <c r="B3275" s="6" t="s">
        <v>6588</v>
      </c>
      <c r="C3275" s="7">
        <v>27553</v>
      </c>
      <c r="D3275" s="8" t="s">
        <v>6589</v>
      </c>
    </row>
    <row r="3276" spans="1:4" ht="14.25">
      <c r="A3276" s="5">
        <v>8</v>
      </c>
      <c r="B3276" s="6" t="s">
        <v>6590</v>
      </c>
      <c r="C3276" s="7">
        <v>27553</v>
      </c>
      <c r="D3276" s="9" t="s">
        <v>6591</v>
      </c>
    </row>
    <row r="3277" spans="1:4" ht="14.25">
      <c r="A3277" s="5">
        <v>8</v>
      </c>
      <c r="B3277" s="6" t="s">
        <v>6592</v>
      </c>
      <c r="C3277" s="7">
        <v>27553</v>
      </c>
      <c r="D3277" s="8" t="s">
        <v>6593</v>
      </c>
    </row>
    <row r="3278" spans="1:4" ht="14.25">
      <c r="A3278" s="5" t="s">
        <v>484</v>
      </c>
      <c r="B3278" s="6" t="s">
        <v>6594</v>
      </c>
      <c r="C3278" s="7">
        <v>27555</v>
      </c>
      <c r="D3278" s="8" t="s">
        <v>6595</v>
      </c>
    </row>
    <row r="3279" spans="1:4" ht="14.25">
      <c r="A3279" s="5">
        <v>10</v>
      </c>
      <c r="B3279" s="6" t="s">
        <v>6596</v>
      </c>
      <c r="C3279" s="7">
        <v>27555</v>
      </c>
      <c r="D3279" s="8" t="s">
        <v>6597</v>
      </c>
    </row>
    <row r="3280" spans="1:4" ht="14.25">
      <c r="A3280" s="5" t="s">
        <v>484</v>
      </c>
      <c r="B3280" s="6" t="s">
        <v>6598</v>
      </c>
      <c r="C3280" s="7">
        <v>27556</v>
      </c>
      <c r="D3280" s="8" t="s">
        <v>6599</v>
      </c>
    </row>
    <row r="3281" spans="1:4" ht="14.25">
      <c r="A3281" s="5" t="s">
        <v>463</v>
      </c>
      <c r="B3281" s="6" t="s">
        <v>6600</v>
      </c>
      <c r="C3281" s="7">
        <v>27556</v>
      </c>
      <c r="D3281" s="8" t="s">
        <v>6601</v>
      </c>
    </row>
    <row r="3282" spans="1:4" ht="14.25">
      <c r="A3282" s="5">
        <v>11</v>
      </c>
      <c r="B3282" s="6" t="s">
        <v>6602</v>
      </c>
      <c r="C3282" s="7">
        <v>27556</v>
      </c>
      <c r="D3282" s="8" t="s">
        <v>6603</v>
      </c>
    </row>
    <row r="3283" spans="1:4" ht="14.25">
      <c r="A3283" s="5">
        <v>11</v>
      </c>
      <c r="B3283" s="6" t="s">
        <v>6604</v>
      </c>
      <c r="C3283" s="7">
        <v>27556</v>
      </c>
      <c r="D3283" s="8" t="s">
        <v>6605</v>
      </c>
    </row>
    <row r="3284" spans="1:4" ht="14.25">
      <c r="A3284" s="5" t="s">
        <v>463</v>
      </c>
      <c r="B3284" s="6" t="s">
        <v>6606</v>
      </c>
      <c r="C3284" s="7">
        <v>27557</v>
      </c>
      <c r="D3284" s="8" t="s">
        <v>6607</v>
      </c>
    </row>
    <row r="3285" spans="1:4" ht="14.25">
      <c r="A3285" s="5">
        <v>12</v>
      </c>
      <c r="B3285" s="6" t="s">
        <v>6608</v>
      </c>
      <c r="C3285" s="7">
        <v>27557</v>
      </c>
      <c r="D3285" s="8" t="s">
        <v>6609</v>
      </c>
    </row>
    <row r="3286" spans="1:4" ht="14.25">
      <c r="A3286" s="5" t="s">
        <v>484</v>
      </c>
      <c r="B3286" s="6" t="s">
        <v>6610</v>
      </c>
      <c r="C3286" s="7">
        <v>27559</v>
      </c>
      <c r="D3286" s="8" t="s">
        <v>6611</v>
      </c>
    </row>
    <row r="3287" spans="1:4" ht="14.25">
      <c r="A3287" s="5" t="s">
        <v>463</v>
      </c>
      <c r="B3287" s="6" t="s">
        <v>6612</v>
      </c>
      <c r="C3287" s="7">
        <v>27559</v>
      </c>
      <c r="D3287" s="8" t="s">
        <v>6613</v>
      </c>
    </row>
    <row r="3288" spans="1:4" ht="14.25">
      <c r="A3288" s="5">
        <v>14</v>
      </c>
      <c r="B3288" s="6" t="s">
        <v>6614</v>
      </c>
      <c r="C3288" s="7">
        <v>27559</v>
      </c>
      <c r="D3288" s="8" t="s">
        <v>6615</v>
      </c>
    </row>
    <row r="3289" spans="1:4" ht="14.25">
      <c r="A3289" s="5">
        <v>14</v>
      </c>
      <c r="B3289" s="6" t="s">
        <v>6616</v>
      </c>
      <c r="C3289" s="7">
        <v>27559</v>
      </c>
      <c r="D3289" s="8" t="s">
        <v>6617</v>
      </c>
    </row>
    <row r="3290" spans="1:4" ht="14.25">
      <c r="A3290" s="5" t="s">
        <v>484</v>
      </c>
      <c r="B3290" s="6" t="s">
        <v>6618</v>
      </c>
      <c r="C3290" s="7">
        <v>27560</v>
      </c>
      <c r="D3290" s="8" t="s">
        <v>6619</v>
      </c>
    </row>
    <row r="3291" spans="1:4" ht="14.25">
      <c r="A3291" s="5" t="s">
        <v>463</v>
      </c>
      <c r="B3291" s="6" t="s">
        <v>6620</v>
      </c>
      <c r="C3291" s="7">
        <v>27560</v>
      </c>
      <c r="D3291" s="8" t="s">
        <v>6621</v>
      </c>
    </row>
    <row r="3292" spans="1:4" ht="14.25">
      <c r="A3292" s="5" t="s">
        <v>463</v>
      </c>
      <c r="B3292" s="6" t="s">
        <v>6622</v>
      </c>
      <c r="C3292" s="7">
        <v>27560</v>
      </c>
      <c r="D3292" s="8" t="s">
        <v>6623</v>
      </c>
    </row>
    <row r="3293" spans="1:4" ht="14.25">
      <c r="A3293" s="5" t="s">
        <v>463</v>
      </c>
      <c r="B3293" s="6" t="s">
        <v>6624</v>
      </c>
      <c r="C3293" s="7">
        <v>27560</v>
      </c>
      <c r="D3293" s="8" t="s">
        <v>6625</v>
      </c>
    </row>
    <row r="3294" spans="1:4" ht="14.25">
      <c r="A3294" s="5" t="s">
        <v>463</v>
      </c>
      <c r="B3294" s="6" t="s">
        <v>6626</v>
      </c>
      <c r="C3294" s="7">
        <v>27560</v>
      </c>
      <c r="D3294" s="8" t="s">
        <v>6627</v>
      </c>
    </row>
    <row r="3295" spans="1:4" ht="14.25">
      <c r="A3295" s="5" t="s">
        <v>1001</v>
      </c>
      <c r="B3295" s="6" t="s">
        <v>6628</v>
      </c>
      <c r="C3295" s="7">
        <v>27560</v>
      </c>
      <c r="D3295" s="8" t="s">
        <v>6629</v>
      </c>
    </row>
    <row r="3296" spans="1:4" ht="14.25">
      <c r="A3296" s="5">
        <v>15</v>
      </c>
      <c r="B3296" s="6" t="s">
        <v>6630</v>
      </c>
      <c r="C3296" s="7">
        <v>27560</v>
      </c>
      <c r="D3296" s="8" t="s">
        <v>6631</v>
      </c>
    </row>
    <row r="3297" spans="1:4" ht="14.25">
      <c r="A3297" s="5">
        <v>15</v>
      </c>
      <c r="B3297" s="6" t="s">
        <v>6632</v>
      </c>
      <c r="C3297" s="7">
        <v>27560</v>
      </c>
      <c r="D3297" s="8" t="s">
        <v>6633</v>
      </c>
    </row>
    <row r="3298" spans="1:4" ht="14.25">
      <c r="A3298" s="5">
        <v>15</v>
      </c>
      <c r="B3298" s="6" t="s">
        <v>6634</v>
      </c>
      <c r="C3298" s="7">
        <v>27560</v>
      </c>
      <c r="D3298" s="8" t="s">
        <v>6635</v>
      </c>
    </row>
    <row r="3299" spans="1:4" ht="14.25">
      <c r="A3299" s="5">
        <v>15</v>
      </c>
      <c r="B3299" s="6" t="s">
        <v>6636</v>
      </c>
      <c r="C3299" s="7">
        <v>27560</v>
      </c>
      <c r="D3299" s="8" t="s">
        <v>6637</v>
      </c>
    </row>
    <row r="3300" spans="1:4" ht="14.25">
      <c r="A3300" s="5">
        <v>15</v>
      </c>
      <c r="B3300" s="6" t="s">
        <v>6638</v>
      </c>
      <c r="C3300" s="7">
        <v>27560</v>
      </c>
      <c r="D3300" s="8" t="s">
        <v>6639</v>
      </c>
    </row>
    <row r="3301" spans="1:4" ht="14.25">
      <c r="A3301" s="5">
        <v>15</v>
      </c>
      <c r="B3301" s="6" t="s">
        <v>6640</v>
      </c>
      <c r="C3301" s="7">
        <v>27560</v>
      </c>
      <c r="D3301" s="8" t="s">
        <v>6641</v>
      </c>
    </row>
    <row r="3302" spans="1:4" ht="14.25">
      <c r="A3302" s="5">
        <v>15</v>
      </c>
      <c r="B3302" s="6" t="s">
        <v>6642</v>
      </c>
      <c r="C3302" s="7">
        <v>27560</v>
      </c>
      <c r="D3302" s="8" t="s">
        <v>6643</v>
      </c>
    </row>
    <row r="3303" spans="1:4" ht="14.25">
      <c r="A3303" s="5" t="s">
        <v>484</v>
      </c>
      <c r="B3303" s="6" t="s">
        <v>6644</v>
      </c>
      <c r="C3303" s="7">
        <v>27561</v>
      </c>
      <c r="D3303" s="8" t="s">
        <v>6645</v>
      </c>
    </row>
    <row r="3304" spans="1:4" ht="14.25">
      <c r="A3304" s="5" t="s">
        <v>463</v>
      </c>
      <c r="B3304" s="6" t="s">
        <v>6646</v>
      </c>
      <c r="C3304" s="7">
        <v>27561</v>
      </c>
      <c r="D3304" s="8" t="s">
        <v>6647</v>
      </c>
    </row>
    <row r="3305" spans="1:4" ht="14.25">
      <c r="A3305" s="5" t="s">
        <v>463</v>
      </c>
      <c r="B3305" s="6" t="s">
        <v>6648</v>
      </c>
      <c r="C3305" s="7">
        <v>27561</v>
      </c>
      <c r="D3305" s="8" t="s">
        <v>6649</v>
      </c>
    </row>
    <row r="3306" spans="1:4" ht="14.25">
      <c r="A3306" s="5" t="s">
        <v>463</v>
      </c>
      <c r="B3306" s="6" t="s">
        <v>6650</v>
      </c>
      <c r="C3306" s="7">
        <v>27561</v>
      </c>
      <c r="D3306" s="8" t="s">
        <v>6651</v>
      </c>
    </row>
    <row r="3307" spans="1:4" ht="14.25">
      <c r="A3307" s="5" t="s">
        <v>463</v>
      </c>
      <c r="B3307" s="6" t="s">
        <v>6652</v>
      </c>
      <c r="C3307" s="7">
        <v>27561</v>
      </c>
      <c r="D3307" s="8" t="s">
        <v>6653</v>
      </c>
    </row>
    <row r="3308" spans="1:4" ht="14.25">
      <c r="A3308" s="5">
        <v>16</v>
      </c>
      <c r="B3308" s="6" t="s">
        <v>6654</v>
      </c>
      <c r="C3308" s="7">
        <v>27561</v>
      </c>
      <c r="D3308" s="8" t="s">
        <v>6655</v>
      </c>
    </row>
    <row r="3309" spans="1:4" ht="14.25">
      <c r="A3309" s="5">
        <v>16</v>
      </c>
      <c r="B3309" s="6" t="s">
        <v>6656</v>
      </c>
      <c r="C3309" s="7">
        <v>27561</v>
      </c>
      <c r="D3309" s="8" t="s">
        <v>6657</v>
      </c>
    </row>
    <row r="3310" spans="1:4" ht="14.25">
      <c r="A3310" s="5">
        <v>16</v>
      </c>
      <c r="B3310" s="6" t="s">
        <v>6658</v>
      </c>
      <c r="C3310" s="7">
        <v>27561</v>
      </c>
      <c r="D3310" s="8" t="s">
        <v>6659</v>
      </c>
    </row>
    <row r="3311" spans="1:4" ht="14.25">
      <c r="A3311" s="5">
        <v>16</v>
      </c>
      <c r="B3311" s="6" t="s">
        <v>6660</v>
      </c>
      <c r="C3311" s="7">
        <v>27561</v>
      </c>
      <c r="D3311" s="8" t="s">
        <v>6661</v>
      </c>
    </row>
    <row r="3312" spans="1:4" ht="14.25">
      <c r="A3312" s="5">
        <v>16</v>
      </c>
      <c r="B3312" s="6" t="s">
        <v>6662</v>
      </c>
      <c r="C3312" s="7">
        <v>27561</v>
      </c>
      <c r="D3312" s="8" t="s">
        <v>6663</v>
      </c>
    </row>
    <row r="3313" spans="1:4" ht="14.25">
      <c r="A3313" s="5" t="s">
        <v>484</v>
      </c>
      <c r="B3313" s="6" t="s">
        <v>6664</v>
      </c>
      <c r="C3313" s="7">
        <v>27562</v>
      </c>
      <c r="D3313" s="8" t="s">
        <v>6665</v>
      </c>
    </row>
    <row r="3314" spans="1:4" ht="14.25">
      <c r="A3314" s="5" t="s">
        <v>463</v>
      </c>
      <c r="B3314" s="6" t="s">
        <v>6666</v>
      </c>
      <c r="C3314" s="7">
        <v>27562</v>
      </c>
      <c r="D3314" s="8" t="s">
        <v>6667</v>
      </c>
    </row>
    <row r="3315" spans="1:4" ht="14.25">
      <c r="A3315" s="5" t="s">
        <v>1001</v>
      </c>
      <c r="B3315" s="6" t="s">
        <v>6668</v>
      </c>
      <c r="C3315" s="7">
        <v>27562</v>
      </c>
      <c r="D3315" s="8" t="s">
        <v>6669</v>
      </c>
    </row>
    <row r="3316" spans="1:4" ht="14.25">
      <c r="A3316" s="5">
        <v>17</v>
      </c>
      <c r="B3316" s="6" t="s">
        <v>6670</v>
      </c>
      <c r="C3316" s="7">
        <v>27562</v>
      </c>
      <c r="D3316" s="8" t="s">
        <v>6671</v>
      </c>
    </row>
    <row r="3317" spans="1:4" ht="14.25">
      <c r="A3317" s="5">
        <v>17</v>
      </c>
      <c r="B3317" s="6" t="s">
        <v>6672</v>
      </c>
      <c r="C3317" s="7">
        <v>27562</v>
      </c>
      <c r="D3317" s="8" t="s">
        <v>6673</v>
      </c>
    </row>
    <row r="3318" spans="1:4" ht="14.25">
      <c r="A3318" s="5">
        <v>17</v>
      </c>
      <c r="B3318" s="6" t="s">
        <v>6674</v>
      </c>
      <c r="C3318" s="7">
        <v>27562</v>
      </c>
      <c r="D3318" s="8" t="s">
        <v>6675</v>
      </c>
    </row>
    <row r="3319" spans="1:4" ht="14.25">
      <c r="A3319" s="5" t="s">
        <v>484</v>
      </c>
      <c r="B3319" s="6" t="s">
        <v>6676</v>
      </c>
      <c r="C3319" s="7">
        <v>27563</v>
      </c>
      <c r="D3319" s="8" t="s">
        <v>6677</v>
      </c>
    </row>
    <row r="3320" spans="1:4" ht="14.25">
      <c r="A3320" s="5" t="s">
        <v>463</v>
      </c>
      <c r="B3320" s="6" t="s">
        <v>6678</v>
      </c>
      <c r="C3320" s="7">
        <v>27563</v>
      </c>
      <c r="D3320" s="8" t="s">
        <v>6679</v>
      </c>
    </row>
    <row r="3321" spans="1:4" ht="14.25">
      <c r="A3321" s="5">
        <v>18</v>
      </c>
      <c r="B3321" s="6" t="s">
        <v>6680</v>
      </c>
      <c r="C3321" s="7">
        <v>27563</v>
      </c>
      <c r="D3321" s="8" t="s">
        <v>6681</v>
      </c>
    </row>
    <row r="3322" spans="1:4" ht="14.25">
      <c r="A3322" s="5">
        <v>18</v>
      </c>
      <c r="B3322" s="6" t="s">
        <v>6682</v>
      </c>
      <c r="C3322" s="7">
        <v>27563</v>
      </c>
      <c r="D3322" s="8" t="s">
        <v>6683</v>
      </c>
    </row>
    <row r="3323" spans="1:4" ht="14.25">
      <c r="A3323" s="5" t="s">
        <v>484</v>
      </c>
      <c r="B3323" s="6" t="s">
        <v>6684</v>
      </c>
      <c r="C3323" s="7">
        <v>27564</v>
      </c>
      <c r="D3323" s="8" t="s">
        <v>6685</v>
      </c>
    </row>
    <row r="3324" spans="1:4" ht="14.25">
      <c r="A3324" s="5">
        <v>19</v>
      </c>
      <c r="B3324" s="6" t="s">
        <v>6686</v>
      </c>
      <c r="C3324" s="7">
        <v>27564</v>
      </c>
      <c r="D3324" s="8" t="s">
        <v>6687</v>
      </c>
    </row>
    <row r="3325" spans="1:4" ht="14.25">
      <c r="A3325" s="5" t="s">
        <v>863</v>
      </c>
      <c r="B3325" s="6" t="s">
        <v>6688</v>
      </c>
      <c r="C3325" s="7">
        <v>27565</v>
      </c>
      <c r="D3325" s="8" t="s">
        <v>6689</v>
      </c>
    </row>
    <row r="3326" spans="1:4" ht="14.25">
      <c r="A3326" s="5" t="s">
        <v>863</v>
      </c>
      <c r="B3326" s="6" t="s">
        <v>6690</v>
      </c>
      <c r="C3326" s="7">
        <v>27565</v>
      </c>
      <c r="D3326" s="8" t="s">
        <v>6691</v>
      </c>
    </row>
    <row r="3327" spans="1:4" ht="14.25">
      <c r="A3327" s="5" t="s">
        <v>4614</v>
      </c>
      <c r="B3327" s="6" t="s">
        <v>6692</v>
      </c>
      <c r="C3327" s="7">
        <v>27565</v>
      </c>
      <c r="D3327" s="8" t="s">
        <v>6693</v>
      </c>
    </row>
    <row r="3328" spans="1:4" ht="14.25">
      <c r="A3328" s="5" t="s">
        <v>463</v>
      </c>
      <c r="B3328" s="6" t="s">
        <v>6694</v>
      </c>
      <c r="C3328" s="7">
        <v>27565</v>
      </c>
      <c r="D3328" s="8" t="s">
        <v>6695</v>
      </c>
    </row>
    <row r="3329" spans="1:4" ht="14.25">
      <c r="A3329" s="5" t="s">
        <v>167</v>
      </c>
      <c r="B3329" s="6" t="s">
        <v>6696</v>
      </c>
      <c r="C3329" s="7">
        <v>27565</v>
      </c>
      <c r="D3329" s="8" t="s">
        <v>6697</v>
      </c>
    </row>
    <row r="3330" spans="1:4" ht="14.25">
      <c r="A3330" s="5">
        <v>20</v>
      </c>
      <c r="B3330" s="6" t="s">
        <v>6698</v>
      </c>
      <c r="C3330" s="7">
        <v>27565</v>
      </c>
      <c r="D3330" s="8" t="s">
        <v>6699</v>
      </c>
    </row>
    <row r="3331" spans="1:4" ht="14.25">
      <c r="A3331" s="5">
        <v>20</v>
      </c>
      <c r="B3331" s="6" t="s">
        <v>6700</v>
      </c>
      <c r="C3331" s="7">
        <v>27565</v>
      </c>
      <c r="D3331" s="8" t="s">
        <v>6701</v>
      </c>
    </row>
    <row r="3332" spans="1:4" ht="14.25">
      <c r="A3332" s="5">
        <v>20</v>
      </c>
      <c r="B3332" s="6" t="s">
        <v>6702</v>
      </c>
      <c r="C3332" s="7">
        <v>27565</v>
      </c>
      <c r="D3332" s="8" t="s">
        <v>6703</v>
      </c>
    </row>
    <row r="3333" spans="1:4" ht="14.25">
      <c r="A3333" s="5">
        <v>20</v>
      </c>
      <c r="B3333" s="6" t="s">
        <v>6704</v>
      </c>
      <c r="C3333" s="7">
        <v>27565</v>
      </c>
      <c r="D3333" s="8" t="s">
        <v>6705</v>
      </c>
    </row>
    <row r="3334" spans="1:4" ht="14.25">
      <c r="A3334" s="5">
        <v>20</v>
      </c>
      <c r="B3334" s="6" t="s">
        <v>6706</v>
      </c>
      <c r="C3334" s="7">
        <v>27565</v>
      </c>
      <c r="D3334" s="8" t="s">
        <v>6707</v>
      </c>
    </row>
    <row r="3335" spans="1:4" ht="14.25">
      <c r="A3335" s="5">
        <v>20</v>
      </c>
      <c r="B3335" s="6" t="s">
        <v>6708</v>
      </c>
      <c r="C3335" s="7">
        <v>27565</v>
      </c>
      <c r="D3335" s="8" t="s">
        <v>6709</v>
      </c>
    </row>
    <row r="3336" spans="1:4" ht="14.25">
      <c r="A3336" s="5" t="s">
        <v>484</v>
      </c>
      <c r="B3336" s="6" t="s">
        <v>6710</v>
      </c>
      <c r="C3336" s="7">
        <v>27566</v>
      </c>
      <c r="D3336" s="8" t="s">
        <v>6711</v>
      </c>
    </row>
    <row r="3337" spans="1:4" ht="14.25">
      <c r="A3337" s="5" t="s">
        <v>1001</v>
      </c>
      <c r="B3337" s="6" t="s">
        <v>6712</v>
      </c>
      <c r="C3337" s="7">
        <v>27566</v>
      </c>
      <c r="D3337" s="8" t="s">
        <v>6713</v>
      </c>
    </row>
    <row r="3338" spans="1:4" ht="14.25">
      <c r="A3338" s="5">
        <v>21</v>
      </c>
      <c r="B3338" s="6" t="s">
        <v>6714</v>
      </c>
      <c r="C3338" s="7">
        <v>27566</v>
      </c>
      <c r="D3338" s="8" t="s">
        <v>6715</v>
      </c>
    </row>
    <row r="3339" spans="1:4" ht="14.25">
      <c r="A3339" s="5">
        <v>21</v>
      </c>
      <c r="B3339" s="6" t="s">
        <v>6716</v>
      </c>
      <c r="C3339" s="7">
        <v>27566</v>
      </c>
      <c r="D3339" s="8" t="s">
        <v>6717</v>
      </c>
    </row>
    <row r="3340" spans="1:4" ht="14.25">
      <c r="A3340" s="5">
        <v>21</v>
      </c>
      <c r="B3340" s="6" t="s">
        <v>6718</v>
      </c>
      <c r="C3340" s="7">
        <v>27566</v>
      </c>
      <c r="D3340" s="8" t="s">
        <v>6719</v>
      </c>
    </row>
    <row r="3341" spans="1:4" ht="14.25">
      <c r="A3341" s="5">
        <v>21</v>
      </c>
      <c r="B3341" s="6" t="s">
        <v>6720</v>
      </c>
      <c r="C3341" s="7">
        <v>27566</v>
      </c>
      <c r="D3341" s="8" t="s">
        <v>6721</v>
      </c>
    </row>
    <row r="3342" spans="1:4" ht="14.25">
      <c r="A3342" s="5" t="s">
        <v>484</v>
      </c>
      <c r="B3342" s="6" t="s">
        <v>6722</v>
      </c>
      <c r="C3342" s="7">
        <v>27567</v>
      </c>
      <c r="D3342" s="8" t="s">
        <v>6723</v>
      </c>
    </row>
    <row r="3343" spans="1:4" ht="14.25">
      <c r="A3343" s="5" t="s">
        <v>463</v>
      </c>
      <c r="B3343" s="6" t="s">
        <v>6724</v>
      </c>
      <c r="C3343" s="7">
        <v>27567</v>
      </c>
      <c r="D3343" s="8" t="s">
        <v>6725</v>
      </c>
    </row>
    <row r="3344" spans="1:4" ht="14.25">
      <c r="A3344" s="5" t="s">
        <v>1001</v>
      </c>
      <c r="B3344" s="6" t="s">
        <v>6726</v>
      </c>
      <c r="C3344" s="7">
        <v>27567</v>
      </c>
      <c r="D3344" s="8" t="s">
        <v>6727</v>
      </c>
    </row>
    <row r="3345" spans="1:4" ht="14.25">
      <c r="A3345" s="5">
        <v>22</v>
      </c>
      <c r="B3345" s="6" t="s">
        <v>6728</v>
      </c>
      <c r="C3345" s="7">
        <v>27567</v>
      </c>
      <c r="D3345" s="8" t="s">
        <v>6729</v>
      </c>
    </row>
    <row r="3346" spans="1:4" ht="14.25">
      <c r="A3346" s="5">
        <v>22</v>
      </c>
      <c r="B3346" s="6" t="s">
        <v>6730</v>
      </c>
      <c r="C3346" s="7">
        <v>27567</v>
      </c>
      <c r="D3346" s="8" t="s">
        <v>6731</v>
      </c>
    </row>
    <row r="3347" spans="1:4" ht="14.25">
      <c r="A3347" s="5">
        <v>22</v>
      </c>
      <c r="B3347" s="6" t="s">
        <v>6732</v>
      </c>
      <c r="C3347" s="7">
        <v>27567</v>
      </c>
      <c r="D3347" s="8" t="s">
        <v>6733</v>
      </c>
    </row>
    <row r="3348" spans="1:4" ht="14.25">
      <c r="A3348" s="5">
        <v>22</v>
      </c>
      <c r="B3348" s="6" t="s">
        <v>6734</v>
      </c>
      <c r="C3348" s="7">
        <v>27567</v>
      </c>
      <c r="D3348" s="8" t="s">
        <v>6735</v>
      </c>
    </row>
    <row r="3349" spans="1:4" ht="14.25">
      <c r="A3349" s="5">
        <v>22</v>
      </c>
      <c r="B3349" s="6" t="s">
        <v>6736</v>
      </c>
      <c r="C3349" s="7">
        <v>27567</v>
      </c>
      <c r="D3349" s="8" t="s">
        <v>6737</v>
      </c>
    </row>
    <row r="3350" spans="1:4" ht="14.25">
      <c r="A3350" s="5" t="s">
        <v>484</v>
      </c>
      <c r="B3350" s="6" t="s">
        <v>6738</v>
      </c>
      <c r="C3350" s="7">
        <v>27568</v>
      </c>
      <c r="D3350" s="8" t="s">
        <v>6739</v>
      </c>
    </row>
    <row r="3351" spans="1:4" ht="14.25">
      <c r="A3351" s="5" t="s">
        <v>463</v>
      </c>
      <c r="B3351" s="6" t="s">
        <v>6740</v>
      </c>
      <c r="C3351" s="7">
        <v>27568</v>
      </c>
      <c r="D3351" s="8" t="s">
        <v>6741</v>
      </c>
    </row>
    <row r="3352" spans="1:4" ht="14.25">
      <c r="A3352" s="5" t="s">
        <v>1001</v>
      </c>
      <c r="B3352" s="6" t="s">
        <v>6742</v>
      </c>
      <c r="C3352" s="7">
        <v>27568</v>
      </c>
      <c r="D3352" s="8" t="s">
        <v>6743</v>
      </c>
    </row>
    <row r="3353" spans="1:4" ht="14.25">
      <c r="A3353" s="5">
        <v>23</v>
      </c>
      <c r="B3353" s="6" t="s">
        <v>6744</v>
      </c>
      <c r="C3353" s="7">
        <v>27568</v>
      </c>
      <c r="D3353" s="8" t="s">
        <v>6745</v>
      </c>
    </row>
    <row r="3354" spans="1:4" ht="14.25">
      <c r="A3354" s="5">
        <v>23</v>
      </c>
      <c r="B3354" s="6" t="s">
        <v>6746</v>
      </c>
      <c r="C3354" s="7">
        <v>27568</v>
      </c>
      <c r="D3354" s="8" t="s">
        <v>6747</v>
      </c>
    </row>
    <row r="3355" spans="1:4" ht="14.25">
      <c r="A3355" s="5">
        <v>23</v>
      </c>
      <c r="B3355" s="6" t="s">
        <v>6748</v>
      </c>
      <c r="C3355" s="7">
        <v>27568</v>
      </c>
      <c r="D3355" s="8" t="s">
        <v>6749</v>
      </c>
    </row>
    <row r="3356" spans="1:4" ht="14.25">
      <c r="A3356" s="5">
        <v>23</v>
      </c>
      <c r="B3356" s="6" t="s">
        <v>6750</v>
      </c>
      <c r="C3356" s="7">
        <v>27568</v>
      </c>
      <c r="D3356" s="8" t="s">
        <v>6751</v>
      </c>
    </row>
    <row r="3357" spans="1:4" ht="14.25">
      <c r="A3357" s="5">
        <v>23</v>
      </c>
      <c r="B3357" s="6" t="s">
        <v>6752</v>
      </c>
      <c r="C3357" s="7">
        <v>27568</v>
      </c>
      <c r="D3357" s="8" t="s">
        <v>6753</v>
      </c>
    </row>
    <row r="3358" spans="1:4" ht="14.25">
      <c r="A3358" s="5">
        <v>23</v>
      </c>
      <c r="B3358" s="6" t="s">
        <v>6754</v>
      </c>
      <c r="C3358" s="7">
        <v>27568</v>
      </c>
      <c r="D3358" s="8" t="s">
        <v>6755</v>
      </c>
    </row>
    <row r="3359" spans="1:4" ht="14.25">
      <c r="A3359" s="5" t="s">
        <v>484</v>
      </c>
      <c r="B3359" s="6" t="s">
        <v>6756</v>
      </c>
      <c r="C3359" s="7">
        <v>27569</v>
      </c>
      <c r="D3359" s="8" t="s">
        <v>6757</v>
      </c>
    </row>
    <row r="3360" spans="1:4" ht="14.25">
      <c r="A3360" s="5" t="s">
        <v>463</v>
      </c>
      <c r="B3360" s="6" t="s">
        <v>6758</v>
      </c>
      <c r="C3360" s="7">
        <v>27569</v>
      </c>
      <c r="D3360" s="8" t="s">
        <v>6759</v>
      </c>
    </row>
    <row r="3361" spans="1:4" ht="14.25">
      <c r="A3361" s="5">
        <v>24</v>
      </c>
      <c r="B3361" s="6" t="s">
        <v>6760</v>
      </c>
      <c r="C3361" s="7">
        <v>27569</v>
      </c>
      <c r="D3361" s="8" t="s">
        <v>6761</v>
      </c>
    </row>
    <row r="3362" spans="1:4" ht="14.25">
      <c r="A3362" s="5">
        <v>24</v>
      </c>
      <c r="B3362" s="6" t="s">
        <v>6762</v>
      </c>
      <c r="C3362" s="7">
        <v>27569</v>
      </c>
      <c r="D3362" s="8" t="s">
        <v>6763</v>
      </c>
    </row>
    <row r="3363" spans="1:4" ht="14.25">
      <c r="A3363" s="5">
        <v>24</v>
      </c>
      <c r="B3363" s="6" t="s">
        <v>6764</v>
      </c>
      <c r="C3363" s="7">
        <v>27569</v>
      </c>
      <c r="D3363" s="8" t="s">
        <v>6765</v>
      </c>
    </row>
    <row r="3364" spans="1:4" ht="14.25">
      <c r="A3364" s="5" t="s">
        <v>484</v>
      </c>
      <c r="B3364" s="6" t="s">
        <v>6766</v>
      </c>
      <c r="C3364" s="7">
        <v>27570</v>
      </c>
      <c r="D3364" s="8" t="s">
        <v>6767</v>
      </c>
    </row>
    <row r="3365" spans="1:4" ht="14.25">
      <c r="A3365" s="5" t="s">
        <v>463</v>
      </c>
      <c r="B3365" s="6" t="s">
        <v>6768</v>
      </c>
      <c r="C3365" s="7">
        <v>27570</v>
      </c>
      <c r="D3365" s="8" t="s">
        <v>6769</v>
      </c>
    </row>
    <row r="3366" spans="1:4" ht="14.25">
      <c r="A3366" s="5" t="s">
        <v>1001</v>
      </c>
      <c r="B3366" s="6" t="s">
        <v>6770</v>
      </c>
      <c r="C3366" s="7">
        <v>27570</v>
      </c>
      <c r="D3366" s="8" t="s">
        <v>6771</v>
      </c>
    </row>
    <row r="3367" spans="1:4" ht="14.25">
      <c r="A3367" s="5">
        <v>25</v>
      </c>
      <c r="B3367" s="6" t="s">
        <v>6772</v>
      </c>
      <c r="C3367" s="7">
        <v>27570</v>
      </c>
      <c r="D3367" s="8" t="s">
        <v>6773</v>
      </c>
    </row>
    <row r="3368" spans="1:4" ht="14.25">
      <c r="A3368" s="5">
        <v>25</v>
      </c>
      <c r="B3368" s="6" t="s">
        <v>6774</v>
      </c>
      <c r="C3368" s="7">
        <v>27570</v>
      </c>
      <c r="D3368" s="8" t="s">
        <v>6775</v>
      </c>
    </row>
    <row r="3369" spans="1:4" ht="14.25">
      <c r="A3369" s="5">
        <v>25</v>
      </c>
      <c r="B3369" s="6" t="s">
        <v>6776</v>
      </c>
      <c r="C3369" s="7">
        <v>27570</v>
      </c>
      <c r="D3369" s="8" t="s">
        <v>6777</v>
      </c>
    </row>
    <row r="3370" spans="1:4" ht="14.25">
      <c r="A3370" s="5">
        <v>25</v>
      </c>
      <c r="B3370" s="6" t="s">
        <v>6778</v>
      </c>
      <c r="C3370" s="7">
        <v>27570</v>
      </c>
      <c r="D3370" s="8" t="s">
        <v>6779</v>
      </c>
    </row>
    <row r="3371" spans="1:4" ht="14.25">
      <c r="A3371" s="5">
        <v>25</v>
      </c>
      <c r="B3371" s="6" t="s">
        <v>6780</v>
      </c>
      <c r="C3371" s="7">
        <v>27570</v>
      </c>
      <c r="D3371" s="8" t="s">
        <v>6781</v>
      </c>
    </row>
    <row r="3372" spans="1:4" ht="14.25">
      <c r="A3372" s="5" t="s">
        <v>484</v>
      </c>
      <c r="B3372" s="6" t="s">
        <v>6782</v>
      </c>
      <c r="C3372" s="7">
        <v>27571</v>
      </c>
      <c r="D3372" s="8" t="s">
        <v>6783</v>
      </c>
    </row>
    <row r="3373" spans="1:4" ht="14.25">
      <c r="A3373" s="5" t="s">
        <v>463</v>
      </c>
      <c r="B3373" s="6" t="s">
        <v>6784</v>
      </c>
      <c r="C3373" s="7">
        <v>27571</v>
      </c>
      <c r="D3373" s="8" t="s">
        <v>6785</v>
      </c>
    </row>
    <row r="3374" spans="1:4" ht="14.25">
      <c r="A3374" s="5" t="s">
        <v>463</v>
      </c>
      <c r="B3374" s="6" t="s">
        <v>6786</v>
      </c>
      <c r="C3374" s="7">
        <v>27571</v>
      </c>
      <c r="D3374" s="8" t="s">
        <v>6787</v>
      </c>
    </row>
    <row r="3375" spans="1:4" ht="14.25">
      <c r="A3375" s="5" t="s">
        <v>1001</v>
      </c>
      <c r="B3375" s="6" t="s">
        <v>6788</v>
      </c>
      <c r="C3375" s="7">
        <v>27571</v>
      </c>
      <c r="D3375" s="8" t="s">
        <v>6789</v>
      </c>
    </row>
    <row r="3376" spans="1:4" ht="14.25">
      <c r="A3376" s="5">
        <v>26</v>
      </c>
      <c r="B3376" s="6" t="s">
        <v>6790</v>
      </c>
      <c r="C3376" s="7">
        <v>27571</v>
      </c>
      <c r="D3376" s="8" t="s">
        <v>6791</v>
      </c>
    </row>
    <row r="3377" spans="1:4" ht="14.25">
      <c r="A3377" s="5">
        <v>26</v>
      </c>
      <c r="B3377" s="6" t="s">
        <v>6792</v>
      </c>
      <c r="C3377" s="7">
        <v>27571</v>
      </c>
      <c r="D3377" s="8" t="s">
        <v>6793</v>
      </c>
    </row>
    <row r="3378" spans="1:4" ht="14.25">
      <c r="A3378" s="5">
        <v>26</v>
      </c>
      <c r="B3378" s="6" t="s">
        <v>6794</v>
      </c>
      <c r="C3378" s="7">
        <v>27571</v>
      </c>
      <c r="D3378" s="8" t="s">
        <v>6795</v>
      </c>
    </row>
    <row r="3379" spans="1:4" ht="14.25">
      <c r="A3379" s="5">
        <v>26</v>
      </c>
      <c r="B3379" s="6" t="s">
        <v>6796</v>
      </c>
      <c r="C3379" s="7">
        <v>27571</v>
      </c>
      <c r="D3379" s="8" t="s">
        <v>6797</v>
      </c>
    </row>
    <row r="3380" spans="1:4" ht="14.25">
      <c r="A3380" s="5">
        <v>26</v>
      </c>
      <c r="B3380" s="6" t="s">
        <v>6798</v>
      </c>
      <c r="C3380" s="7">
        <v>27571</v>
      </c>
      <c r="D3380" s="8" t="s">
        <v>6799</v>
      </c>
    </row>
    <row r="3381" spans="1:4" ht="14.25">
      <c r="A3381" s="5">
        <v>26</v>
      </c>
      <c r="B3381" s="6" t="s">
        <v>6800</v>
      </c>
      <c r="C3381" s="7">
        <v>27571</v>
      </c>
      <c r="D3381" s="8" t="s">
        <v>6801</v>
      </c>
    </row>
    <row r="3382" spans="1:4" ht="14.25">
      <c r="A3382" s="5" t="s">
        <v>863</v>
      </c>
      <c r="B3382" s="6" t="s">
        <v>6802</v>
      </c>
      <c r="C3382" s="7">
        <v>27572</v>
      </c>
      <c r="D3382" s="8" t="s">
        <v>6803</v>
      </c>
    </row>
    <row r="3383" spans="1:4" ht="14.25">
      <c r="A3383" s="5" t="s">
        <v>4614</v>
      </c>
      <c r="B3383" s="6" t="s">
        <v>6804</v>
      </c>
      <c r="C3383" s="7">
        <v>27572</v>
      </c>
      <c r="D3383" s="8" t="s">
        <v>6805</v>
      </c>
    </row>
    <row r="3384" spans="1:4" ht="14.25">
      <c r="A3384" s="5" t="s">
        <v>484</v>
      </c>
      <c r="B3384" s="6" t="s">
        <v>6806</v>
      </c>
      <c r="C3384" s="7">
        <v>27572</v>
      </c>
      <c r="D3384" s="8" t="s">
        <v>6807</v>
      </c>
    </row>
    <row r="3385" spans="1:4" ht="14.25">
      <c r="A3385" s="5" t="s">
        <v>1001</v>
      </c>
      <c r="B3385" s="6" t="s">
        <v>6808</v>
      </c>
      <c r="C3385" s="7">
        <v>27572</v>
      </c>
      <c r="D3385" s="8" t="s">
        <v>6809</v>
      </c>
    </row>
    <row r="3386" spans="1:4" ht="14.25">
      <c r="A3386" s="5">
        <v>27</v>
      </c>
      <c r="B3386" s="6" t="s">
        <v>6810</v>
      </c>
      <c r="C3386" s="7">
        <v>27572</v>
      </c>
      <c r="D3386" s="8" t="s">
        <v>6811</v>
      </c>
    </row>
    <row r="3387" spans="1:4" ht="14.25">
      <c r="A3387" s="5">
        <v>27</v>
      </c>
      <c r="B3387" s="6" t="s">
        <v>6812</v>
      </c>
      <c r="C3387" s="7">
        <v>27572</v>
      </c>
      <c r="D3387" s="8" t="s">
        <v>6813</v>
      </c>
    </row>
    <row r="3388" spans="1:4" ht="14.25">
      <c r="A3388" s="5">
        <v>27</v>
      </c>
      <c r="B3388" s="6" t="s">
        <v>6814</v>
      </c>
      <c r="C3388" s="7">
        <v>27572</v>
      </c>
      <c r="D3388" s="8" t="s">
        <v>6815</v>
      </c>
    </row>
    <row r="3389" spans="1:4" ht="14.25">
      <c r="A3389" s="5">
        <v>27</v>
      </c>
      <c r="B3389" s="6" t="s">
        <v>6816</v>
      </c>
      <c r="C3389" s="7">
        <v>27572</v>
      </c>
      <c r="D3389" s="8" t="s">
        <v>6817</v>
      </c>
    </row>
    <row r="3390" spans="1:4" ht="14.25">
      <c r="A3390" s="5">
        <v>27</v>
      </c>
      <c r="B3390" s="6" t="s">
        <v>6818</v>
      </c>
      <c r="C3390" s="7">
        <v>27572</v>
      </c>
      <c r="D3390" s="8" t="s">
        <v>6819</v>
      </c>
    </row>
    <row r="3391" spans="1:4" ht="14.25">
      <c r="A3391" s="5" t="s">
        <v>484</v>
      </c>
      <c r="B3391" s="6" t="s">
        <v>6820</v>
      </c>
      <c r="C3391" s="7">
        <v>27573</v>
      </c>
      <c r="D3391" s="8" t="s">
        <v>6821</v>
      </c>
    </row>
    <row r="3392" spans="1:4" ht="14.25">
      <c r="A3392" s="5" t="s">
        <v>1001</v>
      </c>
      <c r="B3392" s="6" t="s">
        <v>6822</v>
      </c>
      <c r="C3392" s="7">
        <v>27573</v>
      </c>
      <c r="D3392" s="8" t="s">
        <v>6823</v>
      </c>
    </row>
    <row r="3393" spans="1:4" ht="14.25">
      <c r="A3393" s="5">
        <v>28</v>
      </c>
      <c r="B3393" s="6" t="s">
        <v>6824</v>
      </c>
      <c r="C3393" s="7">
        <v>27573</v>
      </c>
      <c r="D3393" s="8" t="s">
        <v>6825</v>
      </c>
    </row>
    <row r="3394" spans="1:4" ht="14.25">
      <c r="A3394" s="5">
        <v>28</v>
      </c>
      <c r="B3394" s="6" t="s">
        <v>6826</v>
      </c>
      <c r="C3394" s="7">
        <v>27573</v>
      </c>
      <c r="D3394" s="8" t="s">
        <v>6827</v>
      </c>
    </row>
    <row r="3395" spans="1:4" ht="14.25">
      <c r="A3395" s="5">
        <v>28</v>
      </c>
      <c r="B3395" s="6" t="s">
        <v>6828</v>
      </c>
      <c r="C3395" s="7">
        <v>27573</v>
      </c>
      <c r="D3395" s="8" t="s">
        <v>6829</v>
      </c>
    </row>
    <row r="3396" spans="1:4" ht="14.25">
      <c r="A3396" s="5">
        <v>28</v>
      </c>
      <c r="B3396" s="6" t="s">
        <v>6830</v>
      </c>
      <c r="C3396" s="7">
        <v>27573</v>
      </c>
      <c r="D3396" s="8" t="s">
        <v>6831</v>
      </c>
    </row>
    <row r="3397" spans="1:4" ht="14.25">
      <c r="A3397" s="5" t="s">
        <v>484</v>
      </c>
      <c r="B3397" s="6" t="s">
        <v>6832</v>
      </c>
      <c r="C3397" s="7">
        <v>27574</v>
      </c>
      <c r="D3397" s="8" t="s">
        <v>6833</v>
      </c>
    </row>
    <row r="3398" spans="1:4" ht="14.25">
      <c r="A3398" s="5" t="s">
        <v>42</v>
      </c>
      <c r="B3398" s="6" t="s">
        <v>6834</v>
      </c>
      <c r="C3398" s="7">
        <v>27574</v>
      </c>
      <c r="D3398" s="8" t="s">
        <v>6835</v>
      </c>
    </row>
    <row r="3399" spans="1:4" ht="14.25">
      <c r="A3399" s="5" t="s">
        <v>1001</v>
      </c>
      <c r="B3399" s="6" t="s">
        <v>6836</v>
      </c>
      <c r="C3399" s="7">
        <v>27574</v>
      </c>
      <c r="D3399" s="8" t="s">
        <v>6837</v>
      </c>
    </row>
    <row r="3400" spans="1:4" ht="14.25">
      <c r="A3400" s="5">
        <v>29</v>
      </c>
      <c r="B3400" s="6" t="s">
        <v>6838</v>
      </c>
      <c r="C3400" s="7">
        <v>27574</v>
      </c>
      <c r="D3400" s="8" t="s">
        <v>6839</v>
      </c>
    </row>
    <row r="3401" spans="1:4" ht="14.25">
      <c r="A3401" s="5">
        <v>29</v>
      </c>
      <c r="B3401" s="6" t="s">
        <v>6840</v>
      </c>
      <c r="C3401" s="7">
        <v>27574</v>
      </c>
      <c r="D3401" s="8" t="s">
        <v>6841</v>
      </c>
    </row>
    <row r="3402" spans="1:4" ht="14.25">
      <c r="A3402" s="5">
        <v>29</v>
      </c>
      <c r="B3402" s="6" t="s">
        <v>6842</v>
      </c>
      <c r="C3402" s="7">
        <v>27574</v>
      </c>
      <c r="D3402" s="8" t="s">
        <v>6843</v>
      </c>
    </row>
    <row r="3403" spans="1:4" ht="14.25">
      <c r="A3403" s="5">
        <v>29</v>
      </c>
      <c r="B3403" s="6" t="s">
        <v>6844</v>
      </c>
      <c r="C3403" s="7">
        <v>27574</v>
      </c>
      <c r="D3403" s="8" t="s">
        <v>6845</v>
      </c>
    </row>
    <row r="3404" spans="1:4" ht="14.25">
      <c r="A3404" s="5" t="s">
        <v>484</v>
      </c>
      <c r="B3404" s="6" t="s">
        <v>6846</v>
      </c>
      <c r="C3404" s="7">
        <v>27575</v>
      </c>
      <c r="D3404" s="8" t="s">
        <v>6847</v>
      </c>
    </row>
    <row r="3405" spans="1:4" ht="14.25">
      <c r="A3405" s="5" t="s">
        <v>1001</v>
      </c>
      <c r="B3405" s="6" t="s">
        <v>6848</v>
      </c>
      <c r="C3405" s="7">
        <v>27575</v>
      </c>
      <c r="D3405" s="8" t="s">
        <v>6849</v>
      </c>
    </row>
    <row r="3406" spans="1:4" ht="14.25">
      <c r="A3406" s="5">
        <v>30</v>
      </c>
      <c r="B3406" s="6" t="s">
        <v>6850</v>
      </c>
      <c r="C3406" s="7">
        <v>27575</v>
      </c>
      <c r="D3406" s="8" t="s">
        <v>6851</v>
      </c>
    </row>
    <row r="3407" spans="1:4" ht="14.25">
      <c r="A3407" s="5">
        <v>30</v>
      </c>
      <c r="B3407" s="6" t="s">
        <v>6852</v>
      </c>
      <c r="C3407" s="7">
        <v>27575</v>
      </c>
      <c r="D3407" s="8" t="s">
        <v>6853</v>
      </c>
    </row>
    <row r="3408" spans="1:4" ht="14.25">
      <c r="A3408" s="5">
        <v>30</v>
      </c>
      <c r="B3408" s="6" t="s">
        <v>6854</v>
      </c>
      <c r="C3408" s="7">
        <v>27575</v>
      </c>
      <c r="D3408" s="8" t="s">
        <v>6855</v>
      </c>
    </row>
    <row r="3409" spans="1:4" ht="14.25">
      <c r="A3409" s="5">
        <v>30</v>
      </c>
      <c r="B3409" s="6" t="s">
        <v>6856</v>
      </c>
      <c r="C3409" s="7">
        <v>27575</v>
      </c>
      <c r="D3409" s="8" t="s">
        <v>6857</v>
      </c>
    </row>
    <row r="3410" spans="1:4" ht="14.25">
      <c r="A3410" s="5" t="s">
        <v>484</v>
      </c>
      <c r="B3410" s="6" t="s">
        <v>6858</v>
      </c>
      <c r="C3410" s="7">
        <v>27576</v>
      </c>
      <c r="D3410" s="8" t="s">
        <v>6859</v>
      </c>
    </row>
    <row r="3411" spans="1:4" ht="14.25">
      <c r="A3411" s="5" t="s">
        <v>1001</v>
      </c>
      <c r="B3411" s="6" t="s">
        <v>6860</v>
      </c>
      <c r="C3411" s="7">
        <v>27576</v>
      </c>
      <c r="D3411" s="8" t="s">
        <v>6861</v>
      </c>
    </row>
    <row r="3412" spans="1:4" ht="14.25">
      <c r="A3412" s="5" t="s">
        <v>1001</v>
      </c>
      <c r="B3412" s="6" t="s">
        <v>6862</v>
      </c>
      <c r="C3412" s="7">
        <v>27576</v>
      </c>
      <c r="D3412" s="8" t="s">
        <v>6863</v>
      </c>
    </row>
    <row r="3413" spans="1:4" ht="14.25">
      <c r="A3413" s="5">
        <v>1</v>
      </c>
      <c r="B3413" s="6" t="s">
        <v>6864</v>
      </c>
      <c r="C3413" s="7">
        <v>27576</v>
      </c>
      <c r="D3413" s="8" t="s">
        <v>6865</v>
      </c>
    </row>
    <row r="3414" spans="1:4" ht="14.25">
      <c r="A3414" s="5">
        <v>1</v>
      </c>
      <c r="B3414" s="6" t="s">
        <v>6866</v>
      </c>
      <c r="C3414" s="7">
        <v>27576</v>
      </c>
      <c r="D3414" s="8" t="s">
        <v>6867</v>
      </c>
    </row>
    <row r="3415" spans="1:4" ht="14.25">
      <c r="A3415" s="5">
        <v>1</v>
      </c>
      <c r="B3415" s="6" t="s">
        <v>6868</v>
      </c>
      <c r="C3415" s="7">
        <v>27576</v>
      </c>
      <c r="D3415" s="8" t="s">
        <v>6869</v>
      </c>
    </row>
    <row r="3416" spans="1:4" ht="14.25">
      <c r="A3416" s="5">
        <v>1</v>
      </c>
      <c r="B3416" s="6" t="s">
        <v>6870</v>
      </c>
      <c r="C3416" s="7">
        <v>27576</v>
      </c>
      <c r="D3416" s="8" t="s">
        <v>6871</v>
      </c>
    </row>
    <row r="3417" spans="1:4" ht="14.25">
      <c r="A3417" s="5">
        <v>1</v>
      </c>
      <c r="B3417" s="6" t="s">
        <v>6872</v>
      </c>
      <c r="C3417" s="7">
        <v>27576</v>
      </c>
      <c r="D3417" s="8" t="s">
        <v>6873</v>
      </c>
    </row>
    <row r="3418" spans="1:4" ht="14.25">
      <c r="A3418" s="5" t="s">
        <v>484</v>
      </c>
      <c r="B3418" s="6" t="s">
        <v>6874</v>
      </c>
      <c r="C3418" s="7">
        <v>27577</v>
      </c>
      <c r="D3418" s="8" t="s">
        <v>6875</v>
      </c>
    </row>
    <row r="3419" spans="1:4" ht="14.25">
      <c r="A3419" s="5">
        <v>2</v>
      </c>
      <c r="B3419" s="6" t="s">
        <v>6876</v>
      </c>
      <c r="C3419" s="7">
        <v>27577</v>
      </c>
      <c r="D3419" s="8" t="s">
        <v>6877</v>
      </c>
    </row>
    <row r="3420" spans="1:4" ht="14.25">
      <c r="A3420" s="5">
        <v>2</v>
      </c>
      <c r="B3420" s="6" t="s">
        <v>6878</v>
      </c>
      <c r="C3420" s="7">
        <v>27577</v>
      </c>
      <c r="D3420" s="8" t="s">
        <v>6879</v>
      </c>
    </row>
    <row r="3421" spans="1:4" ht="14.25">
      <c r="A3421" s="5">
        <v>2</v>
      </c>
      <c r="B3421" s="6" t="s">
        <v>6880</v>
      </c>
      <c r="C3421" s="7">
        <v>27577</v>
      </c>
      <c r="D3421" s="8" t="s">
        <v>6881</v>
      </c>
    </row>
    <row r="3422" spans="1:4" ht="14.25">
      <c r="A3422" s="5" t="s">
        <v>863</v>
      </c>
      <c r="B3422" s="6" t="s">
        <v>6882</v>
      </c>
      <c r="C3422" s="7">
        <v>27578</v>
      </c>
      <c r="D3422" s="8" t="s">
        <v>6883</v>
      </c>
    </row>
    <row r="3423" spans="1:4" ht="14.25">
      <c r="A3423" s="5" t="s">
        <v>484</v>
      </c>
      <c r="B3423" s="6" t="s">
        <v>6884</v>
      </c>
      <c r="C3423" s="7">
        <v>27578</v>
      </c>
      <c r="D3423" s="8" t="s">
        <v>6885</v>
      </c>
    </row>
    <row r="3424" spans="1:4" ht="14.25">
      <c r="A3424" s="5">
        <v>3</v>
      </c>
      <c r="B3424" s="6" t="s">
        <v>6886</v>
      </c>
      <c r="C3424" s="7">
        <v>27578</v>
      </c>
      <c r="D3424" s="8" t="s">
        <v>6887</v>
      </c>
    </row>
    <row r="3425" spans="1:4" ht="14.25">
      <c r="A3425" s="5">
        <v>3</v>
      </c>
      <c r="B3425" s="6" t="s">
        <v>6888</v>
      </c>
      <c r="C3425" s="7">
        <v>27578</v>
      </c>
      <c r="D3425" s="8" t="s">
        <v>6889</v>
      </c>
    </row>
    <row r="3426" spans="1:4" ht="14.25">
      <c r="A3426" s="5">
        <v>3</v>
      </c>
      <c r="B3426" s="6" t="s">
        <v>6890</v>
      </c>
      <c r="C3426" s="7">
        <v>27578</v>
      </c>
      <c r="D3426" s="8" t="s">
        <v>6891</v>
      </c>
    </row>
    <row r="3427" spans="1:4" ht="14.25">
      <c r="A3427" s="5">
        <v>3</v>
      </c>
      <c r="B3427" s="6" t="s">
        <v>6892</v>
      </c>
      <c r="C3427" s="7">
        <v>27578</v>
      </c>
      <c r="D3427" s="8" t="s">
        <v>6893</v>
      </c>
    </row>
    <row r="3428" spans="1:4" ht="14.25">
      <c r="A3428" s="5" t="s">
        <v>484</v>
      </c>
      <c r="B3428" s="6" t="s">
        <v>6894</v>
      </c>
      <c r="C3428" s="7">
        <v>27579</v>
      </c>
      <c r="D3428" s="8" t="s">
        <v>6895</v>
      </c>
    </row>
    <row r="3429" spans="1:4" ht="14.25">
      <c r="A3429" s="5" t="s">
        <v>463</v>
      </c>
      <c r="B3429" s="6" t="s">
        <v>6896</v>
      </c>
      <c r="C3429" s="7">
        <v>27579</v>
      </c>
      <c r="D3429" s="8" t="s">
        <v>6897</v>
      </c>
    </row>
    <row r="3430" spans="1:4" ht="14.25">
      <c r="A3430" s="5" t="s">
        <v>1001</v>
      </c>
      <c r="B3430" s="6" t="s">
        <v>6898</v>
      </c>
      <c r="C3430" s="7">
        <v>27579</v>
      </c>
      <c r="D3430" s="8" t="s">
        <v>6899</v>
      </c>
    </row>
    <row r="3431" spans="1:4" ht="14.25">
      <c r="A3431" s="5">
        <v>4</v>
      </c>
      <c r="B3431" s="6" t="s">
        <v>6900</v>
      </c>
      <c r="C3431" s="7">
        <v>27579</v>
      </c>
      <c r="D3431" s="8" t="s">
        <v>6901</v>
      </c>
    </row>
    <row r="3432" spans="1:4" ht="14.25">
      <c r="A3432" s="5">
        <v>4</v>
      </c>
      <c r="B3432" s="6" t="s">
        <v>6902</v>
      </c>
      <c r="C3432" s="7">
        <v>27579</v>
      </c>
      <c r="D3432" s="8" t="s">
        <v>6903</v>
      </c>
    </row>
    <row r="3433" spans="1:4" ht="14.25">
      <c r="A3433" s="5">
        <v>4</v>
      </c>
      <c r="B3433" s="6" t="s">
        <v>6904</v>
      </c>
      <c r="C3433" s="7">
        <v>27579</v>
      </c>
      <c r="D3433" s="8" t="s">
        <v>6905</v>
      </c>
    </row>
    <row r="3434" spans="1:4" ht="14.25">
      <c r="A3434" s="5">
        <v>4</v>
      </c>
      <c r="B3434" s="6" t="s">
        <v>6906</v>
      </c>
      <c r="C3434" s="7">
        <v>27579</v>
      </c>
      <c r="D3434" s="8" t="s">
        <v>6907</v>
      </c>
    </row>
    <row r="3435" spans="1:4" ht="14.25">
      <c r="A3435" s="5">
        <v>4</v>
      </c>
      <c r="B3435" s="6" t="s">
        <v>6908</v>
      </c>
      <c r="C3435" s="7">
        <v>27579</v>
      </c>
      <c r="D3435" s="8" t="s">
        <v>6909</v>
      </c>
    </row>
    <row r="3436" spans="1:4" ht="14.25">
      <c r="A3436" s="5">
        <v>4</v>
      </c>
      <c r="B3436" s="6" t="s">
        <v>6910</v>
      </c>
      <c r="C3436" s="7">
        <v>27579</v>
      </c>
      <c r="D3436" s="8" t="s">
        <v>6911</v>
      </c>
    </row>
    <row r="3437" spans="1:4" ht="14.25">
      <c r="A3437" s="5" t="s">
        <v>484</v>
      </c>
      <c r="B3437" s="6" t="s">
        <v>6912</v>
      </c>
      <c r="C3437" s="7">
        <v>27580</v>
      </c>
      <c r="D3437" s="8" t="s">
        <v>6913</v>
      </c>
    </row>
    <row r="3438" spans="1:4" ht="14.25">
      <c r="A3438" s="5" t="s">
        <v>463</v>
      </c>
      <c r="B3438" s="6" t="s">
        <v>6914</v>
      </c>
      <c r="C3438" s="7">
        <v>27580</v>
      </c>
      <c r="D3438" s="8" t="s">
        <v>6915</v>
      </c>
    </row>
    <row r="3439" spans="1:4" ht="14.25">
      <c r="A3439" s="5" t="s">
        <v>463</v>
      </c>
      <c r="B3439" s="6" t="s">
        <v>6916</v>
      </c>
      <c r="C3439" s="7">
        <v>27580</v>
      </c>
      <c r="D3439" s="8" t="s">
        <v>6917</v>
      </c>
    </row>
    <row r="3440" spans="1:4" ht="14.25">
      <c r="A3440" s="5" t="s">
        <v>1001</v>
      </c>
      <c r="B3440" s="6" t="s">
        <v>6918</v>
      </c>
      <c r="C3440" s="7">
        <v>27580</v>
      </c>
      <c r="D3440" s="8" t="s">
        <v>6919</v>
      </c>
    </row>
    <row r="3441" spans="1:4" ht="14.25">
      <c r="A3441" s="5">
        <v>5</v>
      </c>
      <c r="B3441" s="6" t="s">
        <v>6920</v>
      </c>
      <c r="C3441" s="7">
        <v>27580</v>
      </c>
      <c r="D3441" s="8" t="s">
        <v>6921</v>
      </c>
    </row>
    <row r="3442" spans="1:4" ht="14.25">
      <c r="A3442" s="5">
        <v>5</v>
      </c>
      <c r="B3442" s="6" t="s">
        <v>6922</v>
      </c>
      <c r="C3442" s="7">
        <v>27580</v>
      </c>
      <c r="D3442" s="8" t="s">
        <v>6923</v>
      </c>
    </row>
    <row r="3443" spans="1:4" ht="14.25">
      <c r="A3443" s="5">
        <v>5</v>
      </c>
      <c r="B3443" s="6" t="s">
        <v>6924</v>
      </c>
      <c r="C3443" s="7">
        <v>27580</v>
      </c>
      <c r="D3443" s="8" t="s">
        <v>6925</v>
      </c>
    </row>
    <row r="3444" spans="1:4" ht="14.25">
      <c r="A3444" s="5">
        <v>5</v>
      </c>
      <c r="B3444" s="6" t="s">
        <v>6926</v>
      </c>
      <c r="C3444" s="7">
        <v>27580</v>
      </c>
      <c r="D3444" s="8" t="s">
        <v>6927</v>
      </c>
    </row>
    <row r="3445" spans="1:4" ht="14.25">
      <c r="A3445" s="5">
        <v>5</v>
      </c>
      <c r="B3445" s="6" t="s">
        <v>6928</v>
      </c>
      <c r="C3445" s="7">
        <v>27580</v>
      </c>
      <c r="D3445" s="8" t="s">
        <v>6929</v>
      </c>
    </row>
    <row r="3446" spans="1:4" ht="14.25">
      <c r="A3446" s="5">
        <v>5</v>
      </c>
      <c r="B3446" s="6" t="s">
        <v>6930</v>
      </c>
      <c r="C3446" s="7">
        <v>27580</v>
      </c>
      <c r="D3446" s="8" t="s">
        <v>6931</v>
      </c>
    </row>
    <row r="3447" spans="1:4" ht="14.25">
      <c r="A3447" s="5">
        <v>5</v>
      </c>
      <c r="B3447" s="6" t="s">
        <v>6932</v>
      </c>
      <c r="C3447" s="7">
        <v>27580</v>
      </c>
      <c r="D3447" s="8" t="s">
        <v>6933</v>
      </c>
    </row>
    <row r="3448" spans="1:4" ht="14.25">
      <c r="A3448" s="5">
        <v>5</v>
      </c>
      <c r="B3448" s="6" t="s">
        <v>6934</v>
      </c>
      <c r="C3448" s="7">
        <v>27580</v>
      </c>
      <c r="D3448" s="8" t="s">
        <v>6935</v>
      </c>
    </row>
    <row r="3449" spans="1:4" ht="14.25">
      <c r="A3449" s="5" t="s">
        <v>484</v>
      </c>
      <c r="B3449" s="6" t="s">
        <v>6936</v>
      </c>
      <c r="C3449" s="7">
        <v>27581</v>
      </c>
      <c r="D3449" s="8" t="s">
        <v>6937</v>
      </c>
    </row>
    <row r="3450" spans="1:4" ht="14.25">
      <c r="A3450" s="5" t="s">
        <v>1001</v>
      </c>
      <c r="B3450" s="6" t="s">
        <v>6938</v>
      </c>
      <c r="C3450" s="7">
        <v>27581</v>
      </c>
      <c r="D3450" s="8" t="s">
        <v>6939</v>
      </c>
    </row>
    <row r="3451" spans="1:4" ht="14.25">
      <c r="A3451" s="5">
        <v>6</v>
      </c>
      <c r="B3451" s="6" t="s">
        <v>6940</v>
      </c>
      <c r="C3451" s="7">
        <v>27581</v>
      </c>
      <c r="D3451" s="8" t="s">
        <v>6941</v>
      </c>
    </row>
    <row r="3452" spans="1:4" ht="14.25">
      <c r="A3452" s="5">
        <v>6</v>
      </c>
      <c r="B3452" s="6" t="s">
        <v>6942</v>
      </c>
      <c r="C3452" s="7">
        <v>27581</v>
      </c>
      <c r="D3452" s="8" t="s">
        <v>6943</v>
      </c>
    </row>
    <row r="3453" spans="1:4" ht="14.25">
      <c r="A3453" s="5">
        <v>6</v>
      </c>
      <c r="B3453" s="6" t="s">
        <v>6944</v>
      </c>
      <c r="C3453" s="7">
        <v>27581</v>
      </c>
      <c r="D3453" s="8" t="s">
        <v>6945</v>
      </c>
    </row>
    <row r="3454" spans="1:4" ht="14.25">
      <c r="A3454" s="5">
        <v>6</v>
      </c>
      <c r="B3454" s="6" t="s">
        <v>6946</v>
      </c>
      <c r="C3454" s="7">
        <v>27581</v>
      </c>
      <c r="D3454" s="8" t="s">
        <v>6947</v>
      </c>
    </row>
    <row r="3455" spans="1:4" ht="14.25">
      <c r="A3455" s="5" t="s">
        <v>484</v>
      </c>
      <c r="B3455" s="6" t="s">
        <v>6948</v>
      </c>
      <c r="C3455" s="7">
        <v>27582</v>
      </c>
      <c r="D3455" s="8" t="s">
        <v>6949</v>
      </c>
    </row>
    <row r="3456" spans="1:4" ht="14.25">
      <c r="A3456" s="5" t="s">
        <v>1001</v>
      </c>
      <c r="B3456" s="6" t="s">
        <v>6950</v>
      </c>
      <c r="C3456" s="7">
        <v>27582</v>
      </c>
      <c r="D3456" s="8" t="s">
        <v>6951</v>
      </c>
    </row>
    <row r="3457" spans="1:4" ht="14.25">
      <c r="A3457" s="5">
        <v>7</v>
      </c>
      <c r="B3457" s="6" t="s">
        <v>6952</v>
      </c>
      <c r="C3457" s="7">
        <v>27582</v>
      </c>
      <c r="D3457" s="8" t="s">
        <v>6953</v>
      </c>
    </row>
    <row r="3458" spans="1:4" ht="14.25">
      <c r="A3458" s="5">
        <v>7</v>
      </c>
      <c r="B3458" s="6" t="s">
        <v>6954</v>
      </c>
      <c r="C3458" s="7">
        <v>27582</v>
      </c>
      <c r="D3458" s="8" t="s">
        <v>6955</v>
      </c>
    </row>
    <row r="3459" spans="1:4" ht="14.25">
      <c r="A3459" s="5">
        <v>7</v>
      </c>
      <c r="B3459" s="6" t="s">
        <v>6956</v>
      </c>
      <c r="C3459" s="7">
        <v>27582</v>
      </c>
      <c r="D3459" s="8" t="s">
        <v>6957</v>
      </c>
    </row>
    <row r="3460" spans="1:4" ht="14.25">
      <c r="A3460" s="5" t="s">
        <v>484</v>
      </c>
      <c r="B3460" s="6" t="s">
        <v>6958</v>
      </c>
      <c r="C3460" s="7">
        <v>27583</v>
      </c>
      <c r="D3460" s="8" t="s">
        <v>6959</v>
      </c>
    </row>
    <row r="3461" spans="1:4" ht="14.25">
      <c r="A3461" s="5" t="s">
        <v>1001</v>
      </c>
      <c r="B3461" s="6" t="s">
        <v>6960</v>
      </c>
      <c r="C3461" s="7">
        <v>27583</v>
      </c>
      <c r="D3461" s="8" t="s">
        <v>6961</v>
      </c>
    </row>
    <row r="3462" spans="1:4" ht="14.25">
      <c r="A3462" s="5">
        <v>8</v>
      </c>
      <c r="B3462" s="6" t="s">
        <v>6962</v>
      </c>
      <c r="C3462" s="7">
        <v>27583</v>
      </c>
      <c r="D3462" s="8" t="s">
        <v>6963</v>
      </c>
    </row>
    <row r="3463" spans="1:4" ht="14.25">
      <c r="A3463" s="5">
        <v>8</v>
      </c>
      <c r="B3463" s="6" t="s">
        <v>6964</v>
      </c>
      <c r="C3463" s="7">
        <v>27583</v>
      </c>
      <c r="D3463" s="8" t="s">
        <v>6965</v>
      </c>
    </row>
    <row r="3464" spans="1:4" ht="14.25">
      <c r="A3464" s="5">
        <v>8</v>
      </c>
      <c r="B3464" s="6" t="s">
        <v>6966</v>
      </c>
      <c r="C3464" s="7">
        <v>27583</v>
      </c>
      <c r="D3464" s="8" t="s">
        <v>6967</v>
      </c>
    </row>
    <row r="3465" spans="1:4" ht="14.25">
      <c r="A3465" s="5">
        <v>8</v>
      </c>
      <c r="B3465" s="6" t="s">
        <v>6968</v>
      </c>
      <c r="C3465" s="7">
        <v>27583</v>
      </c>
      <c r="D3465" s="8" t="s">
        <v>6969</v>
      </c>
    </row>
    <row r="3466" spans="1:4" ht="14.25">
      <c r="A3466" s="5" t="s">
        <v>2</v>
      </c>
      <c r="B3466" s="6" t="s">
        <v>6970</v>
      </c>
      <c r="C3466" s="7">
        <v>27584</v>
      </c>
      <c r="D3466" s="8" t="s">
        <v>6971</v>
      </c>
    </row>
    <row r="3467" spans="1:4" ht="14.25">
      <c r="A3467" s="5" t="s">
        <v>2</v>
      </c>
      <c r="B3467" s="6" t="s">
        <v>6972</v>
      </c>
      <c r="C3467" s="7">
        <v>27584</v>
      </c>
      <c r="D3467" s="8" t="s">
        <v>6973</v>
      </c>
    </row>
    <row r="3468" spans="1:4" ht="14.25">
      <c r="A3468" s="5" t="s">
        <v>484</v>
      </c>
      <c r="B3468" s="6" t="s">
        <v>6974</v>
      </c>
      <c r="C3468" s="7">
        <v>27584</v>
      </c>
      <c r="D3468" s="8" t="s">
        <v>6975</v>
      </c>
    </row>
    <row r="3469" spans="1:4" ht="14.25">
      <c r="A3469" s="5" t="s">
        <v>463</v>
      </c>
      <c r="B3469" s="6" t="s">
        <v>6976</v>
      </c>
      <c r="C3469" s="7">
        <v>27584</v>
      </c>
      <c r="D3469" s="8" t="s">
        <v>6977</v>
      </c>
    </row>
    <row r="3470" spans="1:4" ht="14.25">
      <c r="A3470" s="5" t="s">
        <v>1001</v>
      </c>
      <c r="B3470" s="6" t="s">
        <v>6978</v>
      </c>
      <c r="C3470" s="7">
        <v>27584</v>
      </c>
      <c r="D3470" s="8" t="s">
        <v>6979</v>
      </c>
    </row>
    <row r="3471" spans="1:4" ht="14.25">
      <c r="A3471" s="5">
        <v>9</v>
      </c>
      <c r="B3471" s="6" t="s">
        <v>6980</v>
      </c>
      <c r="C3471" s="7">
        <v>27584</v>
      </c>
      <c r="D3471" s="8" t="s">
        <v>6981</v>
      </c>
    </row>
    <row r="3472" spans="1:4" ht="14.25">
      <c r="A3472" s="5">
        <v>9</v>
      </c>
      <c r="B3472" s="6" t="s">
        <v>6982</v>
      </c>
      <c r="C3472" s="7">
        <v>27584</v>
      </c>
      <c r="D3472" s="8" t="s">
        <v>6983</v>
      </c>
    </row>
    <row r="3473" spans="1:4" ht="14.25">
      <c r="A3473" s="5">
        <v>9</v>
      </c>
      <c r="B3473" s="6" t="s">
        <v>6984</v>
      </c>
      <c r="C3473" s="7">
        <v>27584</v>
      </c>
      <c r="D3473" s="8" t="s">
        <v>6985</v>
      </c>
    </row>
    <row r="3474" spans="1:4" ht="14.25">
      <c r="A3474" s="5">
        <v>9</v>
      </c>
      <c r="B3474" s="6" t="s">
        <v>6986</v>
      </c>
      <c r="C3474" s="7">
        <v>27584</v>
      </c>
      <c r="D3474" s="8" t="s">
        <v>6987</v>
      </c>
    </row>
    <row r="3475" spans="1:4" ht="14.25">
      <c r="A3475" s="5">
        <v>9</v>
      </c>
      <c r="B3475" s="6" t="s">
        <v>6988</v>
      </c>
      <c r="C3475" s="7">
        <v>27584</v>
      </c>
      <c r="D3475" s="8" t="s">
        <v>6989</v>
      </c>
    </row>
    <row r="3476" spans="1:4" ht="14.25">
      <c r="A3476" s="5">
        <v>9</v>
      </c>
      <c r="B3476" s="6" t="s">
        <v>6990</v>
      </c>
      <c r="C3476" s="7">
        <v>27584</v>
      </c>
      <c r="D3476" s="8" t="s">
        <v>6991</v>
      </c>
    </row>
    <row r="3477" spans="1:4" ht="14.25">
      <c r="A3477" s="5">
        <v>9</v>
      </c>
      <c r="B3477" s="6" t="s">
        <v>6992</v>
      </c>
      <c r="C3477" s="7">
        <v>27584</v>
      </c>
      <c r="D3477" s="8" t="s">
        <v>6993</v>
      </c>
    </row>
    <row r="3478" spans="1:4" ht="14.25">
      <c r="A3478" s="5">
        <v>9</v>
      </c>
      <c r="B3478" s="6" t="s">
        <v>6994</v>
      </c>
      <c r="C3478" s="7">
        <v>27584</v>
      </c>
      <c r="D3478" s="8" t="s">
        <v>6995</v>
      </c>
    </row>
    <row r="3479" spans="1:4" ht="14.25">
      <c r="A3479" s="5">
        <v>9</v>
      </c>
      <c r="B3479" s="6" t="s">
        <v>6996</v>
      </c>
      <c r="C3479" s="7">
        <v>27584</v>
      </c>
      <c r="D3479" s="8" t="s">
        <v>6997</v>
      </c>
    </row>
    <row r="3480" spans="1:4" ht="14.25">
      <c r="A3480" s="5">
        <v>9</v>
      </c>
      <c r="B3480" s="6" t="s">
        <v>6998</v>
      </c>
      <c r="C3480" s="7">
        <v>27584</v>
      </c>
      <c r="D3480" s="8" t="s">
        <v>6999</v>
      </c>
    </row>
    <row r="3481" spans="1:4" ht="14.25">
      <c r="A3481" s="5" t="s">
        <v>484</v>
      </c>
      <c r="B3481" s="6" t="s">
        <v>7000</v>
      </c>
      <c r="C3481" s="7">
        <v>27585</v>
      </c>
      <c r="D3481" s="8" t="s">
        <v>7001</v>
      </c>
    </row>
    <row r="3482" spans="1:4" ht="14.25">
      <c r="A3482" s="5" t="s">
        <v>463</v>
      </c>
      <c r="B3482" s="6" t="s">
        <v>7002</v>
      </c>
      <c r="C3482" s="7">
        <v>27585</v>
      </c>
      <c r="D3482" s="8" t="s">
        <v>7003</v>
      </c>
    </row>
    <row r="3483" spans="1:4" ht="14.25">
      <c r="A3483" s="5" t="s">
        <v>167</v>
      </c>
      <c r="B3483" s="6" t="s">
        <v>7004</v>
      </c>
      <c r="C3483" s="7">
        <v>27585</v>
      </c>
      <c r="D3483" s="8" t="s">
        <v>7005</v>
      </c>
    </row>
    <row r="3484" spans="1:4" ht="14.25">
      <c r="A3484" s="5">
        <v>10</v>
      </c>
      <c r="B3484" s="6" t="s">
        <v>7006</v>
      </c>
      <c r="C3484" s="7">
        <v>27585</v>
      </c>
      <c r="D3484" s="8" t="s">
        <v>7007</v>
      </c>
    </row>
    <row r="3485" spans="1:4" ht="14.25">
      <c r="A3485" s="5">
        <v>10</v>
      </c>
      <c r="B3485" s="6" t="s">
        <v>7008</v>
      </c>
      <c r="C3485" s="7">
        <v>27585</v>
      </c>
      <c r="D3485" s="8" t="s">
        <v>7009</v>
      </c>
    </row>
    <row r="3486" spans="1:4" ht="14.25">
      <c r="A3486" s="5">
        <v>10</v>
      </c>
      <c r="B3486" s="6" t="s">
        <v>7010</v>
      </c>
      <c r="C3486" s="7">
        <v>27585</v>
      </c>
      <c r="D3486" s="8" t="s">
        <v>7011</v>
      </c>
    </row>
    <row r="3487" spans="1:4" ht="14.25">
      <c r="A3487" s="5" t="s">
        <v>863</v>
      </c>
      <c r="B3487" s="6" t="s">
        <v>7012</v>
      </c>
      <c r="C3487" s="7">
        <v>27586</v>
      </c>
      <c r="D3487" s="8" t="s">
        <v>7013</v>
      </c>
    </row>
    <row r="3488" spans="1:4" ht="14.25">
      <c r="A3488" s="5" t="s">
        <v>863</v>
      </c>
      <c r="B3488" s="6" t="s">
        <v>7014</v>
      </c>
      <c r="C3488" s="7">
        <v>27586</v>
      </c>
      <c r="D3488" s="8" t="s">
        <v>7015</v>
      </c>
    </row>
    <row r="3489" spans="1:4" ht="14.25">
      <c r="A3489" s="5" t="s">
        <v>2</v>
      </c>
      <c r="B3489" s="6" t="s">
        <v>7016</v>
      </c>
      <c r="C3489" s="7">
        <v>27586</v>
      </c>
      <c r="D3489" s="8" t="s">
        <v>7017</v>
      </c>
    </row>
    <row r="3490" spans="1:4" ht="14.25">
      <c r="A3490" s="5" t="s">
        <v>484</v>
      </c>
      <c r="B3490" s="6" t="s">
        <v>7018</v>
      </c>
      <c r="C3490" s="7">
        <v>27586</v>
      </c>
      <c r="D3490" s="8" t="s">
        <v>7019</v>
      </c>
    </row>
    <row r="3491" spans="1:4" ht="14.25">
      <c r="A3491" s="5" t="s">
        <v>1001</v>
      </c>
      <c r="B3491" s="6" t="s">
        <v>7020</v>
      </c>
      <c r="C3491" s="7">
        <v>27586</v>
      </c>
      <c r="D3491" s="8" t="s">
        <v>7021</v>
      </c>
    </row>
    <row r="3492" spans="1:4" ht="14.25">
      <c r="A3492" s="5">
        <v>11</v>
      </c>
      <c r="B3492" s="6" t="s">
        <v>7022</v>
      </c>
      <c r="C3492" s="7">
        <v>27586</v>
      </c>
      <c r="D3492" s="8" t="s">
        <v>7023</v>
      </c>
    </row>
    <row r="3493" spans="1:4" ht="14.25">
      <c r="A3493" s="5">
        <v>11</v>
      </c>
      <c r="B3493" s="6" t="s">
        <v>7024</v>
      </c>
      <c r="C3493" s="7">
        <v>27586</v>
      </c>
      <c r="D3493" s="8" t="s">
        <v>7025</v>
      </c>
    </row>
    <row r="3494" spans="1:4" ht="14.25">
      <c r="A3494" s="5">
        <v>11</v>
      </c>
      <c r="B3494" s="6" t="s">
        <v>7026</v>
      </c>
      <c r="C3494" s="7">
        <v>27586</v>
      </c>
      <c r="D3494" s="8" t="s">
        <v>7027</v>
      </c>
    </row>
    <row r="3495" spans="1:4" ht="14.25">
      <c r="A3495" s="5">
        <v>11</v>
      </c>
      <c r="B3495" s="6" t="s">
        <v>7028</v>
      </c>
      <c r="C3495" s="7">
        <v>27586</v>
      </c>
      <c r="D3495" s="8" t="s">
        <v>7029</v>
      </c>
    </row>
    <row r="3496" spans="1:4" ht="14.25">
      <c r="A3496" s="5">
        <v>11</v>
      </c>
      <c r="B3496" s="6" t="s">
        <v>7030</v>
      </c>
      <c r="C3496" s="7">
        <v>27586</v>
      </c>
      <c r="D3496" s="8" t="s">
        <v>7031</v>
      </c>
    </row>
    <row r="3497" spans="1:4" ht="14.25">
      <c r="A3497" s="5">
        <v>11</v>
      </c>
      <c r="B3497" s="6" t="s">
        <v>7032</v>
      </c>
      <c r="C3497" s="7">
        <v>27586</v>
      </c>
      <c r="D3497" s="8" t="s">
        <v>7033</v>
      </c>
    </row>
    <row r="3498" spans="1:4" ht="14.25">
      <c r="A3498" s="5">
        <v>11</v>
      </c>
      <c r="B3498" s="6" t="s">
        <v>7034</v>
      </c>
      <c r="C3498" s="7">
        <v>27586</v>
      </c>
      <c r="D3498" s="8" t="s">
        <v>7035</v>
      </c>
    </row>
    <row r="3499" spans="1:4" ht="14.25">
      <c r="A3499" s="5">
        <v>11</v>
      </c>
      <c r="B3499" s="6" t="s">
        <v>7036</v>
      </c>
      <c r="C3499" s="7">
        <v>27586</v>
      </c>
      <c r="D3499" s="8" t="s">
        <v>7037</v>
      </c>
    </row>
    <row r="3500" spans="1:4" ht="14.25">
      <c r="A3500" s="5">
        <v>11</v>
      </c>
      <c r="B3500" s="6" t="s">
        <v>7038</v>
      </c>
      <c r="C3500" s="7">
        <v>27586</v>
      </c>
      <c r="D3500" s="8" t="s">
        <v>7039</v>
      </c>
    </row>
    <row r="3501" spans="1:4" ht="14.25">
      <c r="A3501" s="5" t="s">
        <v>197</v>
      </c>
      <c r="B3501" s="6" t="s">
        <v>7040</v>
      </c>
      <c r="C3501" s="7">
        <v>27587</v>
      </c>
      <c r="D3501" s="8" t="s">
        <v>7041</v>
      </c>
    </row>
    <row r="3502" spans="1:4" ht="14.25">
      <c r="A3502" s="5" t="s">
        <v>484</v>
      </c>
      <c r="B3502" s="6" t="s">
        <v>7042</v>
      </c>
      <c r="C3502" s="7">
        <v>27587</v>
      </c>
      <c r="D3502" s="8" t="s">
        <v>7043</v>
      </c>
    </row>
    <row r="3503" spans="1:4" ht="14.25">
      <c r="A3503" s="5" t="s">
        <v>1001</v>
      </c>
      <c r="B3503" s="6" t="s">
        <v>7044</v>
      </c>
      <c r="C3503" s="7">
        <v>27587</v>
      </c>
      <c r="D3503" s="8" t="s">
        <v>7045</v>
      </c>
    </row>
    <row r="3504" spans="1:4" ht="14.25">
      <c r="A3504" s="5">
        <v>12</v>
      </c>
      <c r="B3504" s="6" t="s">
        <v>7046</v>
      </c>
      <c r="C3504" s="7">
        <v>27587</v>
      </c>
      <c r="D3504" s="8" t="s">
        <v>7047</v>
      </c>
    </row>
    <row r="3505" spans="1:4" ht="14.25">
      <c r="A3505" s="5">
        <v>12</v>
      </c>
      <c r="B3505" s="6" t="s">
        <v>7048</v>
      </c>
      <c r="C3505" s="7">
        <v>27587</v>
      </c>
      <c r="D3505" s="8" t="s">
        <v>7049</v>
      </c>
    </row>
    <row r="3506" spans="1:4" ht="14.25">
      <c r="A3506" s="5">
        <v>12</v>
      </c>
      <c r="B3506" s="6" t="s">
        <v>7050</v>
      </c>
      <c r="C3506" s="7">
        <v>27587</v>
      </c>
      <c r="D3506" s="8" t="s">
        <v>7051</v>
      </c>
    </row>
    <row r="3507" spans="1:4" ht="14.25">
      <c r="A3507" s="5">
        <v>12</v>
      </c>
      <c r="B3507" s="6" t="s">
        <v>7052</v>
      </c>
      <c r="C3507" s="7">
        <v>27587</v>
      </c>
      <c r="D3507" s="8" t="s">
        <v>7053</v>
      </c>
    </row>
    <row r="3508" spans="1:4" ht="14.25">
      <c r="A3508" s="5">
        <v>12</v>
      </c>
      <c r="B3508" s="6" t="s">
        <v>7054</v>
      </c>
      <c r="C3508" s="7">
        <v>27587</v>
      </c>
      <c r="D3508" s="8" t="s">
        <v>7055</v>
      </c>
    </row>
    <row r="3509" spans="1:4" ht="14.25">
      <c r="A3509" s="5">
        <v>12</v>
      </c>
      <c r="B3509" s="6" t="s">
        <v>7056</v>
      </c>
      <c r="C3509" s="7">
        <v>27587</v>
      </c>
      <c r="D3509" s="8" t="s">
        <v>7057</v>
      </c>
    </row>
    <row r="3510" spans="1:4" ht="14.25">
      <c r="A3510" s="5" t="s">
        <v>2</v>
      </c>
      <c r="B3510" s="6" t="s">
        <v>7058</v>
      </c>
      <c r="C3510" s="7">
        <v>27588</v>
      </c>
      <c r="D3510" s="8" t="s">
        <v>7059</v>
      </c>
    </row>
    <row r="3511" spans="1:4" ht="14.25">
      <c r="A3511" s="5" t="s">
        <v>463</v>
      </c>
      <c r="B3511" s="6" t="s">
        <v>7060</v>
      </c>
      <c r="C3511" s="7">
        <v>27588</v>
      </c>
      <c r="D3511" s="8" t="s">
        <v>7061</v>
      </c>
    </row>
    <row r="3512" spans="1:4" ht="14.25">
      <c r="A3512" s="5" t="s">
        <v>463</v>
      </c>
      <c r="B3512" s="6" t="s">
        <v>7062</v>
      </c>
      <c r="C3512" s="7">
        <v>27588</v>
      </c>
      <c r="D3512" s="8" t="s">
        <v>7063</v>
      </c>
    </row>
    <row r="3513" spans="1:4" ht="14.25">
      <c r="A3513" s="5" t="s">
        <v>463</v>
      </c>
      <c r="B3513" s="6" t="s">
        <v>7064</v>
      </c>
      <c r="C3513" s="7">
        <v>27588</v>
      </c>
      <c r="D3513" s="8" t="s">
        <v>7065</v>
      </c>
    </row>
    <row r="3514" spans="1:4" ht="14.25">
      <c r="A3514" s="5" t="s">
        <v>463</v>
      </c>
      <c r="B3514" s="6" t="s">
        <v>7066</v>
      </c>
      <c r="C3514" s="7">
        <v>27588</v>
      </c>
      <c r="D3514" s="8" t="s">
        <v>7067</v>
      </c>
    </row>
    <row r="3515" spans="1:4" ht="14.25">
      <c r="A3515" s="5" t="s">
        <v>1001</v>
      </c>
      <c r="B3515" s="6" t="s">
        <v>7068</v>
      </c>
      <c r="C3515" s="7">
        <v>27588</v>
      </c>
      <c r="D3515" s="8" t="s">
        <v>7069</v>
      </c>
    </row>
    <row r="3516" spans="1:4" ht="14.25">
      <c r="A3516" s="5">
        <v>13</v>
      </c>
      <c r="B3516" s="6" t="s">
        <v>7070</v>
      </c>
      <c r="C3516" s="7">
        <v>27588</v>
      </c>
      <c r="D3516" s="8" t="s">
        <v>7071</v>
      </c>
    </row>
    <row r="3517" spans="1:4" ht="14.25">
      <c r="A3517" s="5">
        <v>13</v>
      </c>
      <c r="B3517" s="6" t="s">
        <v>7072</v>
      </c>
      <c r="C3517" s="7">
        <v>27588</v>
      </c>
      <c r="D3517" s="8" t="s">
        <v>7073</v>
      </c>
    </row>
    <row r="3518" spans="1:4" ht="14.25">
      <c r="A3518" s="5">
        <v>13</v>
      </c>
      <c r="B3518" s="6" t="s">
        <v>7074</v>
      </c>
      <c r="C3518" s="7">
        <v>27588</v>
      </c>
      <c r="D3518" s="8" t="s">
        <v>7075</v>
      </c>
    </row>
    <row r="3519" spans="1:4" ht="14.25">
      <c r="A3519" s="5">
        <v>13</v>
      </c>
      <c r="B3519" s="6" t="s">
        <v>7076</v>
      </c>
      <c r="C3519" s="7">
        <v>27588</v>
      </c>
      <c r="D3519" s="8" t="s">
        <v>7077</v>
      </c>
    </row>
    <row r="3520" spans="1:4" ht="14.25">
      <c r="A3520" s="5">
        <v>13</v>
      </c>
      <c r="B3520" s="6" t="s">
        <v>7078</v>
      </c>
      <c r="C3520" s="7">
        <v>27588</v>
      </c>
      <c r="D3520" s="8" t="s">
        <v>7079</v>
      </c>
    </row>
    <row r="3521" spans="1:4" ht="14.25">
      <c r="A3521" s="5">
        <v>13</v>
      </c>
      <c r="B3521" s="6" t="s">
        <v>7080</v>
      </c>
      <c r="C3521" s="7">
        <v>27588</v>
      </c>
      <c r="D3521" s="8" t="s">
        <v>7081</v>
      </c>
    </row>
    <row r="3522" spans="1:4" ht="14.25">
      <c r="A3522" s="5">
        <v>13</v>
      </c>
      <c r="B3522" s="6" t="s">
        <v>7082</v>
      </c>
      <c r="C3522" s="7">
        <v>27588</v>
      </c>
      <c r="D3522" s="8" t="s">
        <v>7083</v>
      </c>
    </row>
    <row r="3523" spans="1:4" ht="14.25">
      <c r="A3523" s="5">
        <v>13</v>
      </c>
      <c r="B3523" s="6" t="s">
        <v>7084</v>
      </c>
      <c r="C3523" s="7">
        <v>27588</v>
      </c>
      <c r="D3523" s="8" t="s">
        <v>7085</v>
      </c>
    </row>
    <row r="3524" spans="1:4" ht="14.25">
      <c r="A3524" s="5" t="s">
        <v>484</v>
      </c>
      <c r="B3524" s="6" t="s">
        <v>7086</v>
      </c>
      <c r="C3524" s="7">
        <v>27589</v>
      </c>
      <c r="D3524" s="8" t="s">
        <v>7087</v>
      </c>
    </row>
    <row r="3525" spans="1:4" ht="14.25">
      <c r="A3525" s="5" t="s">
        <v>1001</v>
      </c>
      <c r="B3525" s="6" t="s">
        <v>7088</v>
      </c>
      <c r="C3525" s="7">
        <v>27589</v>
      </c>
      <c r="D3525" s="8" t="s">
        <v>7089</v>
      </c>
    </row>
    <row r="3526" spans="1:4" ht="14.25">
      <c r="A3526" s="5">
        <v>14</v>
      </c>
      <c r="B3526" s="6" t="s">
        <v>7090</v>
      </c>
      <c r="C3526" s="7">
        <v>27589</v>
      </c>
      <c r="D3526" s="8" t="s">
        <v>7091</v>
      </c>
    </row>
    <row r="3527" spans="1:4" ht="14.25">
      <c r="A3527" s="5">
        <v>14</v>
      </c>
      <c r="B3527" s="6" t="s">
        <v>7092</v>
      </c>
      <c r="C3527" s="7">
        <v>27589</v>
      </c>
      <c r="D3527" s="8" t="s">
        <v>7093</v>
      </c>
    </row>
    <row r="3528" spans="1:4" ht="14.25">
      <c r="A3528" s="5">
        <v>14</v>
      </c>
      <c r="B3528" s="6" t="s">
        <v>7094</v>
      </c>
      <c r="C3528" s="7">
        <v>27589</v>
      </c>
      <c r="D3528" s="8" t="s">
        <v>7095</v>
      </c>
    </row>
    <row r="3529" spans="1:4" ht="14.25">
      <c r="A3529" s="5">
        <v>14</v>
      </c>
      <c r="B3529" s="6" t="s">
        <v>7096</v>
      </c>
      <c r="C3529" s="7">
        <v>27589</v>
      </c>
      <c r="D3529" s="8" t="s">
        <v>7097</v>
      </c>
    </row>
    <row r="3530" spans="1:4" ht="14.25">
      <c r="A3530" s="5" t="s">
        <v>863</v>
      </c>
      <c r="B3530" s="6" t="s">
        <v>7098</v>
      </c>
      <c r="C3530" s="7">
        <v>27590</v>
      </c>
      <c r="D3530" s="8" t="s">
        <v>7099</v>
      </c>
    </row>
    <row r="3531" spans="1:4" ht="14.25">
      <c r="A3531" s="5">
        <v>15</v>
      </c>
      <c r="B3531" s="6" t="s">
        <v>7100</v>
      </c>
      <c r="C3531" s="7">
        <v>27590</v>
      </c>
      <c r="D3531" s="8" t="s">
        <v>7101</v>
      </c>
    </row>
    <row r="3532" spans="1:4" ht="14.25">
      <c r="A3532" s="5">
        <v>15</v>
      </c>
      <c r="B3532" s="6" t="s">
        <v>7102</v>
      </c>
      <c r="C3532" s="7">
        <v>27590</v>
      </c>
      <c r="D3532" s="8" t="s">
        <v>7103</v>
      </c>
    </row>
    <row r="3533" spans="1:4" ht="14.25">
      <c r="A3533" s="5" t="s">
        <v>484</v>
      </c>
      <c r="B3533" s="6" t="s">
        <v>7104</v>
      </c>
      <c r="C3533" s="7">
        <v>27591</v>
      </c>
      <c r="D3533" s="8" t="s">
        <v>7105</v>
      </c>
    </row>
    <row r="3534" spans="1:4" ht="14.25">
      <c r="A3534" s="5" t="s">
        <v>1001</v>
      </c>
      <c r="B3534" s="6" t="s">
        <v>7106</v>
      </c>
      <c r="C3534" s="7">
        <v>27591</v>
      </c>
      <c r="D3534" s="8" t="s">
        <v>7107</v>
      </c>
    </row>
    <row r="3535" spans="1:4" ht="14.25">
      <c r="A3535" s="5" t="s">
        <v>167</v>
      </c>
      <c r="B3535" s="6" t="s">
        <v>7108</v>
      </c>
      <c r="C3535" s="7">
        <v>27591</v>
      </c>
      <c r="D3535" s="8" t="s">
        <v>7109</v>
      </c>
    </row>
    <row r="3536" spans="1:4" ht="14.25">
      <c r="A3536" s="5">
        <v>16</v>
      </c>
      <c r="B3536" s="6" t="s">
        <v>7110</v>
      </c>
      <c r="C3536" s="7">
        <v>27591</v>
      </c>
      <c r="D3536" s="8" t="s">
        <v>7111</v>
      </c>
    </row>
    <row r="3537" spans="1:4" ht="14.25">
      <c r="A3537" s="5">
        <v>16</v>
      </c>
      <c r="B3537" s="6" t="s">
        <v>7112</v>
      </c>
      <c r="C3537" s="7">
        <v>27591</v>
      </c>
      <c r="D3537" s="8" t="s">
        <v>7113</v>
      </c>
    </row>
    <row r="3538" spans="1:4" ht="14.25">
      <c r="A3538" s="5">
        <v>16</v>
      </c>
      <c r="B3538" s="6" t="s">
        <v>7114</v>
      </c>
      <c r="C3538" s="7">
        <v>27591</v>
      </c>
      <c r="D3538" s="8" t="s">
        <v>7115</v>
      </c>
    </row>
    <row r="3539" spans="1:4" ht="14.25">
      <c r="A3539" s="5">
        <v>16</v>
      </c>
      <c r="B3539" s="6" t="s">
        <v>7116</v>
      </c>
      <c r="C3539" s="7">
        <v>27591</v>
      </c>
      <c r="D3539" s="8" t="s">
        <v>7117</v>
      </c>
    </row>
    <row r="3540" spans="1:4" ht="14.25">
      <c r="A3540" s="5">
        <v>16</v>
      </c>
      <c r="B3540" s="6" t="s">
        <v>7118</v>
      </c>
      <c r="C3540" s="7">
        <v>27591</v>
      </c>
      <c r="D3540" s="8" t="s">
        <v>7119</v>
      </c>
    </row>
    <row r="3541" spans="1:4" ht="14.25">
      <c r="A3541" s="5" t="s">
        <v>484</v>
      </c>
      <c r="B3541" s="6" t="s">
        <v>7120</v>
      </c>
      <c r="C3541" s="7">
        <v>27592</v>
      </c>
      <c r="D3541" s="8" t="s">
        <v>7121</v>
      </c>
    </row>
    <row r="3542" spans="1:4" ht="14.25">
      <c r="A3542" s="5" t="s">
        <v>1001</v>
      </c>
      <c r="B3542" s="6" t="s">
        <v>7122</v>
      </c>
      <c r="C3542" s="7">
        <v>27592</v>
      </c>
      <c r="D3542" s="8" t="s">
        <v>7123</v>
      </c>
    </row>
    <row r="3543" spans="1:4" ht="14.25">
      <c r="A3543" s="5">
        <v>17</v>
      </c>
      <c r="B3543" s="6" t="s">
        <v>7124</v>
      </c>
      <c r="C3543" s="7">
        <v>27592</v>
      </c>
      <c r="D3543" s="8" t="s">
        <v>7125</v>
      </c>
    </row>
    <row r="3544" spans="1:4" ht="14.25">
      <c r="A3544" s="5">
        <v>17</v>
      </c>
      <c r="B3544" s="6" t="s">
        <v>7126</v>
      </c>
      <c r="C3544" s="7">
        <v>27592</v>
      </c>
      <c r="D3544" s="8" t="s">
        <v>7127</v>
      </c>
    </row>
    <row r="3545" spans="1:4" ht="14.25">
      <c r="A3545" s="5">
        <v>17</v>
      </c>
      <c r="B3545" s="6" t="s">
        <v>7128</v>
      </c>
      <c r="C3545" s="7">
        <v>27592</v>
      </c>
      <c r="D3545" s="8" t="s">
        <v>7129</v>
      </c>
    </row>
    <row r="3546" spans="1:4" ht="14.25">
      <c r="A3546" s="5">
        <v>17</v>
      </c>
      <c r="B3546" s="6" t="s">
        <v>7130</v>
      </c>
      <c r="C3546" s="7">
        <v>27592</v>
      </c>
      <c r="D3546" s="8" t="s">
        <v>7131</v>
      </c>
    </row>
    <row r="3547" spans="1:4" ht="14.25">
      <c r="A3547" s="5" t="s">
        <v>484</v>
      </c>
      <c r="B3547" s="6" t="s">
        <v>7132</v>
      </c>
      <c r="C3547" s="7">
        <v>27593</v>
      </c>
      <c r="D3547" s="8" t="s">
        <v>7133</v>
      </c>
    </row>
    <row r="3548" spans="1:4" ht="14.25">
      <c r="A3548" s="5" t="s">
        <v>1001</v>
      </c>
      <c r="B3548" s="6" t="s">
        <v>7134</v>
      </c>
      <c r="C3548" s="7">
        <v>27593</v>
      </c>
      <c r="D3548" s="8" t="s">
        <v>7135</v>
      </c>
    </row>
    <row r="3549" spans="1:4" ht="14.25">
      <c r="A3549" s="5">
        <v>18</v>
      </c>
      <c r="B3549" s="6" t="s">
        <v>7136</v>
      </c>
      <c r="C3549" s="7">
        <v>27593</v>
      </c>
      <c r="D3549" s="8" t="s">
        <v>7137</v>
      </c>
    </row>
    <row r="3550" spans="1:4" ht="14.25">
      <c r="A3550" s="5">
        <v>18</v>
      </c>
      <c r="B3550" s="6" t="s">
        <v>7138</v>
      </c>
      <c r="C3550" s="7">
        <v>27593</v>
      </c>
      <c r="D3550" s="8" t="s">
        <v>7139</v>
      </c>
    </row>
    <row r="3551" spans="1:4" ht="14.25">
      <c r="A3551" s="5">
        <v>18</v>
      </c>
      <c r="B3551" s="6" t="s">
        <v>7140</v>
      </c>
      <c r="C3551" s="7">
        <v>27593</v>
      </c>
      <c r="D3551" s="8" t="s">
        <v>7141</v>
      </c>
    </row>
    <row r="3552" spans="1:4" ht="14.25">
      <c r="A3552" s="5">
        <v>18</v>
      </c>
      <c r="B3552" s="6" t="s">
        <v>7142</v>
      </c>
      <c r="C3552" s="7">
        <v>27593</v>
      </c>
      <c r="D3552" s="8" t="s">
        <v>7143</v>
      </c>
    </row>
    <row r="3553" spans="1:4" ht="14.25">
      <c r="A3553" s="5" t="s">
        <v>484</v>
      </c>
      <c r="B3553" s="6" t="s">
        <v>7144</v>
      </c>
      <c r="C3553" s="7">
        <v>27594</v>
      </c>
      <c r="D3553" s="8" t="s">
        <v>7145</v>
      </c>
    </row>
    <row r="3554" spans="1:4" ht="14.25">
      <c r="A3554" s="5" t="s">
        <v>1001</v>
      </c>
      <c r="B3554" s="6" t="s">
        <v>7146</v>
      </c>
      <c r="C3554" s="7">
        <v>27594</v>
      </c>
      <c r="D3554" s="8" t="s">
        <v>7147</v>
      </c>
    </row>
    <row r="3555" spans="1:4" ht="14.25">
      <c r="A3555" s="5">
        <v>19</v>
      </c>
      <c r="B3555" s="6" t="s">
        <v>7148</v>
      </c>
      <c r="C3555" s="7">
        <v>27594</v>
      </c>
      <c r="D3555" s="8" t="s">
        <v>7149</v>
      </c>
    </row>
    <row r="3556" spans="1:4" ht="14.25">
      <c r="A3556" s="5">
        <v>19</v>
      </c>
      <c r="B3556" s="6" t="s">
        <v>7150</v>
      </c>
      <c r="C3556" s="7">
        <v>27594</v>
      </c>
      <c r="D3556" s="8" t="s">
        <v>7151</v>
      </c>
    </row>
    <row r="3557" spans="1:4" ht="14.25">
      <c r="A3557" s="5">
        <v>19</v>
      </c>
      <c r="B3557" s="6" t="s">
        <v>7152</v>
      </c>
      <c r="C3557" s="7">
        <v>27594</v>
      </c>
      <c r="D3557" s="8" t="s">
        <v>7153</v>
      </c>
    </row>
    <row r="3558" spans="1:4" ht="14.25">
      <c r="A3558" s="5">
        <v>19</v>
      </c>
      <c r="B3558" s="6" t="s">
        <v>7154</v>
      </c>
      <c r="C3558" s="7">
        <v>27594</v>
      </c>
      <c r="D3558" s="8" t="s">
        <v>7155</v>
      </c>
    </row>
    <row r="3559" spans="1:4" ht="14.25">
      <c r="A3559" s="5" t="s">
        <v>484</v>
      </c>
      <c r="B3559" s="6" t="s">
        <v>7156</v>
      </c>
      <c r="C3559" s="7">
        <v>27595</v>
      </c>
      <c r="D3559" s="8" t="s">
        <v>7157</v>
      </c>
    </row>
    <row r="3560" spans="1:4" ht="14.25">
      <c r="A3560" s="5" t="s">
        <v>1001</v>
      </c>
      <c r="B3560" s="6" t="s">
        <v>7158</v>
      </c>
      <c r="C3560" s="7">
        <v>27595</v>
      </c>
      <c r="D3560" s="8" t="s">
        <v>7159</v>
      </c>
    </row>
    <row r="3561" spans="1:4" ht="14.25">
      <c r="A3561" s="5">
        <v>20</v>
      </c>
      <c r="B3561" s="6" t="s">
        <v>7160</v>
      </c>
      <c r="C3561" s="7">
        <v>27595</v>
      </c>
      <c r="D3561" s="8" t="s">
        <v>7161</v>
      </c>
    </row>
    <row r="3562" spans="1:4" ht="14.25">
      <c r="A3562" s="5">
        <v>20</v>
      </c>
      <c r="B3562" s="6" t="s">
        <v>7162</v>
      </c>
      <c r="C3562" s="7">
        <v>27595</v>
      </c>
      <c r="D3562" s="8" t="s">
        <v>7163</v>
      </c>
    </row>
    <row r="3563" spans="1:4" ht="14.25">
      <c r="A3563" s="5">
        <v>20</v>
      </c>
      <c r="B3563" s="6" t="s">
        <v>7164</v>
      </c>
      <c r="C3563" s="7">
        <v>27595</v>
      </c>
      <c r="D3563" s="8" t="s">
        <v>7165</v>
      </c>
    </row>
    <row r="3564" spans="1:4" ht="14.25">
      <c r="A3564" s="5">
        <v>20</v>
      </c>
      <c r="B3564" s="6" t="s">
        <v>7166</v>
      </c>
      <c r="C3564" s="7">
        <v>27595</v>
      </c>
      <c r="D3564" s="8" t="s">
        <v>7167</v>
      </c>
    </row>
    <row r="3565" spans="1:4" ht="14.25">
      <c r="A3565" s="5" t="s">
        <v>484</v>
      </c>
      <c r="B3565" s="6" t="s">
        <v>7168</v>
      </c>
      <c r="C3565" s="7">
        <v>27596</v>
      </c>
      <c r="D3565" s="8" t="s">
        <v>7169</v>
      </c>
    </row>
    <row r="3566" spans="1:4" ht="14.25">
      <c r="A3566" s="5" t="s">
        <v>463</v>
      </c>
      <c r="B3566" s="6" t="s">
        <v>7170</v>
      </c>
      <c r="C3566" s="7">
        <v>27596</v>
      </c>
      <c r="D3566" s="8" t="s">
        <v>7171</v>
      </c>
    </row>
    <row r="3567" spans="1:4" ht="14.25">
      <c r="A3567" s="5" t="s">
        <v>1001</v>
      </c>
      <c r="B3567" s="6" t="s">
        <v>7172</v>
      </c>
      <c r="C3567" s="7">
        <v>27596</v>
      </c>
      <c r="D3567" s="8" t="s">
        <v>7173</v>
      </c>
    </row>
    <row r="3568" spans="1:4" ht="14.25">
      <c r="A3568" s="5" t="s">
        <v>167</v>
      </c>
      <c r="B3568" s="6" t="s">
        <v>7174</v>
      </c>
      <c r="C3568" s="7">
        <v>27596</v>
      </c>
      <c r="D3568" s="8" t="s">
        <v>7175</v>
      </c>
    </row>
    <row r="3569" spans="1:4" ht="14.25">
      <c r="A3569" s="5">
        <v>21</v>
      </c>
      <c r="B3569" s="6" t="s">
        <v>7176</v>
      </c>
      <c r="C3569" s="7">
        <v>27596</v>
      </c>
      <c r="D3569" s="8" t="s">
        <v>7177</v>
      </c>
    </row>
    <row r="3570" spans="1:4" ht="14.25">
      <c r="A3570" s="5">
        <v>21</v>
      </c>
      <c r="B3570" s="6" t="s">
        <v>7178</v>
      </c>
      <c r="C3570" s="7">
        <v>27596</v>
      </c>
      <c r="D3570" s="8" t="s">
        <v>7179</v>
      </c>
    </row>
    <row r="3571" spans="1:4" ht="14.25">
      <c r="A3571" s="5">
        <v>21</v>
      </c>
      <c r="B3571" s="6" t="s">
        <v>7180</v>
      </c>
      <c r="C3571" s="7">
        <v>27596</v>
      </c>
      <c r="D3571" s="8" t="s">
        <v>7181</v>
      </c>
    </row>
    <row r="3572" spans="1:4" ht="14.25">
      <c r="A3572" s="5">
        <v>21</v>
      </c>
      <c r="B3572" s="6" t="s">
        <v>7182</v>
      </c>
      <c r="C3572" s="7">
        <v>27596</v>
      </c>
      <c r="D3572" s="8" t="s">
        <v>7183</v>
      </c>
    </row>
    <row r="3573" spans="1:4" ht="14.25">
      <c r="A3573" s="5">
        <v>21</v>
      </c>
      <c r="B3573" s="6" t="s">
        <v>7184</v>
      </c>
      <c r="C3573" s="7">
        <v>27596</v>
      </c>
      <c r="D3573" s="8" t="s">
        <v>7185</v>
      </c>
    </row>
    <row r="3574" spans="1:4" ht="14.25">
      <c r="A3574" s="5">
        <v>21</v>
      </c>
      <c r="B3574" s="6" t="s">
        <v>7186</v>
      </c>
      <c r="C3574" s="7">
        <v>27596</v>
      </c>
      <c r="D3574" s="8" t="s">
        <v>7187</v>
      </c>
    </row>
    <row r="3575" spans="1:4" ht="14.25">
      <c r="A3575" s="5" t="s">
        <v>1001</v>
      </c>
      <c r="B3575" s="6" t="s">
        <v>7188</v>
      </c>
      <c r="C3575" s="7">
        <v>27597</v>
      </c>
      <c r="D3575" s="8" t="s">
        <v>7189</v>
      </c>
    </row>
    <row r="3576" spans="1:4" ht="14.25">
      <c r="A3576" s="5">
        <v>22</v>
      </c>
      <c r="B3576" s="6" t="s">
        <v>7190</v>
      </c>
      <c r="C3576" s="7">
        <v>27597</v>
      </c>
      <c r="D3576" s="8" t="s">
        <v>7191</v>
      </c>
    </row>
    <row r="3577" spans="1:4" ht="14.25">
      <c r="A3577" s="5" t="s">
        <v>1001</v>
      </c>
      <c r="B3577" s="6" t="s">
        <v>7192</v>
      </c>
      <c r="C3577" s="7">
        <v>27598</v>
      </c>
      <c r="D3577" s="8" t="s">
        <v>7193</v>
      </c>
    </row>
    <row r="3578" spans="1:4" ht="14.25">
      <c r="A3578" s="5">
        <v>23</v>
      </c>
      <c r="B3578" s="6" t="s">
        <v>7194</v>
      </c>
      <c r="C3578" s="7">
        <v>27598</v>
      </c>
      <c r="D3578" s="8" t="s">
        <v>7195</v>
      </c>
    </row>
    <row r="3579" spans="1:4" ht="14.25">
      <c r="A3579" s="5" t="s">
        <v>484</v>
      </c>
      <c r="B3579" s="6" t="s">
        <v>7196</v>
      </c>
      <c r="C3579" s="7">
        <v>27599</v>
      </c>
      <c r="D3579" s="8" t="s">
        <v>7197</v>
      </c>
    </row>
    <row r="3580" spans="1:4" ht="14.25">
      <c r="A3580" s="5" t="s">
        <v>1001</v>
      </c>
      <c r="B3580" s="6" t="s">
        <v>7198</v>
      </c>
      <c r="C3580" s="7">
        <v>27599</v>
      </c>
      <c r="D3580" s="8" t="s">
        <v>7199</v>
      </c>
    </row>
    <row r="3581" spans="1:4" ht="14.25">
      <c r="A3581" s="5">
        <v>24</v>
      </c>
      <c r="B3581" s="6" t="s">
        <v>7200</v>
      </c>
      <c r="C3581" s="7">
        <v>27599</v>
      </c>
      <c r="D3581" s="8" t="s">
        <v>7201</v>
      </c>
    </row>
    <row r="3582" spans="1:4" ht="14.25">
      <c r="A3582" s="5">
        <v>24</v>
      </c>
      <c r="B3582" s="6" t="s">
        <v>7202</v>
      </c>
      <c r="C3582" s="7">
        <v>27599</v>
      </c>
      <c r="D3582" s="8" t="s">
        <v>7203</v>
      </c>
    </row>
    <row r="3583" spans="1:4" ht="14.25">
      <c r="A3583" s="5">
        <v>24</v>
      </c>
      <c r="B3583" s="6" t="s">
        <v>7204</v>
      </c>
      <c r="C3583" s="7">
        <v>27599</v>
      </c>
      <c r="D3583" s="8" t="s">
        <v>7205</v>
      </c>
    </row>
    <row r="3584" spans="1:4" ht="14.25">
      <c r="A3584" s="5" t="s">
        <v>484</v>
      </c>
      <c r="B3584" s="6" t="s">
        <v>7206</v>
      </c>
      <c r="C3584" s="7">
        <v>27600</v>
      </c>
      <c r="D3584" s="8" t="s">
        <v>7207</v>
      </c>
    </row>
    <row r="3585" spans="1:4" ht="14.25">
      <c r="A3585" s="5" t="s">
        <v>1001</v>
      </c>
      <c r="B3585" s="6" t="s">
        <v>7208</v>
      </c>
      <c r="C3585" s="7">
        <v>27600</v>
      </c>
      <c r="D3585" s="8" t="s">
        <v>7209</v>
      </c>
    </row>
    <row r="3586" spans="1:4" ht="14.25">
      <c r="A3586" s="5">
        <v>25</v>
      </c>
      <c r="B3586" s="6" t="s">
        <v>7210</v>
      </c>
      <c r="C3586" s="7">
        <v>27600</v>
      </c>
      <c r="D3586" s="8" t="s">
        <v>7211</v>
      </c>
    </row>
    <row r="3587" spans="1:4" ht="14.25">
      <c r="A3587" s="5">
        <v>25</v>
      </c>
      <c r="B3587" s="6" t="s">
        <v>7212</v>
      </c>
      <c r="C3587" s="7">
        <v>27600</v>
      </c>
      <c r="D3587" s="8" t="s">
        <v>7213</v>
      </c>
    </row>
    <row r="3588" spans="1:4" ht="14.25">
      <c r="A3588" s="5">
        <v>25</v>
      </c>
      <c r="B3588" s="6" t="s">
        <v>7214</v>
      </c>
      <c r="C3588" s="7">
        <v>27600</v>
      </c>
      <c r="D3588" s="8" t="s">
        <v>7215</v>
      </c>
    </row>
    <row r="3589" spans="1:4" ht="14.25">
      <c r="A3589" s="5" t="s">
        <v>484</v>
      </c>
      <c r="B3589" s="6" t="s">
        <v>7216</v>
      </c>
      <c r="C3589" s="7">
        <v>27601</v>
      </c>
      <c r="D3589" s="8" t="s">
        <v>7217</v>
      </c>
    </row>
    <row r="3590" spans="1:4" ht="14.25">
      <c r="A3590" s="5" t="s">
        <v>463</v>
      </c>
      <c r="B3590" s="6" t="s">
        <v>7218</v>
      </c>
      <c r="C3590" s="7">
        <v>27601</v>
      </c>
      <c r="D3590" s="8" t="s">
        <v>7219</v>
      </c>
    </row>
    <row r="3591" spans="1:4" ht="14.25">
      <c r="A3591" s="5" t="s">
        <v>1001</v>
      </c>
      <c r="B3591" s="6" t="s">
        <v>7220</v>
      </c>
      <c r="C3591" s="7">
        <v>27601</v>
      </c>
      <c r="D3591" s="8" t="s">
        <v>7221</v>
      </c>
    </row>
    <row r="3592" spans="1:4" ht="14.25">
      <c r="A3592" s="5">
        <v>26</v>
      </c>
      <c r="B3592" s="6" t="s">
        <v>7222</v>
      </c>
      <c r="C3592" s="7">
        <v>27601</v>
      </c>
      <c r="D3592" s="8" t="s">
        <v>7223</v>
      </c>
    </row>
    <row r="3593" spans="1:4" ht="14.25">
      <c r="A3593" s="5">
        <v>26</v>
      </c>
      <c r="B3593" s="6" t="s">
        <v>7224</v>
      </c>
      <c r="C3593" s="7">
        <v>27601</v>
      </c>
      <c r="D3593" s="8" t="s">
        <v>7225</v>
      </c>
    </row>
    <row r="3594" spans="1:4" ht="14.25">
      <c r="A3594" s="5">
        <v>26</v>
      </c>
      <c r="B3594" s="6" t="s">
        <v>7226</v>
      </c>
      <c r="C3594" s="7">
        <v>27601</v>
      </c>
      <c r="D3594" s="8" t="s">
        <v>7227</v>
      </c>
    </row>
    <row r="3595" spans="1:4" ht="14.25">
      <c r="A3595" s="5">
        <v>26</v>
      </c>
      <c r="B3595" s="6" t="s">
        <v>7228</v>
      </c>
      <c r="C3595" s="7">
        <v>27601</v>
      </c>
      <c r="D3595" s="8" t="s">
        <v>7229</v>
      </c>
    </row>
    <row r="3596" spans="1:4" ht="14.25">
      <c r="A3596" s="5">
        <v>26</v>
      </c>
      <c r="B3596" s="6" t="s">
        <v>7230</v>
      </c>
      <c r="C3596" s="7">
        <v>27601</v>
      </c>
      <c r="D3596" s="8" t="s">
        <v>7231</v>
      </c>
    </row>
    <row r="3597" spans="1:4" ht="14.25">
      <c r="A3597" s="5" t="s">
        <v>484</v>
      </c>
      <c r="B3597" s="6" t="s">
        <v>7232</v>
      </c>
      <c r="C3597" s="7">
        <v>27602</v>
      </c>
      <c r="D3597" s="8" t="s">
        <v>7233</v>
      </c>
    </row>
    <row r="3598" spans="1:4" ht="14.25">
      <c r="A3598" s="5" t="s">
        <v>1001</v>
      </c>
      <c r="B3598" s="6" t="s">
        <v>7234</v>
      </c>
      <c r="C3598" s="7">
        <v>27602</v>
      </c>
      <c r="D3598" s="8" t="s">
        <v>7235</v>
      </c>
    </row>
    <row r="3599" spans="1:4" ht="14.25">
      <c r="A3599" s="5">
        <v>27</v>
      </c>
      <c r="B3599" s="6" t="s">
        <v>7236</v>
      </c>
      <c r="C3599" s="7">
        <v>27602</v>
      </c>
      <c r="D3599" s="8" t="s">
        <v>7237</v>
      </c>
    </row>
    <row r="3600" spans="1:4" ht="14.25">
      <c r="A3600" s="5">
        <v>27</v>
      </c>
      <c r="B3600" s="6" t="s">
        <v>7238</v>
      </c>
      <c r="C3600" s="7">
        <v>27602</v>
      </c>
      <c r="D3600" s="8" t="s">
        <v>7239</v>
      </c>
    </row>
    <row r="3601" spans="1:4" ht="14.25">
      <c r="A3601" s="5">
        <v>27</v>
      </c>
      <c r="B3601" s="6" t="s">
        <v>7240</v>
      </c>
      <c r="C3601" s="7">
        <v>27602</v>
      </c>
      <c r="D3601" s="8" t="s">
        <v>7241</v>
      </c>
    </row>
    <row r="3602" spans="1:4" ht="14.25">
      <c r="A3602" s="5" t="s">
        <v>2</v>
      </c>
      <c r="B3602" s="6" t="s">
        <v>7242</v>
      </c>
      <c r="C3602" s="7">
        <v>27603</v>
      </c>
      <c r="D3602" s="8" t="s">
        <v>7243</v>
      </c>
    </row>
    <row r="3603" spans="1:4" ht="14.25">
      <c r="A3603" s="5" t="s">
        <v>484</v>
      </c>
      <c r="B3603" s="6" t="s">
        <v>7244</v>
      </c>
      <c r="C3603" s="7">
        <v>27603</v>
      </c>
      <c r="D3603" s="8" t="s">
        <v>7245</v>
      </c>
    </row>
    <row r="3604" spans="1:4" ht="14.25">
      <c r="A3604" s="5">
        <v>28</v>
      </c>
      <c r="B3604" s="6" t="s">
        <v>7246</v>
      </c>
      <c r="C3604" s="7">
        <v>27603</v>
      </c>
      <c r="D3604" s="8" t="s">
        <v>7247</v>
      </c>
    </row>
    <row r="3605" spans="1:4" ht="14.25">
      <c r="A3605" s="5">
        <v>28</v>
      </c>
      <c r="B3605" s="6" t="s">
        <v>7248</v>
      </c>
      <c r="C3605" s="7">
        <v>27603</v>
      </c>
      <c r="D3605" s="8" t="s">
        <v>7249</v>
      </c>
    </row>
    <row r="3606" spans="1:4" ht="14.25">
      <c r="A3606" s="5">
        <v>28</v>
      </c>
      <c r="B3606" s="6" t="s">
        <v>7250</v>
      </c>
      <c r="C3606" s="7">
        <v>27603</v>
      </c>
      <c r="D3606" s="8" t="s">
        <v>7251</v>
      </c>
    </row>
    <row r="3607" spans="1:4" ht="14.25">
      <c r="A3607" s="5" t="s">
        <v>484</v>
      </c>
      <c r="B3607" s="6" t="s">
        <v>7252</v>
      </c>
      <c r="C3607" s="7">
        <v>27604</v>
      </c>
      <c r="D3607" s="8" t="s">
        <v>7253</v>
      </c>
    </row>
    <row r="3608" spans="1:4" ht="14.25">
      <c r="A3608" s="5" t="s">
        <v>1001</v>
      </c>
      <c r="B3608" s="6" t="s">
        <v>7254</v>
      </c>
      <c r="C3608" s="7">
        <v>27604</v>
      </c>
      <c r="D3608" s="8" t="s">
        <v>7255</v>
      </c>
    </row>
    <row r="3609" spans="1:4" ht="14.25">
      <c r="A3609" s="5">
        <v>29</v>
      </c>
      <c r="B3609" s="6" t="s">
        <v>7256</v>
      </c>
      <c r="C3609" s="7">
        <v>27604</v>
      </c>
      <c r="D3609" s="8" t="s">
        <v>7257</v>
      </c>
    </row>
    <row r="3610" spans="1:4" ht="14.25">
      <c r="A3610" s="5">
        <v>29</v>
      </c>
      <c r="B3610" s="6" t="s">
        <v>7258</v>
      </c>
      <c r="C3610" s="7">
        <v>27604</v>
      </c>
      <c r="D3610" s="8" t="s">
        <v>7259</v>
      </c>
    </row>
    <row r="3611" spans="1:4" ht="14.25">
      <c r="A3611" s="5">
        <v>29</v>
      </c>
      <c r="B3611" s="6" t="s">
        <v>7260</v>
      </c>
      <c r="C3611" s="7">
        <v>27604</v>
      </c>
      <c r="D3611" s="8" t="s">
        <v>7261</v>
      </c>
    </row>
    <row r="3612" spans="1:4" ht="14.25">
      <c r="A3612" s="5" t="s">
        <v>484</v>
      </c>
      <c r="B3612" s="6" t="s">
        <v>7262</v>
      </c>
      <c r="C3612" s="7">
        <v>27605</v>
      </c>
      <c r="D3612" s="8" t="s">
        <v>7263</v>
      </c>
    </row>
    <row r="3613" spans="1:4" ht="14.25">
      <c r="A3613" s="5" t="s">
        <v>1001</v>
      </c>
      <c r="B3613" s="6" t="s">
        <v>7264</v>
      </c>
      <c r="C3613" s="7">
        <v>27605</v>
      </c>
      <c r="D3613" s="8" t="s">
        <v>7265</v>
      </c>
    </row>
    <row r="3614" spans="1:4" ht="14.25">
      <c r="A3614" s="5">
        <v>30</v>
      </c>
      <c r="B3614" s="6" t="s">
        <v>7266</v>
      </c>
      <c r="C3614" s="7">
        <v>27605</v>
      </c>
      <c r="D3614" s="8" t="s">
        <v>7267</v>
      </c>
    </row>
    <row r="3615" spans="1:4" ht="14.25">
      <c r="A3615" s="5">
        <v>30</v>
      </c>
      <c r="B3615" s="6" t="s">
        <v>7268</v>
      </c>
      <c r="C3615" s="7">
        <v>27605</v>
      </c>
      <c r="D3615" s="8" t="s">
        <v>7269</v>
      </c>
    </row>
    <row r="3616" spans="1:4" ht="14.25">
      <c r="A3616" s="5">
        <v>30</v>
      </c>
      <c r="B3616" s="6" t="s">
        <v>7270</v>
      </c>
      <c r="C3616" s="7">
        <v>27605</v>
      </c>
      <c r="D3616" s="8" t="s">
        <v>7271</v>
      </c>
    </row>
    <row r="3617" spans="1:4" ht="14.25">
      <c r="A3617" s="5" t="s">
        <v>484</v>
      </c>
      <c r="B3617" s="6" t="s">
        <v>7272</v>
      </c>
      <c r="C3617" s="7">
        <v>27606</v>
      </c>
      <c r="D3617" s="8" t="s">
        <v>7273</v>
      </c>
    </row>
    <row r="3618" spans="1:4" ht="14.25">
      <c r="A3618" s="5" t="s">
        <v>463</v>
      </c>
      <c r="B3618" s="6" t="s">
        <v>7274</v>
      </c>
      <c r="C3618" s="7">
        <v>27606</v>
      </c>
      <c r="D3618" s="8" t="s">
        <v>7275</v>
      </c>
    </row>
    <row r="3619" spans="1:4" ht="14.25">
      <c r="A3619" s="5">
        <v>31</v>
      </c>
      <c r="B3619" s="6" t="s">
        <v>7276</v>
      </c>
      <c r="C3619" s="7">
        <v>27606</v>
      </c>
      <c r="D3619" s="8" t="s">
        <v>7277</v>
      </c>
    </row>
    <row r="3620" spans="1:4" ht="14.25">
      <c r="A3620" s="5">
        <v>31</v>
      </c>
      <c r="B3620" s="6" t="s">
        <v>7278</v>
      </c>
      <c r="C3620" s="7">
        <v>27606</v>
      </c>
      <c r="D3620" s="8" t="s">
        <v>7279</v>
      </c>
    </row>
    <row r="3621" spans="1:4" ht="14.25">
      <c r="A3621" s="5" t="s">
        <v>463</v>
      </c>
      <c r="B3621" s="6" t="s">
        <v>7280</v>
      </c>
      <c r="C3621" s="7">
        <v>27607</v>
      </c>
      <c r="D3621" s="8" t="s">
        <v>7281</v>
      </c>
    </row>
    <row r="3622" spans="1:4" ht="14.25">
      <c r="A3622" s="5" t="s">
        <v>1001</v>
      </c>
      <c r="B3622" s="6" t="s">
        <v>7282</v>
      </c>
      <c r="C3622" s="7">
        <v>27607</v>
      </c>
      <c r="D3622" s="8" t="s">
        <v>7283</v>
      </c>
    </row>
    <row r="3623" spans="1:4" ht="14.25">
      <c r="A3623" s="5" t="s">
        <v>167</v>
      </c>
      <c r="B3623" s="6" t="s">
        <v>7284</v>
      </c>
      <c r="C3623" s="7">
        <v>27607</v>
      </c>
      <c r="D3623" s="8" t="s">
        <v>7285</v>
      </c>
    </row>
    <row r="3624" spans="1:4" ht="14.25">
      <c r="A3624" s="5">
        <v>1</v>
      </c>
      <c r="B3624" s="6" t="s">
        <v>7286</v>
      </c>
      <c r="C3624" s="7">
        <v>27607</v>
      </c>
      <c r="D3624" s="8" t="s">
        <v>7287</v>
      </c>
    </row>
    <row r="3625" spans="1:4" ht="14.25">
      <c r="A3625" s="5">
        <v>1</v>
      </c>
      <c r="B3625" s="6" t="s">
        <v>7288</v>
      </c>
      <c r="C3625" s="7">
        <v>27607</v>
      </c>
      <c r="D3625" s="8" t="s">
        <v>7289</v>
      </c>
    </row>
    <row r="3626" spans="1:4" ht="14.25">
      <c r="A3626" s="5">
        <v>1</v>
      </c>
      <c r="B3626" s="6" t="s">
        <v>7290</v>
      </c>
      <c r="C3626" s="7">
        <v>27607</v>
      </c>
      <c r="D3626" s="8" t="s">
        <v>7291</v>
      </c>
    </row>
    <row r="3627" spans="1:4" ht="14.25">
      <c r="A3627" s="5">
        <v>1</v>
      </c>
      <c r="B3627" s="6" t="s">
        <v>7292</v>
      </c>
      <c r="C3627" s="7">
        <v>27607</v>
      </c>
      <c r="D3627" s="8" t="s">
        <v>7293</v>
      </c>
    </row>
    <row r="3628" spans="1:4" ht="14.25">
      <c r="A3628" s="5" t="s">
        <v>42</v>
      </c>
      <c r="B3628" s="6" t="s">
        <v>7294</v>
      </c>
      <c r="C3628" s="7">
        <v>27608</v>
      </c>
      <c r="D3628" s="8" t="s">
        <v>7295</v>
      </c>
    </row>
    <row r="3629" spans="1:4" ht="14.25">
      <c r="A3629" s="5">
        <v>2</v>
      </c>
      <c r="B3629" s="6" t="s">
        <v>7296</v>
      </c>
      <c r="C3629" s="7">
        <v>27608</v>
      </c>
      <c r="D3629" s="8" t="s">
        <v>7297</v>
      </c>
    </row>
    <row r="3630" spans="1:4" ht="14.25">
      <c r="A3630" s="5" t="s">
        <v>42</v>
      </c>
      <c r="B3630" s="6" t="s">
        <v>7298</v>
      </c>
      <c r="C3630" s="7">
        <v>27609</v>
      </c>
      <c r="D3630" s="8" t="s">
        <v>7299</v>
      </c>
    </row>
    <row r="3631" spans="1:4" ht="14.25">
      <c r="A3631" s="5" t="s">
        <v>1001</v>
      </c>
      <c r="B3631" s="6" t="s">
        <v>7300</v>
      </c>
      <c r="C3631" s="7">
        <v>27609</v>
      </c>
      <c r="D3631" s="8" t="s">
        <v>7301</v>
      </c>
    </row>
    <row r="3632" spans="1:4" ht="14.25">
      <c r="A3632" s="5" t="s">
        <v>167</v>
      </c>
      <c r="B3632" s="6" t="s">
        <v>7302</v>
      </c>
      <c r="C3632" s="7">
        <v>27609</v>
      </c>
      <c r="D3632" s="8" t="s">
        <v>7303</v>
      </c>
    </row>
    <row r="3633" spans="1:4" ht="14.25">
      <c r="A3633" s="5">
        <v>3</v>
      </c>
      <c r="B3633" s="6" t="s">
        <v>7304</v>
      </c>
      <c r="C3633" s="7">
        <v>27609</v>
      </c>
      <c r="D3633" s="8" t="s">
        <v>7305</v>
      </c>
    </row>
    <row r="3634" spans="1:4" ht="14.25">
      <c r="A3634" s="5">
        <v>3</v>
      </c>
      <c r="B3634" s="6" t="s">
        <v>7306</v>
      </c>
      <c r="C3634" s="7">
        <v>27609</v>
      </c>
      <c r="D3634" s="8" t="s">
        <v>7307</v>
      </c>
    </row>
    <row r="3635" spans="1:4" ht="14.25">
      <c r="A3635" s="5">
        <v>3</v>
      </c>
      <c r="B3635" s="6" t="s">
        <v>7308</v>
      </c>
      <c r="C3635" s="7">
        <v>27609</v>
      </c>
      <c r="D3635" s="8" t="s">
        <v>7309</v>
      </c>
    </row>
    <row r="3636" spans="1:4" ht="14.25">
      <c r="A3636" s="5">
        <v>3</v>
      </c>
      <c r="B3636" s="6" t="s">
        <v>7310</v>
      </c>
      <c r="C3636" s="7">
        <v>27609</v>
      </c>
      <c r="D3636" s="8" t="s">
        <v>7311</v>
      </c>
    </row>
    <row r="3637" spans="1:4" ht="14.25">
      <c r="A3637" s="5" t="s">
        <v>484</v>
      </c>
      <c r="B3637" s="6" t="s">
        <v>7312</v>
      </c>
      <c r="C3637" s="7">
        <v>27610</v>
      </c>
      <c r="D3637" s="8" t="s">
        <v>7313</v>
      </c>
    </row>
    <row r="3638" spans="1:4" ht="14.25">
      <c r="A3638" s="5" t="s">
        <v>1001</v>
      </c>
      <c r="B3638" s="6" t="s">
        <v>7314</v>
      </c>
      <c r="C3638" s="7">
        <v>27610</v>
      </c>
      <c r="D3638" s="8" t="s">
        <v>7315</v>
      </c>
    </row>
    <row r="3639" spans="1:4" ht="14.25">
      <c r="A3639" s="5" t="s">
        <v>4661</v>
      </c>
      <c r="B3639" s="6" t="s">
        <v>7316</v>
      </c>
      <c r="C3639" s="7">
        <v>27610</v>
      </c>
      <c r="D3639" s="8" t="s">
        <v>7317</v>
      </c>
    </row>
    <row r="3640" spans="1:4" ht="14.25">
      <c r="A3640" s="5" t="s">
        <v>4661</v>
      </c>
      <c r="B3640" s="6" t="s">
        <v>7318</v>
      </c>
      <c r="C3640" s="7">
        <v>27610</v>
      </c>
      <c r="D3640" s="8" t="s">
        <v>7319</v>
      </c>
    </row>
    <row r="3641" spans="1:4" ht="14.25">
      <c r="A3641" s="5">
        <v>4</v>
      </c>
      <c r="B3641" s="6" t="s">
        <v>7320</v>
      </c>
      <c r="C3641" s="7">
        <v>27610</v>
      </c>
      <c r="D3641" s="8" t="s">
        <v>7321</v>
      </c>
    </row>
    <row r="3642" spans="1:4" ht="14.25">
      <c r="A3642" s="5" t="s">
        <v>484</v>
      </c>
      <c r="B3642" s="6" t="s">
        <v>7322</v>
      </c>
      <c r="C3642" s="7">
        <v>27611</v>
      </c>
      <c r="D3642" s="8" t="s">
        <v>7323</v>
      </c>
    </row>
    <row r="3643" spans="1:4" ht="14.25">
      <c r="A3643" s="5" t="s">
        <v>1001</v>
      </c>
      <c r="B3643" s="6" t="s">
        <v>7324</v>
      </c>
      <c r="C3643" s="7">
        <v>27611</v>
      </c>
      <c r="D3643" s="8" t="s">
        <v>7325</v>
      </c>
    </row>
    <row r="3644" spans="1:4" ht="14.25">
      <c r="A3644" s="5">
        <v>5</v>
      </c>
      <c r="B3644" s="6" t="s">
        <v>7326</v>
      </c>
      <c r="C3644" s="7">
        <v>27611</v>
      </c>
      <c r="D3644" s="8" t="s">
        <v>7327</v>
      </c>
    </row>
    <row r="3645" spans="1:4" ht="14.25">
      <c r="A3645" s="5">
        <v>5</v>
      </c>
      <c r="B3645" s="6" t="s">
        <v>7328</v>
      </c>
      <c r="C3645" s="7">
        <v>27611</v>
      </c>
      <c r="D3645" s="8" t="s">
        <v>7329</v>
      </c>
    </row>
    <row r="3646" spans="1:4" ht="14.25">
      <c r="A3646" s="5">
        <v>5</v>
      </c>
      <c r="B3646" s="6" t="s">
        <v>7330</v>
      </c>
      <c r="C3646" s="7">
        <v>27611</v>
      </c>
      <c r="D3646" s="8" t="s">
        <v>7331</v>
      </c>
    </row>
    <row r="3647" spans="1:4" ht="14.25">
      <c r="A3647" s="5" t="s">
        <v>484</v>
      </c>
      <c r="B3647" s="6" t="s">
        <v>7332</v>
      </c>
      <c r="C3647" s="7">
        <v>27612</v>
      </c>
      <c r="D3647" s="8" t="s">
        <v>7333</v>
      </c>
    </row>
    <row r="3648" spans="1:4" ht="14.25">
      <c r="A3648" s="5">
        <v>6</v>
      </c>
      <c r="B3648" s="6" t="s">
        <v>7334</v>
      </c>
      <c r="C3648" s="7">
        <v>27612</v>
      </c>
      <c r="D3648" s="8" t="s">
        <v>7335</v>
      </c>
    </row>
    <row r="3649" spans="1:4" ht="14.25">
      <c r="A3649" s="5">
        <v>6</v>
      </c>
      <c r="B3649" s="6" t="s">
        <v>7336</v>
      </c>
      <c r="C3649" s="7">
        <v>27612</v>
      </c>
      <c r="D3649" s="8" t="s">
        <v>7337</v>
      </c>
    </row>
    <row r="3650" spans="1:4" ht="14.25">
      <c r="A3650" s="5" t="s">
        <v>484</v>
      </c>
      <c r="B3650" s="6" t="s">
        <v>7338</v>
      </c>
      <c r="C3650" s="7">
        <v>27613</v>
      </c>
      <c r="D3650" s="8" t="s">
        <v>7339</v>
      </c>
    </row>
    <row r="3651" spans="1:4" ht="14.25">
      <c r="A3651" s="5">
        <v>7</v>
      </c>
      <c r="B3651" s="6" t="s">
        <v>7340</v>
      </c>
      <c r="C3651" s="7">
        <v>27613</v>
      </c>
      <c r="D3651" s="8" t="s">
        <v>7341</v>
      </c>
    </row>
    <row r="3652" spans="1:4" ht="14.25">
      <c r="A3652" s="5">
        <v>7</v>
      </c>
      <c r="B3652" s="6" t="s">
        <v>7342</v>
      </c>
      <c r="C3652" s="7">
        <v>27613</v>
      </c>
      <c r="D3652" s="8" t="s">
        <v>7343</v>
      </c>
    </row>
    <row r="3653" spans="1:4" ht="14.25">
      <c r="A3653" s="5" t="s">
        <v>863</v>
      </c>
      <c r="B3653" s="6" t="s">
        <v>7344</v>
      </c>
      <c r="C3653" s="7">
        <v>27617</v>
      </c>
      <c r="D3653" s="8" t="s">
        <v>7345</v>
      </c>
    </row>
    <row r="3654" spans="1:4" ht="14.25">
      <c r="A3654" s="5" t="s">
        <v>1001</v>
      </c>
      <c r="B3654" s="6" t="s">
        <v>7346</v>
      </c>
      <c r="C3654" s="7">
        <v>27617</v>
      </c>
      <c r="D3654" s="8" t="s">
        <v>7347</v>
      </c>
    </row>
    <row r="3655" spans="1:4" ht="14.25">
      <c r="A3655" s="5" t="s">
        <v>1001</v>
      </c>
      <c r="B3655" s="6" t="s">
        <v>7348</v>
      </c>
      <c r="C3655" s="7">
        <v>27617</v>
      </c>
      <c r="D3655" s="8" t="s">
        <v>7349</v>
      </c>
    </row>
    <row r="3656" spans="1:4" ht="14.25">
      <c r="A3656" s="5">
        <v>11</v>
      </c>
      <c r="B3656" s="6" t="s">
        <v>7350</v>
      </c>
      <c r="C3656" s="7">
        <v>27617</v>
      </c>
      <c r="D3656" s="8" t="s">
        <v>7351</v>
      </c>
    </row>
    <row r="3657" spans="1:4" ht="14.25">
      <c r="A3657" s="5">
        <v>11</v>
      </c>
      <c r="B3657" s="6" t="s">
        <v>7352</v>
      </c>
      <c r="C3657" s="7">
        <v>27617</v>
      </c>
      <c r="D3657" s="8" t="s">
        <v>7353</v>
      </c>
    </row>
    <row r="3658" spans="1:4" ht="14.25">
      <c r="A3658" s="5">
        <v>11</v>
      </c>
      <c r="B3658" s="6" t="s">
        <v>7354</v>
      </c>
      <c r="C3658" s="7">
        <v>27617</v>
      </c>
      <c r="D3658" s="8" t="s">
        <v>7355</v>
      </c>
    </row>
    <row r="3659" spans="1:4" ht="14.25">
      <c r="A3659" s="5">
        <v>11</v>
      </c>
      <c r="B3659" s="6" t="s">
        <v>7356</v>
      </c>
      <c r="C3659" s="7">
        <v>27617</v>
      </c>
      <c r="D3659" s="8" t="s">
        <v>7357</v>
      </c>
    </row>
    <row r="3660" spans="1:4" ht="14.25">
      <c r="A3660" s="5">
        <v>11</v>
      </c>
      <c r="B3660" s="6" t="s">
        <v>7358</v>
      </c>
      <c r="C3660" s="7">
        <v>27617</v>
      </c>
      <c r="D3660" s="8" t="s">
        <v>7359</v>
      </c>
    </row>
    <row r="3661" spans="1:4" ht="14.25">
      <c r="A3661" s="5" t="s">
        <v>484</v>
      </c>
      <c r="B3661" s="6" t="s">
        <v>7360</v>
      </c>
      <c r="C3661" s="7">
        <v>27618</v>
      </c>
      <c r="D3661" s="8" t="s">
        <v>7361</v>
      </c>
    </row>
    <row r="3662" spans="1:4" ht="14.25">
      <c r="A3662" s="5" t="s">
        <v>463</v>
      </c>
      <c r="B3662" s="6" t="s">
        <v>7362</v>
      </c>
      <c r="C3662" s="7">
        <v>27618</v>
      </c>
      <c r="D3662" s="8" t="s">
        <v>7363</v>
      </c>
    </row>
    <row r="3663" spans="1:4" ht="14.25">
      <c r="A3663" s="5">
        <v>12</v>
      </c>
      <c r="B3663" s="6" t="s">
        <v>7364</v>
      </c>
      <c r="C3663" s="7">
        <v>27618</v>
      </c>
      <c r="D3663" s="8" t="s">
        <v>7365</v>
      </c>
    </row>
    <row r="3664" spans="1:4" ht="14.25">
      <c r="A3664" s="5">
        <v>12</v>
      </c>
      <c r="B3664" s="6" t="s">
        <v>7366</v>
      </c>
      <c r="C3664" s="7">
        <v>27618</v>
      </c>
      <c r="D3664" s="8" t="s">
        <v>7367</v>
      </c>
    </row>
    <row r="3665" spans="1:4" ht="14.25">
      <c r="A3665" s="5">
        <v>12</v>
      </c>
      <c r="B3665" s="6" t="s">
        <v>7368</v>
      </c>
      <c r="C3665" s="7">
        <v>27618</v>
      </c>
      <c r="D3665" s="8" t="s">
        <v>7369</v>
      </c>
    </row>
    <row r="3666" spans="1:4" ht="14.25">
      <c r="A3666" s="5" t="s">
        <v>484</v>
      </c>
      <c r="B3666" s="6" t="s">
        <v>7370</v>
      </c>
      <c r="C3666" s="7">
        <v>27619</v>
      </c>
      <c r="D3666" s="8" t="s">
        <v>7371</v>
      </c>
    </row>
    <row r="3667" spans="1:4" ht="14.25">
      <c r="A3667" s="5" t="s">
        <v>1001</v>
      </c>
      <c r="B3667" s="6" t="s">
        <v>7372</v>
      </c>
      <c r="C3667" s="7">
        <v>27619</v>
      </c>
      <c r="D3667" s="8" t="s">
        <v>7373</v>
      </c>
    </row>
    <row r="3668" spans="1:4" ht="14.25">
      <c r="A3668" s="5">
        <v>13</v>
      </c>
      <c r="B3668" s="6" t="s">
        <v>7374</v>
      </c>
      <c r="C3668" s="7">
        <v>27619</v>
      </c>
      <c r="D3668" s="8" t="s">
        <v>7375</v>
      </c>
    </row>
    <row r="3669" spans="1:4" ht="14.25">
      <c r="A3669" s="5">
        <v>13</v>
      </c>
      <c r="B3669" s="6" t="s">
        <v>7376</v>
      </c>
      <c r="C3669" s="7">
        <v>27619</v>
      </c>
      <c r="D3669" s="8" t="s">
        <v>7377</v>
      </c>
    </row>
    <row r="3670" spans="1:4" ht="14.25">
      <c r="A3670" s="5">
        <v>13</v>
      </c>
      <c r="B3670" s="6" t="s">
        <v>7378</v>
      </c>
      <c r="C3670" s="7">
        <v>27619</v>
      </c>
      <c r="D3670" s="8" t="s">
        <v>7379</v>
      </c>
    </row>
    <row r="3671" spans="1:4" ht="14.25">
      <c r="A3671" s="5" t="s">
        <v>1001</v>
      </c>
      <c r="B3671" s="6" t="s">
        <v>7380</v>
      </c>
      <c r="C3671" s="7">
        <v>27620</v>
      </c>
      <c r="D3671" s="8" t="s">
        <v>7381</v>
      </c>
    </row>
    <row r="3672" spans="1:4" ht="14.25">
      <c r="A3672" s="5">
        <v>14</v>
      </c>
      <c r="B3672" s="6" t="s">
        <v>7382</v>
      </c>
      <c r="C3672" s="7">
        <v>27620</v>
      </c>
      <c r="D3672" s="8" t="s">
        <v>7383</v>
      </c>
    </row>
    <row r="3673" spans="1:4" ht="14.25">
      <c r="A3673" s="5">
        <v>14</v>
      </c>
      <c r="B3673" s="6" t="s">
        <v>7384</v>
      </c>
      <c r="C3673" s="7">
        <v>27620</v>
      </c>
      <c r="D3673" s="8" t="s">
        <v>7385</v>
      </c>
    </row>
    <row r="3674" spans="1:4" ht="14.25">
      <c r="A3674" s="5" t="s">
        <v>484</v>
      </c>
      <c r="B3674" s="6" t="s">
        <v>7386</v>
      </c>
      <c r="C3674" s="7">
        <v>27621</v>
      </c>
      <c r="D3674" s="8" t="s">
        <v>7387</v>
      </c>
    </row>
    <row r="3675" spans="1:4" ht="14.25">
      <c r="A3675" s="5">
        <v>15</v>
      </c>
      <c r="B3675" s="6" t="s">
        <v>7388</v>
      </c>
      <c r="C3675" s="7">
        <v>27621</v>
      </c>
      <c r="D3675" s="8" t="s">
        <v>7389</v>
      </c>
    </row>
    <row r="3676" spans="1:4" ht="14.25">
      <c r="A3676" s="5" t="s">
        <v>484</v>
      </c>
      <c r="B3676" s="6" t="s">
        <v>7390</v>
      </c>
      <c r="C3676" s="7">
        <v>27623</v>
      </c>
      <c r="D3676" s="8" t="s">
        <v>7391</v>
      </c>
    </row>
    <row r="3677" spans="1:4" ht="14.25">
      <c r="A3677" s="5">
        <v>17</v>
      </c>
      <c r="B3677" s="6" t="s">
        <v>7392</v>
      </c>
      <c r="C3677" s="7">
        <v>27623</v>
      </c>
      <c r="D3677" s="8" t="s">
        <v>7393</v>
      </c>
    </row>
    <row r="3678" spans="1:4" ht="14.25">
      <c r="A3678" s="5">
        <v>19</v>
      </c>
      <c r="B3678" s="6" t="s">
        <v>7394</v>
      </c>
      <c r="C3678" s="7">
        <v>27625</v>
      </c>
      <c r="D3678" s="8" t="s">
        <v>7395</v>
      </c>
    </row>
    <row r="3679" spans="1:4" ht="14.25">
      <c r="A3679" s="5" t="s">
        <v>463</v>
      </c>
      <c r="B3679" s="6" t="s">
        <v>7396</v>
      </c>
      <c r="C3679" s="7">
        <v>27627</v>
      </c>
      <c r="D3679" s="8" t="s">
        <v>7397</v>
      </c>
    </row>
    <row r="3680" spans="1:4" ht="14.25">
      <c r="A3680" s="5">
        <v>21</v>
      </c>
      <c r="B3680" s="6" t="s">
        <v>7398</v>
      </c>
      <c r="C3680" s="7">
        <v>27627</v>
      </c>
      <c r="D3680" s="8" t="s">
        <v>7399</v>
      </c>
    </row>
    <row r="3681" spans="1:4" ht="14.25">
      <c r="A3681" s="5" t="s">
        <v>484</v>
      </c>
      <c r="B3681" s="6" t="s">
        <v>7400</v>
      </c>
      <c r="C3681" s="7">
        <v>27630</v>
      </c>
      <c r="D3681" s="8" t="s">
        <v>7401</v>
      </c>
    </row>
    <row r="3682" spans="1:4" ht="14.25">
      <c r="A3682" s="5">
        <v>24</v>
      </c>
      <c r="B3682" s="6" t="s">
        <v>7402</v>
      </c>
      <c r="C3682" s="7">
        <v>27630</v>
      </c>
      <c r="D3682" s="8" t="s">
        <v>7403</v>
      </c>
    </row>
    <row r="3683" spans="1:4" ht="14.25">
      <c r="A3683" s="5" t="s">
        <v>484</v>
      </c>
      <c r="B3683" s="6" t="s">
        <v>7404</v>
      </c>
      <c r="C3683" s="7">
        <v>27631</v>
      </c>
      <c r="D3683" s="8" t="s">
        <v>7405</v>
      </c>
    </row>
    <row r="3684" spans="1:4" ht="14.25">
      <c r="A3684" s="5">
        <v>25</v>
      </c>
      <c r="B3684" s="6" t="s">
        <v>7406</v>
      </c>
      <c r="C3684" s="7">
        <v>27631</v>
      </c>
      <c r="D3684" s="8" t="s">
        <v>7407</v>
      </c>
    </row>
    <row r="3685" spans="1:4" ht="14.25">
      <c r="A3685" s="5" t="s">
        <v>463</v>
      </c>
      <c r="B3685" s="6" t="s">
        <v>7408</v>
      </c>
      <c r="C3685" s="7">
        <v>27632</v>
      </c>
      <c r="D3685" s="8" t="s">
        <v>7409</v>
      </c>
    </row>
    <row r="3686" spans="1:4" ht="14.25">
      <c r="A3686" s="5">
        <v>26</v>
      </c>
      <c r="B3686" s="6" t="s">
        <v>7410</v>
      </c>
      <c r="C3686" s="7">
        <v>27632</v>
      </c>
      <c r="D3686" s="8" t="s">
        <v>7411</v>
      </c>
    </row>
    <row r="3687" spans="1:4" ht="14.25">
      <c r="A3687" s="5">
        <v>26</v>
      </c>
      <c r="B3687" s="6" t="s">
        <v>7412</v>
      </c>
      <c r="C3687" s="7">
        <v>27632</v>
      </c>
      <c r="D3687" s="8" t="s">
        <v>7413</v>
      </c>
    </row>
    <row r="3688" spans="1:4" ht="14.25">
      <c r="A3688" s="5" t="s">
        <v>484</v>
      </c>
      <c r="B3688" s="6" t="s">
        <v>7414</v>
      </c>
      <c r="C3688" s="7">
        <v>27633</v>
      </c>
      <c r="D3688" s="8" t="s">
        <v>7415</v>
      </c>
    </row>
    <row r="3689" spans="1:4" ht="14.25">
      <c r="A3689" s="5">
        <v>27</v>
      </c>
      <c r="B3689" s="6" t="s">
        <v>7416</v>
      </c>
      <c r="C3689" s="7">
        <v>27633</v>
      </c>
      <c r="D3689" s="8" t="s">
        <v>7417</v>
      </c>
    </row>
    <row r="3690" spans="1:4" ht="14.25">
      <c r="A3690" s="5" t="s">
        <v>484</v>
      </c>
      <c r="B3690" s="6" t="s">
        <v>7418</v>
      </c>
      <c r="C3690" s="7">
        <v>27634</v>
      </c>
      <c r="D3690" s="8" t="s">
        <v>7419</v>
      </c>
    </row>
    <row r="3691" spans="1:4" ht="14.25">
      <c r="A3691" s="5" t="s">
        <v>1001</v>
      </c>
      <c r="B3691" s="6" t="s">
        <v>7420</v>
      </c>
      <c r="C3691" s="7">
        <v>27634</v>
      </c>
      <c r="D3691" s="8" t="s">
        <v>7421</v>
      </c>
    </row>
    <row r="3692" spans="1:4" ht="14.25">
      <c r="A3692" s="5">
        <v>28</v>
      </c>
      <c r="B3692" s="6" t="s">
        <v>7422</v>
      </c>
      <c r="C3692" s="7">
        <v>27634</v>
      </c>
      <c r="D3692" s="8" t="s">
        <v>7423</v>
      </c>
    </row>
    <row r="3693" spans="1:4" ht="14.25">
      <c r="A3693" s="5">
        <v>28</v>
      </c>
      <c r="B3693" s="6" t="s">
        <v>7424</v>
      </c>
      <c r="C3693" s="7">
        <v>27634</v>
      </c>
      <c r="D3693" s="8" t="s">
        <v>7425</v>
      </c>
    </row>
    <row r="3694" spans="1:4" ht="14.25">
      <c r="A3694" s="5">
        <v>28</v>
      </c>
      <c r="B3694" s="6" t="s">
        <v>7426</v>
      </c>
      <c r="C3694" s="7">
        <v>27634</v>
      </c>
      <c r="D3694" s="8" t="s">
        <v>7427</v>
      </c>
    </row>
    <row r="3695" spans="1:4" ht="14.25">
      <c r="A3695" s="5" t="s">
        <v>484</v>
      </c>
      <c r="B3695" s="6" t="s">
        <v>7428</v>
      </c>
      <c r="C3695" s="7">
        <v>27635</v>
      </c>
      <c r="D3695" s="8" t="s">
        <v>7429</v>
      </c>
    </row>
    <row r="3696" spans="1:4" ht="14.25">
      <c r="A3696" s="5" t="s">
        <v>1001</v>
      </c>
      <c r="B3696" s="6" t="s">
        <v>7430</v>
      </c>
      <c r="C3696" s="7">
        <v>27635</v>
      </c>
      <c r="D3696" s="8" t="s">
        <v>7431</v>
      </c>
    </row>
    <row r="3697" spans="1:4" ht="14.25">
      <c r="A3697" s="5">
        <v>29</v>
      </c>
      <c r="B3697" s="6" t="s">
        <v>7432</v>
      </c>
      <c r="C3697" s="7">
        <v>27635</v>
      </c>
      <c r="D3697" s="8" t="s">
        <v>7433</v>
      </c>
    </row>
    <row r="3698" spans="1:4" ht="14.25">
      <c r="A3698" s="5">
        <v>29</v>
      </c>
      <c r="B3698" s="6" t="s">
        <v>7434</v>
      </c>
      <c r="C3698" s="7">
        <v>27635</v>
      </c>
      <c r="D3698" s="8" t="s">
        <v>7435</v>
      </c>
    </row>
    <row r="3699" spans="1:4" ht="14.25">
      <c r="A3699" s="5">
        <v>29</v>
      </c>
      <c r="B3699" s="6" t="s">
        <v>7436</v>
      </c>
      <c r="C3699" s="7">
        <v>27635</v>
      </c>
      <c r="D3699" s="8" t="s">
        <v>7437</v>
      </c>
    </row>
    <row r="3700" spans="1:4" ht="14.25">
      <c r="A3700" s="5">
        <v>29</v>
      </c>
      <c r="B3700" s="6" t="s">
        <v>7438</v>
      </c>
      <c r="C3700" s="7">
        <v>27635</v>
      </c>
      <c r="D3700" s="8" t="s">
        <v>7439</v>
      </c>
    </row>
    <row r="3701" spans="1:4" ht="14.25">
      <c r="A3701" s="5" t="s">
        <v>1001</v>
      </c>
      <c r="B3701" s="6" t="s">
        <v>7440</v>
      </c>
      <c r="C3701" s="7">
        <v>27636</v>
      </c>
      <c r="D3701" s="8" t="s">
        <v>7441</v>
      </c>
    </row>
    <row r="3702" spans="1:4" ht="14.25">
      <c r="A3702" s="5">
        <v>30</v>
      </c>
      <c r="B3702" s="6" t="s">
        <v>7442</v>
      </c>
      <c r="C3702" s="7">
        <v>27636</v>
      </c>
      <c r="D3702" s="8" t="s">
        <v>7443</v>
      </c>
    </row>
    <row r="3703" spans="1:4" ht="14.25">
      <c r="A3703" s="5">
        <v>30</v>
      </c>
      <c r="B3703" s="6" t="s">
        <v>7444</v>
      </c>
      <c r="C3703" s="7">
        <v>27636</v>
      </c>
      <c r="D3703" s="8" t="s">
        <v>7445</v>
      </c>
    </row>
    <row r="3704" spans="1:4" ht="14.25">
      <c r="A3704" s="5">
        <v>30</v>
      </c>
      <c r="B3704" s="6" t="s">
        <v>7446</v>
      </c>
      <c r="C3704" s="7">
        <v>27636</v>
      </c>
      <c r="D3704" s="8" t="s">
        <v>7447</v>
      </c>
    </row>
    <row r="3705" spans="1:4" ht="14.25">
      <c r="A3705" s="5">
        <v>31</v>
      </c>
      <c r="B3705" s="6" t="s">
        <v>7448</v>
      </c>
      <c r="C3705" s="7">
        <v>27637</v>
      </c>
      <c r="D3705" s="8" t="s">
        <v>7449</v>
      </c>
    </row>
    <row r="3706" spans="1:4" ht="14.25">
      <c r="A3706" s="5" t="s">
        <v>484</v>
      </c>
      <c r="B3706" s="6" t="s">
        <v>7450</v>
      </c>
      <c r="C3706" s="7">
        <v>27638</v>
      </c>
      <c r="D3706" s="8" t="s">
        <v>7451</v>
      </c>
    </row>
    <row r="3707" spans="1:4" ht="14.25">
      <c r="A3707" s="5" t="s">
        <v>1001</v>
      </c>
      <c r="B3707" s="6" t="s">
        <v>7452</v>
      </c>
      <c r="C3707" s="7">
        <v>27638</v>
      </c>
      <c r="D3707" s="8" t="s">
        <v>7453</v>
      </c>
    </row>
    <row r="3708" spans="1:4" ht="14.25">
      <c r="A3708" s="5">
        <v>1</v>
      </c>
      <c r="B3708" s="6" t="s">
        <v>7454</v>
      </c>
      <c r="C3708" s="7">
        <v>27638</v>
      </c>
      <c r="D3708" s="8" t="s">
        <v>7455</v>
      </c>
    </row>
    <row r="3709" spans="1:4" ht="14.25">
      <c r="A3709" s="5">
        <v>1</v>
      </c>
      <c r="B3709" s="6" t="s">
        <v>7456</v>
      </c>
      <c r="C3709" s="7">
        <v>27638</v>
      </c>
      <c r="D3709" s="8" t="s">
        <v>7457</v>
      </c>
    </row>
    <row r="3710" spans="1:4" ht="14.25">
      <c r="A3710" s="5">
        <v>1</v>
      </c>
      <c r="B3710" s="6" t="s">
        <v>7458</v>
      </c>
      <c r="C3710" s="7">
        <v>27638</v>
      </c>
      <c r="D3710" s="8" t="s">
        <v>7459</v>
      </c>
    </row>
    <row r="3711" spans="1:4" ht="14.25">
      <c r="A3711" s="5" t="s">
        <v>1001</v>
      </c>
      <c r="B3711" s="6" t="s">
        <v>7460</v>
      </c>
      <c r="C3711" s="7">
        <v>27639</v>
      </c>
      <c r="D3711" s="8" t="s">
        <v>7461</v>
      </c>
    </row>
    <row r="3712" spans="1:4" ht="14.25">
      <c r="A3712" s="5">
        <v>2</v>
      </c>
      <c r="B3712" s="6" t="s">
        <v>7462</v>
      </c>
      <c r="C3712" s="7">
        <v>27639</v>
      </c>
      <c r="D3712" s="8" t="s">
        <v>7463</v>
      </c>
    </row>
    <row r="3713" spans="1:4" ht="14.25">
      <c r="A3713" s="5">
        <v>2</v>
      </c>
      <c r="B3713" s="6" t="s">
        <v>7464</v>
      </c>
      <c r="C3713" s="7">
        <v>27639</v>
      </c>
      <c r="D3713" s="8" t="s">
        <v>7465</v>
      </c>
    </row>
    <row r="3714" spans="1:4" ht="14.25">
      <c r="A3714" s="5" t="s">
        <v>484</v>
      </c>
      <c r="B3714" s="6" t="s">
        <v>7466</v>
      </c>
      <c r="C3714" s="7">
        <v>27640</v>
      </c>
      <c r="D3714" s="8" t="s">
        <v>7467</v>
      </c>
    </row>
    <row r="3715" spans="1:4" ht="14.25">
      <c r="A3715" s="5" t="s">
        <v>1001</v>
      </c>
      <c r="B3715" s="6" t="s">
        <v>7468</v>
      </c>
      <c r="C3715" s="7">
        <v>27640</v>
      </c>
      <c r="D3715" s="8" t="s">
        <v>7469</v>
      </c>
    </row>
    <row r="3716" spans="1:4" ht="14.25">
      <c r="A3716" s="5">
        <v>3</v>
      </c>
      <c r="B3716" s="6" t="s">
        <v>7470</v>
      </c>
      <c r="C3716" s="7">
        <v>27640</v>
      </c>
      <c r="D3716" s="8" t="s">
        <v>7471</v>
      </c>
    </row>
    <row r="3717" spans="1:4" ht="14.25">
      <c r="A3717" s="5">
        <v>3</v>
      </c>
      <c r="B3717" s="6" t="s">
        <v>7472</v>
      </c>
      <c r="C3717" s="7">
        <v>27640</v>
      </c>
      <c r="D3717" s="8" t="s">
        <v>7473</v>
      </c>
    </row>
    <row r="3718" spans="1:4" ht="14.25">
      <c r="A3718" s="5">
        <v>3</v>
      </c>
      <c r="B3718" s="6" t="s">
        <v>7474</v>
      </c>
      <c r="C3718" s="7">
        <v>27640</v>
      </c>
      <c r="D3718" s="8" t="s">
        <v>7475</v>
      </c>
    </row>
    <row r="3719" spans="1:4" ht="14.25">
      <c r="A3719" s="5" t="s">
        <v>484</v>
      </c>
      <c r="B3719" s="6" t="s">
        <v>7476</v>
      </c>
      <c r="C3719" s="7">
        <v>27641</v>
      </c>
      <c r="D3719" s="8" t="s">
        <v>7477</v>
      </c>
    </row>
    <row r="3720" spans="1:4" ht="14.25">
      <c r="A3720" s="5" t="s">
        <v>1001</v>
      </c>
      <c r="B3720" s="6" t="s">
        <v>7478</v>
      </c>
      <c r="C3720" s="7">
        <v>27641</v>
      </c>
      <c r="D3720" s="8" t="s">
        <v>7479</v>
      </c>
    </row>
    <row r="3721" spans="1:4" ht="14.25">
      <c r="A3721" s="5">
        <v>4</v>
      </c>
      <c r="B3721" s="6" t="s">
        <v>7480</v>
      </c>
      <c r="C3721" s="7">
        <v>27641</v>
      </c>
      <c r="D3721" s="8" t="s">
        <v>7481</v>
      </c>
    </row>
    <row r="3722" spans="1:4" ht="14.25">
      <c r="A3722" s="5">
        <v>4</v>
      </c>
      <c r="B3722" s="6" t="s">
        <v>7482</v>
      </c>
      <c r="C3722" s="7">
        <v>27641</v>
      </c>
      <c r="D3722" s="8" t="s">
        <v>7483</v>
      </c>
    </row>
    <row r="3723" spans="1:4" ht="14.25">
      <c r="A3723" s="5">
        <v>4</v>
      </c>
      <c r="B3723" s="6" t="s">
        <v>7484</v>
      </c>
      <c r="C3723" s="7">
        <v>27641</v>
      </c>
      <c r="D3723" s="8" t="s">
        <v>7485</v>
      </c>
    </row>
    <row r="3724" spans="1:4" ht="14.25">
      <c r="A3724" s="5" t="s">
        <v>484</v>
      </c>
      <c r="B3724" s="6" t="s">
        <v>7486</v>
      </c>
      <c r="C3724" s="7">
        <v>27642</v>
      </c>
      <c r="D3724" s="8" t="s">
        <v>7487</v>
      </c>
    </row>
    <row r="3725" spans="1:4" ht="14.25">
      <c r="A3725" s="5" t="s">
        <v>1001</v>
      </c>
      <c r="B3725" s="6" t="s">
        <v>7488</v>
      </c>
      <c r="C3725" s="7">
        <v>27642</v>
      </c>
      <c r="D3725" s="8" t="s">
        <v>7489</v>
      </c>
    </row>
    <row r="3726" spans="1:4" ht="14.25">
      <c r="A3726" s="5">
        <v>5</v>
      </c>
      <c r="B3726" s="6" t="s">
        <v>7490</v>
      </c>
      <c r="C3726" s="7">
        <v>27642</v>
      </c>
      <c r="D3726" s="8" t="s">
        <v>7491</v>
      </c>
    </row>
    <row r="3727" spans="1:4" ht="14.25">
      <c r="A3727" s="5">
        <v>5</v>
      </c>
      <c r="B3727" s="6" t="s">
        <v>7492</v>
      </c>
      <c r="C3727" s="7">
        <v>27642</v>
      </c>
      <c r="D3727" s="8" t="s">
        <v>7493</v>
      </c>
    </row>
    <row r="3728" spans="1:4" ht="14.25">
      <c r="A3728" s="5">
        <v>5</v>
      </c>
      <c r="B3728" s="6" t="s">
        <v>7494</v>
      </c>
      <c r="C3728" s="7">
        <v>27642</v>
      </c>
      <c r="D3728" s="8" t="s">
        <v>7495</v>
      </c>
    </row>
    <row r="3729" spans="1:4" ht="14.25">
      <c r="A3729" s="5" t="s">
        <v>484</v>
      </c>
      <c r="B3729" s="6" t="s">
        <v>7496</v>
      </c>
      <c r="C3729" s="7">
        <v>27643</v>
      </c>
      <c r="D3729" s="8" t="s">
        <v>7497</v>
      </c>
    </row>
    <row r="3730" spans="1:4" ht="14.25">
      <c r="A3730" s="5" t="s">
        <v>1001</v>
      </c>
      <c r="B3730" s="6" t="s">
        <v>7498</v>
      </c>
      <c r="C3730" s="7">
        <v>27643</v>
      </c>
      <c r="D3730" s="8" t="s">
        <v>7499</v>
      </c>
    </row>
    <row r="3731" spans="1:4" ht="14.25">
      <c r="A3731" s="5">
        <v>6</v>
      </c>
      <c r="B3731" s="6" t="s">
        <v>7500</v>
      </c>
      <c r="C3731" s="7">
        <v>27643</v>
      </c>
      <c r="D3731" s="8" t="s">
        <v>7501</v>
      </c>
    </row>
    <row r="3732" spans="1:4" ht="14.25">
      <c r="A3732" s="5">
        <v>6</v>
      </c>
      <c r="B3732" s="6" t="s">
        <v>7502</v>
      </c>
      <c r="C3732" s="7">
        <v>27643</v>
      </c>
      <c r="D3732" s="8" t="s">
        <v>7503</v>
      </c>
    </row>
    <row r="3733" spans="1:4" ht="14.25">
      <c r="A3733" s="5">
        <v>6</v>
      </c>
      <c r="B3733" s="6" t="s">
        <v>7504</v>
      </c>
      <c r="C3733" s="7">
        <v>27643</v>
      </c>
      <c r="D3733" s="8" t="s">
        <v>7505</v>
      </c>
    </row>
    <row r="3734" spans="1:4" ht="14.25">
      <c r="A3734" s="5">
        <v>6</v>
      </c>
      <c r="B3734" s="6" t="s">
        <v>7506</v>
      </c>
      <c r="C3734" s="7">
        <v>27643</v>
      </c>
      <c r="D3734" s="8" t="s">
        <v>7507</v>
      </c>
    </row>
    <row r="3735" spans="1:4" ht="14.25">
      <c r="A3735" s="5" t="s">
        <v>1001</v>
      </c>
      <c r="B3735" s="6" t="s">
        <v>7508</v>
      </c>
      <c r="C3735" s="7">
        <v>27644</v>
      </c>
      <c r="D3735" s="8" t="s">
        <v>7509</v>
      </c>
    </row>
    <row r="3736" spans="1:4" ht="14.25">
      <c r="A3736" s="5">
        <v>7</v>
      </c>
      <c r="B3736" s="6" t="s">
        <v>7510</v>
      </c>
      <c r="C3736" s="7">
        <v>27644</v>
      </c>
      <c r="D3736" s="8" t="s">
        <v>7511</v>
      </c>
    </row>
    <row r="3737" spans="1:4" ht="14.25">
      <c r="A3737" s="5">
        <v>7</v>
      </c>
      <c r="B3737" s="6" t="s">
        <v>7512</v>
      </c>
      <c r="C3737" s="7">
        <v>27644</v>
      </c>
      <c r="D3737" s="8" t="s">
        <v>7513</v>
      </c>
    </row>
    <row r="3738" spans="1:4" ht="14.25">
      <c r="A3738" s="5" t="s">
        <v>1001</v>
      </c>
      <c r="B3738" s="6" t="s">
        <v>7514</v>
      </c>
      <c r="C3738" s="7">
        <v>27645</v>
      </c>
      <c r="D3738" s="8" t="s">
        <v>7515</v>
      </c>
    </row>
    <row r="3739" spans="1:4" ht="14.25">
      <c r="A3739" s="5">
        <v>8</v>
      </c>
      <c r="B3739" s="6" t="s">
        <v>7516</v>
      </c>
      <c r="C3739" s="7">
        <v>27645</v>
      </c>
      <c r="D3739" s="8" t="s">
        <v>7517</v>
      </c>
    </row>
    <row r="3740" spans="1:4" ht="14.25">
      <c r="A3740" s="5">
        <v>8</v>
      </c>
      <c r="B3740" s="6" t="s">
        <v>7518</v>
      </c>
      <c r="C3740" s="7">
        <v>27645</v>
      </c>
      <c r="D3740" s="8" t="s">
        <v>7519</v>
      </c>
    </row>
    <row r="3741" spans="1:4" ht="14.25">
      <c r="A3741" s="5" t="s">
        <v>484</v>
      </c>
      <c r="B3741" s="6" t="s">
        <v>7520</v>
      </c>
      <c r="C3741" s="7">
        <v>27646</v>
      </c>
      <c r="D3741" s="8" t="s">
        <v>7521</v>
      </c>
    </row>
    <row r="3742" spans="1:4" ht="14.25">
      <c r="A3742" s="5" t="s">
        <v>1001</v>
      </c>
      <c r="B3742" s="6" t="s">
        <v>7522</v>
      </c>
      <c r="C3742" s="7">
        <v>27646</v>
      </c>
      <c r="D3742" s="8" t="s">
        <v>7523</v>
      </c>
    </row>
    <row r="3743" spans="1:4" ht="14.25">
      <c r="A3743" s="5">
        <v>9</v>
      </c>
      <c r="B3743" s="6" t="s">
        <v>7524</v>
      </c>
      <c r="C3743" s="7">
        <v>27646</v>
      </c>
      <c r="D3743" s="8" t="s">
        <v>7525</v>
      </c>
    </row>
    <row r="3744" spans="1:4" ht="14.25">
      <c r="A3744" s="5">
        <v>9</v>
      </c>
      <c r="B3744" s="6" t="s">
        <v>7526</v>
      </c>
      <c r="C3744" s="7">
        <v>27646</v>
      </c>
      <c r="D3744" s="8" t="s">
        <v>7527</v>
      </c>
    </row>
    <row r="3745" spans="1:4" ht="14.25">
      <c r="A3745" s="5">
        <v>9</v>
      </c>
      <c r="B3745" s="6" t="s">
        <v>7528</v>
      </c>
      <c r="C3745" s="7">
        <v>27646</v>
      </c>
      <c r="D3745" s="8" t="s">
        <v>7529</v>
      </c>
    </row>
    <row r="3746" spans="1:4" ht="14.25">
      <c r="A3746" s="5" t="s">
        <v>1001</v>
      </c>
      <c r="B3746" s="6" t="s">
        <v>7530</v>
      </c>
      <c r="C3746" s="7">
        <v>27647</v>
      </c>
      <c r="D3746" s="8" t="s">
        <v>7531</v>
      </c>
    </row>
    <row r="3747" spans="1:4" ht="14.25">
      <c r="A3747" s="5">
        <v>10</v>
      </c>
      <c r="B3747" s="6" t="s">
        <v>7532</v>
      </c>
      <c r="C3747" s="7">
        <v>27647</v>
      </c>
      <c r="D3747" s="8" t="s">
        <v>7533</v>
      </c>
    </row>
    <row r="3748" spans="1:4" ht="14.25">
      <c r="A3748" s="5">
        <v>10</v>
      </c>
      <c r="B3748" s="6" t="s">
        <v>7534</v>
      </c>
      <c r="C3748" s="7">
        <v>27647</v>
      </c>
      <c r="D3748" s="8" t="s">
        <v>7535</v>
      </c>
    </row>
    <row r="3749" spans="1:4" ht="14.25">
      <c r="A3749" s="5" t="s">
        <v>1001</v>
      </c>
      <c r="B3749" s="6" t="s">
        <v>7536</v>
      </c>
      <c r="C3749" s="7">
        <v>27648</v>
      </c>
      <c r="D3749" s="8" t="s">
        <v>7537</v>
      </c>
    </row>
    <row r="3750" spans="1:4" ht="14.25">
      <c r="A3750" s="5">
        <v>11</v>
      </c>
      <c r="B3750" s="6" t="s">
        <v>7538</v>
      </c>
      <c r="C3750" s="7">
        <v>27648</v>
      </c>
      <c r="D3750" s="8" t="s">
        <v>7539</v>
      </c>
    </row>
    <row r="3751" spans="1:4" ht="14.25">
      <c r="A3751" s="5">
        <v>11</v>
      </c>
      <c r="B3751" s="6" t="s">
        <v>7540</v>
      </c>
      <c r="C3751" s="7">
        <v>27648</v>
      </c>
      <c r="D3751" s="8" t="s">
        <v>7541</v>
      </c>
    </row>
    <row r="3752" spans="1:4" ht="14.25">
      <c r="A3752" s="5" t="s">
        <v>484</v>
      </c>
      <c r="B3752" s="6" t="s">
        <v>7542</v>
      </c>
      <c r="C3752" s="7">
        <v>27650</v>
      </c>
      <c r="D3752" s="8" t="s">
        <v>7543</v>
      </c>
    </row>
    <row r="3753" spans="1:4" ht="14.25">
      <c r="A3753" s="5" t="s">
        <v>1001</v>
      </c>
      <c r="B3753" s="6" t="s">
        <v>7544</v>
      </c>
      <c r="C3753" s="7">
        <v>27650</v>
      </c>
      <c r="D3753" s="8" t="s">
        <v>7545</v>
      </c>
    </row>
    <row r="3754" spans="1:4" ht="14.25">
      <c r="A3754" s="5">
        <v>13</v>
      </c>
      <c r="B3754" s="6" t="s">
        <v>7546</v>
      </c>
      <c r="C3754" s="7">
        <v>27650</v>
      </c>
      <c r="D3754" s="8" t="s">
        <v>7547</v>
      </c>
    </row>
    <row r="3755" spans="1:4" ht="14.25">
      <c r="A3755" s="5">
        <v>13</v>
      </c>
      <c r="B3755" s="6" t="s">
        <v>7548</v>
      </c>
      <c r="C3755" s="7">
        <v>27650</v>
      </c>
      <c r="D3755" s="8" t="s">
        <v>7549</v>
      </c>
    </row>
    <row r="3756" spans="1:4" ht="14.25">
      <c r="A3756" s="5">
        <v>13</v>
      </c>
      <c r="B3756" s="6" t="s">
        <v>7550</v>
      </c>
      <c r="C3756" s="7">
        <v>27650</v>
      </c>
      <c r="D3756" s="8" t="s">
        <v>7551</v>
      </c>
    </row>
    <row r="3757" spans="1:4" ht="14.25">
      <c r="A3757" s="5">
        <v>13</v>
      </c>
      <c r="B3757" s="6" t="s">
        <v>7552</v>
      </c>
      <c r="C3757" s="7">
        <v>27650</v>
      </c>
      <c r="D3757" s="8" t="s">
        <v>7553</v>
      </c>
    </row>
    <row r="3758" spans="1:4" ht="14.25">
      <c r="A3758" s="5">
        <v>13</v>
      </c>
      <c r="B3758" s="6" t="s">
        <v>7554</v>
      </c>
      <c r="C3758" s="7">
        <v>27650</v>
      </c>
      <c r="D3758" s="8" t="s">
        <v>7555</v>
      </c>
    </row>
    <row r="3759" spans="1:4" ht="14.25">
      <c r="A3759" s="5" t="s">
        <v>484</v>
      </c>
      <c r="B3759" s="6" t="s">
        <v>7556</v>
      </c>
      <c r="C3759" s="7">
        <v>27652</v>
      </c>
      <c r="D3759" s="8" t="s">
        <v>7557</v>
      </c>
    </row>
    <row r="3760" spans="1:4" ht="14.25">
      <c r="A3760" s="5" t="s">
        <v>1001</v>
      </c>
      <c r="B3760" s="6" t="s">
        <v>7558</v>
      </c>
      <c r="C3760" s="7">
        <v>27652</v>
      </c>
      <c r="D3760" s="8" t="s">
        <v>7559</v>
      </c>
    </row>
    <row r="3761" spans="1:4" ht="14.25">
      <c r="A3761" s="5">
        <v>15</v>
      </c>
      <c r="B3761" s="6" t="s">
        <v>7560</v>
      </c>
      <c r="C3761" s="7">
        <v>27652</v>
      </c>
      <c r="D3761" s="8" t="s">
        <v>7561</v>
      </c>
    </row>
    <row r="3762" spans="1:4" ht="14.25">
      <c r="A3762" s="5">
        <v>15</v>
      </c>
      <c r="B3762" s="6" t="s">
        <v>7562</v>
      </c>
      <c r="C3762" s="7">
        <v>27652</v>
      </c>
      <c r="D3762" s="8" t="s">
        <v>7563</v>
      </c>
    </row>
    <row r="3763" spans="1:4" ht="14.25">
      <c r="A3763" s="5">
        <v>15</v>
      </c>
      <c r="B3763" s="6" t="s">
        <v>7564</v>
      </c>
      <c r="C3763" s="7">
        <v>27652</v>
      </c>
      <c r="D3763" s="8" t="s">
        <v>7565</v>
      </c>
    </row>
    <row r="3764" spans="1:4" ht="14.25">
      <c r="A3764" s="5">
        <v>15</v>
      </c>
      <c r="B3764" s="6" t="s">
        <v>7566</v>
      </c>
      <c r="C3764" s="7">
        <v>27652</v>
      </c>
      <c r="D3764" s="8" t="s">
        <v>7567</v>
      </c>
    </row>
    <row r="3765" spans="1:4" ht="14.25">
      <c r="A3765" s="5" t="s">
        <v>484</v>
      </c>
      <c r="B3765" s="6" t="s">
        <v>7568</v>
      </c>
      <c r="C3765" s="7">
        <v>27654</v>
      </c>
      <c r="D3765" s="8" t="s">
        <v>7569</v>
      </c>
    </row>
    <row r="3766" spans="1:4" ht="14.25">
      <c r="A3766" s="5" t="s">
        <v>1001</v>
      </c>
      <c r="B3766" s="6" t="s">
        <v>7570</v>
      </c>
      <c r="C3766" s="7">
        <v>27654</v>
      </c>
      <c r="D3766" s="8" t="s">
        <v>7571</v>
      </c>
    </row>
    <row r="3767" spans="1:4" ht="14.25">
      <c r="A3767" s="5">
        <v>17</v>
      </c>
      <c r="B3767" s="6" t="s">
        <v>7572</v>
      </c>
      <c r="C3767" s="7">
        <v>27654</v>
      </c>
      <c r="D3767" s="8" t="s">
        <v>7573</v>
      </c>
    </row>
    <row r="3768" spans="1:4" ht="14.25">
      <c r="A3768" s="5">
        <v>17</v>
      </c>
      <c r="B3768" s="6" t="s">
        <v>7574</v>
      </c>
      <c r="C3768" s="7">
        <v>27654</v>
      </c>
      <c r="D3768" s="8" t="s">
        <v>7575</v>
      </c>
    </row>
    <row r="3769" spans="1:4" ht="14.25">
      <c r="A3769" s="5">
        <v>17</v>
      </c>
      <c r="B3769" s="6" t="s">
        <v>7576</v>
      </c>
      <c r="C3769" s="7">
        <v>27654</v>
      </c>
      <c r="D3769" s="8" t="s">
        <v>7577</v>
      </c>
    </row>
    <row r="3770" spans="1:4" ht="14.25">
      <c r="A3770" s="5" t="s">
        <v>484</v>
      </c>
      <c r="B3770" s="6" t="s">
        <v>7578</v>
      </c>
      <c r="C3770" s="7">
        <v>27655</v>
      </c>
      <c r="D3770" s="8" t="s">
        <v>7579</v>
      </c>
    </row>
    <row r="3771" spans="1:4" ht="14.25">
      <c r="A3771" s="5" t="s">
        <v>1001</v>
      </c>
      <c r="B3771" s="6" t="s">
        <v>7580</v>
      </c>
      <c r="C3771" s="7">
        <v>27655</v>
      </c>
      <c r="D3771" s="8" t="s">
        <v>7581</v>
      </c>
    </row>
    <row r="3772" spans="1:4" ht="14.25">
      <c r="A3772" s="5">
        <v>18</v>
      </c>
      <c r="B3772" s="6" t="s">
        <v>7582</v>
      </c>
      <c r="C3772" s="7">
        <v>27655</v>
      </c>
      <c r="D3772" s="8" t="s">
        <v>7583</v>
      </c>
    </row>
    <row r="3773" spans="1:4" ht="14.25">
      <c r="A3773" s="5">
        <v>18</v>
      </c>
      <c r="B3773" s="6" t="s">
        <v>7584</v>
      </c>
      <c r="C3773" s="7">
        <v>27655</v>
      </c>
      <c r="D3773" s="8" t="s">
        <v>7585</v>
      </c>
    </row>
    <row r="3774" spans="1:4" ht="14.25">
      <c r="A3774" s="5">
        <v>18</v>
      </c>
      <c r="B3774" s="6" t="s">
        <v>7586</v>
      </c>
      <c r="C3774" s="7">
        <v>27655</v>
      </c>
      <c r="D3774" s="8" t="s">
        <v>7587</v>
      </c>
    </row>
    <row r="3775" spans="1:4" ht="14.25">
      <c r="A3775" s="5" t="s">
        <v>484</v>
      </c>
      <c r="B3775" s="6" t="s">
        <v>7588</v>
      </c>
      <c r="C3775" s="7">
        <v>27656</v>
      </c>
      <c r="D3775" s="8" t="s">
        <v>7589</v>
      </c>
    </row>
    <row r="3776" spans="1:4" ht="14.25">
      <c r="A3776" s="5" t="s">
        <v>1001</v>
      </c>
      <c r="B3776" s="6" t="s">
        <v>7590</v>
      </c>
      <c r="C3776" s="7">
        <v>27656</v>
      </c>
      <c r="D3776" s="8" t="s">
        <v>7591</v>
      </c>
    </row>
    <row r="3777" spans="1:4" ht="14.25">
      <c r="A3777" s="5">
        <v>19</v>
      </c>
      <c r="B3777" s="6" t="s">
        <v>7592</v>
      </c>
      <c r="C3777" s="7">
        <v>27656</v>
      </c>
      <c r="D3777" s="8" t="s">
        <v>7593</v>
      </c>
    </row>
    <row r="3778" spans="1:4" ht="14.25">
      <c r="A3778" s="5">
        <v>19</v>
      </c>
      <c r="B3778" s="6" t="s">
        <v>7594</v>
      </c>
      <c r="C3778" s="7">
        <v>27656</v>
      </c>
      <c r="D3778" s="8" t="s">
        <v>7595</v>
      </c>
    </row>
    <row r="3779" spans="1:4" ht="14.25">
      <c r="A3779" s="5">
        <v>19</v>
      </c>
      <c r="B3779" s="6" t="s">
        <v>7596</v>
      </c>
      <c r="C3779" s="7">
        <v>27656</v>
      </c>
      <c r="D3779" s="8" t="s">
        <v>7597</v>
      </c>
    </row>
    <row r="3780" spans="1:4" ht="14.25">
      <c r="A3780" s="5" t="s">
        <v>1001</v>
      </c>
      <c r="B3780" s="6" t="s">
        <v>7598</v>
      </c>
      <c r="C3780" s="7">
        <v>27657</v>
      </c>
      <c r="D3780" s="8" t="s">
        <v>7599</v>
      </c>
    </row>
    <row r="3781" spans="1:4" ht="14.25">
      <c r="A3781" s="5">
        <v>20</v>
      </c>
      <c r="B3781" s="6" t="s">
        <v>7600</v>
      </c>
      <c r="C3781" s="7">
        <v>27657</v>
      </c>
      <c r="D3781" s="8" t="s">
        <v>7601</v>
      </c>
    </row>
    <row r="3782" spans="1:4" ht="14.25">
      <c r="A3782" s="5">
        <v>20</v>
      </c>
      <c r="B3782" s="6" t="s">
        <v>7602</v>
      </c>
      <c r="C3782" s="7">
        <v>27657</v>
      </c>
      <c r="D3782" s="8" t="s">
        <v>7603</v>
      </c>
    </row>
    <row r="3783" spans="1:4" ht="14.25">
      <c r="A3783" s="5" t="s">
        <v>484</v>
      </c>
      <c r="B3783" s="6" t="s">
        <v>7604</v>
      </c>
      <c r="C3783" s="7">
        <v>27662</v>
      </c>
      <c r="D3783" s="8" t="s">
        <v>7605</v>
      </c>
    </row>
    <row r="3784" spans="1:4" ht="14.25">
      <c r="A3784" s="5">
        <v>25</v>
      </c>
      <c r="B3784" s="6" t="s">
        <v>7606</v>
      </c>
      <c r="C3784" s="7">
        <v>27662</v>
      </c>
      <c r="D3784" s="8" t="s">
        <v>7607</v>
      </c>
    </row>
    <row r="3785" spans="1:4" ht="14.25">
      <c r="A3785" s="5">
        <v>25</v>
      </c>
      <c r="B3785" s="6" t="s">
        <v>7608</v>
      </c>
      <c r="C3785" s="7">
        <v>27662</v>
      </c>
      <c r="D3785" s="8" t="s">
        <v>7609</v>
      </c>
    </row>
    <row r="3786" spans="1:4" ht="14.25">
      <c r="A3786" s="5">
        <v>25</v>
      </c>
      <c r="B3786" s="6" t="s">
        <v>7610</v>
      </c>
      <c r="C3786" s="7">
        <v>27662</v>
      </c>
      <c r="D3786" s="8" t="s">
        <v>7611</v>
      </c>
    </row>
    <row r="3787" spans="1:4" ht="14.25">
      <c r="A3787" s="5" t="s">
        <v>484</v>
      </c>
      <c r="B3787" s="6" t="s">
        <v>7612</v>
      </c>
      <c r="C3787" s="7">
        <v>27663</v>
      </c>
      <c r="D3787" s="8" t="s">
        <v>7613</v>
      </c>
    </row>
    <row r="3788" spans="1:4" ht="14.25">
      <c r="A3788" s="5">
        <v>26</v>
      </c>
      <c r="B3788" s="6" t="s">
        <v>7614</v>
      </c>
      <c r="C3788" s="7">
        <v>27663</v>
      </c>
      <c r="D3788" s="8" t="s">
        <v>7615</v>
      </c>
    </row>
    <row r="3789" spans="1:4" ht="14.25">
      <c r="A3789" s="5" t="s">
        <v>484</v>
      </c>
      <c r="B3789" s="6" t="s">
        <v>7616</v>
      </c>
      <c r="C3789" s="7">
        <v>27664</v>
      </c>
      <c r="D3789" s="8" t="s">
        <v>7617</v>
      </c>
    </row>
    <row r="3790" spans="1:4" ht="14.25">
      <c r="A3790" s="5">
        <v>27</v>
      </c>
      <c r="B3790" s="6" t="s">
        <v>7618</v>
      </c>
      <c r="C3790" s="7">
        <v>27664</v>
      </c>
      <c r="D3790" s="8" t="s">
        <v>7619</v>
      </c>
    </row>
    <row r="3791" spans="1:4" ht="14.25">
      <c r="A3791" s="5">
        <v>27</v>
      </c>
      <c r="B3791" s="6" t="s">
        <v>7620</v>
      </c>
      <c r="C3791" s="7">
        <v>27664</v>
      </c>
      <c r="D3791" s="8" t="s">
        <v>7621</v>
      </c>
    </row>
    <row r="3792" spans="1:4" ht="14.25">
      <c r="A3792" s="5">
        <v>27</v>
      </c>
      <c r="B3792" s="6" t="s">
        <v>7622</v>
      </c>
      <c r="C3792" s="7">
        <v>27664</v>
      </c>
      <c r="D3792" s="8" t="s">
        <v>7623</v>
      </c>
    </row>
    <row r="3793" spans="1:4" ht="14.25">
      <c r="A3793" s="5" t="s">
        <v>484</v>
      </c>
      <c r="B3793" s="6" t="s">
        <v>7624</v>
      </c>
      <c r="C3793" s="7">
        <v>27666</v>
      </c>
      <c r="D3793" s="8" t="s">
        <v>7625</v>
      </c>
    </row>
    <row r="3794" spans="1:4" ht="14.25">
      <c r="A3794" s="5">
        <v>29</v>
      </c>
      <c r="B3794" s="6" t="s">
        <v>7626</v>
      </c>
      <c r="C3794" s="7">
        <v>27666</v>
      </c>
      <c r="D3794" s="8" t="s">
        <v>7627</v>
      </c>
    </row>
    <row r="3795" spans="1:4" ht="14.25">
      <c r="A3795" s="5" t="s">
        <v>484</v>
      </c>
      <c r="B3795" s="6" t="s">
        <v>7628</v>
      </c>
      <c r="C3795" s="7">
        <v>27667</v>
      </c>
      <c r="D3795" s="8" t="s">
        <v>7629</v>
      </c>
    </row>
    <row r="3796" spans="1:4" ht="14.25">
      <c r="A3796" s="5">
        <v>30</v>
      </c>
      <c r="B3796" s="6" t="s">
        <v>7630</v>
      </c>
      <c r="C3796" s="7">
        <v>27667</v>
      </c>
      <c r="D3796" s="8" t="s">
        <v>7631</v>
      </c>
    </row>
    <row r="3797" spans="1:4" ht="14.25">
      <c r="A3797" s="5" t="s">
        <v>863</v>
      </c>
      <c r="B3797" s="6" t="s">
        <v>7632</v>
      </c>
      <c r="C3797" s="7">
        <v>27668</v>
      </c>
      <c r="D3797" s="8" t="s">
        <v>7633</v>
      </c>
    </row>
    <row r="3798" spans="1:4" ht="14.25">
      <c r="A3798" s="5" t="s">
        <v>18</v>
      </c>
      <c r="B3798" s="6" t="s">
        <v>7634</v>
      </c>
      <c r="C3798" s="7">
        <v>27668</v>
      </c>
      <c r="D3798" s="8" t="s">
        <v>7635</v>
      </c>
    </row>
    <row r="3799" spans="1:4" ht="14.25">
      <c r="A3799" s="5">
        <v>1</v>
      </c>
      <c r="B3799" s="6" t="s">
        <v>7636</v>
      </c>
      <c r="C3799" s="7">
        <v>27668</v>
      </c>
      <c r="D3799" s="8" t="s">
        <v>7637</v>
      </c>
    </row>
    <row r="3800" spans="1:4" ht="14.25">
      <c r="A3800" s="5">
        <v>1</v>
      </c>
      <c r="B3800" s="6" t="s">
        <v>7638</v>
      </c>
      <c r="C3800" s="7">
        <v>27668</v>
      </c>
      <c r="D3800" s="8" t="s">
        <v>7639</v>
      </c>
    </row>
    <row r="3801" spans="1:4" ht="14.25">
      <c r="A3801" s="5">
        <v>1</v>
      </c>
      <c r="B3801" s="6" t="s">
        <v>7640</v>
      </c>
      <c r="C3801" s="7">
        <v>27668</v>
      </c>
      <c r="D3801" s="8" t="s">
        <v>7641</v>
      </c>
    </row>
    <row r="3802" spans="1:4" ht="14.25">
      <c r="A3802" s="5">
        <v>1</v>
      </c>
      <c r="B3802" s="6" t="s">
        <v>7642</v>
      </c>
      <c r="C3802" s="7">
        <v>27668</v>
      </c>
      <c r="D3802" s="8" t="s">
        <v>7643</v>
      </c>
    </row>
    <row r="3803" spans="1:4" ht="14.25">
      <c r="A3803" s="5">
        <v>1</v>
      </c>
      <c r="B3803" s="6" t="s">
        <v>7644</v>
      </c>
      <c r="C3803" s="7">
        <v>27668</v>
      </c>
      <c r="D3803" s="8" t="s">
        <v>7645</v>
      </c>
    </row>
    <row r="3804" spans="1:4" ht="14.25">
      <c r="A3804" s="5" t="s">
        <v>454</v>
      </c>
      <c r="B3804" s="6" t="s">
        <v>7646</v>
      </c>
      <c r="C3804" s="7">
        <v>27669</v>
      </c>
      <c r="D3804" s="8" t="s">
        <v>7647</v>
      </c>
    </row>
    <row r="3805" spans="1:4" ht="14.25">
      <c r="A3805" s="5">
        <v>2</v>
      </c>
      <c r="B3805" s="6" t="s">
        <v>7648</v>
      </c>
      <c r="C3805" s="7">
        <v>27669</v>
      </c>
      <c r="D3805" s="8" t="s">
        <v>7649</v>
      </c>
    </row>
    <row r="3806" spans="1:4" ht="14.25">
      <c r="A3806" s="5">
        <v>2</v>
      </c>
      <c r="B3806" s="6" t="s">
        <v>7650</v>
      </c>
      <c r="C3806" s="7">
        <v>27669</v>
      </c>
      <c r="D3806" s="8" t="s">
        <v>7651</v>
      </c>
    </row>
    <row r="3807" spans="1:4" ht="14.25">
      <c r="A3807" s="5">
        <v>2</v>
      </c>
      <c r="B3807" s="6" t="s">
        <v>7652</v>
      </c>
      <c r="C3807" s="7">
        <v>27669</v>
      </c>
      <c r="D3807" s="8" t="s">
        <v>7653</v>
      </c>
    </row>
    <row r="3808" spans="1:4" ht="14.25">
      <c r="A3808" s="5">
        <v>2</v>
      </c>
      <c r="B3808" s="6" t="s">
        <v>7654</v>
      </c>
      <c r="C3808" s="7">
        <v>27669</v>
      </c>
      <c r="D3808" s="8" t="s">
        <v>7655</v>
      </c>
    </row>
    <row r="3809" spans="1:4" ht="14.25">
      <c r="A3809" s="5" t="s">
        <v>484</v>
      </c>
      <c r="B3809" s="6" t="s">
        <v>7656</v>
      </c>
      <c r="C3809" s="7">
        <v>27670</v>
      </c>
      <c r="D3809" s="8" t="s">
        <v>7657</v>
      </c>
    </row>
    <row r="3810" spans="1:4" ht="14.25">
      <c r="A3810" s="5" t="s">
        <v>484</v>
      </c>
      <c r="B3810" s="6" t="s">
        <v>7658</v>
      </c>
      <c r="C3810" s="7">
        <v>27670</v>
      </c>
      <c r="D3810" s="8" t="s">
        <v>7659</v>
      </c>
    </row>
    <row r="3811" spans="1:4" ht="14.25">
      <c r="A3811" s="5">
        <v>3</v>
      </c>
      <c r="B3811" s="6" t="s">
        <v>7660</v>
      </c>
      <c r="C3811" s="7">
        <v>27670</v>
      </c>
      <c r="D3811" s="8" t="s">
        <v>7661</v>
      </c>
    </row>
    <row r="3812" spans="1:4" ht="14.25">
      <c r="A3812" s="5">
        <v>3</v>
      </c>
      <c r="B3812" s="6" t="s">
        <v>7662</v>
      </c>
      <c r="C3812" s="7">
        <v>27670</v>
      </c>
      <c r="D3812" s="8" t="s">
        <v>7663</v>
      </c>
    </row>
    <row r="3813" spans="1:4" ht="14.25">
      <c r="A3813" s="5">
        <v>3</v>
      </c>
      <c r="B3813" s="6" t="s">
        <v>7664</v>
      </c>
      <c r="C3813" s="7">
        <v>27670</v>
      </c>
      <c r="D3813" s="8" t="s">
        <v>7665</v>
      </c>
    </row>
    <row r="3814" spans="1:4" ht="14.25">
      <c r="A3814" s="5" t="s">
        <v>484</v>
      </c>
      <c r="B3814" s="6" t="s">
        <v>7666</v>
      </c>
      <c r="C3814" s="7">
        <v>27671</v>
      </c>
      <c r="D3814" s="8" t="s">
        <v>7667</v>
      </c>
    </row>
    <row r="3815" spans="1:4" ht="14.25">
      <c r="A3815" s="5" t="s">
        <v>463</v>
      </c>
      <c r="B3815" s="6" t="s">
        <v>7668</v>
      </c>
      <c r="C3815" s="7">
        <v>27671</v>
      </c>
      <c r="D3815" s="8" t="s">
        <v>7669</v>
      </c>
    </row>
    <row r="3816" spans="1:4" ht="14.25">
      <c r="A3816" s="5" t="s">
        <v>454</v>
      </c>
      <c r="B3816" s="6" t="s">
        <v>7670</v>
      </c>
      <c r="C3816" s="7">
        <v>27671</v>
      </c>
      <c r="D3816" s="8" t="s">
        <v>7671</v>
      </c>
    </row>
    <row r="3817" spans="1:4" ht="14.25">
      <c r="A3817" s="5">
        <v>4</v>
      </c>
      <c r="B3817" s="6" t="s">
        <v>7672</v>
      </c>
      <c r="C3817" s="7">
        <v>27671</v>
      </c>
      <c r="D3817" s="8" t="s">
        <v>7673</v>
      </c>
    </row>
    <row r="3818" spans="1:4" ht="14.25">
      <c r="A3818" s="5">
        <v>4</v>
      </c>
      <c r="B3818" s="6" t="s">
        <v>7674</v>
      </c>
      <c r="C3818" s="7">
        <v>27671</v>
      </c>
      <c r="D3818" s="8" t="s">
        <v>7675</v>
      </c>
    </row>
    <row r="3819" spans="1:4" ht="14.25">
      <c r="A3819" s="5">
        <v>4</v>
      </c>
      <c r="B3819" s="6" t="s">
        <v>7676</v>
      </c>
      <c r="C3819" s="7">
        <v>27671</v>
      </c>
      <c r="D3819" s="8" t="s">
        <v>7677</v>
      </c>
    </row>
    <row r="3820" spans="1:4" ht="14.25">
      <c r="A3820" s="5">
        <v>4</v>
      </c>
      <c r="B3820" s="6" t="s">
        <v>7678</v>
      </c>
      <c r="C3820" s="7">
        <v>27671</v>
      </c>
      <c r="D3820" s="8" t="s">
        <v>7679</v>
      </c>
    </row>
    <row r="3821" spans="1:4" ht="14.25">
      <c r="A3821" s="5">
        <v>4</v>
      </c>
      <c r="B3821" s="6" t="s">
        <v>7680</v>
      </c>
      <c r="C3821" s="7">
        <v>27671</v>
      </c>
      <c r="D3821" s="8" t="s">
        <v>7681</v>
      </c>
    </row>
    <row r="3822" spans="1:4" ht="14.25">
      <c r="A3822" s="5">
        <v>4</v>
      </c>
      <c r="B3822" s="6" t="s">
        <v>7682</v>
      </c>
      <c r="C3822" s="7">
        <v>27671</v>
      </c>
      <c r="D3822" s="8" t="s">
        <v>7683</v>
      </c>
    </row>
    <row r="3823" spans="1:4" ht="14.25">
      <c r="A3823" s="5" t="s">
        <v>484</v>
      </c>
      <c r="B3823" s="6" t="s">
        <v>7684</v>
      </c>
      <c r="C3823" s="7">
        <v>27672</v>
      </c>
      <c r="D3823" s="8" t="s">
        <v>7685</v>
      </c>
    </row>
    <row r="3824" spans="1:4" ht="14.25">
      <c r="A3824" s="5" t="s">
        <v>463</v>
      </c>
      <c r="B3824" s="6" t="s">
        <v>7686</v>
      </c>
      <c r="C3824" s="7">
        <v>27672</v>
      </c>
      <c r="D3824" s="8" t="s">
        <v>7687</v>
      </c>
    </row>
    <row r="3825" spans="1:4" ht="14.25">
      <c r="A3825" s="5" t="s">
        <v>42</v>
      </c>
      <c r="B3825" s="6" t="s">
        <v>7688</v>
      </c>
      <c r="C3825" s="7">
        <v>27672</v>
      </c>
      <c r="D3825" s="8" t="s">
        <v>7689</v>
      </c>
    </row>
    <row r="3826" spans="1:4" ht="14.25">
      <c r="A3826" s="5">
        <v>5</v>
      </c>
      <c r="B3826" s="6" t="s">
        <v>7690</v>
      </c>
      <c r="C3826" s="7">
        <v>27672</v>
      </c>
      <c r="D3826" s="8" t="s">
        <v>7691</v>
      </c>
    </row>
    <row r="3827" spans="1:4" ht="14.25">
      <c r="A3827" s="5">
        <v>5</v>
      </c>
      <c r="B3827" s="6" t="s">
        <v>7692</v>
      </c>
      <c r="C3827" s="7">
        <v>27672</v>
      </c>
      <c r="D3827" s="8" t="s">
        <v>7693</v>
      </c>
    </row>
    <row r="3828" spans="1:4" ht="14.25">
      <c r="A3828" s="5">
        <v>5</v>
      </c>
      <c r="B3828" s="6" t="s">
        <v>7694</v>
      </c>
      <c r="C3828" s="7">
        <v>27672</v>
      </c>
      <c r="D3828" s="8" t="s">
        <v>7695</v>
      </c>
    </row>
    <row r="3829" spans="1:4" ht="14.25">
      <c r="A3829" s="5">
        <v>5</v>
      </c>
      <c r="B3829" s="6" t="s">
        <v>7696</v>
      </c>
      <c r="C3829" s="7">
        <v>27672</v>
      </c>
      <c r="D3829" s="8" t="s">
        <v>7697</v>
      </c>
    </row>
    <row r="3830" spans="1:4" ht="14.25">
      <c r="A3830" s="5">
        <v>5</v>
      </c>
      <c r="B3830" s="6" t="s">
        <v>7698</v>
      </c>
      <c r="C3830" s="7">
        <v>27672</v>
      </c>
      <c r="D3830" s="8" t="s">
        <v>7699</v>
      </c>
    </row>
    <row r="3831" spans="1:4" ht="14.25">
      <c r="A3831" s="5">
        <v>5</v>
      </c>
      <c r="B3831" s="6" t="s">
        <v>7700</v>
      </c>
      <c r="C3831" s="7">
        <v>27672</v>
      </c>
      <c r="D3831" s="8" t="s">
        <v>7701</v>
      </c>
    </row>
    <row r="3832" spans="1:4" ht="14.25">
      <c r="A3832" s="5">
        <v>6</v>
      </c>
      <c r="B3832" s="6" t="s">
        <v>7702</v>
      </c>
      <c r="C3832" s="7">
        <v>27673</v>
      </c>
      <c r="D3832" s="8" t="s">
        <v>7703</v>
      </c>
    </row>
    <row r="3833" spans="1:4" ht="14.25">
      <c r="A3833" s="5" t="s">
        <v>167</v>
      </c>
      <c r="B3833" s="6" t="s">
        <v>7704</v>
      </c>
      <c r="C3833" s="7">
        <v>27674</v>
      </c>
      <c r="D3833" s="8" t="s">
        <v>7705</v>
      </c>
    </row>
    <row r="3834" spans="1:4" ht="14.25">
      <c r="A3834" s="5">
        <v>7</v>
      </c>
      <c r="B3834" s="6" t="s">
        <v>7706</v>
      </c>
      <c r="C3834" s="7">
        <v>27674</v>
      </c>
      <c r="D3834" s="8" t="s">
        <v>7707</v>
      </c>
    </row>
    <row r="3835" spans="1:4" ht="14.25">
      <c r="A3835" s="5">
        <v>7</v>
      </c>
      <c r="B3835" s="6" t="s">
        <v>7708</v>
      </c>
      <c r="C3835" s="7">
        <v>27674</v>
      </c>
      <c r="D3835" s="8" t="s">
        <v>7709</v>
      </c>
    </row>
    <row r="3836" spans="1:4" ht="14.25">
      <c r="A3836" s="5">
        <v>7</v>
      </c>
      <c r="B3836" s="6" t="s">
        <v>7710</v>
      </c>
      <c r="C3836" s="7">
        <v>27674</v>
      </c>
      <c r="D3836" s="8" t="s">
        <v>7711</v>
      </c>
    </row>
    <row r="3837" spans="1:4" ht="14.25">
      <c r="A3837" s="5">
        <v>8</v>
      </c>
      <c r="B3837" s="6" t="s">
        <v>7712</v>
      </c>
      <c r="C3837" s="7">
        <v>27675</v>
      </c>
      <c r="D3837" s="8" t="s">
        <v>7713</v>
      </c>
    </row>
    <row r="3838" spans="1:4" ht="14.25">
      <c r="A3838" s="5">
        <v>8</v>
      </c>
      <c r="B3838" s="6" t="s">
        <v>7714</v>
      </c>
      <c r="C3838" s="7">
        <v>27675</v>
      </c>
      <c r="D3838" s="8" t="s">
        <v>7715</v>
      </c>
    </row>
    <row r="3839" spans="1:4" ht="14.25">
      <c r="A3839" s="5">
        <v>8</v>
      </c>
      <c r="B3839" s="6" t="s">
        <v>7716</v>
      </c>
      <c r="C3839" s="7">
        <v>27675</v>
      </c>
      <c r="D3839" s="8" t="s">
        <v>7717</v>
      </c>
    </row>
    <row r="3840" spans="1:4" ht="14.25">
      <c r="A3840" s="5" t="s">
        <v>184</v>
      </c>
      <c r="B3840" s="6" t="s">
        <v>7718</v>
      </c>
      <c r="C3840" s="7">
        <v>27676</v>
      </c>
      <c r="D3840" s="8" t="s">
        <v>7719</v>
      </c>
    </row>
    <row r="3841" spans="1:4" ht="14.25">
      <c r="A3841" s="5">
        <v>9</v>
      </c>
      <c r="B3841" s="6" t="s">
        <v>7720</v>
      </c>
      <c r="C3841" s="7">
        <v>27676</v>
      </c>
      <c r="D3841" s="8" t="s">
        <v>7721</v>
      </c>
    </row>
    <row r="3842" spans="1:4" ht="14.25">
      <c r="A3842" s="5">
        <v>9</v>
      </c>
      <c r="B3842" s="6" t="s">
        <v>7722</v>
      </c>
      <c r="C3842" s="7">
        <v>27676</v>
      </c>
      <c r="D3842" s="8" t="s">
        <v>7723</v>
      </c>
    </row>
    <row r="3843" spans="1:4" ht="14.25">
      <c r="A3843" s="5">
        <v>9</v>
      </c>
      <c r="B3843" s="6" t="s">
        <v>7724</v>
      </c>
      <c r="C3843" s="7">
        <v>27676</v>
      </c>
      <c r="D3843" s="8" t="s">
        <v>7725</v>
      </c>
    </row>
    <row r="3844" spans="1:4" ht="14.25">
      <c r="A3844" s="5" t="s">
        <v>463</v>
      </c>
      <c r="B3844" s="6" t="s">
        <v>7726</v>
      </c>
      <c r="C3844" s="7">
        <v>27677</v>
      </c>
      <c r="D3844" s="8" t="s">
        <v>7727</v>
      </c>
    </row>
    <row r="3845" spans="1:4" ht="14.25">
      <c r="A3845" s="5">
        <v>10</v>
      </c>
      <c r="B3845" s="6" t="s">
        <v>7728</v>
      </c>
      <c r="C3845" s="7">
        <v>27677</v>
      </c>
      <c r="D3845" s="8" t="s">
        <v>7729</v>
      </c>
    </row>
    <row r="3846" spans="1:4" ht="14.25">
      <c r="A3846" s="5">
        <v>10</v>
      </c>
      <c r="B3846" s="6" t="s">
        <v>7730</v>
      </c>
      <c r="C3846" s="7">
        <v>27677</v>
      </c>
      <c r="D3846" s="8" t="s">
        <v>7731</v>
      </c>
    </row>
    <row r="3847" spans="1:4" ht="14.25">
      <c r="A3847" s="5">
        <v>10</v>
      </c>
      <c r="B3847" s="6" t="s">
        <v>7732</v>
      </c>
      <c r="C3847" s="7">
        <v>27677</v>
      </c>
      <c r="D3847" s="8" t="s">
        <v>7733</v>
      </c>
    </row>
    <row r="3848" spans="1:4" ht="14.25">
      <c r="A3848" s="5" t="s">
        <v>167</v>
      </c>
      <c r="B3848" s="6" t="s">
        <v>7734</v>
      </c>
      <c r="C3848" s="7">
        <v>27678</v>
      </c>
      <c r="D3848" s="8" t="s">
        <v>7735</v>
      </c>
    </row>
    <row r="3849" spans="1:4" ht="14.25">
      <c r="A3849" s="5">
        <v>11</v>
      </c>
      <c r="B3849" s="6" t="s">
        <v>7736</v>
      </c>
      <c r="C3849" s="7">
        <v>27678</v>
      </c>
      <c r="D3849" s="8" t="s">
        <v>7737</v>
      </c>
    </row>
    <row r="3850" spans="1:4" ht="14.25">
      <c r="A3850" s="5">
        <v>11</v>
      </c>
      <c r="B3850" s="6" t="s">
        <v>7738</v>
      </c>
      <c r="C3850" s="7">
        <v>27678</v>
      </c>
      <c r="D3850" s="8" t="s">
        <v>7739</v>
      </c>
    </row>
    <row r="3851" spans="1:4" ht="14.25">
      <c r="A3851" s="5">
        <v>12</v>
      </c>
      <c r="B3851" s="6" t="s">
        <v>7740</v>
      </c>
      <c r="C3851" s="7">
        <v>27679</v>
      </c>
      <c r="D3851" s="8" t="s">
        <v>7741</v>
      </c>
    </row>
    <row r="3852" spans="1:4" ht="14.25">
      <c r="A3852" s="5" t="s">
        <v>1786</v>
      </c>
      <c r="B3852" s="6" t="s">
        <v>7742</v>
      </c>
      <c r="C3852" s="7">
        <v>27680</v>
      </c>
      <c r="D3852" s="8" t="s">
        <v>7743</v>
      </c>
    </row>
    <row r="3853" spans="1:4" ht="14.25">
      <c r="A3853" s="5" t="s">
        <v>1786</v>
      </c>
      <c r="B3853" s="6" t="s">
        <v>7744</v>
      </c>
      <c r="C3853" s="7">
        <v>27680</v>
      </c>
      <c r="D3853" s="8" t="s">
        <v>7745</v>
      </c>
    </row>
    <row r="3854" spans="1:4" ht="14.25">
      <c r="A3854" s="5" t="s">
        <v>484</v>
      </c>
      <c r="B3854" s="6" t="s">
        <v>7746</v>
      </c>
      <c r="C3854" s="7">
        <v>27680</v>
      </c>
      <c r="D3854" s="8" t="s">
        <v>7747</v>
      </c>
    </row>
    <row r="3855" spans="1:4" ht="14.25">
      <c r="A3855" s="5" t="s">
        <v>463</v>
      </c>
      <c r="B3855" s="6" t="s">
        <v>7748</v>
      </c>
      <c r="C3855" s="7">
        <v>27680</v>
      </c>
      <c r="D3855" s="8" t="s">
        <v>7749</v>
      </c>
    </row>
    <row r="3856" spans="1:4" ht="14.25">
      <c r="A3856" s="5">
        <v>13</v>
      </c>
      <c r="B3856" s="6" t="s">
        <v>7750</v>
      </c>
      <c r="C3856" s="7">
        <v>27680</v>
      </c>
      <c r="D3856" s="8" t="s">
        <v>7751</v>
      </c>
    </row>
    <row r="3857" spans="1:4" ht="14.25">
      <c r="A3857" s="5">
        <v>13</v>
      </c>
      <c r="B3857" s="6" t="s">
        <v>7752</v>
      </c>
      <c r="C3857" s="7">
        <v>27680</v>
      </c>
      <c r="D3857" s="8" t="s">
        <v>7753</v>
      </c>
    </row>
    <row r="3858" spans="1:4" ht="14.25">
      <c r="A3858" s="5">
        <v>13</v>
      </c>
      <c r="B3858" s="6" t="s">
        <v>7754</v>
      </c>
      <c r="C3858" s="7">
        <v>27680</v>
      </c>
      <c r="D3858" s="8" t="s">
        <v>7755</v>
      </c>
    </row>
    <row r="3859" spans="1:4" ht="14.25">
      <c r="A3859" s="5">
        <v>13</v>
      </c>
      <c r="B3859" s="6" t="s">
        <v>7756</v>
      </c>
      <c r="C3859" s="7">
        <v>27680</v>
      </c>
      <c r="D3859" s="8" t="s">
        <v>7757</v>
      </c>
    </row>
    <row r="3860" spans="1:4" ht="14.25">
      <c r="A3860" s="5">
        <v>13</v>
      </c>
      <c r="B3860" s="6" t="s">
        <v>7758</v>
      </c>
      <c r="C3860" s="7">
        <v>27680</v>
      </c>
      <c r="D3860" s="8" t="s">
        <v>7759</v>
      </c>
    </row>
    <row r="3861" spans="1:4" ht="14.25">
      <c r="A3861" s="5">
        <v>13</v>
      </c>
      <c r="B3861" s="6" t="s">
        <v>7760</v>
      </c>
      <c r="C3861" s="7">
        <v>27680</v>
      </c>
      <c r="D3861" s="8" t="s">
        <v>7761</v>
      </c>
    </row>
    <row r="3862" spans="1:4" ht="14.25">
      <c r="A3862" s="5" t="s">
        <v>484</v>
      </c>
      <c r="B3862" s="6" t="s">
        <v>7762</v>
      </c>
      <c r="C3862" s="7">
        <v>27681</v>
      </c>
      <c r="D3862" s="8" t="s">
        <v>7763</v>
      </c>
    </row>
    <row r="3863" spans="1:4" ht="14.25">
      <c r="A3863" s="5" t="s">
        <v>463</v>
      </c>
      <c r="B3863" s="6" t="s">
        <v>7764</v>
      </c>
      <c r="C3863" s="7">
        <v>27681</v>
      </c>
      <c r="D3863" s="8" t="s">
        <v>7765</v>
      </c>
    </row>
    <row r="3864" spans="1:4" ht="14.25">
      <c r="A3864" s="5" t="s">
        <v>42</v>
      </c>
      <c r="B3864" s="6" t="s">
        <v>7766</v>
      </c>
      <c r="C3864" s="7">
        <v>27681</v>
      </c>
      <c r="D3864" s="8" t="s">
        <v>7767</v>
      </c>
    </row>
    <row r="3865" spans="1:4" ht="14.25">
      <c r="A3865" s="5" t="s">
        <v>42</v>
      </c>
      <c r="B3865" s="6" t="s">
        <v>7768</v>
      </c>
      <c r="C3865" s="7">
        <v>27681</v>
      </c>
      <c r="D3865" s="8" t="s">
        <v>7769</v>
      </c>
    </row>
    <row r="3866" spans="1:4" ht="14.25">
      <c r="A3866" s="5">
        <v>14</v>
      </c>
      <c r="B3866" s="6" t="s">
        <v>7770</v>
      </c>
      <c r="C3866" s="7">
        <v>27681</v>
      </c>
      <c r="D3866" s="8" t="s">
        <v>7771</v>
      </c>
    </row>
    <row r="3867" spans="1:4" ht="14.25">
      <c r="A3867" s="5">
        <v>14</v>
      </c>
      <c r="B3867" s="6" t="s">
        <v>7772</v>
      </c>
      <c r="C3867" s="7">
        <v>27681</v>
      </c>
      <c r="D3867" s="8" t="s">
        <v>7773</v>
      </c>
    </row>
    <row r="3868" spans="1:4" ht="14.25">
      <c r="A3868" s="5">
        <v>14</v>
      </c>
      <c r="B3868" s="6" t="s">
        <v>7774</v>
      </c>
      <c r="C3868" s="7">
        <v>27681</v>
      </c>
      <c r="D3868" s="8" t="s">
        <v>7775</v>
      </c>
    </row>
    <row r="3869" spans="1:4" ht="14.25">
      <c r="A3869" s="5">
        <v>14</v>
      </c>
      <c r="B3869" s="6" t="s">
        <v>7776</v>
      </c>
      <c r="C3869" s="7">
        <v>27681</v>
      </c>
      <c r="D3869" s="8" t="s">
        <v>7777</v>
      </c>
    </row>
    <row r="3870" spans="1:4" ht="14.25">
      <c r="A3870" s="5">
        <v>14</v>
      </c>
      <c r="B3870" s="6" t="s">
        <v>7778</v>
      </c>
      <c r="C3870" s="7">
        <v>27681</v>
      </c>
      <c r="D3870" s="8" t="s">
        <v>7779</v>
      </c>
    </row>
    <row r="3871" spans="1:4" ht="14.25">
      <c r="A3871" s="5">
        <v>14</v>
      </c>
      <c r="B3871" s="6" t="s">
        <v>7780</v>
      </c>
      <c r="C3871" s="7">
        <v>27681</v>
      </c>
      <c r="D3871" s="8" t="s">
        <v>7781</v>
      </c>
    </row>
    <row r="3872" spans="1:4" ht="14.25">
      <c r="A3872" s="5" t="s">
        <v>463</v>
      </c>
      <c r="B3872" s="6" t="s">
        <v>7782</v>
      </c>
      <c r="C3872" s="7">
        <v>27682</v>
      </c>
      <c r="D3872" s="8" t="s">
        <v>7783</v>
      </c>
    </row>
    <row r="3873" spans="1:4" ht="14.25">
      <c r="A3873" s="5" t="s">
        <v>42</v>
      </c>
      <c r="B3873" s="6" t="s">
        <v>7784</v>
      </c>
      <c r="C3873" s="7">
        <v>27682</v>
      </c>
      <c r="D3873" s="8" t="s">
        <v>7785</v>
      </c>
    </row>
    <row r="3874" spans="1:4" ht="14.25">
      <c r="A3874" s="5">
        <v>15</v>
      </c>
      <c r="B3874" s="6" t="s">
        <v>7786</v>
      </c>
      <c r="C3874" s="7">
        <v>27682</v>
      </c>
      <c r="D3874" s="8" t="s">
        <v>7787</v>
      </c>
    </row>
    <row r="3875" spans="1:4" ht="14.25">
      <c r="A3875" s="5">
        <v>15</v>
      </c>
      <c r="B3875" s="6" t="s">
        <v>7788</v>
      </c>
      <c r="C3875" s="7">
        <v>27682</v>
      </c>
      <c r="D3875" s="8" t="s">
        <v>7789</v>
      </c>
    </row>
    <row r="3876" spans="1:4" ht="14.25">
      <c r="A3876" s="5">
        <v>15</v>
      </c>
      <c r="B3876" s="6" t="s">
        <v>7790</v>
      </c>
      <c r="C3876" s="7">
        <v>27682</v>
      </c>
      <c r="D3876" s="8" t="s">
        <v>7791</v>
      </c>
    </row>
    <row r="3877" spans="1:4" ht="14.25">
      <c r="A3877" s="5">
        <v>15</v>
      </c>
      <c r="B3877" s="6" t="s">
        <v>7792</v>
      </c>
      <c r="C3877" s="7">
        <v>27682</v>
      </c>
      <c r="D3877" s="8" t="s">
        <v>7793</v>
      </c>
    </row>
    <row r="3878" spans="1:4" ht="14.25">
      <c r="A3878" s="5" t="s">
        <v>463</v>
      </c>
      <c r="B3878" s="6" t="s">
        <v>7794</v>
      </c>
      <c r="C3878" s="7">
        <v>27683</v>
      </c>
      <c r="D3878" s="8" t="s">
        <v>7795</v>
      </c>
    </row>
    <row r="3879" spans="1:4" ht="14.25">
      <c r="A3879" s="5">
        <v>16</v>
      </c>
      <c r="B3879" s="6" t="s">
        <v>7796</v>
      </c>
      <c r="C3879" s="7">
        <v>27683</v>
      </c>
      <c r="D3879" s="8" t="s">
        <v>7797</v>
      </c>
    </row>
    <row r="3880" spans="1:4" ht="14.25">
      <c r="A3880" s="5">
        <v>16</v>
      </c>
      <c r="B3880" s="6" t="s">
        <v>7798</v>
      </c>
      <c r="C3880" s="7">
        <v>27683</v>
      </c>
      <c r="D3880" s="8" t="s">
        <v>7799</v>
      </c>
    </row>
    <row r="3881" spans="1:4" ht="14.25">
      <c r="A3881" s="5">
        <v>16</v>
      </c>
      <c r="B3881" s="6" t="s">
        <v>7800</v>
      </c>
      <c r="C3881" s="7">
        <v>27683</v>
      </c>
      <c r="D3881" s="8" t="s">
        <v>7801</v>
      </c>
    </row>
    <row r="3882" spans="1:4" ht="14.25">
      <c r="A3882" s="5" t="s">
        <v>18</v>
      </c>
      <c r="B3882" s="6" t="s">
        <v>7802</v>
      </c>
      <c r="C3882" s="7">
        <v>27684</v>
      </c>
      <c r="D3882" s="8" t="s">
        <v>7803</v>
      </c>
    </row>
    <row r="3883" spans="1:4" ht="14.25">
      <c r="A3883" s="5">
        <v>17</v>
      </c>
      <c r="B3883" s="6" t="s">
        <v>7804</v>
      </c>
      <c r="C3883" s="7">
        <v>27684</v>
      </c>
      <c r="D3883" s="8" t="s">
        <v>7805</v>
      </c>
    </row>
    <row r="3884" spans="1:4" ht="14.25">
      <c r="A3884" s="5">
        <v>17</v>
      </c>
      <c r="B3884" s="6" t="s">
        <v>7806</v>
      </c>
      <c r="C3884" s="7">
        <v>27684</v>
      </c>
      <c r="D3884" s="8" t="s">
        <v>7807</v>
      </c>
    </row>
    <row r="3885" spans="1:4" ht="14.25">
      <c r="A3885" s="5">
        <v>17</v>
      </c>
      <c r="B3885" s="6" t="s">
        <v>7808</v>
      </c>
      <c r="C3885" s="7">
        <v>27684</v>
      </c>
      <c r="D3885" s="8" t="s">
        <v>7809</v>
      </c>
    </row>
    <row r="3886" spans="1:4" ht="14.25">
      <c r="A3886" s="5">
        <v>17</v>
      </c>
      <c r="B3886" s="6" t="s">
        <v>7810</v>
      </c>
      <c r="C3886" s="7">
        <v>27684</v>
      </c>
      <c r="D3886" s="8" t="s">
        <v>7811</v>
      </c>
    </row>
    <row r="3887" spans="1:4" ht="14.25">
      <c r="A3887" s="5" t="s">
        <v>1148</v>
      </c>
      <c r="B3887" s="6" t="s">
        <v>7812</v>
      </c>
      <c r="C3887" s="7">
        <v>27685</v>
      </c>
      <c r="D3887" s="8" t="s">
        <v>7813</v>
      </c>
    </row>
    <row r="3888" spans="1:4" ht="14.25">
      <c r="A3888" s="5" t="s">
        <v>484</v>
      </c>
      <c r="B3888" s="6" t="s">
        <v>7814</v>
      </c>
      <c r="C3888" s="7">
        <v>27685</v>
      </c>
      <c r="D3888" s="8" t="s">
        <v>7815</v>
      </c>
    </row>
    <row r="3889" spans="1:4" ht="14.25">
      <c r="A3889" s="5">
        <v>18</v>
      </c>
      <c r="B3889" s="6" t="s">
        <v>7816</v>
      </c>
      <c r="C3889" s="7">
        <v>27685</v>
      </c>
      <c r="D3889" s="8" t="s">
        <v>7817</v>
      </c>
    </row>
    <row r="3890" spans="1:4" ht="14.25">
      <c r="A3890" s="5">
        <v>18</v>
      </c>
      <c r="B3890" s="6" t="s">
        <v>7818</v>
      </c>
      <c r="C3890" s="7">
        <v>27685</v>
      </c>
      <c r="D3890" s="8" t="s">
        <v>7819</v>
      </c>
    </row>
    <row r="3891" spans="1:4" ht="14.25">
      <c r="A3891" s="5">
        <v>18</v>
      </c>
      <c r="B3891" s="6" t="s">
        <v>7820</v>
      </c>
      <c r="C3891" s="7">
        <v>27685</v>
      </c>
      <c r="D3891" s="8" t="s">
        <v>7821</v>
      </c>
    </row>
    <row r="3892" spans="1:4" ht="14.25">
      <c r="A3892" s="5">
        <v>18</v>
      </c>
      <c r="B3892" s="6" t="s">
        <v>7822</v>
      </c>
      <c r="C3892" s="7">
        <v>27685</v>
      </c>
      <c r="D3892" s="8" t="s">
        <v>7823</v>
      </c>
    </row>
    <row r="3893" spans="1:4" ht="14.25">
      <c r="A3893" s="5" t="s">
        <v>96</v>
      </c>
      <c r="B3893" s="6" t="s">
        <v>7824</v>
      </c>
      <c r="C3893" s="7">
        <v>27686</v>
      </c>
      <c r="D3893" s="8" t="s">
        <v>7825</v>
      </c>
    </row>
    <row r="3894" spans="1:4" ht="14.25">
      <c r="A3894" s="5">
        <v>19</v>
      </c>
      <c r="B3894" s="6" t="s">
        <v>7826</v>
      </c>
      <c r="C3894" s="7">
        <v>27686</v>
      </c>
      <c r="D3894" s="8" t="s">
        <v>7827</v>
      </c>
    </row>
    <row r="3895" spans="1:4" ht="14.25">
      <c r="A3895" s="5">
        <v>19</v>
      </c>
      <c r="B3895" s="6" t="s">
        <v>7828</v>
      </c>
      <c r="C3895" s="7">
        <v>27686</v>
      </c>
      <c r="D3895" s="8" t="s">
        <v>7829</v>
      </c>
    </row>
    <row r="3896" spans="1:4" ht="14.25">
      <c r="A3896" s="5">
        <v>19</v>
      </c>
      <c r="B3896" s="6" t="s">
        <v>7830</v>
      </c>
      <c r="C3896" s="7">
        <v>27686</v>
      </c>
      <c r="D3896" s="8" t="s">
        <v>7831</v>
      </c>
    </row>
    <row r="3897" spans="1:4" ht="14.25">
      <c r="A3897" s="5" t="s">
        <v>484</v>
      </c>
      <c r="B3897" s="6" t="s">
        <v>7832</v>
      </c>
      <c r="C3897" s="7">
        <v>27687</v>
      </c>
      <c r="D3897" s="8" t="s">
        <v>7833</v>
      </c>
    </row>
    <row r="3898" spans="1:4" ht="14.25">
      <c r="A3898" s="5" t="s">
        <v>968</v>
      </c>
      <c r="B3898" s="6" t="s">
        <v>7834</v>
      </c>
      <c r="C3898" s="7">
        <v>27687</v>
      </c>
      <c r="D3898" s="8" t="s">
        <v>7835</v>
      </c>
    </row>
    <row r="3899" spans="1:4" ht="14.25">
      <c r="A3899" s="5">
        <v>20</v>
      </c>
      <c r="B3899" s="6" t="s">
        <v>7836</v>
      </c>
      <c r="C3899" s="7">
        <v>27687</v>
      </c>
      <c r="D3899" s="8" t="s">
        <v>7837</v>
      </c>
    </row>
    <row r="3900" spans="1:4" ht="14.25">
      <c r="A3900" s="5">
        <v>20</v>
      </c>
      <c r="B3900" s="6" t="s">
        <v>7838</v>
      </c>
      <c r="C3900" s="7">
        <v>27687</v>
      </c>
      <c r="D3900" s="8" t="s">
        <v>7839</v>
      </c>
    </row>
    <row r="3901" spans="1:4" ht="14.25">
      <c r="A3901" s="5">
        <v>20</v>
      </c>
      <c r="B3901" s="6" t="s">
        <v>7840</v>
      </c>
      <c r="C3901" s="7">
        <v>27687</v>
      </c>
      <c r="D3901" s="8" t="s">
        <v>7841</v>
      </c>
    </row>
    <row r="3902" spans="1:4" ht="14.25">
      <c r="A3902" s="5">
        <v>20</v>
      </c>
      <c r="B3902" s="6" t="s">
        <v>7842</v>
      </c>
      <c r="C3902" s="7">
        <v>27687</v>
      </c>
      <c r="D3902" s="8" t="s">
        <v>7843</v>
      </c>
    </row>
    <row r="3903" spans="1:4" ht="14.25">
      <c r="A3903" s="5" t="s">
        <v>484</v>
      </c>
      <c r="B3903" s="6" t="s">
        <v>7844</v>
      </c>
      <c r="C3903" s="7">
        <v>27688</v>
      </c>
      <c r="D3903" s="8" t="s">
        <v>7845</v>
      </c>
    </row>
    <row r="3904" spans="1:4" ht="14.25">
      <c r="A3904" s="5" t="s">
        <v>463</v>
      </c>
      <c r="B3904" s="6" t="s">
        <v>7846</v>
      </c>
      <c r="C3904" s="7">
        <v>27688</v>
      </c>
      <c r="D3904" s="8" t="s">
        <v>7847</v>
      </c>
    </row>
    <row r="3905" spans="1:4" ht="14.25">
      <c r="A3905" s="5">
        <v>21</v>
      </c>
      <c r="B3905" s="6" t="s">
        <v>7848</v>
      </c>
      <c r="C3905" s="7">
        <v>27688</v>
      </c>
      <c r="D3905" s="8" t="s">
        <v>7849</v>
      </c>
    </row>
    <row r="3906" spans="1:4" ht="14.25">
      <c r="A3906" s="5">
        <v>21</v>
      </c>
      <c r="B3906" s="6" t="s">
        <v>7850</v>
      </c>
      <c r="C3906" s="7">
        <v>27688</v>
      </c>
      <c r="D3906" s="8" t="s">
        <v>7851</v>
      </c>
    </row>
    <row r="3907" spans="1:4" ht="14.25">
      <c r="A3907" s="5">
        <v>21</v>
      </c>
      <c r="B3907" s="6" t="s">
        <v>7852</v>
      </c>
      <c r="C3907" s="7">
        <v>27688</v>
      </c>
      <c r="D3907" s="8" t="s">
        <v>7853</v>
      </c>
    </row>
    <row r="3908" spans="1:4" ht="14.25">
      <c r="A3908" s="5">
        <v>21</v>
      </c>
      <c r="B3908" s="6" t="s">
        <v>7854</v>
      </c>
      <c r="C3908" s="7">
        <v>27688</v>
      </c>
      <c r="D3908" s="8" t="s">
        <v>7855</v>
      </c>
    </row>
    <row r="3909" spans="1:4" ht="14.25">
      <c r="A3909" s="5" t="s">
        <v>968</v>
      </c>
      <c r="B3909" s="6" t="s">
        <v>7856</v>
      </c>
      <c r="C3909" s="7">
        <v>27689</v>
      </c>
      <c r="D3909" s="8" t="s">
        <v>7857</v>
      </c>
    </row>
    <row r="3910" spans="1:4" ht="14.25">
      <c r="A3910" s="5">
        <v>22</v>
      </c>
      <c r="B3910" s="6" t="s">
        <v>7858</v>
      </c>
      <c r="C3910" s="7">
        <v>27689</v>
      </c>
      <c r="D3910" s="8" t="s">
        <v>7859</v>
      </c>
    </row>
    <row r="3911" spans="1:4" ht="14.25">
      <c r="A3911" s="5">
        <v>22</v>
      </c>
      <c r="B3911" s="6" t="s">
        <v>7860</v>
      </c>
      <c r="C3911" s="7">
        <v>27689</v>
      </c>
      <c r="D3911" s="8" t="s">
        <v>7861</v>
      </c>
    </row>
    <row r="3912" spans="1:4" ht="14.25">
      <c r="A3912" s="5">
        <v>25</v>
      </c>
      <c r="B3912" s="6" t="s">
        <v>7862</v>
      </c>
      <c r="C3912" s="7">
        <v>27692</v>
      </c>
      <c r="D3912" s="8" t="s">
        <v>7863</v>
      </c>
    </row>
    <row r="3913" spans="1:4" ht="14.25">
      <c r="A3913" s="5" t="s">
        <v>2078</v>
      </c>
      <c r="B3913" s="6" t="s">
        <v>7864</v>
      </c>
      <c r="C3913" s="7">
        <v>27693</v>
      </c>
      <c r="D3913" s="8" t="s">
        <v>7865</v>
      </c>
    </row>
    <row r="3914" spans="1:4" ht="14.25">
      <c r="A3914" s="5">
        <v>26</v>
      </c>
      <c r="B3914" s="6" t="s">
        <v>7866</v>
      </c>
      <c r="C3914" s="7">
        <v>27693</v>
      </c>
      <c r="D3914" s="8" t="s">
        <v>7867</v>
      </c>
    </row>
    <row r="3915" spans="1:4" ht="14.25">
      <c r="A3915" s="5">
        <v>26</v>
      </c>
      <c r="B3915" s="6" t="s">
        <v>7868</v>
      </c>
      <c r="C3915" s="7">
        <v>27693</v>
      </c>
      <c r="D3915" s="8" t="s">
        <v>7869</v>
      </c>
    </row>
    <row r="3916" spans="1:4" ht="14.25">
      <c r="A3916" s="5">
        <v>26</v>
      </c>
      <c r="B3916" s="6" t="s">
        <v>7870</v>
      </c>
      <c r="C3916" s="7">
        <v>27693</v>
      </c>
      <c r="D3916" s="8" t="s">
        <v>7871</v>
      </c>
    </row>
    <row r="3917" spans="1:4" ht="14.25">
      <c r="A3917" s="5" t="s">
        <v>184</v>
      </c>
      <c r="B3917" s="6" t="s">
        <v>7872</v>
      </c>
      <c r="C3917" s="7">
        <v>27694</v>
      </c>
      <c r="D3917" s="8" t="s">
        <v>7873</v>
      </c>
    </row>
    <row r="3918" spans="1:4" ht="14.25">
      <c r="A3918" s="5" t="s">
        <v>2078</v>
      </c>
      <c r="B3918" s="6" t="s">
        <v>7874</v>
      </c>
      <c r="C3918" s="7">
        <v>27694</v>
      </c>
      <c r="D3918" s="8" t="s">
        <v>7875</v>
      </c>
    </row>
    <row r="3919" spans="1:4" ht="14.25">
      <c r="A3919" s="5">
        <v>27</v>
      </c>
      <c r="B3919" s="6" t="s">
        <v>7876</v>
      </c>
      <c r="C3919" s="7">
        <v>27694</v>
      </c>
      <c r="D3919" s="8" t="s">
        <v>7877</v>
      </c>
    </row>
    <row r="3920" spans="1:4" ht="14.25">
      <c r="A3920" s="5">
        <v>27</v>
      </c>
      <c r="B3920" s="6" t="s">
        <v>7878</v>
      </c>
      <c r="C3920" s="7">
        <v>27694</v>
      </c>
      <c r="D3920" s="8" t="s">
        <v>7879</v>
      </c>
    </row>
    <row r="3921" spans="1:4" ht="14.25">
      <c r="A3921" s="5">
        <v>27</v>
      </c>
      <c r="B3921" s="6" t="s">
        <v>7880</v>
      </c>
      <c r="C3921" s="7">
        <v>27694</v>
      </c>
      <c r="D3921" s="8" t="s">
        <v>7881</v>
      </c>
    </row>
    <row r="3922" spans="1:4" ht="14.25">
      <c r="A3922" s="5">
        <v>27</v>
      </c>
      <c r="B3922" s="6" t="s">
        <v>7882</v>
      </c>
      <c r="C3922" s="7">
        <v>27694</v>
      </c>
      <c r="D3922" s="8" t="s">
        <v>7883</v>
      </c>
    </row>
    <row r="3923" spans="1:4" ht="14.25">
      <c r="A3923" s="5" t="s">
        <v>39</v>
      </c>
      <c r="B3923" s="6" t="s">
        <v>7884</v>
      </c>
      <c r="C3923" s="7">
        <v>27694</v>
      </c>
      <c r="D3923" s="8" t="s">
        <v>7885</v>
      </c>
    </row>
    <row r="3924" spans="1:4" ht="14.25">
      <c r="A3924" s="5" t="s">
        <v>184</v>
      </c>
      <c r="B3924" s="6" t="s">
        <v>7886</v>
      </c>
      <c r="C3924" s="7">
        <v>27695</v>
      </c>
      <c r="D3924" s="8" t="s">
        <v>7887</v>
      </c>
    </row>
    <row r="3925" spans="1:4" ht="14.25">
      <c r="A3925" s="5">
        <v>28</v>
      </c>
      <c r="B3925" s="6" t="s">
        <v>7888</v>
      </c>
      <c r="C3925" s="7">
        <v>27695</v>
      </c>
      <c r="D3925" s="8" t="s">
        <v>7889</v>
      </c>
    </row>
    <row r="3926" spans="1:4" ht="14.25">
      <c r="A3926" s="5">
        <v>28</v>
      </c>
      <c r="B3926" s="6" t="s">
        <v>7890</v>
      </c>
      <c r="C3926" s="7">
        <v>27695</v>
      </c>
      <c r="D3926" s="8" t="s">
        <v>7891</v>
      </c>
    </row>
    <row r="3927" spans="1:4" ht="14.25">
      <c r="A3927" s="5">
        <v>28</v>
      </c>
      <c r="B3927" s="6" t="s">
        <v>7892</v>
      </c>
      <c r="C3927" s="7">
        <v>27695</v>
      </c>
      <c r="D3927" s="8" t="s">
        <v>7893</v>
      </c>
    </row>
    <row r="3928" spans="1:4" ht="14.25">
      <c r="A3928" s="5" t="s">
        <v>184</v>
      </c>
      <c r="B3928" s="6" t="s">
        <v>7894</v>
      </c>
      <c r="C3928" s="7">
        <v>27696</v>
      </c>
      <c r="D3928" s="8" t="s">
        <v>7895</v>
      </c>
    </row>
    <row r="3929" spans="1:4" ht="14.25">
      <c r="A3929" s="5" t="s">
        <v>463</v>
      </c>
      <c r="B3929" s="6" t="s">
        <v>7896</v>
      </c>
      <c r="C3929" s="7">
        <v>27696</v>
      </c>
      <c r="D3929" s="8" t="s">
        <v>7897</v>
      </c>
    </row>
    <row r="3930" spans="1:4" ht="14.25">
      <c r="A3930" s="5" t="s">
        <v>2078</v>
      </c>
      <c r="B3930" s="6" t="s">
        <v>7898</v>
      </c>
      <c r="C3930" s="7">
        <v>27696</v>
      </c>
      <c r="D3930" s="8" t="s">
        <v>7899</v>
      </c>
    </row>
    <row r="3931" spans="1:4" ht="14.25">
      <c r="A3931" s="5">
        <v>29</v>
      </c>
      <c r="B3931" s="6" t="s">
        <v>7900</v>
      </c>
      <c r="C3931" s="7">
        <v>27696</v>
      </c>
      <c r="D3931" s="8" t="s">
        <v>7901</v>
      </c>
    </row>
    <row r="3932" spans="1:4" ht="14.25">
      <c r="A3932" s="5">
        <v>29</v>
      </c>
      <c r="B3932" s="6" t="s">
        <v>7902</v>
      </c>
      <c r="C3932" s="7">
        <v>27696</v>
      </c>
      <c r="D3932" s="8" t="s">
        <v>7903</v>
      </c>
    </row>
    <row r="3933" spans="1:4" ht="14.25">
      <c r="A3933" s="5">
        <v>29</v>
      </c>
      <c r="B3933" s="6" t="s">
        <v>7904</v>
      </c>
      <c r="C3933" s="7">
        <v>27696</v>
      </c>
      <c r="D3933" s="8" t="s">
        <v>7905</v>
      </c>
    </row>
    <row r="3934" spans="1:4" ht="14.25">
      <c r="A3934" s="5">
        <v>29</v>
      </c>
      <c r="B3934" s="6" t="s">
        <v>7906</v>
      </c>
      <c r="C3934" s="7">
        <v>27696</v>
      </c>
      <c r="D3934" s="8" t="s">
        <v>7907</v>
      </c>
    </row>
    <row r="3935" spans="1:4" ht="14.25">
      <c r="A3935" s="5">
        <v>29</v>
      </c>
      <c r="B3935" s="6" t="s">
        <v>7908</v>
      </c>
      <c r="C3935" s="7">
        <v>27696</v>
      </c>
      <c r="D3935" s="8" t="s">
        <v>7909</v>
      </c>
    </row>
    <row r="3936" spans="1:4" ht="14.25">
      <c r="A3936" s="5">
        <v>29</v>
      </c>
      <c r="B3936" s="6" t="s">
        <v>7910</v>
      </c>
      <c r="C3936" s="7">
        <v>27696</v>
      </c>
      <c r="D3936" s="8" t="s">
        <v>7911</v>
      </c>
    </row>
    <row r="3937" spans="1:4" ht="14.25">
      <c r="A3937" s="5">
        <v>29</v>
      </c>
      <c r="B3937" s="6" t="s">
        <v>7912</v>
      </c>
      <c r="C3937" s="7">
        <v>27696</v>
      </c>
      <c r="D3937" s="8" t="s">
        <v>7913</v>
      </c>
    </row>
    <row r="3938" spans="1:4" ht="14.25">
      <c r="A3938" s="5">
        <v>29</v>
      </c>
      <c r="B3938" s="6" t="s">
        <v>7914</v>
      </c>
      <c r="C3938" s="7">
        <v>27696</v>
      </c>
      <c r="D3938" s="8" t="s">
        <v>7915</v>
      </c>
    </row>
    <row r="3939" spans="1:4" ht="14.25">
      <c r="A3939" s="5" t="s">
        <v>2078</v>
      </c>
      <c r="B3939" s="6" t="s">
        <v>7916</v>
      </c>
      <c r="C3939" s="7">
        <v>27697</v>
      </c>
      <c r="D3939" s="8" t="s">
        <v>7917</v>
      </c>
    </row>
    <row r="3940" spans="1:4" ht="14.25">
      <c r="A3940" s="5">
        <v>30</v>
      </c>
      <c r="B3940" s="6" t="s">
        <v>7918</v>
      </c>
      <c r="C3940" s="7">
        <v>27697</v>
      </c>
      <c r="D3940" s="8" t="s">
        <v>7919</v>
      </c>
    </row>
    <row r="3941" spans="1:4" ht="14.25">
      <c r="A3941" s="5">
        <v>30</v>
      </c>
      <c r="B3941" s="6" t="s">
        <v>7920</v>
      </c>
      <c r="C3941" s="7">
        <v>27697</v>
      </c>
      <c r="D3941" s="8" t="s">
        <v>7921</v>
      </c>
    </row>
    <row r="3942" spans="1:4" ht="14.25">
      <c r="A3942" s="5" t="s">
        <v>184</v>
      </c>
      <c r="B3942" s="6" t="s">
        <v>7922</v>
      </c>
      <c r="C3942" s="7">
        <v>27698</v>
      </c>
      <c r="D3942" s="8" t="s">
        <v>7923</v>
      </c>
    </row>
    <row r="3943" spans="1:4" ht="14.25">
      <c r="A3943" s="5">
        <v>31</v>
      </c>
      <c r="B3943" s="6" t="s">
        <v>7924</v>
      </c>
      <c r="C3943" s="7">
        <v>27698</v>
      </c>
      <c r="D3943" s="8" t="s">
        <v>7925</v>
      </c>
    </row>
    <row r="3944" spans="1:4" ht="14.25">
      <c r="A3944" s="5">
        <v>31</v>
      </c>
      <c r="B3944" s="6" t="s">
        <v>7926</v>
      </c>
      <c r="C3944" s="7">
        <v>27698</v>
      </c>
      <c r="D3944" s="8" t="s">
        <v>7927</v>
      </c>
    </row>
    <row r="3945" spans="1:4" ht="14.25">
      <c r="A3945" s="5" t="s">
        <v>184</v>
      </c>
      <c r="B3945" s="6" t="s">
        <v>7928</v>
      </c>
      <c r="C3945" s="7">
        <v>27699</v>
      </c>
      <c r="D3945" s="8" t="s">
        <v>7929</v>
      </c>
    </row>
    <row r="3946" spans="1:4" ht="14.25">
      <c r="A3946" s="5" t="s">
        <v>463</v>
      </c>
      <c r="B3946" s="6" t="s">
        <v>7930</v>
      </c>
      <c r="C3946" s="7">
        <v>27699</v>
      </c>
      <c r="D3946" s="8" t="s">
        <v>7931</v>
      </c>
    </row>
    <row r="3947" spans="1:4" ht="14.25">
      <c r="A3947" s="5" t="s">
        <v>2078</v>
      </c>
      <c r="B3947" s="6" t="s">
        <v>7932</v>
      </c>
      <c r="C3947" s="7">
        <v>27699</v>
      </c>
      <c r="D3947" s="8" t="s">
        <v>7933</v>
      </c>
    </row>
    <row r="3948" spans="1:4" ht="14.25">
      <c r="A3948" s="5">
        <v>1</v>
      </c>
      <c r="B3948" s="6" t="s">
        <v>7934</v>
      </c>
      <c r="C3948" s="7">
        <v>27699</v>
      </c>
      <c r="D3948" s="8" t="s">
        <v>7935</v>
      </c>
    </row>
    <row r="3949" spans="1:4" ht="14.25">
      <c r="A3949" s="5">
        <v>1</v>
      </c>
      <c r="B3949" s="6" t="s">
        <v>7936</v>
      </c>
      <c r="C3949" s="7">
        <v>27699</v>
      </c>
      <c r="D3949" s="8" t="s">
        <v>7937</v>
      </c>
    </row>
    <row r="3950" spans="1:4" ht="14.25">
      <c r="A3950" s="5">
        <v>1</v>
      </c>
      <c r="B3950" s="6" t="s">
        <v>7938</v>
      </c>
      <c r="C3950" s="7">
        <v>27699</v>
      </c>
      <c r="D3950" s="8" t="s">
        <v>7939</v>
      </c>
    </row>
    <row r="3951" spans="1:4" ht="14.25">
      <c r="A3951" s="5">
        <v>1</v>
      </c>
      <c r="B3951" s="6" t="s">
        <v>7940</v>
      </c>
      <c r="C3951" s="7">
        <v>27699</v>
      </c>
      <c r="D3951" s="8" t="s">
        <v>7941</v>
      </c>
    </row>
    <row r="3952" spans="1:4" ht="14.25">
      <c r="A3952" s="5">
        <v>1</v>
      </c>
      <c r="B3952" s="6" t="s">
        <v>7942</v>
      </c>
      <c r="C3952" s="7">
        <v>27699</v>
      </c>
      <c r="D3952" s="8" t="s">
        <v>7943</v>
      </c>
    </row>
    <row r="3953" spans="1:4" ht="14.25">
      <c r="A3953" s="5">
        <v>1</v>
      </c>
      <c r="B3953" s="6" t="s">
        <v>7944</v>
      </c>
      <c r="C3953" s="7">
        <v>27699</v>
      </c>
      <c r="D3953" s="8" t="s">
        <v>7945</v>
      </c>
    </row>
    <row r="3954" spans="1:4" ht="14.25">
      <c r="A3954" s="5">
        <v>2</v>
      </c>
      <c r="B3954" s="6" t="s">
        <v>7946</v>
      </c>
      <c r="C3954" s="7">
        <v>27700</v>
      </c>
      <c r="D3954" s="8" t="s">
        <v>7947</v>
      </c>
    </row>
    <row r="3955" spans="1:4" ht="14.25">
      <c r="A3955" s="5">
        <v>2</v>
      </c>
      <c r="B3955" s="6" t="s">
        <v>7948</v>
      </c>
      <c r="C3955" s="7">
        <v>27700</v>
      </c>
      <c r="D3955" s="8" t="s">
        <v>7949</v>
      </c>
    </row>
    <row r="3956" spans="1:4" ht="14.25">
      <c r="A3956" s="5" t="s">
        <v>209</v>
      </c>
      <c r="B3956" s="6" t="s">
        <v>7950</v>
      </c>
      <c r="C3956" s="7">
        <v>27701</v>
      </c>
      <c r="D3956" s="8" t="s">
        <v>7951</v>
      </c>
    </row>
    <row r="3957" spans="1:4" ht="14.25">
      <c r="A3957" s="5" t="s">
        <v>484</v>
      </c>
      <c r="B3957" s="6" t="s">
        <v>7952</v>
      </c>
      <c r="C3957" s="7">
        <v>27701</v>
      </c>
      <c r="D3957" s="8" t="s">
        <v>7953</v>
      </c>
    </row>
    <row r="3958" spans="1:4" ht="14.25">
      <c r="A3958" s="5">
        <v>3</v>
      </c>
      <c r="B3958" s="6" t="s">
        <v>7954</v>
      </c>
      <c r="C3958" s="7">
        <v>27701</v>
      </c>
      <c r="D3958" s="8" t="s">
        <v>7955</v>
      </c>
    </row>
    <row r="3959" spans="1:4" ht="14.25">
      <c r="A3959" s="5">
        <v>3</v>
      </c>
      <c r="B3959" s="6" t="s">
        <v>7956</v>
      </c>
      <c r="C3959" s="7">
        <v>27701</v>
      </c>
      <c r="D3959" s="8" t="s">
        <v>7957</v>
      </c>
    </row>
    <row r="3960" spans="1:4" ht="14.25">
      <c r="A3960" s="5">
        <v>3</v>
      </c>
      <c r="B3960" s="6" t="s">
        <v>7958</v>
      </c>
      <c r="C3960" s="7">
        <v>27701</v>
      </c>
      <c r="D3960" s="8" t="s">
        <v>7959</v>
      </c>
    </row>
    <row r="3961" spans="1:4" ht="14.25">
      <c r="A3961" s="5">
        <v>3</v>
      </c>
      <c r="B3961" s="6" t="s">
        <v>7960</v>
      </c>
      <c r="C3961" s="7">
        <v>27701</v>
      </c>
      <c r="D3961" s="8" t="s">
        <v>7961</v>
      </c>
    </row>
    <row r="3962" spans="1:4" ht="14.25">
      <c r="A3962" s="5">
        <v>4</v>
      </c>
      <c r="B3962" s="6" t="s">
        <v>7962</v>
      </c>
      <c r="C3962" s="7">
        <v>27702</v>
      </c>
      <c r="D3962" s="8" t="s">
        <v>7963</v>
      </c>
    </row>
    <row r="3963" spans="1:4" ht="14.25">
      <c r="A3963" s="5" t="s">
        <v>484</v>
      </c>
      <c r="B3963" s="6" t="s">
        <v>7964</v>
      </c>
      <c r="C3963" s="7">
        <v>27705</v>
      </c>
      <c r="D3963" s="8" t="s">
        <v>7965</v>
      </c>
    </row>
    <row r="3964" spans="1:4" ht="14.25">
      <c r="A3964" s="5">
        <v>7</v>
      </c>
      <c r="B3964" s="6" t="s">
        <v>7966</v>
      </c>
      <c r="C3964" s="7">
        <v>27705</v>
      </c>
      <c r="D3964" s="8" t="s">
        <v>7967</v>
      </c>
    </row>
    <row r="3965" spans="1:4" ht="14.25">
      <c r="A3965" s="5">
        <v>7</v>
      </c>
      <c r="B3965" s="6" t="s">
        <v>7968</v>
      </c>
      <c r="C3965" s="7">
        <v>27705</v>
      </c>
      <c r="D3965" s="8" t="s">
        <v>7969</v>
      </c>
    </row>
    <row r="3966" spans="1:4" ht="14.25">
      <c r="A3966" s="5" t="s">
        <v>484</v>
      </c>
      <c r="B3966" s="6" t="s">
        <v>7970</v>
      </c>
      <c r="C3966" s="7">
        <v>27706</v>
      </c>
      <c r="D3966" s="8" t="s">
        <v>7971</v>
      </c>
    </row>
    <row r="3967" spans="1:4" ht="14.25">
      <c r="A3967" s="5">
        <v>8</v>
      </c>
      <c r="B3967" s="6" t="s">
        <v>7972</v>
      </c>
      <c r="C3967" s="7">
        <v>27706</v>
      </c>
      <c r="D3967" s="8" t="s">
        <v>7973</v>
      </c>
    </row>
    <row r="3968" spans="1:4" ht="14.25">
      <c r="A3968" s="5">
        <v>8</v>
      </c>
      <c r="B3968" s="6" t="s">
        <v>7974</v>
      </c>
      <c r="C3968" s="7">
        <v>27706</v>
      </c>
      <c r="D3968" s="8" t="s">
        <v>7975</v>
      </c>
    </row>
    <row r="3969" spans="1:4" ht="14.25">
      <c r="A3969" s="5" t="s">
        <v>209</v>
      </c>
      <c r="B3969" s="6" t="s">
        <v>7976</v>
      </c>
      <c r="C3969" s="7">
        <v>27707</v>
      </c>
      <c r="D3969" s="8" t="s">
        <v>7977</v>
      </c>
    </row>
    <row r="3970" spans="1:4" ht="14.25">
      <c r="A3970" s="5">
        <v>9</v>
      </c>
      <c r="B3970" s="6" t="s">
        <v>7978</v>
      </c>
      <c r="C3970" s="7">
        <v>27707</v>
      </c>
      <c r="D3970" s="8" t="s">
        <v>7979</v>
      </c>
    </row>
    <row r="3971" spans="1:4" ht="14.25">
      <c r="A3971" s="5">
        <v>9</v>
      </c>
      <c r="B3971" s="6" t="s">
        <v>7980</v>
      </c>
      <c r="C3971" s="7">
        <v>27707</v>
      </c>
      <c r="D3971" s="8" t="s">
        <v>7981</v>
      </c>
    </row>
    <row r="3972" spans="1:4" ht="14.25">
      <c r="A3972" s="5" t="s">
        <v>484</v>
      </c>
      <c r="B3972" s="6" t="s">
        <v>7982</v>
      </c>
      <c r="C3972" s="7">
        <v>27708</v>
      </c>
      <c r="D3972" s="8" t="s">
        <v>7983</v>
      </c>
    </row>
    <row r="3973" spans="1:4" ht="14.25">
      <c r="A3973" s="5">
        <v>10</v>
      </c>
      <c r="B3973" s="6" t="s">
        <v>7984</v>
      </c>
      <c r="C3973" s="7">
        <v>27708</v>
      </c>
      <c r="D3973" s="8" t="s">
        <v>7985</v>
      </c>
    </row>
    <row r="3974" spans="1:4" ht="14.25">
      <c r="A3974" s="5">
        <v>10</v>
      </c>
      <c r="B3974" s="6" t="s">
        <v>7986</v>
      </c>
      <c r="C3974" s="7">
        <v>27708</v>
      </c>
      <c r="D3974" s="8" t="s">
        <v>7987</v>
      </c>
    </row>
    <row r="3975" spans="1:4" ht="14.25">
      <c r="A3975" s="5" t="s">
        <v>484</v>
      </c>
      <c r="B3975" s="6" t="s">
        <v>7988</v>
      </c>
      <c r="C3975" s="7">
        <v>27709</v>
      </c>
      <c r="D3975" s="8" t="s">
        <v>7989</v>
      </c>
    </row>
    <row r="3976" spans="1:4" ht="14.25">
      <c r="A3976" s="5">
        <v>11</v>
      </c>
      <c r="B3976" s="6" t="s">
        <v>7990</v>
      </c>
      <c r="C3976" s="7">
        <v>27709</v>
      </c>
      <c r="D3976" s="8" t="s">
        <v>7991</v>
      </c>
    </row>
    <row r="3977" spans="1:4" ht="14.25">
      <c r="A3977" s="5">
        <v>11</v>
      </c>
      <c r="B3977" s="6" t="s">
        <v>7992</v>
      </c>
      <c r="C3977" s="7">
        <v>27709</v>
      </c>
      <c r="D3977" s="8" t="s">
        <v>7993</v>
      </c>
    </row>
    <row r="3978" spans="1:4" ht="14.25">
      <c r="A3978" s="5" t="s">
        <v>209</v>
      </c>
      <c r="B3978" s="6" t="s">
        <v>7994</v>
      </c>
      <c r="C3978" s="7">
        <v>27710</v>
      </c>
      <c r="D3978" s="8" t="s">
        <v>7995</v>
      </c>
    </row>
    <row r="3979" spans="1:4" ht="14.25">
      <c r="A3979" s="5" t="s">
        <v>484</v>
      </c>
      <c r="B3979" s="6" t="s">
        <v>7996</v>
      </c>
      <c r="C3979" s="7">
        <v>27710</v>
      </c>
      <c r="D3979" s="8" t="s">
        <v>7997</v>
      </c>
    </row>
    <row r="3980" spans="1:4" ht="14.25">
      <c r="A3980" s="5">
        <v>12</v>
      </c>
      <c r="B3980" s="6" t="s">
        <v>7998</v>
      </c>
      <c r="C3980" s="7">
        <v>27710</v>
      </c>
      <c r="D3980" s="8" t="s">
        <v>7999</v>
      </c>
    </row>
    <row r="3981" spans="1:4" ht="14.25">
      <c r="A3981" s="5">
        <v>12</v>
      </c>
      <c r="B3981" s="6" t="s">
        <v>8000</v>
      </c>
      <c r="C3981" s="7">
        <v>27710</v>
      </c>
      <c r="D3981" s="8" t="s">
        <v>8001</v>
      </c>
    </row>
    <row r="3982" spans="1:4" ht="14.25">
      <c r="A3982" s="5">
        <v>12</v>
      </c>
      <c r="B3982" s="6" t="s">
        <v>8002</v>
      </c>
      <c r="C3982" s="7">
        <v>27710</v>
      </c>
      <c r="D3982" s="8" t="s">
        <v>8003</v>
      </c>
    </row>
    <row r="3983" spans="1:4" ht="14.25">
      <c r="A3983" s="5">
        <v>12</v>
      </c>
      <c r="B3983" s="6" t="s">
        <v>8004</v>
      </c>
      <c r="C3983" s="7">
        <v>27710</v>
      </c>
      <c r="D3983" s="8" t="s">
        <v>8005</v>
      </c>
    </row>
    <row r="3984" spans="1:4" ht="14.25">
      <c r="A3984" s="5" t="s">
        <v>484</v>
      </c>
      <c r="B3984" s="6" t="s">
        <v>8006</v>
      </c>
      <c r="C3984" s="7">
        <v>27711</v>
      </c>
      <c r="D3984" s="8" t="s">
        <v>8007</v>
      </c>
    </row>
    <row r="3985" spans="1:4" ht="14.25">
      <c r="A3985" s="5">
        <v>13</v>
      </c>
      <c r="B3985" s="6" t="s">
        <v>8008</v>
      </c>
      <c r="C3985" s="7">
        <v>27711</v>
      </c>
      <c r="D3985" s="8" t="s">
        <v>8009</v>
      </c>
    </row>
    <row r="3986" spans="1:4" ht="14.25">
      <c r="A3986" s="5">
        <v>13</v>
      </c>
      <c r="B3986" s="6" t="s">
        <v>8010</v>
      </c>
      <c r="C3986" s="7">
        <v>27711</v>
      </c>
      <c r="D3986" s="8" t="s">
        <v>8011</v>
      </c>
    </row>
    <row r="3987" spans="1:4" ht="14.25">
      <c r="A3987" s="5" t="s">
        <v>484</v>
      </c>
      <c r="B3987" s="6" t="s">
        <v>8012</v>
      </c>
      <c r="C3987" s="7">
        <v>27712</v>
      </c>
      <c r="D3987" s="8" t="s">
        <v>8013</v>
      </c>
    </row>
    <row r="3988" spans="1:4" ht="14.25">
      <c r="A3988" s="5">
        <v>14</v>
      </c>
      <c r="B3988" s="6" t="s">
        <v>8014</v>
      </c>
      <c r="C3988" s="7">
        <v>27712</v>
      </c>
      <c r="D3988" s="8" t="s">
        <v>8015</v>
      </c>
    </row>
    <row r="3989" spans="1:4" ht="14.25">
      <c r="A3989" s="5">
        <v>14</v>
      </c>
      <c r="B3989" s="6" t="s">
        <v>8016</v>
      </c>
      <c r="C3989" s="7">
        <v>27712</v>
      </c>
      <c r="D3989" s="8" t="s">
        <v>8017</v>
      </c>
    </row>
    <row r="3990" spans="1:4" ht="14.25">
      <c r="A3990" s="5">
        <v>14</v>
      </c>
      <c r="B3990" s="6" t="s">
        <v>8018</v>
      </c>
      <c r="C3990" s="7">
        <v>27712</v>
      </c>
      <c r="D3990" s="8" t="s">
        <v>8019</v>
      </c>
    </row>
    <row r="3991" spans="1:4" ht="14.25">
      <c r="A3991" s="5">
        <v>15</v>
      </c>
      <c r="B3991" s="6" t="s">
        <v>8020</v>
      </c>
      <c r="C3991" s="7">
        <v>27713</v>
      </c>
      <c r="D3991" s="8" t="s">
        <v>8021</v>
      </c>
    </row>
    <row r="3992" spans="1:4" ht="14.25">
      <c r="A3992" s="5">
        <v>15</v>
      </c>
      <c r="B3992" s="6" t="s">
        <v>8022</v>
      </c>
      <c r="C3992" s="7">
        <v>27713</v>
      </c>
      <c r="D3992" s="8" t="s">
        <v>8023</v>
      </c>
    </row>
    <row r="3993" spans="1:4" ht="14.25">
      <c r="A3993" s="5" t="s">
        <v>484</v>
      </c>
      <c r="B3993" s="6" t="s">
        <v>8024</v>
      </c>
      <c r="C3993" s="7">
        <v>27714</v>
      </c>
      <c r="D3993" s="8" t="s">
        <v>8025</v>
      </c>
    </row>
    <row r="3994" spans="1:4" ht="14.25">
      <c r="A3994" s="5" t="s">
        <v>167</v>
      </c>
      <c r="B3994" s="6" t="s">
        <v>8026</v>
      </c>
      <c r="C3994" s="7">
        <v>27714</v>
      </c>
      <c r="D3994" s="8" t="s">
        <v>8027</v>
      </c>
    </row>
    <row r="3995" spans="1:4" ht="14.25">
      <c r="A3995" s="5">
        <v>16</v>
      </c>
      <c r="B3995" s="6" t="s">
        <v>8028</v>
      </c>
      <c r="C3995" s="7">
        <v>27714</v>
      </c>
      <c r="D3995" s="8" t="s">
        <v>8029</v>
      </c>
    </row>
    <row r="3996" spans="1:4" ht="14.25">
      <c r="A3996" s="5">
        <v>16</v>
      </c>
      <c r="B3996" s="6" t="s">
        <v>8030</v>
      </c>
      <c r="C3996" s="7">
        <v>27714</v>
      </c>
      <c r="D3996" s="8" t="s">
        <v>8031</v>
      </c>
    </row>
    <row r="3997" spans="1:4" ht="14.25">
      <c r="A3997" s="5">
        <v>16</v>
      </c>
      <c r="B3997" s="6" t="s">
        <v>8032</v>
      </c>
      <c r="C3997" s="7">
        <v>27714</v>
      </c>
      <c r="D3997" s="8" t="s">
        <v>8033</v>
      </c>
    </row>
    <row r="3998" spans="1:4" ht="14.25">
      <c r="A3998" s="5">
        <v>16</v>
      </c>
      <c r="B3998" s="6" t="s">
        <v>8034</v>
      </c>
      <c r="C3998" s="7">
        <v>27714</v>
      </c>
      <c r="D3998" s="8" t="s">
        <v>8035</v>
      </c>
    </row>
    <row r="3999" spans="1:4" ht="14.25">
      <c r="A3999" s="5" t="s">
        <v>209</v>
      </c>
      <c r="B3999" s="6" t="s">
        <v>8036</v>
      </c>
      <c r="C3999" s="7">
        <v>27715</v>
      </c>
      <c r="D3999" s="8" t="s">
        <v>8037</v>
      </c>
    </row>
    <row r="4000" spans="1:4" ht="14.25">
      <c r="A4000" s="5" t="s">
        <v>484</v>
      </c>
      <c r="B4000" s="6" t="s">
        <v>8038</v>
      </c>
      <c r="C4000" s="7">
        <v>27715</v>
      </c>
      <c r="D4000" s="8" t="s">
        <v>8039</v>
      </c>
    </row>
    <row r="4001" spans="1:4" ht="14.25">
      <c r="A4001" s="5">
        <v>17</v>
      </c>
      <c r="B4001" s="6" t="s">
        <v>8040</v>
      </c>
      <c r="C4001" s="7">
        <v>27715</v>
      </c>
      <c r="D4001" s="8" t="s">
        <v>8041</v>
      </c>
    </row>
    <row r="4002" spans="1:4" ht="14.25">
      <c r="A4002" s="5">
        <v>17</v>
      </c>
      <c r="B4002" s="6" t="s">
        <v>8042</v>
      </c>
      <c r="C4002" s="7">
        <v>27715</v>
      </c>
      <c r="D4002" s="8" t="s">
        <v>8043</v>
      </c>
    </row>
    <row r="4003" spans="1:4" ht="14.25">
      <c r="A4003" s="5">
        <v>17</v>
      </c>
      <c r="B4003" s="6" t="s">
        <v>8044</v>
      </c>
      <c r="C4003" s="7">
        <v>27715</v>
      </c>
      <c r="D4003" s="8" t="s">
        <v>8045</v>
      </c>
    </row>
    <row r="4004" spans="1:4" ht="14.25">
      <c r="A4004" s="5">
        <v>17</v>
      </c>
      <c r="B4004" s="6" t="s">
        <v>8046</v>
      </c>
      <c r="C4004" s="7">
        <v>27715</v>
      </c>
      <c r="D4004" s="8" t="s">
        <v>8047</v>
      </c>
    </row>
    <row r="4005" spans="1:4" ht="14.25">
      <c r="A4005" s="5" t="s">
        <v>484</v>
      </c>
      <c r="B4005" s="6" t="s">
        <v>8048</v>
      </c>
      <c r="C4005" s="7">
        <v>27716</v>
      </c>
      <c r="D4005" s="8" t="s">
        <v>8049</v>
      </c>
    </row>
    <row r="4006" spans="1:4" ht="14.25">
      <c r="A4006" s="5" t="s">
        <v>167</v>
      </c>
      <c r="B4006" s="6" t="s">
        <v>8050</v>
      </c>
      <c r="C4006" s="7">
        <v>27716</v>
      </c>
      <c r="D4006" s="8" t="s">
        <v>8051</v>
      </c>
    </row>
    <row r="4007" spans="1:4" ht="14.25">
      <c r="A4007" s="5">
        <v>18</v>
      </c>
      <c r="B4007" s="6" t="s">
        <v>8052</v>
      </c>
      <c r="C4007" s="7">
        <v>27716</v>
      </c>
      <c r="D4007" s="8" t="s">
        <v>8053</v>
      </c>
    </row>
    <row r="4008" spans="1:4" ht="14.25">
      <c r="A4008" s="5">
        <v>18</v>
      </c>
      <c r="B4008" s="6" t="s">
        <v>8054</v>
      </c>
      <c r="C4008" s="7">
        <v>27716</v>
      </c>
      <c r="D4008" s="8" t="s">
        <v>8055</v>
      </c>
    </row>
    <row r="4009" spans="1:4" ht="14.25">
      <c r="A4009" s="5">
        <v>18</v>
      </c>
      <c r="B4009" s="6" t="s">
        <v>8056</v>
      </c>
      <c r="C4009" s="7">
        <v>27716</v>
      </c>
      <c r="D4009" s="8" t="s">
        <v>8057</v>
      </c>
    </row>
    <row r="4010" spans="1:4" ht="14.25">
      <c r="A4010" s="5">
        <v>18</v>
      </c>
      <c r="B4010" s="6" t="s">
        <v>8058</v>
      </c>
      <c r="C4010" s="7">
        <v>27716</v>
      </c>
      <c r="D4010" s="8" t="s">
        <v>8059</v>
      </c>
    </row>
    <row r="4011" spans="1:4" ht="14.25">
      <c r="A4011" s="5" t="s">
        <v>484</v>
      </c>
      <c r="B4011" s="6" t="s">
        <v>8060</v>
      </c>
      <c r="C4011" s="7">
        <v>27717</v>
      </c>
      <c r="D4011" s="8" t="s">
        <v>8061</v>
      </c>
    </row>
    <row r="4012" spans="1:4" ht="14.25">
      <c r="A4012" s="5">
        <v>19</v>
      </c>
      <c r="B4012" s="6" t="s">
        <v>8062</v>
      </c>
      <c r="C4012" s="7">
        <v>27717</v>
      </c>
      <c r="D4012" s="8" t="s">
        <v>8063</v>
      </c>
    </row>
    <row r="4013" spans="1:4" ht="14.25">
      <c r="A4013" s="5">
        <v>19</v>
      </c>
      <c r="B4013" s="6" t="s">
        <v>8064</v>
      </c>
      <c r="C4013" s="7">
        <v>27717</v>
      </c>
      <c r="D4013" s="8" t="s">
        <v>8065</v>
      </c>
    </row>
    <row r="4014" spans="1:4" ht="14.25">
      <c r="A4014" s="5" t="s">
        <v>484</v>
      </c>
      <c r="B4014" s="6" t="s">
        <v>8066</v>
      </c>
      <c r="C4014" s="7">
        <v>27718</v>
      </c>
      <c r="D4014" s="8" t="s">
        <v>8067</v>
      </c>
    </row>
    <row r="4015" spans="1:4" ht="14.25">
      <c r="A4015" s="5">
        <v>20</v>
      </c>
      <c r="B4015" s="6" t="s">
        <v>8068</v>
      </c>
      <c r="C4015" s="7">
        <v>27718</v>
      </c>
      <c r="D4015" s="8" t="s">
        <v>8069</v>
      </c>
    </row>
    <row r="4016" spans="1:4" ht="14.25">
      <c r="A4016" s="5">
        <v>20</v>
      </c>
      <c r="B4016" s="6" t="s">
        <v>8070</v>
      </c>
      <c r="C4016" s="7">
        <v>27718</v>
      </c>
      <c r="D4016" s="8" t="s">
        <v>8071</v>
      </c>
    </row>
    <row r="4017" spans="1:4" ht="14.25">
      <c r="A4017" s="5" t="s">
        <v>484</v>
      </c>
      <c r="B4017" s="6" t="s">
        <v>8072</v>
      </c>
      <c r="C4017" s="7">
        <v>27719</v>
      </c>
      <c r="D4017" s="8" t="s">
        <v>8073</v>
      </c>
    </row>
    <row r="4018" spans="1:4" ht="14.25">
      <c r="A4018" s="5">
        <v>21</v>
      </c>
      <c r="B4018" s="6" t="s">
        <v>8074</v>
      </c>
      <c r="C4018" s="7">
        <v>27719</v>
      </c>
      <c r="D4018" s="8" t="s">
        <v>8075</v>
      </c>
    </row>
    <row r="4019" spans="1:4" ht="14.25">
      <c r="A4019" s="5">
        <v>21</v>
      </c>
      <c r="B4019" s="6" t="s">
        <v>8076</v>
      </c>
      <c r="C4019" s="7">
        <v>27719</v>
      </c>
      <c r="D4019" s="8" t="s">
        <v>8077</v>
      </c>
    </row>
    <row r="4020" spans="1:4" ht="14.25">
      <c r="A4020" s="5" t="s">
        <v>209</v>
      </c>
      <c r="B4020" s="6" t="s">
        <v>8078</v>
      </c>
      <c r="C4020" s="7">
        <v>27722</v>
      </c>
      <c r="D4020" s="8" t="s">
        <v>8079</v>
      </c>
    </row>
    <row r="4021" spans="1:4" ht="14.25">
      <c r="A4021" s="5" t="s">
        <v>484</v>
      </c>
      <c r="B4021" s="6" t="s">
        <v>8080</v>
      </c>
      <c r="C4021" s="7">
        <v>27722</v>
      </c>
      <c r="D4021" s="8" t="s">
        <v>8081</v>
      </c>
    </row>
    <row r="4022" spans="1:4" ht="14.25">
      <c r="A4022" s="5">
        <v>24</v>
      </c>
      <c r="B4022" s="6" t="s">
        <v>8082</v>
      </c>
      <c r="C4022" s="7">
        <v>27722</v>
      </c>
      <c r="D4022" s="8" t="s">
        <v>8083</v>
      </c>
    </row>
    <row r="4023" spans="1:4" ht="14.25">
      <c r="A4023" s="5">
        <v>24</v>
      </c>
      <c r="B4023" s="6" t="s">
        <v>8084</v>
      </c>
      <c r="C4023" s="7">
        <v>27722</v>
      </c>
      <c r="D4023" s="8" t="s">
        <v>8085</v>
      </c>
    </row>
    <row r="4024" spans="1:4" ht="14.25">
      <c r="A4024" s="5">
        <v>24</v>
      </c>
      <c r="B4024" s="6" t="s">
        <v>8086</v>
      </c>
      <c r="C4024" s="7">
        <v>27722</v>
      </c>
      <c r="D4024" s="8" t="s">
        <v>8087</v>
      </c>
    </row>
    <row r="4025" spans="1:4" ht="14.25">
      <c r="A4025" s="5">
        <v>24</v>
      </c>
      <c r="B4025" s="6" t="s">
        <v>8088</v>
      </c>
      <c r="C4025" s="7">
        <v>27722</v>
      </c>
      <c r="D4025" s="8" t="s">
        <v>8089</v>
      </c>
    </row>
    <row r="4026" spans="1:4" ht="14.25">
      <c r="A4026" s="5">
        <v>25</v>
      </c>
      <c r="B4026" s="6" t="s">
        <v>8090</v>
      </c>
      <c r="C4026" s="7">
        <v>27723</v>
      </c>
      <c r="D4026" s="8" t="s">
        <v>8091</v>
      </c>
    </row>
    <row r="4027" spans="1:4" ht="14.25">
      <c r="A4027" s="5" t="s">
        <v>484</v>
      </c>
      <c r="B4027" s="6" t="s">
        <v>8092</v>
      </c>
      <c r="C4027" s="7">
        <v>27724</v>
      </c>
      <c r="D4027" s="8" t="s">
        <v>8093</v>
      </c>
    </row>
    <row r="4028" spans="1:4" ht="14.25">
      <c r="A4028" s="5">
        <v>26</v>
      </c>
      <c r="B4028" s="6" t="s">
        <v>8094</v>
      </c>
      <c r="C4028" s="7">
        <v>27724</v>
      </c>
      <c r="D4028" s="8" t="s">
        <v>8095</v>
      </c>
    </row>
    <row r="4029" spans="1:4" ht="14.25">
      <c r="A4029" s="5">
        <v>26</v>
      </c>
      <c r="B4029" s="6" t="s">
        <v>8096</v>
      </c>
      <c r="C4029" s="7">
        <v>27724</v>
      </c>
      <c r="D4029" s="8" t="s">
        <v>8097</v>
      </c>
    </row>
    <row r="4030" spans="1:4" ht="14.25">
      <c r="A4030" s="5" t="s">
        <v>968</v>
      </c>
      <c r="B4030" s="6" t="s">
        <v>8098</v>
      </c>
      <c r="C4030" s="7">
        <v>27726</v>
      </c>
      <c r="D4030" s="8" t="s">
        <v>8099</v>
      </c>
    </row>
    <row r="4031" spans="1:4" ht="14.25">
      <c r="A4031" s="5">
        <v>28</v>
      </c>
      <c r="B4031" s="6" t="s">
        <v>8100</v>
      </c>
      <c r="C4031" s="7">
        <v>27726</v>
      </c>
      <c r="D4031" s="8" t="s">
        <v>8101</v>
      </c>
    </row>
    <row r="4032" spans="1:4" ht="14.25">
      <c r="A4032" s="5">
        <v>28</v>
      </c>
      <c r="B4032" s="6" t="s">
        <v>8102</v>
      </c>
      <c r="C4032" s="7">
        <v>27726</v>
      </c>
      <c r="D4032" s="8" t="s">
        <v>8103</v>
      </c>
    </row>
    <row r="4033" spans="1:4" ht="14.25">
      <c r="A4033" s="5" t="s">
        <v>484</v>
      </c>
      <c r="B4033" s="6" t="s">
        <v>8104</v>
      </c>
      <c r="C4033" s="7">
        <v>27727</v>
      </c>
      <c r="D4033" s="8" t="s">
        <v>8105</v>
      </c>
    </row>
    <row r="4034" spans="1:4" ht="14.25">
      <c r="A4034" s="5">
        <v>29</v>
      </c>
      <c r="B4034" s="6" t="s">
        <v>8106</v>
      </c>
      <c r="C4034" s="7">
        <v>27727</v>
      </c>
      <c r="D4034" s="8" t="s">
        <v>8107</v>
      </c>
    </row>
    <row r="4035" spans="1:4" ht="14.25">
      <c r="A4035" s="5">
        <v>29</v>
      </c>
      <c r="B4035" s="6" t="s">
        <v>8108</v>
      </c>
      <c r="C4035" s="7">
        <v>27727</v>
      </c>
      <c r="D4035" s="8" t="s">
        <v>8109</v>
      </c>
    </row>
    <row r="4036" spans="1:4" ht="14.25">
      <c r="A4036" s="5" t="s">
        <v>484</v>
      </c>
      <c r="B4036" s="6" t="s">
        <v>8110</v>
      </c>
      <c r="C4036" s="7">
        <v>27728</v>
      </c>
      <c r="D4036" s="8" t="s">
        <v>8111</v>
      </c>
    </row>
    <row r="4037" spans="1:4" ht="14.25">
      <c r="A4037" s="5">
        <v>30</v>
      </c>
      <c r="B4037" s="6" t="s">
        <v>8112</v>
      </c>
      <c r="C4037" s="7">
        <v>27728</v>
      </c>
      <c r="D4037" s="8" t="s">
        <v>8113</v>
      </c>
    </row>
    <row r="4038" spans="1:4" ht="14.25">
      <c r="A4038" s="5">
        <v>30</v>
      </c>
      <c r="B4038" s="6" t="s">
        <v>8114</v>
      </c>
      <c r="C4038" s="7">
        <v>27728</v>
      </c>
      <c r="D4038" s="8" t="s">
        <v>8115</v>
      </c>
    </row>
    <row r="4039" spans="1:4" ht="14.25">
      <c r="A4039" s="5" t="s">
        <v>454</v>
      </c>
      <c r="B4039" s="6" t="s">
        <v>8116</v>
      </c>
      <c r="C4039" s="7">
        <v>27730</v>
      </c>
      <c r="D4039" s="8" t="s">
        <v>8117</v>
      </c>
    </row>
    <row r="4040" spans="1:4" ht="14.25">
      <c r="A4040" s="5">
        <v>2</v>
      </c>
      <c r="B4040" s="6" t="s">
        <v>8118</v>
      </c>
      <c r="C4040" s="7">
        <v>27730</v>
      </c>
      <c r="D4040" s="8" t="s">
        <v>8119</v>
      </c>
    </row>
    <row r="4041" spans="1:4" ht="14.25">
      <c r="A4041" s="5">
        <v>2</v>
      </c>
      <c r="B4041" s="6" t="s">
        <v>8120</v>
      </c>
      <c r="C4041" s="7">
        <v>27730</v>
      </c>
      <c r="D4041" s="8" t="s">
        <v>8121</v>
      </c>
    </row>
    <row r="4042" spans="1:4" ht="14.25">
      <c r="A4042" s="5" t="s">
        <v>484</v>
      </c>
      <c r="B4042" s="6" t="s">
        <v>8122</v>
      </c>
      <c r="C4042" s="7">
        <v>27731</v>
      </c>
      <c r="D4042" s="8" t="s">
        <v>8123</v>
      </c>
    </row>
    <row r="4043" spans="1:4" ht="14.25">
      <c r="A4043" s="5" t="s">
        <v>454</v>
      </c>
      <c r="B4043" s="6" t="s">
        <v>8124</v>
      </c>
      <c r="C4043" s="7">
        <v>27731</v>
      </c>
      <c r="D4043" s="8" t="s">
        <v>8125</v>
      </c>
    </row>
    <row r="4044" spans="1:4" ht="14.25">
      <c r="A4044" s="5">
        <v>3</v>
      </c>
      <c r="B4044" s="6" t="s">
        <v>8126</v>
      </c>
      <c r="C4044" s="7">
        <v>27731</v>
      </c>
      <c r="D4044" s="8" t="s">
        <v>8127</v>
      </c>
    </row>
    <row r="4045" spans="1:4" ht="14.25">
      <c r="A4045" s="5">
        <v>3</v>
      </c>
      <c r="B4045" s="6" t="s">
        <v>8128</v>
      </c>
      <c r="C4045" s="7">
        <v>27731</v>
      </c>
      <c r="D4045" s="8" t="s">
        <v>8129</v>
      </c>
    </row>
    <row r="4046" spans="1:4" ht="14.25">
      <c r="A4046" s="5">
        <v>3</v>
      </c>
      <c r="B4046" s="6" t="s">
        <v>8130</v>
      </c>
      <c r="C4046" s="7">
        <v>27731</v>
      </c>
      <c r="D4046" s="8" t="s">
        <v>8131</v>
      </c>
    </row>
    <row r="4047" spans="1:4" ht="14.25">
      <c r="A4047" s="5">
        <v>3</v>
      </c>
      <c r="B4047" s="6" t="s">
        <v>8132</v>
      </c>
      <c r="C4047" s="7">
        <v>27731</v>
      </c>
      <c r="D4047" s="8" t="s">
        <v>8133</v>
      </c>
    </row>
    <row r="4048" spans="1:4" ht="14.25">
      <c r="A4048" s="5" t="s">
        <v>484</v>
      </c>
      <c r="B4048" s="6" t="s">
        <v>8134</v>
      </c>
      <c r="C4048" s="7">
        <v>27732</v>
      </c>
      <c r="D4048" s="8" t="s">
        <v>8135</v>
      </c>
    </row>
    <row r="4049" spans="1:4" ht="14.25">
      <c r="A4049" s="5" t="s">
        <v>454</v>
      </c>
      <c r="B4049" s="6" t="s">
        <v>8136</v>
      </c>
      <c r="C4049" s="7">
        <v>27732</v>
      </c>
      <c r="D4049" s="8" t="s">
        <v>8137</v>
      </c>
    </row>
    <row r="4050" spans="1:4" ht="14.25">
      <c r="A4050" s="5">
        <v>4</v>
      </c>
      <c r="B4050" s="6" t="s">
        <v>8138</v>
      </c>
      <c r="C4050" s="7">
        <v>27732</v>
      </c>
      <c r="D4050" s="8" t="s">
        <v>8139</v>
      </c>
    </row>
    <row r="4051" spans="1:4" ht="14.25">
      <c r="A4051" s="5">
        <v>4</v>
      </c>
      <c r="B4051" s="6" t="s">
        <v>8140</v>
      </c>
      <c r="C4051" s="7">
        <v>27732</v>
      </c>
      <c r="D4051" s="8" t="s">
        <v>8141</v>
      </c>
    </row>
    <row r="4052" spans="1:4" ht="14.25">
      <c r="A4052" s="5">
        <v>4</v>
      </c>
      <c r="B4052" s="6" t="s">
        <v>8142</v>
      </c>
      <c r="C4052" s="7">
        <v>27732</v>
      </c>
      <c r="D4052" s="8" t="s">
        <v>8143</v>
      </c>
    </row>
    <row r="4053" spans="1:4" ht="14.25">
      <c r="A4053" s="5">
        <v>4</v>
      </c>
      <c r="B4053" s="6" t="s">
        <v>8144</v>
      </c>
      <c r="C4053" s="7">
        <v>27732</v>
      </c>
      <c r="D4053" s="8" t="s">
        <v>8145</v>
      </c>
    </row>
    <row r="4054" spans="1:4" ht="14.25">
      <c r="A4054" s="5" t="s">
        <v>454</v>
      </c>
      <c r="B4054" s="6" t="s">
        <v>8146</v>
      </c>
      <c r="C4054" s="7">
        <v>27733</v>
      </c>
      <c r="D4054" s="8" t="s">
        <v>8147</v>
      </c>
    </row>
    <row r="4055" spans="1:4" ht="14.25">
      <c r="A4055" s="5">
        <v>5</v>
      </c>
      <c r="B4055" s="6" t="s">
        <v>8148</v>
      </c>
      <c r="C4055" s="7">
        <v>27733</v>
      </c>
      <c r="D4055" s="8" t="s">
        <v>8149</v>
      </c>
    </row>
    <row r="4056" spans="1:4" ht="14.25">
      <c r="A4056" s="5">
        <v>5</v>
      </c>
      <c r="B4056" s="6" t="s">
        <v>8150</v>
      </c>
      <c r="C4056" s="7">
        <v>27733</v>
      </c>
      <c r="D4056" s="8" t="s">
        <v>8151</v>
      </c>
    </row>
    <row r="4057" spans="1:4" ht="14.25">
      <c r="A4057" s="5">
        <v>6</v>
      </c>
      <c r="B4057" s="6" t="s">
        <v>8152</v>
      </c>
      <c r="C4057" s="7">
        <v>27734</v>
      </c>
      <c r="D4057" s="8" t="s">
        <v>8153</v>
      </c>
    </row>
    <row r="4058" spans="1:4" ht="14.25">
      <c r="A4058" s="5" t="s">
        <v>484</v>
      </c>
      <c r="B4058" s="6" t="s">
        <v>8154</v>
      </c>
      <c r="C4058" s="7">
        <v>27735</v>
      </c>
      <c r="D4058" s="8" t="s">
        <v>8155</v>
      </c>
    </row>
    <row r="4059" spans="1:4" ht="14.25">
      <c r="A4059" s="5" t="s">
        <v>454</v>
      </c>
      <c r="B4059" s="6" t="s">
        <v>8156</v>
      </c>
      <c r="C4059" s="7">
        <v>27735</v>
      </c>
      <c r="D4059" s="8" t="s">
        <v>8157</v>
      </c>
    </row>
    <row r="4060" spans="1:4" ht="14.25">
      <c r="A4060" s="5">
        <v>7</v>
      </c>
      <c r="B4060" s="6" t="s">
        <v>8158</v>
      </c>
      <c r="C4060" s="7">
        <v>27735</v>
      </c>
      <c r="D4060" s="8" t="s">
        <v>8159</v>
      </c>
    </row>
    <row r="4061" spans="1:4" ht="14.25">
      <c r="A4061" s="5">
        <v>7</v>
      </c>
      <c r="B4061" s="6" t="s">
        <v>8160</v>
      </c>
      <c r="C4061" s="7">
        <v>27735</v>
      </c>
      <c r="D4061" s="8" t="s">
        <v>8161</v>
      </c>
    </row>
    <row r="4062" spans="1:4" ht="14.25">
      <c r="A4062" s="5">
        <v>7</v>
      </c>
      <c r="B4062" s="6" t="s">
        <v>8162</v>
      </c>
      <c r="C4062" s="7">
        <v>27735</v>
      </c>
      <c r="D4062" s="8" t="s">
        <v>8163</v>
      </c>
    </row>
    <row r="4063" spans="1:4" ht="14.25">
      <c r="A4063" s="5">
        <v>7</v>
      </c>
      <c r="B4063" s="6" t="s">
        <v>8164</v>
      </c>
      <c r="C4063" s="7">
        <v>27735</v>
      </c>
      <c r="D4063" s="8" t="s">
        <v>8165</v>
      </c>
    </row>
    <row r="4064" spans="1:4" ht="14.25">
      <c r="A4064" s="5" t="s">
        <v>454</v>
      </c>
      <c r="B4064" s="6" t="s">
        <v>8166</v>
      </c>
      <c r="C4064" s="7">
        <v>27736</v>
      </c>
      <c r="D4064" s="8" t="s">
        <v>8167</v>
      </c>
    </row>
    <row r="4065" spans="1:4" ht="14.25">
      <c r="A4065" s="5">
        <v>8</v>
      </c>
      <c r="B4065" s="6" t="s">
        <v>8168</v>
      </c>
      <c r="C4065" s="7">
        <v>27736</v>
      </c>
      <c r="D4065" s="8" t="s">
        <v>8169</v>
      </c>
    </row>
    <row r="4066" spans="1:4" ht="14.25">
      <c r="A4066" s="5">
        <v>8</v>
      </c>
      <c r="B4066" s="6" t="s">
        <v>8170</v>
      </c>
      <c r="C4066" s="7">
        <v>27736</v>
      </c>
      <c r="D4066" s="8" t="s">
        <v>8171</v>
      </c>
    </row>
    <row r="4067" spans="1:4" ht="14.25">
      <c r="A4067" s="5" t="s">
        <v>454</v>
      </c>
      <c r="B4067" s="6" t="s">
        <v>8172</v>
      </c>
      <c r="C4067" s="7">
        <v>27737</v>
      </c>
      <c r="D4067" s="8" t="s">
        <v>8173</v>
      </c>
    </row>
    <row r="4068" spans="1:4" ht="14.25">
      <c r="A4068" s="5">
        <v>9</v>
      </c>
      <c r="B4068" s="6" t="s">
        <v>8174</v>
      </c>
      <c r="C4068" s="7">
        <v>27737</v>
      </c>
      <c r="D4068" s="8" t="s">
        <v>8175</v>
      </c>
    </row>
    <row r="4069" spans="1:4" ht="14.25">
      <c r="A4069" s="5">
        <v>9</v>
      </c>
      <c r="B4069" s="6" t="s">
        <v>8176</v>
      </c>
      <c r="C4069" s="7">
        <v>27737</v>
      </c>
      <c r="D4069" s="8" t="s">
        <v>8177</v>
      </c>
    </row>
    <row r="4070" spans="1:4" ht="14.25">
      <c r="A4070" s="5">
        <v>9</v>
      </c>
      <c r="B4070" s="6" t="s">
        <v>8178</v>
      </c>
      <c r="C4070" s="7">
        <v>27737</v>
      </c>
      <c r="D4070" s="8" t="s">
        <v>8179</v>
      </c>
    </row>
    <row r="4071" spans="1:4" ht="14.25">
      <c r="A4071" s="5" t="s">
        <v>484</v>
      </c>
      <c r="B4071" s="6" t="s">
        <v>8180</v>
      </c>
      <c r="C4071" s="7">
        <v>27738</v>
      </c>
      <c r="D4071" s="8" t="s">
        <v>8181</v>
      </c>
    </row>
    <row r="4072" spans="1:4" ht="14.25">
      <c r="A4072" s="5" t="s">
        <v>454</v>
      </c>
      <c r="B4072" s="6" t="s">
        <v>8182</v>
      </c>
      <c r="C4072" s="7">
        <v>27738</v>
      </c>
      <c r="D4072" s="8" t="s">
        <v>8183</v>
      </c>
    </row>
    <row r="4073" spans="1:4" ht="14.25">
      <c r="A4073" s="5">
        <v>10</v>
      </c>
      <c r="B4073" s="6" t="s">
        <v>8184</v>
      </c>
      <c r="C4073" s="7">
        <v>27738</v>
      </c>
      <c r="D4073" s="8" t="s">
        <v>8185</v>
      </c>
    </row>
    <row r="4074" spans="1:4" ht="14.25">
      <c r="A4074" s="5">
        <v>10</v>
      </c>
      <c r="B4074" s="6" t="s">
        <v>8186</v>
      </c>
      <c r="C4074" s="7">
        <v>27738</v>
      </c>
      <c r="D4074" s="8" t="s">
        <v>8187</v>
      </c>
    </row>
    <row r="4075" spans="1:4" ht="14.25">
      <c r="A4075" s="5">
        <v>10</v>
      </c>
      <c r="B4075" s="6" t="s">
        <v>8188</v>
      </c>
      <c r="C4075" s="7">
        <v>27738</v>
      </c>
      <c r="D4075" s="8" t="s">
        <v>8189</v>
      </c>
    </row>
    <row r="4076" spans="1:4" ht="14.25">
      <c r="A4076" s="5">
        <v>10</v>
      </c>
      <c r="B4076" s="6" t="s">
        <v>8190</v>
      </c>
      <c r="C4076" s="7">
        <v>27738</v>
      </c>
      <c r="D4076" s="8" t="s">
        <v>8191</v>
      </c>
    </row>
    <row r="4077" spans="1:4" ht="14.25">
      <c r="A4077" s="5" t="s">
        <v>484</v>
      </c>
      <c r="B4077" s="6" t="s">
        <v>8192</v>
      </c>
      <c r="C4077" s="7">
        <v>27739</v>
      </c>
      <c r="D4077" s="8" t="s">
        <v>8193</v>
      </c>
    </row>
    <row r="4078" spans="1:4" ht="14.25">
      <c r="A4078" s="5" t="s">
        <v>454</v>
      </c>
      <c r="B4078" s="6" t="s">
        <v>8194</v>
      </c>
      <c r="C4078" s="7">
        <v>27739</v>
      </c>
      <c r="D4078" s="8" t="s">
        <v>8195</v>
      </c>
    </row>
    <row r="4079" spans="1:4" ht="14.25">
      <c r="A4079" s="5">
        <v>11</v>
      </c>
      <c r="B4079" s="6" t="s">
        <v>8196</v>
      </c>
      <c r="C4079" s="7">
        <v>27739</v>
      </c>
      <c r="D4079" s="8" t="s">
        <v>8197</v>
      </c>
    </row>
    <row r="4080" spans="1:4" ht="14.25">
      <c r="A4080" s="5">
        <v>11</v>
      </c>
      <c r="B4080" s="6" t="s">
        <v>8198</v>
      </c>
      <c r="C4080" s="7">
        <v>27739</v>
      </c>
      <c r="D4080" s="8" t="s">
        <v>8199</v>
      </c>
    </row>
    <row r="4081" spans="1:4" ht="14.25">
      <c r="A4081" s="5">
        <v>11</v>
      </c>
      <c r="B4081" s="6" t="s">
        <v>8200</v>
      </c>
      <c r="C4081" s="7">
        <v>27739</v>
      </c>
      <c r="D4081" s="8" t="s">
        <v>8201</v>
      </c>
    </row>
    <row r="4082" spans="1:4" ht="14.25">
      <c r="A4082" s="5">
        <v>11</v>
      </c>
      <c r="B4082" s="6" t="s">
        <v>8202</v>
      </c>
      <c r="C4082" s="7">
        <v>27739</v>
      </c>
      <c r="D4082" s="8" t="s">
        <v>8203</v>
      </c>
    </row>
    <row r="4083" spans="1:4" ht="14.25">
      <c r="A4083" s="5" t="s">
        <v>484</v>
      </c>
      <c r="B4083" s="6" t="s">
        <v>8204</v>
      </c>
      <c r="C4083" s="7">
        <v>27740</v>
      </c>
      <c r="D4083" s="8" t="s">
        <v>8205</v>
      </c>
    </row>
    <row r="4084" spans="1:4" ht="14.25">
      <c r="A4084" s="5" t="s">
        <v>454</v>
      </c>
      <c r="B4084" s="6" t="s">
        <v>8206</v>
      </c>
      <c r="C4084" s="7">
        <v>27740</v>
      </c>
      <c r="D4084" s="8" t="s">
        <v>8207</v>
      </c>
    </row>
    <row r="4085" spans="1:4" ht="14.25">
      <c r="A4085" s="5">
        <v>12</v>
      </c>
      <c r="B4085" s="6" t="s">
        <v>8208</v>
      </c>
      <c r="C4085" s="7">
        <v>27740</v>
      </c>
      <c r="D4085" s="8" t="s">
        <v>8209</v>
      </c>
    </row>
    <row r="4086" spans="1:4" ht="14.25">
      <c r="A4086" s="5">
        <v>12</v>
      </c>
      <c r="B4086" s="6" t="s">
        <v>8210</v>
      </c>
      <c r="C4086" s="7">
        <v>27740</v>
      </c>
      <c r="D4086" s="8" t="s">
        <v>8211</v>
      </c>
    </row>
    <row r="4087" spans="1:4" ht="14.25">
      <c r="A4087" s="5">
        <v>12</v>
      </c>
      <c r="B4087" s="6" t="s">
        <v>8212</v>
      </c>
      <c r="C4087" s="7">
        <v>27740</v>
      </c>
      <c r="D4087" s="8" t="s">
        <v>8213</v>
      </c>
    </row>
    <row r="4088" spans="1:4" ht="14.25">
      <c r="A4088" s="5">
        <v>12</v>
      </c>
      <c r="B4088" s="6" t="s">
        <v>8214</v>
      </c>
      <c r="C4088" s="7">
        <v>27740</v>
      </c>
      <c r="D4088" s="8" t="s">
        <v>8215</v>
      </c>
    </row>
    <row r="4089" spans="1:4" ht="14.25">
      <c r="A4089" s="5" t="s">
        <v>484</v>
      </c>
      <c r="B4089" s="6" t="s">
        <v>8216</v>
      </c>
      <c r="C4089" s="7">
        <v>27742</v>
      </c>
      <c r="D4089" s="8" t="s">
        <v>8217</v>
      </c>
    </row>
    <row r="4090" spans="1:4" ht="14.25">
      <c r="A4090" s="5" t="s">
        <v>463</v>
      </c>
      <c r="B4090" s="6" t="s">
        <v>8218</v>
      </c>
      <c r="C4090" s="7">
        <v>27742</v>
      </c>
      <c r="D4090" s="8" t="s">
        <v>8219</v>
      </c>
    </row>
    <row r="4091" spans="1:4" ht="14.25">
      <c r="A4091" s="5">
        <v>14</v>
      </c>
      <c r="B4091" s="6" t="s">
        <v>8220</v>
      </c>
      <c r="C4091" s="7">
        <v>27742</v>
      </c>
      <c r="D4091" s="8" t="s">
        <v>8221</v>
      </c>
    </row>
    <row r="4092" spans="1:4" ht="14.25">
      <c r="A4092" s="5">
        <v>14</v>
      </c>
      <c r="B4092" s="6" t="s">
        <v>8222</v>
      </c>
      <c r="C4092" s="7">
        <v>27742</v>
      </c>
      <c r="D4092" s="8" t="s">
        <v>8223</v>
      </c>
    </row>
    <row r="4093" spans="1:4" ht="14.25">
      <c r="A4093" s="5">
        <v>14</v>
      </c>
      <c r="B4093" s="6" t="s">
        <v>8224</v>
      </c>
      <c r="C4093" s="7">
        <v>27742</v>
      </c>
      <c r="D4093" s="8" t="s">
        <v>8225</v>
      </c>
    </row>
    <row r="4094" spans="1:4" ht="14.25">
      <c r="A4094" s="5">
        <v>14</v>
      </c>
      <c r="B4094" s="6" t="s">
        <v>8226</v>
      </c>
      <c r="C4094" s="7">
        <v>27742</v>
      </c>
      <c r="D4094" s="8" t="s">
        <v>8227</v>
      </c>
    </row>
    <row r="4095" spans="1:4" ht="14.25">
      <c r="A4095" s="5" t="s">
        <v>484</v>
      </c>
      <c r="B4095" s="6" t="s">
        <v>8228</v>
      </c>
      <c r="C4095" s="7">
        <v>27744</v>
      </c>
      <c r="D4095" s="8" t="s">
        <v>8229</v>
      </c>
    </row>
    <row r="4096" spans="1:4" ht="14.25">
      <c r="A4096" s="5">
        <v>16</v>
      </c>
      <c r="B4096" s="6" t="s">
        <v>8230</v>
      </c>
      <c r="C4096" s="7">
        <v>27744</v>
      </c>
      <c r="D4096" s="8" t="s">
        <v>8231</v>
      </c>
    </row>
    <row r="4097" spans="1:4" ht="14.25">
      <c r="A4097" s="5">
        <v>16</v>
      </c>
      <c r="B4097" s="6" t="s">
        <v>8232</v>
      </c>
      <c r="C4097" s="7">
        <v>27744</v>
      </c>
      <c r="D4097" s="8" t="s">
        <v>8233</v>
      </c>
    </row>
    <row r="4098" spans="1:4" ht="14.25">
      <c r="A4098" s="5">
        <v>16</v>
      </c>
      <c r="B4098" s="6" t="s">
        <v>8234</v>
      </c>
      <c r="C4098" s="7">
        <v>27744</v>
      </c>
      <c r="D4098" s="8" t="s">
        <v>8235</v>
      </c>
    </row>
    <row r="4099" spans="1:4" ht="14.25">
      <c r="A4099" s="5" t="s">
        <v>484</v>
      </c>
      <c r="B4099" s="6" t="s">
        <v>8236</v>
      </c>
      <c r="C4099" s="7">
        <v>27745</v>
      </c>
      <c r="D4099" s="8" t="s">
        <v>8237</v>
      </c>
    </row>
    <row r="4100" spans="1:4" ht="14.25">
      <c r="A4100" s="5" t="s">
        <v>454</v>
      </c>
      <c r="B4100" s="6" t="s">
        <v>8238</v>
      </c>
      <c r="C4100" s="7">
        <v>27745</v>
      </c>
      <c r="D4100" s="8" t="s">
        <v>8239</v>
      </c>
    </row>
    <row r="4101" spans="1:4" ht="14.25">
      <c r="A4101" s="5">
        <v>17</v>
      </c>
      <c r="B4101" s="6" t="s">
        <v>8240</v>
      </c>
      <c r="C4101" s="7">
        <v>27745</v>
      </c>
      <c r="D4101" s="8" t="s">
        <v>8241</v>
      </c>
    </row>
    <row r="4102" spans="1:4" ht="14.25">
      <c r="A4102" s="5">
        <v>17</v>
      </c>
      <c r="B4102" s="6" t="s">
        <v>8242</v>
      </c>
      <c r="C4102" s="7">
        <v>27745</v>
      </c>
      <c r="D4102" s="8" t="s">
        <v>8243</v>
      </c>
    </row>
    <row r="4103" spans="1:4" ht="14.25">
      <c r="A4103" s="5">
        <v>17</v>
      </c>
      <c r="B4103" s="6" t="s">
        <v>8244</v>
      </c>
      <c r="C4103" s="7">
        <v>27745</v>
      </c>
      <c r="D4103" s="8" t="s">
        <v>8245</v>
      </c>
    </row>
    <row r="4104" spans="1:4" ht="14.25">
      <c r="A4104" s="5">
        <v>18</v>
      </c>
      <c r="B4104" s="6" t="s">
        <v>8246</v>
      </c>
      <c r="C4104" s="7">
        <v>27746</v>
      </c>
      <c r="D4104" s="8" t="s">
        <v>8247</v>
      </c>
    </row>
    <row r="4105" spans="1:4" ht="14.25">
      <c r="A4105" s="5">
        <v>19</v>
      </c>
      <c r="B4105" s="6" t="s">
        <v>8248</v>
      </c>
      <c r="C4105" s="7">
        <v>27747</v>
      </c>
      <c r="D4105" s="8" t="s">
        <v>8249</v>
      </c>
    </row>
    <row r="4106" spans="1:4" ht="14.25">
      <c r="A4106" s="5" t="s">
        <v>184</v>
      </c>
      <c r="B4106" s="6" t="s">
        <v>8250</v>
      </c>
      <c r="C4106" s="7">
        <v>27748</v>
      </c>
      <c r="D4106" s="8" t="s">
        <v>8251</v>
      </c>
    </row>
    <row r="4107" spans="1:4" ht="14.25">
      <c r="A4107" s="5" t="s">
        <v>484</v>
      </c>
      <c r="B4107" s="6" t="s">
        <v>8252</v>
      </c>
      <c r="C4107" s="7">
        <v>27748</v>
      </c>
      <c r="D4107" s="8" t="s">
        <v>8253</v>
      </c>
    </row>
    <row r="4108" spans="1:4" ht="14.25">
      <c r="A4108" s="5">
        <v>20</v>
      </c>
      <c r="B4108" s="6" t="s">
        <v>8254</v>
      </c>
      <c r="C4108" s="7">
        <v>27748</v>
      </c>
      <c r="D4108" s="8" t="s">
        <v>8255</v>
      </c>
    </row>
    <row r="4109" spans="1:4" ht="14.25">
      <c r="A4109" s="5">
        <v>20</v>
      </c>
      <c r="B4109" s="6" t="s">
        <v>8256</v>
      </c>
      <c r="C4109" s="7">
        <v>27748</v>
      </c>
      <c r="D4109" s="8" t="s">
        <v>8257</v>
      </c>
    </row>
    <row r="4110" spans="1:4" ht="14.25">
      <c r="A4110" s="5">
        <v>20</v>
      </c>
      <c r="B4110" s="6" t="s">
        <v>8258</v>
      </c>
      <c r="C4110" s="7">
        <v>27748</v>
      </c>
      <c r="D4110" s="8" t="s">
        <v>8259</v>
      </c>
    </row>
    <row r="4111" spans="1:4" ht="14.25">
      <c r="A4111" s="5">
        <v>20</v>
      </c>
      <c r="B4111" s="6" t="s">
        <v>8260</v>
      </c>
      <c r="C4111" s="7">
        <v>27748</v>
      </c>
      <c r="D4111" s="8" t="s">
        <v>8261</v>
      </c>
    </row>
    <row r="4112" spans="1:4" ht="14.25">
      <c r="A4112" s="5" t="s">
        <v>1148</v>
      </c>
      <c r="B4112" s="6" t="s">
        <v>8262</v>
      </c>
      <c r="C4112" s="7">
        <v>27750</v>
      </c>
      <c r="D4112" s="8" t="s">
        <v>8263</v>
      </c>
    </row>
    <row r="4113" spans="1:4" ht="14.25">
      <c r="A4113" s="5" t="s">
        <v>197</v>
      </c>
      <c r="B4113" s="6" t="s">
        <v>8264</v>
      </c>
      <c r="C4113" s="7">
        <v>27750</v>
      </c>
      <c r="D4113" s="8" t="s">
        <v>8265</v>
      </c>
    </row>
    <row r="4114" spans="1:4" ht="14.25">
      <c r="A4114" s="5">
        <v>22</v>
      </c>
      <c r="B4114" s="6" t="s">
        <v>8266</v>
      </c>
      <c r="C4114" s="7">
        <v>27750</v>
      </c>
      <c r="D4114" s="8" t="s">
        <v>8267</v>
      </c>
    </row>
    <row r="4115" spans="1:4" ht="14.25">
      <c r="A4115" s="5">
        <v>22</v>
      </c>
      <c r="B4115" s="6" t="s">
        <v>8268</v>
      </c>
      <c r="C4115" s="7">
        <v>27750</v>
      </c>
      <c r="D4115" s="8" t="s">
        <v>8269</v>
      </c>
    </row>
    <row r="4116" spans="1:4" ht="14.25">
      <c r="A4116" s="5">
        <v>22</v>
      </c>
      <c r="B4116" s="6" t="s">
        <v>8270</v>
      </c>
      <c r="C4116" s="7">
        <v>27750</v>
      </c>
      <c r="D4116" s="8" t="s">
        <v>8271</v>
      </c>
    </row>
    <row r="4117" spans="1:4" ht="14.25">
      <c r="A4117" s="5" t="s">
        <v>484</v>
      </c>
      <c r="B4117" s="6" t="s">
        <v>8272</v>
      </c>
      <c r="C4117" s="7">
        <v>27751</v>
      </c>
      <c r="D4117" s="8" t="s">
        <v>8273</v>
      </c>
    </row>
    <row r="4118" spans="1:4" ht="14.25">
      <c r="A4118" s="5" t="s">
        <v>484</v>
      </c>
      <c r="B4118" s="6" t="s">
        <v>8274</v>
      </c>
      <c r="C4118" s="7">
        <v>27751</v>
      </c>
      <c r="D4118" s="8" t="s">
        <v>8275</v>
      </c>
    </row>
    <row r="4119" spans="1:4" ht="14.25">
      <c r="A4119" s="5">
        <v>23</v>
      </c>
      <c r="B4119" s="6" t="s">
        <v>8276</v>
      </c>
      <c r="C4119" s="7">
        <v>27751</v>
      </c>
      <c r="D4119" s="8" t="s">
        <v>8277</v>
      </c>
    </row>
    <row r="4120" spans="1:4" ht="14.25">
      <c r="A4120" s="5">
        <v>23</v>
      </c>
      <c r="B4120" s="6" t="s">
        <v>8278</v>
      </c>
      <c r="C4120" s="7">
        <v>27751</v>
      </c>
      <c r="D4120" s="8" t="s">
        <v>8279</v>
      </c>
    </row>
    <row r="4121" spans="1:4" ht="14.25">
      <c r="A4121" s="5">
        <v>23</v>
      </c>
      <c r="B4121" s="6" t="s">
        <v>8280</v>
      </c>
      <c r="C4121" s="7">
        <v>27751</v>
      </c>
      <c r="D4121" s="8" t="s">
        <v>8281</v>
      </c>
    </row>
    <row r="4122" spans="1:4" ht="14.25">
      <c r="A4122" s="5">
        <v>24</v>
      </c>
      <c r="B4122" s="6" t="s">
        <v>8282</v>
      </c>
      <c r="C4122" s="7">
        <v>27752</v>
      </c>
      <c r="D4122" s="8" t="s">
        <v>8283</v>
      </c>
    </row>
    <row r="4123" spans="1:4" ht="14.25">
      <c r="A4123" s="5">
        <v>24</v>
      </c>
      <c r="B4123" s="6" t="s">
        <v>8284</v>
      </c>
      <c r="C4123" s="7">
        <v>27752</v>
      </c>
      <c r="D4123" s="8" t="s">
        <v>8285</v>
      </c>
    </row>
    <row r="4124" spans="1:4" ht="14.25">
      <c r="A4124" s="5" t="s">
        <v>167</v>
      </c>
      <c r="B4124" s="6" t="s">
        <v>8286</v>
      </c>
      <c r="C4124" s="7">
        <v>27753</v>
      </c>
      <c r="D4124" s="8" t="s">
        <v>8287</v>
      </c>
    </row>
    <row r="4125" spans="1:4" ht="14.25">
      <c r="A4125" s="5">
        <v>25</v>
      </c>
      <c r="B4125" s="6" t="s">
        <v>8288</v>
      </c>
      <c r="C4125" s="7">
        <v>27753</v>
      </c>
      <c r="D4125" s="8" t="s">
        <v>8289</v>
      </c>
    </row>
    <row r="4126" spans="1:4" ht="14.25">
      <c r="A4126" s="5">
        <v>25</v>
      </c>
      <c r="B4126" s="6" t="s">
        <v>8290</v>
      </c>
      <c r="C4126" s="7">
        <v>27753</v>
      </c>
      <c r="D4126" s="8" t="s">
        <v>8291</v>
      </c>
    </row>
    <row r="4127" spans="1:4" ht="14.25">
      <c r="A4127" s="5">
        <v>25</v>
      </c>
      <c r="B4127" s="6" t="s">
        <v>8292</v>
      </c>
      <c r="C4127" s="7">
        <v>27753</v>
      </c>
      <c r="D4127" s="8" t="s">
        <v>8293</v>
      </c>
    </row>
    <row r="4128" spans="1:4" ht="14.25">
      <c r="A4128" s="5" t="s">
        <v>1148</v>
      </c>
      <c r="B4128" s="6" t="s">
        <v>8294</v>
      </c>
      <c r="C4128" s="7">
        <v>27754</v>
      </c>
      <c r="D4128" s="8" t="s">
        <v>8295</v>
      </c>
    </row>
    <row r="4129" spans="1:4" ht="14.25">
      <c r="A4129" s="5" t="s">
        <v>463</v>
      </c>
      <c r="B4129" s="6" t="s">
        <v>8296</v>
      </c>
      <c r="C4129" s="7">
        <v>27754</v>
      </c>
      <c r="D4129" s="8" t="s">
        <v>8297</v>
      </c>
    </row>
    <row r="4130" spans="1:4" ht="14.25">
      <c r="A4130" s="5">
        <v>26</v>
      </c>
      <c r="B4130" s="6" t="s">
        <v>8298</v>
      </c>
      <c r="C4130" s="7">
        <v>27754</v>
      </c>
      <c r="D4130" s="8" t="s">
        <v>8299</v>
      </c>
    </row>
    <row r="4131" spans="1:4" ht="14.25">
      <c r="A4131" s="5">
        <v>26</v>
      </c>
      <c r="B4131" s="6" t="s">
        <v>8300</v>
      </c>
      <c r="C4131" s="7">
        <v>27754</v>
      </c>
      <c r="D4131" s="8" t="s">
        <v>8301</v>
      </c>
    </row>
    <row r="4132" spans="1:4" ht="14.25">
      <c r="A4132" s="5">
        <v>26</v>
      </c>
      <c r="B4132" s="6" t="s">
        <v>8302</v>
      </c>
      <c r="C4132" s="7">
        <v>27754</v>
      </c>
      <c r="D4132" s="8" t="s">
        <v>8303</v>
      </c>
    </row>
    <row r="4133" spans="1:4" ht="14.25">
      <c r="A4133" s="5">
        <v>26</v>
      </c>
      <c r="B4133" s="6" t="s">
        <v>8304</v>
      </c>
      <c r="C4133" s="7">
        <v>27754</v>
      </c>
      <c r="D4133" s="8" t="s">
        <v>8305</v>
      </c>
    </row>
    <row r="4134" spans="1:4" ht="14.25">
      <c r="A4134" s="5">
        <v>26</v>
      </c>
      <c r="B4134" s="6" t="s">
        <v>8306</v>
      </c>
      <c r="C4134" s="7">
        <v>27754</v>
      </c>
      <c r="D4134" s="8" t="s">
        <v>8307</v>
      </c>
    </row>
    <row r="4135" spans="1:4" ht="14.25">
      <c r="A4135" s="5">
        <v>26</v>
      </c>
      <c r="B4135" s="6" t="s">
        <v>8308</v>
      </c>
      <c r="C4135" s="7">
        <v>27754</v>
      </c>
      <c r="D4135" s="8" t="s">
        <v>8309</v>
      </c>
    </row>
    <row r="4136" spans="1:4" ht="14.25">
      <c r="A4136" s="5" t="s">
        <v>167</v>
      </c>
      <c r="B4136" s="6" t="s">
        <v>8310</v>
      </c>
      <c r="C4136" s="7">
        <v>27755</v>
      </c>
      <c r="D4136" s="8" t="s">
        <v>8311</v>
      </c>
    </row>
    <row r="4137" spans="1:4" ht="14.25">
      <c r="A4137" s="5">
        <v>27</v>
      </c>
      <c r="B4137" s="6" t="s">
        <v>8312</v>
      </c>
      <c r="C4137" s="7">
        <v>27755</v>
      </c>
      <c r="D4137" s="8" t="s">
        <v>8313</v>
      </c>
    </row>
    <row r="4138" spans="1:4" ht="14.25">
      <c r="A4138" s="5">
        <v>27</v>
      </c>
      <c r="B4138" s="6" t="s">
        <v>8314</v>
      </c>
      <c r="C4138" s="7">
        <v>27755</v>
      </c>
      <c r="D4138" s="8" t="s">
        <v>8315</v>
      </c>
    </row>
    <row r="4139" spans="1:4" ht="14.25">
      <c r="A4139" s="5">
        <v>27</v>
      </c>
      <c r="B4139" s="6" t="s">
        <v>8316</v>
      </c>
      <c r="C4139" s="7">
        <v>27755</v>
      </c>
      <c r="D4139" s="8" t="s">
        <v>8317</v>
      </c>
    </row>
    <row r="4140" spans="1:4" ht="14.25">
      <c r="A4140" s="5">
        <v>28</v>
      </c>
      <c r="B4140" s="6" t="s">
        <v>8318</v>
      </c>
      <c r="C4140" s="7">
        <v>27756</v>
      </c>
      <c r="D4140" s="8" t="s">
        <v>8319</v>
      </c>
    </row>
    <row r="4141" spans="1:4" ht="14.25">
      <c r="A4141" s="5" t="s">
        <v>75</v>
      </c>
      <c r="B4141" s="6" t="s">
        <v>8320</v>
      </c>
      <c r="C4141" s="7">
        <v>27760</v>
      </c>
      <c r="D4141" s="8" t="s">
        <v>8321</v>
      </c>
    </row>
    <row r="4142" spans="1:4" ht="14.25">
      <c r="A4142" s="5">
        <v>1</v>
      </c>
      <c r="B4142" s="6" t="s">
        <v>8322</v>
      </c>
      <c r="C4142" s="7">
        <v>27760</v>
      </c>
      <c r="D4142" s="8" t="s">
        <v>8323</v>
      </c>
    </row>
    <row r="4143" spans="1:4" ht="14.25">
      <c r="A4143" s="5">
        <v>1</v>
      </c>
      <c r="B4143" s="6" t="s">
        <v>8324</v>
      </c>
      <c r="C4143" s="7">
        <v>27760</v>
      </c>
      <c r="D4143" s="8" t="s">
        <v>8325</v>
      </c>
    </row>
    <row r="4144" spans="1:4" ht="14.25">
      <c r="A4144" s="5" t="s">
        <v>484</v>
      </c>
      <c r="B4144" s="6" t="s">
        <v>8326</v>
      </c>
      <c r="C4144" s="7">
        <v>27761</v>
      </c>
      <c r="D4144" s="8" t="s">
        <v>8327</v>
      </c>
    </row>
    <row r="4145" spans="1:4" ht="14.25">
      <c r="A4145" s="5" t="s">
        <v>454</v>
      </c>
      <c r="B4145" s="6" t="s">
        <v>8328</v>
      </c>
      <c r="C4145" s="7">
        <v>27761</v>
      </c>
      <c r="D4145" s="8" t="s">
        <v>8329</v>
      </c>
    </row>
    <row r="4146" spans="1:4" ht="14.25">
      <c r="A4146" s="5">
        <v>2</v>
      </c>
      <c r="B4146" s="6" t="s">
        <v>8330</v>
      </c>
      <c r="C4146" s="7">
        <v>27761</v>
      </c>
      <c r="D4146" s="8" t="s">
        <v>8331</v>
      </c>
    </row>
    <row r="4147" spans="1:4" ht="14.25">
      <c r="A4147" s="5">
        <v>2</v>
      </c>
      <c r="B4147" s="6" t="s">
        <v>8332</v>
      </c>
      <c r="C4147" s="7">
        <v>27761</v>
      </c>
      <c r="D4147" s="8" t="s">
        <v>8333</v>
      </c>
    </row>
    <row r="4148" spans="1:4" ht="14.25">
      <c r="A4148" s="5">
        <v>2</v>
      </c>
      <c r="B4148" s="6" t="s">
        <v>8334</v>
      </c>
      <c r="C4148" s="7">
        <v>27761</v>
      </c>
      <c r="D4148" s="8" t="s">
        <v>8335</v>
      </c>
    </row>
    <row r="4149" spans="1:4" ht="14.25">
      <c r="A4149" s="5">
        <v>2</v>
      </c>
      <c r="B4149" s="6" t="s">
        <v>8336</v>
      </c>
      <c r="C4149" s="7">
        <v>27761</v>
      </c>
      <c r="D4149" s="8" t="s">
        <v>8337</v>
      </c>
    </row>
    <row r="4150" spans="1:4" ht="14.25">
      <c r="A4150" s="5" t="s">
        <v>484</v>
      </c>
      <c r="B4150" s="6" t="s">
        <v>8338</v>
      </c>
      <c r="C4150" s="7">
        <v>27762</v>
      </c>
      <c r="D4150" s="8" t="s">
        <v>8339</v>
      </c>
    </row>
    <row r="4151" spans="1:4" ht="14.25">
      <c r="A4151" s="5" t="s">
        <v>463</v>
      </c>
      <c r="B4151" s="6" t="s">
        <v>8340</v>
      </c>
      <c r="C4151" s="7">
        <v>27762</v>
      </c>
      <c r="D4151" s="8" t="s">
        <v>8341</v>
      </c>
    </row>
    <row r="4152" spans="1:4" ht="14.25">
      <c r="A4152" s="5">
        <v>3</v>
      </c>
      <c r="B4152" s="6" t="s">
        <v>8342</v>
      </c>
      <c r="C4152" s="7">
        <v>27762</v>
      </c>
      <c r="D4152" s="8" t="s">
        <v>8343</v>
      </c>
    </row>
    <row r="4153" spans="1:4" ht="14.25">
      <c r="A4153" s="5">
        <v>3</v>
      </c>
      <c r="B4153" s="6" t="s">
        <v>8344</v>
      </c>
      <c r="C4153" s="7">
        <v>27762</v>
      </c>
      <c r="D4153" s="8" t="s">
        <v>8345</v>
      </c>
    </row>
    <row r="4154" spans="1:4" ht="14.25">
      <c r="A4154" s="5">
        <v>3</v>
      </c>
      <c r="B4154" s="6" t="s">
        <v>8346</v>
      </c>
      <c r="C4154" s="7">
        <v>27762</v>
      </c>
      <c r="D4154" s="8" t="s">
        <v>8347</v>
      </c>
    </row>
    <row r="4155" spans="1:4" ht="14.25">
      <c r="A4155" s="5">
        <v>3</v>
      </c>
      <c r="B4155" s="6" t="s">
        <v>8348</v>
      </c>
      <c r="C4155" s="7">
        <v>27762</v>
      </c>
      <c r="D4155" s="8" t="s">
        <v>8349</v>
      </c>
    </row>
    <row r="4156" spans="1:4" ht="14.25">
      <c r="A4156" s="5" t="s">
        <v>484</v>
      </c>
      <c r="B4156" s="6" t="s">
        <v>8350</v>
      </c>
      <c r="C4156" s="7">
        <v>27763</v>
      </c>
      <c r="D4156" s="8" t="s">
        <v>8351</v>
      </c>
    </row>
    <row r="4157" spans="1:4" ht="14.25">
      <c r="A4157" s="5" t="s">
        <v>167</v>
      </c>
      <c r="B4157" s="6" t="s">
        <v>8352</v>
      </c>
      <c r="C4157" s="7">
        <v>27763</v>
      </c>
      <c r="D4157" s="8" t="s">
        <v>8353</v>
      </c>
    </row>
    <row r="4158" spans="1:4" ht="14.25">
      <c r="A4158" s="5">
        <v>4</v>
      </c>
      <c r="B4158" s="6" t="s">
        <v>8354</v>
      </c>
      <c r="C4158" s="7">
        <v>27763</v>
      </c>
      <c r="D4158" s="8" t="s">
        <v>8355</v>
      </c>
    </row>
    <row r="4159" spans="1:4" ht="14.25">
      <c r="A4159" s="5">
        <v>4</v>
      </c>
      <c r="B4159" s="6" t="s">
        <v>8356</v>
      </c>
      <c r="C4159" s="7">
        <v>27763</v>
      </c>
      <c r="D4159" s="8" t="s">
        <v>8357</v>
      </c>
    </row>
    <row r="4160" spans="1:4" ht="14.25">
      <c r="A4160" s="5">
        <v>4</v>
      </c>
      <c r="B4160" s="6" t="s">
        <v>8358</v>
      </c>
      <c r="C4160" s="7">
        <v>27763</v>
      </c>
      <c r="D4160" s="8" t="s">
        <v>8359</v>
      </c>
    </row>
    <row r="4161" spans="1:4" ht="14.25">
      <c r="A4161" s="5">
        <v>4</v>
      </c>
      <c r="B4161" s="6" t="s">
        <v>8360</v>
      </c>
      <c r="C4161" s="7">
        <v>27763</v>
      </c>
      <c r="D4161" s="8" t="s">
        <v>8361</v>
      </c>
    </row>
    <row r="4162" spans="1:4" ht="14.25">
      <c r="A4162" s="5" t="s">
        <v>1001</v>
      </c>
      <c r="B4162" s="6" t="s">
        <v>8362</v>
      </c>
      <c r="C4162" s="7">
        <v>27764</v>
      </c>
      <c r="D4162" s="8" t="s">
        <v>8363</v>
      </c>
    </row>
    <row r="4163" spans="1:4" ht="14.25">
      <c r="A4163" s="5">
        <v>5</v>
      </c>
      <c r="B4163" s="6" t="s">
        <v>8364</v>
      </c>
      <c r="C4163" s="7">
        <v>27764</v>
      </c>
      <c r="D4163" s="8" t="s">
        <v>8365</v>
      </c>
    </row>
    <row r="4164" spans="1:4" ht="14.25">
      <c r="A4164" s="5">
        <v>5</v>
      </c>
      <c r="B4164" s="6" t="s">
        <v>8366</v>
      </c>
      <c r="C4164" s="7">
        <v>27764</v>
      </c>
      <c r="D4164" s="8" t="s">
        <v>8367</v>
      </c>
    </row>
    <row r="4165" spans="1:4" ht="14.25">
      <c r="A4165" s="5" t="s">
        <v>484</v>
      </c>
      <c r="B4165" s="6" t="s">
        <v>8368</v>
      </c>
      <c r="C4165" s="7">
        <v>27765</v>
      </c>
      <c r="D4165" s="8" t="s">
        <v>8369</v>
      </c>
    </row>
    <row r="4166" spans="1:4" ht="14.25">
      <c r="A4166" s="5">
        <v>6</v>
      </c>
      <c r="B4166" s="6" t="s">
        <v>8370</v>
      </c>
      <c r="C4166" s="7">
        <v>27765</v>
      </c>
      <c r="D4166" s="8" t="s">
        <v>8371</v>
      </c>
    </row>
    <row r="4167" spans="1:4" ht="14.25">
      <c r="A4167" s="5">
        <v>6</v>
      </c>
      <c r="B4167" s="6" t="s">
        <v>8372</v>
      </c>
      <c r="C4167" s="7">
        <v>27765</v>
      </c>
      <c r="D4167" s="8" t="s">
        <v>8373</v>
      </c>
    </row>
    <row r="4168" spans="1:4" ht="14.25">
      <c r="A4168" s="5" t="s">
        <v>1001</v>
      </c>
      <c r="B4168" s="6" t="s">
        <v>8374</v>
      </c>
      <c r="C4168" s="7">
        <v>27766</v>
      </c>
      <c r="D4168" s="8" t="s">
        <v>8375</v>
      </c>
    </row>
    <row r="4169" spans="1:4" ht="14.25">
      <c r="A4169" s="5">
        <v>7</v>
      </c>
      <c r="B4169" s="6" t="s">
        <v>8376</v>
      </c>
      <c r="C4169" s="7">
        <v>27766</v>
      </c>
      <c r="D4169" s="8" t="s">
        <v>8377</v>
      </c>
    </row>
    <row r="4170" spans="1:4" ht="14.25">
      <c r="A4170" s="5">
        <v>7</v>
      </c>
      <c r="B4170" s="6" t="s">
        <v>8378</v>
      </c>
      <c r="C4170" s="7">
        <v>27766</v>
      </c>
      <c r="D4170" s="8" t="s">
        <v>8379</v>
      </c>
    </row>
    <row r="4171" spans="1:4" ht="14.25">
      <c r="A4171" s="5">
        <v>7</v>
      </c>
      <c r="B4171" s="6" t="s">
        <v>8380</v>
      </c>
      <c r="C4171" s="7">
        <v>27766</v>
      </c>
      <c r="D4171" s="8" t="s">
        <v>8381</v>
      </c>
    </row>
    <row r="4172" spans="1:4" ht="14.25">
      <c r="A4172" s="5" t="s">
        <v>463</v>
      </c>
      <c r="B4172" s="6" t="s">
        <v>8382</v>
      </c>
      <c r="C4172" s="7">
        <v>27767</v>
      </c>
      <c r="D4172" s="8" t="s">
        <v>8383</v>
      </c>
    </row>
    <row r="4173" spans="1:4" ht="14.25">
      <c r="A4173" s="5" t="s">
        <v>1001</v>
      </c>
      <c r="B4173" s="6" t="s">
        <v>8384</v>
      </c>
      <c r="C4173" s="7">
        <v>27767</v>
      </c>
      <c r="D4173" s="8" t="s">
        <v>8385</v>
      </c>
    </row>
    <row r="4174" spans="1:4" ht="14.25">
      <c r="A4174" s="5">
        <v>8</v>
      </c>
      <c r="B4174" s="6" t="s">
        <v>8386</v>
      </c>
      <c r="C4174" s="7">
        <v>27767</v>
      </c>
      <c r="D4174" s="8" t="s">
        <v>8387</v>
      </c>
    </row>
    <row r="4175" spans="1:4" ht="14.25">
      <c r="A4175" s="5">
        <v>8</v>
      </c>
      <c r="B4175" s="6" t="s">
        <v>8388</v>
      </c>
      <c r="C4175" s="7">
        <v>27767</v>
      </c>
      <c r="D4175" s="8" t="s">
        <v>8389</v>
      </c>
    </row>
    <row r="4176" spans="1:4" ht="14.25">
      <c r="A4176" s="5">
        <v>8</v>
      </c>
      <c r="B4176" s="6" t="s">
        <v>8390</v>
      </c>
      <c r="C4176" s="7">
        <v>27767</v>
      </c>
      <c r="D4176" s="8" t="s">
        <v>8391</v>
      </c>
    </row>
    <row r="4177" spans="1:4" ht="14.25">
      <c r="A4177" s="5">
        <v>8</v>
      </c>
      <c r="B4177" s="6" t="s">
        <v>8392</v>
      </c>
      <c r="C4177" s="7">
        <v>27767</v>
      </c>
      <c r="D4177" s="8" t="s">
        <v>8393</v>
      </c>
    </row>
    <row r="4178" spans="1:4" ht="14.25">
      <c r="A4178" s="5">
        <v>8</v>
      </c>
      <c r="B4178" s="6" t="s">
        <v>8394</v>
      </c>
      <c r="C4178" s="7">
        <v>27767</v>
      </c>
      <c r="D4178" s="8" t="s">
        <v>8395</v>
      </c>
    </row>
    <row r="4179" spans="1:4" ht="14.25">
      <c r="A4179" s="5">
        <v>9</v>
      </c>
      <c r="B4179" s="6" t="s">
        <v>8396</v>
      </c>
      <c r="C4179" s="7">
        <v>27768</v>
      </c>
      <c r="D4179" s="8" t="s">
        <v>8397</v>
      </c>
    </row>
    <row r="4180" spans="1:4" ht="14.25">
      <c r="A4180" s="5">
        <v>12</v>
      </c>
      <c r="B4180" s="6" t="s">
        <v>8398</v>
      </c>
      <c r="C4180" s="7">
        <v>27771</v>
      </c>
      <c r="D4180" s="8" t="s">
        <v>8399</v>
      </c>
    </row>
    <row r="4181" spans="1:4" ht="14.25">
      <c r="A4181" s="5">
        <v>12</v>
      </c>
      <c r="B4181" s="6" t="s">
        <v>8400</v>
      </c>
      <c r="C4181" s="7">
        <v>27771</v>
      </c>
      <c r="D4181" s="8" t="s">
        <v>8401</v>
      </c>
    </row>
    <row r="4182" spans="1:4" ht="14.25">
      <c r="A4182" s="5">
        <v>13</v>
      </c>
      <c r="B4182" s="6" t="s">
        <v>8402</v>
      </c>
      <c r="C4182" s="7">
        <v>27772</v>
      </c>
      <c r="D4182" s="8" t="s">
        <v>8403</v>
      </c>
    </row>
    <row r="4183" spans="1:4" ht="14.25">
      <c r="A4183" s="5">
        <v>13</v>
      </c>
      <c r="B4183" s="6" t="s">
        <v>8404</v>
      </c>
      <c r="C4183" s="7">
        <v>27772</v>
      </c>
      <c r="D4183" s="8" t="s">
        <v>8405</v>
      </c>
    </row>
    <row r="4184" spans="1:4" ht="14.25">
      <c r="A4184" s="5">
        <v>14</v>
      </c>
      <c r="B4184" s="6" t="s">
        <v>8406</v>
      </c>
      <c r="C4184" s="7">
        <v>27773</v>
      </c>
      <c r="D4184" s="8" t="s">
        <v>8407</v>
      </c>
    </row>
    <row r="4185" spans="1:4" ht="14.25">
      <c r="A4185" s="5">
        <v>15</v>
      </c>
      <c r="B4185" s="6" t="s">
        <v>8408</v>
      </c>
      <c r="C4185" s="7">
        <v>27774</v>
      </c>
      <c r="D4185" s="8" t="s">
        <v>8409</v>
      </c>
    </row>
    <row r="4186" spans="1:4" ht="14.25">
      <c r="A4186" s="5">
        <v>15</v>
      </c>
      <c r="B4186" s="6" t="s">
        <v>8410</v>
      </c>
      <c r="C4186" s="7">
        <v>27774</v>
      </c>
      <c r="D4186" s="8" t="s">
        <v>8411</v>
      </c>
    </row>
    <row r="4187" spans="1:4" ht="14.25">
      <c r="A4187" s="5">
        <v>15</v>
      </c>
      <c r="B4187" s="6" t="s">
        <v>8412</v>
      </c>
      <c r="C4187" s="7">
        <v>27774</v>
      </c>
      <c r="D4187" s="8" t="s">
        <v>8413</v>
      </c>
    </row>
    <row r="4188" spans="1:4" ht="14.25">
      <c r="A4188" s="5" t="s">
        <v>463</v>
      </c>
      <c r="B4188" s="6" t="s">
        <v>8414</v>
      </c>
      <c r="C4188" s="7">
        <v>27775</v>
      </c>
      <c r="D4188" s="8" t="s">
        <v>8415</v>
      </c>
    </row>
    <row r="4189" spans="1:4" ht="14.25">
      <c r="A4189" s="5">
        <v>16</v>
      </c>
      <c r="B4189" s="6" t="s">
        <v>8416</v>
      </c>
      <c r="C4189" s="7">
        <v>27775</v>
      </c>
      <c r="D4189" s="8" t="s">
        <v>8417</v>
      </c>
    </row>
    <row r="4190" spans="1:4" ht="14.25">
      <c r="A4190" s="5">
        <v>16</v>
      </c>
      <c r="B4190" s="6" t="s">
        <v>8418</v>
      </c>
      <c r="C4190" s="7">
        <v>27775</v>
      </c>
      <c r="D4190" s="8" t="s">
        <v>8419</v>
      </c>
    </row>
    <row r="4191" spans="1:4" ht="14.25">
      <c r="A4191" s="5">
        <v>16</v>
      </c>
      <c r="B4191" s="6" t="s">
        <v>8420</v>
      </c>
      <c r="C4191" s="7">
        <v>27775</v>
      </c>
      <c r="D4191" s="8" t="s">
        <v>8421</v>
      </c>
    </row>
    <row r="4192" spans="1:4" ht="14.25">
      <c r="A4192" s="5">
        <v>17</v>
      </c>
      <c r="B4192" s="6" t="s">
        <v>8422</v>
      </c>
      <c r="C4192" s="7">
        <v>27776</v>
      </c>
      <c r="D4192" s="8" t="s">
        <v>8423</v>
      </c>
    </row>
    <row r="4193" spans="1:4" ht="14.25">
      <c r="A4193" s="5">
        <v>17</v>
      </c>
      <c r="B4193" s="6" t="s">
        <v>8424</v>
      </c>
      <c r="C4193" s="7">
        <v>27776</v>
      </c>
      <c r="D4193" s="8" t="s">
        <v>8425</v>
      </c>
    </row>
    <row r="4194" spans="1:4" ht="14.25">
      <c r="A4194" s="5">
        <v>18</v>
      </c>
      <c r="B4194" s="6" t="s">
        <v>8426</v>
      </c>
      <c r="C4194" s="7">
        <v>27777</v>
      </c>
      <c r="D4194" s="8" t="s">
        <v>8427</v>
      </c>
    </row>
    <row r="4195" spans="1:4" ht="14.25">
      <c r="A4195" s="5">
        <v>18</v>
      </c>
      <c r="B4195" s="6" t="s">
        <v>8428</v>
      </c>
      <c r="C4195" s="7">
        <v>27777</v>
      </c>
      <c r="D4195" s="8" t="s">
        <v>8429</v>
      </c>
    </row>
    <row r="4196" spans="1:4" ht="14.25">
      <c r="A4196" s="5">
        <v>19</v>
      </c>
      <c r="B4196" s="6" t="s">
        <v>8430</v>
      </c>
      <c r="C4196" s="7">
        <v>27778</v>
      </c>
      <c r="D4196" s="8" t="s">
        <v>8431</v>
      </c>
    </row>
    <row r="4197" spans="1:4" ht="14.25">
      <c r="A4197" s="5">
        <v>19</v>
      </c>
      <c r="B4197" s="6" t="s">
        <v>8432</v>
      </c>
      <c r="C4197" s="7">
        <v>27778</v>
      </c>
      <c r="D4197" s="8" t="s">
        <v>8433</v>
      </c>
    </row>
    <row r="4198" spans="1:4" ht="14.25">
      <c r="A4198" s="5">
        <v>20</v>
      </c>
      <c r="B4198" s="6" t="s">
        <v>8434</v>
      </c>
      <c r="C4198" s="7">
        <v>27779</v>
      </c>
      <c r="D4198" s="8" t="s">
        <v>8435</v>
      </c>
    </row>
    <row r="4199" spans="1:4" ht="14.25">
      <c r="A4199" s="5">
        <v>21</v>
      </c>
      <c r="B4199" s="6" t="s">
        <v>8436</v>
      </c>
      <c r="C4199" s="7">
        <v>27780</v>
      </c>
      <c r="D4199" s="8" t="s">
        <v>8437</v>
      </c>
    </row>
    <row r="4200" spans="1:4" ht="14.25">
      <c r="A4200" s="5">
        <v>22</v>
      </c>
      <c r="B4200" s="6" t="s">
        <v>8438</v>
      </c>
      <c r="C4200" s="7">
        <v>27781</v>
      </c>
      <c r="D4200" s="8" t="s">
        <v>8439</v>
      </c>
    </row>
    <row r="4201" spans="1:4" ht="14.25">
      <c r="A4201" s="5">
        <v>23</v>
      </c>
      <c r="B4201" s="6" t="s">
        <v>8440</v>
      </c>
      <c r="C4201" s="7">
        <v>27782</v>
      </c>
      <c r="D4201" s="8" t="s">
        <v>8441</v>
      </c>
    </row>
    <row r="4202" spans="1:4" ht="14.25">
      <c r="A4202" s="5">
        <v>25</v>
      </c>
      <c r="B4202" s="6" t="s">
        <v>8442</v>
      </c>
      <c r="C4202" s="7">
        <v>27784</v>
      </c>
      <c r="D4202" s="8" t="s">
        <v>8443</v>
      </c>
    </row>
    <row r="4203" spans="1:4" ht="14.25">
      <c r="A4203" s="5" t="s">
        <v>484</v>
      </c>
      <c r="B4203" s="6" t="s">
        <v>8444</v>
      </c>
      <c r="C4203" s="7">
        <v>27793</v>
      </c>
      <c r="D4203" s="8" t="s">
        <v>8445</v>
      </c>
    </row>
    <row r="4204" spans="1:4" ht="14.25">
      <c r="A4204" s="5">
        <v>3</v>
      </c>
      <c r="B4204" s="6" t="s">
        <v>8446</v>
      </c>
      <c r="C4204" s="7">
        <v>27793</v>
      </c>
      <c r="D4204" s="8" t="s">
        <v>8447</v>
      </c>
    </row>
    <row r="4205" spans="1:4" ht="14.25">
      <c r="A4205" s="5">
        <v>3</v>
      </c>
      <c r="B4205" s="6" t="s">
        <v>8448</v>
      </c>
      <c r="C4205" s="7">
        <v>27793</v>
      </c>
      <c r="D4205" s="8" t="s">
        <v>8449</v>
      </c>
    </row>
    <row r="4206" spans="1:4" ht="14.25">
      <c r="A4206" s="5" t="s">
        <v>484</v>
      </c>
      <c r="B4206" s="6" t="s">
        <v>8450</v>
      </c>
      <c r="C4206" s="7">
        <v>27794</v>
      </c>
      <c r="D4206" s="8" t="s">
        <v>8451</v>
      </c>
    </row>
    <row r="4207" spans="1:4" ht="14.25">
      <c r="A4207" s="5">
        <v>4</v>
      </c>
      <c r="B4207" s="6" t="s">
        <v>8452</v>
      </c>
      <c r="C4207" s="7">
        <v>27794</v>
      </c>
      <c r="D4207" s="8" t="s">
        <v>8453</v>
      </c>
    </row>
    <row r="4208" spans="1:4" ht="14.25">
      <c r="A4208" s="5">
        <v>4</v>
      </c>
      <c r="B4208" s="6" t="s">
        <v>8454</v>
      </c>
      <c r="C4208" s="7">
        <v>27794</v>
      </c>
      <c r="D4208" s="8" t="s">
        <v>8455</v>
      </c>
    </row>
    <row r="4209" spans="1:4" ht="14.25">
      <c r="A4209" s="5" t="s">
        <v>484</v>
      </c>
      <c r="B4209" s="6" t="s">
        <v>8456</v>
      </c>
      <c r="C4209" s="7">
        <v>27795</v>
      </c>
      <c r="D4209" s="8" t="s">
        <v>8457</v>
      </c>
    </row>
    <row r="4210" spans="1:4" ht="14.25">
      <c r="A4210" s="5" t="s">
        <v>167</v>
      </c>
      <c r="B4210" s="6" t="s">
        <v>8458</v>
      </c>
      <c r="C4210" s="7">
        <v>27795</v>
      </c>
      <c r="D4210" s="8" t="s">
        <v>8459</v>
      </c>
    </row>
    <row r="4211" spans="1:4" ht="14.25">
      <c r="A4211" s="5">
        <v>5</v>
      </c>
      <c r="B4211" s="6" t="s">
        <v>8460</v>
      </c>
      <c r="C4211" s="7">
        <v>27795</v>
      </c>
      <c r="D4211" s="8" t="s">
        <v>8461</v>
      </c>
    </row>
    <row r="4212" spans="1:4" ht="14.25">
      <c r="A4212" s="5">
        <v>5</v>
      </c>
      <c r="B4212" s="6" t="s">
        <v>8462</v>
      </c>
      <c r="C4212" s="7">
        <v>27795</v>
      </c>
      <c r="D4212" s="8" t="s">
        <v>8463</v>
      </c>
    </row>
    <row r="4213" spans="1:4" ht="14.25">
      <c r="A4213" s="5">
        <v>5</v>
      </c>
      <c r="B4213" s="6" t="s">
        <v>8464</v>
      </c>
      <c r="C4213" s="7">
        <v>27795</v>
      </c>
      <c r="D4213" s="8" t="s">
        <v>8465</v>
      </c>
    </row>
    <row r="4214" spans="1:4" ht="14.25">
      <c r="A4214" s="5">
        <v>5</v>
      </c>
      <c r="B4214" s="6" t="s">
        <v>8466</v>
      </c>
      <c r="C4214" s="7">
        <v>27795</v>
      </c>
      <c r="D4214" s="8" t="s">
        <v>8467</v>
      </c>
    </row>
    <row r="4215" spans="1:4" ht="14.25">
      <c r="A4215" s="5" t="s">
        <v>484</v>
      </c>
      <c r="B4215" s="6" t="s">
        <v>8468</v>
      </c>
      <c r="C4215" s="7">
        <v>27796</v>
      </c>
      <c r="D4215" s="8" t="s">
        <v>8469</v>
      </c>
    </row>
    <row r="4216" spans="1:4" ht="14.25">
      <c r="A4216" s="5">
        <v>6</v>
      </c>
      <c r="B4216" s="6" t="s">
        <v>8470</v>
      </c>
      <c r="C4216" s="7">
        <v>27796</v>
      </c>
      <c r="D4216" s="8" t="s">
        <v>8471</v>
      </c>
    </row>
    <row r="4217" spans="1:4" ht="14.25">
      <c r="A4217" s="5">
        <v>6</v>
      </c>
      <c r="B4217" s="6" t="s">
        <v>8472</v>
      </c>
      <c r="C4217" s="7">
        <v>27796</v>
      </c>
      <c r="D4217" s="8" t="s">
        <v>8473</v>
      </c>
    </row>
    <row r="4218" spans="1:4" ht="14.25">
      <c r="A4218" s="5" t="s">
        <v>454</v>
      </c>
      <c r="B4218" s="6" t="s">
        <v>8474</v>
      </c>
      <c r="C4218" s="7">
        <v>27798</v>
      </c>
      <c r="D4218" s="8" t="s">
        <v>8475</v>
      </c>
    </row>
    <row r="4219" spans="1:4" ht="14.25">
      <c r="A4219" s="5">
        <v>8</v>
      </c>
      <c r="B4219" s="6" t="s">
        <v>8476</v>
      </c>
      <c r="C4219" s="7">
        <v>27798</v>
      </c>
      <c r="D4219" s="8" t="s">
        <v>8477</v>
      </c>
    </row>
    <row r="4220" spans="1:4" ht="14.25">
      <c r="A4220" s="5">
        <v>8</v>
      </c>
      <c r="B4220" s="6" t="s">
        <v>8478</v>
      </c>
      <c r="C4220" s="7">
        <v>27798</v>
      </c>
      <c r="D4220" s="8" t="s">
        <v>8479</v>
      </c>
    </row>
    <row r="4221" spans="1:4" ht="14.25">
      <c r="A4221" s="5" t="s">
        <v>484</v>
      </c>
      <c r="B4221" s="6" t="s">
        <v>8480</v>
      </c>
      <c r="C4221" s="7">
        <v>27799</v>
      </c>
      <c r="D4221" s="8" t="s">
        <v>8481</v>
      </c>
    </row>
    <row r="4222" spans="1:4" ht="14.25">
      <c r="A4222" s="5">
        <v>9</v>
      </c>
      <c r="B4222" s="6" t="s">
        <v>8482</v>
      </c>
      <c r="C4222" s="7">
        <v>27799</v>
      </c>
      <c r="D4222" s="8" t="s">
        <v>8483</v>
      </c>
    </row>
    <row r="4223" spans="1:4" ht="14.25">
      <c r="A4223" s="5">
        <v>9</v>
      </c>
      <c r="B4223" s="6" t="s">
        <v>8484</v>
      </c>
      <c r="C4223" s="7">
        <v>27799</v>
      </c>
      <c r="D4223" s="8" t="s">
        <v>8485</v>
      </c>
    </row>
    <row r="4224" spans="1:4" ht="14.25">
      <c r="A4224" s="5" t="s">
        <v>484</v>
      </c>
      <c r="B4224" s="6" t="s">
        <v>8486</v>
      </c>
      <c r="C4224" s="7">
        <v>27800</v>
      </c>
      <c r="D4224" s="8" t="s">
        <v>8487</v>
      </c>
    </row>
    <row r="4225" spans="1:4" ht="14.25">
      <c r="A4225" s="5" t="s">
        <v>454</v>
      </c>
      <c r="B4225" s="6" t="s">
        <v>8488</v>
      </c>
      <c r="C4225" s="7">
        <v>27800</v>
      </c>
      <c r="D4225" s="8" t="s">
        <v>8489</v>
      </c>
    </row>
    <row r="4226" spans="1:4" ht="14.25">
      <c r="A4226" s="5">
        <v>10</v>
      </c>
      <c r="B4226" s="6" t="s">
        <v>8490</v>
      </c>
      <c r="C4226" s="7">
        <v>27800</v>
      </c>
      <c r="D4226" s="8" t="s">
        <v>8491</v>
      </c>
    </row>
    <row r="4227" spans="1:4" ht="14.25">
      <c r="A4227" s="5">
        <v>10</v>
      </c>
      <c r="B4227" s="6" t="s">
        <v>8492</v>
      </c>
      <c r="C4227" s="7">
        <v>27800</v>
      </c>
      <c r="D4227" s="8" t="s">
        <v>8493</v>
      </c>
    </row>
    <row r="4228" spans="1:4" ht="14.25">
      <c r="A4228" s="5">
        <v>10</v>
      </c>
      <c r="B4228" s="6" t="s">
        <v>8494</v>
      </c>
      <c r="C4228" s="7">
        <v>27800</v>
      </c>
      <c r="D4228" s="8" t="s">
        <v>8495</v>
      </c>
    </row>
    <row r="4229" spans="1:4" ht="14.25">
      <c r="A4229" s="5">
        <v>10</v>
      </c>
      <c r="B4229" s="6" t="s">
        <v>8496</v>
      </c>
      <c r="C4229" s="7">
        <v>27800</v>
      </c>
      <c r="D4229" s="8" t="s">
        <v>8497</v>
      </c>
    </row>
    <row r="4230" spans="1:4" ht="14.25">
      <c r="A4230" s="5">
        <v>11</v>
      </c>
      <c r="B4230" s="6" t="s">
        <v>8498</v>
      </c>
      <c r="C4230" s="7">
        <v>27801</v>
      </c>
      <c r="D4230" s="8" t="s">
        <v>8499</v>
      </c>
    </row>
    <row r="4231" spans="1:4" ht="14.25">
      <c r="A4231" s="5">
        <v>11</v>
      </c>
      <c r="B4231" s="6" t="s">
        <v>8500</v>
      </c>
      <c r="C4231" s="7">
        <v>27801</v>
      </c>
      <c r="D4231" s="8" t="s">
        <v>8501</v>
      </c>
    </row>
    <row r="4232" spans="1:4" ht="14.25">
      <c r="A4232" s="5" t="s">
        <v>484</v>
      </c>
      <c r="B4232" s="6" t="s">
        <v>8502</v>
      </c>
      <c r="C4232" s="7">
        <v>27802</v>
      </c>
      <c r="D4232" s="8" t="s">
        <v>8503</v>
      </c>
    </row>
    <row r="4233" spans="1:4" ht="14.25">
      <c r="A4233" s="5">
        <v>12</v>
      </c>
      <c r="B4233" s="6" t="s">
        <v>8504</v>
      </c>
      <c r="C4233" s="7">
        <v>27802</v>
      </c>
      <c r="D4233" s="8" t="s">
        <v>8505</v>
      </c>
    </row>
    <row r="4234" spans="1:4" ht="14.25">
      <c r="A4234" s="5">
        <v>12</v>
      </c>
      <c r="B4234" s="6" t="s">
        <v>8506</v>
      </c>
      <c r="C4234" s="7">
        <v>27802</v>
      </c>
      <c r="D4234" s="8" t="s">
        <v>8507</v>
      </c>
    </row>
    <row r="4235" spans="1:4" ht="14.25">
      <c r="A4235" s="5">
        <v>12</v>
      </c>
      <c r="B4235" s="6" t="s">
        <v>8508</v>
      </c>
      <c r="C4235" s="7">
        <v>27802</v>
      </c>
      <c r="D4235" s="8" t="s">
        <v>8509</v>
      </c>
    </row>
    <row r="4236" spans="1:4" ht="14.25">
      <c r="A4236" s="5" t="s">
        <v>454</v>
      </c>
      <c r="B4236" s="6" t="s">
        <v>8510</v>
      </c>
      <c r="C4236" s="7">
        <v>27804</v>
      </c>
      <c r="D4236" s="8" t="s">
        <v>8511</v>
      </c>
    </row>
    <row r="4237" spans="1:4" ht="14.25">
      <c r="A4237" s="5">
        <v>14</v>
      </c>
      <c r="B4237" s="6" t="s">
        <v>8512</v>
      </c>
      <c r="C4237" s="7">
        <v>27804</v>
      </c>
      <c r="D4237" s="8" t="s">
        <v>8513</v>
      </c>
    </row>
    <row r="4238" spans="1:4" ht="14.25">
      <c r="A4238" s="5">
        <v>14</v>
      </c>
      <c r="B4238" s="6" t="s">
        <v>8514</v>
      </c>
      <c r="C4238" s="7">
        <v>27804</v>
      </c>
      <c r="D4238" s="8" t="s">
        <v>8515</v>
      </c>
    </row>
    <row r="4239" spans="1:4" ht="14.25">
      <c r="A4239" s="5" t="s">
        <v>454</v>
      </c>
      <c r="B4239" s="6" t="s">
        <v>8516</v>
      </c>
      <c r="C4239" s="7">
        <v>27805</v>
      </c>
      <c r="D4239" s="8" t="s">
        <v>8517</v>
      </c>
    </row>
    <row r="4240" spans="1:4" ht="14.25">
      <c r="A4240" s="5">
        <v>15</v>
      </c>
      <c r="B4240" s="6" t="s">
        <v>8518</v>
      </c>
      <c r="C4240" s="7">
        <v>27805</v>
      </c>
      <c r="D4240" s="8" t="s">
        <v>8519</v>
      </c>
    </row>
    <row r="4241" spans="1:4" ht="14.25">
      <c r="A4241" s="5">
        <v>15</v>
      </c>
      <c r="B4241" s="6" t="s">
        <v>8520</v>
      </c>
      <c r="C4241" s="7">
        <v>27805</v>
      </c>
      <c r="D4241" s="8" t="s">
        <v>8521</v>
      </c>
    </row>
    <row r="4242" spans="1:4" ht="14.25">
      <c r="A4242" s="5" t="s">
        <v>454</v>
      </c>
      <c r="B4242" s="6" t="s">
        <v>8522</v>
      </c>
      <c r="C4242" s="7">
        <v>27806</v>
      </c>
      <c r="D4242" s="8" t="s">
        <v>8523</v>
      </c>
    </row>
    <row r="4243" spans="1:4" ht="14.25">
      <c r="A4243" s="5">
        <v>16</v>
      </c>
      <c r="B4243" s="6" t="s">
        <v>8524</v>
      </c>
      <c r="C4243" s="7">
        <v>27806</v>
      </c>
      <c r="D4243" s="8" t="s">
        <v>8525</v>
      </c>
    </row>
    <row r="4244" spans="1:4" ht="14.25">
      <c r="A4244" s="5">
        <v>16</v>
      </c>
      <c r="B4244" s="6" t="s">
        <v>8526</v>
      </c>
      <c r="C4244" s="7">
        <v>27806</v>
      </c>
      <c r="D4244" s="8" t="s">
        <v>8527</v>
      </c>
    </row>
    <row r="4245" spans="1:4" ht="14.25">
      <c r="A4245" s="5" t="s">
        <v>454</v>
      </c>
      <c r="B4245" s="6" t="s">
        <v>8528</v>
      </c>
      <c r="C4245" s="7">
        <v>27807</v>
      </c>
      <c r="D4245" s="8" t="s">
        <v>8529</v>
      </c>
    </row>
    <row r="4246" spans="1:4" ht="14.25">
      <c r="A4246" s="5">
        <v>17</v>
      </c>
      <c r="B4246" s="6" t="s">
        <v>8530</v>
      </c>
      <c r="C4246" s="7">
        <v>27807</v>
      </c>
      <c r="D4246" s="8" t="s">
        <v>8531</v>
      </c>
    </row>
    <row r="4247" spans="1:4" ht="14.25">
      <c r="A4247" s="5">
        <v>17</v>
      </c>
      <c r="B4247" s="6" t="s">
        <v>8532</v>
      </c>
      <c r="C4247" s="7">
        <v>27807</v>
      </c>
      <c r="D4247" s="8" t="s">
        <v>8533</v>
      </c>
    </row>
    <row r="4248" spans="1:4" ht="14.25">
      <c r="A4248" s="5" t="s">
        <v>454</v>
      </c>
      <c r="B4248" s="6" t="s">
        <v>8534</v>
      </c>
      <c r="C4248" s="7">
        <v>27808</v>
      </c>
      <c r="D4248" s="8" t="s">
        <v>8535</v>
      </c>
    </row>
    <row r="4249" spans="1:4" ht="14.25">
      <c r="A4249" s="5">
        <v>18</v>
      </c>
      <c r="B4249" s="6" t="s">
        <v>8536</v>
      </c>
      <c r="C4249" s="7">
        <v>27808</v>
      </c>
      <c r="D4249" s="8" t="s">
        <v>8537</v>
      </c>
    </row>
    <row r="4250" spans="1:4" ht="14.25">
      <c r="A4250" s="5">
        <v>18</v>
      </c>
      <c r="B4250" s="6" t="s">
        <v>8538</v>
      </c>
      <c r="C4250" s="7">
        <v>27808</v>
      </c>
      <c r="D4250" s="8" t="s">
        <v>8539</v>
      </c>
    </row>
    <row r="4251" spans="1:4" ht="14.25">
      <c r="A4251" s="5">
        <v>18</v>
      </c>
      <c r="B4251" s="6" t="s">
        <v>8540</v>
      </c>
      <c r="C4251" s="7">
        <v>27808</v>
      </c>
      <c r="D4251" s="8" t="s">
        <v>8541</v>
      </c>
    </row>
    <row r="4252" spans="1:4" ht="14.25">
      <c r="A4252" s="5" t="s">
        <v>454</v>
      </c>
      <c r="B4252" s="6" t="s">
        <v>8542</v>
      </c>
      <c r="C4252" s="7">
        <v>27809</v>
      </c>
      <c r="D4252" s="8" t="s">
        <v>8543</v>
      </c>
    </row>
    <row r="4253" spans="1:4" ht="14.25">
      <c r="A4253" s="5">
        <v>19</v>
      </c>
      <c r="B4253" s="6" t="s">
        <v>8544</v>
      </c>
      <c r="C4253" s="7">
        <v>27809</v>
      </c>
      <c r="D4253" s="8" t="s">
        <v>8545</v>
      </c>
    </row>
    <row r="4254" spans="1:4" ht="14.25">
      <c r="A4254" s="5">
        <v>19</v>
      </c>
      <c r="B4254" s="6" t="s">
        <v>8546</v>
      </c>
      <c r="C4254" s="7">
        <v>27809</v>
      </c>
      <c r="D4254" s="8" t="s">
        <v>8547</v>
      </c>
    </row>
    <row r="4255" spans="1:4" ht="14.25">
      <c r="A4255" s="5">
        <v>19</v>
      </c>
      <c r="B4255" s="6" t="s">
        <v>8548</v>
      </c>
      <c r="C4255" s="7">
        <v>27809</v>
      </c>
      <c r="D4255" s="8" t="s">
        <v>8549</v>
      </c>
    </row>
    <row r="4256" spans="1:4" ht="14.25">
      <c r="A4256" s="5" t="s">
        <v>454</v>
      </c>
      <c r="B4256" s="6" t="s">
        <v>8550</v>
      </c>
      <c r="C4256" s="7">
        <v>27810</v>
      </c>
      <c r="D4256" s="8" t="s">
        <v>8551</v>
      </c>
    </row>
    <row r="4257" spans="1:4" ht="14.25">
      <c r="A4257" s="5">
        <v>20</v>
      </c>
      <c r="B4257" s="6" t="s">
        <v>8552</v>
      </c>
      <c r="C4257" s="7">
        <v>27810</v>
      </c>
      <c r="D4257" s="8" t="s">
        <v>8553</v>
      </c>
    </row>
    <row r="4258" spans="1:4" ht="14.25">
      <c r="A4258" s="5">
        <v>20</v>
      </c>
      <c r="B4258" s="6" t="s">
        <v>8554</v>
      </c>
      <c r="C4258" s="7">
        <v>27810</v>
      </c>
      <c r="D4258" s="8" t="s">
        <v>8555</v>
      </c>
    </row>
    <row r="4259" spans="1:4" ht="14.25">
      <c r="A4259" s="5">
        <v>20</v>
      </c>
      <c r="B4259" s="6" t="s">
        <v>8556</v>
      </c>
      <c r="C4259" s="7">
        <v>27810</v>
      </c>
      <c r="D4259" s="8" t="s">
        <v>8557</v>
      </c>
    </row>
    <row r="4260" spans="1:4" ht="14.25">
      <c r="A4260" s="5" t="s">
        <v>197</v>
      </c>
      <c r="B4260" s="6" t="s">
        <v>8558</v>
      </c>
      <c r="C4260" s="7">
        <v>27811</v>
      </c>
      <c r="D4260" s="8" t="s">
        <v>8559</v>
      </c>
    </row>
    <row r="4261" spans="1:4" ht="14.25">
      <c r="A4261" s="5" t="s">
        <v>454</v>
      </c>
      <c r="B4261" s="6" t="s">
        <v>8560</v>
      </c>
      <c r="C4261" s="7">
        <v>27811</v>
      </c>
      <c r="D4261" s="8" t="s">
        <v>8561</v>
      </c>
    </row>
    <row r="4262" spans="1:4" ht="14.25">
      <c r="A4262" s="5" t="s">
        <v>167</v>
      </c>
      <c r="B4262" s="6" t="s">
        <v>8562</v>
      </c>
      <c r="C4262" s="7">
        <v>27811</v>
      </c>
      <c r="D4262" s="8" t="s">
        <v>8563</v>
      </c>
    </row>
    <row r="4263" spans="1:4" ht="14.25">
      <c r="A4263" s="5">
        <v>21</v>
      </c>
      <c r="B4263" s="6" t="s">
        <v>8564</v>
      </c>
      <c r="C4263" s="7">
        <v>27811</v>
      </c>
      <c r="D4263" s="8" t="s">
        <v>8565</v>
      </c>
    </row>
    <row r="4264" spans="1:4" ht="14.25">
      <c r="A4264" s="5">
        <v>21</v>
      </c>
      <c r="B4264" s="6" t="s">
        <v>8566</v>
      </c>
      <c r="C4264" s="7">
        <v>27811</v>
      </c>
      <c r="D4264" s="8" t="s">
        <v>8567</v>
      </c>
    </row>
    <row r="4265" spans="1:4" ht="14.25">
      <c r="A4265" s="5">
        <v>21</v>
      </c>
      <c r="B4265" s="6" t="s">
        <v>8568</v>
      </c>
      <c r="C4265" s="7">
        <v>27811</v>
      </c>
      <c r="D4265" s="8" t="s">
        <v>8569</v>
      </c>
    </row>
    <row r="4266" spans="1:4" ht="14.25">
      <c r="A4266" s="5">
        <v>21</v>
      </c>
      <c r="B4266" s="6" t="s">
        <v>8570</v>
      </c>
      <c r="C4266" s="7">
        <v>27811</v>
      </c>
      <c r="D4266" s="8" t="s">
        <v>8571</v>
      </c>
    </row>
    <row r="4267" spans="1:4" ht="14.25">
      <c r="A4267" s="5">
        <v>21</v>
      </c>
      <c r="B4267" s="6" t="s">
        <v>8572</v>
      </c>
      <c r="C4267" s="7">
        <v>27811</v>
      </c>
      <c r="D4267" s="8" t="s">
        <v>8573</v>
      </c>
    </row>
    <row r="4268" spans="1:4" ht="14.25">
      <c r="A4268" s="5">
        <v>21</v>
      </c>
      <c r="B4268" s="6" t="s">
        <v>8574</v>
      </c>
      <c r="C4268" s="7">
        <v>27811</v>
      </c>
      <c r="D4268" s="8" t="s">
        <v>8575</v>
      </c>
    </row>
    <row r="4269" spans="1:4" ht="14.25">
      <c r="A4269" s="5" t="s">
        <v>454</v>
      </c>
      <c r="B4269" s="6" t="s">
        <v>8576</v>
      </c>
      <c r="C4269" s="7">
        <v>27812</v>
      </c>
      <c r="D4269" s="8" t="s">
        <v>8577</v>
      </c>
    </row>
    <row r="4270" spans="1:4" ht="14.25">
      <c r="A4270" s="5">
        <v>22</v>
      </c>
      <c r="B4270" s="6" t="s">
        <v>8578</v>
      </c>
      <c r="C4270" s="7">
        <v>27812</v>
      </c>
      <c r="D4270" s="8" t="s">
        <v>8579</v>
      </c>
    </row>
    <row r="4271" spans="1:4" ht="14.25">
      <c r="A4271" s="5">
        <v>22</v>
      </c>
      <c r="B4271" s="6" t="s">
        <v>8580</v>
      </c>
      <c r="C4271" s="7">
        <v>27812</v>
      </c>
      <c r="D4271" s="8" t="s">
        <v>8581</v>
      </c>
    </row>
    <row r="4272" spans="1:4" ht="14.25">
      <c r="A4272" s="5">
        <v>22</v>
      </c>
      <c r="B4272" s="6" t="s">
        <v>8582</v>
      </c>
      <c r="C4272" s="7">
        <v>27812</v>
      </c>
      <c r="D4272" s="8" t="s">
        <v>8583</v>
      </c>
    </row>
    <row r="4273" spans="1:4" ht="14.25">
      <c r="A4273" s="5" t="s">
        <v>454</v>
      </c>
      <c r="B4273" s="6" t="s">
        <v>8584</v>
      </c>
      <c r="C4273" s="7">
        <v>27813</v>
      </c>
      <c r="D4273" s="8" t="s">
        <v>8585</v>
      </c>
    </row>
    <row r="4274" spans="1:4" ht="14.25">
      <c r="A4274" s="5">
        <v>23</v>
      </c>
      <c r="B4274" s="6" t="s">
        <v>8586</v>
      </c>
      <c r="C4274" s="7">
        <v>27813</v>
      </c>
      <c r="D4274" s="8" t="s">
        <v>8587</v>
      </c>
    </row>
    <row r="4275" spans="1:4" ht="14.25">
      <c r="A4275" s="5">
        <v>23</v>
      </c>
      <c r="B4275" s="6" t="s">
        <v>8588</v>
      </c>
      <c r="C4275" s="7">
        <v>27813</v>
      </c>
      <c r="D4275" s="8" t="s">
        <v>8589</v>
      </c>
    </row>
    <row r="4276" spans="1:4" ht="14.25">
      <c r="A4276" s="5" t="s">
        <v>454</v>
      </c>
      <c r="B4276" s="6" t="s">
        <v>8590</v>
      </c>
      <c r="C4276" s="7">
        <v>27814</v>
      </c>
      <c r="D4276" s="8" t="s">
        <v>8591</v>
      </c>
    </row>
    <row r="4277" spans="1:4" ht="14.25">
      <c r="A4277" s="5">
        <v>24</v>
      </c>
      <c r="B4277" s="6" t="s">
        <v>8592</v>
      </c>
      <c r="C4277" s="7">
        <v>27814</v>
      </c>
      <c r="D4277" s="8" t="s">
        <v>8593</v>
      </c>
    </row>
    <row r="4278" spans="1:4" ht="14.25">
      <c r="A4278" s="5">
        <v>24</v>
      </c>
      <c r="B4278" s="6" t="s">
        <v>8594</v>
      </c>
      <c r="C4278" s="7">
        <v>27814</v>
      </c>
      <c r="D4278" s="8" t="s">
        <v>8595</v>
      </c>
    </row>
    <row r="4279" spans="1:4" ht="14.25">
      <c r="A4279" s="5" t="s">
        <v>484</v>
      </c>
      <c r="B4279" s="6" t="s">
        <v>8596</v>
      </c>
      <c r="C4279" s="7">
        <v>27815</v>
      </c>
      <c r="D4279" s="8" t="s">
        <v>8597</v>
      </c>
    </row>
    <row r="4280" spans="1:4" ht="14.25">
      <c r="A4280" s="5" t="s">
        <v>454</v>
      </c>
      <c r="B4280" s="6" t="s">
        <v>8598</v>
      </c>
      <c r="C4280" s="7">
        <v>27815</v>
      </c>
      <c r="D4280" s="8" t="s">
        <v>8599</v>
      </c>
    </row>
    <row r="4281" spans="1:4" ht="14.25">
      <c r="A4281" s="5">
        <v>25</v>
      </c>
      <c r="B4281" s="6" t="s">
        <v>8600</v>
      </c>
      <c r="C4281" s="7">
        <v>27815</v>
      </c>
      <c r="D4281" s="8" t="s">
        <v>8601</v>
      </c>
    </row>
    <row r="4282" spans="1:4" ht="14.25">
      <c r="A4282" s="5">
        <v>25</v>
      </c>
      <c r="B4282" s="6" t="s">
        <v>8602</v>
      </c>
      <c r="C4282" s="7">
        <v>27815</v>
      </c>
      <c r="D4282" s="8" t="s">
        <v>8603</v>
      </c>
    </row>
    <row r="4283" spans="1:4" ht="14.25">
      <c r="A4283" s="5">
        <v>25</v>
      </c>
      <c r="B4283" s="6" t="s">
        <v>8604</v>
      </c>
      <c r="C4283" s="7">
        <v>27815</v>
      </c>
      <c r="D4283" s="8" t="s">
        <v>8605</v>
      </c>
    </row>
    <row r="4284" spans="1:4" ht="14.25">
      <c r="A4284" s="5">
        <v>25</v>
      </c>
      <c r="B4284" s="6" t="s">
        <v>8606</v>
      </c>
      <c r="C4284" s="7">
        <v>27815</v>
      </c>
      <c r="D4284" s="8" t="s">
        <v>8607</v>
      </c>
    </row>
    <row r="4285" spans="1:4" ht="14.25">
      <c r="A4285" s="5" t="s">
        <v>484</v>
      </c>
      <c r="B4285" s="6" t="s">
        <v>8608</v>
      </c>
      <c r="C4285" s="7">
        <v>27816</v>
      </c>
      <c r="D4285" s="8" t="s">
        <v>8609</v>
      </c>
    </row>
    <row r="4286" spans="1:4" ht="14.25">
      <c r="A4286" s="5" t="s">
        <v>454</v>
      </c>
      <c r="B4286" s="6" t="s">
        <v>8610</v>
      </c>
      <c r="C4286" s="7">
        <v>27816</v>
      </c>
      <c r="D4286" s="8" t="s">
        <v>8611</v>
      </c>
    </row>
    <row r="4287" spans="1:4" ht="14.25">
      <c r="A4287" s="5">
        <v>26</v>
      </c>
      <c r="B4287" s="6" t="s">
        <v>8612</v>
      </c>
      <c r="C4287" s="7">
        <v>27816</v>
      </c>
      <c r="D4287" s="8" t="s">
        <v>8613</v>
      </c>
    </row>
    <row r="4288" spans="1:4" ht="14.25">
      <c r="A4288" s="5">
        <v>26</v>
      </c>
      <c r="B4288" s="6" t="s">
        <v>8614</v>
      </c>
      <c r="C4288" s="7">
        <v>27816</v>
      </c>
      <c r="D4288" s="8" t="s">
        <v>8615</v>
      </c>
    </row>
    <row r="4289" spans="1:4" ht="14.25">
      <c r="A4289" s="5">
        <v>26</v>
      </c>
      <c r="B4289" s="6" t="s">
        <v>8616</v>
      </c>
      <c r="C4289" s="7">
        <v>27816</v>
      </c>
      <c r="D4289" s="8" t="s">
        <v>8617</v>
      </c>
    </row>
    <row r="4290" spans="1:4" ht="14.25">
      <c r="A4290" s="5">
        <v>26</v>
      </c>
      <c r="B4290" s="6" t="s">
        <v>8618</v>
      </c>
      <c r="C4290" s="7">
        <v>27816</v>
      </c>
      <c r="D4290" s="8" t="s">
        <v>8619</v>
      </c>
    </row>
    <row r="4291" spans="1:4" ht="14.25">
      <c r="A4291" s="5" t="s">
        <v>454</v>
      </c>
      <c r="B4291" s="6" t="s">
        <v>8620</v>
      </c>
      <c r="C4291" s="7">
        <v>27817</v>
      </c>
      <c r="D4291" s="8" t="s">
        <v>8621</v>
      </c>
    </row>
    <row r="4292" spans="1:4" ht="14.25">
      <c r="A4292" s="5">
        <v>27</v>
      </c>
      <c r="B4292" s="6" t="s">
        <v>8622</v>
      </c>
      <c r="C4292" s="7">
        <v>27817</v>
      </c>
      <c r="D4292" s="8" t="s">
        <v>8623</v>
      </c>
    </row>
    <row r="4293" spans="1:4" ht="14.25">
      <c r="A4293" s="5">
        <v>27</v>
      </c>
      <c r="B4293" s="6" t="s">
        <v>8624</v>
      </c>
      <c r="C4293" s="7">
        <v>27817</v>
      </c>
      <c r="D4293" s="8" t="s">
        <v>8625</v>
      </c>
    </row>
    <row r="4294" spans="1:4" ht="14.25">
      <c r="A4294" s="5">
        <v>27</v>
      </c>
      <c r="B4294" s="6" t="s">
        <v>8626</v>
      </c>
      <c r="C4294" s="7">
        <v>27817</v>
      </c>
      <c r="D4294" s="8" t="s">
        <v>8627</v>
      </c>
    </row>
    <row r="4295" spans="1:4" ht="14.25">
      <c r="A4295" s="5" t="s">
        <v>454</v>
      </c>
      <c r="B4295" s="6" t="s">
        <v>8628</v>
      </c>
      <c r="C4295" s="7">
        <v>27818</v>
      </c>
      <c r="D4295" s="8" t="s">
        <v>8629</v>
      </c>
    </row>
    <row r="4296" spans="1:4" ht="14.25">
      <c r="A4296" s="5">
        <v>28</v>
      </c>
      <c r="B4296" s="6" t="s">
        <v>8630</v>
      </c>
      <c r="C4296" s="7">
        <v>27818</v>
      </c>
      <c r="D4296" s="8" t="s">
        <v>8631</v>
      </c>
    </row>
    <row r="4297" spans="1:4" ht="14.25">
      <c r="A4297" s="5">
        <v>28</v>
      </c>
      <c r="B4297" s="6" t="s">
        <v>8632</v>
      </c>
      <c r="C4297" s="7">
        <v>27818</v>
      </c>
      <c r="D4297" s="8" t="s">
        <v>8633</v>
      </c>
    </row>
    <row r="4298" spans="1:4" ht="14.25">
      <c r="A4298" s="5">
        <v>28</v>
      </c>
      <c r="B4298" s="6" t="s">
        <v>8634</v>
      </c>
      <c r="C4298" s="7">
        <v>27818</v>
      </c>
      <c r="D4298" s="8" t="s">
        <v>8635</v>
      </c>
    </row>
    <row r="4299" spans="1:4" ht="14.25">
      <c r="A4299" s="5" t="s">
        <v>454</v>
      </c>
      <c r="B4299" s="6" t="s">
        <v>8636</v>
      </c>
      <c r="C4299" s="7">
        <v>27819</v>
      </c>
      <c r="D4299" s="8" t="s">
        <v>8637</v>
      </c>
    </row>
    <row r="4300" spans="1:4" ht="14.25">
      <c r="A4300" s="5">
        <v>29</v>
      </c>
      <c r="B4300" s="6" t="s">
        <v>8638</v>
      </c>
      <c r="C4300" s="7">
        <v>27819</v>
      </c>
      <c r="D4300" s="8" t="s">
        <v>8639</v>
      </c>
    </row>
    <row r="4301" spans="1:4" ht="14.25">
      <c r="A4301" s="5">
        <v>29</v>
      </c>
      <c r="B4301" s="6" t="s">
        <v>8640</v>
      </c>
      <c r="C4301" s="7">
        <v>27819</v>
      </c>
      <c r="D4301" s="8" t="s">
        <v>8641</v>
      </c>
    </row>
    <row r="4302" spans="1:4" ht="14.25">
      <c r="A4302" s="5">
        <v>29</v>
      </c>
      <c r="B4302" s="6" t="s">
        <v>8642</v>
      </c>
      <c r="C4302" s="7">
        <v>27819</v>
      </c>
      <c r="D4302" s="8" t="s">
        <v>8643</v>
      </c>
    </row>
    <row r="4303" spans="1:4" ht="14.25">
      <c r="A4303" s="5" t="s">
        <v>454</v>
      </c>
      <c r="B4303" s="6" t="s">
        <v>8644</v>
      </c>
      <c r="C4303" s="7">
        <v>27820</v>
      </c>
      <c r="D4303" s="8" t="s">
        <v>8645</v>
      </c>
    </row>
    <row r="4304" spans="1:4" ht="14.25">
      <c r="A4304" s="5">
        <v>1</v>
      </c>
      <c r="B4304" s="6" t="s">
        <v>8646</v>
      </c>
      <c r="C4304" s="7">
        <v>27820</v>
      </c>
      <c r="D4304" s="8" t="s">
        <v>8647</v>
      </c>
    </row>
    <row r="4305" spans="1:4" ht="14.25">
      <c r="A4305" s="5">
        <v>1</v>
      </c>
      <c r="B4305" s="6" t="s">
        <v>8648</v>
      </c>
      <c r="C4305" s="7">
        <v>27820</v>
      </c>
      <c r="D4305" s="8" t="s">
        <v>8649</v>
      </c>
    </row>
    <row r="4306" spans="1:4" ht="14.25">
      <c r="A4306" s="5">
        <v>1</v>
      </c>
      <c r="B4306" s="6" t="s">
        <v>8650</v>
      </c>
      <c r="C4306" s="7">
        <v>27820</v>
      </c>
      <c r="D4306" s="8" t="s">
        <v>8651</v>
      </c>
    </row>
    <row r="4307" spans="1:4" ht="14.25">
      <c r="A4307" s="5" t="s">
        <v>454</v>
      </c>
      <c r="B4307" s="6" t="s">
        <v>8652</v>
      </c>
      <c r="C4307" s="7">
        <v>27821</v>
      </c>
      <c r="D4307" s="8" t="s">
        <v>8653</v>
      </c>
    </row>
    <row r="4308" spans="1:4" ht="14.25">
      <c r="A4308" s="5">
        <v>2</v>
      </c>
      <c r="B4308" s="6" t="s">
        <v>8654</v>
      </c>
      <c r="C4308" s="7">
        <v>27821</v>
      </c>
      <c r="D4308" s="8" t="s">
        <v>8655</v>
      </c>
    </row>
    <row r="4309" spans="1:4" ht="14.25">
      <c r="A4309" s="5">
        <v>2</v>
      </c>
      <c r="B4309" s="6" t="s">
        <v>8656</v>
      </c>
      <c r="C4309" s="7">
        <v>27821</v>
      </c>
      <c r="D4309" s="8" t="s">
        <v>8657</v>
      </c>
    </row>
    <row r="4310" spans="1:4" ht="14.25">
      <c r="A4310" s="5">
        <v>2</v>
      </c>
      <c r="B4310" s="6" t="s">
        <v>8658</v>
      </c>
      <c r="C4310" s="7">
        <v>27821</v>
      </c>
      <c r="D4310" s="8" t="s">
        <v>8659</v>
      </c>
    </row>
    <row r="4311" spans="1:4" ht="14.25">
      <c r="A4311" s="5">
        <v>3</v>
      </c>
      <c r="B4311" s="6" t="s">
        <v>8660</v>
      </c>
      <c r="C4311" s="7">
        <v>27822</v>
      </c>
      <c r="D4311" s="8" t="s">
        <v>8661</v>
      </c>
    </row>
    <row r="4312" spans="1:4" ht="14.25">
      <c r="A4312" s="5" t="s">
        <v>454</v>
      </c>
      <c r="B4312" s="6" t="s">
        <v>8662</v>
      </c>
      <c r="C4312" s="7">
        <v>27823</v>
      </c>
      <c r="D4312" s="8" t="s">
        <v>8663</v>
      </c>
    </row>
    <row r="4313" spans="1:4" ht="14.25">
      <c r="A4313" s="5">
        <v>4</v>
      </c>
      <c r="B4313" s="6" t="s">
        <v>8664</v>
      </c>
      <c r="C4313" s="7">
        <v>27823</v>
      </c>
      <c r="D4313" s="8" t="s">
        <v>8665</v>
      </c>
    </row>
    <row r="4314" spans="1:4" ht="14.25">
      <c r="A4314" s="5">
        <v>4</v>
      </c>
      <c r="B4314" s="6" t="s">
        <v>8666</v>
      </c>
      <c r="C4314" s="7">
        <v>27823</v>
      </c>
      <c r="D4314" s="8" t="s">
        <v>8667</v>
      </c>
    </row>
    <row r="4315" spans="1:4" ht="14.25">
      <c r="A4315" s="5" t="s">
        <v>454</v>
      </c>
      <c r="B4315" s="6" t="s">
        <v>8668</v>
      </c>
      <c r="C4315" s="7">
        <v>27824</v>
      </c>
      <c r="D4315" s="8" t="s">
        <v>8669</v>
      </c>
    </row>
    <row r="4316" spans="1:4" ht="14.25">
      <c r="A4316" s="5">
        <v>5</v>
      </c>
      <c r="B4316" s="6" t="s">
        <v>8670</v>
      </c>
      <c r="C4316" s="7">
        <v>27824</v>
      </c>
      <c r="D4316" s="8" t="s">
        <v>8671</v>
      </c>
    </row>
    <row r="4317" spans="1:4" ht="14.25">
      <c r="A4317" s="5">
        <v>5</v>
      </c>
      <c r="B4317" s="6" t="s">
        <v>8672</v>
      </c>
      <c r="C4317" s="7">
        <v>27824</v>
      </c>
      <c r="D4317" s="8" t="s">
        <v>8673</v>
      </c>
    </row>
    <row r="4318" spans="1:4" ht="14.25">
      <c r="A4318" s="5">
        <v>5</v>
      </c>
      <c r="B4318" s="6" t="s">
        <v>8674</v>
      </c>
      <c r="C4318" s="7">
        <v>27824</v>
      </c>
      <c r="D4318" s="8" t="s">
        <v>8675</v>
      </c>
    </row>
    <row r="4319" spans="1:4" ht="14.25">
      <c r="A4319" s="5" t="s">
        <v>454</v>
      </c>
      <c r="B4319" s="6" t="s">
        <v>8676</v>
      </c>
      <c r="C4319" s="7">
        <v>27825</v>
      </c>
      <c r="D4319" s="8" t="s">
        <v>8677</v>
      </c>
    </row>
    <row r="4320" spans="1:4" ht="14.25">
      <c r="A4320" s="5">
        <v>6</v>
      </c>
      <c r="B4320" s="6" t="s">
        <v>8678</v>
      </c>
      <c r="C4320" s="7">
        <v>27825</v>
      </c>
      <c r="D4320" s="8" t="s">
        <v>8679</v>
      </c>
    </row>
    <row r="4321" spans="1:4" ht="14.25">
      <c r="A4321" s="5">
        <v>6</v>
      </c>
      <c r="B4321" s="6" t="s">
        <v>8680</v>
      </c>
      <c r="C4321" s="7">
        <v>27825</v>
      </c>
      <c r="D4321" s="8" t="s">
        <v>8681</v>
      </c>
    </row>
    <row r="4322" spans="1:4" ht="14.25">
      <c r="A4322" s="5">
        <v>6</v>
      </c>
      <c r="B4322" s="6" t="s">
        <v>8682</v>
      </c>
      <c r="C4322" s="7">
        <v>27825</v>
      </c>
      <c r="D4322" s="8" t="s">
        <v>8683</v>
      </c>
    </row>
    <row r="4323" spans="1:4" ht="14.25">
      <c r="A4323" s="5" t="s">
        <v>1887</v>
      </c>
      <c r="B4323" s="6" t="s">
        <v>8684</v>
      </c>
      <c r="C4323" s="7">
        <v>27825</v>
      </c>
      <c r="D4323" s="8" t="s">
        <v>8685</v>
      </c>
    </row>
    <row r="4324" spans="1:4" ht="14.25">
      <c r="A4324" s="5" t="s">
        <v>484</v>
      </c>
      <c r="B4324" s="6" t="s">
        <v>8686</v>
      </c>
      <c r="C4324" s="7">
        <v>27826</v>
      </c>
      <c r="D4324" s="8" t="s">
        <v>8687</v>
      </c>
    </row>
    <row r="4325" spans="1:4" ht="14.25">
      <c r="A4325" s="5" t="s">
        <v>454</v>
      </c>
      <c r="B4325" s="6" t="s">
        <v>8688</v>
      </c>
      <c r="C4325" s="7">
        <v>27826</v>
      </c>
      <c r="D4325" s="8" t="s">
        <v>8689</v>
      </c>
    </row>
    <row r="4326" spans="1:4" ht="14.25">
      <c r="A4326" s="5">
        <v>7</v>
      </c>
      <c r="B4326" s="6" t="s">
        <v>8690</v>
      </c>
      <c r="C4326" s="7">
        <v>27826</v>
      </c>
      <c r="D4326" s="8" t="s">
        <v>8691</v>
      </c>
    </row>
    <row r="4327" spans="1:4" ht="14.25">
      <c r="A4327" s="5">
        <v>7</v>
      </c>
      <c r="B4327" s="6" t="s">
        <v>8692</v>
      </c>
      <c r="C4327" s="7">
        <v>27826</v>
      </c>
      <c r="D4327" s="8" t="s">
        <v>8693</v>
      </c>
    </row>
    <row r="4328" spans="1:4" ht="14.25">
      <c r="A4328" s="5">
        <v>7</v>
      </c>
      <c r="B4328" s="6" t="s">
        <v>8694</v>
      </c>
      <c r="C4328" s="7">
        <v>27826</v>
      </c>
      <c r="D4328" s="8" t="s">
        <v>8695</v>
      </c>
    </row>
    <row r="4329" spans="1:4" ht="14.25">
      <c r="A4329" s="5">
        <v>7</v>
      </c>
      <c r="B4329" s="6" t="s">
        <v>8696</v>
      </c>
      <c r="C4329" s="7">
        <v>27826</v>
      </c>
      <c r="D4329" s="8" t="s">
        <v>8697</v>
      </c>
    </row>
    <row r="4330" spans="1:4" ht="14.25">
      <c r="A4330" s="5" t="s">
        <v>454</v>
      </c>
      <c r="B4330" s="6" t="s">
        <v>8698</v>
      </c>
      <c r="C4330" s="7">
        <v>27827</v>
      </c>
      <c r="D4330" s="8" t="s">
        <v>8699</v>
      </c>
    </row>
    <row r="4331" spans="1:4" ht="14.25">
      <c r="A4331" s="5">
        <v>8</v>
      </c>
      <c r="B4331" s="6" t="s">
        <v>8700</v>
      </c>
      <c r="C4331" s="7">
        <v>27827</v>
      </c>
      <c r="D4331" s="8" t="s">
        <v>8701</v>
      </c>
    </row>
    <row r="4332" spans="1:4" ht="14.25">
      <c r="A4332" s="5">
        <v>8</v>
      </c>
      <c r="B4332" s="6" t="s">
        <v>8702</v>
      </c>
      <c r="C4332" s="7">
        <v>27827</v>
      </c>
      <c r="D4332" s="8" t="s">
        <v>8703</v>
      </c>
    </row>
    <row r="4333" spans="1:4" ht="14.25">
      <c r="A4333" s="5">
        <v>8</v>
      </c>
      <c r="B4333" s="6" t="s">
        <v>8704</v>
      </c>
      <c r="C4333" s="7">
        <v>27827</v>
      </c>
      <c r="D4333" s="8" t="s">
        <v>8705</v>
      </c>
    </row>
    <row r="4334" spans="1:4" ht="14.25">
      <c r="A4334" s="5" t="s">
        <v>454</v>
      </c>
      <c r="B4334" s="6" t="s">
        <v>8706</v>
      </c>
      <c r="C4334" s="7">
        <v>27828</v>
      </c>
      <c r="D4334" s="8" t="s">
        <v>8707</v>
      </c>
    </row>
    <row r="4335" spans="1:4" ht="14.25">
      <c r="A4335" s="5">
        <v>9</v>
      </c>
      <c r="B4335" s="6" t="s">
        <v>8708</v>
      </c>
      <c r="C4335" s="7">
        <v>27828</v>
      </c>
      <c r="D4335" s="8" t="s">
        <v>8709</v>
      </c>
    </row>
    <row r="4336" spans="1:4" ht="14.25">
      <c r="A4336" s="5">
        <v>9</v>
      </c>
      <c r="B4336" s="6" t="s">
        <v>8710</v>
      </c>
      <c r="C4336" s="7">
        <v>27828</v>
      </c>
      <c r="D4336" s="8" t="s">
        <v>8711</v>
      </c>
    </row>
    <row r="4337" spans="1:4" ht="14.25">
      <c r="A4337" s="5">
        <v>9</v>
      </c>
      <c r="B4337" s="6" t="s">
        <v>8712</v>
      </c>
      <c r="C4337" s="7">
        <v>27828</v>
      </c>
      <c r="D4337" s="8" t="s">
        <v>8713</v>
      </c>
    </row>
    <row r="4338" spans="1:4" ht="14.25">
      <c r="A4338" s="5" t="s">
        <v>454</v>
      </c>
      <c r="B4338" s="6" t="s">
        <v>8714</v>
      </c>
      <c r="C4338" s="7">
        <v>27829</v>
      </c>
      <c r="D4338" s="8" t="s">
        <v>8715</v>
      </c>
    </row>
    <row r="4339" spans="1:4" ht="14.25">
      <c r="A4339" s="5">
        <v>10</v>
      </c>
      <c r="B4339" s="6" t="s">
        <v>8716</v>
      </c>
      <c r="C4339" s="7">
        <v>27829</v>
      </c>
      <c r="D4339" s="8" t="s">
        <v>8717</v>
      </c>
    </row>
    <row r="4340" spans="1:4" ht="14.25">
      <c r="A4340" s="5">
        <v>10</v>
      </c>
      <c r="B4340" s="6" t="s">
        <v>8718</v>
      </c>
      <c r="C4340" s="7">
        <v>27829</v>
      </c>
      <c r="D4340" s="8" t="s">
        <v>8719</v>
      </c>
    </row>
    <row r="4341" spans="1:4" ht="14.25">
      <c r="A4341" s="5">
        <v>10</v>
      </c>
      <c r="B4341" s="6" t="s">
        <v>8720</v>
      </c>
      <c r="C4341" s="7">
        <v>27829</v>
      </c>
      <c r="D4341" s="8" t="s">
        <v>8721</v>
      </c>
    </row>
    <row r="4342" spans="1:4" ht="14.25">
      <c r="A4342" s="5" t="s">
        <v>484</v>
      </c>
      <c r="B4342" s="6" t="s">
        <v>8722</v>
      </c>
      <c r="C4342" s="7">
        <v>27830</v>
      </c>
      <c r="D4342" s="8" t="s">
        <v>8723</v>
      </c>
    </row>
    <row r="4343" spans="1:4" ht="14.25">
      <c r="A4343" s="5" t="s">
        <v>454</v>
      </c>
      <c r="B4343" s="6" t="s">
        <v>8724</v>
      </c>
      <c r="C4343" s="7">
        <v>27830</v>
      </c>
      <c r="D4343" s="8" t="s">
        <v>8725</v>
      </c>
    </row>
    <row r="4344" spans="1:4" ht="14.25">
      <c r="A4344" s="5">
        <v>11</v>
      </c>
      <c r="B4344" s="6" t="s">
        <v>8726</v>
      </c>
      <c r="C4344" s="7">
        <v>27830</v>
      </c>
      <c r="D4344" s="8" t="s">
        <v>8727</v>
      </c>
    </row>
    <row r="4345" spans="1:4" ht="14.25">
      <c r="A4345" s="5">
        <v>11</v>
      </c>
      <c r="B4345" s="6" t="s">
        <v>8728</v>
      </c>
      <c r="C4345" s="7">
        <v>27830</v>
      </c>
      <c r="D4345" s="8" t="s">
        <v>8729</v>
      </c>
    </row>
    <row r="4346" spans="1:4" ht="14.25">
      <c r="A4346" s="5">
        <v>11</v>
      </c>
      <c r="B4346" s="6" t="s">
        <v>8730</v>
      </c>
      <c r="C4346" s="7">
        <v>27830</v>
      </c>
      <c r="D4346" s="8" t="s">
        <v>8731</v>
      </c>
    </row>
    <row r="4347" spans="1:4" ht="14.25">
      <c r="A4347" s="5">
        <v>11</v>
      </c>
      <c r="B4347" s="6" t="s">
        <v>8732</v>
      </c>
      <c r="C4347" s="7">
        <v>27830</v>
      </c>
      <c r="D4347" s="8" t="s">
        <v>8733</v>
      </c>
    </row>
    <row r="4348" spans="1:4" ht="14.25">
      <c r="A4348" s="5" t="s">
        <v>484</v>
      </c>
      <c r="B4348" s="6" t="s">
        <v>8734</v>
      </c>
      <c r="C4348" s="7">
        <v>27831</v>
      </c>
      <c r="D4348" s="8" t="s">
        <v>8735</v>
      </c>
    </row>
    <row r="4349" spans="1:4" ht="14.25">
      <c r="A4349" s="5" t="s">
        <v>454</v>
      </c>
      <c r="B4349" s="6" t="s">
        <v>8736</v>
      </c>
      <c r="C4349" s="7">
        <v>27831</v>
      </c>
      <c r="D4349" s="8" t="s">
        <v>8737</v>
      </c>
    </row>
    <row r="4350" spans="1:4" ht="14.25">
      <c r="A4350" s="5">
        <v>12</v>
      </c>
      <c r="B4350" s="6" t="s">
        <v>8738</v>
      </c>
      <c r="C4350" s="7">
        <v>27831</v>
      </c>
      <c r="D4350" s="8" t="s">
        <v>8739</v>
      </c>
    </row>
    <row r="4351" spans="1:4" ht="14.25">
      <c r="A4351" s="5">
        <v>12</v>
      </c>
      <c r="B4351" s="6" t="s">
        <v>8740</v>
      </c>
      <c r="C4351" s="7">
        <v>27831</v>
      </c>
      <c r="D4351" s="8" t="s">
        <v>8741</v>
      </c>
    </row>
    <row r="4352" spans="1:4" ht="14.25">
      <c r="A4352" s="5">
        <v>12</v>
      </c>
      <c r="B4352" s="6" t="s">
        <v>8742</v>
      </c>
      <c r="C4352" s="7">
        <v>27831</v>
      </c>
      <c r="D4352" s="8" t="s">
        <v>8743</v>
      </c>
    </row>
    <row r="4353" spans="1:4" ht="14.25">
      <c r="A4353" s="5">
        <v>12</v>
      </c>
      <c r="B4353" s="6" t="s">
        <v>8744</v>
      </c>
      <c r="C4353" s="7">
        <v>27831</v>
      </c>
      <c r="D4353" s="8" t="s">
        <v>8745</v>
      </c>
    </row>
    <row r="4354" spans="1:4" ht="14.25">
      <c r="A4354" s="5">
        <v>13</v>
      </c>
      <c r="B4354" s="6" t="s">
        <v>8746</v>
      </c>
      <c r="C4354" s="7">
        <v>27832</v>
      </c>
      <c r="D4354" s="8" t="s">
        <v>8747</v>
      </c>
    </row>
    <row r="4355" spans="1:4" ht="14.25">
      <c r="A4355" s="5">
        <v>13</v>
      </c>
      <c r="B4355" s="6" t="s">
        <v>8748</v>
      </c>
      <c r="C4355" s="7">
        <v>27832</v>
      </c>
      <c r="D4355" s="8" t="s">
        <v>8749</v>
      </c>
    </row>
    <row r="4356" spans="1:4" ht="14.25">
      <c r="A4356" s="5" t="s">
        <v>454</v>
      </c>
      <c r="B4356" s="6" t="s">
        <v>8750</v>
      </c>
      <c r="C4356" s="7">
        <v>27833</v>
      </c>
      <c r="D4356" s="8" t="s">
        <v>8751</v>
      </c>
    </row>
    <row r="4357" spans="1:4" ht="14.25">
      <c r="A4357" s="5">
        <v>14</v>
      </c>
      <c r="B4357" s="6" t="s">
        <v>8752</v>
      </c>
      <c r="C4357" s="7">
        <v>27833</v>
      </c>
      <c r="D4357" s="8" t="s">
        <v>8753</v>
      </c>
    </row>
    <row r="4358" spans="1:4" ht="14.25">
      <c r="A4358" s="5">
        <v>14</v>
      </c>
      <c r="B4358" s="6" t="s">
        <v>8754</v>
      </c>
      <c r="C4358" s="7">
        <v>27833</v>
      </c>
      <c r="D4358" s="8" t="s">
        <v>8755</v>
      </c>
    </row>
    <row r="4359" spans="1:4" ht="14.25">
      <c r="A4359" s="5">
        <v>14</v>
      </c>
      <c r="B4359" s="6" t="s">
        <v>8756</v>
      </c>
      <c r="C4359" s="7">
        <v>27833</v>
      </c>
      <c r="D4359" s="8" t="s">
        <v>8757</v>
      </c>
    </row>
    <row r="4360" spans="1:4" ht="14.25">
      <c r="A4360" s="5" t="s">
        <v>454</v>
      </c>
      <c r="B4360" s="6" t="s">
        <v>8758</v>
      </c>
      <c r="C4360" s="7">
        <v>27834</v>
      </c>
      <c r="D4360" s="8" t="s">
        <v>8759</v>
      </c>
    </row>
    <row r="4361" spans="1:4" ht="14.25">
      <c r="A4361" s="5">
        <v>15</v>
      </c>
      <c r="B4361" s="6" t="s">
        <v>8760</v>
      </c>
      <c r="C4361" s="7">
        <v>27834</v>
      </c>
      <c r="D4361" s="8" t="s">
        <v>8761</v>
      </c>
    </row>
    <row r="4362" spans="1:4" ht="14.25">
      <c r="A4362" s="5">
        <v>15</v>
      </c>
      <c r="B4362" s="6" t="s">
        <v>8762</v>
      </c>
      <c r="C4362" s="7">
        <v>27834</v>
      </c>
      <c r="D4362" s="8" t="s">
        <v>8763</v>
      </c>
    </row>
    <row r="4363" spans="1:4" ht="14.25">
      <c r="A4363" s="5">
        <v>15</v>
      </c>
      <c r="B4363" s="6" t="s">
        <v>8764</v>
      </c>
      <c r="C4363" s="7">
        <v>27834</v>
      </c>
      <c r="D4363" s="8" t="s">
        <v>8765</v>
      </c>
    </row>
    <row r="4364" spans="1:4" ht="14.25">
      <c r="A4364" s="5" t="s">
        <v>484</v>
      </c>
      <c r="B4364" s="6" t="s">
        <v>8766</v>
      </c>
      <c r="C4364" s="7">
        <v>27835</v>
      </c>
      <c r="D4364" s="8" t="s">
        <v>8767</v>
      </c>
    </row>
    <row r="4365" spans="1:4" ht="14.25">
      <c r="A4365" s="5" t="s">
        <v>454</v>
      </c>
      <c r="B4365" s="6" t="s">
        <v>8768</v>
      </c>
      <c r="C4365" s="7">
        <v>27835</v>
      </c>
      <c r="D4365" s="8" t="s">
        <v>8769</v>
      </c>
    </row>
    <row r="4366" spans="1:4" ht="14.25">
      <c r="A4366" s="5" t="s">
        <v>167</v>
      </c>
      <c r="B4366" s="6" t="s">
        <v>8770</v>
      </c>
      <c r="C4366" s="7">
        <v>27835</v>
      </c>
      <c r="D4366" s="8" t="s">
        <v>8771</v>
      </c>
    </row>
    <row r="4367" spans="1:4" ht="14.25">
      <c r="A4367" s="5">
        <v>16</v>
      </c>
      <c r="B4367" s="6" t="s">
        <v>8772</v>
      </c>
      <c r="C4367" s="7">
        <v>27835</v>
      </c>
      <c r="D4367" s="8" t="s">
        <v>8773</v>
      </c>
    </row>
    <row r="4368" spans="1:4" ht="14.25">
      <c r="A4368" s="5">
        <v>16</v>
      </c>
      <c r="B4368" s="6" t="s">
        <v>8774</v>
      </c>
      <c r="C4368" s="7">
        <v>27835</v>
      </c>
      <c r="D4368" s="8" t="s">
        <v>8775</v>
      </c>
    </row>
    <row r="4369" spans="1:4" ht="14.25">
      <c r="A4369" s="5">
        <v>16</v>
      </c>
      <c r="B4369" s="6" t="s">
        <v>8776</v>
      </c>
      <c r="C4369" s="7">
        <v>27835</v>
      </c>
      <c r="D4369" s="8" t="s">
        <v>8777</v>
      </c>
    </row>
    <row r="4370" spans="1:4" ht="14.25">
      <c r="A4370" s="5">
        <v>16</v>
      </c>
      <c r="B4370" s="6" t="s">
        <v>8778</v>
      </c>
      <c r="C4370" s="7">
        <v>27835</v>
      </c>
      <c r="D4370" s="8" t="s">
        <v>8779</v>
      </c>
    </row>
    <row r="4371" spans="1:4" ht="14.25">
      <c r="A4371" s="5">
        <v>16</v>
      </c>
      <c r="B4371" s="6" t="s">
        <v>8780</v>
      </c>
      <c r="C4371" s="7">
        <v>27835</v>
      </c>
      <c r="D4371" s="8" t="s">
        <v>8781</v>
      </c>
    </row>
    <row r="4372" spans="1:4" ht="14.25">
      <c r="A4372" s="5">
        <v>16</v>
      </c>
      <c r="B4372" s="6" t="s">
        <v>8782</v>
      </c>
      <c r="C4372" s="7">
        <v>27835</v>
      </c>
      <c r="D4372" s="8" t="s">
        <v>8783</v>
      </c>
    </row>
    <row r="4373" spans="1:4" ht="14.25">
      <c r="A4373" s="5">
        <v>16</v>
      </c>
      <c r="B4373" s="6" t="s">
        <v>8784</v>
      </c>
      <c r="C4373" s="7">
        <v>27835</v>
      </c>
      <c r="D4373" s="8" t="s">
        <v>8785</v>
      </c>
    </row>
    <row r="4374" spans="1:4" ht="14.25">
      <c r="A4374" s="5" t="s">
        <v>484</v>
      </c>
      <c r="B4374" s="6" t="s">
        <v>8786</v>
      </c>
      <c r="C4374" s="7">
        <v>27836</v>
      </c>
      <c r="D4374" s="8" t="s">
        <v>8787</v>
      </c>
    </row>
    <row r="4375" spans="1:4" ht="14.25">
      <c r="A4375" s="5" t="s">
        <v>454</v>
      </c>
      <c r="B4375" s="6" t="s">
        <v>8788</v>
      </c>
      <c r="C4375" s="7">
        <v>27836</v>
      </c>
      <c r="D4375" s="8" t="s">
        <v>8789</v>
      </c>
    </row>
    <row r="4376" spans="1:4" ht="14.25">
      <c r="A4376" s="5">
        <v>17</v>
      </c>
      <c r="B4376" s="6" t="s">
        <v>8790</v>
      </c>
      <c r="C4376" s="7">
        <v>27836</v>
      </c>
      <c r="D4376" s="8" t="s">
        <v>8791</v>
      </c>
    </row>
    <row r="4377" spans="1:4" ht="14.25">
      <c r="A4377" s="5">
        <v>17</v>
      </c>
      <c r="B4377" s="6" t="s">
        <v>8792</v>
      </c>
      <c r="C4377" s="7">
        <v>27836</v>
      </c>
      <c r="D4377" s="8" t="s">
        <v>8793</v>
      </c>
    </row>
    <row r="4378" spans="1:4" ht="14.25">
      <c r="A4378" s="5">
        <v>17</v>
      </c>
      <c r="B4378" s="6" t="s">
        <v>8794</v>
      </c>
      <c r="C4378" s="7">
        <v>27836</v>
      </c>
      <c r="D4378" s="8" t="s">
        <v>8795</v>
      </c>
    </row>
    <row r="4379" spans="1:4" ht="14.25">
      <c r="A4379" s="5">
        <v>17</v>
      </c>
      <c r="B4379" s="6" t="s">
        <v>8796</v>
      </c>
      <c r="C4379" s="7">
        <v>27836</v>
      </c>
      <c r="D4379" s="8" t="s">
        <v>8797</v>
      </c>
    </row>
    <row r="4380" spans="1:4" ht="14.25">
      <c r="A4380" s="5" t="s">
        <v>484</v>
      </c>
      <c r="B4380" s="6" t="s">
        <v>8798</v>
      </c>
      <c r="C4380" s="7">
        <v>27837</v>
      </c>
      <c r="D4380" s="8" t="s">
        <v>8799</v>
      </c>
    </row>
    <row r="4381" spans="1:4" ht="14.25">
      <c r="A4381" s="5" t="s">
        <v>454</v>
      </c>
      <c r="B4381" s="6" t="s">
        <v>8800</v>
      </c>
      <c r="C4381" s="7">
        <v>27837</v>
      </c>
      <c r="D4381" s="8" t="s">
        <v>8801</v>
      </c>
    </row>
    <row r="4382" spans="1:4" ht="14.25">
      <c r="A4382" s="5">
        <v>18</v>
      </c>
      <c r="B4382" s="6" t="s">
        <v>8802</v>
      </c>
      <c r="C4382" s="7">
        <v>27837</v>
      </c>
      <c r="D4382" s="8" t="s">
        <v>8803</v>
      </c>
    </row>
    <row r="4383" spans="1:4" ht="14.25">
      <c r="A4383" s="5">
        <v>18</v>
      </c>
      <c r="B4383" s="6" t="s">
        <v>8804</v>
      </c>
      <c r="C4383" s="7">
        <v>27837</v>
      </c>
      <c r="D4383" s="8" t="s">
        <v>8805</v>
      </c>
    </row>
    <row r="4384" spans="1:4" ht="14.25">
      <c r="A4384" s="5">
        <v>18</v>
      </c>
      <c r="B4384" s="6" t="s">
        <v>8806</v>
      </c>
      <c r="C4384" s="7">
        <v>27837</v>
      </c>
      <c r="D4384" s="8" t="s">
        <v>8807</v>
      </c>
    </row>
    <row r="4385" spans="1:4" ht="14.25">
      <c r="A4385" s="5">
        <v>18</v>
      </c>
      <c r="B4385" s="6" t="s">
        <v>8808</v>
      </c>
      <c r="C4385" s="7">
        <v>27837</v>
      </c>
      <c r="D4385" s="8" t="s">
        <v>8809</v>
      </c>
    </row>
    <row r="4386" spans="1:4" ht="14.25">
      <c r="A4386" s="5" t="s">
        <v>454</v>
      </c>
      <c r="B4386" s="6" t="s">
        <v>8810</v>
      </c>
      <c r="C4386" s="7">
        <v>27838</v>
      </c>
      <c r="D4386" s="8" t="s">
        <v>8811</v>
      </c>
    </row>
    <row r="4387" spans="1:4" ht="14.25">
      <c r="A4387" s="5">
        <v>19</v>
      </c>
      <c r="B4387" s="6" t="s">
        <v>8812</v>
      </c>
      <c r="C4387" s="7">
        <v>27838</v>
      </c>
      <c r="D4387" s="8" t="s">
        <v>8813</v>
      </c>
    </row>
    <row r="4388" spans="1:4" ht="14.25">
      <c r="A4388" s="5">
        <v>19</v>
      </c>
      <c r="B4388" s="6" t="s">
        <v>8814</v>
      </c>
      <c r="C4388" s="7">
        <v>27838</v>
      </c>
      <c r="D4388" s="8" t="s">
        <v>8815</v>
      </c>
    </row>
    <row r="4389" spans="1:4" ht="14.25">
      <c r="A4389" s="5">
        <v>19</v>
      </c>
      <c r="B4389" s="6" t="s">
        <v>8816</v>
      </c>
      <c r="C4389" s="7">
        <v>27838</v>
      </c>
      <c r="D4389" s="8" t="s">
        <v>8817</v>
      </c>
    </row>
    <row r="4390" spans="1:4" ht="14.25">
      <c r="A4390" s="5">
        <v>20</v>
      </c>
      <c r="B4390" s="6" t="s">
        <v>8818</v>
      </c>
      <c r="C4390" s="7">
        <v>27839</v>
      </c>
      <c r="D4390" s="8" t="s">
        <v>8819</v>
      </c>
    </row>
    <row r="4391" spans="1:4" ht="14.25">
      <c r="A4391" s="5" t="s">
        <v>1887</v>
      </c>
      <c r="B4391" s="6" t="s">
        <v>8820</v>
      </c>
      <c r="C4391" s="7">
        <v>27839</v>
      </c>
      <c r="D4391" s="8" t="s">
        <v>8821</v>
      </c>
    </row>
    <row r="4392" spans="1:4" ht="14.25">
      <c r="A4392" s="5">
        <v>21</v>
      </c>
      <c r="B4392" s="6" t="s">
        <v>8822</v>
      </c>
      <c r="C4392" s="7">
        <v>27840</v>
      </c>
      <c r="D4392" s="8" t="s">
        <v>8823</v>
      </c>
    </row>
    <row r="4393" spans="1:4" ht="14.25">
      <c r="A4393" s="5" t="s">
        <v>454</v>
      </c>
      <c r="B4393" s="6" t="s">
        <v>8824</v>
      </c>
      <c r="C4393" s="7">
        <v>27841</v>
      </c>
      <c r="D4393" s="8" t="s">
        <v>8825</v>
      </c>
    </row>
    <row r="4394" spans="1:4" ht="14.25">
      <c r="A4394" s="5">
        <v>22</v>
      </c>
      <c r="B4394" s="6" t="s">
        <v>8826</v>
      </c>
      <c r="C4394" s="7">
        <v>27841</v>
      </c>
      <c r="D4394" s="8" t="s">
        <v>8827</v>
      </c>
    </row>
    <row r="4395" spans="1:4" ht="14.25">
      <c r="A4395" s="5">
        <v>22</v>
      </c>
      <c r="B4395" s="6" t="s">
        <v>8828</v>
      </c>
      <c r="C4395" s="7">
        <v>27841</v>
      </c>
      <c r="D4395" s="8" t="s">
        <v>8829</v>
      </c>
    </row>
    <row r="4396" spans="1:4" ht="14.25">
      <c r="A4396" s="5">
        <v>22</v>
      </c>
      <c r="B4396" s="6" t="s">
        <v>8830</v>
      </c>
      <c r="C4396" s="7">
        <v>27841</v>
      </c>
      <c r="D4396" s="8" t="s">
        <v>8831</v>
      </c>
    </row>
    <row r="4397" spans="1:4" ht="14.25">
      <c r="A4397" s="5">
        <v>22</v>
      </c>
      <c r="B4397" s="6" t="s">
        <v>8832</v>
      </c>
      <c r="C4397" s="7">
        <v>27841</v>
      </c>
      <c r="D4397" s="8" t="s">
        <v>8833</v>
      </c>
    </row>
    <row r="4398" spans="1:4" ht="14.25">
      <c r="A4398" s="5" t="s">
        <v>1887</v>
      </c>
      <c r="B4398" s="6" t="s">
        <v>8834</v>
      </c>
      <c r="C4398" s="7">
        <v>27841</v>
      </c>
      <c r="D4398" s="8" t="s">
        <v>8835</v>
      </c>
    </row>
    <row r="4399" spans="1:4" ht="14.25">
      <c r="A4399" s="5">
        <v>23</v>
      </c>
      <c r="B4399" s="6" t="s">
        <v>8836</v>
      </c>
      <c r="C4399" s="7">
        <v>27842</v>
      </c>
      <c r="D4399" s="8" t="s">
        <v>8837</v>
      </c>
    </row>
    <row r="4400" spans="1:4" ht="14.25">
      <c r="A4400" s="5">
        <v>24</v>
      </c>
      <c r="B4400" s="6" t="s">
        <v>8838</v>
      </c>
      <c r="C4400" s="7">
        <v>27843</v>
      </c>
      <c r="D4400" s="8" t="s">
        <v>8839</v>
      </c>
    </row>
    <row r="4401" spans="1:4" ht="14.25">
      <c r="A4401" s="5" t="s">
        <v>18</v>
      </c>
      <c r="B4401" s="6" t="s">
        <v>8840</v>
      </c>
      <c r="C4401" s="7">
        <v>27844</v>
      </c>
      <c r="D4401" s="8" t="s">
        <v>8841</v>
      </c>
    </row>
    <row r="4402" spans="1:4" ht="14.25">
      <c r="A4402" s="5" t="s">
        <v>2</v>
      </c>
      <c r="B4402" s="6" t="s">
        <v>8842</v>
      </c>
      <c r="C4402" s="7">
        <v>27844</v>
      </c>
      <c r="D4402" s="8" t="s">
        <v>8843</v>
      </c>
    </row>
    <row r="4403" spans="1:4" ht="14.25">
      <c r="A4403" s="5" t="s">
        <v>484</v>
      </c>
      <c r="B4403" s="6" t="s">
        <v>8844</v>
      </c>
      <c r="C4403" s="7">
        <v>27844</v>
      </c>
      <c r="D4403" s="8" t="s">
        <v>8845</v>
      </c>
    </row>
    <row r="4404" spans="1:4" ht="14.25">
      <c r="A4404" s="5">
        <v>25</v>
      </c>
      <c r="B4404" s="6" t="s">
        <v>8846</v>
      </c>
      <c r="C4404" s="7">
        <v>27844</v>
      </c>
      <c r="D4404" s="8" t="s">
        <v>8847</v>
      </c>
    </row>
    <row r="4405" spans="1:4" ht="14.25">
      <c r="A4405" s="5">
        <v>25</v>
      </c>
      <c r="B4405" s="6" t="s">
        <v>8848</v>
      </c>
      <c r="C4405" s="7">
        <v>27844</v>
      </c>
      <c r="D4405" s="8" t="s">
        <v>8849</v>
      </c>
    </row>
    <row r="4406" spans="1:4" ht="14.25">
      <c r="A4406" s="5">
        <v>25</v>
      </c>
      <c r="B4406" s="6" t="s">
        <v>8850</v>
      </c>
      <c r="C4406" s="7">
        <v>27844</v>
      </c>
      <c r="D4406" s="8" t="s">
        <v>8851</v>
      </c>
    </row>
    <row r="4407" spans="1:4" ht="14.25">
      <c r="A4407" s="5">
        <v>25</v>
      </c>
      <c r="B4407" s="6" t="s">
        <v>8852</v>
      </c>
      <c r="C4407" s="7">
        <v>27844</v>
      </c>
      <c r="D4407" s="8" t="s">
        <v>8853</v>
      </c>
    </row>
    <row r="4408" spans="1:4" ht="14.25">
      <c r="A4408" s="5">
        <v>25</v>
      </c>
      <c r="B4408" s="6" t="s">
        <v>8854</v>
      </c>
      <c r="C4408" s="7">
        <v>27844</v>
      </c>
      <c r="D4408" s="8" t="s">
        <v>8855</v>
      </c>
    </row>
    <row r="4409" spans="1:4" ht="14.25">
      <c r="A4409" s="5">
        <v>25</v>
      </c>
      <c r="B4409" s="6" t="s">
        <v>8856</v>
      </c>
      <c r="C4409" s="7">
        <v>27844</v>
      </c>
      <c r="D4409" s="8" t="s">
        <v>8857</v>
      </c>
    </row>
    <row r="4410" spans="1:4" ht="14.25">
      <c r="A4410" s="5" t="s">
        <v>484</v>
      </c>
      <c r="B4410" s="6" t="s">
        <v>8858</v>
      </c>
      <c r="C4410" s="7">
        <v>27845</v>
      </c>
      <c r="D4410" s="8" t="s">
        <v>8859</v>
      </c>
    </row>
    <row r="4411" spans="1:4" ht="14.25">
      <c r="A4411" s="5" t="s">
        <v>454</v>
      </c>
      <c r="B4411" s="6" t="s">
        <v>8860</v>
      </c>
      <c r="C4411" s="7">
        <v>27845</v>
      </c>
      <c r="D4411" s="8" t="s">
        <v>8861</v>
      </c>
    </row>
    <row r="4412" spans="1:4" ht="14.25">
      <c r="A4412" s="5">
        <v>26</v>
      </c>
      <c r="B4412" s="6" t="s">
        <v>8862</v>
      </c>
      <c r="C4412" s="7">
        <v>27845</v>
      </c>
      <c r="D4412" s="8" t="s">
        <v>8863</v>
      </c>
    </row>
    <row r="4413" spans="1:4" ht="14.25">
      <c r="A4413" s="5">
        <v>26</v>
      </c>
      <c r="B4413" s="6" t="s">
        <v>8864</v>
      </c>
      <c r="C4413" s="7">
        <v>27845</v>
      </c>
      <c r="D4413" s="8" t="s">
        <v>8865</v>
      </c>
    </row>
    <row r="4414" spans="1:4" ht="14.25">
      <c r="A4414" s="5">
        <v>26</v>
      </c>
      <c r="B4414" s="6" t="s">
        <v>8866</v>
      </c>
      <c r="C4414" s="7">
        <v>27845</v>
      </c>
      <c r="D4414" s="8" t="s">
        <v>8867</v>
      </c>
    </row>
    <row r="4415" spans="1:4" ht="14.25">
      <c r="A4415" s="5">
        <v>26</v>
      </c>
      <c r="B4415" s="6" t="s">
        <v>8868</v>
      </c>
      <c r="C4415" s="7">
        <v>27845</v>
      </c>
      <c r="D4415" s="8" t="s">
        <v>8869</v>
      </c>
    </row>
    <row r="4416" spans="1:4" ht="14.25">
      <c r="A4416" s="5" t="s">
        <v>454</v>
      </c>
      <c r="B4416" s="6" t="s">
        <v>8870</v>
      </c>
      <c r="C4416" s="7">
        <v>27850</v>
      </c>
      <c r="D4416" s="8" t="s">
        <v>8871</v>
      </c>
    </row>
    <row r="4417" spans="1:4" ht="14.25">
      <c r="A4417" s="5">
        <v>31</v>
      </c>
      <c r="B4417" s="6" t="s">
        <v>8872</v>
      </c>
      <c r="C4417" s="7">
        <v>27850</v>
      </c>
      <c r="D4417" s="8" t="s">
        <v>8873</v>
      </c>
    </row>
    <row r="4418" spans="1:4" ht="14.25">
      <c r="A4418" s="5">
        <v>31</v>
      </c>
      <c r="B4418" s="6" t="s">
        <v>8874</v>
      </c>
      <c r="C4418" s="7">
        <v>27850</v>
      </c>
      <c r="D4418" s="8" t="s">
        <v>8875</v>
      </c>
    </row>
    <row r="4419" spans="1:4" ht="14.25">
      <c r="A4419" s="5">
        <v>1</v>
      </c>
      <c r="B4419" s="6" t="s">
        <v>8876</v>
      </c>
      <c r="C4419" s="7">
        <v>27851</v>
      </c>
      <c r="D4419" s="8" t="s">
        <v>8877</v>
      </c>
    </row>
    <row r="4420" spans="1:4" ht="14.25">
      <c r="A4420" s="5" t="s">
        <v>454</v>
      </c>
      <c r="B4420" s="6" t="s">
        <v>8878</v>
      </c>
      <c r="C4420" s="7">
        <v>27852</v>
      </c>
      <c r="D4420" s="8" t="s">
        <v>8879</v>
      </c>
    </row>
    <row r="4421" spans="1:4" ht="14.25">
      <c r="A4421" s="5">
        <v>2</v>
      </c>
      <c r="B4421" s="6" t="s">
        <v>8880</v>
      </c>
      <c r="C4421" s="7">
        <v>27852</v>
      </c>
      <c r="D4421" s="8" t="s">
        <v>8881</v>
      </c>
    </row>
    <row r="4422" spans="1:4" ht="14.25">
      <c r="A4422" s="5">
        <v>2</v>
      </c>
      <c r="B4422" s="6" t="s">
        <v>8882</v>
      </c>
      <c r="C4422" s="7">
        <v>27852</v>
      </c>
      <c r="D4422" s="8" t="s">
        <v>8883</v>
      </c>
    </row>
    <row r="4423" spans="1:4" ht="14.25">
      <c r="A4423" s="5">
        <v>2</v>
      </c>
      <c r="B4423" s="6" t="s">
        <v>8884</v>
      </c>
      <c r="C4423" s="7">
        <v>27852</v>
      </c>
      <c r="D4423" s="8" t="s">
        <v>8885</v>
      </c>
    </row>
    <row r="4424" spans="1:4" ht="14.25">
      <c r="A4424" s="5">
        <v>3</v>
      </c>
      <c r="B4424" s="6" t="s">
        <v>8886</v>
      </c>
      <c r="C4424" s="7">
        <v>27853</v>
      </c>
      <c r="D4424" s="8" t="s">
        <v>8887</v>
      </c>
    </row>
    <row r="4425" spans="1:4" ht="14.25">
      <c r="A4425" s="5">
        <v>3</v>
      </c>
      <c r="B4425" s="6" t="s">
        <v>8888</v>
      </c>
      <c r="C4425" s="7">
        <v>27853</v>
      </c>
      <c r="D4425" s="8" t="s">
        <v>8889</v>
      </c>
    </row>
    <row r="4426" spans="1:4" ht="14.25">
      <c r="A4426" s="5" t="s">
        <v>454</v>
      </c>
      <c r="B4426" s="6" t="s">
        <v>8890</v>
      </c>
      <c r="C4426" s="7">
        <v>27854</v>
      </c>
      <c r="D4426" s="8" t="s">
        <v>8891</v>
      </c>
    </row>
    <row r="4427" spans="1:4" ht="14.25">
      <c r="A4427" s="5">
        <v>4</v>
      </c>
      <c r="B4427" s="6" t="s">
        <v>8892</v>
      </c>
      <c r="C4427" s="7">
        <v>27854</v>
      </c>
      <c r="D4427" s="8" t="s">
        <v>8893</v>
      </c>
    </row>
    <row r="4428" spans="1:4" ht="14.25">
      <c r="A4428" s="5">
        <v>4</v>
      </c>
      <c r="B4428" s="6" t="s">
        <v>8894</v>
      </c>
      <c r="C4428" s="7">
        <v>27854</v>
      </c>
      <c r="D4428" s="8" t="s">
        <v>8895</v>
      </c>
    </row>
    <row r="4429" spans="1:4" ht="14.25">
      <c r="A4429" s="5">
        <v>4</v>
      </c>
      <c r="B4429" s="6" t="s">
        <v>8896</v>
      </c>
      <c r="C4429" s="7">
        <v>27854</v>
      </c>
      <c r="D4429" s="8" t="s">
        <v>8897</v>
      </c>
    </row>
    <row r="4430" spans="1:4" ht="14.25">
      <c r="A4430" s="5">
        <v>4</v>
      </c>
      <c r="B4430" s="6" t="s">
        <v>8898</v>
      </c>
      <c r="C4430" s="7">
        <v>27854</v>
      </c>
      <c r="D4430" s="8" t="s">
        <v>8899</v>
      </c>
    </row>
    <row r="4431" spans="1:4" ht="14.25">
      <c r="A4431" s="5">
        <v>5</v>
      </c>
      <c r="B4431" s="6" t="s">
        <v>8900</v>
      </c>
      <c r="C4431" s="7">
        <v>27855</v>
      </c>
      <c r="D4431" s="8" t="s">
        <v>8901</v>
      </c>
    </row>
    <row r="4432" spans="1:4" ht="14.25">
      <c r="A4432" s="5">
        <v>5</v>
      </c>
      <c r="B4432" s="6" t="s">
        <v>8902</v>
      </c>
      <c r="C4432" s="7">
        <v>27855</v>
      </c>
      <c r="D4432" s="8" t="s">
        <v>8903</v>
      </c>
    </row>
    <row r="4433" spans="1:4" ht="14.25">
      <c r="A4433" s="5">
        <v>5</v>
      </c>
      <c r="B4433" s="6" t="s">
        <v>8904</v>
      </c>
      <c r="C4433" s="7">
        <v>27855</v>
      </c>
      <c r="D4433" s="8" t="s">
        <v>8905</v>
      </c>
    </row>
    <row r="4434" spans="1:4" ht="14.25">
      <c r="A4434" s="5">
        <v>6</v>
      </c>
      <c r="B4434" s="6" t="s">
        <v>8906</v>
      </c>
      <c r="C4434" s="7">
        <v>27856</v>
      </c>
      <c r="D4434" s="8" t="s">
        <v>8907</v>
      </c>
    </row>
    <row r="4435" spans="1:4" ht="14.25">
      <c r="A4435" s="5">
        <v>6</v>
      </c>
      <c r="B4435" s="6" t="s">
        <v>8908</v>
      </c>
      <c r="C4435" s="7">
        <v>27856</v>
      </c>
      <c r="D4435" s="8" t="s">
        <v>8909</v>
      </c>
    </row>
    <row r="4436" spans="1:4" ht="14.25">
      <c r="A4436" s="5">
        <v>6</v>
      </c>
      <c r="B4436" s="6" t="s">
        <v>8910</v>
      </c>
      <c r="C4436" s="7">
        <v>27856</v>
      </c>
      <c r="D4436" s="8" t="s">
        <v>8911</v>
      </c>
    </row>
    <row r="4437" spans="1:4" ht="14.25">
      <c r="A4437" s="5">
        <v>6</v>
      </c>
      <c r="B4437" s="6" t="s">
        <v>8912</v>
      </c>
      <c r="C4437" s="7">
        <v>27856</v>
      </c>
      <c r="D4437" s="8" t="s">
        <v>8913</v>
      </c>
    </row>
    <row r="4438" spans="1:4" ht="14.25">
      <c r="A4438" s="5">
        <v>6</v>
      </c>
      <c r="B4438" s="6" t="s">
        <v>8914</v>
      </c>
      <c r="C4438" s="7">
        <v>27856</v>
      </c>
      <c r="D4438" s="8" t="s">
        <v>8915</v>
      </c>
    </row>
    <row r="4439" spans="1:4" ht="14.25">
      <c r="A4439" s="5" t="s">
        <v>454</v>
      </c>
      <c r="B4439" s="6" t="s">
        <v>8916</v>
      </c>
      <c r="C4439" s="7">
        <v>27857</v>
      </c>
      <c r="D4439" s="8" t="s">
        <v>8917</v>
      </c>
    </row>
    <row r="4440" spans="1:4" ht="14.25">
      <c r="A4440" s="5" t="s">
        <v>167</v>
      </c>
      <c r="B4440" s="6" t="s">
        <v>8918</v>
      </c>
      <c r="C4440" s="7">
        <v>27857</v>
      </c>
      <c r="D4440" s="8" t="s">
        <v>8919</v>
      </c>
    </row>
    <row r="4441" spans="1:4" ht="14.25">
      <c r="A4441" s="5">
        <v>7</v>
      </c>
      <c r="B4441" s="6" t="s">
        <v>8920</v>
      </c>
      <c r="C4441" s="7">
        <v>27857</v>
      </c>
      <c r="D4441" s="8" t="s">
        <v>8921</v>
      </c>
    </row>
    <row r="4442" spans="1:4" ht="14.25">
      <c r="A4442" s="5">
        <v>7</v>
      </c>
      <c r="B4442" s="6" t="s">
        <v>8922</v>
      </c>
      <c r="C4442" s="7">
        <v>27857</v>
      </c>
      <c r="D4442" s="8" t="s">
        <v>8923</v>
      </c>
    </row>
    <row r="4443" spans="1:4" ht="14.25">
      <c r="A4443" s="5">
        <v>7</v>
      </c>
      <c r="B4443" s="6" t="s">
        <v>8924</v>
      </c>
      <c r="C4443" s="7">
        <v>27857</v>
      </c>
      <c r="D4443" s="8" t="s">
        <v>8925</v>
      </c>
    </row>
    <row r="4444" spans="1:4" ht="14.25">
      <c r="A4444" s="5">
        <v>7</v>
      </c>
      <c r="B4444" s="6" t="s">
        <v>8926</v>
      </c>
      <c r="C4444" s="7">
        <v>27857</v>
      </c>
      <c r="D4444" s="8" t="s">
        <v>8927</v>
      </c>
    </row>
    <row r="4445" spans="1:4" ht="14.25">
      <c r="A4445" s="5">
        <v>7</v>
      </c>
      <c r="B4445" s="6" t="s">
        <v>8928</v>
      </c>
      <c r="C4445" s="7">
        <v>27857</v>
      </c>
      <c r="D4445" s="8" t="s">
        <v>8929</v>
      </c>
    </row>
    <row r="4446" spans="1:4" ht="14.25">
      <c r="A4446" s="5" t="s">
        <v>454</v>
      </c>
      <c r="B4446" s="6" t="s">
        <v>8930</v>
      </c>
      <c r="C4446" s="7">
        <v>27858</v>
      </c>
      <c r="D4446" s="8" t="s">
        <v>8931</v>
      </c>
    </row>
    <row r="4447" spans="1:4" ht="14.25">
      <c r="A4447" s="5">
        <v>8</v>
      </c>
      <c r="B4447" s="6" t="s">
        <v>8932</v>
      </c>
      <c r="C4447" s="7">
        <v>27858</v>
      </c>
      <c r="D4447" s="8" t="s">
        <v>8933</v>
      </c>
    </row>
    <row r="4448" spans="1:4" ht="14.25">
      <c r="A4448" s="5">
        <v>8</v>
      </c>
      <c r="B4448" s="6" t="s">
        <v>8934</v>
      </c>
      <c r="C4448" s="7">
        <v>27858</v>
      </c>
      <c r="D4448" s="8" t="s">
        <v>8935</v>
      </c>
    </row>
    <row r="4449" spans="1:4" ht="14.25">
      <c r="A4449" s="5">
        <v>8</v>
      </c>
      <c r="B4449" s="6" t="s">
        <v>8936</v>
      </c>
      <c r="C4449" s="7">
        <v>27858</v>
      </c>
      <c r="D4449" s="8" t="s">
        <v>8937</v>
      </c>
    </row>
    <row r="4450" spans="1:4" ht="14.25">
      <c r="A4450" s="5">
        <v>8</v>
      </c>
      <c r="B4450" s="6" t="s">
        <v>8938</v>
      </c>
      <c r="C4450" s="7">
        <v>27858</v>
      </c>
      <c r="D4450" s="8" t="s">
        <v>8939</v>
      </c>
    </row>
    <row r="4451" spans="1:4" ht="14.25">
      <c r="A4451" s="5">
        <v>8</v>
      </c>
      <c r="B4451" s="6" t="s">
        <v>8940</v>
      </c>
      <c r="C4451" s="7">
        <v>27858</v>
      </c>
      <c r="D4451" s="8" t="s">
        <v>8941</v>
      </c>
    </row>
    <row r="4452" spans="1:4" ht="14.25">
      <c r="A4452" s="5" t="s">
        <v>454</v>
      </c>
      <c r="B4452" s="6" t="s">
        <v>8942</v>
      </c>
      <c r="C4452" s="7">
        <v>27859</v>
      </c>
      <c r="D4452" s="8" t="s">
        <v>8943</v>
      </c>
    </row>
    <row r="4453" spans="1:4" ht="14.25">
      <c r="A4453" s="5">
        <v>9</v>
      </c>
      <c r="B4453" s="6" t="s">
        <v>8944</v>
      </c>
      <c r="C4453" s="7">
        <v>27859</v>
      </c>
      <c r="D4453" s="8" t="s">
        <v>8945</v>
      </c>
    </row>
    <row r="4454" spans="1:4" ht="14.25">
      <c r="A4454" s="5">
        <v>9</v>
      </c>
      <c r="B4454" s="6" t="s">
        <v>8946</v>
      </c>
      <c r="C4454" s="7">
        <v>27859</v>
      </c>
      <c r="D4454" s="8" t="s">
        <v>8947</v>
      </c>
    </row>
    <row r="4455" spans="1:4" ht="14.25">
      <c r="A4455" s="5">
        <v>9</v>
      </c>
      <c r="B4455" s="6" t="s">
        <v>8948</v>
      </c>
      <c r="C4455" s="7">
        <v>27859</v>
      </c>
      <c r="D4455" s="8" t="s">
        <v>8949</v>
      </c>
    </row>
    <row r="4456" spans="1:4" ht="14.25">
      <c r="A4456" s="5">
        <v>9</v>
      </c>
      <c r="B4456" s="6" t="s">
        <v>8950</v>
      </c>
      <c r="C4456" s="7">
        <v>27859</v>
      </c>
      <c r="D4456" s="8" t="s">
        <v>8951</v>
      </c>
    </row>
    <row r="4457" spans="1:4" ht="14.25">
      <c r="A4457" s="5" t="s">
        <v>484</v>
      </c>
      <c r="B4457" s="6" t="s">
        <v>8952</v>
      </c>
      <c r="C4457" s="7">
        <v>27860</v>
      </c>
      <c r="D4457" s="8" t="s">
        <v>8953</v>
      </c>
    </row>
    <row r="4458" spans="1:4" ht="14.25">
      <c r="A4458" s="5" t="s">
        <v>454</v>
      </c>
      <c r="B4458" s="6" t="s">
        <v>8954</v>
      </c>
      <c r="C4458" s="7">
        <v>27860</v>
      </c>
      <c r="D4458" s="8" t="s">
        <v>8955</v>
      </c>
    </row>
    <row r="4459" spans="1:4" ht="14.25">
      <c r="A4459" s="5">
        <v>10</v>
      </c>
      <c r="B4459" s="6" t="s">
        <v>8956</v>
      </c>
      <c r="C4459" s="7">
        <v>27860</v>
      </c>
      <c r="D4459" s="8" t="s">
        <v>8957</v>
      </c>
    </row>
    <row r="4460" spans="1:4" ht="14.25">
      <c r="A4460" s="5">
        <v>10</v>
      </c>
      <c r="B4460" s="6" t="s">
        <v>8958</v>
      </c>
      <c r="C4460" s="7">
        <v>27860</v>
      </c>
      <c r="D4460" s="8" t="s">
        <v>8959</v>
      </c>
    </row>
    <row r="4461" spans="1:4" ht="14.25">
      <c r="A4461" s="5">
        <v>10</v>
      </c>
      <c r="B4461" s="6" t="s">
        <v>8960</v>
      </c>
      <c r="C4461" s="7">
        <v>27860</v>
      </c>
      <c r="D4461" s="8" t="s">
        <v>8961</v>
      </c>
    </row>
    <row r="4462" spans="1:4" ht="14.25">
      <c r="A4462" s="5">
        <v>10</v>
      </c>
      <c r="B4462" s="6" t="s">
        <v>8962</v>
      </c>
      <c r="C4462" s="7">
        <v>27860</v>
      </c>
      <c r="D4462" s="8" t="s">
        <v>8963</v>
      </c>
    </row>
    <row r="4463" spans="1:4" ht="14.25">
      <c r="A4463" s="5" t="s">
        <v>454</v>
      </c>
      <c r="B4463" s="6" t="s">
        <v>8964</v>
      </c>
      <c r="C4463" s="7">
        <v>27862</v>
      </c>
      <c r="D4463" s="8" t="s">
        <v>8965</v>
      </c>
    </row>
    <row r="4464" spans="1:4" ht="14.25">
      <c r="A4464" s="5">
        <v>12</v>
      </c>
      <c r="B4464" s="6" t="s">
        <v>8966</v>
      </c>
      <c r="C4464" s="7">
        <v>27862</v>
      </c>
      <c r="D4464" s="8" t="s">
        <v>8967</v>
      </c>
    </row>
    <row r="4465" spans="1:4" ht="14.25">
      <c r="A4465" s="5">
        <v>12</v>
      </c>
      <c r="B4465" s="6" t="s">
        <v>8968</v>
      </c>
      <c r="C4465" s="7">
        <v>27862</v>
      </c>
      <c r="D4465" s="8" t="s">
        <v>8969</v>
      </c>
    </row>
    <row r="4466" spans="1:4" ht="14.25">
      <c r="A4466" s="5">
        <v>12</v>
      </c>
      <c r="B4466" s="6" t="s">
        <v>8970</v>
      </c>
      <c r="C4466" s="7">
        <v>27862</v>
      </c>
      <c r="D4466" s="8" t="s">
        <v>8971</v>
      </c>
    </row>
    <row r="4467" spans="1:4" ht="14.25">
      <c r="A4467" s="5" t="s">
        <v>454</v>
      </c>
      <c r="B4467" s="6" t="s">
        <v>8972</v>
      </c>
      <c r="C4467" s="7">
        <v>27863</v>
      </c>
      <c r="D4467" s="8" t="s">
        <v>8973</v>
      </c>
    </row>
    <row r="4468" spans="1:4" ht="14.25">
      <c r="A4468" s="5">
        <v>13</v>
      </c>
      <c r="B4468" s="6" t="s">
        <v>8974</v>
      </c>
      <c r="C4468" s="7">
        <v>27863</v>
      </c>
      <c r="D4468" s="8" t="s">
        <v>8975</v>
      </c>
    </row>
    <row r="4469" spans="1:4" ht="14.25">
      <c r="A4469" s="5">
        <v>13</v>
      </c>
      <c r="B4469" s="6" t="s">
        <v>8976</v>
      </c>
      <c r="C4469" s="7">
        <v>27863</v>
      </c>
      <c r="D4469" s="8" t="s">
        <v>8977</v>
      </c>
    </row>
    <row r="4470" spans="1:4" ht="14.25">
      <c r="A4470" s="5">
        <v>13</v>
      </c>
      <c r="B4470" s="6" t="s">
        <v>8978</v>
      </c>
      <c r="C4470" s="7">
        <v>27863</v>
      </c>
      <c r="D4470" s="8" t="s">
        <v>8979</v>
      </c>
    </row>
    <row r="4471" spans="1:4" ht="14.25">
      <c r="A4471" s="5" t="s">
        <v>484</v>
      </c>
      <c r="B4471" s="6" t="s">
        <v>8980</v>
      </c>
      <c r="C4471" s="7">
        <v>27864</v>
      </c>
      <c r="D4471" s="8" t="s">
        <v>8981</v>
      </c>
    </row>
    <row r="4472" spans="1:4" ht="14.25">
      <c r="A4472" s="5" t="s">
        <v>454</v>
      </c>
      <c r="B4472" s="6" t="s">
        <v>8982</v>
      </c>
      <c r="C4472" s="7">
        <v>27864</v>
      </c>
      <c r="D4472" s="8" t="s">
        <v>8983</v>
      </c>
    </row>
    <row r="4473" spans="1:4" ht="14.25">
      <c r="A4473" s="5">
        <v>14</v>
      </c>
      <c r="B4473" s="6" t="s">
        <v>8984</v>
      </c>
      <c r="C4473" s="7">
        <v>27864</v>
      </c>
      <c r="D4473" s="8" t="s">
        <v>8985</v>
      </c>
    </row>
    <row r="4474" spans="1:4" ht="14.25">
      <c r="A4474" s="5">
        <v>14</v>
      </c>
      <c r="B4474" s="6" t="s">
        <v>8986</v>
      </c>
      <c r="C4474" s="7">
        <v>27864</v>
      </c>
      <c r="D4474" s="8" t="s">
        <v>8987</v>
      </c>
    </row>
    <row r="4475" spans="1:4" ht="14.25">
      <c r="A4475" s="5">
        <v>14</v>
      </c>
      <c r="B4475" s="6" t="s">
        <v>8988</v>
      </c>
      <c r="C4475" s="7">
        <v>27864</v>
      </c>
      <c r="D4475" s="8" t="s">
        <v>8989</v>
      </c>
    </row>
    <row r="4476" spans="1:4" ht="14.25">
      <c r="A4476" s="5">
        <v>14</v>
      </c>
      <c r="B4476" s="6" t="s">
        <v>8990</v>
      </c>
      <c r="C4476" s="7">
        <v>27864</v>
      </c>
      <c r="D4476" s="8" t="s">
        <v>8991</v>
      </c>
    </row>
    <row r="4477" spans="1:4" ht="14.25">
      <c r="A4477" s="5">
        <v>14</v>
      </c>
      <c r="B4477" s="6" t="s">
        <v>8992</v>
      </c>
      <c r="C4477" s="7">
        <v>27864</v>
      </c>
      <c r="D4477" s="8" t="s">
        <v>8993</v>
      </c>
    </row>
    <row r="4478" spans="1:4" ht="14.25">
      <c r="A4478" s="5" t="s">
        <v>484</v>
      </c>
      <c r="B4478" s="6" t="s">
        <v>8994</v>
      </c>
      <c r="C4478" s="7">
        <v>27865</v>
      </c>
      <c r="D4478" s="8" t="s">
        <v>8995</v>
      </c>
    </row>
    <row r="4479" spans="1:4" ht="14.25">
      <c r="A4479" s="5" t="s">
        <v>454</v>
      </c>
      <c r="B4479" s="6" t="s">
        <v>8996</v>
      </c>
      <c r="C4479" s="7">
        <v>27865</v>
      </c>
      <c r="D4479" s="8" t="s">
        <v>8997</v>
      </c>
    </row>
    <row r="4480" spans="1:4" ht="14.25">
      <c r="A4480" s="5">
        <v>15</v>
      </c>
      <c r="B4480" s="6" t="s">
        <v>8998</v>
      </c>
      <c r="C4480" s="7">
        <v>27865</v>
      </c>
      <c r="D4480" s="8" t="s">
        <v>8999</v>
      </c>
    </row>
    <row r="4481" spans="1:4" ht="14.25">
      <c r="A4481" s="5">
        <v>15</v>
      </c>
      <c r="B4481" s="6" t="s">
        <v>9000</v>
      </c>
      <c r="C4481" s="7">
        <v>27865</v>
      </c>
      <c r="D4481" s="8" t="s">
        <v>9001</v>
      </c>
    </row>
    <row r="4482" spans="1:4" ht="14.25">
      <c r="A4482" s="5">
        <v>15</v>
      </c>
      <c r="B4482" s="6" t="s">
        <v>9002</v>
      </c>
      <c r="C4482" s="7">
        <v>27865</v>
      </c>
      <c r="D4482" s="8" t="s">
        <v>9003</v>
      </c>
    </row>
    <row r="4483" spans="1:4" ht="14.25">
      <c r="A4483" s="5">
        <v>15</v>
      </c>
      <c r="B4483" s="6" t="s">
        <v>9004</v>
      </c>
      <c r="C4483" s="7">
        <v>27865</v>
      </c>
      <c r="D4483" s="8" t="s">
        <v>9005</v>
      </c>
    </row>
    <row r="4484" spans="1:4" ht="14.25">
      <c r="A4484" s="5" t="s">
        <v>454</v>
      </c>
      <c r="B4484" s="6" t="s">
        <v>9006</v>
      </c>
      <c r="C4484" s="7">
        <v>27866</v>
      </c>
      <c r="D4484" s="8" t="s">
        <v>9007</v>
      </c>
    </row>
    <row r="4485" spans="1:4" ht="14.25">
      <c r="A4485" s="5">
        <v>16</v>
      </c>
      <c r="B4485" s="6" t="s">
        <v>9008</v>
      </c>
      <c r="C4485" s="7">
        <v>27866</v>
      </c>
      <c r="D4485" s="8" t="s">
        <v>9009</v>
      </c>
    </row>
    <row r="4486" spans="1:4" ht="14.25">
      <c r="A4486" s="5">
        <v>16</v>
      </c>
      <c r="B4486" s="6" t="s">
        <v>9010</v>
      </c>
      <c r="C4486" s="7">
        <v>27866</v>
      </c>
      <c r="D4486" s="8" t="s">
        <v>9011</v>
      </c>
    </row>
    <row r="4487" spans="1:4" ht="14.25">
      <c r="A4487" s="5">
        <v>16</v>
      </c>
      <c r="B4487" s="6" t="s">
        <v>9012</v>
      </c>
      <c r="C4487" s="7">
        <v>27866</v>
      </c>
      <c r="D4487" s="8" t="s">
        <v>9013</v>
      </c>
    </row>
    <row r="4488" spans="1:4" ht="14.25">
      <c r="A4488" s="5" t="s">
        <v>484</v>
      </c>
      <c r="B4488" s="6" t="s">
        <v>9014</v>
      </c>
      <c r="C4488" s="7">
        <v>27867</v>
      </c>
      <c r="D4488" s="8" t="s">
        <v>9015</v>
      </c>
    </row>
    <row r="4489" spans="1:4" ht="14.25">
      <c r="A4489" s="5" t="s">
        <v>454</v>
      </c>
      <c r="B4489" s="6" t="s">
        <v>9016</v>
      </c>
      <c r="C4489" s="7">
        <v>27867</v>
      </c>
      <c r="D4489" s="8" t="s">
        <v>9017</v>
      </c>
    </row>
    <row r="4490" spans="1:4" ht="14.25">
      <c r="A4490" s="5">
        <v>17</v>
      </c>
      <c r="B4490" s="6" t="s">
        <v>9018</v>
      </c>
      <c r="C4490" s="7">
        <v>27867</v>
      </c>
      <c r="D4490" s="8" t="s">
        <v>9019</v>
      </c>
    </row>
    <row r="4491" spans="1:4" ht="14.25">
      <c r="A4491" s="5">
        <v>17</v>
      </c>
      <c r="B4491" s="6" t="s">
        <v>9020</v>
      </c>
      <c r="C4491" s="7">
        <v>27867</v>
      </c>
      <c r="D4491" s="8" t="s">
        <v>9021</v>
      </c>
    </row>
    <row r="4492" spans="1:4" ht="14.25">
      <c r="A4492" s="5">
        <v>17</v>
      </c>
      <c r="B4492" s="6" t="s">
        <v>9022</v>
      </c>
      <c r="C4492" s="7">
        <v>27867</v>
      </c>
      <c r="D4492" s="8" t="s">
        <v>9023</v>
      </c>
    </row>
    <row r="4493" spans="1:4" ht="14.25">
      <c r="A4493" s="5">
        <v>17</v>
      </c>
      <c r="B4493" s="6" t="s">
        <v>9024</v>
      </c>
      <c r="C4493" s="7">
        <v>27867</v>
      </c>
      <c r="D4493" s="8" t="s">
        <v>9025</v>
      </c>
    </row>
    <row r="4494" spans="1:4" ht="14.25">
      <c r="A4494" s="5">
        <v>17</v>
      </c>
      <c r="B4494" s="6" t="s">
        <v>9026</v>
      </c>
      <c r="C4494" s="7">
        <v>27867</v>
      </c>
      <c r="D4494" s="8" t="s">
        <v>9027</v>
      </c>
    </row>
    <row r="4495" spans="1:4" ht="14.25">
      <c r="A4495" s="5" t="s">
        <v>863</v>
      </c>
      <c r="B4495" s="6" t="s">
        <v>9028</v>
      </c>
      <c r="C4495" s="7">
        <v>27869</v>
      </c>
      <c r="D4495" s="8" t="s">
        <v>9029</v>
      </c>
    </row>
    <row r="4496" spans="1:4" ht="14.25">
      <c r="A4496" s="5" t="s">
        <v>236</v>
      </c>
      <c r="B4496" s="6" t="s">
        <v>9030</v>
      </c>
      <c r="C4496" s="7">
        <v>27869</v>
      </c>
      <c r="D4496" s="8" t="s">
        <v>9031</v>
      </c>
    </row>
    <row r="4497" spans="1:4" ht="14.25">
      <c r="A4497" s="5">
        <v>19</v>
      </c>
      <c r="B4497" s="6" t="s">
        <v>9032</v>
      </c>
      <c r="C4497" s="7">
        <v>27869</v>
      </c>
      <c r="D4497" s="8" t="s">
        <v>9033</v>
      </c>
    </row>
    <row r="4498" spans="1:4" ht="14.25">
      <c r="A4498" s="5">
        <v>19</v>
      </c>
      <c r="B4498" s="6" t="s">
        <v>9034</v>
      </c>
      <c r="C4498" s="7">
        <v>27869</v>
      </c>
      <c r="D4498" s="8" t="s">
        <v>9035</v>
      </c>
    </row>
    <row r="4499" spans="1:4" ht="14.25">
      <c r="A4499" s="5">
        <v>19</v>
      </c>
      <c r="B4499" s="6" t="s">
        <v>9036</v>
      </c>
      <c r="C4499" s="7">
        <v>27869</v>
      </c>
      <c r="D4499" s="8" t="s">
        <v>9037</v>
      </c>
    </row>
    <row r="4500" spans="1:4" ht="14.25">
      <c r="A4500" s="5">
        <v>19</v>
      </c>
      <c r="B4500" s="6" t="s">
        <v>9038</v>
      </c>
      <c r="C4500" s="7">
        <v>27869</v>
      </c>
      <c r="D4500" s="8" t="s">
        <v>9039</v>
      </c>
    </row>
    <row r="4501" spans="1:4" ht="14.25">
      <c r="A4501" s="5" t="s">
        <v>236</v>
      </c>
      <c r="B4501" s="6" t="s">
        <v>9040</v>
      </c>
      <c r="C4501" s="7">
        <v>27870</v>
      </c>
      <c r="D4501" s="8" t="s">
        <v>9041</v>
      </c>
    </row>
    <row r="4502" spans="1:4" ht="14.25">
      <c r="A4502" s="5" t="s">
        <v>463</v>
      </c>
      <c r="B4502" s="6" t="s">
        <v>9042</v>
      </c>
      <c r="C4502" s="7">
        <v>27870</v>
      </c>
      <c r="D4502" s="8" t="s">
        <v>9043</v>
      </c>
    </row>
    <row r="4503" spans="1:4" ht="14.25">
      <c r="A4503" s="5">
        <v>20</v>
      </c>
      <c r="B4503" s="6" t="s">
        <v>9044</v>
      </c>
      <c r="C4503" s="7">
        <v>27870</v>
      </c>
      <c r="D4503" s="8" t="s">
        <v>9045</v>
      </c>
    </row>
    <row r="4504" spans="1:4" ht="14.25">
      <c r="A4504" s="5">
        <v>20</v>
      </c>
      <c r="B4504" s="6" t="s">
        <v>9046</v>
      </c>
      <c r="C4504" s="7">
        <v>27870</v>
      </c>
      <c r="D4504" s="8" t="s">
        <v>9047</v>
      </c>
    </row>
    <row r="4505" spans="1:4" ht="14.25">
      <c r="A4505" s="5">
        <v>20</v>
      </c>
      <c r="B4505" s="6" t="s">
        <v>9048</v>
      </c>
      <c r="C4505" s="7">
        <v>27870</v>
      </c>
      <c r="D4505" s="8" t="s">
        <v>9049</v>
      </c>
    </row>
    <row r="4506" spans="1:4" ht="14.25">
      <c r="A4506" s="5">
        <v>20</v>
      </c>
      <c r="B4506" s="6" t="s">
        <v>9050</v>
      </c>
      <c r="C4506" s="7">
        <v>27870</v>
      </c>
      <c r="D4506" s="8" t="s">
        <v>9051</v>
      </c>
    </row>
    <row r="4507" spans="1:4" ht="14.25">
      <c r="A4507" s="5">
        <v>20</v>
      </c>
      <c r="B4507" s="6" t="s">
        <v>9052</v>
      </c>
      <c r="C4507" s="7">
        <v>27870</v>
      </c>
      <c r="D4507" s="8" t="s">
        <v>9053</v>
      </c>
    </row>
    <row r="4508" spans="1:4" ht="14.25">
      <c r="A4508" s="5" t="s">
        <v>236</v>
      </c>
      <c r="B4508" s="6" t="s">
        <v>9054</v>
      </c>
      <c r="C4508" s="7">
        <v>27871</v>
      </c>
      <c r="D4508" s="8" t="s">
        <v>9055</v>
      </c>
    </row>
    <row r="4509" spans="1:4" ht="14.25">
      <c r="A4509" s="5" t="s">
        <v>484</v>
      </c>
      <c r="B4509" s="6" t="s">
        <v>9056</v>
      </c>
      <c r="C4509" s="7">
        <v>27871</v>
      </c>
      <c r="D4509" s="8" t="s">
        <v>9057</v>
      </c>
    </row>
    <row r="4510" spans="1:4" ht="14.25">
      <c r="A4510" s="5">
        <v>21</v>
      </c>
      <c r="B4510" s="6" t="s">
        <v>9058</v>
      </c>
      <c r="C4510" s="7">
        <v>27871</v>
      </c>
      <c r="D4510" s="8" t="s">
        <v>9059</v>
      </c>
    </row>
    <row r="4511" spans="1:4" ht="14.25">
      <c r="A4511" s="5">
        <v>21</v>
      </c>
      <c r="B4511" s="6" t="s">
        <v>9060</v>
      </c>
      <c r="C4511" s="7">
        <v>27871</v>
      </c>
      <c r="D4511" s="8" t="s">
        <v>9061</v>
      </c>
    </row>
    <row r="4512" spans="1:4" ht="14.25">
      <c r="A4512" s="5">
        <v>21</v>
      </c>
      <c r="B4512" s="6" t="s">
        <v>9062</v>
      </c>
      <c r="C4512" s="7">
        <v>27871</v>
      </c>
      <c r="D4512" s="8" t="s">
        <v>9063</v>
      </c>
    </row>
    <row r="4513" spans="1:4" ht="14.25">
      <c r="A4513" s="5">
        <v>21</v>
      </c>
      <c r="B4513" s="6" t="s">
        <v>9064</v>
      </c>
      <c r="C4513" s="7">
        <v>27871</v>
      </c>
      <c r="D4513" s="8" t="s">
        <v>9065</v>
      </c>
    </row>
    <row r="4514" spans="1:4" ht="14.25">
      <c r="A4514" s="5" t="s">
        <v>236</v>
      </c>
      <c r="B4514" s="6" t="s">
        <v>9066</v>
      </c>
      <c r="C4514" s="7">
        <v>27872</v>
      </c>
      <c r="D4514" s="8" t="s">
        <v>9067</v>
      </c>
    </row>
    <row r="4515" spans="1:4" ht="14.25">
      <c r="A4515" s="5" t="s">
        <v>2</v>
      </c>
      <c r="B4515" s="6" t="s">
        <v>9068</v>
      </c>
      <c r="C4515" s="7">
        <v>27872</v>
      </c>
      <c r="D4515" s="8" t="s">
        <v>9069</v>
      </c>
    </row>
    <row r="4516" spans="1:4" ht="14.25">
      <c r="A4516" s="5">
        <v>22</v>
      </c>
      <c r="B4516" s="6" t="s">
        <v>9070</v>
      </c>
      <c r="C4516" s="7">
        <v>27872</v>
      </c>
      <c r="D4516" s="8" t="s">
        <v>9071</v>
      </c>
    </row>
    <row r="4517" spans="1:4" ht="14.25">
      <c r="A4517" s="5">
        <v>22</v>
      </c>
      <c r="B4517" s="6" t="s">
        <v>9072</v>
      </c>
      <c r="C4517" s="7">
        <v>27872</v>
      </c>
      <c r="D4517" s="8" t="s">
        <v>9073</v>
      </c>
    </row>
    <row r="4518" spans="1:4" ht="14.25">
      <c r="A4518" s="5">
        <v>22</v>
      </c>
      <c r="B4518" s="6" t="s">
        <v>9074</v>
      </c>
      <c r="C4518" s="7">
        <v>27872</v>
      </c>
      <c r="D4518" s="8" t="s">
        <v>9075</v>
      </c>
    </row>
    <row r="4519" spans="1:4" ht="14.25">
      <c r="A4519" s="5">
        <v>22</v>
      </c>
      <c r="B4519" s="6" t="s">
        <v>9076</v>
      </c>
      <c r="C4519" s="7">
        <v>27872</v>
      </c>
      <c r="D4519" s="8" t="s">
        <v>9077</v>
      </c>
    </row>
    <row r="4520" spans="1:4" ht="14.25">
      <c r="A4520" s="5">
        <v>22</v>
      </c>
      <c r="B4520" s="6" t="s">
        <v>9078</v>
      </c>
      <c r="C4520" s="7">
        <v>27872</v>
      </c>
      <c r="D4520" s="8" t="s">
        <v>9079</v>
      </c>
    </row>
    <row r="4521" spans="1:4" ht="14.25">
      <c r="A4521" s="5">
        <v>22</v>
      </c>
      <c r="B4521" s="6" t="s">
        <v>9080</v>
      </c>
      <c r="C4521" s="7">
        <v>27872</v>
      </c>
      <c r="D4521" s="8" t="s">
        <v>9081</v>
      </c>
    </row>
    <row r="4522" spans="1:4" ht="14.25">
      <c r="A4522" s="5" t="s">
        <v>236</v>
      </c>
      <c r="B4522" s="6" t="s">
        <v>9082</v>
      </c>
      <c r="C4522" s="7">
        <v>27873</v>
      </c>
      <c r="D4522" s="8" t="s">
        <v>9083</v>
      </c>
    </row>
    <row r="4523" spans="1:4" ht="14.25">
      <c r="A4523" s="5" t="s">
        <v>463</v>
      </c>
      <c r="B4523" s="6" t="s">
        <v>9084</v>
      </c>
      <c r="C4523" s="7">
        <v>27873</v>
      </c>
      <c r="D4523" s="8" t="s">
        <v>9085</v>
      </c>
    </row>
    <row r="4524" spans="1:4" ht="14.25">
      <c r="A4524" s="5">
        <v>23</v>
      </c>
      <c r="B4524" s="6" t="s">
        <v>9086</v>
      </c>
      <c r="C4524" s="7">
        <v>27873</v>
      </c>
      <c r="D4524" s="8" t="s">
        <v>9087</v>
      </c>
    </row>
    <row r="4525" spans="1:4" ht="14.25">
      <c r="A4525" s="5">
        <v>23</v>
      </c>
      <c r="B4525" s="6" t="s">
        <v>9088</v>
      </c>
      <c r="C4525" s="7">
        <v>27873</v>
      </c>
      <c r="D4525" s="8" t="s">
        <v>9089</v>
      </c>
    </row>
    <row r="4526" spans="1:4" ht="14.25">
      <c r="A4526" s="5">
        <v>23</v>
      </c>
      <c r="B4526" s="6" t="s">
        <v>9090</v>
      </c>
      <c r="C4526" s="7">
        <v>27873</v>
      </c>
      <c r="D4526" s="8" t="s">
        <v>9091</v>
      </c>
    </row>
    <row r="4527" spans="1:4" ht="14.25">
      <c r="A4527" s="5">
        <v>23</v>
      </c>
      <c r="B4527" s="6" t="s">
        <v>9092</v>
      </c>
      <c r="C4527" s="7">
        <v>27873</v>
      </c>
      <c r="D4527" s="8" t="s">
        <v>9093</v>
      </c>
    </row>
    <row r="4528" spans="1:4" ht="14.25">
      <c r="A4528" s="5">
        <v>23</v>
      </c>
      <c r="B4528" s="6" t="s">
        <v>9094</v>
      </c>
      <c r="C4528" s="7">
        <v>27873</v>
      </c>
      <c r="D4528" s="8" t="s">
        <v>9095</v>
      </c>
    </row>
    <row r="4529" spans="1:4" ht="14.25">
      <c r="A4529" s="5">
        <v>23</v>
      </c>
      <c r="B4529" s="6" t="s">
        <v>9096</v>
      </c>
      <c r="C4529" s="7">
        <v>27873</v>
      </c>
      <c r="D4529" s="8" t="s">
        <v>9097</v>
      </c>
    </row>
    <row r="4530" spans="1:4" ht="14.25">
      <c r="A4530" s="5" t="s">
        <v>236</v>
      </c>
      <c r="B4530" s="6" t="s">
        <v>9098</v>
      </c>
      <c r="C4530" s="7">
        <v>27874</v>
      </c>
      <c r="D4530" s="8" t="s">
        <v>9099</v>
      </c>
    </row>
    <row r="4531" spans="1:4" ht="14.25">
      <c r="A4531" s="5" t="s">
        <v>484</v>
      </c>
      <c r="B4531" s="6" t="s">
        <v>9100</v>
      </c>
      <c r="C4531" s="7">
        <v>27874</v>
      </c>
      <c r="D4531" s="8" t="s">
        <v>9101</v>
      </c>
    </row>
    <row r="4532" spans="1:4" ht="14.25">
      <c r="A4532" s="5">
        <v>24</v>
      </c>
      <c r="B4532" s="6" t="s">
        <v>9102</v>
      </c>
      <c r="C4532" s="7">
        <v>27874</v>
      </c>
      <c r="D4532" s="8" t="s">
        <v>9103</v>
      </c>
    </row>
    <row r="4533" spans="1:4" ht="14.25">
      <c r="A4533" s="5">
        <v>24</v>
      </c>
      <c r="B4533" s="6" t="s">
        <v>9104</v>
      </c>
      <c r="C4533" s="7">
        <v>27874</v>
      </c>
      <c r="D4533" s="8" t="s">
        <v>9105</v>
      </c>
    </row>
    <row r="4534" spans="1:4" ht="14.25">
      <c r="A4534" s="5">
        <v>24</v>
      </c>
      <c r="B4534" s="6" t="s">
        <v>9106</v>
      </c>
      <c r="C4534" s="7">
        <v>27874</v>
      </c>
      <c r="D4534" s="8" t="s">
        <v>9107</v>
      </c>
    </row>
    <row r="4535" spans="1:4" ht="14.25">
      <c r="A4535" s="5">
        <v>24</v>
      </c>
      <c r="B4535" s="6" t="s">
        <v>9108</v>
      </c>
      <c r="C4535" s="7">
        <v>27874</v>
      </c>
      <c r="D4535" s="8" t="s">
        <v>9109</v>
      </c>
    </row>
    <row r="4536" spans="1:4" ht="14.25">
      <c r="A4536" s="5" t="s">
        <v>236</v>
      </c>
      <c r="B4536" s="6" t="s">
        <v>9110</v>
      </c>
      <c r="C4536" s="7">
        <v>27876</v>
      </c>
      <c r="D4536" s="8" t="s">
        <v>9111</v>
      </c>
    </row>
    <row r="4537" spans="1:4" ht="14.25">
      <c r="A4537" s="5" t="s">
        <v>484</v>
      </c>
      <c r="B4537" s="6" t="s">
        <v>9112</v>
      </c>
      <c r="C4537" s="7">
        <v>27876</v>
      </c>
      <c r="D4537" s="8" t="s">
        <v>9113</v>
      </c>
    </row>
    <row r="4538" spans="1:4" ht="14.25">
      <c r="A4538" s="5">
        <v>26</v>
      </c>
      <c r="B4538" s="6" t="s">
        <v>9114</v>
      </c>
      <c r="C4538" s="7">
        <v>27876</v>
      </c>
      <c r="D4538" s="8" t="s">
        <v>9115</v>
      </c>
    </row>
    <row r="4539" spans="1:4" ht="14.25">
      <c r="A4539" s="5">
        <v>26</v>
      </c>
      <c r="B4539" s="6" t="s">
        <v>9116</v>
      </c>
      <c r="C4539" s="7">
        <v>27876</v>
      </c>
      <c r="D4539" s="8" t="s">
        <v>9117</v>
      </c>
    </row>
    <row r="4540" spans="1:4" ht="14.25">
      <c r="A4540" s="5">
        <v>26</v>
      </c>
      <c r="B4540" s="6" t="s">
        <v>9118</v>
      </c>
      <c r="C4540" s="7">
        <v>27876</v>
      </c>
      <c r="D4540" s="8" t="s">
        <v>9119</v>
      </c>
    </row>
    <row r="4541" spans="1:4" ht="14.25">
      <c r="A4541" s="5">
        <v>26</v>
      </c>
      <c r="B4541" s="6" t="s">
        <v>9120</v>
      </c>
      <c r="C4541" s="7">
        <v>27876</v>
      </c>
      <c r="D4541" s="8" t="s">
        <v>9121</v>
      </c>
    </row>
    <row r="4542" spans="1:4" ht="14.25">
      <c r="A4542" s="5" t="s">
        <v>863</v>
      </c>
      <c r="B4542" s="6" t="s">
        <v>9122</v>
      </c>
      <c r="C4542" s="7">
        <v>27877</v>
      </c>
      <c r="D4542" s="8" t="s">
        <v>9123</v>
      </c>
    </row>
    <row r="4543" spans="1:4" ht="14.25">
      <c r="A4543" s="5" t="s">
        <v>2</v>
      </c>
      <c r="B4543" s="6" t="s">
        <v>9124</v>
      </c>
      <c r="C4543" s="7">
        <v>27877</v>
      </c>
      <c r="D4543" s="8" t="s">
        <v>9125</v>
      </c>
    </row>
    <row r="4544" spans="1:4" ht="14.25">
      <c r="A4544" s="5" t="s">
        <v>463</v>
      </c>
      <c r="B4544" s="6" t="s">
        <v>9126</v>
      </c>
      <c r="C4544" s="7">
        <v>27877</v>
      </c>
      <c r="D4544" s="8" t="s">
        <v>9127</v>
      </c>
    </row>
    <row r="4545" spans="1:4" ht="14.25">
      <c r="A4545" s="5">
        <v>27</v>
      </c>
      <c r="B4545" s="6" t="s">
        <v>9128</v>
      </c>
      <c r="C4545" s="7">
        <v>27877</v>
      </c>
      <c r="D4545" s="8" t="s">
        <v>9129</v>
      </c>
    </row>
    <row r="4546" spans="1:4" ht="14.25">
      <c r="A4546" s="5">
        <v>27</v>
      </c>
      <c r="B4546" s="6" t="s">
        <v>9130</v>
      </c>
      <c r="C4546" s="7">
        <v>27877</v>
      </c>
      <c r="D4546" s="8" t="s">
        <v>9131</v>
      </c>
    </row>
    <row r="4547" spans="1:4" ht="14.25">
      <c r="A4547" s="5">
        <v>27</v>
      </c>
      <c r="B4547" s="6" t="s">
        <v>9132</v>
      </c>
      <c r="C4547" s="7">
        <v>27877</v>
      </c>
      <c r="D4547" s="8" t="s">
        <v>9133</v>
      </c>
    </row>
    <row r="4548" spans="1:4" ht="14.25">
      <c r="A4548" s="5">
        <v>27</v>
      </c>
      <c r="B4548" s="6" t="s">
        <v>9134</v>
      </c>
      <c r="C4548" s="7">
        <v>27877</v>
      </c>
      <c r="D4548" s="8" t="s">
        <v>9135</v>
      </c>
    </row>
    <row r="4549" spans="1:4" ht="14.25">
      <c r="A4549" s="5">
        <v>27</v>
      </c>
      <c r="B4549" s="6" t="s">
        <v>9136</v>
      </c>
      <c r="C4549" s="7">
        <v>27877</v>
      </c>
      <c r="D4549" s="8" t="s">
        <v>9137</v>
      </c>
    </row>
    <row r="4550" spans="1:4" ht="14.25">
      <c r="A4550" s="5">
        <v>27</v>
      </c>
      <c r="B4550" s="6" t="s">
        <v>9138</v>
      </c>
      <c r="C4550" s="7">
        <v>27877</v>
      </c>
      <c r="D4550" s="8" t="s">
        <v>9139</v>
      </c>
    </row>
    <row r="4551" spans="1:4" ht="14.25">
      <c r="A4551" s="5">
        <v>27</v>
      </c>
      <c r="B4551" s="6" t="s">
        <v>9140</v>
      </c>
      <c r="C4551" s="7">
        <v>27877</v>
      </c>
      <c r="D4551" s="8" t="s">
        <v>9141</v>
      </c>
    </row>
    <row r="4552" spans="1:4" ht="14.25">
      <c r="A4552" s="5">
        <v>30</v>
      </c>
      <c r="B4552" s="6" t="s">
        <v>9142</v>
      </c>
      <c r="C4552" s="7">
        <v>27880</v>
      </c>
      <c r="D4552" s="8" t="s">
        <v>9143</v>
      </c>
    </row>
    <row r="4553" spans="1:4" ht="14.25">
      <c r="A4553" s="5" t="s">
        <v>463</v>
      </c>
      <c r="B4553" s="6" t="s">
        <v>9144</v>
      </c>
      <c r="C4553" s="7">
        <v>27881</v>
      </c>
      <c r="D4553" s="8" t="s">
        <v>9145</v>
      </c>
    </row>
    <row r="4554" spans="1:4" ht="14.25">
      <c r="A4554" s="5">
        <v>1</v>
      </c>
      <c r="B4554" s="6" t="s">
        <v>9146</v>
      </c>
      <c r="C4554" s="7">
        <v>27881</v>
      </c>
      <c r="D4554" s="8" t="s">
        <v>9147</v>
      </c>
    </row>
    <row r="4555" spans="1:4" ht="14.25">
      <c r="A4555" s="5">
        <v>1</v>
      </c>
      <c r="B4555" s="6" t="s">
        <v>9148</v>
      </c>
      <c r="C4555" s="7">
        <v>27881</v>
      </c>
      <c r="D4555" s="8" t="s">
        <v>9149</v>
      </c>
    </row>
    <row r="4556" spans="1:4" ht="14.25">
      <c r="A4556" s="5" t="s">
        <v>197</v>
      </c>
      <c r="B4556" s="6" t="s">
        <v>9150</v>
      </c>
      <c r="C4556" s="7">
        <v>27882</v>
      </c>
      <c r="D4556" s="8" t="s">
        <v>9151</v>
      </c>
    </row>
    <row r="4557" spans="1:4" ht="14.25">
      <c r="A4557" s="5">
        <v>2</v>
      </c>
      <c r="B4557" s="6" t="s">
        <v>9152</v>
      </c>
      <c r="C4557" s="7">
        <v>27882</v>
      </c>
      <c r="D4557" s="8" t="s">
        <v>9153</v>
      </c>
    </row>
    <row r="4558" spans="1:4" ht="14.25">
      <c r="A4558" s="5">
        <v>2</v>
      </c>
      <c r="B4558" s="6" t="s">
        <v>9154</v>
      </c>
      <c r="C4558" s="7">
        <v>27882</v>
      </c>
      <c r="D4558" s="8" t="s">
        <v>9155</v>
      </c>
    </row>
    <row r="4559" spans="1:4" ht="14.25">
      <c r="A4559" s="5">
        <v>2</v>
      </c>
      <c r="B4559" s="6" t="s">
        <v>9156</v>
      </c>
      <c r="C4559" s="7">
        <v>27882</v>
      </c>
      <c r="D4559" s="8" t="s">
        <v>9157</v>
      </c>
    </row>
    <row r="4560" spans="1:4" ht="14.25">
      <c r="A4560" s="5" t="s">
        <v>463</v>
      </c>
      <c r="B4560" s="6" t="s">
        <v>9158</v>
      </c>
      <c r="C4560" s="7">
        <v>27883</v>
      </c>
      <c r="D4560" s="8" t="s">
        <v>9159</v>
      </c>
    </row>
    <row r="4561" spans="1:4" ht="14.25">
      <c r="A4561" s="5">
        <v>3</v>
      </c>
      <c r="B4561" s="6" t="s">
        <v>9160</v>
      </c>
      <c r="C4561" s="7">
        <v>27883</v>
      </c>
      <c r="D4561" s="8" t="s">
        <v>9161</v>
      </c>
    </row>
    <row r="4562" spans="1:4" ht="14.25">
      <c r="A4562" s="5">
        <v>3</v>
      </c>
      <c r="B4562" s="6" t="s">
        <v>9162</v>
      </c>
      <c r="C4562" s="7">
        <v>27883</v>
      </c>
      <c r="D4562" s="8" t="s">
        <v>9163</v>
      </c>
    </row>
    <row r="4563" spans="1:4" ht="14.25">
      <c r="A4563" s="5">
        <v>3</v>
      </c>
      <c r="B4563" s="6" t="s">
        <v>9164</v>
      </c>
      <c r="C4563" s="7">
        <v>27883</v>
      </c>
      <c r="D4563" s="8" t="s">
        <v>9165</v>
      </c>
    </row>
    <row r="4564" spans="1:4" ht="14.25">
      <c r="A4564" s="5">
        <v>3</v>
      </c>
      <c r="B4564" s="6" t="s">
        <v>9166</v>
      </c>
      <c r="C4564" s="7">
        <v>27883</v>
      </c>
      <c r="D4564" s="8" t="s">
        <v>9167</v>
      </c>
    </row>
    <row r="4565" spans="1:4" ht="14.25">
      <c r="A4565" s="5">
        <v>3</v>
      </c>
      <c r="B4565" s="6" t="s">
        <v>9168</v>
      </c>
      <c r="C4565" s="7">
        <v>27883</v>
      </c>
      <c r="D4565" s="8" t="s">
        <v>9169</v>
      </c>
    </row>
    <row r="4566" spans="1:4" ht="14.25">
      <c r="A4566" s="5" t="s">
        <v>463</v>
      </c>
      <c r="B4566" s="6" t="s">
        <v>9170</v>
      </c>
      <c r="C4566" s="7">
        <v>27884</v>
      </c>
      <c r="D4566" s="8" t="s">
        <v>9171</v>
      </c>
    </row>
    <row r="4567" spans="1:4" ht="14.25">
      <c r="A4567" s="5">
        <v>4</v>
      </c>
      <c r="B4567" s="6" t="s">
        <v>9172</v>
      </c>
      <c r="C4567" s="7">
        <v>27884</v>
      </c>
      <c r="D4567" s="8" t="s">
        <v>9173</v>
      </c>
    </row>
    <row r="4568" spans="1:4" ht="14.25">
      <c r="A4568" s="5">
        <v>4</v>
      </c>
      <c r="B4568" s="6" t="s">
        <v>9174</v>
      </c>
      <c r="C4568" s="7">
        <v>27884</v>
      </c>
      <c r="D4568" s="8" t="s">
        <v>9175</v>
      </c>
    </row>
    <row r="4569" spans="1:4" ht="14.25">
      <c r="A4569" s="5">
        <v>5</v>
      </c>
      <c r="B4569" s="6" t="s">
        <v>9176</v>
      </c>
      <c r="C4569" s="7">
        <v>27885</v>
      </c>
      <c r="D4569" s="8" t="s">
        <v>9177</v>
      </c>
    </row>
    <row r="4570" spans="1:4" ht="14.25">
      <c r="A4570" s="5">
        <v>5</v>
      </c>
      <c r="B4570" s="6" t="s">
        <v>9178</v>
      </c>
      <c r="C4570" s="7">
        <v>27885</v>
      </c>
      <c r="D4570" s="8" t="s">
        <v>9179</v>
      </c>
    </row>
    <row r="4571" spans="1:4" ht="14.25">
      <c r="A4571" s="5" t="s">
        <v>1001</v>
      </c>
      <c r="B4571" s="6" t="s">
        <v>9180</v>
      </c>
      <c r="C4571" s="7">
        <v>27886</v>
      </c>
      <c r="D4571" s="8" t="s">
        <v>9181</v>
      </c>
    </row>
    <row r="4572" spans="1:4" ht="14.25">
      <c r="A4572" s="5">
        <v>6</v>
      </c>
      <c r="B4572" s="6" t="s">
        <v>9182</v>
      </c>
      <c r="C4572" s="7">
        <v>27886</v>
      </c>
      <c r="D4572" s="8" t="s">
        <v>9183</v>
      </c>
    </row>
    <row r="4573" spans="1:4" ht="14.25">
      <c r="A4573" s="5">
        <v>6</v>
      </c>
      <c r="B4573" s="6" t="s">
        <v>9184</v>
      </c>
      <c r="C4573" s="7">
        <v>27886</v>
      </c>
      <c r="D4573" s="8" t="s">
        <v>9185</v>
      </c>
    </row>
    <row r="4574" spans="1:4" ht="14.25">
      <c r="A4574" s="5">
        <v>6</v>
      </c>
      <c r="B4574" s="6" t="s">
        <v>9186</v>
      </c>
      <c r="C4574" s="7">
        <v>27886</v>
      </c>
      <c r="D4574" s="8" t="s">
        <v>9187</v>
      </c>
    </row>
    <row r="4575" spans="1:4" ht="14.25">
      <c r="A4575" s="5" t="s">
        <v>1001</v>
      </c>
      <c r="B4575" s="6" t="s">
        <v>9188</v>
      </c>
      <c r="C4575" s="7">
        <v>27887</v>
      </c>
      <c r="D4575" s="8" t="s">
        <v>9189</v>
      </c>
    </row>
    <row r="4576" spans="1:4" ht="14.25">
      <c r="A4576" s="5">
        <v>7</v>
      </c>
      <c r="B4576" s="6" t="s">
        <v>9190</v>
      </c>
      <c r="C4576" s="7">
        <v>27887</v>
      </c>
      <c r="D4576" s="8" t="s">
        <v>9191</v>
      </c>
    </row>
    <row r="4577" spans="1:4" ht="14.25">
      <c r="A4577" s="5">
        <v>7</v>
      </c>
      <c r="B4577" s="6" t="s">
        <v>9192</v>
      </c>
      <c r="C4577" s="7">
        <v>27887</v>
      </c>
      <c r="D4577" s="8" t="s">
        <v>9193</v>
      </c>
    </row>
    <row r="4578" spans="1:4" ht="14.25">
      <c r="A4578" s="5">
        <v>7</v>
      </c>
      <c r="B4578" s="6" t="s">
        <v>9194</v>
      </c>
      <c r="C4578" s="7">
        <v>27887</v>
      </c>
      <c r="D4578" s="8" t="s">
        <v>9195</v>
      </c>
    </row>
    <row r="4579" spans="1:4" ht="14.25">
      <c r="A4579" s="5" t="s">
        <v>1001</v>
      </c>
      <c r="B4579" s="6" t="s">
        <v>9196</v>
      </c>
      <c r="C4579" s="7">
        <v>27888</v>
      </c>
      <c r="D4579" s="8" t="s">
        <v>9197</v>
      </c>
    </row>
    <row r="4580" spans="1:4" ht="14.25">
      <c r="A4580" s="5">
        <v>8</v>
      </c>
      <c r="B4580" s="6" t="s">
        <v>9198</v>
      </c>
      <c r="C4580" s="7">
        <v>27888</v>
      </c>
      <c r="D4580" s="8" t="s">
        <v>9199</v>
      </c>
    </row>
    <row r="4581" spans="1:4" ht="14.25">
      <c r="A4581" s="5">
        <v>8</v>
      </c>
      <c r="B4581" s="6" t="s">
        <v>9200</v>
      </c>
      <c r="C4581" s="7">
        <v>27888</v>
      </c>
      <c r="D4581" s="8" t="s">
        <v>9201</v>
      </c>
    </row>
    <row r="4582" spans="1:4" ht="14.25">
      <c r="A4582" s="5" t="s">
        <v>1001</v>
      </c>
      <c r="B4582" s="6" t="s">
        <v>9202</v>
      </c>
      <c r="C4582" s="7">
        <v>27889</v>
      </c>
      <c r="D4582" s="8" t="s">
        <v>9203</v>
      </c>
    </row>
    <row r="4583" spans="1:4" ht="14.25">
      <c r="A4583" s="5">
        <v>9</v>
      </c>
      <c r="B4583" s="6" t="s">
        <v>9204</v>
      </c>
      <c r="C4583" s="7">
        <v>27889</v>
      </c>
      <c r="D4583" s="8" t="s">
        <v>9205</v>
      </c>
    </row>
    <row r="4584" spans="1:4" ht="14.25">
      <c r="A4584" s="5">
        <v>9</v>
      </c>
      <c r="B4584" s="6" t="s">
        <v>9206</v>
      </c>
      <c r="C4584" s="7">
        <v>27889</v>
      </c>
      <c r="D4584" s="8" t="s">
        <v>9207</v>
      </c>
    </row>
    <row r="4585" spans="1:4" ht="14.25">
      <c r="A4585" s="5" t="s">
        <v>1001</v>
      </c>
      <c r="B4585" s="6" t="s">
        <v>9208</v>
      </c>
      <c r="C4585" s="7">
        <v>27890</v>
      </c>
      <c r="D4585" s="8" t="s">
        <v>9209</v>
      </c>
    </row>
    <row r="4586" spans="1:4" ht="14.25">
      <c r="A4586" s="5">
        <v>10</v>
      </c>
      <c r="B4586" s="6" t="s">
        <v>9210</v>
      </c>
      <c r="C4586" s="7">
        <v>27890</v>
      </c>
      <c r="D4586" s="8" t="s">
        <v>9211</v>
      </c>
    </row>
    <row r="4587" spans="1:4" ht="14.25">
      <c r="A4587" s="5">
        <v>10</v>
      </c>
      <c r="B4587" s="6" t="s">
        <v>9212</v>
      </c>
      <c r="C4587" s="7">
        <v>27890</v>
      </c>
      <c r="D4587" s="8" t="s">
        <v>9213</v>
      </c>
    </row>
    <row r="4588" spans="1:4" ht="14.25">
      <c r="A4588" s="5" t="s">
        <v>1001</v>
      </c>
      <c r="B4588" s="6" t="s">
        <v>9214</v>
      </c>
      <c r="C4588" s="7">
        <v>27891</v>
      </c>
      <c r="D4588" s="8" t="s">
        <v>9215</v>
      </c>
    </row>
    <row r="4589" spans="1:4" ht="14.25">
      <c r="A4589" s="5">
        <v>11</v>
      </c>
      <c r="B4589" s="6" t="s">
        <v>9216</v>
      </c>
      <c r="C4589" s="7">
        <v>27891</v>
      </c>
      <c r="D4589" s="8" t="s">
        <v>9217</v>
      </c>
    </row>
    <row r="4590" spans="1:4" ht="14.25">
      <c r="A4590" s="5">
        <v>11</v>
      </c>
      <c r="B4590" s="6" t="s">
        <v>9218</v>
      </c>
      <c r="C4590" s="7">
        <v>27891</v>
      </c>
      <c r="D4590" s="8" t="s">
        <v>9219</v>
      </c>
    </row>
    <row r="4591" spans="1:4" ht="14.25">
      <c r="A4591" s="5">
        <v>11</v>
      </c>
      <c r="B4591" s="6" t="s">
        <v>9220</v>
      </c>
      <c r="C4591" s="7">
        <v>27891</v>
      </c>
      <c r="D4591" s="8" t="s">
        <v>9221</v>
      </c>
    </row>
    <row r="4592" spans="1:4" ht="14.25">
      <c r="A4592" s="5" t="s">
        <v>484</v>
      </c>
      <c r="B4592" s="6" t="s">
        <v>9222</v>
      </c>
      <c r="C4592" s="7">
        <v>27892</v>
      </c>
      <c r="D4592" s="8" t="s">
        <v>9223</v>
      </c>
    </row>
    <row r="4593" spans="1:4" ht="14.25">
      <c r="A4593" s="5" t="s">
        <v>1001</v>
      </c>
      <c r="B4593" s="6" t="s">
        <v>9224</v>
      </c>
      <c r="C4593" s="7">
        <v>27892</v>
      </c>
      <c r="D4593" s="8" t="s">
        <v>9225</v>
      </c>
    </row>
    <row r="4594" spans="1:4" ht="14.25">
      <c r="A4594" s="5">
        <v>12</v>
      </c>
      <c r="B4594" s="6" t="s">
        <v>9226</v>
      </c>
      <c r="C4594" s="7">
        <v>27892</v>
      </c>
      <c r="D4594" s="8" t="s">
        <v>9227</v>
      </c>
    </row>
    <row r="4595" spans="1:4" ht="14.25">
      <c r="A4595" s="5">
        <v>12</v>
      </c>
      <c r="B4595" s="6" t="s">
        <v>9228</v>
      </c>
      <c r="C4595" s="7">
        <v>27892</v>
      </c>
      <c r="D4595" s="8" t="s">
        <v>9229</v>
      </c>
    </row>
    <row r="4596" spans="1:4" ht="14.25">
      <c r="A4596" s="5">
        <v>12</v>
      </c>
      <c r="B4596" s="6" t="s">
        <v>9230</v>
      </c>
      <c r="C4596" s="7">
        <v>27892</v>
      </c>
      <c r="D4596" s="8" t="s">
        <v>9231</v>
      </c>
    </row>
    <row r="4597" spans="1:4" ht="14.25">
      <c r="A4597" s="5">
        <v>12</v>
      </c>
      <c r="B4597" s="6" t="s">
        <v>9232</v>
      </c>
      <c r="C4597" s="7">
        <v>27892</v>
      </c>
      <c r="D4597" s="8" t="s">
        <v>9233</v>
      </c>
    </row>
    <row r="4598" spans="1:4" ht="14.25">
      <c r="A4598" s="5">
        <v>12</v>
      </c>
      <c r="B4598" s="6" t="s">
        <v>9234</v>
      </c>
      <c r="C4598" s="7">
        <v>27892</v>
      </c>
      <c r="D4598" s="8" t="s">
        <v>9235</v>
      </c>
    </row>
    <row r="4599" spans="1:4" ht="14.25">
      <c r="A4599" s="5" t="s">
        <v>1001</v>
      </c>
      <c r="B4599" s="6" t="s">
        <v>9236</v>
      </c>
      <c r="C4599" s="7">
        <v>27893</v>
      </c>
      <c r="D4599" s="8" t="s">
        <v>9237</v>
      </c>
    </row>
    <row r="4600" spans="1:4" ht="14.25">
      <c r="A4600" s="5">
        <v>13</v>
      </c>
      <c r="B4600" s="6" t="s">
        <v>9238</v>
      </c>
      <c r="C4600" s="7">
        <v>27893</v>
      </c>
      <c r="D4600" s="8" t="s">
        <v>9239</v>
      </c>
    </row>
    <row r="4601" spans="1:4" ht="14.25">
      <c r="A4601" s="5">
        <v>13</v>
      </c>
      <c r="B4601" s="6" t="s">
        <v>9240</v>
      </c>
      <c r="C4601" s="7">
        <v>27893</v>
      </c>
      <c r="D4601" s="8" t="s">
        <v>9241</v>
      </c>
    </row>
    <row r="4602" spans="1:4" ht="14.25">
      <c r="A4602" s="5">
        <v>13</v>
      </c>
      <c r="B4602" s="6" t="s">
        <v>9242</v>
      </c>
      <c r="C4602" s="7">
        <v>27893</v>
      </c>
      <c r="D4602" s="8" t="s">
        <v>9243</v>
      </c>
    </row>
    <row r="4603" spans="1:4" ht="14.25">
      <c r="A4603" s="5" t="s">
        <v>1001</v>
      </c>
      <c r="B4603" s="6" t="s">
        <v>9244</v>
      </c>
      <c r="C4603" s="7">
        <v>27894</v>
      </c>
      <c r="D4603" s="8" t="s">
        <v>9245</v>
      </c>
    </row>
    <row r="4604" spans="1:4" ht="14.25">
      <c r="A4604" s="5" t="s">
        <v>1001</v>
      </c>
      <c r="B4604" s="6" t="s">
        <v>9246</v>
      </c>
      <c r="C4604" s="7">
        <v>27894</v>
      </c>
      <c r="D4604" s="8" t="s">
        <v>9247</v>
      </c>
    </row>
    <row r="4605" spans="1:4" ht="14.25">
      <c r="A4605" s="5">
        <v>14</v>
      </c>
      <c r="B4605" s="6" t="s">
        <v>9248</v>
      </c>
      <c r="C4605" s="7">
        <v>27894</v>
      </c>
      <c r="D4605" s="8" t="s">
        <v>9249</v>
      </c>
    </row>
    <row r="4606" spans="1:4" ht="14.25">
      <c r="A4606" s="5">
        <v>14</v>
      </c>
      <c r="B4606" s="6" t="s">
        <v>9250</v>
      </c>
      <c r="C4606" s="7">
        <v>27894</v>
      </c>
      <c r="D4606" s="8" t="s">
        <v>9251</v>
      </c>
    </row>
    <row r="4607" spans="1:4" ht="14.25">
      <c r="A4607" s="5" t="s">
        <v>484</v>
      </c>
      <c r="B4607" s="6" t="s">
        <v>9252</v>
      </c>
      <c r="C4607" s="7">
        <v>27895</v>
      </c>
      <c r="D4607" s="8" t="s">
        <v>9253</v>
      </c>
    </row>
    <row r="4608" spans="1:4" ht="14.25">
      <c r="A4608" s="5">
        <v>15</v>
      </c>
      <c r="B4608" s="6" t="s">
        <v>9254</v>
      </c>
      <c r="C4608" s="7">
        <v>27895</v>
      </c>
      <c r="D4608" s="8" t="s">
        <v>9255</v>
      </c>
    </row>
    <row r="4609" spans="1:4" ht="14.25">
      <c r="A4609" s="5">
        <v>15</v>
      </c>
      <c r="B4609" s="6" t="s">
        <v>9256</v>
      </c>
      <c r="C4609" s="7">
        <v>27895</v>
      </c>
      <c r="D4609" s="8" t="s">
        <v>9257</v>
      </c>
    </row>
    <row r="4610" spans="1:4" ht="14.25">
      <c r="A4610" s="5">
        <v>15</v>
      </c>
      <c r="B4610" s="6" t="s">
        <v>9258</v>
      </c>
      <c r="C4610" s="7">
        <v>27895</v>
      </c>
      <c r="D4610" s="8" t="s">
        <v>9259</v>
      </c>
    </row>
    <row r="4611" spans="1:4" ht="14.25">
      <c r="A4611" s="5">
        <v>15</v>
      </c>
      <c r="B4611" s="6" t="s">
        <v>9260</v>
      </c>
      <c r="C4611" s="7">
        <v>27895</v>
      </c>
      <c r="D4611" s="8" t="s">
        <v>9261</v>
      </c>
    </row>
    <row r="4612" spans="1:4" ht="14.25">
      <c r="A4612" s="5" t="s">
        <v>1001</v>
      </c>
      <c r="B4612" s="6" t="s">
        <v>9262</v>
      </c>
      <c r="C4612" s="7">
        <v>27896</v>
      </c>
      <c r="D4612" s="8" t="s">
        <v>9263</v>
      </c>
    </row>
    <row r="4613" spans="1:4" ht="14.25">
      <c r="A4613" s="5">
        <v>16</v>
      </c>
      <c r="B4613" s="6" t="s">
        <v>9264</v>
      </c>
      <c r="C4613" s="7">
        <v>27896</v>
      </c>
      <c r="D4613" s="8" t="s">
        <v>9265</v>
      </c>
    </row>
    <row r="4614" spans="1:4" ht="14.25">
      <c r="A4614" s="5">
        <v>16</v>
      </c>
      <c r="B4614" s="6" t="s">
        <v>9266</v>
      </c>
      <c r="C4614" s="7">
        <v>27896</v>
      </c>
      <c r="D4614" s="8" t="s">
        <v>9267</v>
      </c>
    </row>
    <row r="4615" spans="1:4" ht="14.25">
      <c r="A4615" s="5">
        <v>17</v>
      </c>
      <c r="B4615" s="6" t="s">
        <v>9268</v>
      </c>
      <c r="C4615" s="7">
        <v>27897</v>
      </c>
      <c r="D4615" s="8" t="s">
        <v>9269</v>
      </c>
    </row>
    <row r="4616" spans="1:4" ht="14.25">
      <c r="A4616" s="5">
        <v>17</v>
      </c>
      <c r="B4616" s="6" t="s">
        <v>9270</v>
      </c>
      <c r="C4616" s="7">
        <v>27897</v>
      </c>
      <c r="D4616" s="8" t="s">
        <v>9271</v>
      </c>
    </row>
    <row r="4617" spans="1:4" ht="14.25">
      <c r="A4617" s="5" t="s">
        <v>1001</v>
      </c>
      <c r="B4617" s="6" t="s">
        <v>9272</v>
      </c>
      <c r="C4617" s="7">
        <v>27898</v>
      </c>
      <c r="D4617" s="8" t="s">
        <v>9273</v>
      </c>
    </row>
    <row r="4618" spans="1:4" ht="14.25">
      <c r="A4618" s="5">
        <v>18</v>
      </c>
      <c r="B4618" s="6" t="s">
        <v>9274</v>
      </c>
      <c r="C4618" s="7">
        <v>27898</v>
      </c>
      <c r="D4618" s="8" t="s">
        <v>9275</v>
      </c>
    </row>
    <row r="4619" spans="1:4" ht="14.25">
      <c r="A4619" s="5">
        <v>18</v>
      </c>
      <c r="B4619" s="6" t="s">
        <v>9276</v>
      </c>
      <c r="C4619" s="7">
        <v>27898</v>
      </c>
      <c r="D4619" s="8" t="s">
        <v>9277</v>
      </c>
    </row>
    <row r="4620" spans="1:4" ht="14.25">
      <c r="A4620" s="5">
        <v>18</v>
      </c>
      <c r="B4620" s="6" t="s">
        <v>9278</v>
      </c>
      <c r="C4620" s="7">
        <v>27898</v>
      </c>
      <c r="D4620" s="8" t="s">
        <v>9279</v>
      </c>
    </row>
    <row r="4621" spans="1:4" ht="14.25">
      <c r="A4621" s="5">
        <v>18</v>
      </c>
      <c r="B4621" s="6" t="s">
        <v>9280</v>
      </c>
      <c r="C4621" s="7">
        <v>27898</v>
      </c>
      <c r="D4621" s="8" t="s">
        <v>9281</v>
      </c>
    </row>
    <row r="4622" spans="1:4" ht="14.25">
      <c r="A4622" s="5" t="s">
        <v>1001</v>
      </c>
      <c r="B4622" s="6" t="s">
        <v>9282</v>
      </c>
      <c r="C4622" s="7">
        <v>27899</v>
      </c>
      <c r="D4622" s="8" t="s">
        <v>9283</v>
      </c>
    </row>
    <row r="4623" spans="1:4" ht="14.25">
      <c r="A4623" s="5">
        <v>19</v>
      </c>
      <c r="B4623" s="6" t="s">
        <v>9284</v>
      </c>
      <c r="C4623" s="7">
        <v>27899</v>
      </c>
      <c r="D4623" s="8" t="s">
        <v>9285</v>
      </c>
    </row>
    <row r="4624" spans="1:4" ht="14.25">
      <c r="A4624" s="5">
        <v>19</v>
      </c>
      <c r="B4624" s="6" t="s">
        <v>9286</v>
      </c>
      <c r="C4624" s="7">
        <v>27899</v>
      </c>
      <c r="D4624" s="8" t="s">
        <v>9287</v>
      </c>
    </row>
    <row r="4625" spans="1:4" ht="14.25">
      <c r="A4625" s="5">
        <v>19</v>
      </c>
      <c r="B4625" s="6" t="s">
        <v>9288</v>
      </c>
      <c r="C4625" s="7">
        <v>27899</v>
      </c>
      <c r="D4625" s="8" t="s">
        <v>9289</v>
      </c>
    </row>
    <row r="4626" spans="1:4" ht="14.25">
      <c r="A4626" s="5" t="s">
        <v>1001</v>
      </c>
      <c r="B4626" s="6" t="s">
        <v>9290</v>
      </c>
      <c r="C4626" s="7">
        <v>27900</v>
      </c>
      <c r="D4626" s="8" t="s">
        <v>9291</v>
      </c>
    </row>
    <row r="4627" spans="1:4" ht="14.25">
      <c r="A4627" s="5">
        <v>20</v>
      </c>
      <c r="B4627" s="6" t="s">
        <v>9292</v>
      </c>
      <c r="C4627" s="7">
        <v>27900</v>
      </c>
      <c r="D4627" s="8" t="s">
        <v>9293</v>
      </c>
    </row>
    <row r="4628" spans="1:4" ht="14.25">
      <c r="A4628" s="5">
        <v>20</v>
      </c>
      <c r="B4628" s="6" t="s">
        <v>9294</v>
      </c>
      <c r="C4628" s="7">
        <v>27900</v>
      </c>
      <c r="D4628" s="8" t="s">
        <v>9295</v>
      </c>
    </row>
    <row r="4629" spans="1:4" ht="14.25">
      <c r="A4629" s="5">
        <v>20</v>
      </c>
      <c r="B4629" s="6" t="s">
        <v>9296</v>
      </c>
      <c r="C4629" s="7">
        <v>27900</v>
      </c>
      <c r="D4629" s="8" t="s">
        <v>9297</v>
      </c>
    </row>
    <row r="4630" spans="1:4" ht="14.25">
      <c r="A4630" s="5">
        <v>20</v>
      </c>
      <c r="B4630" s="6" t="s">
        <v>9298</v>
      </c>
      <c r="C4630" s="7">
        <v>27900</v>
      </c>
      <c r="D4630" s="8" t="s">
        <v>9299</v>
      </c>
    </row>
    <row r="4631" spans="1:4" ht="14.25">
      <c r="A4631" s="5" t="s">
        <v>1001</v>
      </c>
      <c r="B4631" s="6" t="s">
        <v>9300</v>
      </c>
      <c r="C4631" s="7">
        <v>27901</v>
      </c>
      <c r="D4631" s="8" t="s">
        <v>9301</v>
      </c>
    </row>
    <row r="4632" spans="1:4" ht="14.25">
      <c r="A4632" s="5">
        <v>21</v>
      </c>
      <c r="B4632" s="6" t="s">
        <v>9302</v>
      </c>
      <c r="C4632" s="7">
        <v>27901</v>
      </c>
      <c r="D4632" s="8" t="s">
        <v>9303</v>
      </c>
    </row>
    <row r="4633" spans="1:4" ht="14.25">
      <c r="A4633" s="5">
        <v>21</v>
      </c>
      <c r="B4633" s="6" t="s">
        <v>9304</v>
      </c>
      <c r="C4633" s="7">
        <v>27901</v>
      </c>
      <c r="D4633" s="8" t="s">
        <v>9305</v>
      </c>
    </row>
    <row r="4634" spans="1:4" ht="14.25">
      <c r="A4634" s="5">
        <v>21</v>
      </c>
      <c r="B4634" s="6" t="s">
        <v>9306</v>
      </c>
      <c r="C4634" s="7">
        <v>27901</v>
      </c>
      <c r="D4634" s="8" t="s">
        <v>9307</v>
      </c>
    </row>
    <row r="4635" spans="1:4" ht="14.25">
      <c r="A4635" s="5" t="s">
        <v>1001</v>
      </c>
      <c r="B4635" s="6" t="s">
        <v>9308</v>
      </c>
      <c r="C4635" s="7">
        <v>27902</v>
      </c>
      <c r="D4635" s="8" t="s">
        <v>9309</v>
      </c>
    </row>
    <row r="4636" spans="1:4" ht="14.25">
      <c r="A4636" s="5">
        <v>22</v>
      </c>
      <c r="B4636" s="6" t="s">
        <v>9310</v>
      </c>
      <c r="C4636" s="7">
        <v>27902</v>
      </c>
      <c r="D4636" s="8" t="s">
        <v>9311</v>
      </c>
    </row>
    <row r="4637" spans="1:4" ht="14.25">
      <c r="A4637" s="5">
        <v>22</v>
      </c>
      <c r="B4637" s="6" t="s">
        <v>9312</v>
      </c>
      <c r="C4637" s="7">
        <v>27902</v>
      </c>
      <c r="D4637" s="8" t="s">
        <v>9313</v>
      </c>
    </row>
    <row r="4638" spans="1:4" ht="14.25">
      <c r="A4638" s="5" t="s">
        <v>1001</v>
      </c>
      <c r="B4638" s="6" t="s">
        <v>9314</v>
      </c>
      <c r="C4638" s="7">
        <v>27903</v>
      </c>
      <c r="D4638" s="8" t="s">
        <v>9315</v>
      </c>
    </row>
    <row r="4639" spans="1:4" ht="14.25">
      <c r="A4639" s="5">
        <v>23</v>
      </c>
      <c r="B4639" s="6" t="s">
        <v>9316</v>
      </c>
      <c r="C4639" s="7">
        <v>27903</v>
      </c>
      <c r="D4639" s="8" t="s">
        <v>9317</v>
      </c>
    </row>
    <row r="4640" spans="1:4" ht="14.25">
      <c r="A4640" s="5">
        <v>23</v>
      </c>
      <c r="B4640" s="6" t="s">
        <v>9318</v>
      </c>
      <c r="C4640" s="7">
        <v>27903</v>
      </c>
      <c r="D4640" s="8" t="s">
        <v>9319</v>
      </c>
    </row>
    <row r="4641" spans="1:4" ht="14.25">
      <c r="A4641" s="5" t="s">
        <v>1001</v>
      </c>
      <c r="B4641" s="6" t="s">
        <v>9320</v>
      </c>
      <c r="C4641" s="7">
        <v>27904</v>
      </c>
      <c r="D4641" s="8" t="s">
        <v>9321</v>
      </c>
    </row>
    <row r="4642" spans="1:4" ht="14.25">
      <c r="A4642" s="5">
        <v>24</v>
      </c>
      <c r="B4642" s="6" t="s">
        <v>9322</v>
      </c>
      <c r="C4642" s="7">
        <v>27904</v>
      </c>
      <c r="D4642" s="8" t="s">
        <v>9323</v>
      </c>
    </row>
    <row r="4643" spans="1:4" ht="14.25">
      <c r="A4643" s="5">
        <v>24</v>
      </c>
      <c r="B4643" s="6" t="s">
        <v>9324</v>
      </c>
      <c r="C4643" s="7">
        <v>27904</v>
      </c>
      <c r="D4643" s="8" t="s">
        <v>9325</v>
      </c>
    </row>
    <row r="4644" spans="1:4" ht="14.25">
      <c r="A4644" s="5">
        <v>24</v>
      </c>
      <c r="B4644" s="6" t="s">
        <v>9326</v>
      </c>
      <c r="C4644" s="7">
        <v>27904</v>
      </c>
      <c r="D4644" s="8" t="s">
        <v>9327</v>
      </c>
    </row>
    <row r="4645" spans="1:4" ht="14.25">
      <c r="A4645" s="5" t="s">
        <v>1001</v>
      </c>
      <c r="B4645" s="6" t="s">
        <v>9328</v>
      </c>
      <c r="C4645" s="7">
        <v>27905</v>
      </c>
      <c r="D4645" s="8" t="s">
        <v>9329</v>
      </c>
    </row>
    <row r="4646" spans="1:4" ht="14.25">
      <c r="A4646" s="5">
        <v>25</v>
      </c>
      <c r="B4646" s="6" t="s">
        <v>9330</v>
      </c>
      <c r="C4646" s="7">
        <v>27905</v>
      </c>
      <c r="D4646" s="8" t="s">
        <v>9331</v>
      </c>
    </row>
    <row r="4647" spans="1:4" ht="14.25">
      <c r="A4647" s="5">
        <v>25</v>
      </c>
      <c r="B4647" s="6" t="s">
        <v>9332</v>
      </c>
      <c r="C4647" s="7">
        <v>27905</v>
      </c>
      <c r="D4647" s="8" t="s">
        <v>9333</v>
      </c>
    </row>
    <row r="4648" spans="1:4" ht="14.25">
      <c r="A4648" s="5">
        <v>25</v>
      </c>
      <c r="B4648" s="6" t="s">
        <v>9334</v>
      </c>
      <c r="C4648" s="7">
        <v>27905</v>
      </c>
      <c r="D4648" s="8" t="s">
        <v>9335</v>
      </c>
    </row>
    <row r="4649" spans="1:4" ht="14.25">
      <c r="A4649" s="5" t="s">
        <v>1001</v>
      </c>
      <c r="B4649" s="6" t="s">
        <v>9336</v>
      </c>
      <c r="C4649" s="7">
        <v>27906</v>
      </c>
      <c r="D4649" s="8" t="s">
        <v>9337</v>
      </c>
    </row>
    <row r="4650" spans="1:4" ht="14.25">
      <c r="A4650" s="5">
        <v>26</v>
      </c>
      <c r="B4650" s="6" t="s">
        <v>9338</v>
      </c>
      <c r="C4650" s="7">
        <v>27906</v>
      </c>
      <c r="D4650" s="8" t="s">
        <v>9339</v>
      </c>
    </row>
    <row r="4651" spans="1:4" ht="14.25">
      <c r="A4651" s="5">
        <v>26</v>
      </c>
      <c r="B4651" s="6" t="s">
        <v>9340</v>
      </c>
      <c r="C4651" s="7">
        <v>27906</v>
      </c>
      <c r="D4651" s="8" t="s">
        <v>9341</v>
      </c>
    </row>
    <row r="4652" spans="1:4" ht="14.25">
      <c r="A4652" s="5">
        <v>26</v>
      </c>
      <c r="B4652" s="6" t="s">
        <v>9342</v>
      </c>
      <c r="C4652" s="7">
        <v>27906</v>
      </c>
      <c r="D4652" s="8" t="s">
        <v>9343</v>
      </c>
    </row>
    <row r="4653" spans="1:4" ht="14.25">
      <c r="A4653" s="5" t="s">
        <v>1001</v>
      </c>
      <c r="B4653" s="6" t="s">
        <v>9344</v>
      </c>
      <c r="C4653" s="7">
        <v>27907</v>
      </c>
      <c r="D4653" s="8" t="s">
        <v>9345</v>
      </c>
    </row>
    <row r="4654" spans="1:4" ht="14.25">
      <c r="A4654" s="5">
        <v>27</v>
      </c>
      <c r="B4654" s="6" t="s">
        <v>9346</v>
      </c>
      <c r="C4654" s="7">
        <v>27907</v>
      </c>
      <c r="D4654" s="8" t="s">
        <v>9347</v>
      </c>
    </row>
    <row r="4655" spans="1:4" ht="14.25">
      <c r="A4655" s="5">
        <v>27</v>
      </c>
      <c r="B4655" s="6" t="s">
        <v>9348</v>
      </c>
      <c r="C4655" s="7">
        <v>27907</v>
      </c>
      <c r="D4655" s="8" t="s">
        <v>9349</v>
      </c>
    </row>
    <row r="4656" spans="1:4" ht="14.25">
      <c r="A4656" s="5">
        <v>27</v>
      </c>
      <c r="B4656" s="6" t="s">
        <v>9350</v>
      </c>
      <c r="C4656" s="7">
        <v>27907</v>
      </c>
      <c r="D4656" s="8" t="s">
        <v>9351</v>
      </c>
    </row>
    <row r="4657" spans="1:4" ht="14.25">
      <c r="A4657" s="5" t="s">
        <v>1001</v>
      </c>
      <c r="B4657" s="6" t="s">
        <v>9352</v>
      </c>
      <c r="C4657" s="7">
        <v>27908</v>
      </c>
      <c r="D4657" s="8" t="s">
        <v>9353</v>
      </c>
    </row>
    <row r="4658" spans="1:4" ht="14.25">
      <c r="A4658" s="5">
        <v>28</v>
      </c>
      <c r="B4658" s="6" t="s">
        <v>9354</v>
      </c>
      <c r="C4658" s="7">
        <v>27908</v>
      </c>
      <c r="D4658" s="8" t="s">
        <v>9355</v>
      </c>
    </row>
    <row r="4659" spans="1:4" ht="14.25">
      <c r="A4659" s="5">
        <v>28</v>
      </c>
      <c r="B4659" s="6" t="s">
        <v>9356</v>
      </c>
      <c r="C4659" s="7">
        <v>27908</v>
      </c>
      <c r="D4659" s="8" t="s">
        <v>9357</v>
      </c>
    </row>
    <row r="4660" spans="1:4" ht="14.25">
      <c r="A4660" s="5">
        <v>28</v>
      </c>
      <c r="B4660" s="6" t="s">
        <v>9358</v>
      </c>
      <c r="C4660" s="7">
        <v>27908</v>
      </c>
      <c r="D4660" s="8" t="s">
        <v>9359</v>
      </c>
    </row>
    <row r="4661" spans="1:4" ht="14.25">
      <c r="A4661" s="5" t="s">
        <v>1001</v>
      </c>
      <c r="B4661" s="6" t="s">
        <v>9360</v>
      </c>
      <c r="C4661" s="7">
        <v>27909</v>
      </c>
      <c r="D4661" s="8" t="s">
        <v>9361</v>
      </c>
    </row>
    <row r="4662" spans="1:4" ht="14.25">
      <c r="A4662" s="5">
        <v>29</v>
      </c>
      <c r="B4662" s="6" t="s">
        <v>9362</v>
      </c>
      <c r="C4662" s="7">
        <v>27909</v>
      </c>
      <c r="D4662" s="8" t="s">
        <v>9363</v>
      </c>
    </row>
    <row r="4663" spans="1:4" ht="14.25">
      <c r="A4663" s="5">
        <v>29</v>
      </c>
      <c r="B4663" s="6" t="s">
        <v>9364</v>
      </c>
      <c r="C4663" s="7">
        <v>27909</v>
      </c>
      <c r="D4663" s="8" t="s">
        <v>9365</v>
      </c>
    </row>
    <row r="4664" spans="1:4" ht="14.25">
      <c r="A4664" s="5">
        <v>29</v>
      </c>
      <c r="B4664" s="6" t="s">
        <v>9366</v>
      </c>
      <c r="C4664" s="7">
        <v>27909</v>
      </c>
      <c r="D4664" s="8" t="s">
        <v>9367</v>
      </c>
    </row>
    <row r="4665" spans="1:4" ht="14.25">
      <c r="A4665" s="5" t="s">
        <v>1001</v>
      </c>
      <c r="B4665" s="6" t="s">
        <v>9368</v>
      </c>
      <c r="C4665" s="7">
        <v>27910</v>
      </c>
      <c r="D4665" s="8" t="s">
        <v>9369</v>
      </c>
    </row>
    <row r="4666" spans="1:4" ht="14.25">
      <c r="A4666" s="5">
        <v>30</v>
      </c>
      <c r="B4666" s="6" t="s">
        <v>9370</v>
      </c>
      <c r="C4666" s="7">
        <v>27910</v>
      </c>
      <c r="D4666" s="8" t="s">
        <v>9371</v>
      </c>
    </row>
    <row r="4667" spans="1:4" ht="14.25">
      <c r="A4667" s="5">
        <v>30</v>
      </c>
      <c r="B4667" s="6" t="s">
        <v>9372</v>
      </c>
      <c r="C4667" s="7">
        <v>27910</v>
      </c>
      <c r="D4667" s="8" t="s">
        <v>9373</v>
      </c>
    </row>
    <row r="4668" spans="1:4" ht="14.25">
      <c r="A4668" s="5">
        <v>30</v>
      </c>
      <c r="B4668" s="6" t="s">
        <v>9374</v>
      </c>
      <c r="C4668" s="7">
        <v>27910</v>
      </c>
      <c r="D4668" s="8" t="s">
        <v>9375</v>
      </c>
    </row>
    <row r="4669" spans="1:4" ht="14.25">
      <c r="A4669" s="5">
        <v>30</v>
      </c>
      <c r="B4669" s="6" t="s">
        <v>9376</v>
      </c>
      <c r="C4669" s="7">
        <v>27910</v>
      </c>
      <c r="D4669" s="8" t="s">
        <v>9377</v>
      </c>
    </row>
    <row r="4670" spans="1:4" ht="14.25">
      <c r="A4670" s="5" t="s">
        <v>1001</v>
      </c>
      <c r="B4670" s="6" t="s">
        <v>9378</v>
      </c>
      <c r="C4670" s="7">
        <v>27911</v>
      </c>
      <c r="D4670" s="8" t="s">
        <v>9379</v>
      </c>
    </row>
    <row r="4671" spans="1:4" ht="14.25">
      <c r="A4671" s="5">
        <v>31</v>
      </c>
      <c r="B4671" s="6" t="s">
        <v>9380</v>
      </c>
      <c r="C4671" s="7">
        <v>27911</v>
      </c>
      <c r="D4671" s="8" t="s">
        <v>9381</v>
      </c>
    </row>
    <row r="4672" spans="1:4" ht="14.25">
      <c r="A4672" s="5">
        <v>31</v>
      </c>
      <c r="B4672" s="6" t="s">
        <v>9382</v>
      </c>
      <c r="C4672" s="7">
        <v>27911</v>
      </c>
      <c r="D4672" s="8" t="s">
        <v>9383</v>
      </c>
    </row>
    <row r="4673" spans="1:4" ht="14.25">
      <c r="A4673" s="5">
        <v>31</v>
      </c>
      <c r="B4673" s="6" t="s">
        <v>9384</v>
      </c>
      <c r="C4673" s="7">
        <v>27911</v>
      </c>
      <c r="D4673" s="8" t="s">
        <v>9385</v>
      </c>
    </row>
    <row r="4674" spans="1:4" ht="14.25">
      <c r="A4674" s="5">
        <v>31</v>
      </c>
      <c r="B4674" s="6" t="s">
        <v>9386</v>
      </c>
      <c r="C4674" s="7">
        <v>27911</v>
      </c>
      <c r="D4674" s="8" t="s">
        <v>9387</v>
      </c>
    </row>
    <row r="4675" spans="1:4" ht="14.25">
      <c r="A4675" s="5" t="s">
        <v>1001</v>
      </c>
      <c r="B4675" s="6" t="s">
        <v>9388</v>
      </c>
      <c r="C4675" s="7">
        <v>27912</v>
      </c>
      <c r="D4675" s="8" t="s">
        <v>9389</v>
      </c>
    </row>
    <row r="4676" spans="1:4" ht="14.25">
      <c r="A4676" s="5">
        <v>1</v>
      </c>
      <c r="B4676" s="6" t="s">
        <v>9390</v>
      </c>
      <c r="C4676" s="7">
        <v>27912</v>
      </c>
      <c r="D4676" s="8" t="s">
        <v>9391</v>
      </c>
    </row>
    <row r="4677" spans="1:4" ht="14.25">
      <c r="A4677" s="5">
        <v>1</v>
      </c>
      <c r="B4677" s="6" t="s">
        <v>9392</v>
      </c>
      <c r="C4677" s="7">
        <v>27912</v>
      </c>
      <c r="D4677" s="8" t="s">
        <v>9393</v>
      </c>
    </row>
    <row r="4678" spans="1:4" ht="14.25">
      <c r="A4678" s="5">
        <v>2</v>
      </c>
      <c r="B4678" s="6" t="s">
        <v>9394</v>
      </c>
      <c r="C4678" s="7">
        <v>27913</v>
      </c>
      <c r="D4678" s="8" t="s">
        <v>9395</v>
      </c>
    </row>
    <row r="4679" spans="1:4" ht="14.25">
      <c r="A4679" s="5" t="s">
        <v>484</v>
      </c>
      <c r="B4679" s="6" t="s">
        <v>9396</v>
      </c>
      <c r="C4679" s="7">
        <v>27914</v>
      </c>
      <c r="D4679" s="8" t="s">
        <v>9397</v>
      </c>
    </row>
    <row r="4680" spans="1:4" ht="14.25">
      <c r="A4680" s="5" t="s">
        <v>1001</v>
      </c>
      <c r="B4680" s="6" t="s">
        <v>9398</v>
      </c>
      <c r="C4680" s="7">
        <v>27914</v>
      </c>
      <c r="D4680" s="8" t="s">
        <v>9399</v>
      </c>
    </row>
    <row r="4681" spans="1:4" ht="14.25">
      <c r="A4681" s="5">
        <v>3</v>
      </c>
      <c r="B4681" s="6" t="s">
        <v>9400</v>
      </c>
      <c r="C4681" s="7">
        <v>27914</v>
      </c>
      <c r="D4681" s="8" t="s">
        <v>9401</v>
      </c>
    </row>
    <row r="4682" spans="1:4" ht="14.25">
      <c r="A4682" s="5">
        <v>3</v>
      </c>
      <c r="B4682" s="6" t="s">
        <v>9402</v>
      </c>
      <c r="C4682" s="7">
        <v>27914</v>
      </c>
      <c r="D4682" s="8" t="s">
        <v>9403</v>
      </c>
    </row>
    <row r="4683" spans="1:4" ht="14.25">
      <c r="A4683" s="5">
        <v>3</v>
      </c>
      <c r="B4683" s="6" t="s">
        <v>9404</v>
      </c>
      <c r="C4683" s="7">
        <v>27914</v>
      </c>
      <c r="D4683" s="8" t="s">
        <v>9405</v>
      </c>
    </row>
    <row r="4684" spans="1:4" ht="14.25">
      <c r="A4684" s="5">
        <v>3</v>
      </c>
      <c r="B4684" s="6" t="s">
        <v>9406</v>
      </c>
      <c r="C4684" s="7">
        <v>27914</v>
      </c>
      <c r="D4684" s="8" t="s">
        <v>9407</v>
      </c>
    </row>
    <row r="4685" spans="1:4" ht="14.25">
      <c r="A4685" s="5">
        <v>3</v>
      </c>
      <c r="B4685" s="6" t="s">
        <v>9408</v>
      </c>
      <c r="C4685" s="7">
        <v>27914</v>
      </c>
      <c r="D4685" s="8" t="s">
        <v>9409</v>
      </c>
    </row>
    <row r="4686" spans="1:4" ht="14.25">
      <c r="A4686" s="5" t="s">
        <v>1001</v>
      </c>
      <c r="B4686" s="6" t="s">
        <v>9410</v>
      </c>
      <c r="C4686" s="7">
        <v>27915</v>
      </c>
      <c r="D4686" s="8" t="s">
        <v>9411</v>
      </c>
    </row>
    <row r="4687" spans="1:4" ht="14.25">
      <c r="A4687" s="5">
        <v>4</v>
      </c>
      <c r="B4687" s="6" t="s">
        <v>9412</v>
      </c>
      <c r="C4687" s="7">
        <v>27915</v>
      </c>
      <c r="D4687" s="8" t="s">
        <v>9413</v>
      </c>
    </row>
    <row r="4688" spans="1:4" ht="14.25">
      <c r="A4688" s="5">
        <v>4</v>
      </c>
      <c r="B4688" s="6" t="s">
        <v>9414</v>
      </c>
      <c r="C4688" s="7">
        <v>27915</v>
      </c>
      <c r="D4688" s="8" t="s">
        <v>9415</v>
      </c>
    </row>
    <row r="4689" spans="1:4" ht="14.25">
      <c r="A4689" s="5">
        <v>4</v>
      </c>
      <c r="B4689" s="6" t="s">
        <v>9416</v>
      </c>
      <c r="C4689" s="7">
        <v>27915</v>
      </c>
      <c r="D4689" s="8" t="s">
        <v>9417</v>
      </c>
    </row>
    <row r="4690" spans="1:4" ht="14.25">
      <c r="A4690" s="5">
        <v>4</v>
      </c>
      <c r="B4690" s="6" t="s">
        <v>9418</v>
      </c>
      <c r="C4690" s="7">
        <v>27915</v>
      </c>
      <c r="D4690" s="8" t="s">
        <v>9419</v>
      </c>
    </row>
    <row r="4691" spans="1:4" ht="14.25">
      <c r="A4691" s="5" t="s">
        <v>1001</v>
      </c>
      <c r="B4691" s="6" t="s">
        <v>9420</v>
      </c>
      <c r="C4691" s="7">
        <v>27916</v>
      </c>
      <c r="D4691" s="8" t="s">
        <v>9421</v>
      </c>
    </row>
    <row r="4692" spans="1:4" ht="14.25">
      <c r="A4692" s="5">
        <v>5</v>
      </c>
      <c r="B4692" s="6" t="s">
        <v>9422</v>
      </c>
      <c r="C4692" s="7">
        <v>27916</v>
      </c>
      <c r="D4692" s="8" t="s">
        <v>9423</v>
      </c>
    </row>
    <row r="4693" spans="1:4" ht="14.25">
      <c r="A4693" s="5">
        <v>5</v>
      </c>
      <c r="B4693" s="6" t="s">
        <v>9424</v>
      </c>
      <c r="C4693" s="7">
        <v>27916</v>
      </c>
      <c r="D4693" s="8" t="s">
        <v>9425</v>
      </c>
    </row>
    <row r="4694" spans="1:4" ht="14.25">
      <c r="A4694" s="5">
        <v>5</v>
      </c>
      <c r="B4694" s="6" t="s">
        <v>9426</v>
      </c>
      <c r="C4694" s="7">
        <v>27916</v>
      </c>
      <c r="D4694" s="8" t="s">
        <v>9427</v>
      </c>
    </row>
    <row r="4695" spans="1:4" ht="14.25">
      <c r="A4695" s="5" t="s">
        <v>1001</v>
      </c>
      <c r="B4695" s="6" t="s">
        <v>9428</v>
      </c>
      <c r="C4695" s="7">
        <v>27917</v>
      </c>
      <c r="D4695" s="8" t="s">
        <v>9429</v>
      </c>
    </row>
    <row r="4696" spans="1:4" ht="14.25">
      <c r="A4696" s="5">
        <v>6</v>
      </c>
      <c r="B4696" s="6" t="s">
        <v>9430</v>
      </c>
      <c r="C4696" s="7">
        <v>27917</v>
      </c>
      <c r="D4696" s="8" t="s">
        <v>9431</v>
      </c>
    </row>
    <row r="4697" spans="1:4" ht="14.25">
      <c r="A4697" s="5">
        <v>6</v>
      </c>
      <c r="B4697" s="6" t="s">
        <v>9432</v>
      </c>
      <c r="C4697" s="7">
        <v>27917</v>
      </c>
      <c r="D4697" s="8" t="s">
        <v>9433</v>
      </c>
    </row>
    <row r="4698" spans="1:4" ht="14.25">
      <c r="A4698" s="5">
        <v>6</v>
      </c>
      <c r="B4698" s="6" t="s">
        <v>9434</v>
      </c>
      <c r="C4698" s="7">
        <v>27917</v>
      </c>
      <c r="D4698" s="8" t="s">
        <v>9435</v>
      </c>
    </row>
    <row r="4699" spans="1:4" ht="14.25">
      <c r="A4699" s="5" t="s">
        <v>484</v>
      </c>
      <c r="B4699" s="6" t="s">
        <v>9436</v>
      </c>
      <c r="C4699" s="7">
        <v>27918</v>
      </c>
      <c r="D4699" s="8" t="s">
        <v>9437</v>
      </c>
    </row>
    <row r="4700" spans="1:4" ht="14.25">
      <c r="A4700" s="5" t="s">
        <v>1001</v>
      </c>
      <c r="B4700" s="6" t="s">
        <v>9438</v>
      </c>
      <c r="C4700" s="7">
        <v>27918</v>
      </c>
      <c r="D4700" s="8" t="s">
        <v>9439</v>
      </c>
    </row>
    <row r="4701" spans="1:4" ht="14.25">
      <c r="A4701" s="5">
        <v>7</v>
      </c>
      <c r="B4701" s="6" t="s">
        <v>9440</v>
      </c>
      <c r="C4701" s="7">
        <v>27918</v>
      </c>
      <c r="D4701" s="8" t="s">
        <v>9441</v>
      </c>
    </row>
    <row r="4702" spans="1:4" ht="14.25">
      <c r="A4702" s="5">
        <v>7</v>
      </c>
      <c r="B4702" s="6" t="s">
        <v>9442</v>
      </c>
      <c r="C4702" s="7">
        <v>27918</v>
      </c>
      <c r="D4702" s="8" t="s">
        <v>9443</v>
      </c>
    </row>
    <row r="4703" spans="1:4" ht="14.25">
      <c r="A4703" s="5">
        <v>7</v>
      </c>
      <c r="B4703" s="6" t="s">
        <v>9444</v>
      </c>
      <c r="C4703" s="7">
        <v>27918</v>
      </c>
      <c r="D4703" s="8" t="s">
        <v>9445</v>
      </c>
    </row>
    <row r="4704" spans="1:4" ht="14.25">
      <c r="A4704" s="5">
        <v>7</v>
      </c>
      <c r="B4704" s="6" t="s">
        <v>9446</v>
      </c>
      <c r="C4704" s="7">
        <v>27918</v>
      </c>
      <c r="D4704" s="8" t="s">
        <v>9447</v>
      </c>
    </row>
    <row r="4705" spans="1:4" ht="14.25">
      <c r="A4705" s="5" t="s">
        <v>484</v>
      </c>
      <c r="B4705" s="6" t="s">
        <v>9448</v>
      </c>
      <c r="C4705" s="7">
        <v>27919</v>
      </c>
      <c r="D4705" s="8" t="s">
        <v>9449</v>
      </c>
    </row>
    <row r="4706" spans="1:4" ht="14.25">
      <c r="A4706" s="5" t="s">
        <v>463</v>
      </c>
      <c r="B4706" s="6" t="s">
        <v>9450</v>
      </c>
      <c r="C4706" s="7">
        <v>27919</v>
      </c>
      <c r="D4706" s="8" t="s">
        <v>9451</v>
      </c>
    </row>
    <row r="4707" spans="1:4" ht="14.25">
      <c r="A4707" s="5" t="s">
        <v>1001</v>
      </c>
      <c r="B4707" s="6" t="s">
        <v>9452</v>
      </c>
      <c r="C4707" s="7">
        <v>27919</v>
      </c>
      <c r="D4707" s="8" t="s">
        <v>9453</v>
      </c>
    </row>
    <row r="4708" spans="1:4" ht="14.25">
      <c r="A4708" s="5">
        <v>8</v>
      </c>
      <c r="B4708" s="6" t="s">
        <v>9454</v>
      </c>
      <c r="C4708" s="7">
        <v>27919</v>
      </c>
      <c r="D4708" s="8" t="s">
        <v>9455</v>
      </c>
    </row>
    <row r="4709" spans="1:4" ht="14.25">
      <c r="A4709" s="5">
        <v>8</v>
      </c>
      <c r="B4709" s="6" t="s">
        <v>9456</v>
      </c>
      <c r="C4709" s="7">
        <v>27919</v>
      </c>
      <c r="D4709" s="8" t="s">
        <v>9457</v>
      </c>
    </row>
    <row r="4710" spans="1:4" ht="14.25">
      <c r="A4710" s="5">
        <v>8</v>
      </c>
      <c r="B4710" s="6" t="s">
        <v>9458</v>
      </c>
      <c r="C4710" s="7">
        <v>27919</v>
      </c>
      <c r="D4710" s="8" t="s">
        <v>9459</v>
      </c>
    </row>
    <row r="4711" spans="1:4" ht="14.25">
      <c r="A4711" s="5">
        <v>8</v>
      </c>
      <c r="B4711" s="6" t="s">
        <v>9460</v>
      </c>
      <c r="C4711" s="7">
        <v>27919</v>
      </c>
      <c r="D4711" s="8" t="s">
        <v>9461</v>
      </c>
    </row>
    <row r="4712" spans="1:4" ht="14.25">
      <c r="A4712" s="5">
        <v>8</v>
      </c>
      <c r="B4712" s="6" t="s">
        <v>9462</v>
      </c>
      <c r="C4712" s="7">
        <v>27919</v>
      </c>
      <c r="D4712" s="8" t="s">
        <v>9463</v>
      </c>
    </row>
    <row r="4713" spans="1:4" ht="14.25">
      <c r="A4713" s="5">
        <v>8</v>
      </c>
      <c r="B4713" s="6" t="s">
        <v>9464</v>
      </c>
      <c r="C4713" s="7">
        <v>27919</v>
      </c>
      <c r="D4713" s="8" t="s">
        <v>9465</v>
      </c>
    </row>
    <row r="4714" spans="1:4" ht="14.25">
      <c r="A4714" s="5">
        <v>8</v>
      </c>
      <c r="B4714" s="6" t="s">
        <v>9466</v>
      </c>
      <c r="C4714" s="7">
        <v>27919</v>
      </c>
      <c r="D4714" s="8" t="s">
        <v>9467</v>
      </c>
    </row>
    <row r="4715" spans="1:4" ht="14.25">
      <c r="A4715" s="5" t="s">
        <v>463</v>
      </c>
      <c r="B4715" s="6" t="s">
        <v>9468</v>
      </c>
      <c r="C4715" s="7">
        <v>27920</v>
      </c>
      <c r="D4715" s="8" t="s">
        <v>9469</v>
      </c>
    </row>
    <row r="4716" spans="1:4" ht="14.25">
      <c r="A4716" s="5" t="s">
        <v>1001</v>
      </c>
      <c r="B4716" s="6" t="s">
        <v>9470</v>
      </c>
      <c r="C4716" s="7">
        <v>27920</v>
      </c>
      <c r="D4716" s="8" t="s">
        <v>9471</v>
      </c>
    </row>
    <row r="4717" spans="1:4" ht="14.25">
      <c r="A4717" s="5">
        <v>9</v>
      </c>
      <c r="B4717" s="6" t="s">
        <v>9472</v>
      </c>
      <c r="C4717" s="7">
        <v>27920</v>
      </c>
      <c r="D4717" s="8" t="s">
        <v>9473</v>
      </c>
    </row>
    <row r="4718" spans="1:4" ht="14.25">
      <c r="A4718" s="5">
        <v>9</v>
      </c>
      <c r="B4718" s="6" t="s">
        <v>9474</v>
      </c>
      <c r="C4718" s="7">
        <v>27920</v>
      </c>
      <c r="D4718" s="8" t="s">
        <v>9475</v>
      </c>
    </row>
    <row r="4719" spans="1:4" ht="14.25">
      <c r="A4719" s="5">
        <v>9</v>
      </c>
      <c r="B4719" s="6" t="s">
        <v>9476</v>
      </c>
      <c r="C4719" s="7">
        <v>27920</v>
      </c>
      <c r="D4719" s="8" t="s">
        <v>9477</v>
      </c>
    </row>
    <row r="4720" spans="1:4" ht="14.25">
      <c r="A4720" s="5">
        <v>9</v>
      </c>
      <c r="B4720" s="6" t="s">
        <v>9478</v>
      </c>
      <c r="C4720" s="7">
        <v>27920</v>
      </c>
      <c r="D4720" s="8" t="s">
        <v>9479</v>
      </c>
    </row>
    <row r="4721" spans="1:4" ht="14.25">
      <c r="A4721" s="5">
        <v>9</v>
      </c>
      <c r="B4721" s="6" t="s">
        <v>9480</v>
      </c>
      <c r="C4721" s="7">
        <v>27920</v>
      </c>
      <c r="D4721" s="8" t="s">
        <v>9481</v>
      </c>
    </row>
    <row r="4722" spans="1:4" ht="14.25">
      <c r="A4722" s="5">
        <v>9</v>
      </c>
      <c r="B4722" s="6" t="s">
        <v>9482</v>
      </c>
      <c r="C4722" s="7">
        <v>27920</v>
      </c>
      <c r="D4722" s="8" t="s">
        <v>9483</v>
      </c>
    </row>
    <row r="4723" spans="1:4" ht="14.25">
      <c r="A4723" s="5">
        <v>9</v>
      </c>
      <c r="B4723" s="6" t="s">
        <v>9484</v>
      </c>
      <c r="C4723" s="7">
        <v>27920</v>
      </c>
      <c r="D4723" s="8" t="s">
        <v>9485</v>
      </c>
    </row>
    <row r="4724" spans="1:4" ht="14.25">
      <c r="A4724" s="5" t="s">
        <v>1001</v>
      </c>
      <c r="B4724" s="6" t="s">
        <v>9486</v>
      </c>
      <c r="C4724" s="7">
        <v>27921</v>
      </c>
      <c r="D4724" s="8" t="s">
        <v>9487</v>
      </c>
    </row>
    <row r="4725" spans="1:4" ht="14.25">
      <c r="A4725" s="5">
        <v>10</v>
      </c>
      <c r="B4725" s="6" t="s">
        <v>9488</v>
      </c>
      <c r="C4725" s="7">
        <v>27921</v>
      </c>
      <c r="D4725" s="8" t="s">
        <v>9489</v>
      </c>
    </row>
    <row r="4726" spans="1:4" ht="14.25">
      <c r="A4726" s="5">
        <v>10</v>
      </c>
      <c r="B4726" s="6" t="s">
        <v>9490</v>
      </c>
      <c r="C4726" s="7">
        <v>27921</v>
      </c>
      <c r="D4726" s="8" t="s">
        <v>9491</v>
      </c>
    </row>
    <row r="4727" spans="1:4" ht="14.25">
      <c r="A4727" s="5">
        <v>10</v>
      </c>
      <c r="B4727" s="6" t="s">
        <v>9492</v>
      </c>
      <c r="C4727" s="7">
        <v>27921</v>
      </c>
      <c r="D4727" s="8" t="s">
        <v>9493</v>
      </c>
    </row>
    <row r="4728" spans="1:4" ht="14.25">
      <c r="A4728" s="5">
        <v>10</v>
      </c>
      <c r="B4728" s="6" t="s">
        <v>9494</v>
      </c>
      <c r="C4728" s="7">
        <v>27921</v>
      </c>
      <c r="D4728" s="8" t="s">
        <v>9495</v>
      </c>
    </row>
    <row r="4729" spans="1:4" ht="14.25">
      <c r="A4729" s="5">
        <v>10</v>
      </c>
      <c r="B4729" s="6" t="s">
        <v>9496</v>
      </c>
      <c r="C4729" s="7">
        <v>27921</v>
      </c>
      <c r="D4729" s="8" t="s">
        <v>9497</v>
      </c>
    </row>
    <row r="4730" spans="1:4" ht="14.25">
      <c r="A4730" s="5">
        <v>10</v>
      </c>
      <c r="B4730" s="6" t="s">
        <v>9498</v>
      </c>
      <c r="C4730" s="7">
        <v>27921</v>
      </c>
      <c r="D4730" s="8" t="s">
        <v>9499</v>
      </c>
    </row>
    <row r="4731" spans="1:4" ht="14.25">
      <c r="A4731" s="5">
        <v>10</v>
      </c>
      <c r="B4731" s="6" t="s">
        <v>9500</v>
      </c>
      <c r="C4731" s="7">
        <v>27921</v>
      </c>
      <c r="D4731" s="8" t="s">
        <v>9501</v>
      </c>
    </row>
    <row r="4732" spans="1:4" ht="14.25">
      <c r="A4732" s="5" t="s">
        <v>1001</v>
      </c>
      <c r="B4732" s="6" t="s">
        <v>9502</v>
      </c>
      <c r="C4732" s="7">
        <v>27922</v>
      </c>
      <c r="D4732" s="8" t="s">
        <v>9503</v>
      </c>
    </row>
    <row r="4733" spans="1:4" ht="14.25">
      <c r="A4733" s="5">
        <v>11</v>
      </c>
      <c r="B4733" s="6" t="s">
        <v>9504</v>
      </c>
      <c r="C4733" s="7">
        <v>27922</v>
      </c>
      <c r="D4733" s="8" t="s">
        <v>9505</v>
      </c>
    </row>
    <row r="4734" spans="1:4" ht="14.25">
      <c r="A4734" s="5">
        <v>11</v>
      </c>
      <c r="B4734" s="6" t="s">
        <v>9506</v>
      </c>
      <c r="C4734" s="7">
        <v>27922</v>
      </c>
      <c r="D4734" s="8" t="s">
        <v>9507</v>
      </c>
    </row>
    <row r="4735" spans="1:4" ht="14.25">
      <c r="A4735" s="5">
        <v>11</v>
      </c>
      <c r="B4735" s="6" t="s">
        <v>9508</v>
      </c>
      <c r="C4735" s="7">
        <v>27922</v>
      </c>
      <c r="D4735" s="8" t="s">
        <v>9509</v>
      </c>
    </row>
    <row r="4736" spans="1:4" ht="14.25">
      <c r="A4736" s="5">
        <v>11</v>
      </c>
      <c r="B4736" s="6" t="s">
        <v>9510</v>
      </c>
      <c r="C4736" s="7">
        <v>27922</v>
      </c>
      <c r="D4736" s="8" t="s">
        <v>9511</v>
      </c>
    </row>
    <row r="4737" spans="1:4" ht="14.25">
      <c r="A4737" s="5">
        <v>10</v>
      </c>
      <c r="B4737" s="6" t="s">
        <v>9512</v>
      </c>
      <c r="C4737" s="7">
        <v>27923</v>
      </c>
      <c r="D4737" s="8" t="s">
        <v>9513</v>
      </c>
    </row>
    <row r="4738" spans="1:4" ht="14.25">
      <c r="A4738" s="5">
        <v>12</v>
      </c>
      <c r="B4738" s="6" t="s">
        <v>9514</v>
      </c>
      <c r="C4738" s="7">
        <v>27923</v>
      </c>
      <c r="D4738" s="8" t="s">
        <v>9515</v>
      </c>
    </row>
    <row r="4739" spans="1:4" ht="14.25">
      <c r="A4739" s="5">
        <v>12</v>
      </c>
      <c r="B4739" s="6" t="s">
        <v>9516</v>
      </c>
      <c r="C4739" s="7">
        <v>27923</v>
      </c>
      <c r="D4739" s="8" t="s">
        <v>9517</v>
      </c>
    </row>
    <row r="4740" spans="1:4" ht="14.25">
      <c r="A4740" s="5" t="s">
        <v>1001</v>
      </c>
      <c r="B4740" s="6" t="s">
        <v>9518</v>
      </c>
      <c r="C4740" s="7">
        <v>27924</v>
      </c>
      <c r="D4740" s="8" t="s">
        <v>9519</v>
      </c>
    </row>
    <row r="4741" spans="1:4" ht="14.25">
      <c r="A4741" s="5">
        <v>13</v>
      </c>
      <c r="B4741" s="6" t="s">
        <v>9520</v>
      </c>
      <c r="C4741" s="7">
        <v>27924</v>
      </c>
      <c r="D4741" s="8" t="s">
        <v>9521</v>
      </c>
    </row>
    <row r="4742" spans="1:4" ht="14.25">
      <c r="A4742" s="5">
        <v>13</v>
      </c>
      <c r="B4742" s="6" t="s">
        <v>9522</v>
      </c>
      <c r="C4742" s="7">
        <v>27924</v>
      </c>
      <c r="D4742" s="8" t="s">
        <v>9523</v>
      </c>
    </row>
    <row r="4743" spans="1:4" ht="14.25">
      <c r="A4743" s="5">
        <v>13</v>
      </c>
      <c r="B4743" s="6" t="s">
        <v>9524</v>
      </c>
      <c r="C4743" s="7">
        <v>27924</v>
      </c>
      <c r="D4743" s="8" t="s">
        <v>9525</v>
      </c>
    </row>
    <row r="4744" spans="1:4" ht="14.25">
      <c r="A4744" s="5">
        <v>13</v>
      </c>
      <c r="B4744" s="6" t="s">
        <v>9526</v>
      </c>
      <c r="C4744" s="7">
        <v>27924</v>
      </c>
      <c r="D4744" s="8" t="s">
        <v>9527</v>
      </c>
    </row>
    <row r="4745" spans="1:4" ht="14.25">
      <c r="A4745" s="5" t="s">
        <v>463</v>
      </c>
      <c r="B4745" s="6" t="s">
        <v>9528</v>
      </c>
      <c r="C4745" s="7">
        <v>27925</v>
      </c>
      <c r="D4745" s="8" t="s">
        <v>9529</v>
      </c>
    </row>
    <row r="4746" spans="1:4" ht="14.25">
      <c r="A4746" s="5">
        <v>14</v>
      </c>
      <c r="B4746" s="6" t="s">
        <v>9530</v>
      </c>
      <c r="C4746" s="7">
        <v>27925</v>
      </c>
      <c r="D4746" s="8" t="s">
        <v>9531</v>
      </c>
    </row>
    <row r="4747" spans="1:4" ht="14.25">
      <c r="A4747" s="5">
        <v>14</v>
      </c>
      <c r="B4747" s="6" t="s">
        <v>9532</v>
      </c>
      <c r="C4747" s="7">
        <v>27925</v>
      </c>
      <c r="D4747" s="8" t="s">
        <v>9533</v>
      </c>
    </row>
    <row r="4748" spans="1:4" ht="14.25">
      <c r="A4748" s="5">
        <v>14</v>
      </c>
      <c r="B4748" s="6" t="s">
        <v>9534</v>
      </c>
      <c r="C4748" s="7">
        <v>27925</v>
      </c>
      <c r="D4748" s="8" t="s">
        <v>9535</v>
      </c>
    </row>
    <row r="4749" spans="1:4" ht="14.25">
      <c r="A4749" s="5">
        <v>14</v>
      </c>
      <c r="B4749" s="6" t="s">
        <v>9536</v>
      </c>
      <c r="C4749" s="7">
        <v>27925</v>
      </c>
      <c r="D4749" s="8" t="s">
        <v>9537</v>
      </c>
    </row>
    <row r="4750" spans="1:4" ht="14.25">
      <c r="A4750" s="5">
        <v>14</v>
      </c>
      <c r="B4750" s="6" t="s">
        <v>9538</v>
      </c>
      <c r="C4750" s="7">
        <v>27925</v>
      </c>
      <c r="D4750" s="8" t="s">
        <v>9539</v>
      </c>
    </row>
    <row r="4751" spans="1:4" ht="14.25">
      <c r="A4751" s="5" t="s">
        <v>463</v>
      </c>
      <c r="B4751" s="6" t="s">
        <v>9540</v>
      </c>
      <c r="C4751" s="7">
        <v>27926</v>
      </c>
      <c r="D4751" s="8" t="s">
        <v>9541</v>
      </c>
    </row>
    <row r="4752" spans="1:4" ht="14.25">
      <c r="A4752" s="5" t="s">
        <v>1001</v>
      </c>
      <c r="B4752" s="6" t="s">
        <v>9542</v>
      </c>
      <c r="C4752" s="7">
        <v>27926</v>
      </c>
      <c r="D4752" s="8" t="s">
        <v>9543</v>
      </c>
    </row>
    <row r="4753" spans="1:4" ht="14.25">
      <c r="A4753" s="5">
        <v>15</v>
      </c>
      <c r="B4753" s="6" t="s">
        <v>9544</v>
      </c>
      <c r="C4753" s="7">
        <v>27926</v>
      </c>
      <c r="D4753" s="8" t="s">
        <v>9545</v>
      </c>
    </row>
    <row r="4754" spans="1:4" ht="14.25">
      <c r="A4754" s="5">
        <v>15</v>
      </c>
      <c r="B4754" s="6" t="s">
        <v>9546</v>
      </c>
      <c r="C4754" s="7">
        <v>27926</v>
      </c>
      <c r="D4754" s="8" t="s">
        <v>9547</v>
      </c>
    </row>
    <row r="4755" spans="1:4" ht="14.25">
      <c r="A4755" s="5">
        <v>15</v>
      </c>
      <c r="B4755" s="6" t="s">
        <v>9548</v>
      </c>
      <c r="C4755" s="7">
        <v>27926</v>
      </c>
      <c r="D4755" s="8" t="s">
        <v>9549</v>
      </c>
    </row>
    <row r="4756" spans="1:4" ht="14.25">
      <c r="A4756" s="5">
        <v>15</v>
      </c>
      <c r="B4756" s="6" t="s">
        <v>9550</v>
      </c>
      <c r="C4756" s="7">
        <v>27926</v>
      </c>
      <c r="D4756" s="8" t="s">
        <v>9551</v>
      </c>
    </row>
    <row r="4757" spans="1:4" ht="14.25">
      <c r="A4757" s="5">
        <v>15</v>
      </c>
      <c r="B4757" s="6" t="s">
        <v>9552</v>
      </c>
      <c r="C4757" s="7">
        <v>27926</v>
      </c>
      <c r="D4757" s="8" t="s">
        <v>9553</v>
      </c>
    </row>
    <row r="4758" spans="1:4" ht="14.25">
      <c r="A4758" s="5">
        <v>15</v>
      </c>
      <c r="B4758" s="6" t="s">
        <v>9554</v>
      </c>
      <c r="C4758" s="7">
        <v>27926</v>
      </c>
      <c r="D4758" s="8" t="s">
        <v>9555</v>
      </c>
    </row>
    <row r="4759" spans="1:4" ht="14.25">
      <c r="A4759" s="5">
        <v>15</v>
      </c>
      <c r="B4759" s="6" t="s">
        <v>9556</v>
      </c>
      <c r="C4759" s="7">
        <v>27926</v>
      </c>
      <c r="D4759" s="8" t="s">
        <v>9557</v>
      </c>
    </row>
    <row r="4760" spans="1:4" ht="14.25">
      <c r="A4760" s="5">
        <v>15</v>
      </c>
      <c r="B4760" s="6" t="s">
        <v>9558</v>
      </c>
      <c r="C4760" s="7">
        <v>27926</v>
      </c>
      <c r="D4760" s="8" t="s">
        <v>9559</v>
      </c>
    </row>
    <row r="4761" spans="1:4" ht="14.25">
      <c r="A4761" s="5">
        <v>15</v>
      </c>
      <c r="B4761" s="6" t="s">
        <v>9560</v>
      </c>
      <c r="C4761" s="7">
        <v>27926</v>
      </c>
      <c r="D4761" s="8" t="s">
        <v>9561</v>
      </c>
    </row>
    <row r="4762" spans="1:4" ht="14.25">
      <c r="A4762" s="5" t="s">
        <v>1001</v>
      </c>
      <c r="B4762" s="6" t="s">
        <v>9562</v>
      </c>
      <c r="C4762" s="7">
        <v>27927</v>
      </c>
      <c r="D4762" s="8" t="s">
        <v>9563</v>
      </c>
    </row>
    <row r="4763" spans="1:4" ht="14.25">
      <c r="A4763" s="5">
        <v>16</v>
      </c>
      <c r="B4763" s="6" t="s">
        <v>9564</v>
      </c>
      <c r="C4763" s="7">
        <v>27927</v>
      </c>
      <c r="D4763" s="8" t="s">
        <v>9565</v>
      </c>
    </row>
    <row r="4764" spans="1:4" ht="14.25">
      <c r="A4764" s="5">
        <v>16</v>
      </c>
      <c r="B4764" s="6" t="s">
        <v>9566</v>
      </c>
      <c r="C4764" s="7">
        <v>27927</v>
      </c>
      <c r="D4764" s="8" t="s">
        <v>9567</v>
      </c>
    </row>
    <row r="4765" spans="1:4" ht="14.25">
      <c r="A4765" s="5">
        <v>16</v>
      </c>
      <c r="B4765" s="6" t="s">
        <v>9568</v>
      </c>
      <c r="C4765" s="7">
        <v>27927</v>
      </c>
      <c r="D4765" s="8" t="s">
        <v>9569</v>
      </c>
    </row>
    <row r="4766" spans="1:4" ht="14.25">
      <c r="A4766" s="5" t="s">
        <v>167</v>
      </c>
      <c r="B4766" s="6" t="s">
        <v>9570</v>
      </c>
      <c r="C4766" s="7">
        <v>27928</v>
      </c>
      <c r="D4766" s="8" t="s">
        <v>9571</v>
      </c>
    </row>
    <row r="4767" spans="1:4" ht="14.25">
      <c r="A4767" s="5">
        <v>17</v>
      </c>
      <c r="B4767" s="6" t="s">
        <v>9572</v>
      </c>
      <c r="C4767" s="7">
        <v>27928</v>
      </c>
      <c r="D4767" s="8" t="s">
        <v>9573</v>
      </c>
    </row>
    <row r="4768" spans="1:4" ht="14.25">
      <c r="A4768" s="5">
        <v>17</v>
      </c>
      <c r="B4768" s="6" t="s">
        <v>9574</v>
      </c>
      <c r="C4768" s="7">
        <v>27928</v>
      </c>
      <c r="D4768" s="8" t="s">
        <v>9575</v>
      </c>
    </row>
    <row r="4769" spans="1:4" ht="14.25">
      <c r="A4769" s="5">
        <v>17</v>
      </c>
      <c r="B4769" s="6" t="s">
        <v>9576</v>
      </c>
      <c r="C4769" s="7">
        <v>27928</v>
      </c>
      <c r="D4769" s="8" t="s">
        <v>9577</v>
      </c>
    </row>
    <row r="4770" spans="1:4" ht="14.25">
      <c r="A4770" s="5">
        <v>17</v>
      </c>
      <c r="B4770" s="6" t="s">
        <v>9578</v>
      </c>
      <c r="C4770" s="7">
        <v>27928</v>
      </c>
      <c r="D4770" s="8" t="s">
        <v>9579</v>
      </c>
    </row>
    <row r="4771" spans="1:4" ht="14.25">
      <c r="A4771" s="5" t="s">
        <v>484</v>
      </c>
      <c r="B4771" s="6" t="s">
        <v>9580</v>
      </c>
      <c r="C4771" s="7">
        <v>27929</v>
      </c>
      <c r="D4771" s="8" t="s">
        <v>9581</v>
      </c>
    </row>
    <row r="4772" spans="1:4" ht="14.25">
      <c r="A4772" s="5" t="s">
        <v>463</v>
      </c>
      <c r="B4772" s="6" t="s">
        <v>9582</v>
      </c>
      <c r="C4772" s="7">
        <v>27929</v>
      </c>
      <c r="D4772" s="8" t="s">
        <v>9583</v>
      </c>
    </row>
    <row r="4773" spans="1:4" ht="14.25">
      <c r="A4773" s="5" t="s">
        <v>463</v>
      </c>
      <c r="B4773" s="6" t="s">
        <v>9584</v>
      </c>
      <c r="C4773" s="7">
        <v>27929</v>
      </c>
      <c r="D4773" s="8" t="s">
        <v>9585</v>
      </c>
    </row>
    <row r="4774" spans="1:4" ht="14.25">
      <c r="A4774" s="5" t="s">
        <v>454</v>
      </c>
      <c r="B4774" s="6" t="s">
        <v>9586</v>
      </c>
      <c r="C4774" s="7">
        <v>27929</v>
      </c>
      <c r="D4774" s="8" t="s">
        <v>9587</v>
      </c>
    </row>
    <row r="4775" spans="1:4" ht="14.25">
      <c r="A4775" s="5">
        <v>18</v>
      </c>
      <c r="B4775" s="6" t="s">
        <v>9588</v>
      </c>
      <c r="C4775" s="7">
        <v>27929</v>
      </c>
      <c r="D4775" s="8" t="s">
        <v>9589</v>
      </c>
    </row>
    <row r="4776" spans="1:4" ht="14.25">
      <c r="A4776" s="5">
        <v>18</v>
      </c>
      <c r="B4776" s="6" t="s">
        <v>9590</v>
      </c>
      <c r="C4776" s="7">
        <v>27929</v>
      </c>
      <c r="D4776" s="8" t="s">
        <v>9591</v>
      </c>
    </row>
    <row r="4777" spans="1:4" ht="14.25">
      <c r="A4777" s="5">
        <v>18</v>
      </c>
      <c r="B4777" s="6" t="s">
        <v>9592</v>
      </c>
      <c r="C4777" s="7">
        <v>27929</v>
      </c>
      <c r="D4777" s="8" t="s">
        <v>9593</v>
      </c>
    </row>
    <row r="4778" spans="1:4" ht="14.25">
      <c r="A4778" s="5">
        <v>18</v>
      </c>
      <c r="B4778" s="6" t="s">
        <v>9594</v>
      </c>
      <c r="C4778" s="7">
        <v>27929</v>
      </c>
      <c r="D4778" s="8" t="s">
        <v>9595</v>
      </c>
    </row>
    <row r="4779" spans="1:4" ht="14.25">
      <c r="A4779" s="5">
        <v>18</v>
      </c>
      <c r="B4779" s="6" t="s">
        <v>9596</v>
      </c>
      <c r="C4779" s="7">
        <v>27929</v>
      </c>
      <c r="D4779" s="8" t="s">
        <v>9597</v>
      </c>
    </row>
    <row r="4780" spans="1:4" ht="14.25">
      <c r="A4780" s="5">
        <v>18</v>
      </c>
      <c r="B4780" s="6" t="s">
        <v>9598</v>
      </c>
      <c r="C4780" s="7">
        <v>27929</v>
      </c>
      <c r="D4780" s="8" t="s">
        <v>9599</v>
      </c>
    </row>
    <row r="4781" spans="1:4" ht="14.25">
      <c r="A4781" s="5">
        <v>18</v>
      </c>
      <c r="B4781" s="6" t="s">
        <v>9600</v>
      </c>
      <c r="C4781" s="7">
        <v>27929</v>
      </c>
      <c r="D4781" s="8" t="s">
        <v>9601</v>
      </c>
    </row>
    <row r="4782" spans="1:4" ht="14.25">
      <c r="A4782" s="5">
        <v>18</v>
      </c>
      <c r="B4782" s="6" t="s">
        <v>9602</v>
      </c>
      <c r="C4782" s="7">
        <v>27929</v>
      </c>
      <c r="D4782" s="8" t="s">
        <v>9603</v>
      </c>
    </row>
    <row r="4783" spans="1:4" ht="14.25">
      <c r="A4783" s="5">
        <v>18</v>
      </c>
      <c r="B4783" s="6" t="s">
        <v>9604</v>
      </c>
      <c r="C4783" s="7">
        <v>27929</v>
      </c>
      <c r="D4783" s="8" t="s">
        <v>9605</v>
      </c>
    </row>
    <row r="4784" spans="1:4" ht="14.25">
      <c r="A4784" s="5">
        <v>18</v>
      </c>
      <c r="B4784" s="6" t="s">
        <v>9606</v>
      </c>
      <c r="C4784" s="7">
        <v>27929</v>
      </c>
      <c r="D4784" s="8" t="s">
        <v>9607</v>
      </c>
    </row>
    <row r="4785" spans="1:4" ht="14.25">
      <c r="A4785" s="5" t="s">
        <v>454</v>
      </c>
      <c r="B4785" s="6" t="s">
        <v>9608</v>
      </c>
      <c r="C4785" s="7">
        <v>27930</v>
      </c>
      <c r="D4785" s="8" t="s">
        <v>9609</v>
      </c>
    </row>
    <row r="4786" spans="1:4" ht="14.25">
      <c r="A4786" s="5">
        <v>19</v>
      </c>
      <c r="B4786" s="6" t="s">
        <v>9610</v>
      </c>
      <c r="C4786" s="7">
        <v>27930</v>
      </c>
      <c r="D4786" s="8" t="s">
        <v>9611</v>
      </c>
    </row>
    <row r="4787" spans="1:4" ht="14.25">
      <c r="A4787" s="5">
        <v>19</v>
      </c>
      <c r="B4787" s="6" t="s">
        <v>9612</v>
      </c>
      <c r="C4787" s="7">
        <v>27930</v>
      </c>
      <c r="D4787" s="8" t="s">
        <v>9613</v>
      </c>
    </row>
    <row r="4788" spans="1:4" ht="14.25">
      <c r="A4788" s="5">
        <v>19</v>
      </c>
      <c r="B4788" s="6" t="s">
        <v>9614</v>
      </c>
      <c r="C4788" s="7">
        <v>27930</v>
      </c>
      <c r="D4788" s="8" t="s">
        <v>9615</v>
      </c>
    </row>
    <row r="4789" spans="1:4" ht="14.25">
      <c r="A4789" s="5">
        <v>19</v>
      </c>
      <c r="B4789" s="6" t="s">
        <v>9616</v>
      </c>
      <c r="C4789" s="7">
        <v>27930</v>
      </c>
      <c r="D4789" s="8" t="s">
        <v>9617</v>
      </c>
    </row>
    <row r="4790" spans="1:4" ht="14.25">
      <c r="A4790" s="5" t="s">
        <v>454</v>
      </c>
      <c r="B4790" s="6" t="s">
        <v>9618</v>
      </c>
      <c r="C4790" s="7">
        <v>27931</v>
      </c>
      <c r="D4790" s="8" t="s">
        <v>9619</v>
      </c>
    </row>
    <row r="4791" spans="1:4" ht="14.25">
      <c r="A4791" s="5" t="s">
        <v>167</v>
      </c>
      <c r="B4791" s="6" t="s">
        <v>9620</v>
      </c>
      <c r="C4791" s="7">
        <v>27931</v>
      </c>
      <c r="D4791" s="8" t="s">
        <v>9621</v>
      </c>
    </row>
    <row r="4792" spans="1:4" ht="14.25">
      <c r="A4792" s="5">
        <v>20</v>
      </c>
      <c r="B4792" s="6" t="s">
        <v>9622</v>
      </c>
      <c r="C4792" s="7">
        <v>27931</v>
      </c>
      <c r="D4792" s="8" t="s">
        <v>9623</v>
      </c>
    </row>
    <row r="4793" spans="1:4" ht="14.25">
      <c r="A4793" s="5">
        <v>20</v>
      </c>
      <c r="B4793" s="6" t="s">
        <v>9624</v>
      </c>
      <c r="C4793" s="7">
        <v>27931</v>
      </c>
      <c r="D4793" s="8" t="s">
        <v>9625</v>
      </c>
    </row>
    <row r="4794" spans="1:4" ht="14.25">
      <c r="A4794" s="5">
        <v>20</v>
      </c>
      <c r="B4794" s="6" t="s">
        <v>9626</v>
      </c>
      <c r="C4794" s="7">
        <v>27931</v>
      </c>
      <c r="D4794" s="8" t="s">
        <v>9627</v>
      </c>
    </row>
    <row r="4795" spans="1:4" ht="14.25">
      <c r="A4795" s="5">
        <v>20</v>
      </c>
      <c r="B4795" s="6" t="s">
        <v>9628</v>
      </c>
      <c r="C4795" s="7">
        <v>27931</v>
      </c>
      <c r="D4795" s="8" t="s">
        <v>9629</v>
      </c>
    </row>
    <row r="4796" spans="1:4" ht="14.25">
      <c r="A4796" s="5">
        <v>20</v>
      </c>
      <c r="B4796" s="6" t="s">
        <v>9630</v>
      </c>
      <c r="C4796" s="7">
        <v>27931</v>
      </c>
      <c r="D4796" s="8" t="s">
        <v>9631</v>
      </c>
    </row>
    <row r="4797" spans="1:4" ht="14.25">
      <c r="A4797" s="5" t="s">
        <v>484</v>
      </c>
      <c r="B4797" s="6" t="s">
        <v>9632</v>
      </c>
      <c r="C4797" s="7">
        <v>27932</v>
      </c>
      <c r="D4797" s="8" t="s">
        <v>9633</v>
      </c>
    </row>
    <row r="4798" spans="1:4" ht="14.25">
      <c r="A4798" s="5">
        <v>21</v>
      </c>
      <c r="B4798" s="6" t="s">
        <v>9634</v>
      </c>
      <c r="C4798" s="7">
        <v>27932</v>
      </c>
      <c r="D4798" s="8" t="s">
        <v>9635</v>
      </c>
    </row>
    <row r="4799" spans="1:4" ht="14.25">
      <c r="A4799" s="5">
        <v>21</v>
      </c>
      <c r="B4799" s="6" t="s">
        <v>9636</v>
      </c>
      <c r="C4799" s="7">
        <v>27932</v>
      </c>
      <c r="D4799" s="8" t="s">
        <v>9637</v>
      </c>
    </row>
    <row r="4800" spans="1:4" ht="14.25">
      <c r="A4800" s="5">
        <v>21</v>
      </c>
      <c r="B4800" s="6" t="s">
        <v>9638</v>
      </c>
      <c r="C4800" s="7">
        <v>27932</v>
      </c>
      <c r="D4800" s="8" t="s">
        <v>9639</v>
      </c>
    </row>
    <row r="4801" spans="1:4" ht="14.25">
      <c r="A4801" s="5">
        <v>21</v>
      </c>
      <c r="B4801" s="6" t="s">
        <v>9640</v>
      </c>
      <c r="C4801" s="7">
        <v>27932</v>
      </c>
      <c r="D4801" s="8" t="s">
        <v>9641</v>
      </c>
    </row>
    <row r="4802" spans="1:4" ht="14.25">
      <c r="A4802" s="5">
        <v>21</v>
      </c>
      <c r="B4802" s="6" t="s">
        <v>9642</v>
      </c>
      <c r="C4802" s="7">
        <v>27932</v>
      </c>
      <c r="D4802" s="8" t="s">
        <v>9643</v>
      </c>
    </row>
    <row r="4803" spans="1:4" ht="14.25">
      <c r="A4803" s="5" t="s">
        <v>463</v>
      </c>
      <c r="B4803" s="6" t="s">
        <v>9644</v>
      </c>
      <c r="C4803" s="7">
        <v>27933</v>
      </c>
      <c r="D4803" s="8" t="s">
        <v>9645</v>
      </c>
    </row>
    <row r="4804" spans="1:4" ht="14.25">
      <c r="A4804" s="5" t="s">
        <v>454</v>
      </c>
      <c r="B4804" s="6" t="s">
        <v>9646</v>
      </c>
      <c r="C4804" s="7">
        <v>27933</v>
      </c>
      <c r="D4804" s="8" t="s">
        <v>9647</v>
      </c>
    </row>
    <row r="4805" spans="1:4" ht="14.25">
      <c r="A4805" s="5">
        <v>22</v>
      </c>
      <c r="B4805" s="6" t="s">
        <v>9648</v>
      </c>
      <c r="C4805" s="7">
        <v>27933</v>
      </c>
      <c r="D4805" s="8" t="s">
        <v>9649</v>
      </c>
    </row>
    <row r="4806" spans="1:4" ht="14.25">
      <c r="A4806" s="5">
        <v>22</v>
      </c>
      <c r="B4806" s="6" t="s">
        <v>9650</v>
      </c>
      <c r="C4806" s="7">
        <v>27933</v>
      </c>
      <c r="D4806" s="8" t="s">
        <v>9651</v>
      </c>
    </row>
    <row r="4807" spans="1:4" ht="14.25">
      <c r="A4807" s="5">
        <v>22</v>
      </c>
      <c r="B4807" s="6" t="s">
        <v>9652</v>
      </c>
      <c r="C4807" s="7">
        <v>27933</v>
      </c>
      <c r="D4807" s="8" t="s">
        <v>9653</v>
      </c>
    </row>
    <row r="4808" spans="1:4" ht="14.25">
      <c r="A4808" s="5">
        <v>22</v>
      </c>
      <c r="B4808" s="6" t="s">
        <v>9654</v>
      </c>
      <c r="C4808" s="7">
        <v>27933</v>
      </c>
      <c r="D4808" s="8" t="s">
        <v>9655</v>
      </c>
    </row>
    <row r="4809" spans="1:4" ht="14.25">
      <c r="A4809" s="5">
        <v>22</v>
      </c>
      <c r="B4809" s="6" t="s">
        <v>9656</v>
      </c>
      <c r="C4809" s="7">
        <v>27933</v>
      </c>
      <c r="D4809" s="8" t="s">
        <v>9657</v>
      </c>
    </row>
    <row r="4810" spans="1:4" ht="14.25">
      <c r="A4810" s="5">
        <v>22</v>
      </c>
      <c r="B4810" s="6" t="s">
        <v>9658</v>
      </c>
      <c r="C4810" s="7">
        <v>27933</v>
      </c>
      <c r="D4810" s="8" t="s">
        <v>9659</v>
      </c>
    </row>
    <row r="4811" spans="1:4" ht="14.25">
      <c r="A4811" s="5" t="s">
        <v>150</v>
      </c>
      <c r="B4811" s="6" t="s">
        <v>9660</v>
      </c>
      <c r="C4811" s="7">
        <v>27934</v>
      </c>
      <c r="D4811" s="8" t="s">
        <v>9661</v>
      </c>
    </row>
    <row r="4812" spans="1:4" ht="14.25">
      <c r="A4812" s="5">
        <v>23</v>
      </c>
      <c r="B4812" s="6" t="s">
        <v>9662</v>
      </c>
      <c r="C4812" s="7">
        <v>27934</v>
      </c>
      <c r="D4812" s="8" t="s">
        <v>9663</v>
      </c>
    </row>
    <row r="4813" spans="1:4" ht="14.25">
      <c r="A4813" s="5">
        <v>23</v>
      </c>
      <c r="B4813" s="6" t="s">
        <v>9664</v>
      </c>
      <c r="C4813" s="7">
        <v>27934</v>
      </c>
      <c r="D4813" s="8" t="s">
        <v>9665</v>
      </c>
    </row>
    <row r="4814" spans="1:4" ht="14.25">
      <c r="A4814" s="5" t="s">
        <v>463</v>
      </c>
      <c r="B4814" s="6" t="s">
        <v>9666</v>
      </c>
      <c r="C4814" s="7">
        <v>27935</v>
      </c>
      <c r="D4814" s="8" t="s">
        <v>9667</v>
      </c>
    </row>
    <row r="4815" spans="1:4" ht="14.25">
      <c r="A4815" s="5" t="s">
        <v>463</v>
      </c>
      <c r="B4815" s="6" t="s">
        <v>9668</v>
      </c>
      <c r="C4815" s="7">
        <v>27935</v>
      </c>
      <c r="D4815" s="8" t="s">
        <v>9669</v>
      </c>
    </row>
    <row r="4816" spans="1:4" ht="14.25">
      <c r="A4816" s="5" t="s">
        <v>454</v>
      </c>
      <c r="B4816" s="6" t="s">
        <v>9670</v>
      </c>
      <c r="C4816" s="7">
        <v>27935</v>
      </c>
      <c r="D4816" s="8" t="s">
        <v>9671</v>
      </c>
    </row>
    <row r="4817" spans="1:4" ht="14.25">
      <c r="A4817" s="5">
        <v>24</v>
      </c>
      <c r="B4817" s="6" t="s">
        <v>9672</v>
      </c>
      <c r="C4817" s="7">
        <v>27935</v>
      </c>
      <c r="D4817" s="8" t="s">
        <v>9673</v>
      </c>
    </row>
    <row r="4818" spans="1:4" ht="14.25">
      <c r="A4818" s="5">
        <v>24</v>
      </c>
      <c r="B4818" s="6" t="s">
        <v>9674</v>
      </c>
      <c r="C4818" s="7">
        <v>27935</v>
      </c>
      <c r="D4818" s="8" t="s">
        <v>9675</v>
      </c>
    </row>
    <row r="4819" spans="1:4" ht="14.25">
      <c r="A4819" s="5">
        <v>24</v>
      </c>
      <c r="B4819" s="6" t="s">
        <v>9676</v>
      </c>
      <c r="C4819" s="7">
        <v>27935</v>
      </c>
      <c r="D4819" s="8" t="s">
        <v>9677</v>
      </c>
    </row>
    <row r="4820" spans="1:4" ht="14.25">
      <c r="A4820" s="5">
        <v>24</v>
      </c>
      <c r="B4820" s="6" t="s">
        <v>9678</v>
      </c>
      <c r="C4820" s="7">
        <v>27935</v>
      </c>
      <c r="D4820" s="8" t="s">
        <v>9679</v>
      </c>
    </row>
    <row r="4821" spans="1:4" ht="14.25">
      <c r="A4821" s="5">
        <v>24</v>
      </c>
      <c r="B4821" s="6" t="s">
        <v>9680</v>
      </c>
      <c r="C4821" s="7">
        <v>27935</v>
      </c>
      <c r="D4821" s="8" t="s">
        <v>9681</v>
      </c>
    </row>
    <row r="4822" spans="1:4" ht="14.25">
      <c r="A4822" s="5">
        <v>24</v>
      </c>
      <c r="B4822" s="6" t="s">
        <v>9682</v>
      </c>
      <c r="C4822" s="7">
        <v>27935</v>
      </c>
      <c r="D4822" s="8" t="s">
        <v>9683</v>
      </c>
    </row>
    <row r="4823" spans="1:4" ht="14.25">
      <c r="A4823" s="5" t="s">
        <v>454</v>
      </c>
      <c r="B4823" s="6" t="s">
        <v>9684</v>
      </c>
      <c r="C4823" s="7">
        <v>27936</v>
      </c>
      <c r="D4823" s="8" t="s">
        <v>9685</v>
      </c>
    </row>
    <row r="4824" spans="1:4" ht="14.25">
      <c r="A4824" s="5">
        <v>25</v>
      </c>
      <c r="B4824" s="6" t="s">
        <v>9686</v>
      </c>
      <c r="C4824" s="7">
        <v>27936</v>
      </c>
      <c r="D4824" s="8" t="s">
        <v>9687</v>
      </c>
    </row>
    <row r="4825" spans="1:4" ht="14.25">
      <c r="A4825" s="5">
        <v>25</v>
      </c>
      <c r="B4825" s="6" t="s">
        <v>9688</v>
      </c>
      <c r="C4825" s="7">
        <v>27936</v>
      </c>
      <c r="D4825" s="8" t="s">
        <v>9689</v>
      </c>
    </row>
    <row r="4826" spans="1:4" ht="14.25">
      <c r="A4826" s="5">
        <v>25</v>
      </c>
      <c r="B4826" s="6" t="s">
        <v>9690</v>
      </c>
      <c r="C4826" s="7">
        <v>27936</v>
      </c>
      <c r="D4826" s="8" t="s">
        <v>9691</v>
      </c>
    </row>
    <row r="4827" spans="1:4" ht="14.25">
      <c r="A4827" s="5">
        <v>25</v>
      </c>
      <c r="B4827" s="6" t="s">
        <v>9692</v>
      </c>
      <c r="C4827" s="7">
        <v>27936</v>
      </c>
      <c r="D4827" s="8" t="s">
        <v>9693</v>
      </c>
    </row>
    <row r="4828" spans="1:4" ht="14.25">
      <c r="A4828" s="5" t="s">
        <v>1148</v>
      </c>
      <c r="B4828" s="6" t="s">
        <v>9694</v>
      </c>
      <c r="C4828" s="7">
        <v>27937</v>
      </c>
      <c r="D4828" s="8" t="s">
        <v>9695</v>
      </c>
    </row>
    <row r="4829" spans="1:4" ht="14.25">
      <c r="A4829" s="5">
        <v>26</v>
      </c>
      <c r="B4829" s="6" t="s">
        <v>9696</v>
      </c>
      <c r="C4829" s="7">
        <v>27937</v>
      </c>
      <c r="D4829" s="8" t="s">
        <v>9697</v>
      </c>
    </row>
    <row r="4830" spans="1:4" ht="14.25">
      <c r="A4830" s="5">
        <v>26</v>
      </c>
      <c r="B4830" s="6" t="s">
        <v>9698</v>
      </c>
      <c r="C4830" s="7">
        <v>27937</v>
      </c>
      <c r="D4830" s="8" t="s">
        <v>9699</v>
      </c>
    </row>
    <row r="4831" spans="1:4" ht="14.25">
      <c r="A4831" s="5">
        <v>26</v>
      </c>
      <c r="B4831" s="6" t="s">
        <v>9700</v>
      </c>
      <c r="C4831" s="7">
        <v>27937</v>
      </c>
      <c r="D4831" s="8" t="s">
        <v>9701</v>
      </c>
    </row>
    <row r="4832" spans="1:4" ht="14.25">
      <c r="A4832" s="5">
        <v>26</v>
      </c>
      <c r="B4832" s="6" t="s">
        <v>9702</v>
      </c>
      <c r="C4832" s="7">
        <v>27937</v>
      </c>
      <c r="D4832" s="8" t="s">
        <v>9703</v>
      </c>
    </row>
    <row r="4833" spans="1:4" ht="14.25">
      <c r="A4833" s="5">
        <v>26</v>
      </c>
      <c r="B4833" s="6" t="s">
        <v>9704</v>
      </c>
      <c r="C4833" s="7">
        <v>27937</v>
      </c>
      <c r="D4833" s="8" t="s">
        <v>9705</v>
      </c>
    </row>
    <row r="4834" spans="1:4" ht="14.25">
      <c r="A4834" s="5">
        <v>26</v>
      </c>
      <c r="B4834" s="6" t="s">
        <v>9706</v>
      </c>
      <c r="C4834" s="7">
        <v>27937</v>
      </c>
      <c r="D4834" s="8" t="s">
        <v>9707</v>
      </c>
    </row>
    <row r="4835" spans="1:4" ht="14.25">
      <c r="A4835" s="5" t="s">
        <v>454</v>
      </c>
      <c r="B4835" s="6" t="s">
        <v>9708</v>
      </c>
      <c r="C4835" s="7">
        <v>27938</v>
      </c>
      <c r="D4835" s="8" t="s">
        <v>9709</v>
      </c>
    </row>
    <row r="4836" spans="1:4" ht="14.25">
      <c r="A4836" s="5">
        <v>27</v>
      </c>
      <c r="B4836" s="6" t="s">
        <v>9710</v>
      </c>
      <c r="C4836" s="7">
        <v>27938</v>
      </c>
      <c r="D4836" s="8" t="s">
        <v>9711</v>
      </c>
    </row>
    <row r="4837" spans="1:4" ht="14.25">
      <c r="A4837" s="5">
        <v>27</v>
      </c>
      <c r="B4837" s="6" t="s">
        <v>9712</v>
      </c>
      <c r="C4837" s="7">
        <v>27938</v>
      </c>
      <c r="D4837" s="8" t="s">
        <v>9713</v>
      </c>
    </row>
    <row r="4838" spans="1:4" ht="14.25">
      <c r="A4838" s="5">
        <v>27</v>
      </c>
      <c r="B4838" s="6" t="s">
        <v>9714</v>
      </c>
      <c r="C4838" s="7">
        <v>27938</v>
      </c>
      <c r="D4838" s="8" t="s">
        <v>9715</v>
      </c>
    </row>
    <row r="4839" spans="1:4" ht="14.25">
      <c r="A4839" s="5">
        <v>27</v>
      </c>
      <c r="B4839" s="6" t="s">
        <v>9716</v>
      </c>
      <c r="C4839" s="7">
        <v>27938</v>
      </c>
      <c r="D4839" s="8" t="s">
        <v>9717</v>
      </c>
    </row>
    <row r="4840" spans="1:4" ht="14.25">
      <c r="A4840" s="5" t="s">
        <v>1148</v>
      </c>
      <c r="B4840" s="6" t="s">
        <v>9718</v>
      </c>
      <c r="C4840" s="7">
        <v>27939</v>
      </c>
      <c r="D4840" s="8" t="s">
        <v>9719</v>
      </c>
    </row>
    <row r="4841" spans="1:4" ht="14.25">
      <c r="A4841" s="5" t="s">
        <v>463</v>
      </c>
      <c r="B4841" s="6" t="s">
        <v>9720</v>
      </c>
      <c r="C4841" s="7">
        <v>27939</v>
      </c>
      <c r="D4841" s="8" t="s">
        <v>9721</v>
      </c>
    </row>
    <row r="4842" spans="1:4" ht="14.25">
      <c r="A4842" s="5" t="s">
        <v>463</v>
      </c>
      <c r="B4842" s="6" t="s">
        <v>9722</v>
      </c>
      <c r="C4842" s="7">
        <v>27939</v>
      </c>
      <c r="D4842" s="8" t="s">
        <v>9723</v>
      </c>
    </row>
    <row r="4843" spans="1:4" ht="14.25">
      <c r="A4843" s="5" t="s">
        <v>463</v>
      </c>
      <c r="B4843" s="6" t="s">
        <v>9724</v>
      </c>
      <c r="C4843" s="7">
        <v>27939</v>
      </c>
      <c r="D4843" s="8" t="s">
        <v>9725</v>
      </c>
    </row>
    <row r="4844" spans="1:4" ht="14.25">
      <c r="A4844" s="5" t="s">
        <v>463</v>
      </c>
      <c r="B4844" s="6" t="s">
        <v>9726</v>
      </c>
      <c r="C4844" s="7">
        <v>27939</v>
      </c>
      <c r="D4844" s="8" t="s">
        <v>9727</v>
      </c>
    </row>
    <row r="4845" spans="1:4" ht="14.25">
      <c r="A4845" s="5" t="s">
        <v>463</v>
      </c>
      <c r="B4845" s="6" t="s">
        <v>9728</v>
      </c>
      <c r="C4845" s="7">
        <v>27939</v>
      </c>
      <c r="D4845" s="8" t="s">
        <v>9729</v>
      </c>
    </row>
    <row r="4846" spans="1:4" ht="14.25">
      <c r="A4846" s="5" t="s">
        <v>454</v>
      </c>
      <c r="B4846" s="6" t="s">
        <v>9730</v>
      </c>
      <c r="C4846" s="7">
        <v>27939</v>
      </c>
      <c r="D4846" s="8" t="s">
        <v>9731</v>
      </c>
    </row>
    <row r="4847" spans="1:4" ht="14.25">
      <c r="A4847" s="5">
        <v>28</v>
      </c>
      <c r="B4847" s="6" t="s">
        <v>9732</v>
      </c>
      <c r="C4847" s="7">
        <v>27939</v>
      </c>
      <c r="D4847" s="8" t="s">
        <v>9733</v>
      </c>
    </row>
    <row r="4848" spans="1:4" ht="14.25">
      <c r="A4848" s="5">
        <v>28</v>
      </c>
      <c r="B4848" s="6" t="s">
        <v>9734</v>
      </c>
      <c r="C4848" s="7">
        <v>27939</v>
      </c>
      <c r="D4848" s="8" t="s">
        <v>9735</v>
      </c>
    </row>
    <row r="4849" spans="1:4" ht="14.25">
      <c r="A4849" s="5">
        <v>28</v>
      </c>
      <c r="B4849" s="6" t="s">
        <v>9736</v>
      </c>
      <c r="C4849" s="7">
        <v>27939</v>
      </c>
      <c r="D4849" s="8" t="s">
        <v>9737</v>
      </c>
    </row>
    <row r="4850" spans="1:4" ht="14.25">
      <c r="A4850" s="5">
        <v>28</v>
      </c>
      <c r="B4850" s="6" t="s">
        <v>9738</v>
      </c>
      <c r="C4850" s="7">
        <v>27939</v>
      </c>
      <c r="D4850" s="8" t="s">
        <v>9739</v>
      </c>
    </row>
    <row r="4851" spans="1:4" ht="14.25">
      <c r="A4851" s="5">
        <v>28</v>
      </c>
      <c r="B4851" s="6" t="s">
        <v>9740</v>
      </c>
      <c r="C4851" s="7">
        <v>27939</v>
      </c>
      <c r="D4851" s="8" t="s">
        <v>9741</v>
      </c>
    </row>
    <row r="4852" spans="1:4" ht="14.25">
      <c r="A4852" s="5">
        <v>28</v>
      </c>
      <c r="B4852" s="6" t="s">
        <v>9742</v>
      </c>
      <c r="C4852" s="7">
        <v>27939</v>
      </c>
      <c r="D4852" s="8" t="s">
        <v>9743</v>
      </c>
    </row>
    <row r="4853" spans="1:4" ht="14.25">
      <c r="A4853" s="5">
        <v>28</v>
      </c>
      <c r="B4853" s="6" t="s">
        <v>9744</v>
      </c>
      <c r="C4853" s="7">
        <v>27939</v>
      </c>
      <c r="D4853" s="8" t="s">
        <v>9745</v>
      </c>
    </row>
    <row r="4854" spans="1:4" ht="14.25">
      <c r="A4854" s="5">
        <v>28</v>
      </c>
      <c r="B4854" s="6" t="s">
        <v>9746</v>
      </c>
      <c r="C4854" s="7">
        <v>27939</v>
      </c>
      <c r="D4854" s="8" t="s">
        <v>9747</v>
      </c>
    </row>
    <row r="4855" spans="1:4" ht="14.25">
      <c r="A4855" s="5">
        <v>28</v>
      </c>
      <c r="B4855" s="6" t="s">
        <v>9748</v>
      </c>
      <c r="C4855" s="7">
        <v>27939</v>
      </c>
      <c r="D4855" s="8" t="s">
        <v>9749</v>
      </c>
    </row>
    <row r="4856" spans="1:4" ht="14.25">
      <c r="A4856" s="5">
        <v>28</v>
      </c>
      <c r="B4856" s="6" t="s">
        <v>9750</v>
      </c>
      <c r="C4856" s="7">
        <v>27939</v>
      </c>
      <c r="D4856" s="8" t="s">
        <v>9751</v>
      </c>
    </row>
    <row r="4857" spans="1:4" ht="14.25">
      <c r="A4857" s="5">
        <v>28</v>
      </c>
      <c r="B4857" s="6" t="s">
        <v>9752</v>
      </c>
      <c r="C4857" s="7">
        <v>27939</v>
      </c>
      <c r="D4857" s="8" t="s">
        <v>9753</v>
      </c>
    </row>
    <row r="4858" spans="1:4" ht="14.25">
      <c r="A4858" s="5" t="s">
        <v>454</v>
      </c>
      <c r="B4858" s="6" t="s">
        <v>9754</v>
      </c>
      <c r="C4858" s="7">
        <v>27940</v>
      </c>
      <c r="D4858" s="8" t="s">
        <v>9755</v>
      </c>
    </row>
    <row r="4859" spans="1:4" ht="14.25">
      <c r="A4859" s="5">
        <v>29</v>
      </c>
      <c r="B4859" s="6" t="s">
        <v>9756</v>
      </c>
      <c r="C4859" s="7">
        <v>27940</v>
      </c>
      <c r="D4859" s="8" t="s">
        <v>9757</v>
      </c>
    </row>
    <row r="4860" spans="1:4" ht="14.25">
      <c r="A4860" s="5">
        <v>29</v>
      </c>
      <c r="B4860" s="6" t="s">
        <v>9758</v>
      </c>
      <c r="C4860" s="7">
        <v>27940</v>
      </c>
      <c r="D4860" s="8" t="s">
        <v>9759</v>
      </c>
    </row>
    <row r="4861" spans="1:4" ht="14.25">
      <c r="A4861" s="5">
        <v>29</v>
      </c>
      <c r="B4861" s="6" t="s">
        <v>9760</v>
      </c>
      <c r="C4861" s="7">
        <v>27940</v>
      </c>
      <c r="D4861" s="8" t="s">
        <v>9761</v>
      </c>
    </row>
    <row r="4862" spans="1:4" ht="14.25">
      <c r="A4862" s="5">
        <v>29</v>
      </c>
      <c r="B4862" s="6" t="s">
        <v>9762</v>
      </c>
      <c r="C4862" s="7">
        <v>27940</v>
      </c>
      <c r="D4862" s="8" t="s">
        <v>9763</v>
      </c>
    </row>
    <row r="4863" spans="1:4" ht="14.25">
      <c r="A4863" s="5" t="s">
        <v>454</v>
      </c>
      <c r="B4863" s="6" t="s">
        <v>9764</v>
      </c>
      <c r="C4863" s="7">
        <v>27941</v>
      </c>
      <c r="D4863" s="8" t="s">
        <v>9765</v>
      </c>
    </row>
    <row r="4864" spans="1:4" ht="14.25">
      <c r="A4864" s="5">
        <v>30</v>
      </c>
      <c r="B4864" s="6" t="s">
        <v>9766</v>
      </c>
      <c r="C4864" s="7">
        <v>27941</v>
      </c>
      <c r="D4864" s="8" t="s">
        <v>9767</v>
      </c>
    </row>
    <row r="4865" spans="1:4" ht="14.25">
      <c r="A4865" s="5">
        <v>30</v>
      </c>
      <c r="B4865" s="6" t="s">
        <v>9768</v>
      </c>
      <c r="C4865" s="7">
        <v>27941</v>
      </c>
      <c r="D4865" s="8" t="s">
        <v>9769</v>
      </c>
    </row>
    <row r="4866" spans="1:4" ht="14.25">
      <c r="A4866" s="5">
        <v>30</v>
      </c>
      <c r="B4866" s="6" t="s">
        <v>9770</v>
      </c>
      <c r="C4866" s="7">
        <v>27941</v>
      </c>
      <c r="D4866" s="8" t="s">
        <v>9771</v>
      </c>
    </row>
    <row r="4867" spans="1:4" ht="14.25">
      <c r="A4867" s="5">
        <v>30</v>
      </c>
      <c r="B4867" s="6" t="s">
        <v>9772</v>
      </c>
      <c r="C4867" s="7">
        <v>27941</v>
      </c>
      <c r="D4867" s="8" t="s">
        <v>9773</v>
      </c>
    </row>
    <row r="4868" spans="1:4" ht="14.25">
      <c r="A4868" s="5" t="s">
        <v>463</v>
      </c>
      <c r="B4868" s="6" t="s">
        <v>9774</v>
      </c>
      <c r="C4868" s="7">
        <v>27942</v>
      </c>
      <c r="D4868" s="8" t="s">
        <v>9775</v>
      </c>
    </row>
    <row r="4869" spans="1:4" ht="14.25">
      <c r="A4869" s="5" t="s">
        <v>454</v>
      </c>
      <c r="B4869" s="6" t="s">
        <v>9776</v>
      </c>
      <c r="C4869" s="7">
        <v>27942</v>
      </c>
      <c r="D4869" s="8" t="s">
        <v>9777</v>
      </c>
    </row>
    <row r="4870" spans="1:4" ht="14.25">
      <c r="A4870" s="5">
        <v>1</v>
      </c>
      <c r="B4870" s="6" t="s">
        <v>9778</v>
      </c>
      <c r="C4870" s="7">
        <v>27942</v>
      </c>
      <c r="D4870" s="8" t="s">
        <v>9779</v>
      </c>
    </row>
    <row r="4871" spans="1:4" ht="14.25">
      <c r="A4871" s="5">
        <v>1</v>
      </c>
      <c r="B4871" s="6" t="s">
        <v>9780</v>
      </c>
      <c r="C4871" s="7">
        <v>27942</v>
      </c>
      <c r="D4871" s="8" t="s">
        <v>9781</v>
      </c>
    </row>
    <row r="4872" spans="1:4" ht="14.25">
      <c r="A4872" s="5">
        <v>1</v>
      </c>
      <c r="B4872" s="6" t="s">
        <v>9782</v>
      </c>
      <c r="C4872" s="7">
        <v>27942</v>
      </c>
      <c r="D4872" s="8" t="s">
        <v>9783</v>
      </c>
    </row>
    <row r="4873" spans="1:4" ht="14.25">
      <c r="A4873" s="5">
        <v>1</v>
      </c>
      <c r="B4873" s="6" t="s">
        <v>9784</v>
      </c>
      <c r="C4873" s="7">
        <v>27942</v>
      </c>
      <c r="D4873" s="8" t="s">
        <v>9785</v>
      </c>
    </row>
    <row r="4874" spans="1:4" ht="14.25">
      <c r="A4874" s="5">
        <v>1</v>
      </c>
      <c r="B4874" s="6" t="s">
        <v>9786</v>
      </c>
      <c r="C4874" s="7">
        <v>27942</v>
      </c>
      <c r="D4874" s="8" t="s">
        <v>9787</v>
      </c>
    </row>
    <row r="4875" spans="1:4" ht="14.25">
      <c r="A4875" s="5" t="s">
        <v>463</v>
      </c>
      <c r="B4875" s="6" t="s">
        <v>9788</v>
      </c>
      <c r="C4875" s="7">
        <v>27943</v>
      </c>
      <c r="D4875" s="8" t="s">
        <v>9789</v>
      </c>
    </row>
    <row r="4876" spans="1:4" ht="14.25">
      <c r="A4876" s="5" t="s">
        <v>454</v>
      </c>
      <c r="B4876" s="6" t="s">
        <v>9790</v>
      </c>
      <c r="C4876" s="7">
        <v>27943</v>
      </c>
      <c r="D4876" s="8" t="s">
        <v>9791</v>
      </c>
    </row>
    <row r="4877" spans="1:4" ht="14.25">
      <c r="A4877" s="5">
        <v>2</v>
      </c>
      <c r="B4877" s="6" t="s">
        <v>9792</v>
      </c>
      <c r="C4877" s="7">
        <v>27943</v>
      </c>
      <c r="D4877" s="8" t="s">
        <v>9793</v>
      </c>
    </row>
    <row r="4878" spans="1:4" ht="14.25">
      <c r="A4878" s="5">
        <v>2</v>
      </c>
      <c r="B4878" s="6" t="s">
        <v>9794</v>
      </c>
      <c r="C4878" s="7">
        <v>27943</v>
      </c>
      <c r="D4878" s="8" t="s">
        <v>9795</v>
      </c>
    </row>
    <row r="4879" spans="1:4" ht="14.25">
      <c r="A4879" s="5">
        <v>2</v>
      </c>
      <c r="B4879" s="6" t="s">
        <v>9796</v>
      </c>
      <c r="C4879" s="7">
        <v>27943</v>
      </c>
      <c r="D4879" s="8" t="s">
        <v>9797</v>
      </c>
    </row>
    <row r="4880" spans="1:4" ht="14.25">
      <c r="A4880" s="5">
        <v>2</v>
      </c>
      <c r="B4880" s="6" t="s">
        <v>9798</v>
      </c>
      <c r="C4880" s="7">
        <v>27943</v>
      </c>
      <c r="D4880" s="8" t="s">
        <v>9799</v>
      </c>
    </row>
    <row r="4881" spans="1:4" ht="14.25">
      <c r="A4881" s="5">
        <v>2</v>
      </c>
      <c r="B4881" s="6" t="s">
        <v>9800</v>
      </c>
      <c r="C4881" s="7">
        <v>27943</v>
      </c>
      <c r="D4881" s="8" t="s">
        <v>9801</v>
      </c>
    </row>
    <row r="4882" spans="1:4" ht="14.25">
      <c r="A4882" s="5">
        <v>3</v>
      </c>
      <c r="B4882" s="6" t="s">
        <v>9802</v>
      </c>
      <c r="C4882" s="7">
        <v>27944</v>
      </c>
      <c r="D4882" s="8" t="s">
        <v>9803</v>
      </c>
    </row>
    <row r="4883" spans="1:4" ht="14.25">
      <c r="A4883" s="5">
        <v>3</v>
      </c>
      <c r="B4883" s="6" t="s">
        <v>9804</v>
      </c>
      <c r="C4883" s="7">
        <v>27944</v>
      </c>
      <c r="D4883" s="8" t="s">
        <v>9805</v>
      </c>
    </row>
    <row r="4884" spans="1:4" ht="14.25">
      <c r="A4884" s="5">
        <v>3</v>
      </c>
      <c r="B4884" s="6" t="s">
        <v>9806</v>
      </c>
      <c r="C4884" s="7">
        <v>27944</v>
      </c>
      <c r="D4884" s="8" t="s">
        <v>9807</v>
      </c>
    </row>
    <row r="4885" spans="1:4" ht="14.25">
      <c r="A4885" s="5">
        <v>3</v>
      </c>
      <c r="B4885" s="6" t="s">
        <v>9808</v>
      </c>
      <c r="C4885" s="7">
        <v>27944</v>
      </c>
      <c r="D4885" s="8" t="s">
        <v>9809</v>
      </c>
    </row>
    <row r="4886" spans="1:4" ht="14.25">
      <c r="A4886" s="5" t="s">
        <v>209</v>
      </c>
      <c r="B4886" s="6" t="s">
        <v>9810</v>
      </c>
      <c r="C4886" s="7">
        <v>27945</v>
      </c>
      <c r="D4886" s="8" t="s">
        <v>9811</v>
      </c>
    </row>
    <row r="4887" spans="1:4" ht="14.25">
      <c r="A4887" s="5">
        <v>4</v>
      </c>
      <c r="B4887" s="6" t="s">
        <v>9812</v>
      </c>
      <c r="C4887" s="7">
        <v>27945</v>
      </c>
      <c r="D4887" s="8" t="s">
        <v>9813</v>
      </c>
    </row>
    <row r="4888" spans="1:4" ht="14.25">
      <c r="A4888" s="5">
        <v>4</v>
      </c>
      <c r="B4888" s="6" t="s">
        <v>9814</v>
      </c>
      <c r="C4888" s="7">
        <v>27945</v>
      </c>
      <c r="D4888" s="8" t="s">
        <v>9815</v>
      </c>
    </row>
    <row r="4889" spans="1:4" ht="14.25">
      <c r="A4889" s="5">
        <v>4</v>
      </c>
      <c r="B4889" s="6" t="s">
        <v>9816</v>
      </c>
      <c r="C4889" s="7">
        <v>27945</v>
      </c>
      <c r="D4889" s="8" t="s">
        <v>9817</v>
      </c>
    </row>
    <row r="4890" spans="1:4" ht="14.25">
      <c r="A4890" s="5">
        <v>4</v>
      </c>
      <c r="B4890" s="6" t="s">
        <v>9818</v>
      </c>
      <c r="C4890" s="7">
        <v>27945</v>
      </c>
      <c r="D4890" s="8" t="s">
        <v>9819</v>
      </c>
    </row>
    <row r="4891" spans="1:4" ht="14.25">
      <c r="A4891" s="5">
        <v>4</v>
      </c>
      <c r="B4891" s="6" t="s">
        <v>9820</v>
      </c>
      <c r="C4891" s="7">
        <v>27945</v>
      </c>
      <c r="D4891" s="8" t="s">
        <v>9821</v>
      </c>
    </row>
    <row r="4892" spans="1:4" ht="14.25">
      <c r="A4892" s="5" t="s">
        <v>209</v>
      </c>
      <c r="B4892" s="6" t="s">
        <v>9822</v>
      </c>
      <c r="C4892" s="7">
        <v>27946</v>
      </c>
      <c r="D4892" s="8" t="s">
        <v>9823</v>
      </c>
    </row>
    <row r="4893" spans="1:4" ht="14.25">
      <c r="A4893" s="5" t="s">
        <v>484</v>
      </c>
      <c r="B4893" s="6" t="s">
        <v>9824</v>
      </c>
      <c r="C4893" s="7">
        <v>27946</v>
      </c>
      <c r="D4893" s="8" t="s">
        <v>9825</v>
      </c>
    </row>
    <row r="4894" spans="1:4" ht="14.25">
      <c r="A4894" s="5" t="s">
        <v>463</v>
      </c>
      <c r="B4894" s="6" t="s">
        <v>9826</v>
      </c>
      <c r="C4894" s="7">
        <v>27946</v>
      </c>
      <c r="D4894" s="8" t="s">
        <v>9827</v>
      </c>
    </row>
    <row r="4895" spans="1:4" ht="14.25">
      <c r="A4895" s="5">
        <v>5</v>
      </c>
      <c r="B4895" s="6" t="s">
        <v>9828</v>
      </c>
      <c r="C4895" s="7">
        <v>27946</v>
      </c>
      <c r="D4895" s="8" t="s">
        <v>9829</v>
      </c>
    </row>
    <row r="4896" spans="1:4" ht="14.25">
      <c r="A4896" s="5">
        <v>5</v>
      </c>
      <c r="B4896" s="6" t="s">
        <v>9830</v>
      </c>
      <c r="C4896" s="7">
        <v>27946</v>
      </c>
      <c r="D4896" s="8" t="s">
        <v>9831</v>
      </c>
    </row>
    <row r="4897" spans="1:4" ht="14.25">
      <c r="A4897" s="5">
        <v>5</v>
      </c>
      <c r="B4897" s="6" t="s">
        <v>9832</v>
      </c>
      <c r="C4897" s="7">
        <v>27946</v>
      </c>
      <c r="D4897" s="8" t="s">
        <v>9833</v>
      </c>
    </row>
    <row r="4898" spans="1:4" ht="14.25">
      <c r="A4898" s="5">
        <v>5</v>
      </c>
      <c r="B4898" s="6" t="s">
        <v>9834</v>
      </c>
      <c r="C4898" s="7">
        <v>27946</v>
      </c>
      <c r="D4898" s="8" t="s">
        <v>9835</v>
      </c>
    </row>
    <row r="4899" spans="1:4" ht="14.25">
      <c r="A4899" s="5">
        <v>5</v>
      </c>
      <c r="B4899" s="6" t="s">
        <v>9836</v>
      </c>
      <c r="C4899" s="7">
        <v>27946</v>
      </c>
      <c r="D4899" s="8" t="s">
        <v>9837</v>
      </c>
    </row>
    <row r="4900" spans="1:4" ht="14.25">
      <c r="A4900" s="5">
        <v>5</v>
      </c>
      <c r="B4900" s="6" t="s">
        <v>9838</v>
      </c>
      <c r="C4900" s="7">
        <v>27946</v>
      </c>
      <c r="D4900" s="8" t="s">
        <v>9839</v>
      </c>
    </row>
    <row r="4901" spans="1:4" ht="14.25">
      <c r="A4901" s="5">
        <v>5</v>
      </c>
      <c r="B4901" s="6" t="s">
        <v>9840</v>
      </c>
      <c r="C4901" s="7">
        <v>27946</v>
      </c>
      <c r="D4901" s="8" t="s">
        <v>9841</v>
      </c>
    </row>
    <row r="4902" spans="1:4" ht="14.25">
      <c r="A4902" s="5">
        <v>5</v>
      </c>
      <c r="B4902" s="6" t="s">
        <v>9842</v>
      </c>
      <c r="C4902" s="7">
        <v>27946</v>
      </c>
      <c r="D4902" s="8" t="s">
        <v>9843</v>
      </c>
    </row>
    <row r="4903" spans="1:4" ht="14.25">
      <c r="A4903" s="5">
        <v>5</v>
      </c>
      <c r="B4903" s="6" t="s">
        <v>9844</v>
      </c>
      <c r="C4903" s="7">
        <v>27946</v>
      </c>
      <c r="D4903" s="8" t="s">
        <v>9845</v>
      </c>
    </row>
    <row r="4904" spans="1:4" ht="14.25">
      <c r="A4904" s="5" t="s">
        <v>463</v>
      </c>
      <c r="B4904" s="6" t="s">
        <v>9846</v>
      </c>
      <c r="C4904" s="7">
        <v>27947</v>
      </c>
      <c r="D4904" s="8" t="s">
        <v>9847</v>
      </c>
    </row>
    <row r="4905" spans="1:4" ht="14.25">
      <c r="A4905" s="5" t="s">
        <v>167</v>
      </c>
      <c r="B4905" s="6" t="s">
        <v>9848</v>
      </c>
      <c r="C4905" s="7">
        <v>27947</v>
      </c>
      <c r="D4905" s="8" t="s">
        <v>9849</v>
      </c>
    </row>
    <row r="4906" spans="1:4" ht="14.25">
      <c r="A4906" s="5">
        <v>6</v>
      </c>
      <c r="B4906" s="6" t="s">
        <v>9850</v>
      </c>
      <c r="C4906" s="7">
        <v>27947</v>
      </c>
      <c r="D4906" s="8" t="s">
        <v>9851</v>
      </c>
    </row>
    <row r="4907" spans="1:4" ht="14.25">
      <c r="A4907" s="5">
        <v>6</v>
      </c>
      <c r="B4907" s="6" t="s">
        <v>9852</v>
      </c>
      <c r="C4907" s="7">
        <v>27947</v>
      </c>
      <c r="D4907" s="8" t="s">
        <v>9853</v>
      </c>
    </row>
    <row r="4908" spans="1:4" ht="14.25">
      <c r="A4908" s="5">
        <v>6</v>
      </c>
      <c r="B4908" s="6" t="s">
        <v>9854</v>
      </c>
      <c r="C4908" s="7">
        <v>27947</v>
      </c>
      <c r="D4908" s="8" t="s">
        <v>9855</v>
      </c>
    </row>
    <row r="4909" spans="1:4" ht="14.25">
      <c r="A4909" s="5">
        <v>6</v>
      </c>
      <c r="B4909" s="6" t="s">
        <v>9856</v>
      </c>
      <c r="C4909" s="7">
        <v>27947</v>
      </c>
      <c r="D4909" s="8" t="s">
        <v>9857</v>
      </c>
    </row>
    <row r="4910" spans="1:4" ht="14.25">
      <c r="A4910" s="5">
        <v>6</v>
      </c>
      <c r="B4910" s="6" t="s">
        <v>9858</v>
      </c>
      <c r="C4910" s="7">
        <v>27947</v>
      </c>
      <c r="D4910" s="8" t="s">
        <v>9859</v>
      </c>
    </row>
    <row r="4911" spans="1:4" ht="14.25">
      <c r="A4911" s="5">
        <v>6</v>
      </c>
      <c r="B4911" s="6" t="s">
        <v>9860</v>
      </c>
      <c r="C4911" s="7">
        <v>27947</v>
      </c>
      <c r="D4911" s="8" t="s">
        <v>9861</v>
      </c>
    </row>
    <row r="4912" spans="1:4" ht="14.25">
      <c r="A4912" s="5">
        <v>6</v>
      </c>
      <c r="B4912" s="6" t="s">
        <v>9862</v>
      </c>
      <c r="C4912" s="7">
        <v>27947</v>
      </c>
      <c r="D4912" s="8" t="s">
        <v>9863</v>
      </c>
    </row>
    <row r="4913" spans="1:4" ht="14.25">
      <c r="A4913" s="5">
        <v>6</v>
      </c>
      <c r="B4913" s="6" t="s">
        <v>9864</v>
      </c>
      <c r="C4913" s="7">
        <v>27947</v>
      </c>
      <c r="D4913" s="8" t="s">
        <v>9865</v>
      </c>
    </row>
    <row r="4914" spans="1:4" ht="14.25">
      <c r="A4914" s="5">
        <v>6</v>
      </c>
      <c r="B4914" s="6" t="s">
        <v>9866</v>
      </c>
      <c r="C4914" s="7">
        <v>27947</v>
      </c>
      <c r="D4914" s="8" t="s">
        <v>9867</v>
      </c>
    </row>
    <row r="4915" spans="1:4" ht="14.25">
      <c r="A4915" s="5" t="s">
        <v>209</v>
      </c>
      <c r="B4915" s="6" t="s">
        <v>9868</v>
      </c>
      <c r="C4915" s="7">
        <v>27948</v>
      </c>
      <c r="D4915" s="8" t="s">
        <v>9869</v>
      </c>
    </row>
    <row r="4916" spans="1:4" ht="14.25">
      <c r="A4916" s="5" t="s">
        <v>463</v>
      </c>
      <c r="B4916" s="6" t="s">
        <v>9870</v>
      </c>
      <c r="C4916" s="7">
        <v>27948</v>
      </c>
      <c r="D4916" s="8" t="s">
        <v>9871</v>
      </c>
    </row>
    <row r="4917" spans="1:4" ht="14.25">
      <c r="A4917" s="5" t="s">
        <v>463</v>
      </c>
      <c r="B4917" s="6" t="s">
        <v>9872</v>
      </c>
      <c r="C4917" s="7">
        <v>27948</v>
      </c>
      <c r="D4917" s="8" t="s">
        <v>9873</v>
      </c>
    </row>
    <row r="4918" spans="1:4" ht="14.25">
      <c r="A4918" s="5" t="s">
        <v>463</v>
      </c>
      <c r="B4918" s="6" t="s">
        <v>9874</v>
      </c>
      <c r="C4918" s="7">
        <v>27948</v>
      </c>
      <c r="D4918" s="8" t="s">
        <v>9875</v>
      </c>
    </row>
    <row r="4919" spans="1:4" ht="14.25">
      <c r="A4919" s="5">
        <v>7</v>
      </c>
      <c r="B4919" s="6" t="s">
        <v>9876</v>
      </c>
      <c r="C4919" s="7">
        <v>27948</v>
      </c>
      <c r="D4919" s="8" t="s">
        <v>9877</v>
      </c>
    </row>
    <row r="4920" spans="1:4" ht="14.25">
      <c r="A4920" s="5">
        <v>7</v>
      </c>
      <c r="B4920" s="6" t="s">
        <v>9878</v>
      </c>
      <c r="C4920" s="7">
        <v>27948</v>
      </c>
      <c r="D4920" s="8" t="s">
        <v>9879</v>
      </c>
    </row>
    <row r="4921" spans="1:4" ht="14.25">
      <c r="A4921" s="5">
        <v>7</v>
      </c>
      <c r="B4921" s="6" t="s">
        <v>9880</v>
      </c>
      <c r="C4921" s="7">
        <v>27948</v>
      </c>
      <c r="D4921" s="8" t="s">
        <v>9881</v>
      </c>
    </row>
    <row r="4922" spans="1:4" ht="14.25">
      <c r="A4922" s="5">
        <v>7</v>
      </c>
      <c r="B4922" s="6" t="s">
        <v>9882</v>
      </c>
      <c r="C4922" s="7">
        <v>27948</v>
      </c>
      <c r="D4922" s="8" t="s">
        <v>9883</v>
      </c>
    </row>
    <row r="4923" spans="1:4" ht="14.25">
      <c r="A4923" s="5">
        <v>7</v>
      </c>
      <c r="B4923" s="6" t="s">
        <v>9884</v>
      </c>
      <c r="C4923" s="7">
        <v>27948</v>
      </c>
      <c r="D4923" s="8" t="s">
        <v>9885</v>
      </c>
    </row>
    <row r="4924" spans="1:4" ht="14.25">
      <c r="A4924" s="5">
        <v>7</v>
      </c>
      <c r="B4924" s="6" t="s">
        <v>9886</v>
      </c>
      <c r="C4924" s="7">
        <v>27948</v>
      </c>
      <c r="D4924" s="8" t="s">
        <v>9887</v>
      </c>
    </row>
    <row r="4925" spans="1:4" ht="14.25">
      <c r="A4925" s="5">
        <v>7</v>
      </c>
      <c r="B4925" s="6" t="s">
        <v>9888</v>
      </c>
      <c r="C4925" s="7">
        <v>27948</v>
      </c>
      <c r="D4925" s="8" t="s">
        <v>9889</v>
      </c>
    </row>
    <row r="4926" spans="1:4" ht="14.25">
      <c r="A4926" s="5">
        <v>7</v>
      </c>
      <c r="B4926" s="6" t="s">
        <v>9890</v>
      </c>
      <c r="C4926" s="7">
        <v>27948</v>
      </c>
      <c r="D4926" s="8" t="s">
        <v>9891</v>
      </c>
    </row>
    <row r="4927" spans="1:4" ht="14.25">
      <c r="A4927" s="5" t="s">
        <v>209</v>
      </c>
      <c r="B4927" s="6" t="s">
        <v>9892</v>
      </c>
      <c r="C4927" s="7">
        <v>27949</v>
      </c>
      <c r="D4927" s="8" t="s">
        <v>9893</v>
      </c>
    </row>
    <row r="4928" spans="1:4" ht="14.25">
      <c r="A4928" s="5" t="s">
        <v>463</v>
      </c>
      <c r="B4928" s="6" t="s">
        <v>9894</v>
      </c>
      <c r="C4928" s="7">
        <v>27949</v>
      </c>
      <c r="D4928" s="8" t="s">
        <v>9895</v>
      </c>
    </row>
    <row r="4929" spans="1:4" ht="14.25">
      <c r="A4929" s="5" t="s">
        <v>463</v>
      </c>
      <c r="B4929" s="6" t="s">
        <v>9896</v>
      </c>
      <c r="C4929" s="7">
        <v>27949</v>
      </c>
      <c r="D4929" s="8" t="s">
        <v>9897</v>
      </c>
    </row>
    <row r="4930" spans="1:4" ht="14.25">
      <c r="A4930" s="5">
        <v>8</v>
      </c>
      <c r="B4930" s="6" t="s">
        <v>9898</v>
      </c>
      <c r="C4930" s="7">
        <v>27949</v>
      </c>
      <c r="D4930" s="8" t="s">
        <v>9899</v>
      </c>
    </row>
    <row r="4931" spans="1:4" ht="14.25">
      <c r="A4931" s="5">
        <v>8</v>
      </c>
      <c r="B4931" s="6" t="s">
        <v>9900</v>
      </c>
      <c r="C4931" s="7">
        <v>27949</v>
      </c>
      <c r="D4931" s="8" t="s">
        <v>9901</v>
      </c>
    </row>
    <row r="4932" spans="1:4" ht="14.25">
      <c r="A4932" s="5">
        <v>8</v>
      </c>
      <c r="B4932" s="6" t="s">
        <v>9902</v>
      </c>
      <c r="C4932" s="7">
        <v>27949</v>
      </c>
      <c r="D4932" s="8" t="s">
        <v>9903</v>
      </c>
    </row>
    <row r="4933" spans="1:4" ht="14.25">
      <c r="A4933" s="5">
        <v>8</v>
      </c>
      <c r="B4933" s="6" t="s">
        <v>9904</v>
      </c>
      <c r="C4933" s="7">
        <v>27949</v>
      </c>
      <c r="D4933" s="8" t="s">
        <v>9905</v>
      </c>
    </row>
    <row r="4934" spans="1:4" ht="14.25">
      <c r="A4934" s="5">
        <v>8</v>
      </c>
      <c r="B4934" s="6" t="s">
        <v>9906</v>
      </c>
      <c r="C4934" s="7">
        <v>27949</v>
      </c>
      <c r="D4934" s="8" t="s">
        <v>9907</v>
      </c>
    </row>
    <row r="4935" spans="1:4" ht="14.25">
      <c r="A4935" s="5">
        <v>8</v>
      </c>
      <c r="B4935" s="6" t="s">
        <v>9908</v>
      </c>
      <c r="C4935" s="7">
        <v>27949</v>
      </c>
      <c r="D4935" s="8" t="s">
        <v>9909</v>
      </c>
    </row>
    <row r="4936" spans="1:4" ht="14.25">
      <c r="A4936" s="5">
        <v>8</v>
      </c>
      <c r="B4936" s="6" t="s">
        <v>9910</v>
      </c>
      <c r="C4936" s="7">
        <v>27949</v>
      </c>
      <c r="D4936" s="8" t="s">
        <v>9911</v>
      </c>
    </row>
    <row r="4937" spans="1:4" ht="14.25">
      <c r="A4937" s="5">
        <v>8</v>
      </c>
      <c r="B4937" s="6" t="s">
        <v>9912</v>
      </c>
      <c r="C4937" s="7">
        <v>27949</v>
      </c>
      <c r="D4937" s="8" t="s">
        <v>9913</v>
      </c>
    </row>
    <row r="4938" spans="1:4" ht="14.25">
      <c r="A4938" s="5">
        <v>9</v>
      </c>
      <c r="B4938" s="6" t="s">
        <v>9914</v>
      </c>
      <c r="C4938" s="7">
        <v>27950</v>
      </c>
      <c r="D4938" s="8" t="s">
        <v>9915</v>
      </c>
    </row>
    <row r="4939" spans="1:4" ht="14.25">
      <c r="A4939" s="5">
        <v>9</v>
      </c>
      <c r="B4939" s="6" t="s">
        <v>9916</v>
      </c>
      <c r="C4939" s="7">
        <v>27950</v>
      </c>
      <c r="D4939" s="8" t="s">
        <v>9917</v>
      </c>
    </row>
    <row r="4940" spans="1:4" ht="14.25">
      <c r="A4940" s="5">
        <v>9</v>
      </c>
      <c r="B4940" s="6" t="s">
        <v>9918</v>
      </c>
      <c r="C4940" s="7">
        <v>27950</v>
      </c>
      <c r="D4940" s="8" t="s">
        <v>9919</v>
      </c>
    </row>
    <row r="4941" spans="1:4" ht="14.25">
      <c r="A4941" s="5">
        <v>9</v>
      </c>
      <c r="B4941" s="6" t="s">
        <v>9920</v>
      </c>
      <c r="C4941" s="7">
        <v>27950</v>
      </c>
      <c r="D4941" s="8" t="s">
        <v>9921</v>
      </c>
    </row>
    <row r="4942" spans="1:4" ht="14.25">
      <c r="A4942" s="5">
        <v>10</v>
      </c>
      <c r="B4942" s="6" t="s">
        <v>9922</v>
      </c>
      <c r="C4942" s="7">
        <v>27951</v>
      </c>
      <c r="D4942" s="8" t="s">
        <v>9923</v>
      </c>
    </row>
    <row r="4943" spans="1:4" ht="14.25">
      <c r="A4943" s="5">
        <v>10</v>
      </c>
      <c r="B4943" s="6" t="s">
        <v>9924</v>
      </c>
      <c r="C4943" s="7">
        <v>27951</v>
      </c>
      <c r="D4943" s="8" t="s">
        <v>9925</v>
      </c>
    </row>
    <row r="4944" spans="1:4" ht="14.25">
      <c r="A4944" s="5">
        <v>10</v>
      </c>
      <c r="B4944" s="6" t="s">
        <v>9926</v>
      </c>
      <c r="C4944" s="7">
        <v>27951</v>
      </c>
      <c r="D4944" s="8" t="s">
        <v>9927</v>
      </c>
    </row>
    <row r="4945" spans="1:4" ht="14.25">
      <c r="A4945" s="5" t="s">
        <v>209</v>
      </c>
      <c r="B4945" s="6" t="s">
        <v>9928</v>
      </c>
      <c r="C4945" s="7">
        <v>27952</v>
      </c>
      <c r="D4945" s="8" t="s">
        <v>9929</v>
      </c>
    </row>
    <row r="4946" spans="1:4" ht="14.25">
      <c r="A4946" s="5" t="s">
        <v>463</v>
      </c>
      <c r="B4946" s="6" t="s">
        <v>9930</v>
      </c>
      <c r="C4946" s="7">
        <v>27952</v>
      </c>
      <c r="D4946" s="8" t="s">
        <v>9931</v>
      </c>
    </row>
    <row r="4947" spans="1:4" ht="14.25">
      <c r="A4947" s="5" t="s">
        <v>463</v>
      </c>
      <c r="B4947" s="6" t="s">
        <v>9932</v>
      </c>
      <c r="C4947" s="7">
        <v>27952</v>
      </c>
      <c r="D4947" s="8" t="s">
        <v>9933</v>
      </c>
    </row>
    <row r="4948" spans="1:4" ht="14.25">
      <c r="A4948" s="5" t="s">
        <v>463</v>
      </c>
      <c r="B4948" s="6" t="s">
        <v>9934</v>
      </c>
      <c r="C4948" s="7">
        <v>27952</v>
      </c>
      <c r="D4948" s="8" t="s">
        <v>9935</v>
      </c>
    </row>
    <row r="4949" spans="1:4" ht="14.25">
      <c r="A4949" s="5">
        <v>11</v>
      </c>
      <c r="B4949" s="6" t="s">
        <v>9936</v>
      </c>
      <c r="C4949" s="7">
        <v>27952</v>
      </c>
      <c r="D4949" s="8" t="s">
        <v>9937</v>
      </c>
    </row>
    <row r="4950" spans="1:4" ht="14.25">
      <c r="A4950" s="5">
        <v>11</v>
      </c>
      <c r="B4950" s="6" t="s">
        <v>9938</v>
      </c>
      <c r="C4950" s="7">
        <v>27952</v>
      </c>
      <c r="D4950" s="8" t="s">
        <v>9939</v>
      </c>
    </row>
    <row r="4951" spans="1:4" ht="14.25">
      <c r="A4951" s="5">
        <v>11</v>
      </c>
      <c r="B4951" s="6" t="s">
        <v>9940</v>
      </c>
      <c r="C4951" s="7">
        <v>27952</v>
      </c>
      <c r="D4951" s="8" t="s">
        <v>9941</v>
      </c>
    </row>
    <row r="4952" spans="1:4" ht="14.25">
      <c r="A4952" s="5">
        <v>11</v>
      </c>
      <c r="B4952" s="6" t="s">
        <v>9942</v>
      </c>
      <c r="C4952" s="7">
        <v>27952</v>
      </c>
      <c r="D4952" s="8" t="s">
        <v>9943</v>
      </c>
    </row>
    <row r="4953" spans="1:4" ht="14.25">
      <c r="A4953" s="5">
        <v>11</v>
      </c>
      <c r="B4953" s="6" t="s">
        <v>9944</v>
      </c>
      <c r="C4953" s="7">
        <v>27952</v>
      </c>
      <c r="D4953" s="8" t="s">
        <v>9945</v>
      </c>
    </row>
    <row r="4954" spans="1:4" ht="14.25">
      <c r="A4954" s="5">
        <v>11</v>
      </c>
      <c r="B4954" s="6" t="s">
        <v>9946</v>
      </c>
      <c r="C4954" s="7">
        <v>27952</v>
      </c>
      <c r="D4954" s="8" t="s">
        <v>9947</v>
      </c>
    </row>
    <row r="4955" spans="1:4" ht="14.25">
      <c r="A4955" s="5">
        <v>11</v>
      </c>
      <c r="B4955" s="6" t="s">
        <v>9948</v>
      </c>
      <c r="C4955" s="7">
        <v>27952</v>
      </c>
      <c r="D4955" s="8" t="s">
        <v>9949</v>
      </c>
    </row>
    <row r="4956" spans="1:4" ht="14.25">
      <c r="A4956" s="5" t="s">
        <v>209</v>
      </c>
      <c r="B4956" s="6" t="s">
        <v>9950</v>
      </c>
      <c r="C4956" s="7">
        <v>27953</v>
      </c>
      <c r="D4956" s="8" t="s">
        <v>9951</v>
      </c>
    </row>
    <row r="4957" spans="1:4" ht="14.25">
      <c r="A4957" s="5">
        <v>12</v>
      </c>
      <c r="B4957" s="6" t="s">
        <v>9952</v>
      </c>
      <c r="C4957" s="7">
        <v>27953</v>
      </c>
      <c r="D4957" s="8" t="s">
        <v>9953</v>
      </c>
    </row>
    <row r="4958" spans="1:4" ht="14.25">
      <c r="A4958" s="5">
        <v>12</v>
      </c>
      <c r="B4958" s="6" t="s">
        <v>9954</v>
      </c>
      <c r="C4958" s="7">
        <v>27953</v>
      </c>
      <c r="D4958" s="8" t="s">
        <v>9955</v>
      </c>
    </row>
    <row r="4959" spans="1:4" ht="14.25">
      <c r="A4959" s="5">
        <v>12</v>
      </c>
      <c r="B4959" s="6" t="s">
        <v>9956</v>
      </c>
      <c r="C4959" s="7">
        <v>27953</v>
      </c>
      <c r="D4959" s="8" t="s">
        <v>9957</v>
      </c>
    </row>
    <row r="4960" spans="1:4" ht="14.25">
      <c r="A4960" s="5">
        <v>12</v>
      </c>
      <c r="B4960" s="6" t="s">
        <v>9958</v>
      </c>
      <c r="C4960" s="7">
        <v>27953</v>
      </c>
      <c r="D4960" s="8" t="s">
        <v>9959</v>
      </c>
    </row>
    <row r="4961" spans="1:4" ht="14.25">
      <c r="A4961" s="5" t="s">
        <v>209</v>
      </c>
      <c r="B4961" s="6" t="s">
        <v>9960</v>
      </c>
      <c r="C4961" s="7">
        <v>27954</v>
      </c>
      <c r="D4961" s="8" t="s">
        <v>9961</v>
      </c>
    </row>
    <row r="4962" spans="1:4" ht="14.25">
      <c r="A4962" s="5" t="s">
        <v>463</v>
      </c>
      <c r="B4962" s="6" t="s">
        <v>9962</v>
      </c>
      <c r="C4962" s="7">
        <v>27954</v>
      </c>
      <c r="D4962" s="8" t="s">
        <v>9963</v>
      </c>
    </row>
    <row r="4963" spans="1:4" ht="14.25">
      <c r="A4963" s="5">
        <v>13</v>
      </c>
      <c r="B4963" s="6" t="s">
        <v>9964</v>
      </c>
      <c r="C4963" s="7">
        <v>27954</v>
      </c>
      <c r="D4963" s="8" t="s">
        <v>9965</v>
      </c>
    </row>
    <row r="4964" spans="1:4" ht="14.25">
      <c r="A4964" s="5">
        <v>13</v>
      </c>
      <c r="B4964" s="6" t="s">
        <v>9966</v>
      </c>
      <c r="C4964" s="7">
        <v>27954</v>
      </c>
      <c r="D4964" s="8" t="s">
        <v>9967</v>
      </c>
    </row>
    <row r="4965" spans="1:4" ht="14.25">
      <c r="A4965" s="5">
        <v>13</v>
      </c>
      <c r="B4965" s="6" t="s">
        <v>9968</v>
      </c>
      <c r="C4965" s="7">
        <v>27954</v>
      </c>
      <c r="D4965" s="8" t="s">
        <v>9969</v>
      </c>
    </row>
    <row r="4966" spans="1:4" ht="14.25">
      <c r="A4966" s="5">
        <v>13</v>
      </c>
      <c r="B4966" s="6" t="s">
        <v>9970</v>
      </c>
      <c r="C4966" s="7">
        <v>27954</v>
      </c>
      <c r="D4966" s="8" t="s">
        <v>9971</v>
      </c>
    </row>
    <row r="4967" spans="1:4" ht="14.25">
      <c r="A4967" s="5">
        <v>13</v>
      </c>
      <c r="B4967" s="6" t="s">
        <v>9972</v>
      </c>
      <c r="C4967" s="7">
        <v>27954</v>
      </c>
      <c r="D4967" s="8" t="s">
        <v>9973</v>
      </c>
    </row>
    <row r="4968" spans="1:4" ht="14.25">
      <c r="A4968" s="5" t="s">
        <v>2</v>
      </c>
      <c r="B4968" s="6" t="s">
        <v>9974</v>
      </c>
      <c r="C4968" s="7">
        <v>27955</v>
      </c>
      <c r="D4968" s="8" t="s">
        <v>9975</v>
      </c>
    </row>
    <row r="4969" spans="1:4" ht="14.25">
      <c r="A4969" s="5" t="s">
        <v>2</v>
      </c>
      <c r="B4969" s="6" t="s">
        <v>9976</v>
      </c>
      <c r="C4969" s="7">
        <v>27955</v>
      </c>
      <c r="D4969" s="8" t="s">
        <v>9977</v>
      </c>
    </row>
    <row r="4970" spans="1:4" ht="14.25">
      <c r="A4970" s="5">
        <v>14</v>
      </c>
      <c r="B4970" s="6" t="s">
        <v>9978</v>
      </c>
      <c r="C4970" s="7">
        <v>27955</v>
      </c>
      <c r="D4970" s="8" t="s">
        <v>9979</v>
      </c>
    </row>
    <row r="4971" spans="1:4" ht="14.25">
      <c r="A4971" s="5">
        <v>14</v>
      </c>
      <c r="B4971" s="6" t="s">
        <v>9980</v>
      </c>
      <c r="C4971" s="7">
        <v>27955</v>
      </c>
      <c r="D4971" s="8" t="s">
        <v>9981</v>
      </c>
    </row>
    <row r="4972" spans="1:4" ht="14.25">
      <c r="A4972" s="5">
        <v>14</v>
      </c>
      <c r="B4972" s="6" t="s">
        <v>9982</v>
      </c>
      <c r="C4972" s="7">
        <v>27955</v>
      </c>
      <c r="D4972" s="8" t="s">
        <v>9983</v>
      </c>
    </row>
    <row r="4973" spans="1:4" ht="14.25">
      <c r="A4973" s="5">
        <v>14</v>
      </c>
      <c r="B4973" s="6" t="s">
        <v>9984</v>
      </c>
      <c r="C4973" s="7">
        <v>27955</v>
      </c>
      <c r="D4973" s="8" t="s">
        <v>9985</v>
      </c>
    </row>
    <row r="4974" spans="1:4" ht="14.25">
      <c r="A4974" s="5">
        <v>14</v>
      </c>
      <c r="B4974" s="6" t="s">
        <v>9986</v>
      </c>
      <c r="C4974" s="7">
        <v>27955</v>
      </c>
      <c r="D4974" s="8" t="s">
        <v>9987</v>
      </c>
    </row>
    <row r="4975" spans="1:4" ht="14.25">
      <c r="A4975" s="5">
        <v>14</v>
      </c>
      <c r="B4975" s="6" t="s">
        <v>9988</v>
      </c>
      <c r="C4975" s="7">
        <v>27955</v>
      </c>
      <c r="D4975" s="8" t="s">
        <v>9989</v>
      </c>
    </row>
    <row r="4976" spans="1:4" ht="14.25">
      <c r="A4976" s="5" t="s">
        <v>209</v>
      </c>
      <c r="B4976" s="6" t="s">
        <v>9990</v>
      </c>
      <c r="C4976" s="7">
        <v>27956</v>
      </c>
      <c r="D4976" s="8" t="s">
        <v>9991</v>
      </c>
    </row>
    <row r="4977" spans="1:4" ht="14.25">
      <c r="A4977" s="5">
        <v>15</v>
      </c>
      <c r="B4977" s="6" t="s">
        <v>9992</v>
      </c>
      <c r="C4977" s="7">
        <v>27956</v>
      </c>
      <c r="D4977" s="8" t="s">
        <v>9993</v>
      </c>
    </row>
    <row r="4978" spans="1:4" ht="14.25">
      <c r="A4978" s="5">
        <v>15</v>
      </c>
      <c r="B4978" s="6" t="s">
        <v>9994</v>
      </c>
      <c r="C4978" s="7">
        <v>27956</v>
      </c>
      <c r="D4978" s="8" t="s">
        <v>9995</v>
      </c>
    </row>
    <row r="4979" spans="1:4" ht="14.25">
      <c r="A4979" s="5">
        <v>15</v>
      </c>
      <c r="B4979" s="6" t="s">
        <v>9996</v>
      </c>
      <c r="C4979" s="7">
        <v>27956</v>
      </c>
      <c r="D4979" s="8" t="s">
        <v>9997</v>
      </c>
    </row>
    <row r="4980" spans="1:4" ht="14.25">
      <c r="A4980" s="5" t="s">
        <v>2</v>
      </c>
      <c r="B4980" s="6" t="s">
        <v>9998</v>
      </c>
      <c r="C4980" s="7">
        <v>27957</v>
      </c>
      <c r="D4980" s="8" t="s">
        <v>9999</v>
      </c>
    </row>
    <row r="4981" spans="1:4" ht="14.25">
      <c r="A4981" s="5">
        <v>16</v>
      </c>
      <c r="B4981" s="6" t="s">
        <v>10000</v>
      </c>
      <c r="C4981" s="7">
        <v>27957</v>
      </c>
      <c r="D4981" s="8" t="s">
        <v>10001</v>
      </c>
    </row>
    <row r="4982" spans="1:4" ht="14.25">
      <c r="A4982" s="5">
        <v>16</v>
      </c>
      <c r="B4982" s="6" t="s">
        <v>10002</v>
      </c>
      <c r="C4982" s="7">
        <v>27957</v>
      </c>
      <c r="D4982" s="8" t="s">
        <v>10003</v>
      </c>
    </row>
    <row r="4983" spans="1:4" ht="14.25">
      <c r="A4983" s="5">
        <v>16</v>
      </c>
      <c r="B4983" s="6" t="s">
        <v>10004</v>
      </c>
      <c r="C4983" s="7">
        <v>27957</v>
      </c>
      <c r="D4983" s="8" t="s">
        <v>10005</v>
      </c>
    </row>
    <row r="4984" spans="1:4" ht="14.25">
      <c r="A4984" s="5">
        <v>16</v>
      </c>
      <c r="B4984" s="6" t="s">
        <v>10006</v>
      </c>
      <c r="C4984" s="7">
        <v>27957</v>
      </c>
      <c r="D4984" s="8" t="s">
        <v>10007</v>
      </c>
    </row>
    <row r="4985" spans="1:4" ht="14.25">
      <c r="A4985" s="5" t="s">
        <v>209</v>
      </c>
      <c r="B4985" s="6" t="s">
        <v>10008</v>
      </c>
      <c r="C4985" s="7">
        <v>27958</v>
      </c>
      <c r="D4985" s="8" t="s">
        <v>10009</v>
      </c>
    </row>
    <row r="4986" spans="1:4" ht="14.25">
      <c r="A4986" s="5" t="s">
        <v>2</v>
      </c>
      <c r="B4986" s="6" t="s">
        <v>10010</v>
      </c>
      <c r="C4986" s="7">
        <v>27958</v>
      </c>
      <c r="D4986" s="8" t="s">
        <v>10011</v>
      </c>
    </row>
    <row r="4987" spans="1:4" ht="14.25">
      <c r="A4987" s="5" t="s">
        <v>463</v>
      </c>
      <c r="B4987" s="6" t="s">
        <v>10012</v>
      </c>
      <c r="C4987" s="7">
        <v>27958</v>
      </c>
      <c r="D4987" s="8" t="s">
        <v>10013</v>
      </c>
    </row>
    <row r="4988" spans="1:4" ht="14.25">
      <c r="A4988" s="5">
        <v>17</v>
      </c>
      <c r="B4988" s="6" t="s">
        <v>10014</v>
      </c>
      <c r="C4988" s="7">
        <v>27958</v>
      </c>
      <c r="D4988" s="8" t="s">
        <v>10015</v>
      </c>
    </row>
    <row r="4989" spans="1:4" ht="14.25">
      <c r="A4989" s="5">
        <v>17</v>
      </c>
      <c r="B4989" s="6" t="s">
        <v>10016</v>
      </c>
      <c r="C4989" s="7">
        <v>27958</v>
      </c>
      <c r="D4989" s="8" t="s">
        <v>10017</v>
      </c>
    </row>
    <row r="4990" spans="1:4" ht="14.25">
      <c r="A4990" s="5">
        <v>17</v>
      </c>
      <c r="B4990" s="6" t="s">
        <v>10018</v>
      </c>
      <c r="C4990" s="7">
        <v>27958</v>
      </c>
      <c r="D4990" s="8" t="s">
        <v>10019</v>
      </c>
    </row>
    <row r="4991" spans="1:4" ht="14.25">
      <c r="A4991" s="5">
        <v>17</v>
      </c>
      <c r="B4991" s="6" t="s">
        <v>10020</v>
      </c>
      <c r="C4991" s="7">
        <v>27958</v>
      </c>
      <c r="D4991" s="8" t="s">
        <v>10021</v>
      </c>
    </row>
    <row r="4992" spans="1:4" ht="14.25">
      <c r="A4992" s="5">
        <v>17</v>
      </c>
      <c r="B4992" s="6" t="s">
        <v>10022</v>
      </c>
      <c r="C4992" s="7">
        <v>27958</v>
      </c>
      <c r="D4992" s="8" t="s">
        <v>10023</v>
      </c>
    </row>
    <row r="4993" spans="1:4" ht="14.25">
      <c r="A4993" s="5">
        <v>17</v>
      </c>
      <c r="B4993" s="6" t="s">
        <v>10024</v>
      </c>
      <c r="C4993" s="7">
        <v>27958</v>
      </c>
      <c r="D4993" s="8" t="s">
        <v>10025</v>
      </c>
    </row>
    <row r="4994" spans="1:4" ht="14.25">
      <c r="A4994" s="5">
        <v>17</v>
      </c>
      <c r="B4994" s="6" t="s">
        <v>10026</v>
      </c>
      <c r="C4994" s="7">
        <v>27958</v>
      </c>
      <c r="D4994" s="8" t="s">
        <v>10027</v>
      </c>
    </row>
    <row r="4995" spans="1:4" ht="14.25">
      <c r="A4995" s="5" t="s">
        <v>197</v>
      </c>
      <c r="B4995" s="6" t="s">
        <v>10028</v>
      </c>
      <c r="C4995" s="7">
        <v>27959</v>
      </c>
      <c r="D4995" s="8" t="s">
        <v>10029</v>
      </c>
    </row>
    <row r="4996" spans="1:4" ht="14.25">
      <c r="A4996" s="5">
        <v>18</v>
      </c>
      <c r="B4996" s="6" t="s">
        <v>10030</v>
      </c>
      <c r="C4996" s="7">
        <v>27959</v>
      </c>
      <c r="D4996" s="8" t="s">
        <v>10031</v>
      </c>
    </row>
    <row r="4997" spans="1:4" ht="14.25">
      <c r="A4997" s="5">
        <v>18</v>
      </c>
      <c r="B4997" s="6" t="s">
        <v>10032</v>
      </c>
      <c r="C4997" s="7">
        <v>27959</v>
      </c>
      <c r="D4997" s="8" t="s">
        <v>10033</v>
      </c>
    </row>
    <row r="4998" spans="1:4" ht="14.25">
      <c r="A4998" s="5">
        <v>18</v>
      </c>
      <c r="B4998" s="6" t="s">
        <v>10034</v>
      </c>
      <c r="C4998" s="7">
        <v>27959</v>
      </c>
      <c r="D4998" s="8" t="s">
        <v>10035</v>
      </c>
    </row>
    <row r="4999" spans="1:4" ht="14.25">
      <c r="A4999" s="5">
        <v>18</v>
      </c>
      <c r="B4999" s="6" t="s">
        <v>10036</v>
      </c>
      <c r="C4999" s="7">
        <v>27959</v>
      </c>
      <c r="D4999" s="8" t="s">
        <v>10037</v>
      </c>
    </row>
    <row r="5000" spans="1:4" ht="14.25">
      <c r="A5000" s="5">
        <v>19</v>
      </c>
      <c r="B5000" s="6" t="s">
        <v>10038</v>
      </c>
      <c r="C5000" s="7">
        <v>27960</v>
      </c>
      <c r="D5000" s="8" t="s">
        <v>10039</v>
      </c>
    </row>
    <row r="5001" spans="1:4" ht="14.25">
      <c r="A5001" s="5">
        <v>19</v>
      </c>
      <c r="B5001" s="6" t="s">
        <v>10040</v>
      </c>
      <c r="C5001" s="7">
        <v>27960</v>
      </c>
      <c r="D5001" s="8" t="s">
        <v>10041</v>
      </c>
    </row>
    <row r="5002" spans="1:4" ht="14.25">
      <c r="A5002" s="5">
        <v>19</v>
      </c>
      <c r="B5002" s="6" t="s">
        <v>10042</v>
      </c>
      <c r="C5002" s="7">
        <v>27960</v>
      </c>
      <c r="D5002" s="8" t="s">
        <v>10043</v>
      </c>
    </row>
    <row r="5003" spans="1:4" ht="14.25">
      <c r="A5003" s="5" t="s">
        <v>209</v>
      </c>
      <c r="B5003" s="6" t="s">
        <v>10044</v>
      </c>
      <c r="C5003" s="7">
        <v>27961</v>
      </c>
      <c r="D5003" s="8" t="s">
        <v>10045</v>
      </c>
    </row>
    <row r="5004" spans="1:4" ht="14.25">
      <c r="A5004" s="5">
        <v>20</v>
      </c>
      <c r="B5004" s="6" t="s">
        <v>10046</v>
      </c>
      <c r="C5004" s="7">
        <v>27961</v>
      </c>
      <c r="D5004" s="8" t="s">
        <v>10047</v>
      </c>
    </row>
    <row r="5005" spans="1:4" ht="14.25">
      <c r="A5005" s="5">
        <v>20</v>
      </c>
      <c r="B5005" s="6" t="s">
        <v>10048</v>
      </c>
      <c r="C5005" s="7">
        <v>27961</v>
      </c>
      <c r="D5005" s="8" t="s">
        <v>10049</v>
      </c>
    </row>
    <row r="5006" spans="1:4" ht="14.25">
      <c r="A5006" s="5">
        <v>20</v>
      </c>
      <c r="B5006" s="6" t="s">
        <v>10050</v>
      </c>
      <c r="C5006" s="7">
        <v>27961</v>
      </c>
      <c r="D5006" s="8" t="s">
        <v>10051</v>
      </c>
    </row>
    <row r="5007" spans="1:4" ht="14.25">
      <c r="A5007" s="5">
        <v>20</v>
      </c>
      <c r="B5007" s="6" t="s">
        <v>10052</v>
      </c>
      <c r="C5007" s="7">
        <v>27961</v>
      </c>
      <c r="D5007" s="8" t="s">
        <v>10053</v>
      </c>
    </row>
    <row r="5008" spans="1:4" ht="14.25">
      <c r="A5008" s="5">
        <v>21</v>
      </c>
      <c r="B5008" s="6" t="s">
        <v>10054</v>
      </c>
      <c r="C5008" s="7">
        <v>27962</v>
      </c>
      <c r="D5008" s="8" t="s">
        <v>10055</v>
      </c>
    </row>
    <row r="5009" spans="1:4" ht="14.25">
      <c r="A5009" s="5" t="s">
        <v>209</v>
      </c>
      <c r="B5009" s="6" t="s">
        <v>10056</v>
      </c>
      <c r="C5009" s="7">
        <v>27964</v>
      </c>
      <c r="D5009" s="8" t="s">
        <v>10057</v>
      </c>
    </row>
    <row r="5010" spans="1:4" ht="14.25">
      <c r="A5010" s="5" t="s">
        <v>2</v>
      </c>
      <c r="B5010" s="6" t="s">
        <v>10058</v>
      </c>
      <c r="C5010" s="7">
        <v>27964</v>
      </c>
      <c r="D5010" s="8" t="s">
        <v>10059</v>
      </c>
    </row>
    <row r="5011" spans="1:4" ht="14.25">
      <c r="A5011" s="5">
        <v>23</v>
      </c>
      <c r="B5011" s="6" t="s">
        <v>10060</v>
      </c>
      <c r="C5011" s="7">
        <v>27964</v>
      </c>
      <c r="D5011" s="8" t="s">
        <v>10061</v>
      </c>
    </row>
    <row r="5012" spans="1:4" ht="14.25">
      <c r="A5012" s="5">
        <v>23</v>
      </c>
      <c r="B5012" s="6" t="s">
        <v>10062</v>
      </c>
      <c r="C5012" s="7">
        <v>27964</v>
      </c>
      <c r="D5012" s="8" t="s">
        <v>10063</v>
      </c>
    </row>
    <row r="5013" spans="1:4" ht="14.25">
      <c r="A5013" s="5">
        <v>23</v>
      </c>
      <c r="B5013" s="6" t="s">
        <v>10064</v>
      </c>
      <c r="C5013" s="7">
        <v>27964</v>
      </c>
      <c r="D5013" s="8" t="s">
        <v>10065</v>
      </c>
    </row>
    <row r="5014" spans="1:4" ht="14.25">
      <c r="A5014" s="5">
        <v>23</v>
      </c>
      <c r="B5014" s="6" t="s">
        <v>10066</v>
      </c>
      <c r="C5014" s="7">
        <v>27964</v>
      </c>
      <c r="D5014" s="8" t="s">
        <v>10067</v>
      </c>
    </row>
    <row r="5015" spans="1:4" ht="14.25">
      <c r="A5015" s="5">
        <v>24</v>
      </c>
      <c r="B5015" s="6" t="s">
        <v>10068</v>
      </c>
      <c r="C5015" s="7">
        <v>27965</v>
      </c>
      <c r="D5015" s="8" t="s">
        <v>10069</v>
      </c>
    </row>
    <row r="5016" spans="1:4" ht="14.25">
      <c r="A5016" s="5" t="s">
        <v>1786</v>
      </c>
      <c r="B5016" s="6" t="s">
        <v>10070</v>
      </c>
      <c r="C5016" s="7">
        <v>27966</v>
      </c>
      <c r="D5016" s="8" t="s">
        <v>10071</v>
      </c>
    </row>
    <row r="5017" spans="1:4" ht="14.25">
      <c r="A5017" s="5">
        <v>25</v>
      </c>
      <c r="B5017" s="6" t="s">
        <v>10072</v>
      </c>
      <c r="C5017" s="7">
        <v>27966</v>
      </c>
      <c r="D5017" s="8" t="s">
        <v>10073</v>
      </c>
    </row>
    <row r="5018" spans="1:4" ht="14.25">
      <c r="A5018" s="5">
        <v>25</v>
      </c>
      <c r="B5018" s="6" t="s">
        <v>10074</v>
      </c>
      <c r="C5018" s="7">
        <v>27966</v>
      </c>
      <c r="D5018" s="8" t="s">
        <v>10075</v>
      </c>
    </row>
    <row r="5019" spans="1:4" ht="14.25">
      <c r="A5019" s="5">
        <v>25</v>
      </c>
      <c r="B5019" s="6" t="s">
        <v>10076</v>
      </c>
      <c r="C5019" s="7">
        <v>27966</v>
      </c>
      <c r="D5019" s="8" t="s">
        <v>10077</v>
      </c>
    </row>
    <row r="5020" spans="1:4" ht="14.25">
      <c r="A5020" s="5">
        <v>25</v>
      </c>
      <c r="B5020" s="6" t="s">
        <v>10078</v>
      </c>
      <c r="C5020" s="7">
        <v>27966</v>
      </c>
      <c r="D5020" s="8" t="s">
        <v>10079</v>
      </c>
    </row>
    <row r="5021" spans="1:4" ht="14.25">
      <c r="A5021" s="5" t="s">
        <v>463</v>
      </c>
      <c r="B5021" s="6" t="s">
        <v>10080</v>
      </c>
      <c r="C5021" s="7">
        <v>27967</v>
      </c>
      <c r="D5021" s="8" t="s">
        <v>10081</v>
      </c>
    </row>
    <row r="5022" spans="1:4" ht="14.25">
      <c r="A5022" s="5">
        <v>26</v>
      </c>
      <c r="B5022" s="6" t="s">
        <v>10082</v>
      </c>
      <c r="C5022" s="7">
        <v>27967</v>
      </c>
      <c r="D5022" s="8" t="s">
        <v>10083</v>
      </c>
    </row>
    <row r="5023" spans="1:4" ht="14.25">
      <c r="A5023" s="5">
        <v>26</v>
      </c>
      <c r="B5023" s="6" t="s">
        <v>10084</v>
      </c>
      <c r="C5023" s="7">
        <v>27967</v>
      </c>
      <c r="D5023" s="8" t="s">
        <v>10085</v>
      </c>
    </row>
    <row r="5024" spans="1:4" ht="14.25">
      <c r="A5024" s="5">
        <v>26</v>
      </c>
      <c r="B5024" s="6" t="s">
        <v>10086</v>
      </c>
      <c r="C5024" s="7">
        <v>27967</v>
      </c>
      <c r="D5024" s="8" t="s">
        <v>10087</v>
      </c>
    </row>
    <row r="5025" spans="1:4" ht="14.25">
      <c r="A5025" s="5" t="s">
        <v>463</v>
      </c>
      <c r="B5025" s="6" t="s">
        <v>10088</v>
      </c>
      <c r="C5025" s="7">
        <v>27968</v>
      </c>
      <c r="D5025" s="8" t="s">
        <v>10089</v>
      </c>
    </row>
    <row r="5026" spans="1:4" ht="14.25">
      <c r="A5026" s="5" t="s">
        <v>167</v>
      </c>
      <c r="B5026" s="6" t="s">
        <v>10090</v>
      </c>
      <c r="C5026" s="7">
        <v>27968</v>
      </c>
      <c r="D5026" s="8" t="s">
        <v>10091</v>
      </c>
    </row>
    <row r="5027" spans="1:4" ht="14.25">
      <c r="A5027" s="5">
        <v>27</v>
      </c>
      <c r="B5027" s="6" t="s">
        <v>10092</v>
      </c>
      <c r="C5027" s="7">
        <v>27968</v>
      </c>
      <c r="D5027" s="8" t="s">
        <v>10093</v>
      </c>
    </row>
    <row r="5028" spans="1:4" ht="14.25">
      <c r="A5028" s="5">
        <v>27</v>
      </c>
      <c r="B5028" s="6" t="s">
        <v>10094</v>
      </c>
      <c r="C5028" s="7">
        <v>27968</v>
      </c>
      <c r="D5028" s="8" t="s">
        <v>10095</v>
      </c>
    </row>
    <row r="5029" spans="1:4" ht="14.25">
      <c r="A5029" s="5">
        <v>27</v>
      </c>
      <c r="B5029" s="6" t="s">
        <v>10096</v>
      </c>
      <c r="C5029" s="7">
        <v>27968</v>
      </c>
      <c r="D5029" s="8" t="s">
        <v>10097</v>
      </c>
    </row>
    <row r="5030" spans="1:4" ht="14.25">
      <c r="A5030" s="5">
        <v>27</v>
      </c>
      <c r="B5030" s="6" t="s">
        <v>10098</v>
      </c>
      <c r="C5030" s="7">
        <v>27968</v>
      </c>
      <c r="D5030" s="8" t="s">
        <v>10099</v>
      </c>
    </row>
    <row r="5031" spans="1:4" ht="14.25">
      <c r="A5031" s="5">
        <v>27</v>
      </c>
      <c r="B5031" s="6" t="s">
        <v>10100</v>
      </c>
      <c r="C5031" s="7">
        <v>27968</v>
      </c>
      <c r="D5031" s="8" t="s">
        <v>10101</v>
      </c>
    </row>
    <row r="5032" spans="1:4" ht="14.25">
      <c r="A5032" s="5">
        <v>28</v>
      </c>
      <c r="B5032" s="6" t="s">
        <v>10102</v>
      </c>
      <c r="C5032" s="7">
        <v>27969</v>
      </c>
      <c r="D5032" s="8" t="s">
        <v>10103</v>
      </c>
    </row>
    <row r="5033" spans="1:4" ht="14.25">
      <c r="A5033" s="5">
        <v>29</v>
      </c>
      <c r="B5033" s="6" t="s">
        <v>10104</v>
      </c>
      <c r="C5033" s="7">
        <v>27970</v>
      </c>
      <c r="D5033" s="8" t="s">
        <v>10105</v>
      </c>
    </row>
    <row r="5034" spans="1:4" ht="14.25">
      <c r="A5034" s="5" t="s">
        <v>463</v>
      </c>
      <c r="B5034" s="6" t="s">
        <v>10106</v>
      </c>
      <c r="C5034" s="7">
        <v>27972</v>
      </c>
      <c r="D5034" s="8" t="s">
        <v>10107</v>
      </c>
    </row>
    <row r="5035" spans="1:4" ht="14.25">
      <c r="A5035" s="5">
        <v>31</v>
      </c>
      <c r="B5035" s="6" t="s">
        <v>10108</v>
      </c>
      <c r="C5035" s="7">
        <v>27972</v>
      </c>
      <c r="D5035" s="8" t="s">
        <v>10109</v>
      </c>
    </row>
    <row r="5036" spans="1:4" ht="14.25">
      <c r="A5036" s="5">
        <v>31</v>
      </c>
      <c r="B5036" s="6" t="s">
        <v>10110</v>
      </c>
      <c r="C5036" s="7">
        <v>27972</v>
      </c>
      <c r="D5036" s="8" t="s">
        <v>10111</v>
      </c>
    </row>
    <row r="5037" spans="1:4" ht="14.25">
      <c r="A5037" s="5">
        <v>31</v>
      </c>
      <c r="B5037" s="6" t="s">
        <v>10112</v>
      </c>
      <c r="C5037" s="7">
        <v>27972</v>
      </c>
      <c r="D5037" s="8" t="s">
        <v>10113</v>
      </c>
    </row>
    <row r="5038" spans="1:4" ht="14.25">
      <c r="A5038" s="5">
        <v>31</v>
      </c>
      <c r="B5038" s="6" t="s">
        <v>10114</v>
      </c>
      <c r="C5038" s="7">
        <v>27972</v>
      </c>
      <c r="D5038" s="8" t="s">
        <v>10115</v>
      </c>
    </row>
    <row r="5039" spans="1:4" ht="14.25">
      <c r="A5039" s="5">
        <v>31</v>
      </c>
      <c r="B5039" s="6" t="s">
        <v>10116</v>
      </c>
      <c r="C5039" s="7">
        <v>27972</v>
      </c>
      <c r="D5039" s="8" t="s">
        <v>10117</v>
      </c>
    </row>
    <row r="5040" spans="1:4" ht="14.25">
      <c r="A5040" s="5" t="s">
        <v>484</v>
      </c>
      <c r="B5040" s="6" t="s">
        <v>10118</v>
      </c>
      <c r="C5040" s="7">
        <v>27974</v>
      </c>
      <c r="D5040" s="8" t="s">
        <v>10119</v>
      </c>
    </row>
    <row r="5041" spans="1:4" ht="14.25">
      <c r="A5041" s="5" t="s">
        <v>463</v>
      </c>
      <c r="B5041" s="6" t="s">
        <v>10120</v>
      </c>
      <c r="C5041" s="7">
        <v>27974</v>
      </c>
      <c r="D5041" s="8" t="s">
        <v>10121</v>
      </c>
    </row>
    <row r="5042" spans="1:4" ht="14.25">
      <c r="A5042" s="5" t="s">
        <v>463</v>
      </c>
      <c r="B5042" s="6" t="s">
        <v>10122</v>
      </c>
      <c r="C5042" s="7">
        <v>27974</v>
      </c>
      <c r="D5042" s="8" t="s">
        <v>10123</v>
      </c>
    </row>
    <row r="5043" spans="1:4" ht="14.25">
      <c r="A5043" s="5">
        <v>2</v>
      </c>
      <c r="B5043" s="6" t="s">
        <v>10124</v>
      </c>
      <c r="C5043" s="7">
        <v>27974</v>
      </c>
      <c r="D5043" s="8" t="s">
        <v>10125</v>
      </c>
    </row>
    <row r="5044" spans="1:4" ht="14.25">
      <c r="A5044" s="5">
        <v>2</v>
      </c>
      <c r="B5044" s="6" t="s">
        <v>10126</v>
      </c>
      <c r="C5044" s="7">
        <v>27974</v>
      </c>
      <c r="D5044" s="8" t="s">
        <v>10127</v>
      </c>
    </row>
    <row r="5045" spans="1:4" ht="14.25">
      <c r="A5045" s="5">
        <v>2</v>
      </c>
      <c r="B5045" s="6" t="s">
        <v>10128</v>
      </c>
      <c r="C5045" s="7">
        <v>27974</v>
      </c>
      <c r="D5045" s="8" t="s">
        <v>10129</v>
      </c>
    </row>
    <row r="5046" spans="1:4" ht="14.25">
      <c r="A5046" s="5">
        <v>2</v>
      </c>
      <c r="B5046" s="6" t="s">
        <v>10130</v>
      </c>
      <c r="C5046" s="7">
        <v>27974</v>
      </c>
      <c r="D5046" s="8" t="s">
        <v>10131</v>
      </c>
    </row>
    <row r="5047" spans="1:4" ht="14.25">
      <c r="A5047" s="5">
        <v>2</v>
      </c>
      <c r="B5047" s="6" t="s">
        <v>10132</v>
      </c>
      <c r="C5047" s="7">
        <v>27974</v>
      </c>
      <c r="D5047" s="8" t="s">
        <v>10133</v>
      </c>
    </row>
    <row r="5048" spans="1:4" ht="14.25">
      <c r="A5048" s="5">
        <v>2</v>
      </c>
      <c r="B5048" s="6" t="s">
        <v>10134</v>
      </c>
      <c r="C5048" s="7">
        <v>27974</v>
      </c>
      <c r="D5048" s="8" t="s">
        <v>10135</v>
      </c>
    </row>
    <row r="5049" spans="1:4" ht="14.25">
      <c r="A5049" s="5">
        <v>2</v>
      </c>
      <c r="B5049" s="6" t="s">
        <v>10136</v>
      </c>
      <c r="C5049" s="7">
        <v>27974</v>
      </c>
      <c r="D5049" s="8" t="s">
        <v>10137</v>
      </c>
    </row>
    <row r="5050" spans="1:4" ht="14.25">
      <c r="A5050" s="5">
        <v>2</v>
      </c>
      <c r="B5050" s="6" t="s">
        <v>10138</v>
      </c>
      <c r="C5050" s="7">
        <v>27974</v>
      </c>
      <c r="D5050" s="8" t="s">
        <v>10139</v>
      </c>
    </row>
    <row r="5051" spans="1:4" ht="14.25">
      <c r="A5051" s="5" t="s">
        <v>236</v>
      </c>
      <c r="B5051" s="6" t="s">
        <v>10140</v>
      </c>
      <c r="C5051" s="7">
        <v>27975</v>
      </c>
      <c r="D5051" s="8" t="s">
        <v>10141</v>
      </c>
    </row>
    <row r="5052" spans="1:4" ht="14.25">
      <c r="A5052" s="5" t="s">
        <v>463</v>
      </c>
      <c r="B5052" s="6" t="s">
        <v>10142</v>
      </c>
      <c r="C5052" s="7">
        <v>27975</v>
      </c>
      <c r="D5052" s="8" t="s">
        <v>10143</v>
      </c>
    </row>
    <row r="5053" spans="1:4" ht="14.25">
      <c r="A5053" s="5" t="s">
        <v>463</v>
      </c>
      <c r="B5053" s="6" t="s">
        <v>10144</v>
      </c>
      <c r="C5053" s="7">
        <v>27975</v>
      </c>
      <c r="D5053" s="8" t="s">
        <v>10145</v>
      </c>
    </row>
    <row r="5054" spans="1:4" ht="14.25">
      <c r="A5054" s="5">
        <v>3</v>
      </c>
      <c r="B5054" s="6" t="s">
        <v>10146</v>
      </c>
      <c r="C5054" s="7">
        <v>27975</v>
      </c>
      <c r="D5054" s="8" t="s">
        <v>10147</v>
      </c>
    </row>
    <row r="5055" spans="1:4" ht="14.25">
      <c r="A5055" s="5">
        <v>3</v>
      </c>
      <c r="B5055" s="6" t="s">
        <v>10148</v>
      </c>
      <c r="C5055" s="7">
        <v>27975</v>
      </c>
      <c r="D5055" s="8" t="s">
        <v>10149</v>
      </c>
    </row>
    <row r="5056" spans="1:4" ht="14.25">
      <c r="A5056" s="5">
        <v>3</v>
      </c>
      <c r="B5056" s="6" t="s">
        <v>10150</v>
      </c>
      <c r="C5056" s="7">
        <v>27975</v>
      </c>
      <c r="D5056" s="8" t="s">
        <v>10151</v>
      </c>
    </row>
    <row r="5057" spans="1:4" ht="14.25">
      <c r="A5057" s="5">
        <v>3</v>
      </c>
      <c r="B5057" s="6" t="s">
        <v>10152</v>
      </c>
      <c r="C5057" s="7">
        <v>27975</v>
      </c>
      <c r="D5057" s="8" t="s">
        <v>10153</v>
      </c>
    </row>
    <row r="5058" spans="1:4" ht="14.25">
      <c r="A5058" s="5">
        <v>3</v>
      </c>
      <c r="B5058" s="6" t="s">
        <v>10154</v>
      </c>
      <c r="C5058" s="7">
        <v>27975</v>
      </c>
      <c r="D5058" s="8" t="s">
        <v>10155</v>
      </c>
    </row>
    <row r="5059" spans="1:4" ht="14.25">
      <c r="A5059" s="5">
        <v>3</v>
      </c>
      <c r="B5059" s="6" t="s">
        <v>10156</v>
      </c>
      <c r="C5059" s="7">
        <v>27975</v>
      </c>
      <c r="D5059" s="8" t="s">
        <v>10157</v>
      </c>
    </row>
    <row r="5060" spans="1:4" ht="14.25">
      <c r="A5060" s="5">
        <v>3</v>
      </c>
      <c r="B5060" s="6" t="s">
        <v>10158</v>
      </c>
      <c r="C5060" s="7">
        <v>27975</v>
      </c>
      <c r="D5060" s="8" t="s">
        <v>10159</v>
      </c>
    </row>
    <row r="5061" spans="1:4" ht="14.25">
      <c r="A5061" s="5" t="s">
        <v>96</v>
      </c>
      <c r="B5061" s="6" t="s">
        <v>10160</v>
      </c>
      <c r="C5061" s="7">
        <v>27976</v>
      </c>
      <c r="D5061" s="8" t="s">
        <v>10161</v>
      </c>
    </row>
    <row r="5062" spans="1:4" ht="14.25">
      <c r="A5062" s="5" t="s">
        <v>4661</v>
      </c>
      <c r="B5062" s="6" t="s">
        <v>10162</v>
      </c>
      <c r="C5062" s="7">
        <v>27976</v>
      </c>
      <c r="D5062" s="8" t="s">
        <v>10163</v>
      </c>
    </row>
    <row r="5063" spans="1:4" ht="14.25">
      <c r="A5063" s="5" t="s">
        <v>4661</v>
      </c>
      <c r="B5063" s="6" t="s">
        <v>10164</v>
      </c>
      <c r="C5063" s="7">
        <v>27976</v>
      </c>
      <c r="D5063" s="8" t="s">
        <v>10165</v>
      </c>
    </row>
    <row r="5064" spans="1:4" ht="14.25">
      <c r="A5064" s="5" t="s">
        <v>4661</v>
      </c>
      <c r="B5064" s="6" t="s">
        <v>10166</v>
      </c>
      <c r="C5064" s="7">
        <v>27976</v>
      </c>
      <c r="D5064" s="8" t="s">
        <v>10167</v>
      </c>
    </row>
    <row r="5065" spans="1:4" ht="14.25">
      <c r="A5065" s="5">
        <v>4</v>
      </c>
      <c r="B5065" s="6" t="s">
        <v>10168</v>
      </c>
      <c r="C5065" s="7">
        <v>27976</v>
      </c>
      <c r="D5065" s="8" t="s">
        <v>10169</v>
      </c>
    </row>
    <row r="5066" spans="1:4" ht="14.25">
      <c r="A5066" s="5">
        <v>5</v>
      </c>
      <c r="B5066" s="6" t="s">
        <v>10170</v>
      </c>
      <c r="C5066" s="7">
        <v>27977</v>
      </c>
      <c r="D5066" s="8" t="s">
        <v>10171</v>
      </c>
    </row>
    <row r="5067" spans="1:4" ht="14.25">
      <c r="A5067" s="5">
        <v>5</v>
      </c>
      <c r="B5067" s="6" t="s">
        <v>10172</v>
      </c>
      <c r="C5067" s="7">
        <v>27977</v>
      </c>
      <c r="D5067" s="8" t="s">
        <v>10173</v>
      </c>
    </row>
    <row r="5068" spans="1:4" ht="14.25">
      <c r="A5068" s="5">
        <v>5</v>
      </c>
      <c r="B5068" s="6" t="s">
        <v>10174</v>
      </c>
      <c r="C5068" s="7">
        <v>27977</v>
      </c>
      <c r="D5068" s="8" t="s">
        <v>10175</v>
      </c>
    </row>
    <row r="5069" spans="1:4" ht="14.25">
      <c r="A5069" s="5">
        <v>7</v>
      </c>
      <c r="B5069" s="6" t="s">
        <v>10176</v>
      </c>
      <c r="C5069" s="7">
        <v>27979</v>
      </c>
      <c r="D5069" s="8" t="s">
        <v>10177</v>
      </c>
    </row>
    <row r="5070" spans="1:4" ht="14.25">
      <c r="A5070" s="5">
        <v>8</v>
      </c>
      <c r="B5070" s="6" t="s">
        <v>10178</v>
      </c>
      <c r="C5070" s="7">
        <v>27980</v>
      </c>
      <c r="D5070" s="8" t="s">
        <v>10179</v>
      </c>
    </row>
    <row r="5071" spans="1:4" ht="14.25">
      <c r="A5071" s="5">
        <v>8</v>
      </c>
      <c r="B5071" s="6" t="s">
        <v>10180</v>
      </c>
      <c r="C5071" s="7">
        <v>27980</v>
      </c>
      <c r="D5071" s="8" t="s">
        <v>10181</v>
      </c>
    </row>
    <row r="5072" spans="1:4" ht="14.25">
      <c r="A5072" s="5">
        <v>8</v>
      </c>
      <c r="B5072" s="6" t="s">
        <v>10182</v>
      </c>
      <c r="C5072" s="7">
        <v>27980</v>
      </c>
      <c r="D5072" s="8" t="s">
        <v>10183</v>
      </c>
    </row>
    <row r="5073" spans="1:4" ht="14.25">
      <c r="A5073" s="5" t="s">
        <v>484</v>
      </c>
      <c r="B5073" s="6" t="s">
        <v>10184</v>
      </c>
      <c r="C5073" s="7">
        <v>27981</v>
      </c>
      <c r="D5073" s="8" t="s">
        <v>10185</v>
      </c>
    </row>
    <row r="5074" spans="1:4" ht="14.25">
      <c r="A5074" s="5" t="s">
        <v>463</v>
      </c>
      <c r="B5074" s="6" t="s">
        <v>10186</v>
      </c>
      <c r="C5074" s="7">
        <v>27981</v>
      </c>
      <c r="D5074" s="8" t="s">
        <v>10187</v>
      </c>
    </row>
    <row r="5075" spans="1:4" ht="14.25">
      <c r="A5075" s="5" t="s">
        <v>463</v>
      </c>
      <c r="B5075" s="6" t="s">
        <v>10188</v>
      </c>
      <c r="C5075" s="7">
        <v>27981</v>
      </c>
      <c r="D5075" s="8" t="s">
        <v>10189</v>
      </c>
    </row>
    <row r="5076" spans="1:4" ht="14.25">
      <c r="A5076" s="5">
        <v>9</v>
      </c>
      <c r="B5076" s="6" t="s">
        <v>10190</v>
      </c>
      <c r="C5076" s="7">
        <v>27981</v>
      </c>
      <c r="D5076" s="8" t="s">
        <v>10191</v>
      </c>
    </row>
    <row r="5077" spans="1:4" ht="14.25">
      <c r="A5077" s="5">
        <v>9</v>
      </c>
      <c r="B5077" s="6" t="s">
        <v>10192</v>
      </c>
      <c r="C5077" s="7">
        <v>27981</v>
      </c>
      <c r="D5077" s="8" t="s">
        <v>10193</v>
      </c>
    </row>
    <row r="5078" spans="1:4" ht="14.25">
      <c r="A5078" s="5">
        <v>9</v>
      </c>
      <c r="B5078" s="6" t="s">
        <v>10194</v>
      </c>
      <c r="C5078" s="7">
        <v>27981</v>
      </c>
      <c r="D5078" s="8" t="s">
        <v>10195</v>
      </c>
    </row>
    <row r="5079" spans="1:4" ht="14.25">
      <c r="A5079" s="5">
        <v>9</v>
      </c>
      <c r="B5079" s="6" t="s">
        <v>10196</v>
      </c>
      <c r="C5079" s="7">
        <v>27981</v>
      </c>
      <c r="D5079" s="8" t="s">
        <v>10197</v>
      </c>
    </row>
    <row r="5080" spans="1:4" ht="14.25">
      <c r="A5080" s="5">
        <v>9</v>
      </c>
      <c r="B5080" s="6" t="s">
        <v>10198</v>
      </c>
      <c r="C5080" s="7">
        <v>27981</v>
      </c>
      <c r="D5080" s="8" t="s">
        <v>10199</v>
      </c>
    </row>
    <row r="5081" spans="1:4" ht="14.25">
      <c r="A5081" s="5">
        <v>9</v>
      </c>
      <c r="B5081" s="6" t="s">
        <v>10200</v>
      </c>
      <c r="C5081" s="7">
        <v>27981</v>
      </c>
      <c r="D5081" s="8" t="s">
        <v>10201</v>
      </c>
    </row>
    <row r="5082" spans="1:4" ht="14.25">
      <c r="A5082" s="5">
        <v>9</v>
      </c>
      <c r="B5082" s="6" t="s">
        <v>10202</v>
      </c>
      <c r="C5082" s="7">
        <v>27981</v>
      </c>
      <c r="D5082" s="8" t="s">
        <v>10203</v>
      </c>
    </row>
    <row r="5083" spans="1:4" ht="14.25">
      <c r="A5083" s="5" t="s">
        <v>463</v>
      </c>
      <c r="B5083" s="6" t="s">
        <v>10204</v>
      </c>
      <c r="C5083" s="7">
        <v>27982</v>
      </c>
      <c r="D5083" s="8" t="s">
        <v>10205</v>
      </c>
    </row>
    <row r="5084" spans="1:4" ht="14.25">
      <c r="A5084" s="5" t="s">
        <v>463</v>
      </c>
      <c r="B5084" s="6" t="s">
        <v>10206</v>
      </c>
      <c r="C5084" s="7">
        <v>27982</v>
      </c>
      <c r="D5084" s="8" t="s">
        <v>10207</v>
      </c>
    </row>
    <row r="5085" spans="1:4" ht="14.25">
      <c r="A5085" s="5">
        <v>10</v>
      </c>
      <c r="B5085" s="6" t="s">
        <v>10208</v>
      </c>
      <c r="C5085" s="7">
        <v>27982</v>
      </c>
      <c r="D5085" s="8" t="s">
        <v>10209</v>
      </c>
    </row>
    <row r="5086" spans="1:4" ht="14.25">
      <c r="A5086" s="5">
        <v>10</v>
      </c>
      <c r="B5086" s="6" t="s">
        <v>10210</v>
      </c>
      <c r="C5086" s="7">
        <v>27982</v>
      </c>
      <c r="D5086" s="8" t="s">
        <v>10211</v>
      </c>
    </row>
    <row r="5087" spans="1:4" ht="14.25">
      <c r="A5087" s="5">
        <v>10</v>
      </c>
      <c r="B5087" s="6" t="s">
        <v>10212</v>
      </c>
      <c r="C5087" s="7">
        <v>27982</v>
      </c>
      <c r="D5087" s="8" t="s">
        <v>10213</v>
      </c>
    </row>
    <row r="5088" spans="1:4" ht="14.25">
      <c r="A5088" s="5">
        <v>10</v>
      </c>
      <c r="B5088" s="6" t="s">
        <v>10214</v>
      </c>
      <c r="C5088" s="7">
        <v>27982</v>
      </c>
      <c r="D5088" s="8" t="s">
        <v>10215</v>
      </c>
    </row>
    <row r="5089" spans="1:4" ht="14.25">
      <c r="A5089" s="5">
        <v>10</v>
      </c>
      <c r="B5089" s="6" t="s">
        <v>10216</v>
      </c>
      <c r="C5089" s="7">
        <v>27982</v>
      </c>
      <c r="D5089" s="8" t="s">
        <v>10217</v>
      </c>
    </row>
    <row r="5090" spans="1:4" ht="14.25">
      <c r="A5090" s="5" t="s">
        <v>463</v>
      </c>
      <c r="B5090" s="6" t="s">
        <v>10218</v>
      </c>
      <c r="C5090" s="7">
        <v>27983</v>
      </c>
      <c r="D5090" s="8" t="s">
        <v>10219</v>
      </c>
    </row>
    <row r="5091" spans="1:4" ht="14.25">
      <c r="A5091" s="5">
        <v>11</v>
      </c>
      <c r="B5091" s="6" t="s">
        <v>10220</v>
      </c>
      <c r="C5091" s="7">
        <v>27983</v>
      </c>
      <c r="D5091" s="8" t="s">
        <v>10221</v>
      </c>
    </row>
    <row r="5092" spans="1:4" ht="14.25">
      <c r="A5092" s="5">
        <v>11</v>
      </c>
      <c r="B5092" s="6" t="s">
        <v>10222</v>
      </c>
      <c r="C5092" s="7">
        <v>27983</v>
      </c>
      <c r="D5092" s="8" t="s">
        <v>10223</v>
      </c>
    </row>
    <row r="5093" spans="1:4" ht="14.25">
      <c r="A5093" s="5">
        <v>11</v>
      </c>
      <c r="B5093" s="6" t="s">
        <v>10224</v>
      </c>
      <c r="C5093" s="7">
        <v>27983</v>
      </c>
      <c r="D5093" s="8" t="s">
        <v>10225</v>
      </c>
    </row>
    <row r="5094" spans="1:4" ht="14.25">
      <c r="A5094" s="5">
        <v>11</v>
      </c>
      <c r="B5094" s="6" t="s">
        <v>10226</v>
      </c>
      <c r="C5094" s="7">
        <v>27983</v>
      </c>
      <c r="D5094" s="8" t="s">
        <v>10227</v>
      </c>
    </row>
    <row r="5095" spans="1:4" ht="14.25">
      <c r="A5095" s="5" t="s">
        <v>463</v>
      </c>
      <c r="B5095" s="6" t="s">
        <v>10228</v>
      </c>
      <c r="C5095" s="7">
        <v>27984</v>
      </c>
      <c r="D5095" s="8" t="s">
        <v>10229</v>
      </c>
    </row>
    <row r="5096" spans="1:4" ht="14.25">
      <c r="A5096" s="5">
        <v>12</v>
      </c>
      <c r="B5096" s="6" t="s">
        <v>10230</v>
      </c>
      <c r="C5096" s="7">
        <v>27984</v>
      </c>
      <c r="D5096" s="8" t="s">
        <v>10231</v>
      </c>
    </row>
    <row r="5097" spans="1:4" ht="14.25">
      <c r="A5097" s="5">
        <v>12</v>
      </c>
      <c r="B5097" s="6" t="s">
        <v>10232</v>
      </c>
      <c r="C5097" s="7">
        <v>27984</v>
      </c>
      <c r="D5097" s="8" t="s">
        <v>10233</v>
      </c>
    </row>
    <row r="5098" spans="1:4" ht="14.25">
      <c r="A5098" s="5">
        <v>12</v>
      </c>
      <c r="B5098" s="6" t="s">
        <v>10234</v>
      </c>
      <c r="C5098" s="7">
        <v>27984</v>
      </c>
      <c r="D5098" s="8" t="s">
        <v>10235</v>
      </c>
    </row>
    <row r="5099" spans="1:4" ht="14.25">
      <c r="A5099" s="5">
        <v>12</v>
      </c>
      <c r="B5099" s="6" t="s">
        <v>10236</v>
      </c>
      <c r="C5099" s="7">
        <v>27984</v>
      </c>
      <c r="D5099" s="8" t="s">
        <v>10237</v>
      </c>
    </row>
    <row r="5100" spans="1:4" ht="14.25">
      <c r="A5100" s="5">
        <v>12</v>
      </c>
      <c r="B5100" s="6" t="s">
        <v>10238</v>
      </c>
      <c r="C5100" s="7">
        <v>27984</v>
      </c>
      <c r="D5100" s="8" t="s">
        <v>10239</v>
      </c>
    </row>
    <row r="5101" spans="1:4" ht="14.25">
      <c r="A5101" s="5">
        <v>12</v>
      </c>
      <c r="B5101" s="6" t="s">
        <v>10240</v>
      </c>
      <c r="C5101" s="7">
        <v>27984</v>
      </c>
      <c r="D5101" s="8" t="s">
        <v>10241</v>
      </c>
    </row>
    <row r="5102" spans="1:4" ht="14.25">
      <c r="A5102" s="5">
        <v>12</v>
      </c>
      <c r="B5102" s="6" t="s">
        <v>10242</v>
      </c>
      <c r="C5102" s="7">
        <v>27984</v>
      </c>
      <c r="D5102" s="8" t="s">
        <v>10243</v>
      </c>
    </row>
    <row r="5103" spans="1:4" ht="14.25">
      <c r="A5103" s="5">
        <v>12</v>
      </c>
      <c r="B5103" s="6" t="s">
        <v>10244</v>
      </c>
      <c r="C5103" s="7">
        <v>27984</v>
      </c>
      <c r="D5103" s="8" t="s">
        <v>10245</v>
      </c>
    </row>
    <row r="5104" spans="1:4" ht="14.25">
      <c r="A5104" s="5">
        <v>13</v>
      </c>
      <c r="B5104" s="6" t="s">
        <v>10246</v>
      </c>
      <c r="C5104" s="7">
        <v>27985</v>
      </c>
      <c r="D5104" s="8" t="s">
        <v>10247</v>
      </c>
    </row>
    <row r="5105" spans="1:4" ht="14.25">
      <c r="A5105" s="5" t="s">
        <v>484</v>
      </c>
      <c r="B5105" s="6" t="s">
        <v>10248</v>
      </c>
      <c r="C5105" s="7">
        <v>27986</v>
      </c>
      <c r="D5105" s="8" t="s">
        <v>10249</v>
      </c>
    </row>
    <row r="5106" spans="1:4" ht="14.25">
      <c r="A5106" s="5" t="s">
        <v>463</v>
      </c>
      <c r="B5106" s="6" t="s">
        <v>10250</v>
      </c>
      <c r="C5106" s="7">
        <v>27986</v>
      </c>
      <c r="D5106" s="8" t="s">
        <v>10251</v>
      </c>
    </row>
    <row r="5107" spans="1:4" ht="14.25">
      <c r="A5107" s="5" t="s">
        <v>463</v>
      </c>
      <c r="B5107" s="6" t="s">
        <v>10252</v>
      </c>
      <c r="C5107" s="7">
        <v>27986</v>
      </c>
      <c r="D5107" s="8" t="s">
        <v>10253</v>
      </c>
    </row>
    <row r="5108" spans="1:4" ht="14.25">
      <c r="A5108" s="5">
        <v>14</v>
      </c>
      <c r="B5108" s="6" t="s">
        <v>10254</v>
      </c>
      <c r="C5108" s="7">
        <v>27986</v>
      </c>
      <c r="D5108" s="8" t="s">
        <v>10255</v>
      </c>
    </row>
    <row r="5109" spans="1:4" ht="14.25">
      <c r="A5109" s="5">
        <v>14</v>
      </c>
      <c r="B5109" s="6" t="s">
        <v>10256</v>
      </c>
      <c r="C5109" s="7">
        <v>27986</v>
      </c>
      <c r="D5109" s="8" t="s">
        <v>10257</v>
      </c>
    </row>
    <row r="5110" spans="1:4" ht="14.25">
      <c r="A5110" s="5">
        <v>14</v>
      </c>
      <c r="B5110" s="6" t="s">
        <v>10258</v>
      </c>
      <c r="C5110" s="7">
        <v>27986</v>
      </c>
      <c r="D5110" s="8" t="s">
        <v>10259</v>
      </c>
    </row>
    <row r="5111" spans="1:4" ht="14.25">
      <c r="A5111" s="5">
        <v>14</v>
      </c>
      <c r="B5111" s="6" t="s">
        <v>10260</v>
      </c>
      <c r="C5111" s="7">
        <v>27986</v>
      </c>
      <c r="D5111" s="8" t="s">
        <v>10261</v>
      </c>
    </row>
    <row r="5112" spans="1:4" ht="14.25">
      <c r="A5112" s="5">
        <v>14</v>
      </c>
      <c r="B5112" s="6" t="s">
        <v>10262</v>
      </c>
      <c r="C5112" s="7">
        <v>27986</v>
      </c>
      <c r="D5112" s="8" t="s">
        <v>10263</v>
      </c>
    </row>
    <row r="5113" spans="1:4" ht="14.25">
      <c r="A5113" s="5">
        <v>14</v>
      </c>
      <c r="B5113" s="6" t="s">
        <v>10264</v>
      </c>
      <c r="C5113" s="7">
        <v>27986</v>
      </c>
      <c r="D5113" s="8" t="s">
        <v>10265</v>
      </c>
    </row>
    <row r="5114" spans="1:4" ht="14.25">
      <c r="A5114" s="5">
        <v>15</v>
      </c>
      <c r="B5114" s="6" t="s">
        <v>10266</v>
      </c>
      <c r="C5114" s="7">
        <v>27987</v>
      </c>
      <c r="D5114" s="8" t="s">
        <v>10267</v>
      </c>
    </row>
    <row r="5115" spans="1:4" ht="14.25">
      <c r="A5115" s="5">
        <v>15</v>
      </c>
      <c r="B5115" s="6" t="s">
        <v>10268</v>
      </c>
      <c r="C5115" s="7">
        <v>27987</v>
      </c>
      <c r="D5115" s="8" t="s">
        <v>10269</v>
      </c>
    </row>
    <row r="5116" spans="1:4" ht="14.25">
      <c r="A5116" s="5" t="s">
        <v>463</v>
      </c>
      <c r="B5116" s="6" t="s">
        <v>10270</v>
      </c>
      <c r="C5116" s="7">
        <v>27988</v>
      </c>
      <c r="D5116" s="8" t="s">
        <v>10271</v>
      </c>
    </row>
    <row r="5117" spans="1:4" ht="14.25">
      <c r="A5117" s="5">
        <v>16</v>
      </c>
      <c r="B5117" s="6" t="s">
        <v>10272</v>
      </c>
      <c r="C5117" s="7">
        <v>27988</v>
      </c>
      <c r="D5117" s="8" t="s">
        <v>10273</v>
      </c>
    </row>
    <row r="5118" spans="1:4" ht="14.25">
      <c r="A5118" s="5">
        <v>16</v>
      </c>
      <c r="B5118" s="6" t="s">
        <v>10274</v>
      </c>
      <c r="C5118" s="7">
        <v>27988</v>
      </c>
      <c r="D5118" s="8" t="s">
        <v>10275</v>
      </c>
    </row>
    <row r="5119" spans="1:4" ht="14.25">
      <c r="A5119" s="5">
        <v>16</v>
      </c>
      <c r="B5119" s="6" t="s">
        <v>10276</v>
      </c>
      <c r="C5119" s="7">
        <v>27988</v>
      </c>
      <c r="D5119" s="8" t="s">
        <v>10277</v>
      </c>
    </row>
    <row r="5120" spans="1:4" ht="14.25">
      <c r="A5120" s="5">
        <v>16</v>
      </c>
      <c r="B5120" s="6" t="s">
        <v>10278</v>
      </c>
      <c r="C5120" s="7">
        <v>27988</v>
      </c>
      <c r="D5120" s="8" t="s">
        <v>10279</v>
      </c>
    </row>
    <row r="5121" spans="1:4" ht="14.25">
      <c r="A5121" s="5">
        <v>16</v>
      </c>
      <c r="B5121" s="6" t="s">
        <v>10280</v>
      </c>
      <c r="C5121" s="7">
        <v>27988</v>
      </c>
      <c r="D5121" s="8" t="s">
        <v>10281</v>
      </c>
    </row>
    <row r="5122" spans="1:4" ht="14.25">
      <c r="A5122" s="5" t="s">
        <v>1786</v>
      </c>
      <c r="B5122" s="6" t="s">
        <v>10282</v>
      </c>
      <c r="C5122" s="7">
        <v>27989</v>
      </c>
      <c r="D5122" s="8" t="s">
        <v>10283</v>
      </c>
    </row>
    <row r="5123" spans="1:4" ht="14.25">
      <c r="A5123" s="5" t="s">
        <v>209</v>
      </c>
      <c r="B5123" s="6" t="s">
        <v>10284</v>
      </c>
      <c r="C5123" s="7">
        <v>27989</v>
      </c>
      <c r="D5123" s="8" t="s">
        <v>10285</v>
      </c>
    </row>
    <row r="5124" spans="1:4" ht="14.25">
      <c r="A5124" s="5" t="s">
        <v>2</v>
      </c>
      <c r="B5124" s="6" t="s">
        <v>10286</v>
      </c>
      <c r="C5124" s="7">
        <v>27989</v>
      </c>
      <c r="D5124" s="8" t="s">
        <v>10287</v>
      </c>
    </row>
    <row r="5125" spans="1:4" ht="14.25">
      <c r="A5125" s="5">
        <v>17</v>
      </c>
      <c r="B5125" s="6" t="s">
        <v>10288</v>
      </c>
      <c r="C5125" s="7">
        <v>27989</v>
      </c>
      <c r="D5125" s="8" t="s">
        <v>10289</v>
      </c>
    </row>
    <row r="5126" spans="1:4" ht="14.25">
      <c r="A5126" s="5">
        <v>17</v>
      </c>
      <c r="B5126" s="6" t="s">
        <v>10290</v>
      </c>
      <c r="C5126" s="7">
        <v>27989</v>
      </c>
      <c r="D5126" s="8" t="s">
        <v>10291</v>
      </c>
    </row>
    <row r="5127" spans="1:4" ht="14.25">
      <c r="A5127" s="5">
        <v>17</v>
      </c>
      <c r="B5127" s="6" t="s">
        <v>10292</v>
      </c>
      <c r="C5127" s="7">
        <v>27989</v>
      </c>
      <c r="D5127" s="8" t="s">
        <v>10293</v>
      </c>
    </row>
    <row r="5128" spans="1:4" ht="14.25">
      <c r="A5128" s="5">
        <v>17</v>
      </c>
      <c r="B5128" s="6" t="s">
        <v>10294</v>
      </c>
      <c r="C5128" s="7">
        <v>27989</v>
      </c>
      <c r="D5128" s="8" t="s">
        <v>10295</v>
      </c>
    </row>
    <row r="5129" spans="1:4" ht="14.25">
      <c r="A5129" s="5">
        <v>17</v>
      </c>
      <c r="B5129" s="6" t="s">
        <v>10296</v>
      </c>
      <c r="C5129" s="7">
        <v>27989</v>
      </c>
      <c r="D5129" s="8" t="s">
        <v>10297</v>
      </c>
    </row>
    <row r="5130" spans="1:4" ht="14.25">
      <c r="A5130" s="5">
        <v>17</v>
      </c>
      <c r="B5130" s="6" t="s">
        <v>10298</v>
      </c>
      <c r="C5130" s="7">
        <v>27989</v>
      </c>
      <c r="D5130" s="8" t="s">
        <v>10299</v>
      </c>
    </row>
    <row r="5131" spans="1:4" ht="14.25">
      <c r="A5131" s="5">
        <v>17</v>
      </c>
      <c r="B5131" s="6" t="s">
        <v>10300</v>
      </c>
      <c r="C5131" s="7">
        <v>27989</v>
      </c>
      <c r="D5131" s="8" t="s">
        <v>10301</v>
      </c>
    </row>
    <row r="5132" spans="1:4" ht="14.25">
      <c r="A5132" s="5" t="s">
        <v>197</v>
      </c>
      <c r="B5132" s="6" t="s">
        <v>10302</v>
      </c>
      <c r="C5132" s="7">
        <v>27990</v>
      </c>
      <c r="D5132" s="8" t="s">
        <v>10303</v>
      </c>
    </row>
    <row r="5133" spans="1:4" ht="14.25">
      <c r="A5133" s="5">
        <v>18</v>
      </c>
      <c r="B5133" s="6" t="s">
        <v>10304</v>
      </c>
      <c r="C5133" s="7">
        <v>27990</v>
      </c>
      <c r="D5133" s="8" t="s">
        <v>10305</v>
      </c>
    </row>
    <row r="5134" spans="1:4" ht="14.25">
      <c r="A5134" s="5">
        <v>18</v>
      </c>
      <c r="B5134" s="6" t="s">
        <v>10306</v>
      </c>
      <c r="C5134" s="7">
        <v>27990</v>
      </c>
      <c r="D5134" s="8" t="s">
        <v>10307</v>
      </c>
    </row>
    <row r="5135" spans="1:4" ht="14.25">
      <c r="A5135" s="5" t="s">
        <v>197</v>
      </c>
      <c r="B5135" s="6" t="s">
        <v>10308</v>
      </c>
      <c r="C5135" s="7">
        <v>27991</v>
      </c>
      <c r="D5135" s="8" t="s">
        <v>10309</v>
      </c>
    </row>
    <row r="5136" spans="1:4" ht="14.25">
      <c r="A5136" s="5">
        <v>19</v>
      </c>
      <c r="B5136" s="6" t="s">
        <v>10310</v>
      </c>
      <c r="C5136" s="7">
        <v>27991</v>
      </c>
      <c r="D5136" s="8" t="s">
        <v>10311</v>
      </c>
    </row>
    <row r="5137" spans="1:4" ht="14.25">
      <c r="A5137" s="5">
        <v>19</v>
      </c>
      <c r="B5137" s="6" t="s">
        <v>10312</v>
      </c>
      <c r="C5137" s="7">
        <v>27991</v>
      </c>
      <c r="D5137" s="8" t="s">
        <v>10313</v>
      </c>
    </row>
    <row r="5138" spans="1:4" ht="14.25">
      <c r="A5138" s="5">
        <v>19</v>
      </c>
      <c r="B5138" s="6" t="s">
        <v>10314</v>
      </c>
      <c r="C5138" s="7">
        <v>27991</v>
      </c>
      <c r="D5138" s="8" t="s">
        <v>10315</v>
      </c>
    </row>
    <row r="5139" spans="1:4" ht="14.25">
      <c r="A5139" s="5">
        <v>19</v>
      </c>
      <c r="B5139" s="6" t="s">
        <v>10316</v>
      </c>
      <c r="C5139" s="7">
        <v>27991</v>
      </c>
      <c r="D5139" s="8" t="s">
        <v>10317</v>
      </c>
    </row>
    <row r="5140" spans="1:4" ht="14.25">
      <c r="A5140" s="5">
        <v>20</v>
      </c>
      <c r="B5140" s="6" t="s">
        <v>10318</v>
      </c>
      <c r="C5140" s="7">
        <v>27992</v>
      </c>
      <c r="D5140" s="8" t="s">
        <v>10319</v>
      </c>
    </row>
    <row r="5141" spans="1:4" ht="14.25">
      <c r="A5141" s="5">
        <v>21</v>
      </c>
      <c r="B5141" s="6" t="s">
        <v>10320</v>
      </c>
      <c r="C5141" s="7">
        <v>27993</v>
      </c>
      <c r="D5141" s="8" t="s">
        <v>10321</v>
      </c>
    </row>
    <row r="5142" spans="1:4" ht="14.25">
      <c r="A5142" s="5">
        <v>21</v>
      </c>
      <c r="B5142" s="6" t="s">
        <v>10322</v>
      </c>
      <c r="C5142" s="7">
        <v>27993</v>
      </c>
      <c r="D5142" s="8" t="s">
        <v>10323</v>
      </c>
    </row>
    <row r="5143" spans="1:4" ht="14.25">
      <c r="A5143" s="5" t="s">
        <v>184</v>
      </c>
      <c r="B5143" s="6" t="s">
        <v>10324</v>
      </c>
      <c r="C5143" s="7">
        <v>27994</v>
      </c>
      <c r="D5143" s="8" t="s">
        <v>10325</v>
      </c>
    </row>
    <row r="5144" spans="1:4" ht="14.25">
      <c r="A5144" s="5" t="s">
        <v>463</v>
      </c>
      <c r="B5144" s="6" t="s">
        <v>10326</v>
      </c>
      <c r="C5144" s="7">
        <v>27994</v>
      </c>
      <c r="D5144" s="8" t="s">
        <v>10327</v>
      </c>
    </row>
    <row r="5145" spans="1:4" ht="14.25">
      <c r="A5145" s="5" t="s">
        <v>463</v>
      </c>
      <c r="B5145" s="6" t="s">
        <v>10328</v>
      </c>
      <c r="C5145" s="7">
        <v>27994</v>
      </c>
      <c r="D5145" s="8" t="s">
        <v>10329</v>
      </c>
    </row>
    <row r="5146" spans="1:4" ht="14.25">
      <c r="A5146" s="5" t="s">
        <v>463</v>
      </c>
      <c r="B5146" s="6" t="s">
        <v>10330</v>
      </c>
      <c r="C5146" s="7">
        <v>27994</v>
      </c>
      <c r="D5146" s="8" t="s">
        <v>10331</v>
      </c>
    </row>
    <row r="5147" spans="1:4" ht="14.25">
      <c r="A5147" s="5">
        <v>22</v>
      </c>
      <c r="B5147" s="6" t="s">
        <v>10332</v>
      </c>
      <c r="C5147" s="7">
        <v>27994</v>
      </c>
      <c r="D5147" s="8" t="s">
        <v>10333</v>
      </c>
    </row>
    <row r="5148" spans="1:4" ht="14.25">
      <c r="A5148" s="5">
        <v>22</v>
      </c>
      <c r="B5148" s="6" t="s">
        <v>10334</v>
      </c>
      <c r="C5148" s="7">
        <v>27994</v>
      </c>
      <c r="D5148" s="8" t="s">
        <v>10335</v>
      </c>
    </row>
    <row r="5149" spans="1:4" ht="14.25">
      <c r="A5149" s="5">
        <v>22</v>
      </c>
      <c r="B5149" s="6" t="s">
        <v>10336</v>
      </c>
      <c r="C5149" s="7">
        <v>27994</v>
      </c>
      <c r="D5149" s="8" t="s">
        <v>10337</v>
      </c>
    </row>
    <row r="5150" spans="1:4" ht="14.25">
      <c r="A5150" s="5">
        <v>22</v>
      </c>
      <c r="B5150" s="6" t="s">
        <v>10338</v>
      </c>
      <c r="C5150" s="7">
        <v>27994</v>
      </c>
      <c r="D5150" s="8" t="s">
        <v>10339</v>
      </c>
    </row>
    <row r="5151" spans="1:4" ht="14.25">
      <c r="A5151" s="5">
        <v>22</v>
      </c>
      <c r="B5151" s="6" t="s">
        <v>10340</v>
      </c>
      <c r="C5151" s="7">
        <v>27994</v>
      </c>
      <c r="D5151" s="8" t="s">
        <v>10341</v>
      </c>
    </row>
    <row r="5152" spans="1:4" ht="14.25">
      <c r="A5152" s="5">
        <v>22</v>
      </c>
      <c r="B5152" s="6" t="s">
        <v>10342</v>
      </c>
      <c r="C5152" s="7">
        <v>27994</v>
      </c>
      <c r="D5152" s="8" t="s">
        <v>10343</v>
      </c>
    </row>
    <row r="5153" spans="1:4" ht="14.25">
      <c r="A5153" s="5">
        <v>22</v>
      </c>
      <c r="B5153" s="6" t="s">
        <v>10344</v>
      </c>
      <c r="C5153" s="7">
        <v>27994</v>
      </c>
      <c r="D5153" s="8" t="s">
        <v>10345</v>
      </c>
    </row>
    <row r="5154" spans="1:4" ht="14.25">
      <c r="A5154" s="5">
        <v>22</v>
      </c>
      <c r="B5154" s="6" t="s">
        <v>10346</v>
      </c>
      <c r="C5154" s="7">
        <v>27994</v>
      </c>
      <c r="D5154" s="8" t="s">
        <v>10347</v>
      </c>
    </row>
    <row r="5155" spans="1:4" ht="14.25">
      <c r="A5155" s="5">
        <v>22</v>
      </c>
      <c r="B5155" s="6" t="s">
        <v>10348</v>
      </c>
      <c r="C5155" s="7">
        <v>27994</v>
      </c>
      <c r="D5155" s="8" t="s">
        <v>10349</v>
      </c>
    </row>
    <row r="5156" spans="1:4" ht="14.25">
      <c r="A5156" s="5">
        <v>23</v>
      </c>
      <c r="B5156" s="6" t="s">
        <v>10350</v>
      </c>
      <c r="C5156" s="7">
        <v>27995</v>
      </c>
      <c r="D5156" s="8" t="s">
        <v>10351</v>
      </c>
    </row>
    <row r="5157" spans="1:4" ht="14.25">
      <c r="A5157" s="5" t="s">
        <v>463</v>
      </c>
      <c r="B5157" s="6" t="s">
        <v>10352</v>
      </c>
      <c r="C5157" s="7">
        <v>27996</v>
      </c>
      <c r="D5157" s="8" t="s">
        <v>10353</v>
      </c>
    </row>
    <row r="5158" spans="1:4" ht="14.25">
      <c r="A5158" s="5">
        <v>24</v>
      </c>
      <c r="B5158" s="6" t="s">
        <v>10354</v>
      </c>
      <c r="C5158" s="7">
        <v>27996</v>
      </c>
      <c r="D5158" s="8" t="s">
        <v>10355</v>
      </c>
    </row>
    <row r="5159" spans="1:4" ht="14.25">
      <c r="A5159" s="5">
        <v>24</v>
      </c>
      <c r="B5159" s="6" t="s">
        <v>10356</v>
      </c>
      <c r="C5159" s="7">
        <v>27996</v>
      </c>
      <c r="D5159" s="8" t="s">
        <v>10357</v>
      </c>
    </row>
    <row r="5160" spans="1:4" ht="14.25">
      <c r="A5160" s="5">
        <v>24</v>
      </c>
      <c r="B5160" s="6" t="s">
        <v>10358</v>
      </c>
      <c r="C5160" s="7">
        <v>27996</v>
      </c>
      <c r="D5160" s="8" t="s">
        <v>10359</v>
      </c>
    </row>
    <row r="5161" spans="1:4" ht="14.25">
      <c r="A5161" s="5">
        <v>24</v>
      </c>
      <c r="B5161" s="6" t="s">
        <v>10360</v>
      </c>
      <c r="C5161" s="7">
        <v>27996</v>
      </c>
      <c r="D5161" s="8" t="s">
        <v>10361</v>
      </c>
    </row>
    <row r="5162" spans="1:4" ht="14.25">
      <c r="A5162" s="5">
        <v>24</v>
      </c>
      <c r="B5162" s="6" t="s">
        <v>10362</v>
      </c>
      <c r="C5162" s="7">
        <v>27996</v>
      </c>
      <c r="D5162" s="8" t="s">
        <v>10363</v>
      </c>
    </row>
    <row r="5163" spans="1:4" ht="14.25">
      <c r="A5163" s="5" t="s">
        <v>463</v>
      </c>
      <c r="B5163" s="6" t="s">
        <v>10364</v>
      </c>
      <c r="C5163" s="7">
        <v>27997</v>
      </c>
      <c r="D5163" s="8" t="s">
        <v>10365</v>
      </c>
    </row>
    <row r="5164" spans="1:4" ht="14.25">
      <c r="A5164" s="5">
        <v>25</v>
      </c>
      <c r="B5164" s="6" t="s">
        <v>10366</v>
      </c>
      <c r="C5164" s="7">
        <v>27997</v>
      </c>
      <c r="D5164" s="8" t="s">
        <v>10367</v>
      </c>
    </row>
    <row r="5165" spans="1:4" ht="14.25">
      <c r="A5165" s="5">
        <v>25</v>
      </c>
      <c r="B5165" s="6" t="s">
        <v>10368</v>
      </c>
      <c r="C5165" s="7">
        <v>27997</v>
      </c>
      <c r="D5165" s="8" t="s">
        <v>10369</v>
      </c>
    </row>
    <row r="5166" spans="1:4" ht="14.25">
      <c r="A5166" s="5">
        <v>25</v>
      </c>
      <c r="B5166" s="6" t="s">
        <v>10370</v>
      </c>
      <c r="C5166" s="7">
        <v>27997</v>
      </c>
      <c r="D5166" s="8" t="s">
        <v>10371</v>
      </c>
    </row>
    <row r="5167" spans="1:4" ht="14.25">
      <c r="A5167" s="5">
        <v>27</v>
      </c>
      <c r="B5167" s="6" t="s">
        <v>10372</v>
      </c>
      <c r="C5167" s="7">
        <v>27999</v>
      </c>
      <c r="D5167" s="8" t="s">
        <v>10373</v>
      </c>
    </row>
    <row r="5168" spans="1:4" ht="14.25">
      <c r="A5168" s="5">
        <v>29</v>
      </c>
      <c r="B5168" s="6" t="s">
        <v>10374</v>
      </c>
      <c r="C5168" s="7">
        <v>28001</v>
      </c>
      <c r="D5168" s="8" t="s">
        <v>10375</v>
      </c>
    </row>
    <row r="5169" spans="1:4" ht="14.25">
      <c r="A5169" s="5">
        <v>29</v>
      </c>
      <c r="B5169" s="6" t="s">
        <v>10376</v>
      </c>
      <c r="C5169" s="7">
        <v>28001</v>
      </c>
      <c r="D5169" s="8" t="s">
        <v>10377</v>
      </c>
    </row>
    <row r="5170" spans="1:4" ht="14.25">
      <c r="A5170" s="5">
        <v>30</v>
      </c>
      <c r="B5170" s="6" t="s">
        <v>10378</v>
      </c>
      <c r="C5170" s="7">
        <v>28002</v>
      </c>
      <c r="D5170" s="8" t="s">
        <v>10379</v>
      </c>
    </row>
    <row r="5171" spans="1:4" ht="14.25">
      <c r="A5171" s="5">
        <v>31</v>
      </c>
      <c r="B5171" s="6" t="s">
        <v>10380</v>
      </c>
      <c r="C5171" s="7">
        <v>28003</v>
      </c>
      <c r="D5171" s="8" t="s">
        <v>10381</v>
      </c>
    </row>
    <row r="5172" spans="1:4" ht="14.25">
      <c r="A5172" s="5">
        <v>31</v>
      </c>
      <c r="B5172" s="6" t="s">
        <v>10382</v>
      </c>
      <c r="C5172" s="7">
        <v>28003</v>
      </c>
      <c r="D5172" s="8" t="s">
        <v>10383</v>
      </c>
    </row>
    <row r="5173" spans="1:4" ht="14.25">
      <c r="A5173" s="5">
        <v>31</v>
      </c>
      <c r="B5173" s="6" t="s">
        <v>10384</v>
      </c>
      <c r="C5173" s="7">
        <v>28003</v>
      </c>
      <c r="D5173" s="8" t="s">
        <v>10385</v>
      </c>
    </row>
    <row r="5174" spans="1:4" ht="14.25">
      <c r="A5174" s="5">
        <v>1</v>
      </c>
      <c r="B5174" s="6" t="s">
        <v>10386</v>
      </c>
      <c r="C5174" s="7">
        <v>28004</v>
      </c>
      <c r="D5174" s="8" t="s">
        <v>10387</v>
      </c>
    </row>
    <row r="5175" spans="1:4" ht="14.25">
      <c r="A5175" s="5">
        <v>2</v>
      </c>
      <c r="B5175" s="6" t="s">
        <v>10388</v>
      </c>
      <c r="C5175" s="7">
        <v>28005</v>
      </c>
      <c r="D5175" s="8" t="s">
        <v>10389</v>
      </c>
    </row>
    <row r="5176" spans="1:4" ht="14.25">
      <c r="A5176" s="5" t="s">
        <v>863</v>
      </c>
      <c r="B5176" s="6" t="s">
        <v>10390</v>
      </c>
      <c r="C5176" s="7">
        <v>28006</v>
      </c>
      <c r="D5176" s="8" t="s">
        <v>10391</v>
      </c>
    </row>
    <row r="5177" spans="1:4" ht="14.25">
      <c r="A5177" s="5">
        <v>3</v>
      </c>
      <c r="B5177" s="6" t="s">
        <v>10392</v>
      </c>
      <c r="C5177" s="7">
        <v>28006</v>
      </c>
      <c r="D5177" s="8" t="s">
        <v>10393</v>
      </c>
    </row>
    <row r="5178" spans="1:4" ht="14.25">
      <c r="A5178" s="5">
        <v>3</v>
      </c>
      <c r="B5178" s="6" t="s">
        <v>10394</v>
      </c>
      <c r="C5178" s="7">
        <v>28006</v>
      </c>
      <c r="D5178" s="8" t="s">
        <v>10395</v>
      </c>
    </row>
    <row r="5179" spans="1:4" ht="14.25">
      <c r="A5179" s="5">
        <v>3</v>
      </c>
      <c r="B5179" s="6" t="s">
        <v>10396</v>
      </c>
      <c r="C5179" s="7">
        <v>28006</v>
      </c>
      <c r="D5179" s="8" t="s">
        <v>10397</v>
      </c>
    </row>
    <row r="5180" spans="1:4" ht="14.25">
      <c r="A5180" s="5">
        <v>3</v>
      </c>
      <c r="B5180" s="6" t="s">
        <v>10398</v>
      </c>
      <c r="C5180" s="7">
        <v>28006</v>
      </c>
      <c r="D5180" s="8" t="s">
        <v>10399</v>
      </c>
    </row>
    <row r="5181" spans="1:4" ht="14.25">
      <c r="A5181" s="5" t="s">
        <v>463</v>
      </c>
      <c r="B5181" s="6" t="s">
        <v>10400</v>
      </c>
      <c r="C5181" s="7">
        <v>28007</v>
      </c>
      <c r="D5181" s="8" t="s">
        <v>10401</v>
      </c>
    </row>
    <row r="5182" spans="1:4" ht="14.25">
      <c r="A5182" s="5" t="s">
        <v>42</v>
      </c>
      <c r="B5182" s="6" t="s">
        <v>10402</v>
      </c>
      <c r="C5182" s="7">
        <v>28007</v>
      </c>
      <c r="D5182" s="8" t="s">
        <v>10403</v>
      </c>
    </row>
    <row r="5183" spans="1:4" ht="14.25">
      <c r="A5183" s="5">
        <v>4</v>
      </c>
      <c r="B5183" s="6" t="s">
        <v>10404</v>
      </c>
      <c r="C5183" s="7">
        <v>28007</v>
      </c>
      <c r="D5183" s="8" t="s">
        <v>10405</v>
      </c>
    </row>
    <row r="5184" spans="1:4" ht="14.25">
      <c r="A5184" s="5">
        <v>4</v>
      </c>
      <c r="B5184" s="6" t="s">
        <v>10406</v>
      </c>
      <c r="C5184" s="7">
        <v>28007</v>
      </c>
      <c r="D5184" s="8" t="s">
        <v>10407</v>
      </c>
    </row>
    <row r="5185" spans="1:4" ht="14.25">
      <c r="A5185" s="5">
        <v>4</v>
      </c>
      <c r="B5185" s="6" t="s">
        <v>10408</v>
      </c>
      <c r="C5185" s="7">
        <v>28007</v>
      </c>
      <c r="D5185" s="8" t="s">
        <v>10409</v>
      </c>
    </row>
    <row r="5186" spans="1:4" ht="14.25">
      <c r="A5186" s="5">
        <v>4</v>
      </c>
      <c r="B5186" s="6" t="s">
        <v>10410</v>
      </c>
      <c r="C5186" s="7">
        <v>28007</v>
      </c>
      <c r="D5186" s="8" t="s">
        <v>10411</v>
      </c>
    </row>
    <row r="5187" spans="1:4" ht="14.25">
      <c r="A5187" s="5" t="s">
        <v>42</v>
      </c>
      <c r="B5187" s="6" t="s">
        <v>10412</v>
      </c>
      <c r="C5187" s="7">
        <v>28008</v>
      </c>
      <c r="D5187" s="8" t="s">
        <v>10413</v>
      </c>
    </row>
    <row r="5188" spans="1:4" ht="14.25">
      <c r="A5188" s="5">
        <v>5</v>
      </c>
      <c r="B5188" s="6" t="s">
        <v>10414</v>
      </c>
      <c r="C5188" s="7">
        <v>28008</v>
      </c>
      <c r="D5188" s="8" t="s">
        <v>10415</v>
      </c>
    </row>
    <row r="5189" spans="1:4" ht="14.25">
      <c r="A5189" s="5">
        <v>5</v>
      </c>
      <c r="B5189" s="6" t="s">
        <v>10416</v>
      </c>
      <c r="C5189" s="7">
        <v>28008</v>
      </c>
      <c r="D5189" s="8" t="s">
        <v>10417</v>
      </c>
    </row>
    <row r="5190" spans="1:4" ht="14.25">
      <c r="A5190" s="5">
        <v>5</v>
      </c>
      <c r="B5190" s="6" t="s">
        <v>10418</v>
      </c>
      <c r="C5190" s="7">
        <v>28008</v>
      </c>
      <c r="D5190" s="8" t="s">
        <v>10419</v>
      </c>
    </row>
    <row r="5191" spans="1:4" ht="14.25">
      <c r="A5191" s="5" t="s">
        <v>42</v>
      </c>
      <c r="B5191" s="6" t="s">
        <v>10420</v>
      </c>
      <c r="C5191" s="7">
        <v>28009</v>
      </c>
      <c r="D5191" s="8" t="s">
        <v>10421</v>
      </c>
    </row>
    <row r="5192" spans="1:4" ht="14.25">
      <c r="A5192" s="5">
        <v>6</v>
      </c>
      <c r="B5192" s="6" t="s">
        <v>10422</v>
      </c>
      <c r="C5192" s="7">
        <v>28009</v>
      </c>
      <c r="D5192" s="8" t="s">
        <v>10423</v>
      </c>
    </row>
    <row r="5193" spans="1:4" ht="14.25">
      <c r="A5193" s="5">
        <v>6</v>
      </c>
      <c r="B5193" s="6" t="s">
        <v>10424</v>
      </c>
      <c r="C5193" s="7">
        <v>28009</v>
      </c>
      <c r="D5193" s="8" t="s">
        <v>10425</v>
      </c>
    </row>
    <row r="5194" spans="1:4" ht="14.25">
      <c r="A5194" s="5">
        <v>6</v>
      </c>
      <c r="B5194" s="6" t="s">
        <v>10426</v>
      </c>
      <c r="C5194" s="7">
        <v>28009</v>
      </c>
      <c r="D5194" s="8" t="s">
        <v>10427</v>
      </c>
    </row>
    <row r="5195" spans="1:4" ht="14.25">
      <c r="A5195" s="5">
        <v>6</v>
      </c>
      <c r="B5195" s="6" t="s">
        <v>10428</v>
      </c>
      <c r="C5195" s="7">
        <v>28009</v>
      </c>
      <c r="D5195" s="8" t="s">
        <v>10429</v>
      </c>
    </row>
    <row r="5196" spans="1:4" ht="14.25">
      <c r="A5196" s="5" t="s">
        <v>463</v>
      </c>
      <c r="B5196" s="6" t="s">
        <v>10430</v>
      </c>
      <c r="C5196" s="7">
        <v>28010</v>
      </c>
      <c r="D5196" s="8" t="s">
        <v>10431</v>
      </c>
    </row>
    <row r="5197" spans="1:4" ht="14.25">
      <c r="A5197" s="5" t="s">
        <v>42</v>
      </c>
      <c r="B5197" s="6" t="s">
        <v>10432</v>
      </c>
      <c r="C5197" s="7">
        <v>28010</v>
      </c>
      <c r="D5197" s="8" t="s">
        <v>10433</v>
      </c>
    </row>
    <row r="5198" spans="1:4" ht="14.25">
      <c r="A5198" s="5">
        <v>7</v>
      </c>
      <c r="B5198" s="6" t="s">
        <v>10434</v>
      </c>
      <c r="C5198" s="7">
        <v>28010</v>
      </c>
      <c r="D5198" s="8" t="s">
        <v>10435</v>
      </c>
    </row>
    <row r="5199" spans="1:4" ht="14.25">
      <c r="A5199" s="5">
        <v>7</v>
      </c>
      <c r="B5199" s="6" t="s">
        <v>10436</v>
      </c>
      <c r="C5199" s="7">
        <v>28010</v>
      </c>
      <c r="D5199" s="8" t="s">
        <v>10437</v>
      </c>
    </row>
    <row r="5200" spans="1:4" ht="14.25">
      <c r="A5200" s="5">
        <v>7</v>
      </c>
      <c r="B5200" s="6" t="s">
        <v>10438</v>
      </c>
      <c r="C5200" s="7">
        <v>28010</v>
      </c>
      <c r="D5200" s="8" t="s">
        <v>10439</v>
      </c>
    </row>
    <row r="5201" spans="1:4" ht="14.25">
      <c r="A5201" s="5">
        <v>7</v>
      </c>
      <c r="B5201" s="6" t="s">
        <v>10440</v>
      </c>
      <c r="C5201" s="7">
        <v>28010</v>
      </c>
      <c r="D5201" s="8" t="s">
        <v>10441</v>
      </c>
    </row>
    <row r="5202" spans="1:4" ht="14.25">
      <c r="A5202" s="5">
        <v>7</v>
      </c>
      <c r="B5202" s="6" t="s">
        <v>10442</v>
      </c>
      <c r="C5202" s="7">
        <v>28010</v>
      </c>
      <c r="D5202" s="8" t="s">
        <v>10443</v>
      </c>
    </row>
    <row r="5203" spans="1:4" ht="14.25">
      <c r="A5203" s="5">
        <v>7</v>
      </c>
      <c r="B5203" s="6" t="s">
        <v>10444</v>
      </c>
      <c r="C5203" s="7">
        <v>28010</v>
      </c>
      <c r="D5203" s="8" t="s">
        <v>10445</v>
      </c>
    </row>
    <row r="5204" spans="1:4" ht="14.25">
      <c r="A5204" s="5">
        <v>8</v>
      </c>
      <c r="B5204" s="6" t="s">
        <v>10446</v>
      </c>
      <c r="C5204" s="7">
        <v>28011</v>
      </c>
      <c r="D5204" s="8" t="s">
        <v>10447</v>
      </c>
    </row>
    <row r="5205" spans="1:4" ht="14.25">
      <c r="A5205" s="5" t="s">
        <v>463</v>
      </c>
      <c r="B5205" s="6" t="s">
        <v>10448</v>
      </c>
      <c r="C5205" s="7">
        <v>28012</v>
      </c>
      <c r="D5205" s="8" t="s">
        <v>10449</v>
      </c>
    </row>
    <row r="5206" spans="1:4" ht="14.25">
      <c r="A5206" s="5" t="s">
        <v>463</v>
      </c>
      <c r="B5206" s="6" t="s">
        <v>10450</v>
      </c>
      <c r="C5206" s="7">
        <v>28012</v>
      </c>
      <c r="D5206" s="8" t="s">
        <v>10451</v>
      </c>
    </row>
    <row r="5207" spans="1:4" ht="14.25">
      <c r="A5207" s="5" t="s">
        <v>42</v>
      </c>
      <c r="B5207" s="6" t="s">
        <v>10452</v>
      </c>
      <c r="C5207" s="7">
        <v>28012</v>
      </c>
      <c r="D5207" s="8" t="s">
        <v>10453</v>
      </c>
    </row>
    <row r="5208" spans="1:4" ht="14.25">
      <c r="A5208" s="5">
        <v>9</v>
      </c>
      <c r="B5208" s="6" t="s">
        <v>10454</v>
      </c>
      <c r="C5208" s="7">
        <v>28012</v>
      </c>
      <c r="D5208" s="8" t="s">
        <v>10455</v>
      </c>
    </row>
    <row r="5209" spans="1:4" ht="14.25">
      <c r="A5209" s="5">
        <v>9</v>
      </c>
      <c r="B5209" s="6" t="s">
        <v>10456</v>
      </c>
      <c r="C5209" s="7">
        <v>28012</v>
      </c>
      <c r="D5209" s="8" t="s">
        <v>10457</v>
      </c>
    </row>
    <row r="5210" spans="1:4" ht="14.25">
      <c r="A5210" s="5">
        <v>9</v>
      </c>
      <c r="B5210" s="6" t="s">
        <v>10458</v>
      </c>
      <c r="C5210" s="7">
        <v>28012</v>
      </c>
      <c r="D5210" s="8" t="s">
        <v>10459</v>
      </c>
    </row>
    <row r="5211" spans="1:4" ht="14.25">
      <c r="A5211" s="5">
        <v>9</v>
      </c>
      <c r="B5211" s="6" t="s">
        <v>10460</v>
      </c>
      <c r="C5211" s="7">
        <v>28012</v>
      </c>
      <c r="D5211" s="8" t="s">
        <v>10461</v>
      </c>
    </row>
    <row r="5212" spans="1:4" ht="14.25">
      <c r="A5212" s="5">
        <v>9</v>
      </c>
      <c r="B5212" s="6" t="s">
        <v>10462</v>
      </c>
      <c r="C5212" s="7">
        <v>28012</v>
      </c>
      <c r="D5212" s="8" t="s">
        <v>10463</v>
      </c>
    </row>
    <row r="5213" spans="1:4" ht="14.25">
      <c r="A5213" s="5">
        <v>9</v>
      </c>
      <c r="B5213" s="6" t="s">
        <v>10464</v>
      </c>
      <c r="C5213" s="7">
        <v>28012</v>
      </c>
      <c r="D5213" s="8" t="s">
        <v>10465</v>
      </c>
    </row>
    <row r="5214" spans="1:4" ht="14.25">
      <c r="A5214" s="5" t="s">
        <v>42</v>
      </c>
      <c r="B5214" s="6" t="s">
        <v>10466</v>
      </c>
      <c r="C5214" s="7">
        <v>28013</v>
      </c>
      <c r="D5214" s="8" t="s">
        <v>10467</v>
      </c>
    </row>
    <row r="5215" spans="1:4" ht="14.25">
      <c r="A5215" s="5">
        <v>10</v>
      </c>
      <c r="B5215" s="6" t="s">
        <v>10468</v>
      </c>
      <c r="C5215" s="7">
        <v>28013</v>
      </c>
      <c r="D5215" s="8" t="s">
        <v>10469</v>
      </c>
    </row>
    <row r="5216" spans="1:4" ht="14.25">
      <c r="A5216" s="5">
        <v>10</v>
      </c>
      <c r="B5216" s="6" t="s">
        <v>10470</v>
      </c>
      <c r="C5216" s="7">
        <v>28013</v>
      </c>
      <c r="D5216" s="8" t="s">
        <v>10471</v>
      </c>
    </row>
    <row r="5217" spans="1:4" ht="14.25">
      <c r="A5217" s="5" t="s">
        <v>42</v>
      </c>
      <c r="B5217" s="6" t="s">
        <v>10472</v>
      </c>
      <c r="C5217" s="7">
        <v>28014</v>
      </c>
      <c r="D5217" s="8" t="s">
        <v>10473</v>
      </c>
    </row>
    <row r="5218" spans="1:4" ht="14.25">
      <c r="A5218" s="5">
        <v>11</v>
      </c>
      <c r="B5218" s="6" t="s">
        <v>10474</v>
      </c>
      <c r="C5218" s="7">
        <v>28014</v>
      </c>
      <c r="D5218" s="8" t="s">
        <v>10475</v>
      </c>
    </row>
    <row r="5219" spans="1:4" ht="14.25">
      <c r="A5219" s="5">
        <v>11</v>
      </c>
      <c r="B5219" s="6" t="s">
        <v>10476</v>
      </c>
      <c r="C5219" s="7">
        <v>28014</v>
      </c>
      <c r="D5219" s="8" t="s">
        <v>10477</v>
      </c>
    </row>
    <row r="5220" spans="1:4" ht="14.25">
      <c r="A5220" s="5">
        <v>11</v>
      </c>
      <c r="B5220" s="6" t="s">
        <v>10478</v>
      </c>
      <c r="C5220" s="7">
        <v>28014</v>
      </c>
      <c r="D5220" s="8" t="s">
        <v>10479</v>
      </c>
    </row>
    <row r="5221" spans="1:4" ht="14.25">
      <c r="A5221" s="5">
        <v>11</v>
      </c>
      <c r="B5221" s="6" t="s">
        <v>10480</v>
      </c>
      <c r="C5221" s="7">
        <v>28014</v>
      </c>
      <c r="D5221" s="8" t="s">
        <v>10481</v>
      </c>
    </row>
    <row r="5222" spans="1:4" ht="14.25">
      <c r="A5222" s="5" t="s">
        <v>42</v>
      </c>
      <c r="B5222" s="6" t="s">
        <v>10482</v>
      </c>
      <c r="C5222" s="7">
        <v>28015</v>
      </c>
      <c r="D5222" s="8" t="s">
        <v>10483</v>
      </c>
    </row>
    <row r="5223" spans="1:4" ht="14.25">
      <c r="A5223" s="5">
        <v>12</v>
      </c>
      <c r="B5223" s="6" t="s">
        <v>10484</v>
      </c>
      <c r="C5223" s="7">
        <v>28015</v>
      </c>
      <c r="D5223" s="8" t="s">
        <v>10485</v>
      </c>
    </row>
    <row r="5224" spans="1:4" ht="14.25">
      <c r="A5224" s="5">
        <v>12</v>
      </c>
      <c r="B5224" s="6" t="s">
        <v>10486</v>
      </c>
      <c r="C5224" s="7">
        <v>28015</v>
      </c>
      <c r="D5224" s="8" t="s">
        <v>10487</v>
      </c>
    </row>
    <row r="5225" spans="1:4" ht="14.25">
      <c r="A5225" s="5">
        <v>12</v>
      </c>
      <c r="B5225" s="6" t="s">
        <v>10488</v>
      </c>
      <c r="C5225" s="7">
        <v>28015</v>
      </c>
      <c r="D5225" s="8" t="s">
        <v>10489</v>
      </c>
    </row>
    <row r="5226" spans="1:4" ht="14.25">
      <c r="A5226" s="5" t="s">
        <v>42</v>
      </c>
      <c r="B5226" s="6" t="s">
        <v>10490</v>
      </c>
      <c r="C5226" s="7">
        <v>28016</v>
      </c>
      <c r="D5226" s="8" t="s">
        <v>10491</v>
      </c>
    </row>
    <row r="5227" spans="1:4" ht="14.25">
      <c r="A5227" s="5">
        <v>13</v>
      </c>
      <c r="B5227" s="6" t="s">
        <v>10492</v>
      </c>
      <c r="C5227" s="7">
        <v>28016</v>
      </c>
      <c r="D5227" s="8" t="s">
        <v>10493</v>
      </c>
    </row>
    <row r="5228" spans="1:4" ht="14.25">
      <c r="A5228" s="5">
        <v>13</v>
      </c>
      <c r="B5228" s="6" t="s">
        <v>10494</v>
      </c>
      <c r="C5228" s="7">
        <v>28016</v>
      </c>
      <c r="D5228" s="8" t="s">
        <v>10495</v>
      </c>
    </row>
    <row r="5229" spans="1:4" ht="14.25">
      <c r="A5229" s="5">
        <v>13</v>
      </c>
      <c r="B5229" s="6" t="s">
        <v>10496</v>
      </c>
      <c r="C5229" s="7">
        <v>28016</v>
      </c>
      <c r="D5229" s="8" t="s">
        <v>10497</v>
      </c>
    </row>
    <row r="5230" spans="1:4" ht="14.25">
      <c r="A5230" s="5">
        <v>14</v>
      </c>
      <c r="B5230" s="6" t="s">
        <v>10498</v>
      </c>
      <c r="C5230" s="7">
        <v>28017</v>
      </c>
      <c r="D5230" s="8" t="s">
        <v>10499</v>
      </c>
    </row>
    <row r="5231" spans="1:4" ht="14.25">
      <c r="A5231" s="5" t="s">
        <v>42</v>
      </c>
      <c r="B5231" s="6" t="s">
        <v>10500</v>
      </c>
      <c r="C5231" s="7">
        <v>28018</v>
      </c>
      <c r="D5231" s="8" t="s">
        <v>10501</v>
      </c>
    </row>
    <row r="5232" spans="1:4" ht="14.25">
      <c r="A5232" s="5">
        <v>15</v>
      </c>
      <c r="B5232" s="6" t="s">
        <v>10502</v>
      </c>
      <c r="C5232" s="7">
        <v>28018</v>
      </c>
      <c r="D5232" s="8" t="s">
        <v>10503</v>
      </c>
    </row>
    <row r="5233" spans="1:4" ht="14.25">
      <c r="A5233" s="5">
        <v>15</v>
      </c>
      <c r="B5233" s="6" t="s">
        <v>10504</v>
      </c>
      <c r="C5233" s="7">
        <v>28018</v>
      </c>
      <c r="D5233" s="8" t="s">
        <v>10505</v>
      </c>
    </row>
    <row r="5234" spans="1:4" ht="14.25">
      <c r="A5234" s="5" t="s">
        <v>42</v>
      </c>
      <c r="B5234" s="6" t="s">
        <v>10506</v>
      </c>
      <c r="C5234" s="7">
        <v>28019</v>
      </c>
      <c r="D5234" s="8" t="s">
        <v>10507</v>
      </c>
    </row>
    <row r="5235" spans="1:4" ht="14.25">
      <c r="A5235" s="5">
        <v>16</v>
      </c>
      <c r="B5235" s="6" t="s">
        <v>10508</v>
      </c>
      <c r="C5235" s="7">
        <v>28019</v>
      </c>
      <c r="D5235" s="8" t="s">
        <v>10509</v>
      </c>
    </row>
    <row r="5236" spans="1:4" ht="14.25">
      <c r="A5236" s="5">
        <v>16</v>
      </c>
      <c r="B5236" s="6" t="s">
        <v>10510</v>
      </c>
      <c r="C5236" s="7">
        <v>28019</v>
      </c>
      <c r="D5236" s="8" t="s">
        <v>10511</v>
      </c>
    </row>
    <row r="5237" spans="1:4" ht="14.25">
      <c r="A5237" s="5">
        <v>16</v>
      </c>
      <c r="B5237" s="6" t="s">
        <v>10512</v>
      </c>
      <c r="C5237" s="7">
        <v>28019</v>
      </c>
      <c r="D5237" s="8" t="s">
        <v>10513</v>
      </c>
    </row>
    <row r="5238" spans="1:4" ht="14.25">
      <c r="A5238" s="5" t="s">
        <v>42</v>
      </c>
      <c r="B5238" s="6" t="s">
        <v>10514</v>
      </c>
      <c r="C5238" s="7">
        <v>28020</v>
      </c>
      <c r="D5238" s="8" t="s">
        <v>10515</v>
      </c>
    </row>
    <row r="5239" spans="1:4" ht="14.25">
      <c r="A5239" s="5" t="s">
        <v>42</v>
      </c>
      <c r="B5239" s="6" t="s">
        <v>10516</v>
      </c>
      <c r="C5239" s="7">
        <v>28020</v>
      </c>
      <c r="D5239" s="8" t="s">
        <v>10517</v>
      </c>
    </row>
    <row r="5240" spans="1:4" ht="14.25">
      <c r="A5240" s="5">
        <v>17</v>
      </c>
      <c r="B5240" s="6" t="s">
        <v>10518</v>
      </c>
      <c r="C5240" s="7">
        <v>28020</v>
      </c>
      <c r="D5240" s="8" t="s">
        <v>10519</v>
      </c>
    </row>
    <row r="5241" spans="1:4" ht="14.25">
      <c r="A5241" s="5">
        <v>17</v>
      </c>
      <c r="B5241" s="6" t="s">
        <v>10520</v>
      </c>
      <c r="C5241" s="7">
        <v>28020</v>
      </c>
      <c r="D5241" s="8" t="s">
        <v>10521</v>
      </c>
    </row>
    <row r="5242" spans="1:4" ht="14.25">
      <c r="A5242" s="5">
        <v>17</v>
      </c>
      <c r="B5242" s="6" t="s">
        <v>10522</v>
      </c>
      <c r="C5242" s="7">
        <v>28020</v>
      </c>
      <c r="D5242" s="8" t="s">
        <v>10523</v>
      </c>
    </row>
    <row r="5243" spans="1:4" ht="14.25">
      <c r="A5243" s="5" t="s">
        <v>42</v>
      </c>
      <c r="B5243" s="6" t="s">
        <v>10524</v>
      </c>
      <c r="C5243" s="7">
        <v>28021</v>
      </c>
      <c r="D5243" s="8" t="s">
        <v>10525</v>
      </c>
    </row>
    <row r="5244" spans="1:4" ht="14.25">
      <c r="A5244" s="5">
        <v>18</v>
      </c>
      <c r="B5244" s="6" t="s">
        <v>10526</v>
      </c>
      <c r="C5244" s="7">
        <v>28021</v>
      </c>
      <c r="D5244" s="8" t="s">
        <v>10527</v>
      </c>
    </row>
    <row r="5245" spans="1:4" ht="14.25">
      <c r="A5245" s="5">
        <v>18</v>
      </c>
      <c r="B5245" s="6" t="s">
        <v>10528</v>
      </c>
      <c r="C5245" s="7">
        <v>28021</v>
      </c>
      <c r="D5245" s="8" t="s">
        <v>10529</v>
      </c>
    </row>
    <row r="5246" spans="1:4" ht="14.25">
      <c r="A5246" s="5" t="s">
        <v>42</v>
      </c>
      <c r="B5246" s="6" t="s">
        <v>10530</v>
      </c>
      <c r="C5246" s="7">
        <v>28023</v>
      </c>
      <c r="D5246" s="8" t="s">
        <v>10531</v>
      </c>
    </row>
    <row r="5247" spans="1:4" ht="14.25">
      <c r="A5247" s="5">
        <v>20</v>
      </c>
      <c r="B5247" s="6" t="s">
        <v>10532</v>
      </c>
      <c r="C5247" s="7">
        <v>28023</v>
      </c>
      <c r="D5247" s="8" t="s">
        <v>10533</v>
      </c>
    </row>
    <row r="5248" spans="1:4" ht="14.25">
      <c r="A5248" s="5">
        <v>20</v>
      </c>
      <c r="B5248" s="6" t="s">
        <v>10534</v>
      </c>
      <c r="C5248" s="7">
        <v>28023</v>
      </c>
      <c r="D5248" s="8" t="s">
        <v>10535</v>
      </c>
    </row>
    <row r="5249" spans="1:4" ht="14.25">
      <c r="A5249" s="5" t="s">
        <v>42</v>
      </c>
      <c r="B5249" s="6" t="s">
        <v>10536</v>
      </c>
      <c r="C5249" s="7">
        <v>28024</v>
      </c>
      <c r="D5249" s="8" t="s">
        <v>10537</v>
      </c>
    </row>
    <row r="5250" spans="1:4" ht="14.25">
      <c r="A5250" s="5">
        <v>21</v>
      </c>
      <c r="B5250" s="6" t="s">
        <v>10538</v>
      </c>
      <c r="C5250" s="7">
        <v>28024</v>
      </c>
      <c r="D5250" s="8" t="s">
        <v>10539</v>
      </c>
    </row>
    <row r="5251" spans="1:4" ht="14.25">
      <c r="A5251" s="5">
        <v>21</v>
      </c>
      <c r="B5251" s="6" t="s">
        <v>10540</v>
      </c>
      <c r="C5251" s="7">
        <v>28024</v>
      </c>
      <c r="D5251" s="8" t="s">
        <v>10541</v>
      </c>
    </row>
    <row r="5252" spans="1:4" ht="14.25">
      <c r="A5252" s="5" t="s">
        <v>42</v>
      </c>
      <c r="B5252" s="6" t="s">
        <v>10542</v>
      </c>
      <c r="C5252" s="7">
        <v>28025</v>
      </c>
      <c r="D5252" s="8" t="s">
        <v>10543</v>
      </c>
    </row>
    <row r="5253" spans="1:4" ht="14.25">
      <c r="A5253" s="5">
        <v>22</v>
      </c>
      <c r="B5253" s="6" t="s">
        <v>10544</v>
      </c>
      <c r="C5253" s="7">
        <v>28025</v>
      </c>
      <c r="D5253" s="8" t="s">
        <v>10545</v>
      </c>
    </row>
    <row r="5254" spans="1:4" ht="14.25">
      <c r="A5254" s="5">
        <v>22</v>
      </c>
      <c r="B5254" s="6" t="s">
        <v>10546</v>
      </c>
      <c r="C5254" s="7">
        <v>28025</v>
      </c>
      <c r="D5254" s="8" t="s">
        <v>10547</v>
      </c>
    </row>
    <row r="5255" spans="1:4" ht="14.25">
      <c r="A5255" s="5" t="s">
        <v>42</v>
      </c>
      <c r="B5255" s="6" t="s">
        <v>10548</v>
      </c>
      <c r="C5255" s="7">
        <v>28026</v>
      </c>
      <c r="D5255" s="8" t="s">
        <v>10549</v>
      </c>
    </row>
    <row r="5256" spans="1:4" ht="14.25">
      <c r="A5256" s="5">
        <v>23</v>
      </c>
      <c r="B5256" s="6" t="s">
        <v>10550</v>
      </c>
      <c r="C5256" s="7">
        <v>28026</v>
      </c>
      <c r="D5256" s="8" t="s">
        <v>10551</v>
      </c>
    </row>
    <row r="5257" spans="1:4" ht="14.25">
      <c r="A5257" s="5">
        <v>23</v>
      </c>
      <c r="B5257" s="6" t="s">
        <v>10552</v>
      </c>
      <c r="C5257" s="7">
        <v>28026</v>
      </c>
      <c r="D5257" s="8" t="s">
        <v>10553</v>
      </c>
    </row>
    <row r="5258" spans="1:4" ht="14.25">
      <c r="A5258" s="5" t="s">
        <v>42</v>
      </c>
      <c r="B5258" s="6" t="s">
        <v>10554</v>
      </c>
      <c r="C5258" s="7">
        <v>28027</v>
      </c>
      <c r="D5258" s="8" t="s">
        <v>10555</v>
      </c>
    </row>
    <row r="5259" spans="1:4" ht="14.25">
      <c r="A5259" s="5">
        <v>24</v>
      </c>
      <c r="B5259" s="6" t="s">
        <v>10556</v>
      </c>
      <c r="C5259" s="7">
        <v>28027</v>
      </c>
      <c r="D5259" s="8" t="s">
        <v>10557</v>
      </c>
    </row>
    <row r="5260" spans="1:4" ht="14.25">
      <c r="A5260" s="5">
        <v>24</v>
      </c>
      <c r="B5260" s="6" t="s">
        <v>10558</v>
      </c>
      <c r="C5260" s="7">
        <v>28027</v>
      </c>
      <c r="D5260" s="8" t="s">
        <v>10559</v>
      </c>
    </row>
    <row r="5261" spans="1:4" ht="14.25">
      <c r="A5261" s="5" t="s">
        <v>42</v>
      </c>
      <c r="B5261" s="6" t="s">
        <v>10560</v>
      </c>
      <c r="C5261" s="7">
        <v>28028</v>
      </c>
      <c r="D5261" s="8" t="s">
        <v>10561</v>
      </c>
    </row>
    <row r="5262" spans="1:4" ht="14.25">
      <c r="A5262" s="5" t="s">
        <v>42</v>
      </c>
      <c r="B5262" s="6" t="s">
        <v>10562</v>
      </c>
      <c r="C5262" s="7">
        <v>28028</v>
      </c>
      <c r="D5262" s="8" t="s">
        <v>10563</v>
      </c>
    </row>
    <row r="5263" spans="1:4" ht="14.25">
      <c r="A5263" s="5">
        <v>25</v>
      </c>
      <c r="B5263" s="6" t="s">
        <v>10564</v>
      </c>
      <c r="C5263" s="7">
        <v>28028</v>
      </c>
      <c r="D5263" s="8" t="s">
        <v>10565</v>
      </c>
    </row>
    <row r="5264" spans="1:4" ht="14.25">
      <c r="A5264" s="5">
        <v>25</v>
      </c>
      <c r="B5264" s="6" t="s">
        <v>10566</v>
      </c>
      <c r="C5264" s="7">
        <v>28028</v>
      </c>
      <c r="D5264" s="8" t="s">
        <v>10567</v>
      </c>
    </row>
    <row r="5265" spans="1:4" ht="14.25">
      <c r="A5265" s="5" t="s">
        <v>42</v>
      </c>
      <c r="B5265" s="6" t="s">
        <v>10568</v>
      </c>
      <c r="C5265" s="7">
        <v>28029</v>
      </c>
      <c r="D5265" s="8" t="s">
        <v>10569</v>
      </c>
    </row>
    <row r="5266" spans="1:4" ht="14.25">
      <c r="A5266" s="5" t="s">
        <v>42</v>
      </c>
      <c r="B5266" s="6" t="s">
        <v>10570</v>
      </c>
      <c r="C5266" s="7">
        <v>28029</v>
      </c>
      <c r="D5266" s="8" t="s">
        <v>10571</v>
      </c>
    </row>
    <row r="5267" spans="1:4" ht="14.25">
      <c r="A5267" s="5">
        <v>26</v>
      </c>
      <c r="B5267" s="6" t="s">
        <v>10572</v>
      </c>
      <c r="C5267" s="7">
        <v>28029</v>
      </c>
      <c r="D5267" s="8" t="s">
        <v>10573</v>
      </c>
    </row>
    <row r="5268" spans="1:4" ht="14.25">
      <c r="A5268" s="5">
        <v>26</v>
      </c>
      <c r="B5268" s="6" t="s">
        <v>10574</v>
      </c>
      <c r="C5268" s="7">
        <v>28029</v>
      </c>
      <c r="D5268" s="8" t="s">
        <v>10575</v>
      </c>
    </row>
    <row r="5269" spans="1:4" ht="14.25">
      <c r="A5269" s="5">
        <v>26</v>
      </c>
      <c r="B5269" s="6" t="s">
        <v>10576</v>
      </c>
      <c r="C5269" s="7">
        <v>28029</v>
      </c>
      <c r="D5269" s="8" t="s">
        <v>10577</v>
      </c>
    </row>
    <row r="5270" spans="1:4" ht="14.25">
      <c r="A5270" s="5" t="s">
        <v>42</v>
      </c>
      <c r="B5270" s="6" t="s">
        <v>10578</v>
      </c>
      <c r="C5270" s="7">
        <v>28030</v>
      </c>
      <c r="D5270" s="8" t="s">
        <v>10579</v>
      </c>
    </row>
    <row r="5271" spans="1:4" ht="14.25">
      <c r="A5271" s="5">
        <v>27</v>
      </c>
      <c r="B5271" s="6" t="s">
        <v>10580</v>
      </c>
      <c r="C5271" s="7">
        <v>28030</v>
      </c>
      <c r="D5271" s="8" t="s">
        <v>10581</v>
      </c>
    </row>
    <row r="5272" spans="1:4" ht="14.25">
      <c r="A5272" s="5">
        <v>27</v>
      </c>
      <c r="B5272" s="6" t="s">
        <v>10582</v>
      </c>
      <c r="C5272" s="7">
        <v>28030</v>
      </c>
      <c r="D5272" s="8" t="s">
        <v>10583</v>
      </c>
    </row>
    <row r="5273" spans="1:4" ht="14.25">
      <c r="A5273" s="5" t="s">
        <v>42</v>
      </c>
      <c r="B5273" s="6" t="s">
        <v>10584</v>
      </c>
      <c r="C5273" s="7">
        <v>28031</v>
      </c>
      <c r="D5273" s="8" t="s">
        <v>10585</v>
      </c>
    </row>
    <row r="5274" spans="1:4" ht="14.25">
      <c r="A5274" s="5">
        <v>28</v>
      </c>
      <c r="B5274" s="6" t="s">
        <v>10586</v>
      </c>
      <c r="C5274" s="7">
        <v>28031</v>
      </c>
      <c r="D5274" s="8" t="s">
        <v>10587</v>
      </c>
    </row>
    <row r="5275" spans="1:4" ht="14.25">
      <c r="A5275" s="5">
        <v>28</v>
      </c>
      <c r="B5275" s="6" t="s">
        <v>10588</v>
      </c>
      <c r="C5275" s="7">
        <v>28031</v>
      </c>
      <c r="D5275" s="8" t="s">
        <v>10589</v>
      </c>
    </row>
    <row r="5276" spans="1:4" ht="14.25">
      <c r="A5276" s="5" t="s">
        <v>463</v>
      </c>
      <c r="B5276" s="6" t="s">
        <v>10590</v>
      </c>
      <c r="C5276" s="7">
        <v>28032</v>
      </c>
      <c r="D5276" s="8" t="s">
        <v>10591</v>
      </c>
    </row>
    <row r="5277" spans="1:4" ht="14.25">
      <c r="A5277" s="5" t="s">
        <v>42</v>
      </c>
      <c r="B5277" s="6" t="s">
        <v>10592</v>
      </c>
      <c r="C5277" s="7">
        <v>28032</v>
      </c>
      <c r="D5277" s="8" t="s">
        <v>10593</v>
      </c>
    </row>
    <row r="5278" spans="1:4" ht="14.25">
      <c r="A5278" s="5" t="s">
        <v>42</v>
      </c>
      <c r="B5278" s="6" t="s">
        <v>10594</v>
      </c>
      <c r="C5278" s="7">
        <v>28032</v>
      </c>
      <c r="D5278" s="8" t="s">
        <v>10595</v>
      </c>
    </row>
    <row r="5279" spans="1:4" ht="14.25">
      <c r="A5279" s="5">
        <v>29</v>
      </c>
      <c r="B5279" s="6" t="s">
        <v>10596</v>
      </c>
      <c r="C5279" s="7">
        <v>28032</v>
      </c>
      <c r="D5279" s="8" t="s">
        <v>10597</v>
      </c>
    </row>
    <row r="5280" spans="1:4" ht="14.25">
      <c r="A5280" s="5">
        <v>29</v>
      </c>
      <c r="B5280" s="6" t="s">
        <v>10598</v>
      </c>
      <c r="C5280" s="7">
        <v>28032</v>
      </c>
      <c r="D5280" s="8" t="s">
        <v>10599</v>
      </c>
    </row>
    <row r="5281" spans="1:4" ht="14.25">
      <c r="A5281" s="5">
        <v>29</v>
      </c>
      <c r="B5281" s="6" t="s">
        <v>10600</v>
      </c>
      <c r="C5281" s="7">
        <v>28032</v>
      </c>
      <c r="D5281" s="8" t="s">
        <v>10601</v>
      </c>
    </row>
    <row r="5282" spans="1:4" ht="14.25">
      <c r="A5282" s="5">
        <v>29</v>
      </c>
      <c r="B5282" s="6" t="s">
        <v>10602</v>
      </c>
      <c r="C5282" s="7">
        <v>28032</v>
      </c>
      <c r="D5282" s="8" t="s">
        <v>10603</v>
      </c>
    </row>
    <row r="5283" spans="1:4" ht="14.25">
      <c r="A5283" s="5" t="s">
        <v>42</v>
      </c>
      <c r="B5283" s="6" t="s">
        <v>10604</v>
      </c>
      <c r="C5283" s="7">
        <v>28033</v>
      </c>
      <c r="D5283" s="8" t="s">
        <v>10605</v>
      </c>
    </row>
    <row r="5284" spans="1:4" ht="14.25">
      <c r="A5284" s="5" t="s">
        <v>42</v>
      </c>
      <c r="B5284" s="6" t="s">
        <v>10606</v>
      </c>
      <c r="C5284" s="7">
        <v>28033</v>
      </c>
      <c r="D5284" s="8" t="s">
        <v>10607</v>
      </c>
    </row>
    <row r="5285" spans="1:4" ht="14.25">
      <c r="A5285" s="5">
        <v>30</v>
      </c>
      <c r="B5285" s="6" t="s">
        <v>10608</v>
      </c>
      <c r="C5285" s="7">
        <v>28033</v>
      </c>
      <c r="D5285" s="8" t="s">
        <v>10609</v>
      </c>
    </row>
    <row r="5286" spans="1:4" ht="14.25">
      <c r="A5286" s="5">
        <v>30</v>
      </c>
      <c r="B5286" s="6" t="s">
        <v>10610</v>
      </c>
      <c r="C5286" s="7">
        <v>28033</v>
      </c>
      <c r="D5286" s="8" t="s">
        <v>10611</v>
      </c>
    </row>
    <row r="5287" spans="1:4" ht="14.25">
      <c r="A5287" s="5">
        <v>30</v>
      </c>
      <c r="B5287" s="6" t="s">
        <v>10612</v>
      </c>
      <c r="C5287" s="7">
        <v>28033</v>
      </c>
      <c r="D5287" s="8" t="s">
        <v>10613</v>
      </c>
    </row>
    <row r="5288" spans="1:4" ht="14.25">
      <c r="A5288" s="5" t="s">
        <v>42</v>
      </c>
      <c r="B5288" s="6" t="s">
        <v>10614</v>
      </c>
      <c r="C5288" s="7">
        <v>28034</v>
      </c>
      <c r="D5288" s="8" t="s">
        <v>10615</v>
      </c>
    </row>
    <row r="5289" spans="1:4" ht="14.25">
      <c r="A5289" s="5">
        <v>1</v>
      </c>
      <c r="B5289" s="6" t="s">
        <v>10616</v>
      </c>
      <c r="C5289" s="7">
        <v>28034</v>
      </c>
      <c r="D5289" s="8" t="s">
        <v>10617</v>
      </c>
    </row>
    <row r="5290" spans="1:4" ht="14.25">
      <c r="A5290" s="5">
        <v>1</v>
      </c>
      <c r="B5290" s="6" t="s">
        <v>10618</v>
      </c>
      <c r="C5290" s="7">
        <v>28034</v>
      </c>
      <c r="D5290" s="8" t="s">
        <v>10619</v>
      </c>
    </row>
    <row r="5291" spans="1:4" ht="14.25">
      <c r="A5291" s="5" t="s">
        <v>42</v>
      </c>
      <c r="B5291" s="6" t="s">
        <v>10620</v>
      </c>
      <c r="C5291" s="7">
        <v>28035</v>
      </c>
      <c r="D5291" s="8" t="s">
        <v>10621</v>
      </c>
    </row>
    <row r="5292" spans="1:4" ht="14.25">
      <c r="A5292" s="5">
        <v>2</v>
      </c>
      <c r="B5292" s="6" t="s">
        <v>10622</v>
      </c>
      <c r="C5292" s="7">
        <v>28035</v>
      </c>
      <c r="D5292" s="8" t="s">
        <v>10623</v>
      </c>
    </row>
    <row r="5293" spans="1:4" ht="14.25">
      <c r="A5293" s="5">
        <v>2</v>
      </c>
      <c r="B5293" s="6" t="s">
        <v>10624</v>
      </c>
      <c r="C5293" s="7">
        <v>28035</v>
      </c>
      <c r="D5293" s="8" t="s">
        <v>10625</v>
      </c>
    </row>
    <row r="5294" spans="1:4" ht="14.25">
      <c r="A5294" s="5">
        <v>2</v>
      </c>
      <c r="B5294" s="6" t="s">
        <v>10626</v>
      </c>
      <c r="C5294" s="7">
        <v>28035</v>
      </c>
      <c r="D5294" s="8" t="s">
        <v>10627</v>
      </c>
    </row>
    <row r="5295" spans="1:4" ht="14.25">
      <c r="A5295" s="5" t="s">
        <v>42</v>
      </c>
      <c r="B5295" s="6" t="s">
        <v>10628</v>
      </c>
      <c r="C5295" s="7">
        <v>28036</v>
      </c>
      <c r="D5295" s="8" t="s">
        <v>10629</v>
      </c>
    </row>
    <row r="5296" spans="1:4" ht="14.25">
      <c r="A5296" s="5">
        <v>3</v>
      </c>
      <c r="B5296" s="6" t="s">
        <v>10630</v>
      </c>
      <c r="C5296" s="7">
        <v>28036</v>
      </c>
      <c r="D5296" s="8" t="s">
        <v>10631</v>
      </c>
    </row>
    <row r="5297" spans="1:4" ht="14.25">
      <c r="A5297" s="5">
        <v>3</v>
      </c>
      <c r="B5297" s="6" t="s">
        <v>10632</v>
      </c>
      <c r="C5297" s="7">
        <v>28036</v>
      </c>
      <c r="D5297" s="8" t="s">
        <v>10633</v>
      </c>
    </row>
    <row r="5298" spans="1:4" ht="14.25">
      <c r="A5298" s="5">
        <v>3</v>
      </c>
      <c r="B5298" s="6" t="s">
        <v>10634</v>
      </c>
      <c r="C5298" s="7">
        <v>28036</v>
      </c>
      <c r="D5298" s="8" t="s">
        <v>10635</v>
      </c>
    </row>
    <row r="5299" spans="1:4" ht="14.25">
      <c r="A5299" s="5" t="s">
        <v>42</v>
      </c>
      <c r="B5299" s="6" t="s">
        <v>10636</v>
      </c>
      <c r="C5299" s="7">
        <v>28037</v>
      </c>
      <c r="D5299" s="8" t="s">
        <v>10637</v>
      </c>
    </row>
    <row r="5300" spans="1:4" ht="14.25">
      <c r="A5300" s="5">
        <v>4</v>
      </c>
      <c r="B5300" s="6" t="s">
        <v>10638</v>
      </c>
      <c r="C5300" s="7">
        <v>28037</v>
      </c>
      <c r="D5300" s="8" t="s">
        <v>10639</v>
      </c>
    </row>
    <row r="5301" spans="1:4" ht="14.25">
      <c r="A5301" s="5">
        <v>4</v>
      </c>
      <c r="B5301" s="6" t="s">
        <v>10640</v>
      </c>
      <c r="C5301" s="7">
        <v>28037</v>
      </c>
      <c r="D5301" s="8" t="s">
        <v>10641</v>
      </c>
    </row>
    <row r="5302" spans="1:4" ht="14.25">
      <c r="A5302" s="5">
        <v>4</v>
      </c>
      <c r="B5302" s="6" t="s">
        <v>10642</v>
      </c>
      <c r="C5302" s="7">
        <v>28037</v>
      </c>
      <c r="D5302" s="8" t="s">
        <v>10643</v>
      </c>
    </row>
    <row r="5303" spans="1:4" ht="14.25">
      <c r="A5303" s="5" t="s">
        <v>42</v>
      </c>
      <c r="B5303" s="6" t="s">
        <v>10644</v>
      </c>
      <c r="C5303" s="7">
        <v>28038</v>
      </c>
      <c r="D5303" s="8" t="s">
        <v>10645</v>
      </c>
    </row>
    <row r="5304" spans="1:4" ht="14.25">
      <c r="A5304" s="5" t="s">
        <v>42</v>
      </c>
      <c r="B5304" s="6" t="s">
        <v>10646</v>
      </c>
      <c r="C5304" s="7">
        <v>28038</v>
      </c>
      <c r="D5304" s="8" t="s">
        <v>10647</v>
      </c>
    </row>
    <row r="5305" spans="1:4" ht="14.25">
      <c r="A5305" s="5">
        <v>5</v>
      </c>
      <c r="B5305" s="6" t="s">
        <v>10648</v>
      </c>
      <c r="C5305" s="7">
        <v>28038</v>
      </c>
      <c r="D5305" s="8" t="s">
        <v>10649</v>
      </c>
    </row>
    <row r="5306" spans="1:4" ht="14.25">
      <c r="A5306" s="5">
        <v>5</v>
      </c>
      <c r="B5306" s="6" t="s">
        <v>10650</v>
      </c>
      <c r="C5306" s="7">
        <v>28038</v>
      </c>
      <c r="D5306" s="8" t="s">
        <v>10651</v>
      </c>
    </row>
    <row r="5307" spans="1:4" ht="14.25">
      <c r="A5307" s="5" t="s">
        <v>42</v>
      </c>
      <c r="B5307" s="6" t="s">
        <v>10652</v>
      </c>
      <c r="C5307" s="7">
        <v>28039</v>
      </c>
      <c r="D5307" s="8" t="s">
        <v>10653</v>
      </c>
    </row>
    <row r="5308" spans="1:4" ht="14.25">
      <c r="A5308" s="5" t="s">
        <v>42</v>
      </c>
      <c r="B5308" s="6" t="s">
        <v>10654</v>
      </c>
      <c r="C5308" s="7">
        <v>28039</v>
      </c>
      <c r="D5308" s="8" t="s">
        <v>10655</v>
      </c>
    </row>
    <row r="5309" spans="1:4" ht="14.25">
      <c r="A5309" s="5">
        <v>6</v>
      </c>
      <c r="B5309" s="6" t="s">
        <v>10656</v>
      </c>
      <c r="C5309" s="7">
        <v>28039</v>
      </c>
      <c r="D5309" s="8" t="s">
        <v>10657</v>
      </c>
    </row>
    <row r="5310" spans="1:4" ht="14.25">
      <c r="A5310" s="5">
        <v>6</v>
      </c>
      <c r="B5310" s="6" t="s">
        <v>10658</v>
      </c>
      <c r="C5310" s="7">
        <v>28039</v>
      </c>
      <c r="D5310" s="8" t="s">
        <v>10659</v>
      </c>
    </row>
    <row r="5311" spans="1:4" ht="14.25">
      <c r="A5311" s="5" t="s">
        <v>42</v>
      </c>
      <c r="B5311" s="6" t="s">
        <v>10660</v>
      </c>
      <c r="C5311" s="7">
        <v>28040</v>
      </c>
      <c r="D5311" s="8" t="s">
        <v>10661</v>
      </c>
    </row>
    <row r="5312" spans="1:4" ht="14.25">
      <c r="A5312" s="5" t="s">
        <v>42</v>
      </c>
      <c r="B5312" s="6" t="s">
        <v>10662</v>
      </c>
      <c r="C5312" s="7">
        <v>28040</v>
      </c>
      <c r="D5312" s="8" t="s">
        <v>10663</v>
      </c>
    </row>
    <row r="5313" spans="1:4" ht="14.25">
      <c r="A5313" s="5">
        <v>7</v>
      </c>
      <c r="B5313" s="6" t="s">
        <v>10664</v>
      </c>
      <c r="C5313" s="7">
        <v>28040</v>
      </c>
      <c r="D5313" s="8" t="s">
        <v>10665</v>
      </c>
    </row>
    <row r="5314" spans="1:4" ht="14.25">
      <c r="A5314" s="5" t="s">
        <v>42</v>
      </c>
      <c r="B5314" s="6" t="s">
        <v>10666</v>
      </c>
      <c r="C5314" s="7">
        <v>28041</v>
      </c>
      <c r="D5314" s="8" t="s">
        <v>10667</v>
      </c>
    </row>
    <row r="5315" spans="1:4" ht="14.25">
      <c r="A5315" s="5" t="s">
        <v>42</v>
      </c>
      <c r="B5315" s="6" t="s">
        <v>10668</v>
      </c>
      <c r="C5315" s="7">
        <v>28041</v>
      </c>
      <c r="D5315" s="8" t="s">
        <v>10669</v>
      </c>
    </row>
    <row r="5316" spans="1:4" ht="14.25">
      <c r="A5316" s="5">
        <v>8</v>
      </c>
      <c r="B5316" s="6" t="s">
        <v>10670</v>
      </c>
      <c r="C5316" s="7">
        <v>28041</v>
      </c>
      <c r="D5316" s="8" t="s">
        <v>10671</v>
      </c>
    </row>
    <row r="5317" spans="1:4" ht="14.25">
      <c r="A5317" s="5">
        <v>8</v>
      </c>
      <c r="B5317" s="6" t="s">
        <v>10672</v>
      </c>
      <c r="C5317" s="7">
        <v>28041</v>
      </c>
      <c r="D5317" s="8" t="s">
        <v>10673</v>
      </c>
    </row>
    <row r="5318" spans="1:4" ht="14.25">
      <c r="A5318" s="5" t="s">
        <v>863</v>
      </c>
      <c r="B5318" s="6" t="s">
        <v>10674</v>
      </c>
      <c r="C5318" s="7">
        <v>28042</v>
      </c>
      <c r="D5318" s="8" t="s">
        <v>10675</v>
      </c>
    </row>
    <row r="5319" spans="1:4" ht="14.25">
      <c r="A5319" s="5" t="s">
        <v>42</v>
      </c>
      <c r="B5319" s="6" t="s">
        <v>10676</v>
      </c>
      <c r="C5319" s="7">
        <v>28042</v>
      </c>
      <c r="D5319" s="8" t="s">
        <v>10677</v>
      </c>
    </row>
    <row r="5320" spans="1:4" ht="14.25">
      <c r="A5320" s="5">
        <v>9</v>
      </c>
      <c r="B5320" s="6" t="s">
        <v>10678</v>
      </c>
      <c r="C5320" s="7">
        <v>28042</v>
      </c>
      <c r="D5320" s="8" t="s">
        <v>10679</v>
      </c>
    </row>
    <row r="5321" spans="1:4" ht="14.25">
      <c r="A5321" s="5">
        <v>9</v>
      </c>
      <c r="B5321" s="6" t="s">
        <v>10680</v>
      </c>
      <c r="C5321" s="7">
        <v>28042</v>
      </c>
      <c r="D5321" s="8" t="s">
        <v>10681</v>
      </c>
    </row>
    <row r="5322" spans="1:4" ht="14.25">
      <c r="A5322" s="5">
        <v>9</v>
      </c>
      <c r="B5322" s="6" t="s">
        <v>10682</v>
      </c>
      <c r="C5322" s="7">
        <v>28042</v>
      </c>
      <c r="D5322" s="8" t="s">
        <v>10683</v>
      </c>
    </row>
    <row r="5323" spans="1:4" ht="14.25">
      <c r="A5323" s="5">
        <v>9</v>
      </c>
      <c r="B5323" s="6" t="s">
        <v>10684</v>
      </c>
      <c r="C5323" s="7">
        <v>28042</v>
      </c>
      <c r="D5323" s="8" t="s">
        <v>10685</v>
      </c>
    </row>
    <row r="5324" spans="1:4" ht="14.25">
      <c r="A5324" s="5">
        <v>9</v>
      </c>
      <c r="B5324" s="6" t="s">
        <v>10686</v>
      </c>
      <c r="C5324" s="7">
        <v>28042</v>
      </c>
      <c r="D5324" s="8" t="s">
        <v>10687</v>
      </c>
    </row>
    <row r="5325" spans="1:4" ht="14.25">
      <c r="A5325" s="5">
        <v>9</v>
      </c>
      <c r="B5325" s="6" t="s">
        <v>10688</v>
      </c>
      <c r="C5325" s="7">
        <v>28042</v>
      </c>
      <c r="D5325" s="8" t="s">
        <v>10689</v>
      </c>
    </row>
    <row r="5326" spans="1:4" ht="14.25">
      <c r="A5326" s="5">
        <v>10</v>
      </c>
      <c r="B5326" s="6" t="s">
        <v>10690</v>
      </c>
      <c r="C5326" s="7">
        <v>28043</v>
      </c>
      <c r="D5326" s="8" t="s">
        <v>10691</v>
      </c>
    </row>
    <row r="5327" spans="1:4" ht="14.25">
      <c r="A5327" s="5">
        <v>10</v>
      </c>
      <c r="B5327" s="6" t="s">
        <v>10692</v>
      </c>
      <c r="C5327" s="7">
        <v>28043</v>
      </c>
      <c r="D5327" s="8" t="s">
        <v>10693</v>
      </c>
    </row>
    <row r="5328" spans="1:4" ht="14.25">
      <c r="A5328" s="5">
        <v>13</v>
      </c>
      <c r="B5328" s="6" t="s">
        <v>10694</v>
      </c>
      <c r="C5328" s="7">
        <v>28046</v>
      </c>
      <c r="D5328" s="8" t="s">
        <v>10695</v>
      </c>
    </row>
    <row r="5329" spans="1:4" ht="14.25">
      <c r="A5329" s="5" t="s">
        <v>463</v>
      </c>
      <c r="B5329" s="6" t="s">
        <v>10696</v>
      </c>
      <c r="C5329" s="7">
        <v>28047</v>
      </c>
      <c r="D5329" s="8" t="s">
        <v>10697</v>
      </c>
    </row>
    <row r="5330" spans="1:4" ht="14.25">
      <c r="A5330" s="5">
        <v>14</v>
      </c>
      <c r="B5330" s="6" t="s">
        <v>10698</v>
      </c>
      <c r="C5330" s="7">
        <v>28047</v>
      </c>
      <c r="D5330" s="8" t="s">
        <v>10699</v>
      </c>
    </row>
    <row r="5331" spans="1:4" ht="14.25">
      <c r="A5331" s="5">
        <v>14</v>
      </c>
      <c r="B5331" s="6" t="s">
        <v>10700</v>
      </c>
      <c r="C5331" s="7">
        <v>28047</v>
      </c>
      <c r="D5331" s="8" t="s">
        <v>10701</v>
      </c>
    </row>
    <row r="5332" spans="1:4" ht="14.25">
      <c r="A5332" s="5">
        <v>14</v>
      </c>
      <c r="B5332" s="6" t="s">
        <v>10702</v>
      </c>
      <c r="C5332" s="7">
        <v>28047</v>
      </c>
      <c r="D5332" s="8" t="s">
        <v>10703</v>
      </c>
    </row>
    <row r="5333" spans="1:4" ht="14.25">
      <c r="A5333" s="5">
        <v>15</v>
      </c>
      <c r="B5333" s="6" t="s">
        <v>10704</v>
      </c>
      <c r="C5333" s="7">
        <v>28048</v>
      </c>
      <c r="D5333" s="8" t="s">
        <v>10705</v>
      </c>
    </row>
    <row r="5334" spans="1:4" ht="14.25">
      <c r="A5334" s="5" t="s">
        <v>2</v>
      </c>
      <c r="B5334" s="6" t="s">
        <v>10706</v>
      </c>
      <c r="C5334" s="7">
        <v>28049</v>
      </c>
      <c r="D5334" s="8" t="s">
        <v>10707</v>
      </c>
    </row>
    <row r="5335" spans="1:4" ht="14.25">
      <c r="A5335" s="5">
        <v>16</v>
      </c>
      <c r="B5335" s="6" t="s">
        <v>10708</v>
      </c>
      <c r="C5335" s="7">
        <v>28049</v>
      </c>
      <c r="D5335" s="8" t="s">
        <v>10709</v>
      </c>
    </row>
    <row r="5336" spans="1:4" ht="14.25">
      <c r="A5336" s="5">
        <v>16</v>
      </c>
      <c r="B5336" s="6" t="s">
        <v>10710</v>
      </c>
      <c r="C5336" s="7">
        <v>28049</v>
      </c>
      <c r="D5336" s="8" t="s">
        <v>10711</v>
      </c>
    </row>
    <row r="5337" spans="1:4" ht="14.25">
      <c r="A5337" s="5">
        <v>16</v>
      </c>
      <c r="B5337" s="6" t="s">
        <v>10712</v>
      </c>
      <c r="C5337" s="7">
        <v>28049</v>
      </c>
      <c r="D5337" s="8" t="s">
        <v>10713</v>
      </c>
    </row>
    <row r="5338" spans="1:4" ht="14.25">
      <c r="A5338" s="5" t="s">
        <v>863</v>
      </c>
      <c r="B5338" s="6" t="s">
        <v>10714</v>
      </c>
      <c r="C5338" s="7">
        <v>28050</v>
      </c>
      <c r="D5338" s="8" t="s">
        <v>10715</v>
      </c>
    </row>
    <row r="5339" spans="1:4" ht="14.25">
      <c r="A5339" s="5">
        <v>17</v>
      </c>
      <c r="B5339" s="6" t="s">
        <v>10716</v>
      </c>
      <c r="C5339" s="7">
        <v>28050</v>
      </c>
      <c r="D5339" s="8" t="s">
        <v>10717</v>
      </c>
    </row>
    <row r="5340" spans="1:4" ht="14.25">
      <c r="A5340" s="5">
        <v>17</v>
      </c>
      <c r="B5340" s="6" t="s">
        <v>10718</v>
      </c>
      <c r="C5340" s="7">
        <v>28050</v>
      </c>
      <c r="D5340" s="8" t="s">
        <v>10719</v>
      </c>
    </row>
    <row r="5341" spans="1:4" ht="14.25">
      <c r="A5341" s="5">
        <v>18</v>
      </c>
      <c r="B5341" s="6" t="s">
        <v>10720</v>
      </c>
      <c r="C5341" s="7">
        <v>28051</v>
      </c>
      <c r="D5341" s="8" t="s">
        <v>10721</v>
      </c>
    </row>
    <row r="5342" spans="1:4" ht="14.25">
      <c r="A5342" s="5">
        <v>22</v>
      </c>
      <c r="B5342" s="6" t="s">
        <v>10722</v>
      </c>
      <c r="C5342" s="7">
        <v>28055</v>
      </c>
      <c r="D5342" s="8" t="s">
        <v>10723</v>
      </c>
    </row>
    <row r="5343" spans="1:4" ht="14.25">
      <c r="A5343" s="5" t="s">
        <v>968</v>
      </c>
      <c r="B5343" s="6" t="s">
        <v>10724</v>
      </c>
      <c r="C5343" s="7">
        <v>28056</v>
      </c>
      <c r="D5343" s="8" t="s">
        <v>10725</v>
      </c>
    </row>
    <row r="5344" spans="1:4" ht="14.25">
      <c r="A5344" s="5">
        <v>23</v>
      </c>
      <c r="B5344" s="6" t="s">
        <v>10726</v>
      </c>
      <c r="C5344" s="7">
        <v>28056</v>
      </c>
      <c r="D5344" s="8" t="s">
        <v>10727</v>
      </c>
    </row>
    <row r="5345" spans="1:4" ht="14.25">
      <c r="A5345" s="5">
        <v>23</v>
      </c>
      <c r="B5345" s="6" t="s">
        <v>10728</v>
      </c>
      <c r="C5345" s="7">
        <v>28056</v>
      </c>
      <c r="D5345" s="8" t="s">
        <v>10729</v>
      </c>
    </row>
    <row r="5346" spans="1:4" ht="14.25">
      <c r="A5346" s="5">
        <v>24</v>
      </c>
      <c r="B5346" s="6" t="s">
        <v>10730</v>
      </c>
      <c r="C5346" s="7">
        <v>28057</v>
      </c>
      <c r="D5346" s="8" t="s">
        <v>10731</v>
      </c>
    </row>
    <row r="5347" spans="1:4" ht="14.25">
      <c r="A5347" s="5">
        <v>25</v>
      </c>
      <c r="B5347" s="6" t="s">
        <v>10732</v>
      </c>
      <c r="C5347" s="7">
        <v>28058</v>
      </c>
      <c r="D5347" s="8" t="s">
        <v>10733</v>
      </c>
    </row>
    <row r="5348" spans="1:4" ht="14.25">
      <c r="A5348" s="5">
        <v>26</v>
      </c>
      <c r="B5348" s="6" t="s">
        <v>10734</v>
      </c>
      <c r="C5348" s="7">
        <v>28059</v>
      </c>
      <c r="D5348" s="8" t="s">
        <v>10735</v>
      </c>
    </row>
    <row r="5349" spans="1:4" ht="14.25">
      <c r="A5349" s="5">
        <v>26</v>
      </c>
      <c r="B5349" s="6" t="s">
        <v>10736</v>
      </c>
      <c r="C5349" s="7">
        <v>28059</v>
      </c>
      <c r="D5349" s="8" t="s">
        <v>10737</v>
      </c>
    </row>
    <row r="5350" spans="1:4" ht="14.25">
      <c r="A5350" s="5">
        <v>27</v>
      </c>
      <c r="B5350" s="6" t="s">
        <v>10738</v>
      </c>
      <c r="C5350" s="7">
        <v>28060</v>
      </c>
      <c r="D5350" s="8" t="s">
        <v>10739</v>
      </c>
    </row>
    <row r="5351" spans="1:4" ht="14.25">
      <c r="A5351" s="5" t="s">
        <v>968</v>
      </c>
      <c r="B5351" s="6" t="s">
        <v>10740</v>
      </c>
      <c r="C5351" s="7">
        <v>28061</v>
      </c>
      <c r="D5351" s="8" t="s">
        <v>10741</v>
      </c>
    </row>
    <row r="5352" spans="1:4" ht="14.25">
      <c r="A5352" s="5">
        <v>28</v>
      </c>
      <c r="B5352" s="6" t="s">
        <v>10742</v>
      </c>
      <c r="C5352" s="7">
        <v>28061</v>
      </c>
      <c r="D5352" s="8" t="s">
        <v>10743</v>
      </c>
    </row>
    <row r="5353" spans="1:4" ht="14.25">
      <c r="A5353" s="5">
        <v>28</v>
      </c>
      <c r="B5353" s="6" t="s">
        <v>10744</v>
      </c>
      <c r="C5353" s="7">
        <v>28061</v>
      </c>
      <c r="D5353" s="8" t="s">
        <v>10745</v>
      </c>
    </row>
    <row r="5354" spans="1:4" ht="14.25">
      <c r="A5354" s="5" t="s">
        <v>968</v>
      </c>
      <c r="B5354" s="6" t="s">
        <v>10746</v>
      </c>
      <c r="C5354" s="7">
        <v>28062</v>
      </c>
      <c r="D5354" s="8" t="s">
        <v>10747</v>
      </c>
    </row>
    <row r="5355" spans="1:4" ht="14.25">
      <c r="A5355" s="5">
        <v>29</v>
      </c>
      <c r="B5355" s="6" t="s">
        <v>10748</v>
      </c>
      <c r="C5355" s="7">
        <v>28062</v>
      </c>
      <c r="D5355" s="8" t="s">
        <v>10749</v>
      </c>
    </row>
    <row r="5356" spans="1:4" ht="14.25">
      <c r="A5356" s="5">
        <v>29</v>
      </c>
      <c r="B5356" s="6" t="s">
        <v>10750</v>
      </c>
      <c r="C5356" s="7">
        <v>28062</v>
      </c>
      <c r="D5356" s="8" t="s">
        <v>10751</v>
      </c>
    </row>
    <row r="5357" spans="1:4" ht="14.25">
      <c r="A5357" s="5" t="s">
        <v>968</v>
      </c>
      <c r="B5357" s="6" t="s">
        <v>10752</v>
      </c>
      <c r="C5357" s="7">
        <v>28063</v>
      </c>
      <c r="D5357" s="8" t="s">
        <v>10753</v>
      </c>
    </row>
    <row r="5358" spans="1:4" ht="14.25">
      <c r="A5358" s="5">
        <v>30</v>
      </c>
      <c r="B5358" s="6" t="s">
        <v>10754</v>
      </c>
      <c r="C5358" s="7">
        <v>28063</v>
      </c>
      <c r="D5358" s="8" t="s">
        <v>10755</v>
      </c>
    </row>
    <row r="5359" spans="1:4" ht="14.25">
      <c r="A5359" s="5">
        <v>30</v>
      </c>
      <c r="B5359" s="6" t="s">
        <v>10756</v>
      </c>
      <c r="C5359" s="7">
        <v>28063</v>
      </c>
      <c r="D5359" s="8" t="s">
        <v>10757</v>
      </c>
    </row>
    <row r="5360" spans="1:4" ht="14.25">
      <c r="A5360" s="5" t="s">
        <v>968</v>
      </c>
      <c r="B5360" s="6" t="s">
        <v>10758</v>
      </c>
      <c r="C5360" s="7">
        <v>28064</v>
      </c>
      <c r="D5360" s="8" t="s">
        <v>10759</v>
      </c>
    </row>
    <row r="5361" spans="1:4" ht="14.25">
      <c r="A5361" s="5">
        <v>31</v>
      </c>
      <c r="B5361" s="6" t="s">
        <v>10760</v>
      </c>
      <c r="C5361" s="7">
        <v>28064</v>
      </c>
      <c r="D5361" s="8" t="s">
        <v>10761</v>
      </c>
    </row>
    <row r="5362" spans="1:4" ht="14.25">
      <c r="A5362" s="5">
        <v>31</v>
      </c>
      <c r="B5362" s="6" t="s">
        <v>10762</v>
      </c>
      <c r="C5362" s="7">
        <v>28064</v>
      </c>
      <c r="D5362" s="8" t="s">
        <v>10763</v>
      </c>
    </row>
    <row r="5363" spans="1:4" ht="14.25">
      <c r="A5363" s="5">
        <v>31</v>
      </c>
      <c r="B5363" s="6" t="s">
        <v>10764</v>
      </c>
      <c r="C5363" s="7">
        <v>28064</v>
      </c>
      <c r="D5363" s="8" t="s">
        <v>10765</v>
      </c>
    </row>
    <row r="5364" spans="1:4" ht="14.25">
      <c r="A5364" s="5" t="s">
        <v>968</v>
      </c>
      <c r="B5364" s="6" t="s">
        <v>10766</v>
      </c>
      <c r="C5364" s="7">
        <v>28065</v>
      </c>
      <c r="D5364" s="8" t="s">
        <v>10767</v>
      </c>
    </row>
    <row r="5365" spans="1:4" ht="14.25">
      <c r="A5365" s="5">
        <v>1</v>
      </c>
      <c r="B5365" s="6" t="s">
        <v>10768</v>
      </c>
      <c r="C5365" s="7">
        <v>28065</v>
      </c>
      <c r="D5365" s="8" t="s">
        <v>10769</v>
      </c>
    </row>
    <row r="5366" spans="1:4" ht="14.25">
      <c r="A5366" s="5">
        <v>1</v>
      </c>
      <c r="B5366" s="6" t="s">
        <v>10770</v>
      </c>
      <c r="C5366" s="7">
        <v>28065</v>
      </c>
      <c r="D5366" s="8" t="s">
        <v>10771</v>
      </c>
    </row>
    <row r="5367" spans="1:4" ht="14.25">
      <c r="A5367" s="5">
        <v>2</v>
      </c>
      <c r="B5367" s="6" t="s">
        <v>10772</v>
      </c>
      <c r="C5367" s="7">
        <v>28066</v>
      </c>
      <c r="D5367" s="8" t="s">
        <v>10773</v>
      </c>
    </row>
    <row r="5368" spans="1:4" ht="14.25">
      <c r="A5368" s="5">
        <v>2</v>
      </c>
      <c r="B5368" s="6" t="s">
        <v>10774</v>
      </c>
      <c r="C5368" s="7">
        <v>28066</v>
      </c>
      <c r="D5368" s="8" t="s">
        <v>10775</v>
      </c>
    </row>
    <row r="5369" spans="1:4" ht="14.25">
      <c r="A5369" s="5">
        <v>2</v>
      </c>
      <c r="B5369" s="6" t="s">
        <v>10776</v>
      </c>
      <c r="C5369" s="7">
        <v>28066</v>
      </c>
      <c r="D5369" s="8" t="s">
        <v>10777</v>
      </c>
    </row>
    <row r="5370" spans="1:4" ht="14.25">
      <c r="A5370" s="5" t="s">
        <v>463</v>
      </c>
      <c r="B5370" s="6" t="s">
        <v>10778</v>
      </c>
      <c r="C5370" s="7">
        <v>28067</v>
      </c>
      <c r="D5370" s="8" t="s">
        <v>10779</v>
      </c>
    </row>
    <row r="5371" spans="1:4" ht="14.25">
      <c r="A5371" s="5" t="s">
        <v>968</v>
      </c>
      <c r="B5371" s="6" t="s">
        <v>10780</v>
      </c>
      <c r="C5371" s="7">
        <v>28067</v>
      </c>
      <c r="D5371" s="8" t="s">
        <v>10781</v>
      </c>
    </row>
    <row r="5372" spans="1:4" ht="14.25">
      <c r="A5372" s="5">
        <v>3</v>
      </c>
      <c r="B5372" s="6" t="s">
        <v>10782</v>
      </c>
      <c r="C5372" s="7">
        <v>28067</v>
      </c>
      <c r="D5372" s="8" t="s">
        <v>10783</v>
      </c>
    </row>
    <row r="5373" spans="1:4" ht="14.25">
      <c r="A5373" s="5">
        <v>3</v>
      </c>
      <c r="B5373" s="6" t="s">
        <v>10784</v>
      </c>
      <c r="C5373" s="7">
        <v>28067</v>
      </c>
      <c r="D5373" s="8" t="s">
        <v>10785</v>
      </c>
    </row>
    <row r="5374" spans="1:4" ht="14.25">
      <c r="A5374" s="5">
        <v>3</v>
      </c>
      <c r="B5374" s="6" t="s">
        <v>10786</v>
      </c>
      <c r="C5374" s="7">
        <v>28067</v>
      </c>
      <c r="D5374" s="8" t="s">
        <v>10787</v>
      </c>
    </row>
    <row r="5375" spans="1:4" ht="14.25">
      <c r="A5375" s="5">
        <v>3</v>
      </c>
      <c r="B5375" s="6" t="s">
        <v>10788</v>
      </c>
      <c r="C5375" s="7">
        <v>28067</v>
      </c>
      <c r="D5375" s="8" t="s">
        <v>10789</v>
      </c>
    </row>
    <row r="5376" spans="1:4" ht="14.25">
      <c r="A5376" s="5">
        <v>3</v>
      </c>
      <c r="B5376" s="6" t="s">
        <v>10790</v>
      </c>
      <c r="C5376" s="7">
        <v>28067</v>
      </c>
      <c r="D5376" s="8" t="s">
        <v>10791</v>
      </c>
    </row>
    <row r="5377" spans="1:4" ht="14.25">
      <c r="A5377" s="5" t="s">
        <v>463</v>
      </c>
      <c r="B5377" s="6" t="s">
        <v>10792</v>
      </c>
      <c r="C5377" s="7">
        <v>28068</v>
      </c>
      <c r="D5377" s="8" t="s">
        <v>10793</v>
      </c>
    </row>
    <row r="5378" spans="1:4" ht="14.25">
      <c r="A5378" s="5" t="s">
        <v>968</v>
      </c>
      <c r="B5378" s="6" t="s">
        <v>10794</v>
      </c>
      <c r="C5378" s="7">
        <v>28068</v>
      </c>
      <c r="D5378" s="8" t="s">
        <v>10795</v>
      </c>
    </row>
    <row r="5379" spans="1:4" ht="14.25">
      <c r="A5379" s="5">
        <v>4</v>
      </c>
      <c r="B5379" s="6" t="s">
        <v>10796</v>
      </c>
      <c r="C5379" s="7">
        <v>28068</v>
      </c>
      <c r="D5379" s="8" t="s">
        <v>10797</v>
      </c>
    </row>
    <row r="5380" spans="1:4" ht="14.25">
      <c r="A5380" s="5">
        <v>4</v>
      </c>
      <c r="B5380" s="6" t="s">
        <v>10798</v>
      </c>
      <c r="C5380" s="7">
        <v>28068</v>
      </c>
      <c r="D5380" s="8" t="s">
        <v>10799</v>
      </c>
    </row>
    <row r="5381" spans="1:4" ht="14.25">
      <c r="A5381" s="5">
        <v>4</v>
      </c>
      <c r="B5381" s="6" t="s">
        <v>10800</v>
      </c>
      <c r="C5381" s="7">
        <v>28068</v>
      </c>
      <c r="D5381" s="8" t="s">
        <v>10801</v>
      </c>
    </row>
    <row r="5382" spans="1:4" ht="14.25">
      <c r="A5382" s="5">
        <v>4</v>
      </c>
      <c r="B5382" s="6" t="s">
        <v>10802</v>
      </c>
      <c r="C5382" s="7">
        <v>28068</v>
      </c>
      <c r="D5382" s="8" t="s">
        <v>10803</v>
      </c>
    </row>
    <row r="5383" spans="1:4" ht="14.25">
      <c r="A5383" s="5" t="s">
        <v>463</v>
      </c>
      <c r="B5383" s="6" t="s">
        <v>10804</v>
      </c>
      <c r="C5383" s="7">
        <v>28069</v>
      </c>
      <c r="D5383" s="8" t="s">
        <v>10805</v>
      </c>
    </row>
    <row r="5384" spans="1:4" ht="14.25">
      <c r="A5384" s="5" t="s">
        <v>968</v>
      </c>
      <c r="B5384" s="6" t="s">
        <v>10806</v>
      </c>
      <c r="C5384" s="7">
        <v>28069</v>
      </c>
      <c r="D5384" s="8" t="s">
        <v>10807</v>
      </c>
    </row>
    <row r="5385" spans="1:4" ht="14.25">
      <c r="A5385" s="5">
        <v>5</v>
      </c>
      <c r="B5385" s="6" t="s">
        <v>10808</v>
      </c>
      <c r="C5385" s="7">
        <v>28069</v>
      </c>
      <c r="D5385" s="8" t="s">
        <v>10809</v>
      </c>
    </row>
    <row r="5386" spans="1:4" ht="14.25">
      <c r="A5386" s="5">
        <v>5</v>
      </c>
      <c r="B5386" s="6" t="s">
        <v>10810</v>
      </c>
      <c r="C5386" s="7">
        <v>28069</v>
      </c>
      <c r="D5386" s="8" t="s">
        <v>10811</v>
      </c>
    </row>
    <row r="5387" spans="1:4" ht="14.25">
      <c r="A5387" s="5">
        <v>5</v>
      </c>
      <c r="B5387" s="6" t="s">
        <v>10812</v>
      </c>
      <c r="C5387" s="7">
        <v>28069</v>
      </c>
      <c r="D5387" s="8" t="s">
        <v>10813</v>
      </c>
    </row>
    <row r="5388" spans="1:4" ht="14.25">
      <c r="A5388" s="5">
        <v>5</v>
      </c>
      <c r="B5388" s="6" t="s">
        <v>10814</v>
      </c>
      <c r="C5388" s="7">
        <v>28069</v>
      </c>
      <c r="D5388" s="8" t="s">
        <v>10815</v>
      </c>
    </row>
    <row r="5389" spans="1:4" ht="14.25">
      <c r="A5389" s="5" t="s">
        <v>968</v>
      </c>
      <c r="B5389" s="6" t="s">
        <v>10816</v>
      </c>
      <c r="C5389" s="7">
        <v>28070</v>
      </c>
      <c r="D5389" s="8" t="s">
        <v>10817</v>
      </c>
    </row>
    <row r="5390" spans="1:4" ht="14.25">
      <c r="A5390" s="5">
        <v>6</v>
      </c>
      <c r="B5390" s="6" t="s">
        <v>10818</v>
      </c>
      <c r="C5390" s="7">
        <v>28070</v>
      </c>
      <c r="D5390" s="8" t="s">
        <v>10819</v>
      </c>
    </row>
    <row r="5391" spans="1:4" ht="14.25">
      <c r="A5391" s="5">
        <v>6</v>
      </c>
      <c r="B5391" s="6" t="s">
        <v>10820</v>
      </c>
      <c r="C5391" s="7">
        <v>28070</v>
      </c>
      <c r="D5391" s="8" t="s">
        <v>10821</v>
      </c>
    </row>
    <row r="5392" spans="1:4" ht="14.25">
      <c r="A5392" s="5">
        <v>6</v>
      </c>
      <c r="B5392" s="6" t="s">
        <v>10822</v>
      </c>
      <c r="C5392" s="7">
        <v>28070</v>
      </c>
      <c r="D5392" s="8" t="s">
        <v>10823</v>
      </c>
    </row>
    <row r="5393" spans="1:4" ht="14.25">
      <c r="A5393" s="5" t="s">
        <v>968</v>
      </c>
      <c r="B5393" s="6" t="s">
        <v>10824</v>
      </c>
      <c r="C5393" s="7">
        <v>28071</v>
      </c>
      <c r="D5393" s="8" t="s">
        <v>10825</v>
      </c>
    </row>
    <row r="5394" spans="1:4" ht="14.25">
      <c r="A5394" s="5">
        <v>7</v>
      </c>
      <c r="B5394" s="6" t="s">
        <v>10826</v>
      </c>
      <c r="C5394" s="7">
        <v>28071</v>
      </c>
      <c r="D5394" s="8" t="s">
        <v>10827</v>
      </c>
    </row>
    <row r="5395" spans="1:4" ht="14.25">
      <c r="A5395" s="5">
        <v>7</v>
      </c>
      <c r="B5395" s="6" t="s">
        <v>10828</v>
      </c>
      <c r="C5395" s="7">
        <v>28071</v>
      </c>
      <c r="D5395" s="8" t="s">
        <v>10829</v>
      </c>
    </row>
    <row r="5396" spans="1:4" ht="14.25">
      <c r="A5396" s="5" t="s">
        <v>968</v>
      </c>
      <c r="B5396" s="6" t="s">
        <v>10830</v>
      </c>
      <c r="C5396" s="7">
        <v>28072</v>
      </c>
      <c r="D5396" s="8" t="s">
        <v>10831</v>
      </c>
    </row>
    <row r="5397" spans="1:4" ht="14.25">
      <c r="A5397" s="5">
        <v>8</v>
      </c>
      <c r="B5397" s="6" t="s">
        <v>10832</v>
      </c>
      <c r="C5397" s="7">
        <v>28072</v>
      </c>
      <c r="D5397" s="8" t="s">
        <v>10833</v>
      </c>
    </row>
    <row r="5398" spans="1:4" ht="14.25">
      <c r="A5398" s="5">
        <v>8</v>
      </c>
      <c r="B5398" s="6" t="s">
        <v>10834</v>
      </c>
      <c r="C5398" s="7">
        <v>28072</v>
      </c>
      <c r="D5398" s="8" t="s">
        <v>10835</v>
      </c>
    </row>
    <row r="5399" spans="1:4" ht="14.25">
      <c r="A5399" s="5" t="s">
        <v>968</v>
      </c>
      <c r="B5399" s="6" t="s">
        <v>10836</v>
      </c>
      <c r="C5399" s="7">
        <v>28073</v>
      </c>
      <c r="D5399" s="8" t="s">
        <v>10837</v>
      </c>
    </row>
    <row r="5400" spans="1:4" ht="14.25">
      <c r="A5400" s="5">
        <v>9</v>
      </c>
      <c r="B5400" s="6" t="s">
        <v>10838</v>
      </c>
      <c r="C5400" s="7">
        <v>28073</v>
      </c>
      <c r="D5400" s="8" t="s">
        <v>10839</v>
      </c>
    </row>
    <row r="5401" spans="1:4" ht="14.25">
      <c r="A5401" s="5">
        <v>9</v>
      </c>
      <c r="B5401" s="6" t="s">
        <v>10840</v>
      </c>
      <c r="C5401" s="7">
        <v>28073</v>
      </c>
      <c r="D5401" s="8" t="s">
        <v>10841</v>
      </c>
    </row>
    <row r="5402" spans="1:4" ht="14.25">
      <c r="A5402" s="5" t="s">
        <v>968</v>
      </c>
      <c r="B5402" s="6" t="s">
        <v>10842</v>
      </c>
      <c r="C5402" s="7">
        <v>28074</v>
      </c>
      <c r="D5402" s="8" t="s">
        <v>10843</v>
      </c>
    </row>
    <row r="5403" spans="1:4" ht="14.25">
      <c r="A5403" s="5">
        <v>10</v>
      </c>
      <c r="B5403" s="6" t="s">
        <v>10844</v>
      </c>
      <c r="C5403" s="7">
        <v>28074</v>
      </c>
      <c r="D5403" s="8" t="s">
        <v>10845</v>
      </c>
    </row>
    <row r="5404" spans="1:4" ht="14.25">
      <c r="A5404" s="5">
        <v>10</v>
      </c>
      <c r="B5404" s="6" t="s">
        <v>10846</v>
      </c>
      <c r="C5404" s="7">
        <v>28074</v>
      </c>
      <c r="D5404" s="8" t="s">
        <v>10847</v>
      </c>
    </row>
    <row r="5405" spans="1:4" ht="14.25">
      <c r="A5405" s="5">
        <v>10</v>
      </c>
      <c r="B5405" s="6" t="s">
        <v>10848</v>
      </c>
      <c r="C5405" s="7">
        <v>28074</v>
      </c>
      <c r="D5405" s="8" t="s">
        <v>10849</v>
      </c>
    </row>
    <row r="5406" spans="1:4" ht="14.25">
      <c r="A5406" s="5" t="s">
        <v>968</v>
      </c>
      <c r="B5406" s="6" t="s">
        <v>10850</v>
      </c>
      <c r="C5406" s="7">
        <v>28075</v>
      </c>
      <c r="D5406" s="8" t="s">
        <v>10851</v>
      </c>
    </row>
    <row r="5407" spans="1:4" ht="14.25">
      <c r="A5407" s="5">
        <v>11</v>
      </c>
      <c r="B5407" s="6" t="s">
        <v>10852</v>
      </c>
      <c r="C5407" s="7">
        <v>28075</v>
      </c>
      <c r="D5407" s="8" t="s">
        <v>10853</v>
      </c>
    </row>
    <row r="5408" spans="1:4" ht="14.25">
      <c r="A5408" s="5">
        <v>11</v>
      </c>
      <c r="B5408" s="6" t="s">
        <v>10854</v>
      </c>
      <c r="C5408" s="7">
        <v>28075</v>
      </c>
      <c r="D5408" s="8" t="s">
        <v>10855</v>
      </c>
    </row>
    <row r="5409" spans="1:4" ht="14.25">
      <c r="A5409" s="5">
        <v>11</v>
      </c>
      <c r="B5409" s="6" t="s">
        <v>10856</v>
      </c>
      <c r="C5409" s="7">
        <v>28075</v>
      </c>
      <c r="D5409" s="8" t="s">
        <v>10857</v>
      </c>
    </row>
    <row r="5410" spans="1:4" ht="14.25">
      <c r="A5410" s="5" t="s">
        <v>968</v>
      </c>
      <c r="B5410" s="6" t="s">
        <v>10858</v>
      </c>
      <c r="C5410" s="7">
        <v>28076</v>
      </c>
      <c r="D5410" s="8" t="s">
        <v>10859</v>
      </c>
    </row>
    <row r="5411" spans="1:4" ht="14.25">
      <c r="A5411" s="5">
        <v>12</v>
      </c>
      <c r="B5411" s="6" t="s">
        <v>10860</v>
      </c>
      <c r="C5411" s="7">
        <v>28076</v>
      </c>
      <c r="D5411" s="8" t="s">
        <v>10861</v>
      </c>
    </row>
    <row r="5412" spans="1:4" ht="14.25">
      <c r="A5412" s="5">
        <v>12</v>
      </c>
      <c r="B5412" s="6" t="s">
        <v>10862</v>
      </c>
      <c r="C5412" s="7">
        <v>28076</v>
      </c>
      <c r="D5412" s="8" t="s">
        <v>10863</v>
      </c>
    </row>
    <row r="5413" spans="1:4" ht="14.25">
      <c r="A5413" s="5" t="s">
        <v>463</v>
      </c>
      <c r="B5413" s="6" t="s">
        <v>10864</v>
      </c>
      <c r="C5413" s="7">
        <v>28077</v>
      </c>
      <c r="D5413" s="8" t="s">
        <v>10865</v>
      </c>
    </row>
    <row r="5414" spans="1:4" ht="14.25">
      <c r="A5414" s="5" t="s">
        <v>968</v>
      </c>
      <c r="B5414" s="6" t="s">
        <v>10866</v>
      </c>
      <c r="C5414" s="7">
        <v>28077</v>
      </c>
      <c r="D5414" s="8" t="s">
        <v>10867</v>
      </c>
    </row>
    <row r="5415" spans="1:4" ht="14.25">
      <c r="A5415" s="5">
        <v>13</v>
      </c>
      <c r="B5415" s="6" t="s">
        <v>10868</v>
      </c>
      <c r="C5415" s="7">
        <v>28077</v>
      </c>
      <c r="D5415" s="8" t="s">
        <v>10869</v>
      </c>
    </row>
    <row r="5416" spans="1:4" ht="14.25">
      <c r="A5416" s="5">
        <v>13</v>
      </c>
      <c r="B5416" s="6" t="s">
        <v>10870</v>
      </c>
      <c r="C5416" s="7">
        <v>28077</v>
      </c>
      <c r="D5416" s="8" t="s">
        <v>10871</v>
      </c>
    </row>
    <row r="5417" spans="1:4" ht="14.25">
      <c r="A5417" s="5">
        <v>13</v>
      </c>
      <c r="B5417" s="6" t="s">
        <v>10872</v>
      </c>
      <c r="C5417" s="7">
        <v>28077</v>
      </c>
      <c r="D5417" s="8" t="s">
        <v>10873</v>
      </c>
    </row>
    <row r="5418" spans="1:4" ht="14.25">
      <c r="A5418" s="5">
        <v>13</v>
      </c>
      <c r="B5418" s="6" t="s">
        <v>10874</v>
      </c>
      <c r="C5418" s="7">
        <v>28077</v>
      </c>
      <c r="D5418" s="8" t="s">
        <v>10875</v>
      </c>
    </row>
    <row r="5419" spans="1:4" ht="14.25">
      <c r="A5419" s="5" t="s">
        <v>968</v>
      </c>
      <c r="B5419" s="6" t="s">
        <v>10876</v>
      </c>
      <c r="C5419" s="7">
        <v>28078</v>
      </c>
      <c r="D5419" s="8" t="s">
        <v>10877</v>
      </c>
    </row>
    <row r="5420" spans="1:4" ht="14.25">
      <c r="A5420" s="5">
        <v>14</v>
      </c>
      <c r="B5420" s="6" t="s">
        <v>10878</v>
      </c>
      <c r="C5420" s="7">
        <v>28078</v>
      </c>
      <c r="D5420" s="8" t="s">
        <v>10879</v>
      </c>
    </row>
    <row r="5421" spans="1:4" ht="14.25">
      <c r="A5421" s="5">
        <v>14</v>
      </c>
      <c r="B5421" s="6" t="s">
        <v>10880</v>
      </c>
      <c r="C5421" s="7">
        <v>28078</v>
      </c>
      <c r="D5421" s="8" t="s">
        <v>10881</v>
      </c>
    </row>
    <row r="5422" spans="1:4" ht="14.25">
      <c r="A5422" s="5">
        <v>14</v>
      </c>
      <c r="B5422" s="6" t="s">
        <v>10882</v>
      </c>
      <c r="C5422" s="7">
        <v>28078</v>
      </c>
      <c r="D5422" s="8" t="s">
        <v>10883</v>
      </c>
    </row>
    <row r="5423" spans="1:4" ht="14.25">
      <c r="A5423" s="5">
        <v>14</v>
      </c>
      <c r="B5423" s="6" t="s">
        <v>10884</v>
      </c>
      <c r="C5423" s="7">
        <v>28078</v>
      </c>
      <c r="D5423" s="8" t="s">
        <v>10885</v>
      </c>
    </row>
    <row r="5424" spans="1:4" ht="14.25">
      <c r="A5424" s="5">
        <v>14</v>
      </c>
      <c r="B5424" s="6" t="s">
        <v>10886</v>
      </c>
      <c r="C5424" s="7">
        <v>28078</v>
      </c>
      <c r="D5424" s="8" t="s">
        <v>10887</v>
      </c>
    </row>
    <row r="5425" spans="1:4" ht="14.25">
      <c r="A5425" s="5" t="s">
        <v>968</v>
      </c>
      <c r="B5425" s="6" t="s">
        <v>10888</v>
      </c>
      <c r="C5425" s="7">
        <v>28079</v>
      </c>
      <c r="D5425" s="8" t="s">
        <v>10889</v>
      </c>
    </row>
    <row r="5426" spans="1:4" ht="14.25">
      <c r="A5426" s="5">
        <v>15</v>
      </c>
      <c r="B5426" s="6" t="s">
        <v>10890</v>
      </c>
      <c r="C5426" s="7">
        <v>28079</v>
      </c>
      <c r="D5426" s="8" t="s">
        <v>10891</v>
      </c>
    </row>
    <row r="5427" spans="1:4" ht="14.25">
      <c r="A5427" s="5">
        <v>15</v>
      </c>
      <c r="B5427" s="6" t="s">
        <v>10892</v>
      </c>
      <c r="C5427" s="7">
        <v>28079</v>
      </c>
      <c r="D5427" s="8" t="s">
        <v>10893</v>
      </c>
    </row>
    <row r="5428" spans="1:4" ht="14.25">
      <c r="A5428" s="5">
        <v>15</v>
      </c>
      <c r="B5428" s="6" t="s">
        <v>10894</v>
      </c>
      <c r="C5428" s="7">
        <v>28079</v>
      </c>
      <c r="D5428" s="8" t="s">
        <v>10895</v>
      </c>
    </row>
    <row r="5429" spans="1:4" ht="14.25">
      <c r="A5429" s="5" t="s">
        <v>968</v>
      </c>
      <c r="B5429" s="6" t="s">
        <v>10896</v>
      </c>
      <c r="C5429" s="7">
        <v>28080</v>
      </c>
      <c r="D5429" s="8" t="s">
        <v>10897</v>
      </c>
    </row>
    <row r="5430" spans="1:4" ht="14.25">
      <c r="A5430" s="5">
        <v>16</v>
      </c>
      <c r="B5430" s="6" t="s">
        <v>10898</v>
      </c>
      <c r="C5430" s="7">
        <v>28080</v>
      </c>
      <c r="D5430" s="8" t="s">
        <v>10899</v>
      </c>
    </row>
    <row r="5431" spans="1:4" ht="14.25">
      <c r="A5431" s="5">
        <v>16</v>
      </c>
      <c r="B5431" s="6" t="s">
        <v>10900</v>
      </c>
      <c r="C5431" s="7">
        <v>28080</v>
      </c>
      <c r="D5431" s="8" t="s">
        <v>10901</v>
      </c>
    </row>
    <row r="5432" spans="1:4" ht="14.25">
      <c r="A5432" s="5">
        <v>17</v>
      </c>
      <c r="B5432" s="6" t="s">
        <v>10902</v>
      </c>
      <c r="C5432" s="7">
        <v>28081</v>
      </c>
      <c r="D5432" s="8" t="s">
        <v>10903</v>
      </c>
    </row>
    <row r="5433" spans="1:4" ht="14.25">
      <c r="A5433" s="5">
        <v>17</v>
      </c>
      <c r="B5433" s="6" t="s">
        <v>10904</v>
      </c>
      <c r="C5433" s="7">
        <v>28081</v>
      </c>
      <c r="D5433" s="8" t="s">
        <v>10905</v>
      </c>
    </row>
    <row r="5434" spans="1:4" ht="14.25">
      <c r="A5434" s="5">
        <v>18</v>
      </c>
      <c r="B5434" s="6" t="s">
        <v>10906</v>
      </c>
      <c r="C5434" s="7">
        <v>28082</v>
      </c>
      <c r="D5434" s="8" t="s">
        <v>10907</v>
      </c>
    </row>
    <row r="5435" spans="1:4" ht="14.25">
      <c r="A5435" s="5">
        <v>18</v>
      </c>
      <c r="B5435" s="6" t="s">
        <v>10908</v>
      </c>
      <c r="C5435" s="7">
        <v>28082</v>
      </c>
      <c r="D5435" s="8" t="s">
        <v>10909</v>
      </c>
    </row>
    <row r="5436" spans="1:4" ht="14.25">
      <c r="A5436" s="5" t="s">
        <v>968</v>
      </c>
      <c r="B5436" s="6" t="s">
        <v>10910</v>
      </c>
      <c r="C5436" s="7">
        <v>28083</v>
      </c>
      <c r="D5436" s="8" t="s">
        <v>10911</v>
      </c>
    </row>
    <row r="5437" spans="1:4" ht="14.25">
      <c r="A5437" s="5">
        <v>19</v>
      </c>
      <c r="B5437" s="6" t="s">
        <v>10912</v>
      </c>
      <c r="C5437" s="7">
        <v>28083</v>
      </c>
      <c r="D5437" s="8" t="s">
        <v>10913</v>
      </c>
    </row>
    <row r="5438" spans="1:4" ht="14.25">
      <c r="A5438" s="5">
        <v>19</v>
      </c>
      <c r="B5438" s="6" t="s">
        <v>10914</v>
      </c>
      <c r="C5438" s="7">
        <v>28083</v>
      </c>
      <c r="D5438" s="8" t="s">
        <v>10915</v>
      </c>
    </row>
    <row r="5439" spans="1:4" ht="14.25">
      <c r="A5439" s="5" t="s">
        <v>463</v>
      </c>
      <c r="B5439" s="6" t="s">
        <v>10916</v>
      </c>
      <c r="C5439" s="7">
        <v>28084</v>
      </c>
      <c r="D5439" s="8" t="s">
        <v>10917</v>
      </c>
    </row>
    <row r="5440" spans="1:4" ht="14.25">
      <c r="A5440" s="5" t="s">
        <v>968</v>
      </c>
      <c r="B5440" s="6" t="s">
        <v>10918</v>
      </c>
      <c r="C5440" s="7">
        <v>28084</v>
      </c>
      <c r="D5440" s="8" t="s">
        <v>10919</v>
      </c>
    </row>
    <row r="5441" spans="1:4" ht="14.25">
      <c r="A5441" s="5">
        <v>20</v>
      </c>
      <c r="B5441" s="6" t="s">
        <v>10920</v>
      </c>
      <c r="C5441" s="7">
        <v>28084</v>
      </c>
      <c r="D5441" s="8" t="s">
        <v>10921</v>
      </c>
    </row>
    <row r="5442" spans="1:4" ht="14.25">
      <c r="A5442" s="5">
        <v>20</v>
      </c>
      <c r="B5442" s="6" t="s">
        <v>10922</v>
      </c>
      <c r="C5442" s="7">
        <v>28084</v>
      </c>
      <c r="D5442" s="8" t="s">
        <v>10923</v>
      </c>
    </row>
    <row r="5443" spans="1:4" ht="14.25">
      <c r="A5443" s="5">
        <v>20</v>
      </c>
      <c r="B5443" s="6" t="s">
        <v>10924</v>
      </c>
      <c r="C5443" s="7">
        <v>28084</v>
      </c>
      <c r="D5443" s="8" t="s">
        <v>10925</v>
      </c>
    </row>
    <row r="5444" spans="1:4" ht="14.25">
      <c r="A5444" s="5">
        <v>20</v>
      </c>
      <c r="B5444" s="6" t="s">
        <v>10926</v>
      </c>
      <c r="C5444" s="7">
        <v>28084</v>
      </c>
      <c r="D5444" s="8" t="s">
        <v>10927</v>
      </c>
    </row>
    <row r="5445" spans="1:4" ht="14.25">
      <c r="A5445" s="5" t="s">
        <v>968</v>
      </c>
      <c r="B5445" s="6" t="s">
        <v>10928</v>
      </c>
      <c r="C5445" s="7">
        <v>28085</v>
      </c>
      <c r="D5445" s="8" t="s">
        <v>10929</v>
      </c>
    </row>
    <row r="5446" spans="1:4" ht="14.25">
      <c r="A5446" s="5">
        <v>21</v>
      </c>
      <c r="B5446" s="6" t="s">
        <v>10930</v>
      </c>
      <c r="C5446" s="7">
        <v>28085</v>
      </c>
      <c r="D5446" s="8" t="s">
        <v>10931</v>
      </c>
    </row>
    <row r="5447" spans="1:4" ht="14.25">
      <c r="A5447" s="5">
        <v>21</v>
      </c>
      <c r="B5447" s="6" t="s">
        <v>10932</v>
      </c>
      <c r="C5447" s="7">
        <v>28085</v>
      </c>
      <c r="D5447" s="8" t="s">
        <v>10933</v>
      </c>
    </row>
    <row r="5448" spans="1:4" ht="14.25">
      <c r="A5448" s="5">
        <v>22</v>
      </c>
      <c r="B5448" s="6" t="s">
        <v>10934</v>
      </c>
      <c r="C5448" s="7">
        <v>28086</v>
      </c>
      <c r="D5448" s="8" t="s">
        <v>10935</v>
      </c>
    </row>
    <row r="5449" spans="1:4" ht="14.25">
      <c r="A5449" s="5">
        <v>23</v>
      </c>
      <c r="B5449" s="6" t="s">
        <v>10936</v>
      </c>
      <c r="C5449" s="7">
        <v>28087</v>
      </c>
      <c r="D5449" s="8" t="s">
        <v>10937</v>
      </c>
    </row>
    <row r="5450" spans="1:4" ht="14.25">
      <c r="A5450" s="5">
        <v>24</v>
      </c>
      <c r="B5450" s="6" t="s">
        <v>10938</v>
      </c>
      <c r="C5450" s="7">
        <v>28088</v>
      </c>
      <c r="D5450" s="8" t="s">
        <v>10939</v>
      </c>
    </row>
    <row r="5451" spans="1:4" ht="14.25">
      <c r="A5451" s="5">
        <v>24</v>
      </c>
      <c r="B5451" s="6" t="s">
        <v>10940</v>
      </c>
      <c r="C5451" s="7">
        <v>28088</v>
      </c>
      <c r="D5451" s="8" t="s">
        <v>10941</v>
      </c>
    </row>
    <row r="5452" spans="1:4" ht="14.25">
      <c r="A5452" s="5" t="s">
        <v>968</v>
      </c>
      <c r="B5452" s="6" t="s">
        <v>10942</v>
      </c>
      <c r="C5452" s="7">
        <v>28089</v>
      </c>
      <c r="D5452" s="8" t="s">
        <v>10943</v>
      </c>
    </row>
    <row r="5453" spans="1:4" ht="14.25">
      <c r="A5453" s="5">
        <v>25</v>
      </c>
      <c r="B5453" s="6" t="s">
        <v>10944</v>
      </c>
      <c r="C5453" s="7">
        <v>28089</v>
      </c>
      <c r="D5453" s="8" t="s">
        <v>10945</v>
      </c>
    </row>
    <row r="5454" spans="1:4" ht="14.25">
      <c r="A5454" s="5">
        <v>25</v>
      </c>
      <c r="B5454" s="6" t="s">
        <v>10946</v>
      </c>
      <c r="C5454" s="7">
        <v>28089</v>
      </c>
      <c r="D5454" s="8" t="s">
        <v>10947</v>
      </c>
    </row>
    <row r="5455" spans="1:4" ht="14.25">
      <c r="A5455" s="5">
        <v>25</v>
      </c>
      <c r="B5455" s="6" t="s">
        <v>10948</v>
      </c>
      <c r="C5455" s="7">
        <v>28089</v>
      </c>
      <c r="D5455" s="8" t="s">
        <v>10949</v>
      </c>
    </row>
    <row r="5456" spans="1:4" ht="14.25">
      <c r="A5456" s="5" t="s">
        <v>968</v>
      </c>
      <c r="B5456" s="6" t="s">
        <v>10950</v>
      </c>
      <c r="C5456" s="7">
        <v>28090</v>
      </c>
      <c r="D5456" s="8" t="s">
        <v>10951</v>
      </c>
    </row>
    <row r="5457" spans="1:4" ht="14.25">
      <c r="A5457" s="5">
        <v>26</v>
      </c>
      <c r="B5457" s="6" t="s">
        <v>10952</v>
      </c>
      <c r="C5457" s="7">
        <v>28090</v>
      </c>
      <c r="D5457" s="8" t="s">
        <v>10953</v>
      </c>
    </row>
    <row r="5458" spans="1:4" ht="14.25">
      <c r="A5458" s="5">
        <v>26</v>
      </c>
      <c r="B5458" s="6" t="s">
        <v>10954</v>
      </c>
      <c r="C5458" s="7">
        <v>28090</v>
      </c>
      <c r="D5458" s="8" t="s">
        <v>10955</v>
      </c>
    </row>
    <row r="5459" spans="1:4" ht="14.25">
      <c r="A5459" s="5" t="s">
        <v>968</v>
      </c>
      <c r="B5459" s="6" t="s">
        <v>10956</v>
      </c>
      <c r="C5459" s="7">
        <v>28091</v>
      </c>
      <c r="D5459" s="8" t="s">
        <v>10957</v>
      </c>
    </row>
    <row r="5460" spans="1:4" ht="14.25">
      <c r="A5460" s="5">
        <v>27</v>
      </c>
      <c r="B5460" s="6" t="s">
        <v>10958</v>
      </c>
      <c r="C5460" s="7">
        <v>28091</v>
      </c>
      <c r="D5460" s="8" t="s">
        <v>10959</v>
      </c>
    </row>
    <row r="5461" spans="1:4" ht="14.25">
      <c r="A5461" s="5">
        <v>27</v>
      </c>
      <c r="B5461" s="6" t="s">
        <v>10960</v>
      </c>
      <c r="C5461" s="7">
        <v>28091</v>
      </c>
      <c r="D5461" s="8" t="s">
        <v>10961</v>
      </c>
    </row>
    <row r="5462" spans="1:4" ht="14.25">
      <c r="A5462" s="5" t="s">
        <v>968</v>
      </c>
      <c r="B5462" s="6" t="s">
        <v>10962</v>
      </c>
      <c r="C5462" s="7">
        <v>28092</v>
      </c>
      <c r="D5462" s="8" t="s">
        <v>10963</v>
      </c>
    </row>
    <row r="5463" spans="1:4" ht="14.25">
      <c r="A5463" s="5">
        <v>28</v>
      </c>
      <c r="B5463" s="6" t="s">
        <v>10964</v>
      </c>
      <c r="C5463" s="7">
        <v>28092</v>
      </c>
      <c r="D5463" s="8" t="s">
        <v>10965</v>
      </c>
    </row>
    <row r="5464" spans="1:4" ht="14.25">
      <c r="A5464" s="5">
        <v>28</v>
      </c>
      <c r="B5464" s="6" t="s">
        <v>10966</v>
      </c>
      <c r="C5464" s="7">
        <v>28092</v>
      </c>
      <c r="D5464" s="8" t="s">
        <v>10967</v>
      </c>
    </row>
    <row r="5465" spans="1:4" ht="14.25">
      <c r="A5465" s="5" t="s">
        <v>968</v>
      </c>
      <c r="B5465" s="6" t="s">
        <v>10968</v>
      </c>
      <c r="C5465" s="7">
        <v>28093</v>
      </c>
      <c r="D5465" s="8" t="s">
        <v>10969</v>
      </c>
    </row>
    <row r="5466" spans="1:4" ht="14.25">
      <c r="A5466" s="5">
        <v>29</v>
      </c>
      <c r="B5466" s="6" t="s">
        <v>10970</v>
      </c>
      <c r="C5466" s="7">
        <v>28093</v>
      </c>
      <c r="D5466" s="8" t="s">
        <v>10971</v>
      </c>
    </row>
    <row r="5467" spans="1:4" ht="14.25">
      <c r="A5467" s="5">
        <v>29</v>
      </c>
      <c r="B5467" s="6" t="s">
        <v>10972</v>
      </c>
      <c r="C5467" s="7">
        <v>28093</v>
      </c>
      <c r="D5467" s="8" t="s">
        <v>10973</v>
      </c>
    </row>
    <row r="5468" spans="1:4" ht="14.25">
      <c r="A5468" s="5" t="s">
        <v>968</v>
      </c>
      <c r="B5468" s="6" t="s">
        <v>10974</v>
      </c>
      <c r="C5468" s="7">
        <v>28094</v>
      </c>
      <c r="D5468" s="8" t="s">
        <v>10975</v>
      </c>
    </row>
    <row r="5469" spans="1:4" ht="14.25">
      <c r="A5469" s="5">
        <v>30</v>
      </c>
      <c r="B5469" s="6" t="s">
        <v>10976</v>
      </c>
      <c r="C5469" s="7">
        <v>28094</v>
      </c>
      <c r="D5469" s="8" t="s">
        <v>10977</v>
      </c>
    </row>
    <row r="5470" spans="1:4" ht="14.25">
      <c r="A5470" s="5">
        <v>30</v>
      </c>
      <c r="B5470" s="6" t="s">
        <v>10978</v>
      </c>
      <c r="C5470" s="7">
        <v>28094</v>
      </c>
      <c r="D5470" s="8" t="s">
        <v>10979</v>
      </c>
    </row>
    <row r="5471" spans="1:4" ht="14.25">
      <c r="A5471" s="5" t="s">
        <v>463</v>
      </c>
      <c r="B5471" s="6" t="s">
        <v>10980</v>
      </c>
      <c r="C5471" s="7">
        <v>28097</v>
      </c>
      <c r="D5471" s="8" t="s">
        <v>10981</v>
      </c>
    </row>
    <row r="5472" spans="1:4" ht="14.25">
      <c r="A5472" s="5">
        <v>3</v>
      </c>
      <c r="B5472" s="6" t="s">
        <v>10982</v>
      </c>
      <c r="C5472" s="7">
        <v>28097</v>
      </c>
      <c r="D5472" s="8" t="s">
        <v>10983</v>
      </c>
    </row>
    <row r="5473" spans="1:4" ht="14.25">
      <c r="A5473" s="5">
        <v>3</v>
      </c>
      <c r="B5473" s="6" t="s">
        <v>10984</v>
      </c>
      <c r="C5473" s="7">
        <v>28097</v>
      </c>
      <c r="D5473" s="8" t="s">
        <v>10985</v>
      </c>
    </row>
    <row r="5474" spans="1:4" ht="14.25">
      <c r="A5474" s="5">
        <v>4</v>
      </c>
      <c r="B5474" s="6" t="s">
        <v>10986</v>
      </c>
      <c r="C5474" s="7">
        <v>28098</v>
      </c>
      <c r="D5474" s="8" t="s">
        <v>10987</v>
      </c>
    </row>
    <row r="5475" spans="1:4" ht="14.25">
      <c r="A5475" s="5">
        <v>4</v>
      </c>
      <c r="B5475" s="6" t="s">
        <v>10988</v>
      </c>
      <c r="C5475" s="7">
        <v>28098</v>
      </c>
      <c r="D5475" s="8" t="s">
        <v>10989</v>
      </c>
    </row>
    <row r="5476" spans="1:4" ht="14.25">
      <c r="A5476" s="5">
        <v>5</v>
      </c>
      <c r="B5476" s="6" t="s">
        <v>10990</v>
      </c>
      <c r="C5476" s="7">
        <v>28099</v>
      </c>
      <c r="D5476" s="8" t="s">
        <v>10991</v>
      </c>
    </row>
    <row r="5477" spans="1:4" ht="14.25">
      <c r="A5477" s="5">
        <v>5</v>
      </c>
      <c r="B5477" s="6" t="s">
        <v>10992</v>
      </c>
      <c r="C5477" s="7">
        <v>28099</v>
      </c>
      <c r="D5477" s="8" t="s">
        <v>10993</v>
      </c>
    </row>
    <row r="5478" spans="1:4" ht="14.25">
      <c r="A5478" s="5">
        <v>7</v>
      </c>
      <c r="B5478" s="6" t="s">
        <v>10994</v>
      </c>
      <c r="C5478" s="7">
        <v>28101</v>
      </c>
      <c r="D5478" s="8" t="s">
        <v>10995</v>
      </c>
    </row>
    <row r="5479" spans="1:4" ht="14.25">
      <c r="A5479" s="5">
        <v>7</v>
      </c>
      <c r="B5479" s="6" t="s">
        <v>10996</v>
      </c>
      <c r="C5479" s="7">
        <v>28101</v>
      </c>
      <c r="D5479" s="8" t="s">
        <v>10997</v>
      </c>
    </row>
    <row r="5480" spans="1:4" ht="14.25">
      <c r="A5480" s="5">
        <v>9</v>
      </c>
      <c r="B5480" s="6" t="s">
        <v>10998</v>
      </c>
      <c r="C5480" s="7">
        <v>28103</v>
      </c>
      <c r="D5480" s="8" t="s">
        <v>10999</v>
      </c>
    </row>
    <row r="5481" spans="1:4" ht="14.25">
      <c r="A5481" s="5" t="s">
        <v>197</v>
      </c>
      <c r="B5481" s="6" t="s">
        <v>11000</v>
      </c>
      <c r="C5481" s="7">
        <v>28104</v>
      </c>
      <c r="D5481" s="8" t="s">
        <v>11001</v>
      </c>
    </row>
    <row r="5482" spans="1:4" ht="14.25">
      <c r="A5482" s="5" t="s">
        <v>463</v>
      </c>
      <c r="B5482" s="6" t="s">
        <v>11002</v>
      </c>
      <c r="C5482" s="7">
        <v>28104</v>
      </c>
      <c r="D5482" s="8" t="s">
        <v>11003</v>
      </c>
    </row>
    <row r="5483" spans="1:4" ht="14.25">
      <c r="A5483" s="5" t="s">
        <v>463</v>
      </c>
      <c r="B5483" s="6" t="s">
        <v>11004</v>
      </c>
      <c r="C5483" s="7">
        <v>28104</v>
      </c>
      <c r="D5483" s="8" t="s">
        <v>11005</v>
      </c>
    </row>
    <row r="5484" spans="1:4" ht="14.25">
      <c r="A5484" s="5" t="s">
        <v>167</v>
      </c>
      <c r="B5484" s="6" t="s">
        <v>11006</v>
      </c>
      <c r="C5484" s="7">
        <v>28104</v>
      </c>
      <c r="D5484" s="8" t="s">
        <v>11007</v>
      </c>
    </row>
    <row r="5485" spans="1:4" ht="14.25">
      <c r="A5485" s="5">
        <v>10</v>
      </c>
      <c r="B5485" s="6" t="s">
        <v>11008</v>
      </c>
      <c r="C5485" s="7">
        <v>28104</v>
      </c>
      <c r="D5485" s="8" t="s">
        <v>11009</v>
      </c>
    </row>
    <row r="5486" spans="1:4" ht="14.25">
      <c r="A5486" s="5">
        <v>10</v>
      </c>
      <c r="B5486" s="6" t="s">
        <v>11010</v>
      </c>
      <c r="C5486" s="7">
        <v>28104</v>
      </c>
      <c r="D5486" s="8" t="s">
        <v>11011</v>
      </c>
    </row>
    <row r="5487" spans="1:4" ht="14.25">
      <c r="A5487" s="5">
        <v>10</v>
      </c>
      <c r="B5487" s="6" t="s">
        <v>11012</v>
      </c>
      <c r="C5487" s="7">
        <v>28104</v>
      </c>
      <c r="D5487" s="8" t="s">
        <v>11013</v>
      </c>
    </row>
    <row r="5488" spans="1:4" ht="14.25">
      <c r="A5488" s="5">
        <v>10</v>
      </c>
      <c r="B5488" s="6" t="s">
        <v>11014</v>
      </c>
      <c r="C5488" s="7">
        <v>28104</v>
      </c>
      <c r="D5488" s="8" t="s">
        <v>11015</v>
      </c>
    </row>
    <row r="5489" spans="1:4" ht="14.25">
      <c r="A5489" s="5">
        <v>10</v>
      </c>
      <c r="B5489" s="6" t="s">
        <v>11016</v>
      </c>
      <c r="C5489" s="7">
        <v>28104</v>
      </c>
      <c r="D5489" s="8" t="s">
        <v>11017</v>
      </c>
    </row>
    <row r="5490" spans="1:4" ht="14.25">
      <c r="A5490" s="5">
        <v>10</v>
      </c>
      <c r="B5490" s="6" t="s">
        <v>11018</v>
      </c>
      <c r="C5490" s="7">
        <v>28104</v>
      </c>
      <c r="D5490" s="8" t="s">
        <v>11019</v>
      </c>
    </row>
    <row r="5491" spans="1:4" ht="14.25">
      <c r="A5491" s="5" t="s">
        <v>184</v>
      </c>
      <c r="B5491" s="6" t="s">
        <v>11020</v>
      </c>
      <c r="C5491" s="7">
        <v>28105</v>
      </c>
      <c r="D5491" s="8" t="s">
        <v>11021</v>
      </c>
    </row>
    <row r="5492" spans="1:4" ht="14.25">
      <c r="A5492" s="5">
        <v>11</v>
      </c>
      <c r="B5492" s="6" t="s">
        <v>11022</v>
      </c>
      <c r="C5492" s="7">
        <v>28105</v>
      </c>
      <c r="D5492" s="8" t="s">
        <v>11023</v>
      </c>
    </row>
    <row r="5493" spans="1:4" ht="14.25">
      <c r="A5493" s="5">
        <v>11</v>
      </c>
      <c r="B5493" s="6" t="s">
        <v>11024</v>
      </c>
      <c r="C5493" s="7">
        <v>28105</v>
      </c>
      <c r="D5493" s="8" t="s">
        <v>11025</v>
      </c>
    </row>
    <row r="5494" spans="1:4" ht="14.25">
      <c r="A5494" s="5" t="s">
        <v>18</v>
      </c>
      <c r="B5494" s="6" t="s">
        <v>11026</v>
      </c>
      <c r="C5494" s="7">
        <v>28106</v>
      </c>
      <c r="D5494" s="8" t="s">
        <v>11027</v>
      </c>
    </row>
    <row r="5495" spans="1:4" ht="14.25">
      <c r="A5495" s="5">
        <v>12</v>
      </c>
      <c r="B5495" s="6" t="s">
        <v>11028</v>
      </c>
      <c r="C5495" s="7">
        <v>28106</v>
      </c>
      <c r="D5495" s="8" t="s">
        <v>11029</v>
      </c>
    </row>
    <row r="5496" spans="1:4" ht="14.25">
      <c r="A5496" s="5">
        <v>12</v>
      </c>
      <c r="B5496" s="6" t="s">
        <v>11030</v>
      </c>
      <c r="C5496" s="7">
        <v>28106</v>
      </c>
      <c r="D5496" s="8" t="s">
        <v>11031</v>
      </c>
    </row>
    <row r="5497" spans="1:4" ht="14.25">
      <c r="A5497" s="5">
        <v>12</v>
      </c>
      <c r="B5497" s="6" t="s">
        <v>11032</v>
      </c>
      <c r="C5497" s="7">
        <v>28106</v>
      </c>
      <c r="D5497" s="8" t="s">
        <v>11033</v>
      </c>
    </row>
    <row r="5498" spans="1:4" ht="14.25">
      <c r="A5498" s="5" t="s">
        <v>1148</v>
      </c>
      <c r="B5498" s="6" t="s">
        <v>11034</v>
      </c>
      <c r="C5498" s="7">
        <v>28107</v>
      </c>
      <c r="D5498" s="8" t="s">
        <v>11035</v>
      </c>
    </row>
    <row r="5499" spans="1:4" ht="14.25">
      <c r="A5499" s="5">
        <v>13</v>
      </c>
      <c r="B5499" s="6" t="s">
        <v>11036</v>
      </c>
      <c r="C5499" s="7">
        <v>28107</v>
      </c>
      <c r="D5499" s="8" t="s">
        <v>11037</v>
      </c>
    </row>
    <row r="5500" spans="1:4" ht="14.25">
      <c r="A5500" s="5">
        <v>13</v>
      </c>
      <c r="B5500" s="6" t="s">
        <v>11038</v>
      </c>
      <c r="C5500" s="7">
        <v>28107</v>
      </c>
      <c r="D5500" s="8" t="s">
        <v>11039</v>
      </c>
    </row>
    <row r="5501" spans="1:4" ht="14.25">
      <c r="A5501" s="5" t="s">
        <v>1148</v>
      </c>
      <c r="B5501" s="6" t="s">
        <v>11040</v>
      </c>
      <c r="C5501" s="7">
        <v>28108</v>
      </c>
      <c r="D5501" s="8" t="s">
        <v>11041</v>
      </c>
    </row>
    <row r="5502" spans="1:4" ht="14.25">
      <c r="A5502" s="5">
        <v>14</v>
      </c>
      <c r="B5502" s="6" t="s">
        <v>11042</v>
      </c>
      <c r="C5502" s="7">
        <v>28108</v>
      </c>
      <c r="D5502" s="8" t="s">
        <v>11043</v>
      </c>
    </row>
    <row r="5503" spans="1:4" ht="14.25">
      <c r="A5503" s="5">
        <v>14</v>
      </c>
      <c r="B5503" s="6" t="s">
        <v>11044</v>
      </c>
      <c r="C5503" s="7">
        <v>28108</v>
      </c>
      <c r="D5503" s="8" t="s">
        <v>11045</v>
      </c>
    </row>
    <row r="5504" spans="1:4" ht="14.25">
      <c r="A5504" s="5" t="s">
        <v>1148</v>
      </c>
      <c r="B5504" s="6" t="s">
        <v>11046</v>
      </c>
      <c r="C5504" s="7">
        <v>28109</v>
      </c>
      <c r="D5504" s="8" t="s">
        <v>11047</v>
      </c>
    </row>
    <row r="5505" spans="1:4" ht="14.25">
      <c r="A5505" s="5">
        <v>15</v>
      </c>
      <c r="B5505" s="6" t="s">
        <v>11048</v>
      </c>
      <c r="C5505" s="7">
        <v>28109</v>
      </c>
      <c r="D5505" s="8" t="s">
        <v>11049</v>
      </c>
    </row>
    <row r="5506" spans="1:4" ht="14.25">
      <c r="A5506" s="5">
        <v>15</v>
      </c>
      <c r="B5506" s="6" t="s">
        <v>11050</v>
      </c>
      <c r="C5506" s="7">
        <v>28109</v>
      </c>
      <c r="D5506" s="8" t="s">
        <v>11051</v>
      </c>
    </row>
    <row r="5507" spans="1:4" ht="14.25">
      <c r="A5507" s="5" t="s">
        <v>1148</v>
      </c>
      <c r="B5507" s="6" t="s">
        <v>11052</v>
      </c>
      <c r="C5507" s="7">
        <v>28110</v>
      </c>
      <c r="D5507" s="8" t="s">
        <v>11053</v>
      </c>
    </row>
    <row r="5508" spans="1:4" ht="14.25">
      <c r="A5508" s="5">
        <v>16</v>
      </c>
      <c r="B5508" s="6" t="s">
        <v>11054</v>
      </c>
      <c r="C5508" s="7">
        <v>28110</v>
      </c>
      <c r="D5508" s="8" t="s">
        <v>11055</v>
      </c>
    </row>
    <row r="5509" spans="1:4" ht="14.25">
      <c r="A5509" s="5">
        <v>16</v>
      </c>
      <c r="B5509" s="6" t="s">
        <v>11056</v>
      </c>
      <c r="C5509" s="7">
        <v>28110</v>
      </c>
      <c r="D5509" s="8" t="s">
        <v>11057</v>
      </c>
    </row>
    <row r="5510" spans="1:4" ht="14.25">
      <c r="A5510" s="5">
        <v>16</v>
      </c>
      <c r="B5510" s="6" t="s">
        <v>11058</v>
      </c>
      <c r="C5510" s="7">
        <v>28110</v>
      </c>
      <c r="D5510" s="8" t="s">
        <v>11059</v>
      </c>
    </row>
    <row r="5511" spans="1:4" ht="14.25">
      <c r="A5511" s="5">
        <v>16</v>
      </c>
      <c r="B5511" s="6" t="s">
        <v>11060</v>
      </c>
      <c r="C5511" s="7">
        <v>28110</v>
      </c>
      <c r="D5511" s="8" t="s">
        <v>11061</v>
      </c>
    </row>
    <row r="5512" spans="1:4" ht="14.25">
      <c r="A5512" s="5" t="s">
        <v>75</v>
      </c>
      <c r="B5512" s="6" t="s">
        <v>11062</v>
      </c>
      <c r="C5512" s="7">
        <v>28111</v>
      </c>
      <c r="D5512" s="8" t="s">
        <v>11063</v>
      </c>
    </row>
    <row r="5513" spans="1:4" ht="14.25">
      <c r="A5513" s="5">
        <v>17</v>
      </c>
      <c r="B5513" s="6" t="s">
        <v>11064</v>
      </c>
      <c r="C5513" s="7">
        <v>28111</v>
      </c>
      <c r="D5513" s="8" t="s">
        <v>11065</v>
      </c>
    </row>
    <row r="5514" spans="1:4" ht="14.25">
      <c r="A5514" s="5">
        <v>17</v>
      </c>
      <c r="B5514" s="6" t="s">
        <v>11066</v>
      </c>
      <c r="C5514" s="7">
        <v>28111</v>
      </c>
      <c r="D5514" s="8" t="s">
        <v>11067</v>
      </c>
    </row>
    <row r="5515" spans="1:4" ht="14.25">
      <c r="A5515" s="5">
        <v>20</v>
      </c>
      <c r="B5515" s="6" t="s">
        <v>11068</v>
      </c>
      <c r="C5515" s="7">
        <v>28114</v>
      </c>
      <c r="D5515" s="8" t="s">
        <v>11069</v>
      </c>
    </row>
    <row r="5516" spans="1:4" ht="14.25">
      <c r="A5516" s="5">
        <v>20</v>
      </c>
      <c r="B5516" s="6" t="s">
        <v>11070</v>
      </c>
      <c r="C5516" s="7">
        <v>28114</v>
      </c>
      <c r="D5516" s="8" t="s">
        <v>11071</v>
      </c>
    </row>
    <row r="5517" spans="1:4" ht="14.25">
      <c r="A5517" s="5">
        <v>20</v>
      </c>
      <c r="B5517" s="6" t="s">
        <v>11072</v>
      </c>
      <c r="C5517" s="7">
        <v>28114</v>
      </c>
      <c r="D5517" s="8" t="s">
        <v>11073</v>
      </c>
    </row>
    <row r="5518" spans="1:4" ht="14.25">
      <c r="A5518" s="5">
        <v>20</v>
      </c>
      <c r="B5518" s="6" t="s">
        <v>11074</v>
      </c>
      <c r="C5518" s="7">
        <v>28114</v>
      </c>
      <c r="D5518" s="8" t="s">
        <v>11075</v>
      </c>
    </row>
    <row r="5519" spans="1:4" ht="14.25">
      <c r="A5519" s="5">
        <v>22</v>
      </c>
      <c r="B5519" s="6" t="s">
        <v>11076</v>
      </c>
      <c r="C5519" s="7">
        <v>28116</v>
      </c>
      <c r="D5519" s="8" t="s">
        <v>11077</v>
      </c>
    </row>
    <row r="5520" spans="1:4" ht="14.25">
      <c r="A5520" s="5">
        <v>22</v>
      </c>
      <c r="B5520" s="6" t="s">
        <v>11078</v>
      </c>
      <c r="C5520" s="7">
        <v>28116</v>
      </c>
      <c r="D5520" s="8" t="s">
        <v>11079</v>
      </c>
    </row>
    <row r="5521" spans="1:4" ht="14.25">
      <c r="A5521" s="5">
        <v>24</v>
      </c>
      <c r="B5521" s="6" t="s">
        <v>11080</v>
      </c>
      <c r="C5521" s="7">
        <v>28118</v>
      </c>
      <c r="D5521" s="8" t="s">
        <v>11081</v>
      </c>
    </row>
    <row r="5522" spans="1:4" ht="14.25">
      <c r="A5522" s="5" t="s">
        <v>484</v>
      </c>
      <c r="B5522" s="6" t="s">
        <v>11082</v>
      </c>
      <c r="C5522" s="7">
        <v>28119</v>
      </c>
      <c r="D5522" s="8" t="s">
        <v>11083</v>
      </c>
    </row>
    <row r="5523" spans="1:4" ht="14.25">
      <c r="A5523" s="5" t="s">
        <v>968</v>
      </c>
      <c r="B5523" s="6" t="s">
        <v>11084</v>
      </c>
      <c r="C5523" s="7">
        <v>28119</v>
      </c>
      <c r="D5523" s="8" t="s">
        <v>11085</v>
      </c>
    </row>
    <row r="5524" spans="1:4" ht="14.25">
      <c r="A5524" s="5">
        <v>25</v>
      </c>
      <c r="B5524" s="6" t="s">
        <v>11086</v>
      </c>
      <c r="C5524" s="7">
        <v>28119</v>
      </c>
      <c r="D5524" s="8" t="s">
        <v>11087</v>
      </c>
    </row>
    <row r="5525" spans="1:4" ht="14.25">
      <c r="A5525" s="5">
        <v>25</v>
      </c>
      <c r="B5525" s="6" t="s">
        <v>11088</v>
      </c>
      <c r="C5525" s="7">
        <v>28119</v>
      </c>
      <c r="D5525" s="8" t="s">
        <v>11089</v>
      </c>
    </row>
    <row r="5526" spans="1:4" ht="14.25">
      <c r="A5526" s="5">
        <v>25</v>
      </c>
      <c r="B5526" s="6" t="s">
        <v>11090</v>
      </c>
      <c r="C5526" s="7">
        <v>28119</v>
      </c>
      <c r="D5526" s="8" t="s">
        <v>11091</v>
      </c>
    </row>
    <row r="5527" spans="1:4" ht="14.25">
      <c r="A5527" s="5">
        <v>25</v>
      </c>
      <c r="B5527" s="6" t="s">
        <v>11092</v>
      </c>
      <c r="C5527" s="7">
        <v>28119</v>
      </c>
      <c r="D5527" s="8" t="s">
        <v>11093</v>
      </c>
    </row>
    <row r="5528" spans="1:4" ht="14.25">
      <c r="A5528" s="5">
        <v>26</v>
      </c>
      <c r="B5528" s="6" t="s">
        <v>11094</v>
      </c>
      <c r="C5528" s="7">
        <v>28120</v>
      </c>
      <c r="D5528" s="8" t="s">
        <v>11095</v>
      </c>
    </row>
    <row r="5529" spans="1:4" ht="14.25">
      <c r="A5529" s="5">
        <v>26</v>
      </c>
      <c r="B5529" s="6" t="s">
        <v>11096</v>
      </c>
      <c r="C5529" s="7">
        <v>28120</v>
      </c>
      <c r="D5529" s="8" t="s">
        <v>11097</v>
      </c>
    </row>
    <row r="5530" spans="1:4" ht="14.25">
      <c r="A5530" s="5">
        <v>26</v>
      </c>
      <c r="B5530" s="6" t="s">
        <v>11098</v>
      </c>
      <c r="C5530" s="7">
        <v>28120</v>
      </c>
      <c r="D5530" s="8" t="s">
        <v>11099</v>
      </c>
    </row>
    <row r="5531" spans="1:4" ht="14.25">
      <c r="A5531" s="5">
        <v>26</v>
      </c>
      <c r="B5531" s="6" t="s">
        <v>11100</v>
      </c>
      <c r="C5531" s="7">
        <v>28120</v>
      </c>
      <c r="D5531" s="8" t="s">
        <v>11101</v>
      </c>
    </row>
    <row r="5532" spans="1:4" ht="14.25">
      <c r="A5532" s="5">
        <v>27</v>
      </c>
      <c r="B5532" s="6" t="s">
        <v>11102</v>
      </c>
      <c r="C5532" s="7">
        <v>28121</v>
      </c>
      <c r="D5532" s="8" t="s">
        <v>11103</v>
      </c>
    </row>
    <row r="5533" spans="1:4" ht="14.25">
      <c r="A5533" s="5">
        <v>27</v>
      </c>
      <c r="B5533" s="6" t="s">
        <v>11104</v>
      </c>
      <c r="C5533" s="7">
        <v>28121</v>
      </c>
      <c r="D5533" s="8" t="s">
        <v>11105</v>
      </c>
    </row>
    <row r="5534" spans="1:4" ht="14.25">
      <c r="A5534" s="5">
        <v>27</v>
      </c>
      <c r="B5534" s="6" t="s">
        <v>11106</v>
      </c>
      <c r="C5534" s="7">
        <v>28121</v>
      </c>
      <c r="D5534" s="8" t="s">
        <v>11107</v>
      </c>
    </row>
    <row r="5535" spans="1:4" ht="14.25">
      <c r="A5535" s="5" t="s">
        <v>968</v>
      </c>
      <c r="B5535" s="6" t="s">
        <v>11108</v>
      </c>
      <c r="C5535" s="7">
        <v>28122</v>
      </c>
      <c r="D5535" s="8" t="s">
        <v>11109</v>
      </c>
    </row>
    <row r="5536" spans="1:4" ht="14.25">
      <c r="A5536" s="5">
        <v>28</v>
      </c>
      <c r="B5536" s="6" t="s">
        <v>11110</v>
      </c>
      <c r="C5536" s="7">
        <v>28122</v>
      </c>
      <c r="D5536" s="8" t="s">
        <v>11111</v>
      </c>
    </row>
    <row r="5537" spans="1:4" ht="14.25">
      <c r="A5537" s="5">
        <v>28</v>
      </c>
      <c r="B5537" s="6" t="s">
        <v>11112</v>
      </c>
      <c r="C5537" s="7">
        <v>28122</v>
      </c>
      <c r="D5537" s="8" t="s">
        <v>11113</v>
      </c>
    </row>
    <row r="5538" spans="1:4" ht="14.25">
      <c r="A5538" s="5">
        <v>28</v>
      </c>
      <c r="B5538" s="6" t="s">
        <v>11114</v>
      </c>
      <c r="C5538" s="7">
        <v>28122</v>
      </c>
      <c r="D5538" s="8" t="s">
        <v>11115</v>
      </c>
    </row>
    <row r="5539" spans="1:4" ht="14.25">
      <c r="A5539" s="5">
        <v>28</v>
      </c>
      <c r="B5539" s="6" t="s">
        <v>11116</v>
      </c>
      <c r="C5539" s="7">
        <v>28122</v>
      </c>
      <c r="D5539" s="8" t="s">
        <v>11117</v>
      </c>
    </row>
    <row r="5540" spans="1:4" ht="14.25">
      <c r="A5540" s="5" t="s">
        <v>968</v>
      </c>
      <c r="B5540" s="6" t="s">
        <v>11118</v>
      </c>
      <c r="C5540" s="7">
        <v>28123</v>
      </c>
      <c r="D5540" s="8" t="s">
        <v>11119</v>
      </c>
    </row>
    <row r="5541" spans="1:4" ht="14.25">
      <c r="A5541" s="5">
        <v>29</v>
      </c>
      <c r="B5541" s="6" t="s">
        <v>11120</v>
      </c>
      <c r="C5541" s="7">
        <v>28123</v>
      </c>
      <c r="D5541" s="8" t="s">
        <v>11121</v>
      </c>
    </row>
    <row r="5542" spans="1:4" ht="14.25">
      <c r="A5542" s="5">
        <v>29</v>
      </c>
      <c r="B5542" s="6" t="s">
        <v>11122</v>
      </c>
      <c r="C5542" s="7">
        <v>28123</v>
      </c>
      <c r="D5542" s="8" t="s">
        <v>11123</v>
      </c>
    </row>
    <row r="5543" spans="1:4" ht="14.25">
      <c r="A5543" s="5">
        <v>29</v>
      </c>
      <c r="B5543" s="6" t="s">
        <v>11124</v>
      </c>
      <c r="C5543" s="7">
        <v>28123</v>
      </c>
      <c r="D5543" s="8" t="s">
        <v>11125</v>
      </c>
    </row>
    <row r="5544" spans="1:4" ht="14.25">
      <c r="A5544" s="5">
        <v>29</v>
      </c>
      <c r="B5544" s="6" t="s">
        <v>11126</v>
      </c>
      <c r="C5544" s="7">
        <v>28123</v>
      </c>
      <c r="D5544" s="8" t="s">
        <v>11127</v>
      </c>
    </row>
    <row r="5545" spans="1:4" ht="14.25">
      <c r="A5545" s="5">
        <v>30</v>
      </c>
      <c r="B5545" s="6" t="s">
        <v>11128</v>
      </c>
      <c r="C5545" s="7">
        <v>28124</v>
      </c>
      <c r="D5545" s="8" t="s">
        <v>11129</v>
      </c>
    </row>
    <row r="5546" spans="1:4" ht="14.25">
      <c r="A5546" s="5">
        <v>31</v>
      </c>
      <c r="B5546" s="6" t="s">
        <v>11130</v>
      </c>
      <c r="C5546" s="7">
        <v>28125</v>
      </c>
      <c r="D5546" s="8" t="s">
        <v>11131</v>
      </c>
    </row>
    <row r="5547" spans="1:4" ht="14.25">
      <c r="A5547" s="5">
        <v>31</v>
      </c>
      <c r="B5547" s="6" t="s">
        <v>11132</v>
      </c>
      <c r="C5547" s="7">
        <v>28125</v>
      </c>
      <c r="D5547" s="8" t="s">
        <v>11133</v>
      </c>
    </row>
    <row r="5548" spans="1:4" ht="14.25">
      <c r="A5548" s="5">
        <v>31</v>
      </c>
      <c r="B5548" s="6" t="s">
        <v>11134</v>
      </c>
      <c r="C5548" s="7">
        <v>28125</v>
      </c>
      <c r="D5548" s="8" t="s">
        <v>11135</v>
      </c>
    </row>
    <row r="5549" spans="1:4" ht="14.25">
      <c r="A5549" s="5" t="s">
        <v>463</v>
      </c>
      <c r="B5549" s="6" t="s">
        <v>11136</v>
      </c>
      <c r="C5549" s="7">
        <v>28127</v>
      </c>
      <c r="D5549" s="8" t="s">
        <v>11137</v>
      </c>
    </row>
    <row r="5550" spans="1:4" ht="14.25">
      <c r="A5550" s="5">
        <v>2</v>
      </c>
      <c r="B5550" s="6" t="s">
        <v>11138</v>
      </c>
      <c r="C5550" s="7">
        <v>28127</v>
      </c>
      <c r="D5550" s="8" t="s">
        <v>11139</v>
      </c>
    </row>
    <row r="5551" spans="1:4" ht="14.25">
      <c r="A5551" s="5">
        <v>2</v>
      </c>
      <c r="B5551" s="6" t="s">
        <v>11140</v>
      </c>
      <c r="C5551" s="7">
        <v>28127</v>
      </c>
      <c r="D5551" s="8" t="s">
        <v>11141</v>
      </c>
    </row>
    <row r="5552" spans="1:4" ht="14.25">
      <c r="A5552" s="5">
        <v>2</v>
      </c>
      <c r="B5552" s="6" t="s">
        <v>11142</v>
      </c>
      <c r="C5552" s="7">
        <v>28127</v>
      </c>
      <c r="D5552" s="8" t="s">
        <v>11143</v>
      </c>
    </row>
    <row r="5553" spans="1:4" ht="14.25">
      <c r="A5553" s="5">
        <v>2</v>
      </c>
      <c r="B5553" s="6" t="s">
        <v>11144</v>
      </c>
      <c r="C5553" s="7">
        <v>28127</v>
      </c>
      <c r="D5553" s="8" t="s">
        <v>11145</v>
      </c>
    </row>
    <row r="5554" spans="1:4" ht="14.25">
      <c r="A5554" s="5">
        <v>2</v>
      </c>
      <c r="B5554" s="6" t="s">
        <v>11146</v>
      </c>
      <c r="C5554" s="7">
        <v>28127</v>
      </c>
      <c r="D5554" s="8" t="s">
        <v>11147</v>
      </c>
    </row>
    <row r="5555" spans="1:4" ht="14.25">
      <c r="A5555" s="5">
        <v>3</v>
      </c>
      <c r="B5555" s="6" t="s">
        <v>11148</v>
      </c>
      <c r="C5555" s="7">
        <v>28128</v>
      </c>
      <c r="D5555" s="8" t="s">
        <v>11149</v>
      </c>
    </row>
    <row r="5556" spans="1:4" ht="14.25">
      <c r="A5556" s="5">
        <v>3</v>
      </c>
      <c r="B5556" s="6" t="s">
        <v>11150</v>
      </c>
      <c r="C5556" s="7">
        <v>28128</v>
      </c>
      <c r="D5556" s="8" t="s">
        <v>11151</v>
      </c>
    </row>
    <row r="5557" spans="1:4" ht="14.25">
      <c r="A5557" s="5" t="s">
        <v>484</v>
      </c>
      <c r="B5557" s="6" t="s">
        <v>11152</v>
      </c>
      <c r="C5557" s="7">
        <v>28129</v>
      </c>
      <c r="D5557" s="8" t="s">
        <v>11153</v>
      </c>
    </row>
    <row r="5558" spans="1:4" ht="14.25">
      <c r="A5558" s="5">
        <v>4</v>
      </c>
      <c r="B5558" s="6" t="s">
        <v>11154</v>
      </c>
      <c r="C5558" s="7">
        <v>28129</v>
      </c>
      <c r="D5558" s="8" t="s">
        <v>11155</v>
      </c>
    </row>
    <row r="5559" spans="1:4" ht="14.25">
      <c r="A5559" s="5">
        <v>4</v>
      </c>
      <c r="B5559" s="6" t="s">
        <v>11156</v>
      </c>
      <c r="C5559" s="7">
        <v>28129</v>
      </c>
      <c r="D5559" s="8" t="s">
        <v>11157</v>
      </c>
    </row>
    <row r="5560" spans="1:4" ht="14.25">
      <c r="A5560" s="5">
        <v>4</v>
      </c>
      <c r="B5560" s="6" t="s">
        <v>11158</v>
      </c>
      <c r="C5560" s="7">
        <v>28129</v>
      </c>
      <c r="D5560" s="8" t="s">
        <v>11159</v>
      </c>
    </row>
    <row r="5561" spans="1:4" ht="14.25">
      <c r="A5561" s="5" t="s">
        <v>463</v>
      </c>
      <c r="B5561" s="6" t="s">
        <v>11160</v>
      </c>
      <c r="C5561" s="7">
        <v>28130</v>
      </c>
      <c r="D5561" s="8" t="s">
        <v>11161</v>
      </c>
    </row>
    <row r="5562" spans="1:4" ht="14.25">
      <c r="A5562" s="5">
        <v>5</v>
      </c>
      <c r="B5562" s="6" t="s">
        <v>11162</v>
      </c>
      <c r="C5562" s="7">
        <v>28130</v>
      </c>
      <c r="D5562" s="8" t="s">
        <v>11163</v>
      </c>
    </row>
    <row r="5563" spans="1:4" ht="14.25">
      <c r="A5563" s="5">
        <v>5</v>
      </c>
      <c r="B5563" s="6" t="s">
        <v>11164</v>
      </c>
      <c r="C5563" s="7">
        <v>28130</v>
      </c>
      <c r="D5563" s="8" t="s">
        <v>11165</v>
      </c>
    </row>
    <row r="5564" spans="1:4" ht="14.25">
      <c r="A5564" s="5">
        <v>5</v>
      </c>
      <c r="B5564" s="6" t="s">
        <v>11166</v>
      </c>
      <c r="C5564" s="7">
        <v>28130</v>
      </c>
      <c r="D5564" s="8" t="s">
        <v>11167</v>
      </c>
    </row>
    <row r="5565" spans="1:4" ht="14.25">
      <c r="A5565" s="5">
        <v>5</v>
      </c>
      <c r="B5565" s="6" t="s">
        <v>11168</v>
      </c>
      <c r="C5565" s="7">
        <v>28130</v>
      </c>
      <c r="D5565" s="8" t="s">
        <v>11169</v>
      </c>
    </row>
    <row r="5566" spans="1:4" ht="14.25">
      <c r="A5566" s="5">
        <v>6</v>
      </c>
      <c r="B5566" s="6" t="s">
        <v>11170</v>
      </c>
      <c r="C5566" s="7">
        <v>28131</v>
      </c>
      <c r="D5566" s="8" t="s">
        <v>11171</v>
      </c>
    </row>
    <row r="5567" spans="1:4" ht="14.25">
      <c r="A5567" s="5">
        <v>6</v>
      </c>
      <c r="B5567" s="6" t="s">
        <v>11172</v>
      </c>
      <c r="C5567" s="7">
        <v>28131</v>
      </c>
      <c r="D5567" s="8" t="s">
        <v>11173</v>
      </c>
    </row>
    <row r="5568" spans="1:4" ht="14.25">
      <c r="A5568" s="5">
        <v>7</v>
      </c>
      <c r="B5568" s="6" t="s">
        <v>11174</v>
      </c>
      <c r="C5568" s="7">
        <v>28132</v>
      </c>
      <c r="D5568" s="8" t="s">
        <v>11175</v>
      </c>
    </row>
    <row r="5569" spans="1:4" ht="14.25">
      <c r="A5569" s="5">
        <v>7</v>
      </c>
      <c r="B5569" s="6" t="s">
        <v>11176</v>
      </c>
      <c r="C5569" s="7">
        <v>28132</v>
      </c>
      <c r="D5569" s="8" t="s">
        <v>11177</v>
      </c>
    </row>
    <row r="5570" spans="1:4" ht="14.25">
      <c r="A5570" s="5" t="s">
        <v>484</v>
      </c>
      <c r="B5570" s="6" t="s">
        <v>11178</v>
      </c>
      <c r="C5570" s="7">
        <v>28133</v>
      </c>
      <c r="D5570" s="8" t="s">
        <v>11179</v>
      </c>
    </row>
    <row r="5571" spans="1:4" ht="14.25">
      <c r="A5571" s="5" t="s">
        <v>463</v>
      </c>
      <c r="B5571" s="6" t="s">
        <v>11180</v>
      </c>
      <c r="C5571" s="7">
        <v>28133</v>
      </c>
      <c r="D5571" s="8" t="s">
        <v>11181</v>
      </c>
    </row>
    <row r="5572" spans="1:4" ht="14.25">
      <c r="A5572" s="5">
        <v>8</v>
      </c>
      <c r="B5572" s="6" t="s">
        <v>11182</v>
      </c>
      <c r="C5572" s="7">
        <v>28133</v>
      </c>
      <c r="D5572" s="8" t="s">
        <v>11183</v>
      </c>
    </row>
    <row r="5573" spans="1:4" ht="14.25">
      <c r="A5573" s="5">
        <v>8</v>
      </c>
      <c r="B5573" s="6" t="s">
        <v>11184</v>
      </c>
      <c r="C5573" s="7">
        <v>28133</v>
      </c>
      <c r="D5573" s="8" t="s">
        <v>11185</v>
      </c>
    </row>
    <row r="5574" spans="1:4" ht="14.25">
      <c r="A5574" s="5">
        <v>8</v>
      </c>
      <c r="B5574" s="6" t="s">
        <v>11186</v>
      </c>
      <c r="C5574" s="7">
        <v>28133</v>
      </c>
      <c r="D5574" s="8" t="s">
        <v>11187</v>
      </c>
    </row>
    <row r="5575" spans="1:4" ht="14.25">
      <c r="A5575" s="5">
        <v>8</v>
      </c>
      <c r="B5575" s="6" t="s">
        <v>11188</v>
      </c>
      <c r="C5575" s="7">
        <v>28133</v>
      </c>
      <c r="D5575" s="8" t="s">
        <v>11189</v>
      </c>
    </row>
    <row r="5576" spans="1:4" ht="14.25">
      <c r="A5576" s="5">
        <v>8</v>
      </c>
      <c r="B5576" s="6" t="s">
        <v>11190</v>
      </c>
      <c r="C5576" s="7">
        <v>28133</v>
      </c>
      <c r="D5576" s="8" t="s">
        <v>11191</v>
      </c>
    </row>
    <row r="5577" spans="1:4" ht="14.25">
      <c r="A5577" s="5">
        <v>8</v>
      </c>
      <c r="B5577" s="6" t="s">
        <v>11192</v>
      </c>
      <c r="C5577" s="7">
        <v>28133</v>
      </c>
      <c r="D5577" s="8" t="s">
        <v>11193</v>
      </c>
    </row>
    <row r="5578" spans="1:4" ht="14.25">
      <c r="A5578" s="5">
        <v>8</v>
      </c>
      <c r="B5578" s="6" t="s">
        <v>11194</v>
      </c>
      <c r="C5578" s="7">
        <v>28133</v>
      </c>
      <c r="D5578" s="8" t="s">
        <v>11195</v>
      </c>
    </row>
    <row r="5579" spans="1:4" ht="14.25">
      <c r="A5579" s="5">
        <v>8</v>
      </c>
      <c r="B5579" s="6" t="s">
        <v>11196</v>
      </c>
      <c r="C5579" s="7">
        <v>28133</v>
      </c>
      <c r="D5579" s="8" t="s">
        <v>11197</v>
      </c>
    </row>
    <row r="5580" spans="1:4" ht="14.25">
      <c r="A5580" s="5">
        <v>8</v>
      </c>
      <c r="B5580" s="6" t="s">
        <v>11198</v>
      </c>
      <c r="C5580" s="7">
        <v>28133</v>
      </c>
      <c r="D5580" s="8" t="s">
        <v>11199</v>
      </c>
    </row>
    <row r="5581" spans="1:4" ht="14.25">
      <c r="A5581" s="5">
        <v>8</v>
      </c>
      <c r="B5581" s="6" t="s">
        <v>11200</v>
      </c>
      <c r="C5581" s="7">
        <v>28133</v>
      </c>
      <c r="D5581" s="8" t="s">
        <v>11201</v>
      </c>
    </row>
    <row r="5582" spans="1:4" ht="14.25">
      <c r="A5582" s="5" t="s">
        <v>463</v>
      </c>
      <c r="B5582" s="6" t="s">
        <v>11202</v>
      </c>
      <c r="C5582" s="7">
        <v>28134</v>
      </c>
      <c r="D5582" s="8" t="s">
        <v>11203</v>
      </c>
    </row>
    <row r="5583" spans="1:4" ht="14.25">
      <c r="A5583" s="5" t="s">
        <v>463</v>
      </c>
      <c r="B5583" s="6" t="s">
        <v>11204</v>
      </c>
      <c r="C5583" s="7">
        <v>28134</v>
      </c>
      <c r="D5583" s="8" t="s">
        <v>11205</v>
      </c>
    </row>
    <row r="5584" spans="1:4" ht="14.25">
      <c r="A5584" s="5">
        <v>9</v>
      </c>
      <c r="B5584" s="6" t="s">
        <v>11206</v>
      </c>
      <c r="C5584" s="7">
        <v>28134</v>
      </c>
      <c r="D5584" s="8" t="s">
        <v>11207</v>
      </c>
    </row>
    <row r="5585" spans="1:4" ht="14.25">
      <c r="A5585" s="5">
        <v>9</v>
      </c>
      <c r="B5585" s="6" t="s">
        <v>11208</v>
      </c>
      <c r="C5585" s="7">
        <v>28134</v>
      </c>
      <c r="D5585" s="8" t="s">
        <v>11209</v>
      </c>
    </row>
    <row r="5586" spans="1:4" ht="14.25">
      <c r="A5586" s="5">
        <v>9</v>
      </c>
      <c r="B5586" s="6" t="s">
        <v>11210</v>
      </c>
      <c r="C5586" s="7">
        <v>28134</v>
      </c>
      <c r="D5586" s="8" t="s">
        <v>11211</v>
      </c>
    </row>
    <row r="5587" spans="1:4" ht="14.25">
      <c r="A5587" s="5">
        <v>9</v>
      </c>
      <c r="B5587" s="6" t="s">
        <v>11212</v>
      </c>
      <c r="C5587" s="7">
        <v>28134</v>
      </c>
      <c r="D5587" s="8" t="s">
        <v>11213</v>
      </c>
    </row>
    <row r="5588" spans="1:4" ht="14.25">
      <c r="A5588" s="5">
        <v>9</v>
      </c>
      <c r="B5588" s="6" t="s">
        <v>11214</v>
      </c>
      <c r="C5588" s="7">
        <v>28134</v>
      </c>
      <c r="D5588" s="8" t="s">
        <v>11215</v>
      </c>
    </row>
    <row r="5589" spans="1:4" ht="14.25">
      <c r="A5589" s="5">
        <v>9</v>
      </c>
      <c r="B5589" s="6" t="s">
        <v>11216</v>
      </c>
      <c r="C5589" s="7">
        <v>28134</v>
      </c>
      <c r="D5589" s="8" t="s">
        <v>11217</v>
      </c>
    </row>
    <row r="5590" spans="1:4" ht="14.25">
      <c r="A5590" s="5">
        <v>10</v>
      </c>
      <c r="B5590" s="6" t="s">
        <v>11218</v>
      </c>
      <c r="C5590" s="7">
        <v>28135</v>
      </c>
      <c r="D5590" s="8" t="s">
        <v>11219</v>
      </c>
    </row>
    <row r="5591" spans="1:4" ht="14.25">
      <c r="A5591" s="5">
        <v>11</v>
      </c>
      <c r="B5591" s="6" t="s">
        <v>11220</v>
      </c>
      <c r="C5591" s="7">
        <v>28136</v>
      </c>
      <c r="D5591" s="8" t="s">
        <v>11221</v>
      </c>
    </row>
    <row r="5592" spans="1:4" ht="14.25">
      <c r="A5592" s="5">
        <v>13</v>
      </c>
      <c r="B5592" s="6" t="s">
        <v>11222</v>
      </c>
      <c r="C5592" s="7">
        <v>28138</v>
      </c>
      <c r="D5592" s="8" t="s">
        <v>11223</v>
      </c>
    </row>
    <row r="5593" spans="1:4" ht="14.25">
      <c r="A5593" s="5">
        <v>13</v>
      </c>
      <c r="B5593" s="6" t="s">
        <v>11224</v>
      </c>
      <c r="C5593" s="7">
        <v>28138</v>
      </c>
      <c r="D5593" s="8" t="s">
        <v>11225</v>
      </c>
    </row>
    <row r="5594" spans="1:4" ht="14.25">
      <c r="A5594" s="5" t="s">
        <v>167</v>
      </c>
      <c r="B5594" s="6" t="s">
        <v>11226</v>
      </c>
      <c r="C5594" s="7">
        <v>28140</v>
      </c>
      <c r="D5594" s="8" t="s">
        <v>11227</v>
      </c>
    </row>
    <row r="5595" spans="1:4" ht="14.25">
      <c r="A5595" s="5">
        <v>15</v>
      </c>
      <c r="B5595" s="6" t="s">
        <v>11228</v>
      </c>
      <c r="C5595" s="7">
        <v>28140</v>
      </c>
      <c r="D5595" s="8" t="s">
        <v>11229</v>
      </c>
    </row>
    <row r="5596" spans="1:4" ht="14.25">
      <c r="A5596" s="5">
        <v>15</v>
      </c>
      <c r="B5596" s="6" t="s">
        <v>11230</v>
      </c>
      <c r="C5596" s="7">
        <v>28140</v>
      </c>
      <c r="D5596" s="8" t="s">
        <v>11231</v>
      </c>
    </row>
    <row r="5597" spans="1:4" ht="14.25">
      <c r="A5597" s="5">
        <v>15</v>
      </c>
      <c r="B5597" s="6" t="s">
        <v>11232</v>
      </c>
      <c r="C5597" s="7">
        <v>28140</v>
      </c>
      <c r="D5597" s="8" t="s">
        <v>11233</v>
      </c>
    </row>
    <row r="5598" spans="1:4" ht="14.25">
      <c r="A5598" s="5">
        <v>16</v>
      </c>
      <c r="B5598" s="6" t="s">
        <v>11234</v>
      </c>
      <c r="C5598" s="7">
        <v>28141</v>
      </c>
      <c r="D5598" s="8" t="s">
        <v>11235</v>
      </c>
    </row>
    <row r="5599" spans="1:4" ht="14.25">
      <c r="A5599" s="5">
        <v>16</v>
      </c>
      <c r="B5599" s="6" t="s">
        <v>11236</v>
      </c>
      <c r="C5599" s="7">
        <v>28141</v>
      </c>
      <c r="D5599" s="8" t="s">
        <v>11237</v>
      </c>
    </row>
    <row r="5600" spans="1:4" ht="14.25">
      <c r="A5600" s="5">
        <v>16</v>
      </c>
      <c r="B5600" s="6" t="s">
        <v>11238</v>
      </c>
      <c r="C5600" s="7">
        <v>28141</v>
      </c>
      <c r="D5600" s="8" t="s">
        <v>11239</v>
      </c>
    </row>
    <row r="5601" spans="1:4" ht="14.25">
      <c r="A5601" s="5">
        <v>19</v>
      </c>
      <c r="B5601" s="6" t="s">
        <v>11240</v>
      </c>
      <c r="C5601" s="7">
        <v>28144</v>
      </c>
      <c r="D5601" s="8" t="s">
        <v>11241</v>
      </c>
    </row>
    <row r="5602" spans="1:4" ht="14.25">
      <c r="A5602" s="5">
        <v>19</v>
      </c>
      <c r="B5602" s="6" t="s">
        <v>11242</v>
      </c>
      <c r="C5602" s="7">
        <v>28144</v>
      </c>
      <c r="D5602" s="8" t="s">
        <v>11243</v>
      </c>
    </row>
    <row r="5603" spans="1:4" ht="14.25">
      <c r="A5603" s="5">
        <v>19</v>
      </c>
      <c r="B5603" s="6" t="s">
        <v>11244</v>
      </c>
      <c r="C5603" s="7">
        <v>28144</v>
      </c>
      <c r="D5603" s="8" t="s">
        <v>11245</v>
      </c>
    </row>
    <row r="5604" spans="1:4" ht="14.25">
      <c r="A5604" s="5">
        <v>19</v>
      </c>
      <c r="B5604" s="6" t="s">
        <v>11246</v>
      </c>
      <c r="C5604" s="7">
        <v>28144</v>
      </c>
      <c r="D5604" s="8" t="s">
        <v>11247</v>
      </c>
    </row>
    <row r="5605" spans="1:4" ht="14.25">
      <c r="A5605" s="5">
        <v>20</v>
      </c>
      <c r="B5605" s="6" t="s">
        <v>11248</v>
      </c>
      <c r="C5605" s="7">
        <v>28145</v>
      </c>
      <c r="D5605" s="8" t="s">
        <v>11249</v>
      </c>
    </row>
    <row r="5606" spans="1:4" ht="14.25">
      <c r="A5606" s="5">
        <v>20</v>
      </c>
      <c r="B5606" s="6" t="s">
        <v>11250</v>
      </c>
      <c r="C5606" s="7">
        <v>28145</v>
      </c>
      <c r="D5606" s="8" t="s">
        <v>11251</v>
      </c>
    </row>
    <row r="5607" spans="1:4" ht="14.25">
      <c r="A5607" s="5">
        <v>20</v>
      </c>
      <c r="B5607" s="6" t="s">
        <v>11252</v>
      </c>
      <c r="C5607" s="7">
        <v>28145</v>
      </c>
      <c r="D5607" s="8" t="s">
        <v>11253</v>
      </c>
    </row>
    <row r="5608" spans="1:4" ht="14.25">
      <c r="A5608" s="5">
        <v>21</v>
      </c>
      <c r="B5608" s="6" t="s">
        <v>11254</v>
      </c>
      <c r="C5608" s="7">
        <v>28146</v>
      </c>
      <c r="D5608" s="8" t="s">
        <v>11255</v>
      </c>
    </row>
    <row r="5609" spans="1:4" ht="14.25">
      <c r="A5609" s="5">
        <v>21</v>
      </c>
      <c r="B5609" s="6" t="s">
        <v>11256</v>
      </c>
      <c r="C5609" s="7">
        <v>28146</v>
      </c>
      <c r="D5609" s="8" t="s">
        <v>11257</v>
      </c>
    </row>
    <row r="5610" spans="1:4" ht="14.25">
      <c r="A5610" s="5">
        <v>21</v>
      </c>
      <c r="B5610" s="6" t="s">
        <v>11258</v>
      </c>
      <c r="C5610" s="7">
        <v>28146</v>
      </c>
      <c r="D5610" s="8" t="s">
        <v>11259</v>
      </c>
    </row>
    <row r="5611" spans="1:4" ht="14.25">
      <c r="A5611" s="5">
        <v>21</v>
      </c>
      <c r="B5611" s="6" t="s">
        <v>11260</v>
      </c>
      <c r="C5611" s="7">
        <v>28146</v>
      </c>
      <c r="D5611" s="8" t="s">
        <v>11261</v>
      </c>
    </row>
    <row r="5612" spans="1:4" ht="14.25">
      <c r="A5612" s="5">
        <v>21</v>
      </c>
      <c r="B5612" s="6" t="s">
        <v>11262</v>
      </c>
      <c r="C5612" s="7">
        <v>28146</v>
      </c>
      <c r="D5612" s="8" t="s">
        <v>11263</v>
      </c>
    </row>
    <row r="5613" spans="1:4" ht="14.25">
      <c r="A5613" s="5">
        <v>21</v>
      </c>
      <c r="B5613" s="6" t="s">
        <v>11264</v>
      </c>
      <c r="C5613" s="7">
        <v>28146</v>
      </c>
      <c r="D5613" s="8" t="s">
        <v>11265</v>
      </c>
    </row>
    <row r="5614" spans="1:4" ht="14.25">
      <c r="A5614" s="5">
        <v>21</v>
      </c>
      <c r="B5614" s="6" t="s">
        <v>11266</v>
      </c>
      <c r="C5614" s="7">
        <v>28146</v>
      </c>
      <c r="D5614" s="8" t="s">
        <v>11267</v>
      </c>
    </row>
    <row r="5615" spans="1:4" ht="14.25">
      <c r="A5615" s="5">
        <v>21</v>
      </c>
      <c r="B5615" s="6" t="s">
        <v>11268</v>
      </c>
      <c r="C5615" s="7">
        <v>28146</v>
      </c>
      <c r="D5615" s="8" t="s">
        <v>11269</v>
      </c>
    </row>
    <row r="5616" spans="1:4" ht="14.25">
      <c r="A5616" s="5">
        <v>22</v>
      </c>
      <c r="B5616" s="6" t="s">
        <v>11270</v>
      </c>
      <c r="C5616" s="7">
        <v>28147</v>
      </c>
      <c r="D5616" s="8" t="s">
        <v>11271</v>
      </c>
    </row>
    <row r="5617" spans="1:4" ht="14.25">
      <c r="A5617" s="5">
        <v>22</v>
      </c>
      <c r="B5617" s="6" t="s">
        <v>11272</v>
      </c>
      <c r="C5617" s="7">
        <v>28147</v>
      </c>
      <c r="D5617" s="8" t="s">
        <v>11273</v>
      </c>
    </row>
    <row r="5618" spans="1:4" ht="14.25">
      <c r="A5618" s="5">
        <v>22</v>
      </c>
      <c r="B5618" s="6" t="s">
        <v>11274</v>
      </c>
      <c r="C5618" s="7">
        <v>28147</v>
      </c>
      <c r="D5618" s="8" t="s">
        <v>11275</v>
      </c>
    </row>
    <row r="5619" spans="1:4" ht="14.25">
      <c r="A5619" s="5">
        <v>22</v>
      </c>
      <c r="B5619" s="6" t="s">
        <v>11276</v>
      </c>
      <c r="C5619" s="7">
        <v>28147</v>
      </c>
      <c r="D5619" s="8" t="s">
        <v>11277</v>
      </c>
    </row>
    <row r="5620" spans="1:4" ht="14.25">
      <c r="A5620" s="5" t="s">
        <v>167</v>
      </c>
      <c r="B5620" s="6" t="s">
        <v>11278</v>
      </c>
      <c r="C5620" s="7">
        <v>28148</v>
      </c>
      <c r="D5620" s="8" t="s">
        <v>11279</v>
      </c>
    </row>
    <row r="5621" spans="1:4" ht="14.25">
      <c r="A5621" s="5">
        <v>23</v>
      </c>
      <c r="B5621" s="6" t="s">
        <v>11280</v>
      </c>
      <c r="C5621" s="7">
        <v>28148</v>
      </c>
      <c r="D5621" s="8" t="s">
        <v>11281</v>
      </c>
    </row>
    <row r="5622" spans="1:4" ht="14.25">
      <c r="A5622" s="5">
        <v>23</v>
      </c>
      <c r="B5622" s="6" t="s">
        <v>11282</v>
      </c>
      <c r="C5622" s="7">
        <v>28148</v>
      </c>
      <c r="D5622" s="8" t="s">
        <v>11283</v>
      </c>
    </row>
    <row r="5623" spans="1:4" ht="14.25">
      <c r="A5623" s="5">
        <v>23</v>
      </c>
      <c r="B5623" s="6" t="s">
        <v>11284</v>
      </c>
      <c r="C5623" s="7">
        <v>28148</v>
      </c>
      <c r="D5623" s="8" t="s">
        <v>11285</v>
      </c>
    </row>
    <row r="5624" spans="1:4" ht="14.25">
      <c r="A5624" s="5">
        <v>23</v>
      </c>
      <c r="B5624" s="6" t="s">
        <v>11286</v>
      </c>
      <c r="C5624" s="7">
        <v>28148</v>
      </c>
      <c r="D5624" s="8" t="s">
        <v>11287</v>
      </c>
    </row>
    <row r="5625" spans="1:4" ht="14.25">
      <c r="A5625" s="5">
        <v>23</v>
      </c>
      <c r="B5625" s="6" t="s">
        <v>11288</v>
      </c>
      <c r="C5625" s="7">
        <v>28148</v>
      </c>
      <c r="D5625" s="8" t="s">
        <v>11289</v>
      </c>
    </row>
    <row r="5626" spans="1:4" ht="14.25">
      <c r="A5626" s="5" t="s">
        <v>167</v>
      </c>
      <c r="B5626" s="6" t="s">
        <v>11290</v>
      </c>
      <c r="C5626" s="7">
        <v>28149</v>
      </c>
      <c r="D5626" s="8" t="s">
        <v>11291</v>
      </c>
    </row>
    <row r="5627" spans="1:4" ht="14.25">
      <c r="A5627" s="5">
        <v>24</v>
      </c>
      <c r="B5627" s="6" t="s">
        <v>11292</v>
      </c>
      <c r="C5627" s="7">
        <v>28149</v>
      </c>
      <c r="D5627" s="8" t="s">
        <v>11293</v>
      </c>
    </row>
    <row r="5628" spans="1:4" ht="14.25">
      <c r="A5628" s="5">
        <v>24</v>
      </c>
      <c r="B5628" s="6" t="s">
        <v>11294</v>
      </c>
      <c r="C5628" s="7">
        <v>28149</v>
      </c>
      <c r="D5628" s="8" t="s">
        <v>11295</v>
      </c>
    </row>
    <row r="5629" spans="1:4" ht="14.25">
      <c r="A5629" s="5">
        <v>24</v>
      </c>
      <c r="B5629" s="6" t="s">
        <v>11296</v>
      </c>
      <c r="C5629" s="7">
        <v>28149</v>
      </c>
      <c r="D5629" s="8" t="s">
        <v>11297</v>
      </c>
    </row>
    <row r="5630" spans="1:4" ht="14.25">
      <c r="A5630" s="5">
        <v>24</v>
      </c>
      <c r="B5630" s="6" t="s">
        <v>11298</v>
      </c>
      <c r="C5630" s="7">
        <v>28149</v>
      </c>
      <c r="D5630" s="8" t="s">
        <v>11299</v>
      </c>
    </row>
    <row r="5631" spans="1:4" ht="14.25">
      <c r="A5631" s="5">
        <v>24</v>
      </c>
      <c r="B5631" s="6" t="s">
        <v>11300</v>
      </c>
      <c r="C5631" s="7">
        <v>28149</v>
      </c>
      <c r="D5631" s="8" t="s">
        <v>11301</v>
      </c>
    </row>
    <row r="5632" spans="1:4" ht="14.25">
      <c r="A5632" s="5" t="s">
        <v>463</v>
      </c>
      <c r="B5632" s="6" t="s">
        <v>11302</v>
      </c>
      <c r="C5632" s="7">
        <v>28150</v>
      </c>
      <c r="D5632" s="8" t="s">
        <v>11303</v>
      </c>
    </row>
    <row r="5633" spans="1:4" ht="14.25">
      <c r="A5633" s="5">
        <v>25</v>
      </c>
      <c r="B5633" s="6" t="s">
        <v>11304</v>
      </c>
      <c r="C5633" s="7">
        <v>28150</v>
      </c>
      <c r="D5633" s="8" t="s">
        <v>11305</v>
      </c>
    </row>
    <row r="5634" spans="1:4" ht="14.25">
      <c r="A5634" s="5">
        <v>25</v>
      </c>
      <c r="B5634" s="6" t="s">
        <v>11306</v>
      </c>
      <c r="C5634" s="7">
        <v>28150</v>
      </c>
      <c r="D5634" s="8" t="s">
        <v>11307</v>
      </c>
    </row>
    <row r="5635" spans="1:4" ht="14.25">
      <c r="A5635" s="5">
        <v>25</v>
      </c>
      <c r="B5635" s="6" t="s">
        <v>11308</v>
      </c>
      <c r="C5635" s="7">
        <v>28150</v>
      </c>
      <c r="D5635" s="8" t="s">
        <v>11309</v>
      </c>
    </row>
    <row r="5636" spans="1:4" ht="14.25">
      <c r="A5636" s="5">
        <v>25</v>
      </c>
      <c r="B5636" s="6" t="s">
        <v>11310</v>
      </c>
      <c r="C5636" s="7">
        <v>28150</v>
      </c>
      <c r="D5636" s="8" t="s">
        <v>11311</v>
      </c>
    </row>
    <row r="5637" spans="1:4" ht="14.25">
      <c r="A5637" s="5">
        <v>26</v>
      </c>
      <c r="B5637" s="6" t="s">
        <v>11312</v>
      </c>
      <c r="C5637" s="7">
        <v>28151</v>
      </c>
      <c r="D5637" s="8" t="s">
        <v>11313</v>
      </c>
    </row>
    <row r="5638" spans="1:4" ht="14.25">
      <c r="A5638" s="5">
        <v>26</v>
      </c>
      <c r="B5638" s="6" t="s">
        <v>11314</v>
      </c>
      <c r="C5638" s="7">
        <v>28151</v>
      </c>
      <c r="D5638" s="8" t="s">
        <v>11315</v>
      </c>
    </row>
    <row r="5639" spans="1:4" ht="14.25">
      <c r="A5639" s="5">
        <v>26</v>
      </c>
      <c r="B5639" s="6" t="s">
        <v>11316</v>
      </c>
      <c r="C5639" s="7">
        <v>28151</v>
      </c>
      <c r="D5639" s="8" t="s">
        <v>11317</v>
      </c>
    </row>
    <row r="5640" spans="1:4" ht="14.25">
      <c r="A5640" s="5">
        <v>27</v>
      </c>
      <c r="B5640" s="6" t="s">
        <v>11318</v>
      </c>
      <c r="C5640" s="7">
        <v>28152</v>
      </c>
      <c r="D5640" s="8" t="s">
        <v>11319</v>
      </c>
    </row>
    <row r="5641" spans="1:4" ht="14.25">
      <c r="A5641" s="5">
        <v>27</v>
      </c>
      <c r="B5641" s="6" t="s">
        <v>11320</v>
      </c>
      <c r="C5641" s="7">
        <v>28152</v>
      </c>
      <c r="D5641" s="8" t="s">
        <v>11321</v>
      </c>
    </row>
    <row r="5642" spans="1:4" ht="14.25">
      <c r="A5642" s="5">
        <v>27</v>
      </c>
      <c r="B5642" s="6" t="s">
        <v>11322</v>
      </c>
      <c r="C5642" s="7">
        <v>28152</v>
      </c>
      <c r="D5642" s="8" t="s">
        <v>11323</v>
      </c>
    </row>
    <row r="5643" spans="1:4" ht="14.25">
      <c r="A5643" s="5">
        <v>27</v>
      </c>
      <c r="B5643" s="6" t="s">
        <v>11324</v>
      </c>
      <c r="C5643" s="7">
        <v>28152</v>
      </c>
      <c r="D5643" s="8" t="s">
        <v>11325</v>
      </c>
    </row>
    <row r="5644" spans="1:4" ht="14.25">
      <c r="A5644" s="5">
        <v>28</v>
      </c>
      <c r="B5644" s="6" t="s">
        <v>11326</v>
      </c>
      <c r="C5644" s="7">
        <v>28153</v>
      </c>
      <c r="D5644" s="8" t="s">
        <v>11327</v>
      </c>
    </row>
    <row r="5645" spans="1:4" ht="14.25">
      <c r="A5645" s="5">
        <v>28</v>
      </c>
      <c r="B5645" s="6" t="s">
        <v>11328</v>
      </c>
      <c r="C5645" s="7">
        <v>28153</v>
      </c>
      <c r="D5645" s="8" t="s">
        <v>11329</v>
      </c>
    </row>
    <row r="5646" spans="1:4" ht="14.25">
      <c r="A5646" s="5">
        <v>28</v>
      </c>
      <c r="B5646" s="6" t="s">
        <v>11330</v>
      </c>
      <c r="C5646" s="7">
        <v>28153</v>
      </c>
      <c r="D5646" s="8" t="s">
        <v>11331</v>
      </c>
    </row>
    <row r="5647" spans="1:4" ht="14.25">
      <c r="A5647" s="5">
        <v>29</v>
      </c>
      <c r="B5647" s="6" t="s">
        <v>11332</v>
      </c>
      <c r="C5647" s="7">
        <v>28154</v>
      </c>
      <c r="D5647" s="8" t="s">
        <v>11333</v>
      </c>
    </row>
    <row r="5648" spans="1:4" ht="14.25">
      <c r="A5648" s="5">
        <v>29</v>
      </c>
      <c r="B5648" s="6" t="s">
        <v>11334</v>
      </c>
      <c r="C5648" s="7">
        <v>28154</v>
      </c>
      <c r="D5648" s="8" t="s">
        <v>11335</v>
      </c>
    </row>
    <row r="5649" spans="1:4" ht="14.25">
      <c r="A5649" s="5">
        <v>29</v>
      </c>
      <c r="B5649" s="6" t="s">
        <v>11336</v>
      </c>
      <c r="C5649" s="7">
        <v>28154</v>
      </c>
      <c r="D5649" s="8" t="s">
        <v>11337</v>
      </c>
    </row>
    <row r="5650" spans="1:4" ht="14.25">
      <c r="A5650" s="5">
        <v>29</v>
      </c>
      <c r="B5650" s="6" t="s">
        <v>11338</v>
      </c>
      <c r="C5650" s="7">
        <v>28154</v>
      </c>
      <c r="D5650" s="8" t="s">
        <v>11339</v>
      </c>
    </row>
    <row r="5651" spans="1:4" ht="14.25">
      <c r="A5651" s="5" t="s">
        <v>484</v>
      </c>
      <c r="B5651" s="6" t="s">
        <v>11340</v>
      </c>
      <c r="C5651" s="7">
        <v>28155</v>
      </c>
      <c r="D5651" s="8" t="s">
        <v>11341</v>
      </c>
    </row>
    <row r="5652" spans="1:4" ht="14.25">
      <c r="A5652" s="5">
        <v>30</v>
      </c>
      <c r="B5652" s="6" t="s">
        <v>11342</v>
      </c>
      <c r="C5652" s="7">
        <v>28155</v>
      </c>
      <c r="D5652" s="8" t="s">
        <v>11343</v>
      </c>
    </row>
    <row r="5653" spans="1:4" ht="14.25">
      <c r="A5653" s="5">
        <v>30</v>
      </c>
      <c r="B5653" s="6" t="s">
        <v>11344</v>
      </c>
      <c r="C5653" s="7">
        <v>28155</v>
      </c>
      <c r="D5653" s="8" t="s">
        <v>11345</v>
      </c>
    </row>
    <row r="5654" spans="1:4" ht="14.25">
      <c r="A5654" s="5">
        <v>30</v>
      </c>
      <c r="B5654" s="6" t="s">
        <v>11346</v>
      </c>
      <c r="C5654" s="7">
        <v>28155</v>
      </c>
      <c r="D5654" s="8" t="s">
        <v>11347</v>
      </c>
    </row>
    <row r="5655" spans="1:4" ht="14.25">
      <c r="A5655" s="5">
        <v>30</v>
      </c>
      <c r="B5655" s="6" t="s">
        <v>11348</v>
      </c>
      <c r="C5655" s="7">
        <v>28155</v>
      </c>
      <c r="D5655" s="8" t="s">
        <v>11349</v>
      </c>
    </row>
    <row r="5656" spans="1:4" ht="14.25">
      <c r="A5656" s="5" t="s">
        <v>197</v>
      </c>
      <c r="B5656" s="6" t="s">
        <v>11350</v>
      </c>
      <c r="C5656" s="7">
        <v>28156</v>
      </c>
      <c r="D5656" s="8" t="s">
        <v>11351</v>
      </c>
    </row>
    <row r="5657" spans="1:4" ht="14.25">
      <c r="A5657" s="5" t="s">
        <v>463</v>
      </c>
      <c r="B5657" s="6" t="s">
        <v>11352</v>
      </c>
      <c r="C5657" s="7">
        <v>28156</v>
      </c>
      <c r="D5657" s="8" t="s">
        <v>11353</v>
      </c>
    </row>
    <row r="5658" spans="1:4" ht="14.25">
      <c r="A5658" s="5">
        <v>31</v>
      </c>
      <c r="B5658" s="6" t="s">
        <v>11354</v>
      </c>
      <c r="C5658" s="7">
        <v>28156</v>
      </c>
      <c r="D5658" s="8" t="s">
        <v>11355</v>
      </c>
    </row>
    <row r="5659" spans="1:4" ht="14.25">
      <c r="A5659" s="5">
        <v>31</v>
      </c>
      <c r="B5659" s="6" t="s">
        <v>11356</v>
      </c>
      <c r="C5659" s="7">
        <v>28156</v>
      </c>
      <c r="D5659" s="8" t="s">
        <v>11357</v>
      </c>
    </row>
    <row r="5660" spans="1:4" ht="14.25">
      <c r="A5660" s="5">
        <v>31</v>
      </c>
      <c r="B5660" s="6" t="s">
        <v>11358</v>
      </c>
      <c r="C5660" s="7">
        <v>28156</v>
      </c>
      <c r="D5660" s="8" t="s">
        <v>11359</v>
      </c>
    </row>
    <row r="5661" spans="1:4" ht="14.25">
      <c r="A5661" s="5">
        <v>31</v>
      </c>
      <c r="B5661" s="6" t="s">
        <v>11360</v>
      </c>
      <c r="C5661" s="7">
        <v>28156</v>
      </c>
      <c r="D5661" s="8" t="s">
        <v>11361</v>
      </c>
    </row>
    <row r="5662" spans="1:4" ht="14.25">
      <c r="A5662" s="5">
        <v>31</v>
      </c>
      <c r="B5662" s="6" t="s">
        <v>11362</v>
      </c>
      <c r="C5662" s="7">
        <v>28156</v>
      </c>
      <c r="D5662" s="8" t="s">
        <v>11363</v>
      </c>
    </row>
    <row r="5663" spans="1:4" ht="14.25">
      <c r="A5663" s="5">
        <v>31</v>
      </c>
      <c r="B5663" s="6" t="s">
        <v>11364</v>
      </c>
      <c r="C5663" s="7">
        <v>28156</v>
      </c>
      <c r="D5663" s="8" t="s">
        <v>11365</v>
      </c>
    </row>
    <row r="5664" spans="1:4" ht="14.25">
      <c r="A5664" s="5">
        <v>31</v>
      </c>
      <c r="B5664" s="6" t="s">
        <v>11366</v>
      </c>
      <c r="C5664" s="7">
        <v>28156</v>
      </c>
      <c r="D5664" s="8" t="s">
        <v>11367</v>
      </c>
    </row>
    <row r="5665" spans="1:4" ht="14.25">
      <c r="A5665" s="5" t="s">
        <v>484</v>
      </c>
      <c r="B5665" s="6" t="s">
        <v>11368</v>
      </c>
      <c r="C5665" s="7">
        <v>28157</v>
      </c>
      <c r="D5665" s="8" t="s">
        <v>11369</v>
      </c>
    </row>
    <row r="5666" spans="1:4" ht="14.25">
      <c r="A5666" s="5">
        <v>1</v>
      </c>
      <c r="B5666" s="6" t="s">
        <v>11370</v>
      </c>
      <c r="C5666" s="7">
        <v>28157</v>
      </c>
      <c r="D5666" s="8" t="s">
        <v>11371</v>
      </c>
    </row>
    <row r="5667" spans="1:4" ht="14.25">
      <c r="A5667" s="5">
        <v>1</v>
      </c>
      <c r="B5667" s="6" t="s">
        <v>11372</v>
      </c>
      <c r="C5667" s="7">
        <v>28157</v>
      </c>
      <c r="D5667" s="8" t="s">
        <v>11373</v>
      </c>
    </row>
    <row r="5668" spans="1:4" ht="14.25">
      <c r="A5668" s="5" t="s">
        <v>197</v>
      </c>
      <c r="B5668" s="6" t="s">
        <v>11374</v>
      </c>
      <c r="C5668" s="7">
        <v>28158</v>
      </c>
      <c r="D5668" s="8" t="s">
        <v>11375</v>
      </c>
    </row>
    <row r="5669" spans="1:4" ht="14.25">
      <c r="A5669" s="5" t="s">
        <v>463</v>
      </c>
      <c r="B5669" s="6" t="s">
        <v>11376</v>
      </c>
      <c r="C5669" s="7">
        <v>28158</v>
      </c>
      <c r="D5669" s="8" t="s">
        <v>11377</v>
      </c>
    </row>
    <row r="5670" spans="1:4" ht="14.25">
      <c r="A5670" s="5">
        <v>2</v>
      </c>
      <c r="B5670" s="6" t="s">
        <v>11378</v>
      </c>
      <c r="C5670" s="7">
        <v>28158</v>
      </c>
      <c r="D5670" s="8" t="s">
        <v>11379</v>
      </c>
    </row>
    <row r="5671" spans="1:4" ht="14.25">
      <c r="A5671" s="5">
        <v>2</v>
      </c>
      <c r="B5671" s="6" t="s">
        <v>11380</v>
      </c>
      <c r="C5671" s="7">
        <v>28158</v>
      </c>
      <c r="D5671" s="8" t="s">
        <v>11381</v>
      </c>
    </row>
    <row r="5672" spans="1:4" ht="14.25">
      <c r="A5672" s="5">
        <v>2</v>
      </c>
      <c r="B5672" s="6" t="s">
        <v>11382</v>
      </c>
      <c r="C5672" s="7">
        <v>28158</v>
      </c>
      <c r="D5672" s="8" t="s">
        <v>11383</v>
      </c>
    </row>
    <row r="5673" spans="1:4" ht="14.25">
      <c r="A5673" s="5">
        <v>2</v>
      </c>
      <c r="B5673" s="6" t="s">
        <v>11384</v>
      </c>
      <c r="C5673" s="7">
        <v>28158</v>
      </c>
      <c r="D5673" s="8" t="s">
        <v>11385</v>
      </c>
    </row>
    <row r="5674" spans="1:4" ht="14.25">
      <c r="A5674" s="5">
        <v>2</v>
      </c>
      <c r="B5674" s="6" t="s">
        <v>11386</v>
      </c>
      <c r="C5674" s="7">
        <v>28158</v>
      </c>
      <c r="D5674" s="8" t="s">
        <v>11387</v>
      </c>
    </row>
    <row r="5675" spans="1:4" ht="14.25">
      <c r="A5675" s="5">
        <v>2</v>
      </c>
      <c r="B5675" s="6" t="s">
        <v>11388</v>
      </c>
      <c r="C5675" s="7">
        <v>28158</v>
      </c>
      <c r="D5675" s="8" t="s">
        <v>11389</v>
      </c>
    </row>
    <row r="5676" spans="1:4" ht="14.25">
      <c r="A5676" s="5">
        <v>2</v>
      </c>
      <c r="B5676" s="6" t="s">
        <v>11390</v>
      </c>
      <c r="C5676" s="7">
        <v>28158</v>
      </c>
      <c r="D5676" s="8" t="s">
        <v>11391</v>
      </c>
    </row>
    <row r="5677" spans="1:4" ht="14.25">
      <c r="A5677" s="5" t="s">
        <v>463</v>
      </c>
      <c r="B5677" s="6" t="s">
        <v>11392</v>
      </c>
      <c r="C5677" s="7">
        <v>28159</v>
      </c>
      <c r="D5677" s="8" t="s">
        <v>11393</v>
      </c>
    </row>
    <row r="5678" spans="1:4" ht="14.25">
      <c r="A5678" s="5">
        <v>3</v>
      </c>
      <c r="B5678" s="6" t="s">
        <v>11394</v>
      </c>
      <c r="C5678" s="7">
        <v>28159</v>
      </c>
      <c r="D5678" s="8" t="s">
        <v>11395</v>
      </c>
    </row>
    <row r="5679" spans="1:4" ht="14.25">
      <c r="A5679" s="5">
        <v>3</v>
      </c>
      <c r="B5679" s="6" t="s">
        <v>11396</v>
      </c>
      <c r="C5679" s="7">
        <v>28159</v>
      </c>
      <c r="D5679" s="8" t="s">
        <v>11397</v>
      </c>
    </row>
    <row r="5680" spans="1:4" ht="14.25">
      <c r="A5680" s="5">
        <v>3</v>
      </c>
      <c r="B5680" s="6" t="s">
        <v>11398</v>
      </c>
      <c r="C5680" s="7">
        <v>28159</v>
      </c>
      <c r="D5680" s="8" t="s">
        <v>11399</v>
      </c>
    </row>
    <row r="5681" spans="1:4" ht="14.25">
      <c r="A5681" s="5" t="s">
        <v>863</v>
      </c>
      <c r="B5681" s="6" t="s">
        <v>11400</v>
      </c>
      <c r="C5681" s="7">
        <v>28160</v>
      </c>
      <c r="D5681" s="8" t="s">
        <v>11401</v>
      </c>
    </row>
    <row r="5682" spans="1:4" ht="14.25">
      <c r="A5682" s="5">
        <v>4</v>
      </c>
      <c r="B5682" s="6" t="s">
        <v>11402</v>
      </c>
      <c r="C5682" s="7">
        <v>28160</v>
      </c>
      <c r="D5682" s="8" t="s">
        <v>11403</v>
      </c>
    </row>
    <row r="5683" spans="1:4" ht="14.25">
      <c r="A5683" s="5">
        <v>4</v>
      </c>
      <c r="B5683" s="6" t="s">
        <v>11404</v>
      </c>
      <c r="C5683" s="7">
        <v>28160</v>
      </c>
      <c r="D5683" s="8" t="s">
        <v>11405</v>
      </c>
    </row>
    <row r="5684" spans="1:4" ht="14.25">
      <c r="A5684" s="5">
        <v>4</v>
      </c>
      <c r="B5684" s="6" t="s">
        <v>11406</v>
      </c>
      <c r="C5684" s="7">
        <v>28160</v>
      </c>
      <c r="D5684" s="8" t="s">
        <v>11407</v>
      </c>
    </row>
    <row r="5685" spans="1:4" ht="14.25">
      <c r="A5685" s="5">
        <v>5</v>
      </c>
      <c r="B5685" s="6" t="s">
        <v>11408</v>
      </c>
      <c r="C5685" s="7">
        <v>28161</v>
      </c>
      <c r="D5685" s="8" t="s">
        <v>11409</v>
      </c>
    </row>
    <row r="5686" spans="1:4" ht="14.25">
      <c r="A5686" s="5">
        <v>6</v>
      </c>
      <c r="B5686" s="6" t="s">
        <v>11410</v>
      </c>
      <c r="C5686" s="7">
        <v>28162</v>
      </c>
      <c r="D5686" s="8" t="s">
        <v>11411</v>
      </c>
    </row>
    <row r="5687" spans="1:4" ht="14.25">
      <c r="A5687" s="5">
        <v>7</v>
      </c>
      <c r="B5687" s="6" t="s">
        <v>11412</v>
      </c>
      <c r="C5687" s="7">
        <v>28163</v>
      </c>
      <c r="D5687" s="8" t="s">
        <v>11413</v>
      </c>
    </row>
    <row r="5688" spans="1:4" ht="14.25">
      <c r="A5688" s="5" t="s">
        <v>197</v>
      </c>
      <c r="B5688" s="6" t="s">
        <v>11414</v>
      </c>
      <c r="C5688" s="7">
        <v>28164</v>
      </c>
      <c r="D5688" s="8" t="s">
        <v>11415</v>
      </c>
    </row>
    <row r="5689" spans="1:4" ht="14.25">
      <c r="A5689" s="5">
        <v>8</v>
      </c>
      <c r="B5689" s="6" t="s">
        <v>11416</v>
      </c>
      <c r="C5689" s="7">
        <v>28164</v>
      </c>
      <c r="D5689" s="8" t="s">
        <v>11417</v>
      </c>
    </row>
    <row r="5690" spans="1:4" ht="14.25">
      <c r="A5690" s="5">
        <v>8</v>
      </c>
      <c r="B5690" s="6" t="s">
        <v>11418</v>
      </c>
      <c r="C5690" s="7">
        <v>28164</v>
      </c>
      <c r="D5690" s="8" t="s">
        <v>11419</v>
      </c>
    </row>
    <row r="5691" spans="1:4" ht="14.25">
      <c r="A5691" s="5">
        <v>10</v>
      </c>
      <c r="B5691" s="6" t="s">
        <v>11420</v>
      </c>
      <c r="C5691" s="7">
        <v>28166</v>
      </c>
      <c r="D5691" s="8" t="s">
        <v>11421</v>
      </c>
    </row>
    <row r="5692" spans="1:4" ht="14.25">
      <c r="A5692" s="5">
        <v>10</v>
      </c>
      <c r="B5692" s="6" t="s">
        <v>11422</v>
      </c>
      <c r="C5692" s="7">
        <v>28166</v>
      </c>
      <c r="D5692" s="8" t="s">
        <v>11423</v>
      </c>
    </row>
    <row r="5693" spans="1:4" ht="14.25">
      <c r="A5693" s="5" t="s">
        <v>454</v>
      </c>
      <c r="B5693" s="6" t="s">
        <v>11424</v>
      </c>
      <c r="C5693" s="7">
        <v>28167</v>
      </c>
      <c r="D5693" s="8" t="s">
        <v>11425</v>
      </c>
    </row>
    <row r="5694" spans="1:4" ht="14.25">
      <c r="A5694" s="5">
        <v>11</v>
      </c>
      <c r="B5694" s="6" t="s">
        <v>11426</v>
      </c>
      <c r="C5694" s="7">
        <v>28167</v>
      </c>
      <c r="D5694" s="8" t="s">
        <v>11427</v>
      </c>
    </row>
    <row r="5695" spans="1:4" ht="14.25">
      <c r="A5695" s="5">
        <v>11</v>
      </c>
      <c r="B5695" s="6" t="s">
        <v>11428</v>
      </c>
      <c r="C5695" s="7">
        <v>28167</v>
      </c>
      <c r="D5695" s="8" t="s">
        <v>11429</v>
      </c>
    </row>
    <row r="5696" spans="1:4" ht="14.25">
      <c r="A5696" s="5" t="s">
        <v>454</v>
      </c>
      <c r="B5696" s="6" t="s">
        <v>11430</v>
      </c>
      <c r="C5696" s="7">
        <v>28168</v>
      </c>
      <c r="D5696" s="8" t="s">
        <v>11431</v>
      </c>
    </row>
    <row r="5697" spans="1:4" ht="14.25">
      <c r="A5697" s="5">
        <v>12</v>
      </c>
      <c r="B5697" s="6" t="s">
        <v>11432</v>
      </c>
      <c r="C5697" s="7">
        <v>28168</v>
      </c>
      <c r="D5697" s="8" t="s">
        <v>11433</v>
      </c>
    </row>
    <row r="5698" spans="1:4" ht="14.25">
      <c r="A5698" s="5">
        <v>12</v>
      </c>
      <c r="B5698" s="6" t="s">
        <v>11434</v>
      </c>
      <c r="C5698" s="7">
        <v>28168</v>
      </c>
      <c r="D5698" s="8" t="s">
        <v>11435</v>
      </c>
    </row>
    <row r="5699" spans="1:4" ht="14.25">
      <c r="A5699" s="5">
        <v>12</v>
      </c>
      <c r="B5699" s="6" t="s">
        <v>11436</v>
      </c>
      <c r="C5699" s="7">
        <v>28168</v>
      </c>
      <c r="D5699" s="8" t="s">
        <v>11437</v>
      </c>
    </row>
    <row r="5700" spans="1:4" ht="14.25">
      <c r="A5700" s="5">
        <v>14</v>
      </c>
      <c r="B5700" s="6" t="s">
        <v>11438</v>
      </c>
      <c r="C5700" s="7">
        <v>28170</v>
      </c>
      <c r="D5700" s="8" t="s">
        <v>11439</v>
      </c>
    </row>
    <row r="5701" spans="1:4" ht="14.25">
      <c r="A5701" s="5">
        <v>14</v>
      </c>
      <c r="B5701" s="6" t="s">
        <v>11440</v>
      </c>
      <c r="C5701" s="7">
        <v>28170</v>
      </c>
      <c r="D5701" s="8" t="s">
        <v>11441</v>
      </c>
    </row>
    <row r="5702" spans="1:4" ht="14.25">
      <c r="A5702" s="5">
        <v>14</v>
      </c>
      <c r="B5702" s="6" t="s">
        <v>11442</v>
      </c>
      <c r="C5702" s="7">
        <v>28170</v>
      </c>
      <c r="D5702" s="8" t="s">
        <v>11443</v>
      </c>
    </row>
    <row r="5703" spans="1:4" ht="14.25">
      <c r="A5703" s="5">
        <v>15</v>
      </c>
      <c r="B5703" s="6" t="s">
        <v>11444</v>
      </c>
      <c r="C5703" s="7">
        <v>28171</v>
      </c>
      <c r="D5703" s="8" t="s">
        <v>11445</v>
      </c>
    </row>
    <row r="5704" spans="1:4" ht="14.25">
      <c r="A5704" s="5" t="s">
        <v>463</v>
      </c>
      <c r="B5704" s="6" t="s">
        <v>11446</v>
      </c>
      <c r="C5704" s="7">
        <v>28172</v>
      </c>
      <c r="D5704" s="8" t="s">
        <v>11447</v>
      </c>
    </row>
    <row r="5705" spans="1:4" ht="14.25">
      <c r="A5705" s="5">
        <v>16</v>
      </c>
      <c r="B5705" s="6" t="s">
        <v>11448</v>
      </c>
      <c r="C5705" s="7">
        <v>28172</v>
      </c>
      <c r="D5705" s="8" t="s">
        <v>11449</v>
      </c>
    </row>
    <row r="5706" spans="1:4" ht="14.25">
      <c r="A5706" s="5">
        <v>16</v>
      </c>
      <c r="B5706" s="6" t="s">
        <v>11450</v>
      </c>
      <c r="C5706" s="7">
        <v>28172</v>
      </c>
      <c r="D5706" s="8" t="s">
        <v>11451</v>
      </c>
    </row>
    <row r="5707" spans="1:4" ht="14.25">
      <c r="A5707" s="5">
        <v>16</v>
      </c>
      <c r="B5707" s="6" t="s">
        <v>11452</v>
      </c>
      <c r="C5707" s="7">
        <v>28172</v>
      </c>
      <c r="D5707" s="8" t="s">
        <v>11453</v>
      </c>
    </row>
    <row r="5708" spans="1:4" ht="14.25">
      <c r="A5708" s="5" t="s">
        <v>454</v>
      </c>
      <c r="B5708" s="6" t="s">
        <v>11454</v>
      </c>
      <c r="C5708" s="7">
        <v>28173</v>
      </c>
      <c r="D5708" s="8" t="s">
        <v>11455</v>
      </c>
    </row>
    <row r="5709" spans="1:4" ht="14.25">
      <c r="A5709" s="5">
        <v>17</v>
      </c>
      <c r="B5709" s="6" t="s">
        <v>11456</v>
      </c>
      <c r="C5709" s="7">
        <v>28173</v>
      </c>
      <c r="D5709" s="8" t="s">
        <v>11457</v>
      </c>
    </row>
    <row r="5710" spans="1:4" ht="14.25">
      <c r="A5710" s="5">
        <v>17</v>
      </c>
      <c r="B5710" s="6" t="s">
        <v>11458</v>
      </c>
      <c r="C5710" s="7">
        <v>28173</v>
      </c>
      <c r="D5710" s="8" t="s">
        <v>11459</v>
      </c>
    </row>
    <row r="5711" spans="1:4" ht="14.25">
      <c r="A5711" s="5">
        <v>17</v>
      </c>
      <c r="B5711" s="6" t="s">
        <v>11460</v>
      </c>
      <c r="C5711" s="7">
        <v>28173</v>
      </c>
      <c r="D5711" s="8" t="s">
        <v>11461</v>
      </c>
    </row>
    <row r="5712" spans="1:4" ht="14.25">
      <c r="A5712" s="5" t="s">
        <v>454</v>
      </c>
      <c r="B5712" s="6" t="s">
        <v>11462</v>
      </c>
      <c r="C5712" s="7">
        <v>28174</v>
      </c>
      <c r="D5712" s="8" t="s">
        <v>11463</v>
      </c>
    </row>
    <row r="5713" spans="1:4" ht="14.25">
      <c r="A5713" s="5">
        <v>18</v>
      </c>
      <c r="B5713" s="6" t="s">
        <v>11464</v>
      </c>
      <c r="C5713" s="7">
        <v>28174</v>
      </c>
      <c r="D5713" s="8" t="s">
        <v>11465</v>
      </c>
    </row>
    <row r="5714" spans="1:4" ht="14.25">
      <c r="A5714" s="5">
        <v>18</v>
      </c>
      <c r="B5714" s="6" t="s">
        <v>11466</v>
      </c>
      <c r="C5714" s="7">
        <v>28174</v>
      </c>
      <c r="D5714" s="8" t="s">
        <v>11467</v>
      </c>
    </row>
    <row r="5715" spans="1:4" ht="14.25">
      <c r="A5715" s="5">
        <v>18</v>
      </c>
      <c r="B5715" s="6" t="s">
        <v>11468</v>
      </c>
      <c r="C5715" s="7">
        <v>28174</v>
      </c>
      <c r="D5715" s="8" t="s">
        <v>11469</v>
      </c>
    </row>
    <row r="5716" spans="1:4" ht="14.25">
      <c r="A5716" s="5">
        <v>18</v>
      </c>
      <c r="B5716" s="6" t="s">
        <v>11470</v>
      </c>
      <c r="C5716" s="7">
        <v>28174</v>
      </c>
      <c r="D5716" s="8" t="s">
        <v>11471</v>
      </c>
    </row>
    <row r="5717" spans="1:4" ht="14.25">
      <c r="A5717" s="5">
        <v>18</v>
      </c>
      <c r="B5717" s="6" t="s">
        <v>11472</v>
      </c>
      <c r="C5717" s="7">
        <v>28174</v>
      </c>
      <c r="D5717" s="8" t="s">
        <v>11473</v>
      </c>
    </row>
    <row r="5718" spans="1:4" ht="14.25">
      <c r="A5718" s="5">
        <v>18</v>
      </c>
      <c r="B5718" s="6" t="s">
        <v>11474</v>
      </c>
      <c r="C5718" s="7">
        <v>28174</v>
      </c>
      <c r="D5718" s="8" t="s">
        <v>11475</v>
      </c>
    </row>
    <row r="5719" spans="1:4" ht="14.25">
      <c r="A5719" s="5">
        <v>19</v>
      </c>
      <c r="B5719" s="6" t="s">
        <v>11476</v>
      </c>
      <c r="C5719" s="7">
        <v>28175</v>
      </c>
      <c r="D5719" s="8" t="s">
        <v>11477</v>
      </c>
    </row>
    <row r="5720" spans="1:4" ht="14.25">
      <c r="A5720" s="5">
        <v>19</v>
      </c>
      <c r="B5720" s="6" t="s">
        <v>11478</v>
      </c>
      <c r="C5720" s="7">
        <v>28175</v>
      </c>
      <c r="D5720" s="8" t="s">
        <v>11479</v>
      </c>
    </row>
    <row r="5721" spans="1:4" ht="14.25">
      <c r="A5721" s="5">
        <v>19</v>
      </c>
      <c r="B5721" s="6" t="s">
        <v>11480</v>
      </c>
      <c r="C5721" s="7">
        <v>28175</v>
      </c>
      <c r="D5721" s="8" t="s">
        <v>11481</v>
      </c>
    </row>
    <row r="5722" spans="1:4" ht="14.25">
      <c r="A5722" s="5">
        <v>19</v>
      </c>
      <c r="B5722" s="6" t="s">
        <v>11482</v>
      </c>
      <c r="C5722" s="7">
        <v>28175</v>
      </c>
      <c r="D5722" s="8" t="s">
        <v>11483</v>
      </c>
    </row>
    <row r="5723" spans="1:4" ht="14.25">
      <c r="A5723" s="5">
        <v>19</v>
      </c>
      <c r="B5723" s="6" t="s">
        <v>11484</v>
      </c>
      <c r="C5723" s="7">
        <v>28175</v>
      </c>
      <c r="D5723" s="8" t="s">
        <v>11485</v>
      </c>
    </row>
    <row r="5724" spans="1:4" ht="14.25">
      <c r="A5724" s="5">
        <v>20</v>
      </c>
      <c r="B5724" s="6" t="s">
        <v>11486</v>
      </c>
      <c r="C5724" s="7">
        <v>28176</v>
      </c>
      <c r="D5724" s="8" t="s">
        <v>11487</v>
      </c>
    </row>
    <row r="5725" spans="1:4" ht="14.25">
      <c r="A5725" s="5">
        <v>21</v>
      </c>
      <c r="B5725" s="6" t="s">
        <v>11488</v>
      </c>
      <c r="C5725" s="7">
        <v>28177</v>
      </c>
      <c r="D5725" s="8" t="s">
        <v>11489</v>
      </c>
    </row>
    <row r="5726" spans="1:4" ht="14.25">
      <c r="A5726" s="5">
        <v>24</v>
      </c>
      <c r="B5726" s="6" t="s">
        <v>11490</v>
      </c>
      <c r="C5726" s="7">
        <v>28180</v>
      </c>
      <c r="D5726" s="8" t="s">
        <v>11491</v>
      </c>
    </row>
    <row r="5727" spans="1:4" ht="14.25">
      <c r="A5727" s="5">
        <v>24</v>
      </c>
      <c r="B5727" s="6" t="s">
        <v>11492</v>
      </c>
      <c r="C5727" s="7">
        <v>28180</v>
      </c>
      <c r="D5727" s="8" t="s">
        <v>11493</v>
      </c>
    </row>
    <row r="5728" spans="1:4" ht="14.25">
      <c r="A5728" s="5" t="s">
        <v>454</v>
      </c>
      <c r="B5728" s="6" t="s">
        <v>11494</v>
      </c>
      <c r="C5728" s="7">
        <v>28181</v>
      </c>
      <c r="D5728" s="8" t="s">
        <v>11495</v>
      </c>
    </row>
    <row r="5729" spans="1:4" ht="14.25">
      <c r="A5729" s="5">
        <v>25</v>
      </c>
      <c r="B5729" s="6" t="s">
        <v>11496</v>
      </c>
      <c r="C5729" s="7">
        <v>28181</v>
      </c>
      <c r="D5729" s="8" t="s">
        <v>11497</v>
      </c>
    </row>
    <row r="5730" spans="1:4" ht="14.25">
      <c r="A5730" s="5">
        <v>25</v>
      </c>
      <c r="B5730" s="6" t="s">
        <v>11498</v>
      </c>
      <c r="C5730" s="7">
        <v>28181</v>
      </c>
      <c r="D5730" s="8" t="s">
        <v>11499</v>
      </c>
    </row>
    <row r="5731" spans="1:4" ht="14.25">
      <c r="A5731" s="5">
        <v>25</v>
      </c>
      <c r="B5731" s="6" t="s">
        <v>11500</v>
      </c>
      <c r="C5731" s="7">
        <v>28181</v>
      </c>
      <c r="D5731" s="8" t="s">
        <v>11501</v>
      </c>
    </row>
    <row r="5732" spans="1:4" ht="14.25">
      <c r="A5732" s="5">
        <v>25</v>
      </c>
      <c r="B5732" s="6" t="s">
        <v>11502</v>
      </c>
      <c r="C5732" s="7">
        <v>28181</v>
      </c>
      <c r="D5732" s="8" t="s">
        <v>11503</v>
      </c>
    </row>
    <row r="5733" spans="1:4" ht="14.25">
      <c r="A5733" s="5">
        <v>25</v>
      </c>
      <c r="B5733" s="6" t="s">
        <v>11504</v>
      </c>
      <c r="C5733" s="7">
        <v>28181</v>
      </c>
      <c r="D5733" s="8" t="s">
        <v>11505</v>
      </c>
    </row>
    <row r="5734" spans="1:4" ht="14.25">
      <c r="A5734" s="5" t="s">
        <v>454</v>
      </c>
      <c r="B5734" s="6" t="s">
        <v>11506</v>
      </c>
      <c r="C5734" s="7">
        <v>28182</v>
      </c>
      <c r="D5734" s="8" t="s">
        <v>11507</v>
      </c>
    </row>
    <row r="5735" spans="1:4" ht="14.25">
      <c r="A5735" s="5">
        <v>26</v>
      </c>
      <c r="B5735" s="6" t="s">
        <v>11508</v>
      </c>
      <c r="C5735" s="7">
        <v>28182</v>
      </c>
      <c r="D5735" s="8" t="s">
        <v>11509</v>
      </c>
    </row>
    <row r="5736" spans="1:4" ht="14.25">
      <c r="A5736" s="5">
        <v>26</v>
      </c>
      <c r="B5736" s="6" t="s">
        <v>11510</v>
      </c>
      <c r="C5736" s="7">
        <v>28182</v>
      </c>
      <c r="D5736" s="8" t="s">
        <v>11511</v>
      </c>
    </row>
    <row r="5737" spans="1:4" ht="14.25">
      <c r="A5737" s="5">
        <v>26</v>
      </c>
      <c r="B5737" s="6" t="s">
        <v>11512</v>
      </c>
      <c r="C5737" s="7">
        <v>28182</v>
      </c>
      <c r="D5737" s="8" t="s">
        <v>11513</v>
      </c>
    </row>
    <row r="5738" spans="1:4" ht="14.25">
      <c r="A5738" s="5">
        <v>26</v>
      </c>
      <c r="B5738" s="6" t="s">
        <v>11514</v>
      </c>
      <c r="C5738" s="7">
        <v>28182</v>
      </c>
      <c r="D5738" s="8" t="s">
        <v>11515</v>
      </c>
    </row>
    <row r="5739" spans="1:4" ht="14.25">
      <c r="A5739" s="5" t="s">
        <v>454</v>
      </c>
      <c r="B5739" s="6" t="s">
        <v>11516</v>
      </c>
      <c r="C5739" s="7">
        <v>28183</v>
      </c>
      <c r="D5739" s="8" t="s">
        <v>11517</v>
      </c>
    </row>
    <row r="5740" spans="1:4" ht="14.25">
      <c r="A5740" s="5">
        <v>27</v>
      </c>
      <c r="B5740" s="6" t="s">
        <v>11518</v>
      </c>
      <c r="C5740" s="7">
        <v>28183</v>
      </c>
      <c r="D5740" s="8" t="s">
        <v>11519</v>
      </c>
    </row>
    <row r="5741" spans="1:4" ht="14.25">
      <c r="A5741" s="5">
        <v>27</v>
      </c>
      <c r="B5741" s="6" t="s">
        <v>11520</v>
      </c>
      <c r="C5741" s="7">
        <v>28183</v>
      </c>
      <c r="D5741" s="8" t="s">
        <v>11521</v>
      </c>
    </row>
    <row r="5742" spans="1:4" ht="14.25">
      <c r="A5742" s="5">
        <v>27</v>
      </c>
      <c r="B5742" s="6" t="s">
        <v>11522</v>
      </c>
      <c r="C5742" s="7">
        <v>28183</v>
      </c>
      <c r="D5742" s="8" t="s">
        <v>11523</v>
      </c>
    </row>
    <row r="5743" spans="1:4" ht="14.25">
      <c r="A5743" s="5">
        <v>27</v>
      </c>
      <c r="B5743" s="6" t="s">
        <v>11524</v>
      </c>
      <c r="C5743" s="7">
        <v>28183</v>
      </c>
      <c r="D5743" s="8" t="s">
        <v>11525</v>
      </c>
    </row>
    <row r="5744" spans="1:4" ht="14.25">
      <c r="A5744" s="5" t="s">
        <v>454</v>
      </c>
      <c r="B5744" s="6" t="s">
        <v>11526</v>
      </c>
      <c r="C5744" s="7">
        <v>28184</v>
      </c>
      <c r="D5744" s="8" t="s">
        <v>11527</v>
      </c>
    </row>
    <row r="5745" spans="1:4" ht="14.25">
      <c r="A5745" s="5">
        <v>28</v>
      </c>
      <c r="B5745" s="6" t="s">
        <v>11528</v>
      </c>
      <c r="C5745" s="7">
        <v>28184</v>
      </c>
      <c r="D5745" s="8" t="s">
        <v>11529</v>
      </c>
    </row>
    <row r="5746" spans="1:4" ht="14.25">
      <c r="A5746" s="5">
        <v>28</v>
      </c>
      <c r="B5746" s="6" t="s">
        <v>11530</v>
      </c>
      <c r="C5746" s="7">
        <v>28184</v>
      </c>
      <c r="D5746" s="8" t="s">
        <v>11531</v>
      </c>
    </row>
    <row r="5747" spans="1:4" ht="14.25">
      <c r="A5747" s="5">
        <v>28</v>
      </c>
      <c r="B5747" s="6" t="s">
        <v>11532</v>
      </c>
      <c r="C5747" s="7">
        <v>28184</v>
      </c>
      <c r="D5747" s="8" t="s">
        <v>11533</v>
      </c>
    </row>
    <row r="5748" spans="1:4" ht="14.25">
      <c r="A5748" s="5">
        <v>28</v>
      </c>
      <c r="B5748" s="6" t="s">
        <v>11534</v>
      </c>
      <c r="C5748" s="7">
        <v>28184</v>
      </c>
      <c r="D5748" s="8" t="s">
        <v>11535</v>
      </c>
    </row>
    <row r="5749" spans="1:4" ht="14.25">
      <c r="A5749" s="5">
        <v>28</v>
      </c>
      <c r="B5749" s="6" t="s">
        <v>11536</v>
      </c>
      <c r="C5749" s="7">
        <v>28184</v>
      </c>
      <c r="D5749" s="8" t="s">
        <v>11537</v>
      </c>
    </row>
    <row r="5750" spans="1:4" ht="14.25">
      <c r="A5750" s="5" t="s">
        <v>454</v>
      </c>
      <c r="B5750" s="6" t="s">
        <v>11538</v>
      </c>
      <c r="C5750" s="7">
        <v>28185</v>
      </c>
      <c r="D5750" s="8" t="s">
        <v>11539</v>
      </c>
    </row>
    <row r="5751" spans="1:4" ht="14.25">
      <c r="A5751" s="5">
        <v>1</v>
      </c>
      <c r="B5751" s="6" t="s">
        <v>11540</v>
      </c>
      <c r="C5751" s="7">
        <v>28185</v>
      </c>
      <c r="D5751" s="8" t="s">
        <v>11541</v>
      </c>
    </row>
    <row r="5752" spans="1:4" ht="14.25">
      <c r="A5752" s="5">
        <v>1</v>
      </c>
      <c r="B5752" s="6" t="s">
        <v>11542</v>
      </c>
      <c r="C5752" s="7">
        <v>28185</v>
      </c>
      <c r="D5752" s="8" t="s">
        <v>11543</v>
      </c>
    </row>
    <row r="5753" spans="1:4" ht="14.25">
      <c r="A5753" s="5">
        <v>1</v>
      </c>
      <c r="B5753" s="6" t="s">
        <v>11544</v>
      </c>
      <c r="C5753" s="7">
        <v>28185</v>
      </c>
      <c r="D5753" s="8" t="s">
        <v>11545</v>
      </c>
    </row>
    <row r="5754" spans="1:4" ht="14.25">
      <c r="A5754" s="5">
        <v>1</v>
      </c>
      <c r="B5754" s="6" t="s">
        <v>11546</v>
      </c>
      <c r="C5754" s="7">
        <v>28185</v>
      </c>
      <c r="D5754" s="8" t="s">
        <v>11547</v>
      </c>
    </row>
    <row r="5755" spans="1:4" ht="14.25">
      <c r="A5755" s="5">
        <v>2</v>
      </c>
      <c r="B5755" s="6" t="s">
        <v>11548</v>
      </c>
      <c r="C5755" s="7">
        <v>28186</v>
      </c>
      <c r="D5755" s="8" t="s">
        <v>11549</v>
      </c>
    </row>
    <row r="5756" spans="1:4" ht="14.25">
      <c r="A5756" s="5">
        <v>4</v>
      </c>
      <c r="B5756" s="6" t="s">
        <v>11550</v>
      </c>
      <c r="C5756" s="7">
        <v>28188</v>
      </c>
      <c r="D5756" s="8" t="s">
        <v>11551</v>
      </c>
    </row>
    <row r="5757" spans="1:4" ht="14.25">
      <c r="A5757" s="5">
        <v>22</v>
      </c>
      <c r="B5757" s="6" t="s">
        <v>11552</v>
      </c>
      <c r="C5757" s="7">
        <v>28206</v>
      </c>
      <c r="D5757" s="8" t="s">
        <v>11553</v>
      </c>
    </row>
    <row r="5758" spans="1:4" ht="14.25">
      <c r="A5758" s="5" t="s">
        <v>463</v>
      </c>
      <c r="B5758" s="6" t="s">
        <v>11554</v>
      </c>
      <c r="C5758" s="7">
        <v>28207</v>
      </c>
      <c r="D5758" s="8" t="s">
        <v>11555</v>
      </c>
    </row>
    <row r="5759" spans="1:4" ht="14.25">
      <c r="A5759" s="5">
        <v>23</v>
      </c>
      <c r="B5759" s="6" t="s">
        <v>11556</v>
      </c>
      <c r="C5759" s="7">
        <v>28207</v>
      </c>
      <c r="D5759" s="8" t="s">
        <v>11557</v>
      </c>
    </row>
    <row r="5760" spans="1:4" ht="14.25">
      <c r="A5760" s="5">
        <v>23</v>
      </c>
      <c r="B5760" s="6" t="s">
        <v>11558</v>
      </c>
      <c r="C5760" s="7">
        <v>28207</v>
      </c>
      <c r="D5760" s="8" t="s">
        <v>11559</v>
      </c>
    </row>
    <row r="5761" spans="1:4" ht="14.25">
      <c r="A5761" s="5" t="s">
        <v>167</v>
      </c>
      <c r="B5761" s="6" t="s">
        <v>11560</v>
      </c>
      <c r="C5761" s="7">
        <v>28208</v>
      </c>
      <c r="D5761" s="8" t="s">
        <v>11561</v>
      </c>
    </row>
    <row r="5762" spans="1:4" ht="14.25">
      <c r="A5762" s="5">
        <v>24</v>
      </c>
      <c r="B5762" s="6" t="s">
        <v>11562</v>
      </c>
      <c r="C5762" s="7">
        <v>28208</v>
      </c>
      <c r="D5762" s="8" t="s">
        <v>11563</v>
      </c>
    </row>
    <row r="5763" spans="1:4" ht="14.25">
      <c r="A5763" s="5">
        <v>24</v>
      </c>
      <c r="B5763" s="6" t="s">
        <v>11564</v>
      </c>
      <c r="C5763" s="7">
        <v>28208</v>
      </c>
      <c r="D5763" s="8" t="s">
        <v>11565</v>
      </c>
    </row>
    <row r="5764" spans="1:4" ht="14.25">
      <c r="A5764" s="5">
        <v>24</v>
      </c>
      <c r="B5764" s="6" t="s">
        <v>11566</v>
      </c>
      <c r="C5764" s="7">
        <v>28208</v>
      </c>
      <c r="D5764" s="8" t="s">
        <v>11567</v>
      </c>
    </row>
    <row r="5765" spans="1:4" ht="14.25">
      <c r="A5765" s="5" t="s">
        <v>968</v>
      </c>
      <c r="B5765" s="6" t="s">
        <v>11568</v>
      </c>
      <c r="C5765" s="7">
        <v>28209</v>
      </c>
      <c r="D5765" s="8" t="s">
        <v>11569</v>
      </c>
    </row>
    <row r="5766" spans="1:4" ht="14.25">
      <c r="A5766" s="5">
        <v>25</v>
      </c>
      <c r="B5766" s="6" t="s">
        <v>11570</v>
      </c>
      <c r="C5766" s="7">
        <v>28209</v>
      </c>
      <c r="D5766" s="8" t="s">
        <v>11571</v>
      </c>
    </row>
    <row r="5767" spans="1:4" ht="14.25">
      <c r="A5767" s="5">
        <v>25</v>
      </c>
      <c r="B5767" s="6" t="s">
        <v>11572</v>
      </c>
      <c r="C5767" s="7">
        <v>28209</v>
      </c>
      <c r="D5767" s="9" t="s">
        <v>11573</v>
      </c>
    </row>
    <row r="5768" spans="1:4" ht="14.25">
      <c r="A5768" s="5">
        <v>26</v>
      </c>
      <c r="B5768" s="6" t="s">
        <v>11574</v>
      </c>
      <c r="C5768" s="7">
        <v>28210</v>
      </c>
      <c r="D5768" s="8" t="s">
        <v>11575</v>
      </c>
    </row>
    <row r="5769" spans="1:4" ht="14.25">
      <c r="A5769" s="5">
        <v>26</v>
      </c>
      <c r="B5769" s="6" t="s">
        <v>11576</v>
      </c>
      <c r="C5769" s="7">
        <v>28210</v>
      </c>
      <c r="D5769" s="8" t="s">
        <v>11577</v>
      </c>
    </row>
    <row r="5770" spans="1:4" ht="14.25">
      <c r="A5770" s="5">
        <v>26</v>
      </c>
      <c r="B5770" s="6" t="s">
        <v>11578</v>
      </c>
      <c r="C5770" s="7">
        <v>28210</v>
      </c>
      <c r="D5770" s="8" t="s">
        <v>11579</v>
      </c>
    </row>
    <row r="5771" spans="1:4" ht="14.25">
      <c r="A5771" s="5">
        <v>26</v>
      </c>
      <c r="B5771" s="6" t="s">
        <v>11580</v>
      </c>
      <c r="C5771" s="7">
        <v>28210</v>
      </c>
      <c r="D5771" s="8" t="s">
        <v>11581</v>
      </c>
    </row>
    <row r="5772" spans="1:4" ht="14.25">
      <c r="A5772" s="5">
        <v>27</v>
      </c>
      <c r="B5772" s="6" t="s">
        <v>11582</v>
      </c>
      <c r="C5772" s="7">
        <v>28211</v>
      </c>
      <c r="D5772" s="8" t="s">
        <v>11583</v>
      </c>
    </row>
    <row r="5773" spans="1:4" ht="14.25">
      <c r="A5773" s="5">
        <v>27</v>
      </c>
      <c r="B5773" s="6" t="s">
        <v>11584</v>
      </c>
      <c r="C5773" s="7">
        <v>28211</v>
      </c>
      <c r="D5773" s="8" t="s">
        <v>11585</v>
      </c>
    </row>
    <row r="5774" spans="1:4" ht="14.25">
      <c r="A5774" s="5">
        <v>27</v>
      </c>
      <c r="B5774" s="6" t="s">
        <v>11586</v>
      </c>
      <c r="C5774" s="7">
        <v>28211</v>
      </c>
      <c r="D5774" s="8" t="s">
        <v>11587</v>
      </c>
    </row>
    <row r="5775" spans="1:4" ht="14.25">
      <c r="A5775" s="5">
        <v>27</v>
      </c>
      <c r="B5775" s="6" t="s">
        <v>11588</v>
      </c>
      <c r="C5775" s="7">
        <v>28211</v>
      </c>
      <c r="D5775" s="8" t="s">
        <v>11589</v>
      </c>
    </row>
    <row r="5776" spans="1:4" ht="14.25">
      <c r="A5776" s="5" t="s">
        <v>167</v>
      </c>
      <c r="B5776" s="6" t="s">
        <v>11590</v>
      </c>
      <c r="C5776" s="7">
        <v>28213</v>
      </c>
      <c r="D5776" s="8" t="s">
        <v>11591</v>
      </c>
    </row>
    <row r="5777" spans="1:4" ht="14.25">
      <c r="A5777" s="5">
        <v>29</v>
      </c>
      <c r="B5777" s="6" t="s">
        <v>11592</v>
      </c>
      <c r="C5777" s="7">
        <v>28213</v>
      </c>
      <c r="D5777" s="8" t="s">
        <v>11593</v>
      </c>
    </row>
    <row r="5778" spans="1:4" ht="14.25">
      <c r="A5778" s="5">
        <v>29</v>
      </c>
      <c r="B5778" s="6" t="s">
        <v>11594</v>
      </c>
      <c r="C5778" s="7">
        <v>28213</v>
      </c>
      <c r="D5778" s="8" t="s">
        <v>11595</v>
      </c>
    </row>
    <row r="5779" spans="1:4" ht="14.25">
      <c r="A5779" s="5">
        <v>29</v>
      </c>
      <c r="B5779" s="6" t="s">
        <v>11596</v>
      </c>
      <c r="C5779" s="7">
        <v>28213</v>
      </c>
      <c r="D5779" s="8" t="s">
        <v>11597</v>
      </c>
    </row>
    <row r="5780" spans="1:4" ht="14.25">
      <c r="A5780" s="5">
        <v>30</v>
      </c>
      <c r="B5780" s="6" t="s">
        <v>11598</v>
      </c>
      <c r="C5780" s="7">
        <v>28214</v>
      </c>
      <c r="D5780" s="8" t="s">
        <v>11599</v>
      </c>
    </row>
    <row r="5781" spans="1:4" ht="14.25">
      <c r="A5781" s="5">
        <v>31</v>
      </c>
      <c r="B5781" s="6" t="s">
        <v>11600</v>
      </c>
      <c r="C5781" s="7">
        <v>28215</v>
      </c>
      <c r="D5781" s="8" t="s">
        <v>11601</v>
      </c>
    </row>
    <row r="5782" spans="1:4" ht="14.25">
      <c r="A5782" s="5">
        <v>31</v>
      </c>
      <c r="B5782" s="6" t="s">
        <v>11602</v>
      </c>
      <c r="C5782" s="7">
        <v>28215</v>
      </c>
      <c r="D5782" s="8" t="s">
        <v>11603</v>
      </c>
    </row>
    <row r="5783" spans="1:4" ht="14.25">
      <c r="A5783" s="5">
        <v>31</v>
      </c>
      <c r="B5783" s="6" t="s">
        <v>11604</v>
      </c>
      <c r="C5783" s="7">
        <v>28215</v>
      </c>
      <c r="D5783" s="8" t="s">
        <v>11605</v>
      </c>
    </row>
    <row r="5784" spans="1:4" ht="14.25">
      <c r="A5784" s="5" t="s">
        <v>463</v>
      </c>
      <c r="B5784" s="6" t="s">
        <v>11606</v>
      </c>
      <c r="C5784" s="7">
        <v>28216</v>
      </c>
      <c r="D5784" s="8" t="s">
        <v>11607</v>
      </c>
    </row>
    <row r="5785" spans="1:4" ht="14.25">
      <c r="A5785" s="5" t="s">
        <v>167</v>
      </c>
      <c r="B5785" s="6" t="s">
        <v>11608</v>
      </c>
      <c r="C5785" s="7">
        <v>28216</v>
      </c>
      <c r="D5785" s="8" t="s">
        <v>11609</v>
      </c>
    </row>
    <row r="5786" spans="1:4" ht="14.25">
      <c r="A5786" s="5">
        <v>1</v>
      </c>
      <c r="B5786" s="6" t="s">
        <v>11610</v>
      </c>
      <c r="C5786" s="7">
        <v>28216</v>
      </c>
      <c r="D5786" s="8" t="s">
        <v>11611</v>
      </c>
    </row>
    <row r="5787" spans="1:4" ht="14.25">
      <c r="A5787" s="5">
        <v>1</v>
      </c>
      <c r="B5787" s="6" t="s">
        <v>11612</v>
      </c>
      <c r="C5787" s="7">
        <v>28216</v>
      </c>
      <c r="D5787" s="8" t="s">
        <v>11613</v>
      </c>
    </row>
    <row r="5788" spans="1:4" ht="14.25">
      <c r="A5788" s="5">
        <v>1</v>
      </c>
      <c r="B5788" s="6" t="s">
        <v>11614</v>
      </c>
      <c r="C5788" s="7">
        <v>28216</v>
      </c>
      <c r="D5788" s="8" t="s">
        <v>11615</v>
      </c>
    </row>
    <row r="5789" spans="1:4" ht="14.25">
      <c r="A5789" s="5">
        <v>2</v>
      </c>
      <c r="B5789" s="6" t="s">
        <v>11616</v>
      </c>
      <c r="C5789" s="7">
        <v>28217</v>
      </c>
      <c r="D5789" s="8" t="s">
        <v>11617</v>
      </c>
    </row>
    <row r="5790" spans="1:4" ht="14.25">
      <c r="A5790" s="5" t="s">
        <v>463</v>
      </c>
      <c r="B5790" s="6" t="s">
        <v>11618</v>
      </c>
      <c r="C5790" s="7">
        <v>28219</v>
      </c>
      <c r="D5790" s="8" t="s">
        <v>11619</v>
      </c>
    </row>
    <row r="5791" spans="1:4" ht="14.25">
      <c r="A5791" s="5">
        <v>4</v>
      </c>
      <c r="B5791" s="6" t="s">
        <v>11620</v>
      </c>
      <c r="C5791" s="7">
        <v>28219</v>
      </c>
      <c r="D5791" s="8" t="s">
        <v>11621</v>
      </c>
    </row>
    <row r="5792" spans="1:4" ht="14.25">
      <c r="A5792" s="5">
        <v>5</v>
      </c>
      <c r="B5792" s="6" t="s">
        <v>11622</v>
      </c>
      <c r="C5792" s="7">
        <v>28220</v>
      </c>
      <c r="D5792" s="8" t="s">
        <v>11623</v>
      </c>
    </row>
    <row r="5793" spans="1:4" ht="14.25">
      <c r="A5793" s="5">
        <v>5</v>
      </c>
      <c r="B5793" s="6" t="s">
        <v>11624</v>
      </c>
      <c r="C5793" s="7">
        <v>28220</v>
      </c>
      <c r="D5793" s="8" t="s">
        <v>11625</v>
      </c>
    </row>
    <row r="5794" spans="1:4" ht="14.25">
      <c r="A5794" s="5">
        <v>5</v>
      </c>
      <c r="B5794" s="6" t="s">
        <v>11626</v>
      </c>
      <c r="C5794" s="7">
        <v>28220</v>
      </c>
      <c r="D5794" s="8" t="s">
        <v>11627</v>
      </c>
    </row>
    <row r="5795" spans="1:4" ht="14.25">
      <c r="A5795" s="5">
        <v>5</v>
      </c>
      <c r="B5795" s="6" t="s">
        <v>11628</v>
      </c>
      <c r="C5795" s="7">
        <v>28220</v>
      </c>
      <c r="D5795" s="8" t="s">
        <v>11629</v>
      </c>
    </row>
    <row r="5796" spans="1:4" ht="14.25">
      <c r="A5796" s="5">
        <v>10</v>
      </c>
      <c r="B5796" s="6" t="s">
        <v>11630</v>
      </c>
      <c r="C5796" s="7">
        <v>28225</v>
      </c>
      <c r="D5796" s="8" t="s">
        <v>11631</v>
      </c>
    </row>
    <row r="5797" spans="1:4" ht="14.25">
      <c r="A5797" s="5">
        <v>10</v>
      </c>
      <c r="B5797" s="6" t="s">
        <v>11632</v>
      </c>
      <c r="C5797" s="7">
        <v>28225</v>
      </c>
      <c r="D5797" s="8" t="s">
        <v>11633</v>
      </c>
    </row>
    <row r="5798" spans="1:4" ht="14.25">
      <c r="A5798" s="5">
        <v>11</v>
      </c>
      <c r="B5798" s="6" t="s">
        <v>11634</v>
      </c>
      <c r="C5798" s="7">
        <v>28226</v>
      </c>
      <c r="D5798" s="8" t="s">
        <v>11635</v>
      </c>
    </row>
    <row r="5799" spans="1:4" ht="14.25">
      <c r="A5799" s="5">
        <v>13</v>
      </c>
      <c r="B5799" s="6" t="s">
        <v>11636</v>
      </c>
      <c r="C5799" s="7">
        <v>28228</v>
      </c>
      <c r="D5799" s="8" t="s">
        <v>11637</v>
      </c>
    </row>
    <row r="5800" spans="1:4" ht="14.25">
      <c r="A5800" s="5">
        <v>15</v>
      </c>
      <c r="B5800" s="6" t="s">
        <v>11638</v>
      </c>
      <c r="C5800" s="7">
        <v>28230</v>
      </c>
      <c r="D5800" s="8" t="s">
        <v>11639</v>
      </c>
    </row>
    <row r="5801" spans="1:4" ht="14.25">
      <c r="A5801" s="5">
        <v>16</v>
      </c>
      <c r="B5801" s="6" t="s">
        <v>11640</v>
      </c>
      <c r="C5801" s="7">
        <v>28231</v>
      </c>
      <c r="D5801" s="8" t="s">
        <v>11641</v>
      </c>
    </row>
    <row r="5802" spans="1:4" ht="14.25">
      <c r="A5802" s="5" t="s">
        <v>463</v>
      </c>
      <c r="B5802" s="6" t="s">
        <v>11642</v>
      </c>
      <c r="C5802" s="7">
        <v>28232</v>
      </c>
      <c r="D5802" s="8" t="s">
        <v>11643</v>
      </c>
    </row>
    <row r="5803" spans="1:4" ht="14.25">
      <c r="A5803" s="5" t="s">
        <v>463</v>
      </c>
      <c r="B5803" s="6" t="s">
        <v>11644</v>
      </c>
      <c r="C5803" s="7">
        <v>28232</v>
      </c>
      <c r="D5803" s="8" t="s">
        <v>11645</v>
      </c>
    </row>
    <row r="5804" spans="1:4" ht="14.25">
      <c r="A5804" s="5">
        <v>17</v>
      </c>
      <c r="B5804" s="6" t="s">
        <v>11646</v>
      </c>
      <c r="C5804" s="7">
        <v>28232</v>
      </c>
      <c r="D5804" s="8" t="s">
        <v>11647</v>
      </c>
    </row>
    <row r="5805" spans="1:4" ht="14.25">
      <c r="A5805" s="5">
        <v>17</v>
      </c>
      <c r="B5805" s="6" t="s">
        <v>11648</v>
      </c>
      <c r="C5805" s="7">
        <v>28232</v>
      </c>
      <c r="D5805" s="8" t="s">
        <v>11649</v>
      </c>
    </row>
    <row r="5806" spans="1:4" ht="14.25">
      <c r="A5806" s="5">
        <v>17</v>
      </c>
      <c r="B5806" s="6" t="s">
        <v>11650</v>
      </c>
      <c r="C5806" s="7">
        <v>28232</v>
      </c>
      <c r="D5806" s="8" t="s">
        <v>11651</v>
      </c>
    </row>
    <row r="5807" spans="1:4" ht="14.25">
      <c r="A5807" s="5">
        <v>17</v>
      </c>
      <c r="B5807" s="6" t="s">
        <v>11652</v>
      </c>
      <c r="C5807" s="7">
        <v>28232</v>
      </c>
      <c r="D5807" s="8" t="s">
        <v>11653</v>
      </c>
    </row>
    <row r="5808" spans="1:4" ht="14.25">
      <c r="A5808" s="5">
        <v>18</v>
      </c>
      <c r="B5808" s="6" t="s">
        <v>11654</v>
      </c>
      <c r="C5808" s="7">
        <v>28233</v>
      </c>
      <c r="D5808" s="8" t="s">
        <v>11655</v>
      </c>
    </row>
    <row r="5809" spans="1:4" ht="14.25">
      <c r="A5809" s="5">
        <v>18</v>
      </c>
      <c r="B5809" s="6" t="s">
        <v>11656</v>
      </c>
      <c r="C5809" s="7">
        <v>28233</v>
      </c>
      <c r="D5809" s="8" t="s">
        <v>11657</v>
      </c>
    </row>
    <row r="5810" spans="1:4" ht="14.25">
      <c r="A5810" s="5">
        <v>19</v>
      </c>
      <c r="B5810" s="6" t="s">
        <v>11658</v>
      </c>
      <c r="C5810" s="7">
        <v>28234</v>
      </c>
      <c r="D5810" s="8" t="s">
        <v>11659</v>
      </c>
    </row>
    <row r="5811" spans="1:4" ht="14.25">
      <c r="A5811" s="5">
        <v>19</v>
      </c>
      <c r="B5811" s="6" t="s">
        <v>11660</v>
      </c>
      <c r="C5811" s="7">
        <v>28234</v>
      </c>
      <c r="D5811" s="8" t="s">
        <v>11661</v>
      </c>
    </row>
    <row r="5812" spans="1:4" ht="14.25">
      <c r="A5812" s="5">
        <v>19</v>
      </c>
      <c r="B5812" s="6" t="s">
        <v>11662</v>
      </c>
      <c r="C5812" s="7">
        <v>28234</v>
      </c>
      <c r="D5812" s="8" t="s">
        <v>11663</v>
      </c>
    </row>
    <row r="5813" spans="1:4" ht="14.25">
      <c r="A5813" s="5">
        <v>20</v>
      </c>
      <c r="B5813" s="6" t="s">
        <v>11664</v>
      </c>
      <c r="C5813" s="7">
        <v>28235</v>
      </c>
      <c r="D5813" s="8" t="s">
        <v>11665</v>
      </c>
    </row>
    <row r="5814" spans="1:4" ht="14.25">
      <c r="A5814" s="5">
        <v>22</v>
      </c>
      <c r="B5814" s="6" t="s">
        <v>11666</v>
      </c>
      <c r="C5814" s="7">
        <v>28237</v>
      </c>
      <c r="D5814" s="8" t="s">
        <v>11667</v>
      </c>
    </row>
    <row r="5815" spans="1:4" ht="14.25">
      <c r="A5815" s="5">
        <v>22</v>
      </c>
      <c r="B5815" s="6" t="s">
        <v>11668</v>
      </c>
      <c r="C5815" s="7">
        <v>28237</v>
      </c>
      <c r="D5815" s="8" t="s">
        <v>11669</v>
      </c>
    </row>
    <row r="5816" spans="1:4" ht="14.25">
      <c r="A5816" s="5">
        <v>22</v>
      </c>
      <c r="B5816" s="6" t="s">
        <v>11670</v>
      </c>
      <c r="C5816" s="7">
        <v>28237</v>
      </c>
      <c r="D5816" s="8" t="s">
        <v>11671</v>
      </c>
    </row>
    <row r="5817" spans="1:4" ht="14.25">
      <c r="A5817" s="5">
        <v>23</v>
      </c>
      <c r="B5817" s="6" t="s">
        <v>11672</v>
      </c>
      <c r="C5817" s="7">
        <v>28238</v>
      </c>
      <c r="D5817" s="8" t="s">
        <v>11673</v>
      </c>
    </row>
    <row r="5818" spans="1:4" ht="14.25">
      <c r="A5818" s="5">
        <v>23</v>
      </c>
      <c r="B5818" s="6" t="s">
        <v>11674</v>
      </c>
      <c r="C5818" s="7">
        <v>28238</v>
      </c>
      <c r="D5818" s="8" t="s">
        <v>11675</v>
      </c>
    </row>
    <row r="5819" spans="1:4" ht="14.25">
      <c r="A5819" s="5" t="s">
        <v>463</v>
      </c>
      <c r="B5819" s="6" t="s">
        <v>11676</v>
      </c>
      <c r="C5819" s="7">
        <v>28239</v>
      </c>
      <c r="D5819" s="8" t="s">
        <v>11677</v>
      </c>
    </row>
    <row r="5820" spans="1:4" ht="14.25">
      <c r="A5820" s="5">
        <v>24</v>
      </c>
      <c r="B5820" s="6" t="s">
        <v>11678</v>
      </c>
      <c r="C5820" s="7">
        <v>28239</v>
      </c>
      <c r="D5820" s="8" t="s">
        <v>11679</v>
      </c>
    </row>
    <row r="5821" spans="1:4" ht="14.25">
      <c r="A5821" s="5">
        <v>24</v>
      </c>
      <c r="B5821" s="6" t="s">
        <v>11680</v>
      </c>
      <c r="C5821" s="7">
        <v>28239</v>
      </c>
      <c r="D5821" s="8" t="s">
        <v>11681</v>
      </c>
    </row>
    <row r="5822" spans="1:4" ht="14.25">
      <c r="A5822" s="5" t="s">
        <v>463</v>
      </c>
      <c r="B5822" s="6" t="s">
        <v>11682</v>
      </c>
      <c r="C5822" s="7">
        <v>28240</v>
      </c>
      <c r="D5822" s="8" t="s">
        <v>11683</v>
      </c>
    </row>
    <row r="5823" spans="1:4" ht="14.25">
      <c r="A5823" s="5">
        <v>25</v>
      </c>
      <c r="B5823" s="6" t="s">
        <v>11684</v>
      </c>
      <c r="C5823" s="7">
        <v>28240</v>
      </c>
      <c r="D5823" s="8" t="s">
        <v>11685</v>
      </c>
    </row>
    <row r="5824" spans="1:4" ht="14.25">
      <c r="A5824" s="5">
        <v>25</v>
      </c>
      <c r="B5824" s="6" t="s">
        <v>11686</v>
      </c>
      <c r="C5824" s="7">
        <v>28240</v>
      </c>
      <c r="D5824" s="8" t="s">
        <v>11687</v>
      </c>
    </row>
    <row r="5825" spans="1:4" ht="14.25">
      <c r="A5825" s="5">
        <v>25</v>
      </c>
      <c r="B5825" s="6" t="s">
        <v>11688</v>
      </c>
      <c r="C5825" s="7">
        <v>28240</v>
      </c>
      <c r="D5825" s="8" t="s">
        <v>11689</v>
      </c>
    </row>
    <row r="5826" spans="1:4" ht="14.25">
      <c r="A5826" s="5" t="s">
        <v>463</v>
      </c>
      <c r="B5826" s="6" t="s">
        <v>11690</v>
      </c>
      <c r="C5826" s="7">
        <v>28243</v>
      </c>
      <c r="D5826" s="8" t="s">
        <v>11691</v>
      </c>
    </row>
    <row r="5827" spans="1:4" ht="14.25">
      <c r="A5827" s="5">
        <v>28</v>
      </c>
      <c r="B5827" s="6" t="s">
        <v>11692</v>
      </c>
      <c r="C5827" s="7">
        <v>28243</v>
      </c>
      <c r="D5827" s="8" t="s">
        <v>11693</v>
      </c>
    </row>
    <row r="5828" spans="1:4" ht="14.25">
      <c r="A5828" s="5">
        <v>28</v>
      </c>
      <c r="B5828" s="6" t="s">
        <v>11694</v>
      </c>
      <c r="C5828" s="7">
        <v>28243</v>
      </c>
      <c r="D5828" s="8" t="s">
        <v>11695</v>
      </c>
    </row>
    <row r="5829" spans="1:4" ht="14.25">
      <c r="A5829" s="5">
        <v>28</v>
      </c>
      <c r="B5829" s="6" t="s">
        <v>11696</v>
      </c>
      <c r="C5829" s="7">
        <v>28243</v>
      </c>
      <c r="D5829" s="8" t="s">
        <v>11697</v>
      </c>
    </row>
    <row r="5830" spans="1:4" ht="14.25">
      <c r="A5830" s="5">
        <v>29</v>
      </c>
      <c r="B5830" s="6" t="s">
        <v>11698</v>
      </c>
      <c r="C5830" s="7">
        <v>28244</v>
      </c>
      <c r="D5830" s="8" t="s">
        <v>11699</v>
      </c>
    </row>
    <row r="5831" spans="1:4" ht="14.25">
      <c r="A5831" s="5">
        <v>30</v>
      </c>
      <c r="B5831" s="6" t="s">
        <v>11700</v>
      </c>
      <c r="C5831" s="7">
        <v>28245</v>
      </c>
      <c r="D5831" s="8" t="s">
        <v>11701</v>
      </c>
    </row>
    <row r="5832" spans="1:4" ht="14.25">
      <c r="A5832" s="5">
        <v>30</v>
      </c>
      <c r="B5832" s="6" t="s">
        <v>11702</v>
      </c>
      <c r="C5832" s="7">
        <v>28245</v>
      </c>
      <c r="D5832" s="8" t="s">
        <v>11703</v>
      </c>
    </row>
    <row r="5833" spans="1:4" ht="14.25">
      <c r="A5833" s="5">
        <v>2</v>
      </c>
      <c r="B5833" s="6" t="s">
        <v>11704</v>
      </c>
      <c r="C5833" s="7">
        <v>28247</v>
      </c>
      <c r="D5833" s="8" t="s">
        <v>11705</v>
      </c>
    </row>
    <row r="5834" spans="1:4" ht="14.25">
      <c r="A5834" s="5">
        <v>2</v>
      </c>
      <c r="B5834" s="6" t="s">
        <v>11706</v>
      </c>
      <c r="C5834" s="7">
        <v>28247</v>
      </c>
      <c r="D5834" s="8" t="s">
        <v>11707</v>
      </c>
    </row>
    <row r="5835" spans="1:4" ht="14.25">
      <c r="A5835" s="5">
        <v>8</v>
      </c>
      <c r="B5835" s="6" t="s">
        <v>11708</v>
      </c>
      <c r="C5835" s="7">
        <v>28253</v>
      </c>
      <c r="D5835" s="8" t="s">
        <v>11709</v>
      </c>
    </row>
    <row r="5836" spans="1:4" ht="14.25">
      <c r="A5836" s="5">
        <v>8</v>
      </c>
      <c r="B5836" s="6" t="s">
        <v>11710</v>
      </c>
      <c r="C5836" s="7">
        <v>28253</v>
      </c>
      <c r="D5836" s="8" t="s">
        <v>11711</v>
      </c>
    </row>
    <row r="5837" spans="1:4" ht="14.25">
      <c r="A5837" s="5">
        <v>8</v>
      </c>
      <c r="B5837" s="6" t="s">
        <v>11712</v>
      </c>
      <c r="C5837" s="7">
        <v>28253</v>
      </c>
      <c r="D5837" s="8" t="s">
        <v>11713</v>
      </c>
    </row>
    <row r="5838" spans="1:4" ht="14.25">
      <c r="A5838" s="5" t="s">
        <v>463</v>
      </c>
      <c r="B5838" s="6" t="s">
        <v>11714</v>
      </c>
      <c r="C5838" s="7">
        <v>28254</v>
      </c>
      <c r="D5838" s="8" t="s">
        <v>11715</v>
      </c>
    </row>
    <row r="5839" spans="1:4" ht="14.25">
      <c r="A5839" s="5">
        <v>9</v>
      </c>
      <c r="B5839" s="6" t="s">
        <v>11716</v>
      </c>
      <c r="C5839" s="7">
        <v>28254</v>
      </c>
      <c r="D5839" s="8" t="s">
        <v>11717</v>
      </c>
    </row>
    <row r="5840" spans="1:4" ht="14.25">
      <c r="A5840" s="5">
        <v>9</v>
      </c>
      <c r="B5840" s="6" t="s">
        <v>11718</v>
      </c>
      <c r="C5840" s="7">
        <v>28254</v>
      </c>
      <c r="D5840" s="8" t="s">
        <v>11719</v>
      </c>
    </row>
    <row r="5841" spans="1:4" ht="14.25">
      <c r="A5841" s="5" t="s">
        <v>463</v>
      </c>
      <c r="B5841" s="6" t="s">
        <v>11720</v>
      </c>
      <c r="C5841" s="7">
        <v>28256</v>
      </c>
      <c r="D5841" s="8" t="s">
        <v>11721</v>
      </c>
    </row>
    <row r="5842" spans="1:4" ht="14.25">
      <c r="A5842" s="5">
        <v>11</v>
      </c>
      <c r="B5842" s="6" t="s">
        <v>11722</v>
      </c>
      <c r="C5842" s="7">
        <v>28256</v>
      </c>
      <c r="D5842" s="8" t="s">
        <v>11723</v>
      </c>
    </row>
    <row r="5843" spans="1:4" ht="14.25">
      <c r="A5843" s="5">
        <v>11</v>
      </c>
      <c r="B5843" s="6" t="s">
        <v>11724</v>
      </c>
      <c r="C5843" s="7">
        <v>28256</v>
      </c>
      <c r="D5843" s="8" t="s">
        <v>11725</v>
      </c>
    </row>
    <row r="5844" spans="1:4" ht="14.25">
      <c r="A5844" s="5" t="s">
        <v>463</v>
      </c>
      <c r="B5844" s="6" t="s">
        <v>11726</v>
      </c>
      <c r="C5844" s="7">
        <v>28257</v>
      </c>
      <c r="D5844" s="8" t="s">
        <v>11727</v>
      </c>
    </row>
    <row r="5845" spans="1:4" ht="14.25">
      <c r="A5845" s="5">
        <v>12</v>
      </c>
      <c r="B5845" s="6" t="s">
        <v>11728</v>
      </c>
      <c r="C5845" s="7">
        <v>28257</v>
      </c>
      <c r="D5845" s="8" t="s">
        <v>11729</v>
      </c>
    </row>
    <row r="5846" spans="1:4" ht="14.25">
      <c r="A5846" s="5">
        <v>12</v>
      </c>
      <c r="B5846" s="6" t="s">
        <v>11730</v>
      </c>
      <c r="C5846" s="7">
        <v>28257</v>
      </c>
      <c r="D5846" s="8" t="s">
        <v>11731</v>
      </c>
    </row>
    <row r="5847" spans="1:4" ht="14.25">
      <c r="A5847" s="5" t="s">
        <v>463</v>
      </c>
      <c r="B5847" s="6" t="s">
        <v>11732</v>
      </c>
      <c r="C5847" s="7">
        <v>28258</v>
      </c>
      <c r="D5847" s="8" t="s">
        <v>11733</v>
      </c>
    </row>
    <row r="5848" spans="1:4" ht="14.25">
      <c r="A5848" s="5">
        <v>13</v>
      </c>
      <c r="B5848" s="6" t="s">
        <v>11734</v>
      </c>
      <c r="C5848" s="7">
        <v>28258</v>
      </c>
      <c r="D5848" s="8" t="s">
        <v>11735</v>
      </c>
    </row>
    <row r="5849" spans="1:4" ht="14.25">
      <c r="A5849" s="5">
        <v>13</v>
      </c>
      <c r="B5849" s="6" t="s">
        <v>11736</v>
      </c>
      <c r="C5849" s="7">
        <v>28258</v>
      </c>
      <c r="D5849" s="8" t="s">
        <v>11737</v>
      </c>
    </row>
    <row r="5850" spans="1:4" ht="14.25">
      <c r="A5850" s="5" t="s">
        <v>463</v>
      </c>
      <c r="B5850" s="6" t="s">
        <v>11738</v>
      </c>
      <c r="C5850" s="7">
        <v>28259</v>
      </c>
      <c r="D5850" s="8" t="s">
        <v>11739</v>
      </c>
    </row>
    <row r="5851" spans="1:4" ht="14.25">
      <c r="A5851" s="5">
        <v>14</v>
      </c>
      <c r="B5851" s="6" t="s">
        <v>11740</v>
      </c>
      <c r="C5851" s="7">
        <v>28259</v>
      </c>
      <c r="D5851" s="8" t="s">
        <v>11741</v>
      </c>
    </row>
    <row r="5852" spans="1:4" ht="14.25">
      <c r="A5852" s="5">
        <v>14</v>
      </c>
      <c r="B5852" s="6" t="s">
        <v>11742</v>
      </c>
      <c r="C5852" s="7">
        <v>28259</v>
      </c>
      <c r="D5852" s="8" t="s">
        <v>11743</v>
      </c>
    </row>
    <row r="5853" spans="1:4" ht="14.25">
      <c r="A5853" s="5">
        <v>15</v>
      </c>
      <c r="B5853" s="6" t="s">
        <v>11744</v>
      </c>
      <c r="C5853" s="7">
        <v>28260</v>
      </c>
      <c r="D5853" s="8" t="s">
        <v>11745</v>
      </c>
    </row>
    <row r="5854" spans="1:4" ht="14.25">
      <c r="A5854" s="5">
        <v>17</v>
      </c>
      <c r="B5854" s="6" t="s">
        <v>11746</v>
      </c>
      <c r="C5854" s="7">
        <v>28262</v>
      </c>
      <c r="D5854" s="8" t="s">
        <v>11747</v>
      </c>
    </row>
    <row r="5855" spans="1:4" ht="14.25">
      <c r="A5855" s="5">
        <v>17</v>
      </c>
      <c r="B5855" s="6" t="s">
        <v>11748</v>
      </c>
      <c r="C5855" s="7">
        <v>28262</v>
      </c>
      <c r="D5855" s="8" t="s">
        <v>11749</v>
      </c>
    </row>
    <row r="5856" spans="1:4" ht="14.25">
      <c r="A5856" s="5">
        <v>19</v>
      </c>
      <c r="B5856" s="6" t="s">
        <v>11750</v>
      </c>
      <c r="C5856" s="7">
        <v>28264</v>
      </c>
      <c r="D5856" s="8" t="s">
        <v>11751</v>
      </c>
    </row>
    <row r="5857" spans="1:4" ht="14.25">
      <c r="A5857" s="5">
        <v>20</v>
      </c>
      <c r="B5857" s="6" t="s">
        <v>11752</v>
      </c>
      <c r="C5857" s="7">
        <v>28265</v>
      </c>
      <c r="D5857" s="8" t="s">
        <v>11753</v>
      </c>
    </row>
    <row r="5858" spans="1:4" ht="14.25">
      <c r="A5858" s="5">
        <v>21</v>
      </c>
      <c r="B5858" s="6" t="s">
        <v>11754</v>
      </c>
      <c r="C5858" s="7">
        <v>28266</v>
      </c>
      <c r="D5858" s="8" t="s">
        <v>11755</v>
      </c>
    </row>
    <row r="5859" spans="1:4" ht="14.25">
      <c r="A5859" s="5">
        <v>22</v>
      </c>
      <c r="B5859" s="6" t="s">
        <v>11756</v>
      </c>
      <c r="C5859" s="7">
        <v>28267</v>
      </c>
      <c r="D5859" s="8" t="s">
        <v>11757</v>
      </c>
    </row>
    <row r="5860" spans="1:4" ht="14.25">
      <c r="A5860" s="5">
        <v>24</v>
      </c>
      <c r="B5860" s="6" t="s">
        <v>11758</v>
      </c>
      <c r="C5860" s="7">
        <v>28269</v>
      </c>
      <c r="D5860" s="8" t="s">
        <v>11759</v>
      </c>
    </row>
    <row r="5861" spans="1:4" ht="14.25">
      <c r="A5861" s="5">
        <v>24</v>
      </c>
      <c r="B5861" s="6" t="s">
        <v>11760</v>
      </c>
      <c r="C5861" s="7">
        <v>28269</v>
      </c>
      <c r="D5861" s="8" t="s">
        <v>11761</v>
      </c>
    </row>
    <row r="5862" spans="1:4" ht="14.25">
      <c r="A5862" s="5">
        <v>24</v>
      </c>
      <c r="B5862" s="6" t="s">
        <v>11762</v>
      </c>
      <c r="C5862" s="7">
        <v>28269</v>
      </c>
      <c r="D5862" s="8" t="s">
        <v>11763</v>
      </c>
    </row>
    <row r="5863" spans="1:4" ht="14.25">
      <c r="A5863" s="5">
        <v>24</v>
      </c>
      <c r="B5863" s="6" t="s">
        <v>11764</v>
      </c>
      <c r="C5863" s="7">
        <v>28269</v>
      </c>
      <c r="D5863" s="8" t="s">
        <v>11765</v>
      </c>
    </row>
    <row r="5864" spans="1:4" ht="14.25">
      <c r="A5864" s="5">
        <v>25</v>
      </c>
      <c r="B5864" s="6" t="s">
        <v>11766</v>
      </c>
      <c r="C5864" s="7">
        <v>28270</v>
      </c>
      <c r="D5864" s="8" t="s">
        <v>11767</v>
      </c>
    </row>
    <row r="5865" spans="1:4" ht="14.25">
      <c r="A5865" s="5">
        <v>25</v>
      </c>
      <c r="B5865" s="6" t="s">
        <v>11768</v>
      </c>
      <c r="C5865" s="7">
        <v>28270</v>
      </c>
      <c r="D5865" s="8" t="s">
        <v>11769</v>
      </c>
    </row>
    <row r="5866" spans="1:4" ht="14.25">
      <c r="A5866" s="5">
        <v>27</v>
      </c>
      <c r="B5866" s="6" t="s">
        <v>11770</v>
      </c>
      <c r="C5866" s="7">
        <v>28272</v>
      </c>
      <c r="D5866" s="8" t="s">
        <v>11771</v>
      </c>
    </row>
    <row r="5867" spans="1:4" ht="14.25">
      <c r="A5867" s="5">
        <v>27</v>
      </c>
      <c r="B5867" s="6" t="s">
        <v>11772</v>
      </c>
      <c r="C5867" s="7">
        <v>28272</v>
      </c>
      <c r="D5867" s="8" t="s">
        <v>11773</v>
      </c>
    </row>
    <row r="5868" spans="1:4" ht="14.25">
      <c r="A5868" s="5">
        <v>27</v>
      </c>
      <c r="B5868" s="6" t="s">
        <v>11774</v>
      </c>
      <c r="C5868" s="7">
        <v>28272</v>
      </c>
      <c r="D5868" s="8" t="s">
        <v>11775</v>
      </c>
    </row>
    <row r="5869" spans="1:4" ht="14.25">
      <c r="A5869" s="5">
        <v>28</v>
      </c>
      <c r="B5869" s="6" t="s">
        <v>11776</v>
      </c>
      <c r="C5869" s="7">
        <v>28273</v>
      </c>
      <c r="D5869" s="8" t="s">
        <v>11777</v>
      </c>
    </row>
    <row r="5870" spans="1:4" ht="14.25">
      <c r="A5870" s="5">
        <v>28</v>
      </c>
      <c r="B5870" s="6" t="s">
        <v>11778</v>
      </c>
      <c r="C5870" s="7">
        <v>28273</v>
      </c>
      <c r="D5870" s="8" t="s">
        <v>11779</v>
      </c>
    </row>
    <row r="5871" spans="1:4" ht="14.25">
      <c r="A5871" s="5">
        <v>28</v>
      </c>
      <c r="B5871" s="6" t="s">
        <v>11780</v>
      </c>
      <c r="C5871" s="7">
        <v>28273</v>
      </c>
      <c r="D5871" s="8" t="s">
        <v>11781</v>
      </c>
    </row>
    <row r="5872" spans="1:4" ht="14.25">
      <c r="A5872" s="5">
        <v>29</v>
      </c>
      <c r="B5872" s="6" t="s">
        <v>11782</v>
      </c>
      <c r="C5872" s="7">
        <v>28274</v>
      </c>
      <c r="D5872" s="8" t="s">
        <v>11783</v>
      </c>
    </row>
    <row r="5873" spans="1:4" ht="14.25">
      <c r="A5873" s="5">
        <v>29</v>
      </c>
      <c r="B5873" s="6" t="s">
        <v>11784</v>
      </c>
      <c r="C5873" s="7">
        <v>28274</v>
      </c>
      <c r="D5873" s="8" t="s">
        <v>11785</v>
      </c>
    </row>
    <row r="5874" spans="1:4" ht="14.25">
      <c r="A5874" s="5">
        <v>31</v>
      </c>
      <c r="B5874" s="6" t="s">
        <v>11786</v>
      </c>
      <c r="C5874" s="7">
        <v>28276</v>
      </c>
      <c r="D5874" s="8" t="s">
        <v>11787</v>
      </c>
    </row>
    <row r="5875" spans="1:4" ht="14.25">
      <c r="A5875" s="5">
        <v>1</v>
      </c>
      <c r="B5875" s="6" t="s">
        <v>11788</v>
      </c>
      <c r="C5875" s="7">
        <v>28277</v>
      </c>
      <c r="D5875" s="8" t="s">
        <v>11789</v>
      </c>
    </row>
    <row r="5876" spans="1:4" ht="14.25">
      <c r="A5876" s="5">
        <v>2</v>
      </c>
      <c r="B5876" s="6" t="s">
        <v>11790</v>
      </c>
      <c r="C5876" s="7">
        <v>28278</v>
      </c>
      <c r="D5876" s="8" t="s">
        <v>11791</v>
      </c>
    </row>
    <row r="5877" spans="1:4" ht="14.25">
      <c r="A5877" s="5">
        <v>17</v>
      </c>
      <c r="B5877" s="6" t="s">
        <v>11792</v>
      </c>
      <c r="C5877" s="7">
        <v>28293</v>
      </c>
      <c r="D5877" s="8" t="s">
        <v>11793</v>
      </c>
    </row>
    <row r="5878" spans="1:4" ht="14.25">
      <c r="A5878" s="5">
        <v>18</v>
      </c>
      <c r="B5878" s="6" t="s">
        <v>11794</v>
      </c>
      <c r="C5878" s="7">
        <v>28294</v>
      </c>
      <c r="D5878" s="8" t="s">
        <v>11795</v>
      </c>
    </row>
    <row r="5879" spans="1:4" ht="14.25">
      <c r="A5879" s="5">
        <v>19</v>
      </c>
      <c r="B5879" s="6" t="s">
        <v>11796</v>
      </c>
      <c r="C5879" s="7">
        <v>28295</v>
      </c>
      <c r="D5879" s="8" t="s">
        <v>11797</v>
      </c>
    </row>
    <row r="5880" spans="1:4" ht="14.25">
      <c r="A5880" s="5">
        <v>19</v>
      </c>
      <c r="B5880" s="6" t="s">
        <v>11798</v>
      </c>
      <c r="C5880" s="7">
        <v>28295</v>
      </c>
      <c r="D5880" s="8" t="s">
        <v>11799</v>
      </c>
    </row>
    <row r="5881" spans="1:4" ht="14.25">
      <c r="A5881" s="5">
        <v>20</v>
      </c>
      <c r="B5881" s="6" t="s">
        <v>11800</v>
      </c>
      <c r="C5881" s="7">
        <v>28296</v>
      </c>
      <c r="D5881" s="8" t="s">
        <v>11801</v>
      </c>
    </row>
    <row r="5882" spans="1:4" ht="14.25">
      <c r="A5882" s="5">
        <v>20</v>
      </c>
      <c r="B5882" s="6" t="s">
        <v>11802</v>
      </c>
      <c r="C5882" s="7">
        <v>28296</v>
      </c>
      <c r="D5882" s="8" t="s">
        <v>11803</v>
      </c>
    </row>
    <row r="5883" spans="1:4" ht="14.25">
      <c r="A5883" s="5">
        <v>21</v>
      </c>
      <c r="B5883" s="6" t="s">
        <v>11804</v>
      </c>
      <c r="C5883" s="7">
        <v>28297</v>
      </c>
      <c r="D5883" s="8" t="s">
        <v>11805</v>
      </c>
    </row>
    <row r="5884" spans="1:4" ht="14.25">
      <c r="A5884" s="5">
        <v>22</v>
      </c>
      <c r="B5884" s="6" t="s">
        <v>11806</v>
      </c>
      <c r="C5884" s="7">
        <v>28298</v>
      </c>
      <c r="D5884" s="8" t="s">
        <v>11807</v>
      </c>
    </row>
    <row r="5885" spans="1:4" ht="14.25">
      <c r="A5885" s="5">
        <v>23</v>
      </c>
      <c r="B5885" s="6" t="s">
        <v>11808</v>
      </c>
      <c r="C5885" s="7">
        <v>28299</v>
      </c>
      <c r="D5885" s="8" t="s">
        <v>11809</v>
      </c>
    </row>
    <row r="5886" spans="1:4" ht="14.25">
      <c r="A5886" s="5">
        <v>24</v>
      </c>
      <c r="B5886" s="6" t="s">
        <v>11810</v>
      </c>
      <c r="C5886" s="7">
        <v>28300</v>
      </c>
      <c r="D5886" s="8" t="s">
        <v>11811</v>
      </c>
    </row>
    <row r="5887" spans="1:4" ht="14.25">
      <c r="A5887" s="5">
        <v>26</v>
      </c>
      <c r="B5887" s="6" t="s">
        <v>11812</v>
      </c>
      <c r="C5887" s="7">
        <v>28302</v>
      </c>
      <c r="D5887" s="8" t="s">
        <v>11813</v>
      </c>
    </row>
    <row r="5888" spans="1:4" ht="14.25">
      <c r="A5888" s="5">
        <v>26</v>
      </c>
      <c r="B5888" s="6" t="s">
        <v>11814</v>
      </c>
      <c r="C5888" s="7">
        <v>28302</v>
      </c>
      <c r="D5888" s="8" t="s">
        <v>11815</v>
      </c>
    </row>
    <row r="5889" spans="1:4" ht="14.25">
      <c r="A5889" s="5">
        <v>27</v>
      </c>
      <c r="B5889" s="6" t="s">
        <v>11816</v>
      </c>
      <c r="C5889" s="7">
        <v>28303</v>
      </c>
      <c r="D5889" s="8" t="s">
        <v>11817</v>
      </c>
    </row>
    <row r="5890" spans="1:4" ht="14.25">
      <c r="A5890" s="5">
        <v>28</v>
      </c>
      <c r="B5890" s="6" t="s">
        <v>11818</v>
      </c>
      <c r="C5890" s="7">
        <v>28304</v>
      </c>
      <c r="D5890" s="8" t="s">
        <v>11819</v>
      </c>
    </row>
    <row r="5891" spans="1:4" ht="14.25">
      <c r="A5891" s="5">
        <v>28</v>
      </c>
      <c r="B5891" s="6" t="s">
        <v>11820</v>
      </c>
      <c r="C5891" s="7">
        <v>28304</v>
      </c>
      <c r="D5891" s="8" t="s">
        <v>11821</v>
      </c>
    </row>
    <row r="5892" spans="1:4" ht="14.25">
      <c r="A5892" s="5">
        <v>28</v>
      </c>
      <c r="B5892" s="6" t="s">
        <v>11822</v>
      </c>
      <c r="C5892" s="7">
        <v>28304</v>
      </c>
      <c r="D5892" s="8" t="s">
        <v>11823</v>
      </c>
    </row>
    <row r="5893" spans="1:4" ht="14.25">
      <c r="A5893" s="5">
        <v>28</v>
      </c>
      <c r="B5893" s="6" t="s">
        <v>11824</v>
      </c>
      <c r="C5893" s="7">
        <v>28304</v>
      </c>
      <c r="D5893" s="8" t="s">
        <v>11825</v>
      </c>
    </row>
    <row r="5894" spans="1:4" ht="14.25">
      <c r="A5894" s="5">
        <v>30</v>
      </c>
      <c r="B5894" s="6" t="s">
        <v>11826</v>
      </c>
      <c r="C5894" s="7">
        <v>28306</v>
      </c>
      <c r="D5894" s="8" t="s">
        <v>11827</v>
      </c>
    </row>
    <row r="5895" spans="1:4" ht="14.25">
      <c r="A5895" s="5">
        <v>30</v>
      </c>
      <c r="B5895" s="6" t="s">
        <v>11828</v>
      </c>
      <c r="C5895" s="7">
        <v>28306</v>
      </c>
      <c r="D5895" s="8" t="s">
        <v>11829</v>
      </c>
    </row>
    <row r="5896" spans="1:4" ht="14.25">
      <c r="A5896" s="5">
        <v>30</v>
      </c>
      <c r="B5896" s="6" t="s">
        <v>11830</v>
      </c>
      <c r="C5896" s="7">
        <v>28306</v>
      </c>
      <c r="D5896" s="8" t="s">
        <v>11831</v>
      </c>
    </row>
    <row r="5897" spans="1:4" ht="14.25">
      <c r="A5897" s="5">
        <v>1</v>
      </c>
      <c r="B5897" s="6" t="s">
        <v>11832</v>
      </c>
      <c r="C5897" s="7">
        <v>28307</v>
      </c>
      <c r="D5897" s="8" t="s">
        <v>11833</v>
      </c>
    </row>
    <row r="5898" spans="1:4" ht="14.25">
      <c r="A5898" s="5">
        <v>1</v>
      </c>
      <c r="B5898" s="6" t="s">
        <v>11834</v>
      </c>
      <c r="C5898" s="7">
        <v>28307</v>
      </c>
      <c r="D5898" s="8" t="s">
        <v>11835</v>
      </c>
    </row>
    <row r="5899" spans="1:4" ht="14.25">
      <c r="A5899" s="5">
        <v>1</v>
      </c>
      <c r="B5899" s="6" t="s">
        <v>11836</v>
      </c>
      <c r="C5899" s="7">
        <v>28307</v>
      </c>
      <c r="D5899" s="8" t="s">
        <v>11837</v>
      </c>
    </row>
    <row r="5900" spans="1:4" ht="14.25">
      <c r="A5900" s="5">
        <v>1</v>
      </c>
      <c r="B5900" s="6" t="s">
        <v>11838</v>
      </c>
      <c r="C5900" s="7">
        <v>28307</v>
      </c>
      <c r="D5900" s="8" t="s">
        <v>11839</v>
      </c>
    </row>
    <row r="5901" spans="1:4" ht="14.25">
      <c r="A5901" s="5">
        <v>1</v>
      </c>
      <c r="B5901" s="6" t="s">
        <v>11840</v>
      </c>
      <c r="C5901" s="7">
        <v>28307</v>
      </c>
      <c r="D5901" s="8" t="s">
        <v>11841</v>
      </c>
    </row>
    <row r="5902" spans="1:4" ht="14.25">
      <c r="A5902" s="5">
        <v>1</v>
      </c>
      <c r="B5902" s="6" t="s">
        <v>11842</v>
      </c>
      <c r="C5902" s="7">
        <v>28307</v>
      </c>
      <c r="D5902" s="8" t="s">
        <v>11843</v>
      </c>
    </row>
    <row r="5903" spans="1:4" ht="14.25">
      <c r="A5903" s="5">
        <v>2</v>
      </c>
      <c r="B5903" s="6" t="s">
        <v>11844</v>
      </c>
      <c r="C5903" s="7">
        <v>28308</v>
      </c>
      <c r="D5903" s="8" t="s">
        <v>11845</v>
      </c>
    </row>
    <row r="5904" spans="1:4" ht="14.25">
      <c r="A5904" s="5">
        <v>2</v>
      </c>
      <c r="B5904" s="6" t="s">
        <v>11846</v>
      </c>
      <c r="C5904" s="7">
        <v>28308</v>
      </c>
      <c r="D5904" s="8" t="s">
        <v>11847</v>
      </c>
    </row>
    <row r="5905" spans="1:4" ht="14.25">
      <c r="A5905" s="5">
        <v>3</v>
      </c>
      <c r="B5905" s="6" t="s">
        <v>11848</v>
      </c>
      <c r="C5905" s="7">
        <v>28309</v>
      </c>
      <c r="D5905" s="8" t="s">
        <v>11849</v>
      </c>
    </row>
    <row r="5906" spans="1:4" ht="14.25">
      <c r="A5906" s="5">
        <v>5</v>
      </c>
      <c r="B5906" s="6" t="s">
        <v>11850</v>
      </c>
      <c r="C5906" s="7">
        <v>28311</v>
      </c>
      <c r="D5906" s="8" t="s">
        <v>11851</v>
      </c>
    </row>
    <row r="5907" spans="1:4" ht="14.25">
      <c r="A5907" s="5">
        <v>5</v>
      </c>
      <c r="B5907" s="6" t="s">
        <v>11852</v>
      </c>
      <c r="C5907" s="7">
        <v>28311</v>
      </c>
      <c r="D5907" s="8" t="s">
        <v>11853</v>
      </c>
    </row>
    <row r="5908" spans="1:4" ht="14.25">
      <c r="A5908" s="5">
        <v>6</v>
      </c>
      <c r="B5908" s="6" t="s">
        <v>11854</v>
      </c>
      <c r="C5908" s="7">
        <v>28312</v>
      </c>
      <c r="D5908" s="8" t="s">
        <v>11855</v>
      </c>
    </row>
    <row r="5909" spans="1:4" ht="14.25">
      <c r="A5909" s="5">
        <v>7</v>
      </c>
      <c r="B5909" s="6" t="s">
        <v>11856</v>
      </c>
      <c r="C5909" s="7">
        <v>28313</v>
      </c>
      <c r="D5909" s="8" t="s">
        <v>11857</v>
      </c>
    </row>
    <row r="5910" spans="1:4" ht="14.25">
      <c r="A5910" s="5">
        <v>7</v>
      </c>
      <c r="B5910" s="6" t="s">
        <v>11858</v>
      </c>
      <c r="C5910" s="7">
        <v>28313</v>
      </c>
      <c r="D5910" s="8" t="s">
        <v>11859</v>
      </c>
    </row>
    <row r="5911" spans="1:4" ht="14.25">
      <c r="A5911" s="5">
        <v>7</v>
      </c>
      <c r="B5911" s="6" t="s">
        <v>11860</v>
      </c>
      <c r="C5911" s="7">
        <v>28313</v>
      </c>
      <c r="D5911" s="8" t="s">
        <v>11861</v>
      </c>
    </row>
    <row r="5912" spans="1:4" ht="14.25">
      <c r="A5912" s="5">
        <v>8</v>
      </c>
      <c r="B5912" s="6" t="s">
        <v>11862</v>
      </c>
      <c r="C5912" s="7">
        <v>28314</v>
      </c>
      <c r="D5912" s="8" t="s">
        <v>11863</v>
      </c>
    </row>
    <row r="5913" spans="1:4" ht="14.25">
      <c r="A5913" s="5">
        <v>8</v>
      </c>
      <c r="B5913" s="6" t="s">
        <v>11864</v>
      </c>
      <c r="C5913" s="7">
        <v>28314</v>
      </c>
      <c r="D5913" s="8" t="s">
        <v>11865</v>
      </c>
    </row>
    <row r="5914" spans="1:4" ht="14.25">
      <c r="A5914" s="5">
        <v>10</v>
      </c>
      <c r="B5914" s="6" t="s">
        <v>11866</v>
      </c>
      <c r="C5914" s="7">
        <v>28316</v>
      </c>
      <c r="D5914" s="8" t="s">
        <v>11867</v>
      </c>
    </row>
    <row r="5915" spans="1:4" ht="14.25">
      <c r="A5915" s="5">
        <v>14</v>
      </c>
      <c r="B5915" s="6" t="s">
        <v>11868</v>
      </c>
      <c r="C5915" s="7">
        <v>28320</v>
      </c>
      <c r="D5915" s="8" t="s">
        <v>11869</v>
      </c>
    </row>
    <row r="5916" spans="1:4" ht="14.25">
      <c r="A5916" s="5">
        <v>14</v>
      </c>
      <c r="B5916" s="6" t="s">
        <v>11870</v>
      </c>
      <c r="C5916" s="7">
        <v>28320</v>
      </c>
      <c r="D5916" s="8" t="s">
        <v>11871</v>
      </c>
    </row>
    <row r="5917" spans="1:4" ht="14.25">
      <c r="A5917" s="5">
        <v>15</v>
      </c>
      <c r="B5917" s="6" t="s">
        <v>11872</v>
      </c>
      <c r="C5917" s="7">
        <v>28321</v>
      </c>
      <c r="D5917" s="8" t="s">
        <v>11873</v>
      </c>
    </row>
    <row r="5918" spans="1:4" ht="14.25">
      <c r="A5918" s="5">
        <v>17</v>
      </c>
      <c r="B5918" s="6" t="s">
        <v>11874</v>
      </c>
      <c r="C5918" s="7">
        <v>28323</v>
      </c>
      <c r="D5918" s="8" t="s">
        <v>11875</v>
      </c>
    </row>
    <row r="5919" spans="1:4" ht="14.25">
      <c r="A5919" s="5">
        <v>17</v>
      </c>
      <c r="B5919" s="6" t="s">
        <v>11876</v>
      </c>
      <c r="C5919" s="7">
        <v>28323</v>
      </c>
      <c r="D5919" s="8" t="s">
        <v>11877</v>
      </c>
    </row>
    <row r="5920" spans="1:4" ht="14.25">
      <c r="A5920" s="5">
        <v>19</v>
      </c>
      <c r="B5920" s="6" t="s">
        <v>11878</v>
      </c>
      <c r="C5920" s="7">
        <v>28325</v>
      </c>
      <c r="D5920" s="8" t="s">
        <v>11879</v>
      </c>
    </row>
    <row r="5921" spans="1:4" ht="14.25">
      <c r="A5921" s="5">
        <v>19</v>
      </c>
      <c r="B5921" s="6" t="s">
        <v>11880</v>
      </c>
      <c r="C5921" s="7">
        <v>28325</v>
      </c>
      <c r="D5921" s="8" t="s">
        <v>11881</v>
      </c>
    </row>
    <row r="5922" spans="1:4" ht="14.25">
      <c r="A5922" s="5">
        <v>26</v>
      </c>
      <c r="B5922" s="6" t="s">
        <v>11882</v>
      </c>
      <c r="C5922" s="7">
        <v>28332</v>
      </c>
      <c r="D5922" s="8" t="s">
        <v>11883</v>
      </c>
    </row>
    <row r="5923" spans="1:4" ht="14.25">
      <c r="A5923" s="5">
        <v>27</v>
      </c>
      <c r="B5923" s="6" t="s">
        <v>11884</v>
      </c>
      <c r="C5923" s="7">
        <v>28333</v>
      </c>
      <c r="D5923" s="8" t="s">
        <v>11885</v>
      </c>
    </row>
    <row r="5924" spans="1:4" ht="14.25">
      <c r="A5924" s="5">
        <v>31</v>
      </c>
      <c r="B5924" s="6" t="s">
        <v>11886</v>
      </c>
      <c r="C5924" s="7">
        <v>28337</v>
      </c>
      <c r="D5924" s="8" t="s">
        <v>11887</v>
      </c>
    </row>
    <row r="5925" spans="1:4" ht="14.25">
      <c r="A5925" s="5">
        <v>8</v>
      </c>
      <c r="B5925" s="6" t="s">
        <v>11888</v>
      </c>
      <c r="C5925" s="7">
        <v>28345</v>
      </c>
      <c r="D5925" s="8" t="s">
        <v>11889</v>
      </c>
    </row>
    <row r="5926" spans="1:4" ht="14.25">
      <c r="A5926" s="5">
        <v>10</v>
      </c>
      <c r="B5926" s="6" t="s">
        <v>11890</v>
      </c>
      <c r="C5926" s="7">
        <v>28347</v>
      </c>
      <c r="D5926" s="8" t="s">
        <v>11891</v>
      </c>
    </row>
    <row r="5927" spans="1:4" ht="14.25">
      <c r="A5927" s="5">
        <v>11</v>
      </c>
      <c r="B5927" s="6" t="s">
        <v>11892</v>
      </c>
      <c r="C5927" s="7">
        <v>28348</v>
      </c>
      <c r="D5927" s="8" t="s">
        <v>11893</v>
      </c>
    </row>
    <row r="5928" spans="1:4" ht="14.25">
      <c r="A5928" s="5">
        <v>17</v>
      </c>
      <c r="B5928" s="6" t="s">
        <v>11894</v>
      </c>
      <c r="C5928" s="7">
        <v>28354</v>
      </c>
      <c r="D5928" s="8" t="s">
        <v>11895</v>
      </c>
    </row>
    <row r="5929" spans="1:4" ht="14.25">
      <c r="A5929" s="5">
        <v>29</v>
      </c>
      <c r="B5929" s="6" t="s">
        <v>11896</v>
      </c>
      <c r="C5929" s="7">
        <v>28366</v>
      </c>
      <c r="D5929" s="8" t="s">
        <v>11897</v>
      </c>
    </row>
    <row r="5930" spans="1:4" ht="14.25">
      <c r="A5930" s="5">
        <v>2</v>
      </c>
      <c r="B5930" s="6" t="s">
        <v>11898</v>
      </c>
      <c r="C5930" s="7">
        <v>28400</v>
      </c>
      <c r="D5930" s="8" t="s">
        <v>11899</v>
      </c>
    </row>
    <row r="5931" spans="1:4" ht="14.25">
      <c r="A5931" s="5">
        <v>3</v>
      </c>
      <c r="B5931" s="6" t="s">
        <v>11900</v>
      </c>
      <c r="C5931" s="7">
        <v>28401</v>
      </c>
      <c r="D5931" s="8" t="s">
        <v>11901</v>
      </c>
    </row>
    <row r="5932" spans="1:4" ht="14.25">
      <c r="A5932" s="5">
        <v>4</v>
      </c>
      <c r="B5932" s="6" t="s">
        <v>11902</v>
      </c>
      <c r="C5932" s="7">
        <v>28402</v>
      </c>
      <c r="D5932" s="8" t="s">
        <v>11903</v>
      </c>
    </row>
    <row r="5933" spans="1:4" ht="14.25">
      <c r="A5933" s="5">
        <v>6</v>
      </c>
      <c r="B5933" s="6" t="s">
        <v>11904</v>
      </c>
      <c r="C5933" s="7">
        <v>28404</v>
      </c>
      <c r="D5933" s="8" t="s">
        <v>11905</v>
      </c>
    </row>
    <row r="5934" spans="1:4" ht="14.25">
      <c r="A5934" s="5">
        <v>6</v>
      </c>
      <c r="B5934" s="6" t="s">
        <v>11906</v>
      </c>
      <c r="C5934" s="7">
        <v>28404</v>
      </c>
      <c r="D5934" s="8" t="s">
        <v>11907</v>
      </c>
    </row>
    <row r="5935" spans="1:4" ht="14.25">
      <c r="A5935" s="5">
        <v>8</v>
      </c>
      <c r="B5935" s="6" t="s">
        <v>11908</v>
      </c>
      <c r="C5935" s="7">
        <v>28406</v>
      </c>
      <c r="D5935" s="8" t="s">
        <v>11909</v>
      </c>
    </row>
    <row r="5936" spans="1:4" ht="14.25">
      <c r="A5936" s="5">
        <v>8</v>
      </c>
      <c r="B5936" s="6" t="s">
        <v>11910</v>
      </c>
      <c r="C5936" s="7">
        <v>28406</v>
      </c>
      <c r="D5936" s="8" t="s">
        <v>11911</v>
      </c>
    </row>
    <row r="5937" spans="1:4" ht="14.25">
      <c r="A5937" s="5">
        <v>9</v>
      </c>
      <c r="B5937" s="6" t="s">
        <v>11912</v>
      </c>
      <c r="C5937" s="7">
        <v>28407</v>
      </c>
      <c r="D5937" s="8" t="s">
        <v>11913</v>
      </c>
    </row>
    <row r="5938" spans="1:4" ht="14.25">
      <c r="A5938" s="5">
        <v>10</v>
      </c>
      <c r="B5938" s="6" t="s">
        <v>11914</v>
      </c>
      <c r="C5938" s="7">
        <v>28408</v>
      </c>
      <c r="D5938" s="8" t="s">
        <v>11915</v>
      </c>
    </row>
    <row r="5939" spans="1:4" ht="14.25">
      <c r="A5939" s="5">
        <v>10</v>
      </c>
      <c r="B5939" s="6" t="s">
        <v>11916</v>
      </c>
      <c r="C5939" s="7">
        <v>28408</v>
      </c>
      <c r="D5939" s="8" t="s">
        <v>11917</v>
      </c>
    </row>
    <row r="5940" spans="1:4" ht="14.25">
      <c r="A5940" s="5">
        <v>11</v>
      </c>
      <c r="B5940" s="6" t="s">
        <v>11918</v>
      </c>
      <c r="C5940" s="7">
        <v>28409</v>
      </c>
      <c r="D5940" s="8" t="s">
        <v>11919</v>
      </c>
    </row>
    <row r="5941" spans="1:4" ht="14.25">
      <c r="A5941" s="5">
        <v>11</v>
      </c>
      <c r="B5941" s="6" t="s">
        <v>11920</v>
      </c>
      <c r="C5941" s="7">
        <v>28409</v>
      </c>
      <c r="D5941" s="8" t="s">
        <v>11921</v>
      </c>
    </row>
    <row r="5942" spans="1:4" ht="14.25">
      <c r="A5942" s="5">
        <v>12</v>
      </c>
      <c r="B5942" s="6" t="s">
        <v>11922</v>
      </c>
      <c r="C5942" s="7">
        <v>28410</v>
      </c>
      <c r="D5942" s="8" t="s">
        <v>11923</v>
      </c>
    </row>
    <row r="5943" spans="1:4" ht="14.25">
      <c r="A5943" s="5">
        <v>13</v>
      </c>
      <c r="B5943" s="6" t="s">
        <v>11924</v>
      </c>
      <c r="C5943" s="7">
        <v>28411</v>
      </c>
      <c r="D5943" s="8" t="s">
        <v>11925</v>
      </c>
    </row>
    <row r="5944" spans="1:4" ht="14.25">
      <c r="A5944" s="5">
        <v>13</v>
      </c>
      <c r="B5944" s="6" t="s">
        <v>11926</v>
      </c>
      <c r="C5944" s="7">
        <v>28411</v>
      </c>
      <c r="D5944" s="8" t="s">
        <v>11927</v>
      </c>
    </row>
    <row r="5945" spans="1:4" ht="14.25">
      <c r="A5945" s="5">
        <v>13</v>
      </c>
      <c r="B5945" s="6" t="s">
        <v>11928</v>
      </c>
      <c r="C5945" s="7">
        <v>28411</v>
      </c>
      <c r="D5945" s="8" t="s">
        <v>11929</v>
      </c>
    </row>
    <row r="5946" spans="1:4" ht="14.25">
      <c r="A5946" s="5">
        <v>14</v>
      </c>
      <c r="B5946" s="6" t="s">
        <v>11930</v>
      </c>
      <c r="C5946" s="7">
        <v>28412</v>
      </c>
      <c r="D5946" s="8" t="s">
        <v>11931</v>
      </c>
    </row>
    <row r="5947" spans="1:4" ht="14.25">
      <c r="A5947" s="5">
        <v>14</v>
      </c>
      <c r="B5947" s="6" t="s">
        <v>11932</v>
      </c>
      <c r="C5947" s="7">
        <v>28412</v>
      </c>
      <c r="D5947" s="8" t="s">
        <v>11933</v>
      </c>
    </row>
    <row r="5948" spans="1:4" ht="14.25">
      <c r="A5948" s="5">
        <v>14</v>
      </c>
      <c r="B5948" s="6" t="s">
        <v>11934</v>
      </c>
      <c r="C5948" s="7">
        <v>28412</v>
      </c>
      <c r="D5948" s="8" t="s">
        <v>11935</v>
      </c>
    </row>
    <row r="5949" spans="1:4" ht="14.25">
      <c r="A5949" s="5">
        <v>15</v>
      </c>
      <c r="B5949" s="6" t="s">
        <v>11936</v>
      </c>
      <c r="C5949" s="7">
        <v>28413</v>
      </c>
      <c r="D5949" s="8" t="s">
        <v>11937</v>
      </c>
    </row>
    <row r="5950" spans="1:4" ht="14.25">
      <c r="A5950" s="5">
        <v>15</v>
      </c>
      <c r="B5950" s="6" t="s">
        <v>11938</v>
      </c>
      <c r="C5950" s="7">
        <v>28413</v>
      </c>
      <c r="D5950" s="8" t="s">
        <v>11939</v>
      </c>
    </row>
    <row r="5951" spans="1:4" ht="14.25">
      <c r="A5951" s="5">
        <v>15</v>
      </c>
      <c r="B5951" s="6" t="s">
        <v>11940</v>
      </c>
      <c r="C5951" s="7">
        <v>28413</v>
      </c>
      <c r="D5951" s="8" t="s">
        <v>11941</v>
      </c>
    </row>
    <row r="5952" spans="1:4" ht="14.25">
      <c r="A5952" s="5">
        <v>16</v>
      </c>
      <c r="B5952" s="6" t="s">
        <v>11942</v>
      </c>
      <c r="C5952" s="7">
        <v>28414</v>
      </c>
      <c r="D5952" s="8" t="s">
        <v>11943</v>
      </c>
    </row>
    <row r="5953" spans="1:4" ht="14.25">
      <c r="A5953" s="5">
        <v>16</v>
      </c>
      <c r="B5953" s="6" t="s">
        <v>11944</v>
      </c>
      <c r="C5953" s="7">
        <v>28414</v>
      </c>
      <c r="D5953" s="8" t="s">
        <v>11945</v>
      </c>
    </row>
    <row r="5954" spans="1:4" ht="14.25">
      <c r="A5954" s="5">
        <v>16</v>
      </c>
      <c r="B5954" s="6" t="s">
        <v>11946</v>
      </c>
      <c r="C5954" s="7">
        <v>28414</v>
      </c>
      <c r="D5954" s="8" t="s">
        <v>11947</v>
      </c>
    </row>
    <row r="5955" spans="1:4" ht="14.25">
      <c r="A5955" s="5">
        <v>17</v>
      </c>
      <c r="B5955" s="6" t="s">
        <v>11948</v>
      </c>
      <c r="C5955" s="7">
        <v>28415</v>
      </c>
      <c r="D5955" s="8" t="s">
        <v>11949</v>
      </c>
    </row>
    <row r="5956" spans="1:4" ht="14.25">
      <c r="A5956" s="5">
        <v>17</v>
      </c>
      <c r="B5956" s="6" t="s">
        <v>11950</v>
      </c>
      <c r="C5956" s="7">
        <v>28415</v>
      </c>
      <c r="D5956" s="8" t="s">
        <v>11951</v>
      </c>
    </row>
    <row r="5957" spans="1:4" ht="14.25">
      <c r="A5957" s="5">
        <v>18</v>
      </c>
      <c r="B5957" s="6" t="s">
        <v>11952</v>
      </c>
      <c r="C5957" s="7">
        <v>28416</v>
      </c>
      <c r="D5957" s="8" t="s">
        <v>11953</v>
      </c>
    </row>
    <row r="5958" spans="1:4" ht="14.25">
      <c r="A5958" s="5">
        <v>18</v>
      </c>
      <c r="B5958" s="6" t="s">
        <v>11954</v>
      </c>
      <c r="C5958" s="7">
        <v>28416</v>
      </c>
      <c r="D5958" s="8" t="s">
        <v>11955</v>
      </c>
    </row>
    <row r="5959" spans="1:4" ht="14.25">
      <c r="A5959" s="5">
        <v>18</v>
      </c>
      <c r="B5959" s="6" t="s">
        <v>11956</v>
      </c>
      <c r="C5959" s="7">
        <v>28416</v>
      </c>
      <c r="D5959" s="8" t="s">
        <v>11957</v>
      </c>
    </row>
    <row r="5960" spans="1:4" ht="14.25">
      <c r="A5960" s="5">
        <v>19</v>
      </c>
      <c r="B5960" s="6" t="s">
        <v>11958</v>
      </c>
      <c r="C5960" s="7">
        <v>28417</v>
      </c>
      <c r="D5960" s="8" t="s">
        <v>11959</v>
      </c>
    </row>
    <row r="5961" spans="1:4" ht="14.25">
      <c r="A5961" s="5">
        <v>20</v>
      </c>
      <c r="B5961" s="6" t="s">
        <v>11960</v>
      </c>
      <c r="C5961" s="7">
        <v>28418</v>
      </c>
      <c r="D5961" s="8" t="s">
        <v>11961</v>
      </c>
    </row>
    <row r="5962" spans="1:4" ht="14.25">
      <c r="A5962" s="5">
        <v>21</v>
      </c>
      <c r="B5962" s="6" t="s">
        <v>11962</v>
      </c>
      <c r="C5962" s="7">
        <v>28419</v>
      </c>
      <c r="D5962" s="8" t="s">
        <v>11963</v>
      </c>
    </row>
    <row r="5963" spans="1:4" ht="14.25">
      <c r="A5963" s="5">
        <v>21</v>
      </c>
      <c r="B5963" s="6" t="s">
        <v>11964</v>
      </c>
      <c r="C5963" s="7">
        <v>28419</v>
      </c>
      <c r="D5963" s="8" t="s">
        <v>11965</v>
      </c>
    </row>
    <row r="5964" spans="1:4" ht="14.25">
      <c r="A5964" s="5">
        <v>22</v>
      </c>
      <c r="B5964" s="6" t="s">
        <v>11966</v>
      </c>
      <c r="C5964" s="7">
        <v>28420</v>
      </c>
      <c r="D5964" s="8" t="s">
        <v>11967</v>
      </c>
    </row>
    <row r="5965" spans="1:4" ht="14.25">
      <c r="A5965" s="5">
        <v>22</v>
      </c>
      <c r="B5965" s="6" t="s">
        <v>11968</v>
      </c>
      <c r="C5965" s="7">
        <v>28420</v>
      </c>
      <c r="D5965" s="8" t="s">
        <v>11969</v>
      </c>
    </row>
    <row r="5966" spans="1:4" ht="14.25">
      <c r="A5966" s="5">
        <v>24</v>
      </c>
      <c r="B5966" s="6" t="s">
        <v>11970</v>
      </c>
      <c r="C5966" s="7">
        <v>28422</v>
      </c>
      <c r="D5966" s="8" t="s">
        <v>11971</v>
      </c>
    </row>
    <row r="5967" spans="1:4" ht="14.25">
      <c r="A5967" s="5">
        <v>25</v>
      </c>
      <c r="B5967" s="6" t="s">
        <v>11972</v>
      </c>
      <c r="C5967" s="7">
        <v>28423</v>
      </c>
      <c r="D5967" s="8" t="s">
        <v>11973</v>
      </c>
    </row>
    <row r="5968" spans="1:4" ht="14.25">
      <c r="A5968" s="5">
        <v>25</v>
      </c>
      <c r="B5968" s="6" t="s">
        <v>11974</v>
      </c>
      <c r="C5968" s="7">
        <v>28423</v>
      </c>
      <c r="D5968" s="8" t="s">
        <v>11975</v>
      </c>
    </row>
    <row r="5969" spans="1:4" ht="14.25">
      <c r="A5969" s="5">
        <v>26</v>
      </c>
      <c r="B5969" s="6" t="s">
        <v>11976</v>
      </c>
      <c r="C5969" s="7">
        <v>28424</v>
      </c>
      <c r="D5969" s="8" t="s">
        <v>11977</v>
      </c>
    </row>
    <row r="5970" spans="1:4" ht="14.25">
      <c r="A5970" s="5">
        <v>27</v>
      </c>
      <c r="B5970" s="6" t="s">
        <v>11978</v>
      </c>
      <c r="C5970" s="7">
        <v>28425</v>
      </c>
      <c r="D5970" s="8" t="s">
        <v>11979</v>
      </c>
    </row>
    <row r="5971" spans="1:4" ht="14.25">
      <c r="A5971" s="5">
        <v>27</v>
      </c>
      <c r="B5971" s="6" t="s">
        <v>11980</v>
      </c>
      <c r="C5971" s="7">
        <v>28425</v>
      </c>
      <c r="D5971" s="8" t="s">
        <v>11981</v>
      </c>
    </row>
    <row r="5972" spans="1:4" ht="14.25">
      <c r="A5972" s="5">
        <v>28</v>
      </c>
      <c r="B5972" s="6" t="s">
        <v>11982</v>
      </c>
      <c r="C5972" s="7">
        <v>28426</v>
      </c>
      <c r="D5972" s="8" t="s">
        <v>11983</v>
      </c>
    </row>
    <row r="5973" spans="1:4" ht="14.25">
      <c r="A5973" s="5">
        <v>28</v>
      </c>
      <c r="B5973" s="6" t="s">
        <v>11984</v>
      </c>
      <c r="C5973" s="7">
        <v>28426</v>
      </c>
      <c r="D5973" s="8" t="s">
        <v>11985</v>
      </c>
    </row>
    <row r="5974" spans="1:4" ht="14.25">
      <c r="A5974" s="5">
        <v>29</v>
      </c>
      <c r="B5974" s="6" t="s">
        <v>11986</v>
      </c>
      <c r="C5974" s="7">
        <v>28427</v>
      </c>
      <c r="D5974" s="8" t="s">
        <v>11987</v>
      </c>
    </row>
    <row r="5975" spans="1:4" ht="14.25">
      <c r="A5975" s="5">
        <v>30</v>
      </c>
      <c r="B5975" s="6" t="s">
        <v>11988</v>
      </c>
      <c r="C5975" s="7">
        <v>28428</v>
      </c>
      <c r="D5975" s="8" t="s">
        <v>11989</v>
      </c>
    </row>
    <row r="5976" spans="1:4" ht="14.25">
      <c r="A5976" s="5">
        <v>30</v>
      </c>
      <c r="B5976" s="6" t="s">
        <v>11990</v>
      </c>
      <c r="C5976" s="7">
        <v>28428</v>
      </c>
      <c r="D5976" s="8" t="s">
        <v>11991</v>
      </c>
    </row>
    <row r="5977" spans="1:4" ht="14.25">
      <c r="A5977" s="5">
        <v>31</v>
      </c>
      <c r="B5977" s="6" t="s">
        <v>11992</v>
      </c>
      <c r="C5977" s="7">
        <v>28429</v>
      </c>
      <c r="D5977" s="8" t="s">
        <v>11993</v>
      </c>
    </row>
    <row r="5978" spans="1:4" ht="14.25">
      <c r="A5978" s="5">
        <v>31</v>
      </c>
      <c r="B5978" s="6" t="s">
        <v>11994</v>
      </c>
      <c r="C5978" s="7">
        <v>28429</v>
      </c>
      <c r="D5978" s="8" t="s">
        <v>11995</v>
      </c>
    </row>
    <row r="5979" spans="1:4" ht="14.25">
      <c r="A5979" s="5">
        <v>31</v>
      </c>
      <c r="B5979" s="6" t="s">
        <v>11996</v>
      </c>
      <c r="C5979" s="7">
        <v>28429</v>
      </c>
      <c r="D5979" s="8" t="s">
        <v>11997</v>
      </c>
    </row>
    <row r="5980" spans="1:4" ht="14.25">
      <c r="A5980" s="5">
        <v>2</v>
      </c>
      <c r="B5980" s="6" t="s">
        <v>11998</v>
      </c>
      <c r="C5980" s="7">
        <v>28431</v>
      </c>
      <c r="D5980" s="8" t="s">
        <v>11999</v>
      </c>
    </row>
    <row r="5981" spans="1:4" ht="14.25">
      <c r="A5981" s="5">
        <v>2</v>
      </c>
      <c r="B5981" s="6" t="s">
        <v>12000</v>
      </c>
      <c r="C5981" s="7">
        <v>28431</v>
      </c>
      <c r="D5981" s="8" t="s">
        <v>12001</v>
      </c>
    </row>
    <row r="5982" spans="1:4" ht="14.25">
      <c r="A5982" s="5">
        <v>2</v>
      </c>
      <c r="B5982" s="6" t="s">
        <v>12002</v>
      </c>
      <c r="C5982" s="7">
        <v>28431</v>
      </c>
      <c r="D5982" s="8" t="s">
        <v>12003</v>
      </c>
    </row>
    <row r="5983" spans="1:4" ht="14.25">
      <c r="A5983" s="5">
        <v>2</v>
      </c>
      <c r="B5983" s="6" t="s">
        <v>12004</v>
      </c>
      <c r="C5983" s="7">
        <v>28431</v>
      </c>
      <c r="D5983" s="8" t="s">
        <v>12005</v>
      </c>
    </row>
    <row r="5984" spans="1:4" ht="14.25">
      <c r="A5984" s="5">
        <v>2</v>
      </c>
      <c r="B5984" s="6" t="s">
        <v>12006</v>
      </c>
      <c r="C5984" s="7">
        <v>28431</v>
      </c>
      <c r="D5984" s="8" t="s">
        <v>12007</v>
      </c>
    </row>
    <row r="5985" spans="1:4" ht="14.25">
      <c r="A5985" s="5">
        <v>2</v>
      </c>
      <c r="B5985" s="6" t="s">
        <v>12008</v>
      </c>
      <c r="C5985" s="7">
        <v>28431</v>
      </c>
      <c r="D5985" s="8" t="s">
        <v>12009</v>
      </c>
    </row>
    <row r="5986" spans="1:4" ht="14.25">
      <c r="A5986" s="5">
        <v>2</v>
      </c>
      <c r="B5986" s="6" t="s">
        <v>12010</v>
      </c>
      <c r="C5986" s="7">
        <v>28431</v>
      </c>
      <c r="D5986" s="8" t="s">
        <v>12011</v>
      </c>
    </row>
    <row r="5987" spans="1:4" ht="14.25">
      <c r="A5987" s="5">
        <v>2</v>
      </c>
      <c r="B5987" s="6" t="s">
        <v>12012</v>
      </c>
      <c r="C5987" s="7">
        <v>28431</v>
      </c>
      <c r="D5987" s="8" t="s">
        <v>12013</v>
      </c>
    </row>
    <row r="5988" spans="1:4" ht="14.25">
      <c r="A5988" s="5">
        <v>3</v>
      </c>
      <c r="B5988" s="6" t="s">
        <v>12014</v>
      </c>
      <c r="C5988" s="7">
        <v>28432</v>
      </c>
      <c r="D5988" s="8" t="s">
        <v>12015</v>
      </c>
    </row>
    <row r="5989" spans="1:4" ht="14.25">
      <c r="A5989" s="5">
        <v>3</v>
      </c>
      <c r="B5989" s="6" t="s">
        <v>12016</v>
      </c>
      <c r="C5989" s="7">
        <v>28432</v>
      </c>
      <c r="D5989" s="8" t="s">
        <v>12017</v>
      </c>
    </row>
    <row r="5990" spans="1:4" ht="14.25">
      <c r="A5990" s="5">
        <v>3</v>
      </c>
      <c r="B5990" s="6" t="s">
        <v>12018</v>
      </c>
      <c r="C5990" s="7">
        <v>28432</v>
      </c>
      <c r="D5990" s="8" t="s">
        <v>12019</v>
      </c>
    </row>
    <row r="5991" spans="1:4" ht="14.25">
      <c r="A5991" s="5">
        <v>3</v>
      </c>
      <c r="B5991" s="6" t="s">
        <v>12020</v>
      </c>
      <c r="C5991" s="7">
        <v>28432</v>
      </c>
      <c r="D5991" s="8" t="s">
        <v>12021</v>
      </c>
    </row>
    <row r="5992" spans="1:4" ht="14.25">
      <c r="A5992" s="5">
        <v>3</v>
      </c>
      <c r="B5992" s="6" t="s">
        <v>12022</v>
      </c>
      <c r="C5992" s="7">
        <v>28432</v>
      </c>
      <c r="D5992" s="8" t="s">
        <v>12023</v>
      </c>
    </row>
    <row r="5993" spans="1:4" ht="14.25">
      <c r="A5993" s="5">
        <v>3</v>
      </c>
      <c r="B5993" s="6" t="s">
        <v>12024</v>
      </c>
      <c r="C5993" s="7">
        <v>28432</v>
      </c>
      <c r="D5993" s="8" t="s">
        <v>12025</v>
      </c>
    </row>
    <row r="5994" spans="1:4" ht="14.25">
      <c r="A5994" s="5">
        <v>3</v>
      </c>
      <c r="B5994" s="6" t="s">
        <v>12026</v>
      </c>
      <c r="C5994" s="7">
        <v>28432</v>
      </c>
      <c r="D5994" s="8" t="s">
        <v>12027</v>
      </c>
    </row>
    <row r="5995" spans="1:4" ht="14.25">
      <c r="A5995" s="5">
        <v>3</v>
      </c>
      <c r="B5995" s="6" t="s">
        <v>12028</v>
      </c>
      <c r="C5995" s="7">
        <v>28432</v>
      </c>
      <c r="D5995" s="8" t="s">
        <v>12029</v>
      </c>
    </row>
    <row r="5996" spans="1:4" ht="14.25">
      <c r="A5996" s="5">
        <v>4</v>
      </c>
      <c r="B5996" s="6" t="s">
        <v>12030</v>
      </c>
      <c r="C5996" s="7">
        <v>28433</v>
      </c>
      <c r="D5996" s="8" t="s">
        <v>12031</v>
      </c>
    </row>
    <row r="5997" spans="1:4" ht="14.25">
      <c r="A5997" s="5">
        <v>5</v>
      </c>
      <c r="B5997" s="6" t="s">
        <v>12032</v>
      </c>
      <c r="C5997" s="7">
        <v>28434</v>
      </c>
      <c r="D5997" s="8" t="s">
        <v>12033</v>
      </c>
    </row>
    <row r="5998" spans="1:4" ht="14.25">
      <c r="A5998" s="5">
        <v>5</v>
      </c>
      <c r="B5998" s="6" t="s">
        <v>12034</v>
      </c>
      <c r="C5998" s="7">
        <v>28434</v>
      </c>
      <c r="D5998" s="8" t="s">
        <v>12035</v>
      </c>
    </row>
    <row r="5999" spans="1:4" ht="14.25">
      <c r="A5999" s="5">
        <v>5</v>
      </c>
      <c r="B5999" s="6" t="s">
        <v>12036</v>
      </c>
      <c r="C5999" s="7">
        <v>28434</v>
      </c>
      <c r="D5999" s="8" t="s">
        <v>12037</v>
      </c>
    </row>
    <row r="6000" spans="1:4" ht="14.25">
      <c r="A6000" s="5">
        <v>5</v>
      </c>
      <c r="B6000" s="6" t="s">
        <v>12038</v>
      </c>
      <c r="C6000" s="7">
        <v>28434</v>
      </c>
      <c r="D6000" s="8" t="s">
        <v>12039</v>
      </c>
    </row>
    <row r="6001" spans="1:4" ht="14.25">
      <c r="A6001" s="5">
        <v>5</v>
      </c>
      <c r="B6001" s="6" t="s">
        <v>12040</v>
      </c>
      <c r="C6001" s="7">
        <v>28434</v>
      </c>
      <c r="D6001" s="8" t="s">
        <v>12041</v>
      </c>
    </row>
    <row r="6002" spans="1:4" ht="14.25">
      <c r="A6002" s="5">
        <v>5</v>
      </c>
      <c r="B6002" s="6" t="s">
        <v>12042</v>
      </c>
      <c r="C6002" s="7">
        <v>28434</v>
      </c>
      <c r="D6002" s="8" t="s">
        <v>12043</v>
      </c>
    </row>
    <row r="6003" spans="1:4" ht="14.25">
      <c r="A6003" s="5">
        <v>6</v>
      </c>
      <c r="B6003" s="6" t="s">
        <v>12044</v>
      </c>
      <c r="C6003" s="7">
        <v>28435</v>
      </c>
      <c r="D6003" s="8" t="s">
        <v>12045</v>
      </c>
    </row>
    <row r="6004" spans="1:4" ht="14.25">
      <c r="A6004" s="5">
        <v>6</v>
      </c>
      <c r="B6004" s="6" t="s">
        <v>12046</v>
      </c>
      <c r="C6004" s="7">
        <v>28435</v>
      </c>
      <c r="D6004" s="8" t="s">
        <v>12047</v>
      </c>
    </row>
    <row r="6005" spans="1:4" ht="14.25">
      <c r="A6005" s="5">
        <v>6</v>
      </c>
      <c r="B6005" s="6" t="s">
        <v>12048</v>
      </c>
      <c r="C6005" s="7">
        <v>28435</v>
      </c>
      <c r="D6005" s="8" t="s">
        <v>12049</v>
      </c>
    </row>
    <row r="6006" spans="1:4" ht="14.25">
      <c r="A6006" s="5">
        <v>7</v>
      </c>
      <c r="B6006" s="6" t="s">
        <v>12050</v>
      </c>
      <c r="C6006" s="7">
        <v>28436</v>
      </c>
      <c r="D6006" s="8" t="s">
        <v>12051</v>
      </c>
    </row>
    <row r="6007" spans="1:4" ht="14.25">
      <c r="A6007" s="5">
        <v>7</v>
      </c>
      <c r="B6007" s="6" t="s">
        <v>12052</v>
      </c>
      <c r="C6007" s="7">
        <v>28436</v>
      </c>
      <c r="D6007" s="8" t="s">
        <v>12053</v>
      </c>
    </row>
    <row r="6008" spans="1:4" ht="14.25">
      <c r="A6008" s="5">
        <v>7</v>
      </c>
      <c r="B6008" s="6" t="s">
        <v>12054</v>
      </c>
      <c r="C6008" s="7">
        <v>28436</v>
      </c>
      <c r="D6008" s="8" t="s">
        <v>12055</v>
      </c>
    </row>
    <row r="6009" spans="1:4" ht="14.25">
      <c r="A6009" s="5">
        <v>7</v>
      </c>
      <c r="B6009" s="6" t="s">
        <v>12056</v>
      </c>
      <c r="C6009" s="7">
        <v>28436</v>
      </c>
      <c r="D6009" s="8" t="s">
        <v>12057</v>
      </c>
    </row>
    <row r="6010" spans="1:4" ht="14.25">
      <c r="A6010" s="5">
        <v>7</v>
      </c>
      <c r="B6010" s="6" t="s">
        <v>12058</v>
      </c>
      <c r="C6010" s="7">
        <v>28436</v>
      </c>
      <c r="D6010" s="8" t="s">
        <v>12059</v>
      </c>
    </row>
    <row r="6011" spans="1:4" ht="14.25">
      <c r="A6011" s="5">
        <v>8</v>
      </c>
      <c r="B6011" s="6" t="s">
        <v>12060</v>
      </c>
      <c r="C6011" s="7">
        <v>28437</v>
      </c>
      <c r="D6011" s="8" t="s">
        <v>12061</v>
      </c>
    </row>
    <row r="6012" spans="1:4" ht="14.25">
      <c r="A6012" s="5">
        <v>8</v>
      </c>
      <c r="B6012" s="6" t="s">
        <v>12062</v>
      </c>
      <c r="C6012" s="7">
        <v>28437</v>
      </c>
      <c r="D6012" s="8" t="s">
        <v>12063</v>
      </c>
    </row>
    <row r="6013" spans="1:4" ht="14.25">
      <c r="A6013" s="5">
        <v>9</v>
      </c>
      <c r="B6013" s="6" t="s">
        <v>12064</v>
      </c>
      <c r="C6013" s="7">
        <v>28438</v>
      </c>
      <c r="D6013" s="8" t="s">
        <v>12065</v>
      </c>
    </row>
    <row r="6014" spans="1:4" ht="14.25">
      <c r="A6014" s="5">
        <v>9</v>
      </c>
      <c r="B6014" s="6" t="s">
        <v>12066</v>
      </c>
      <c r="C6014" s="7">
        <v>28438</v>
      </c>
      <c r="D6014" s="8" t="s">
        <v>12067</v>
      </c>
    </row>
    <row r="6015" spans="1:4" ht="14.25">
      <c r="A6015" s="5">
        <v>9</v>
      </c>
      <c r="B6015" s="6" t="s">
        <v>12068</v>
      </c>
      <c r="C6015" s="7">
        <v>28438</v>
      </c>
      <c r="D6015" s="8" t="s">
        <v>12069</v>
      </c>
    </row>
    <row r="6016" spans="1:4" ht="14.25">
      <c r="A6016" s="5">
        <v>9</v>
      </c>
      <c r="B6016" s="6" t="s">
        <v>12070</v>
      </c>
      <c r="C6016" s="7">
        <v>28438</v>
      </c>
      <c r="D6016" s="8" t="s">
        <v>12071</v>
      </c>
    </row>
    <row r="6017" spans="1:4" ht="14.25">
      <c r="A6017" s="5">
        <v>10</v>
      </c>
      <c r="B6017" s="6" t="s">
        <v>12072</v>
      </c>
      <c r="C6017" s="7">
        <v>28439</v>
      </c>
      <c r="D6017" s="8" t="s">
        <v>12073</v>
      </c>
    </row>
    <row r="6018" spans="1:4" ht="14.25">
      <c r="A6018" s="5">
        <v>10</v>
      </c>
      <c r="B6018" s="6" t="s">
        <v>12074</v>
      </c>
      <c r="C6018" s="7">
        <v>28439</v>
      </c>
      <c r="D6018" s="8" t="s">
        <v>12075</v>
      </c>
    </row>
    <row r="6019" spans="1:4" ht="14.25">
      <c r="A6019" s="5">
        <v>10</v>
      </c>
      <c r="B6019" s="6" t="s">
        <v>12076</v>
      </c>
      <c r="C6019" s="7">
        <v>28439</v>
      </c>
      <c r="D6019" s="8" t="s">
        <v>12077</v>
      </c>
    </row>
    <row r="6020" spans="1:4" ht="14.25">
      <c r="A6020" s="5">
        <v>11</v>
      </c>
      <c r="B6020" s="6" t="s">
        <v>12078</v>
      </c>
      <c r="C6020" s="7">
        <v>28440</v>
      </c>
      <c r="D6020" s="8" t="s">
        <v>12079</v>
      </c>
    </row>
    <row r="6021" spans="1:4" ht="14.25">
      <c r="A6021" s="5">
        <v>12</v>
      </c>
      <c r="B6021" s="6" t="s">
        <v>12080</v>
      </c>
      <c r="C6021" s="7">
        <v>28441</v>
      </c>
      <c r="D6021" s="8" t="s">
        <v>12081</v>
      </c>
    </row>
    <row r="6022" spans="1:4" ht="14.25">
      <c r="A6022" s="5">
        <v>12</v>
      </c>
      <c r="B6022" s="6" t="s">
        <v>12082</v>
      </c>
      <c r="C6022" s="7">
        <v>28441</v>
      </c>
      <c r="D6022" s="8" t="s">
        <v>12083</v>
      </c>
    </row>
    <row r="6023" spans="1:4" ht="14.25">
      <c r="A6023" s="5">
        <v>13</v>
      </c>
      <c r="B6023" s="6" t="s">
        <v>12084</v>
      </c>
      <c r="C6023" s="7">
        <v>28442</v>
      </c>
      <c r="D6023" s="8" t="s">
        <v>12085</v>
      </c>
    </row>
    <row r="6024" spans="1:4" ht="14.25">
      <c r="A6024" s="5">
        <v>13</v>
      </c>
      <c r="B6024" s="6" t="s">
        <v>12086</v>
      </c>
      <c r="C6024" s="7">
        <v>28442</v>
      </c>
      <c r="D6024" s="8" t="s">
        <v>12087</v>
      </c>
    </row>
    <row r="6025" spans="1:4" ht="14.25">
      <c r="A6025" s="5">
        <v>14</v>
      </c>
      <c r="B6025" s="6" t="s">
        <v>12088</v>
      </c>
      <c r="C6025" s="7">
        <v>28443</v>
      </c>
      <c r="D6025" s="8" t="s">
        <v>12089</v>
      </c>
    </row>
    <row r="6026" spans="1:4" ht="14.25">
      <c r="A6026" s="5">
        <v>14</v>
      </c>
      <c r="B6026" s="6" t="s">
        <v>12090</v>
      </c>
      <c r="C6026" s="7">
        <v>28443</v>
      </c>
      <c r="D6026" s="8" t="s">
        <v>12091</v>
      </c>
    </row>
    <row r="6027" spans="1:4" ht="14.25">
      <c r="A6027" s="5">
        <v>15</v>
      </c>
      <c r="B6027" s="6" t="s">
        <v>12092</v>
      </c>
      <c r="C6027" s="7">
        <v>28444</v>
      </c>
      <c r="D6027" s="8" t="s">
        <v>12093</v>
      </c>
    </row>
    <row r="6028" spans="1:4" ht="14.25">
      <c r="A6028" s="5" t="s">
        <v>167</v>
      </c>
      <c r="B6028" s="6" t="s">
        <v>12094</v>
      </c>
      <c r="C6028" s="5" t="s">
        <v>12095</v>
      </c>
      <c r="D6028" s="8" t="s">
        <v>12096</v>
      </c>
    </row>
    <row r="6029" spans="1:4" ht="14.25">
      <c r="A6029" s="5" t="s">
        <v>197</v>
      </c>
      <c r="B6029" s="6" t="s">
        <v>12097</v>
      </c>
      <c r="C6029" s="5" t="s">
        <v>12098</v>
      </c>
      <c r="D6029" s="8" t="s">
        <v>12099</v>
      </c>
    </row>
    <row r="6030" spans="1:4" ht="14.25">
      <c r="A6030" s="5" t="s">
        <v>5</v>
      </c>
      <c r="B6030" s="6" t="s">
        <v>12100</v>
      </c>
      <c r="C6030" s="5" t="s">
        <v>12101</v>
      </c>
      <c r="D6030" s="8" t="s">
        <v>12102</v>
      </c>
    </row>
    <row r="6031" spans="1:4" ht="14.25">
      <c r="A6031" s="5" t="s">
        <v>184</v>
      </c>
      <c r="B6031" s="6" t="s">
        <v>12103</v>
      </c>
      <c r="C6031" s="5" t="s">
        <v>12104</v>
      </c>
      <c r="D6031" s="9" t="s">
        <v>12105</v>
      </c>
    </row>
    <row r="6032" spans="1:4" ht="14.25">
      <c r="A6032" s="5" t="s">
        <v>167</v>
      </c>
      <c r="B6032" s="6" t="s">
        <v>12106</v>
      </c>
      <c r="C6032" s="5" t="s">
        <v>12107</v>
      </c>
      <c r="D6032" s="8" t="s">
        <v>12108</v>
      </c>
    </row>
    <row r="6033" spans="1:4" ht="14.25">
      <c r="A6033" s="5" t="s">
        <v>863</v>
      </c>
      <c r="B6033" s="6" t="s">
        <v>12109</v>
      </c>
      <c r="C6033" s="5" t="s">
        <v>12110</v>
      </c>
      <c r="D6033" s="8" t="s">
        <v>12111</v>
      </c>
    </row>
    <row r="6034" spans="1:4" ht="14.25">
      <c r="A6034" s="5" t="s">
        <v>863</v>
      </c>
      <c r="B6034" s="6" t="s">
        <v>12112</v>
      </c>
      <c r="C6034" s="5" t="s">
        <v>12110</v>
      </c>
      <c r="D6034" s="8" t="s">
        <v>12113</v>
      </c>
    </row>
    <row r="6035" spans="1:4" ht="14.25">
      <c r="A6035" s="5" t="s">
        <v>12114</v>
      </c>
      <c r="B6035" s="19" t="s">
        <v>12115</v>
      </c>
      <c r="C6035" s="20"/>
      <c r="D6035" s="8" t="s">
        <v>12116</v>
      </c>
    </row>
    <row r="6036" spans="1:4" ht="14.25">
      <c r="A6036" s="5" t="s">
        <v>12114</v>
      </c>
      <c r="B6036" s="19" t="s">
        <v>12117</v>
      </c>
      <c r="C6036" s="20"/>
      <c r="D6036" s="8" t="s">
        <v>12118</v>
      </c>
    </row>
    <row r="6037" spans="1:4" ht="14.25">
      <c r="A6037" s="5" t="s">
        <v>12114</v>
      </c>
      <c r="B6037" s="19" t="s">
        <v>12119</v>
      </c>
      <c r="C6037" s="20"/>
      <c r="D6037" s="8" t="s">
        <v>12120</v>
      </c>
    </row>
    <row r="6038" spans="1:4" ht="14.25">
      <c r="A6038" s="5" t="s">
        <v>12114</v>
      </c>
      <c r="B6038" s="19" t="s">
        <v>12121</v>
      </c>
      <c r="C6038" s="20"/>
      <c r="D6038" s="8" t="s">
        <v>12122</v>
      </c>
    </row>
    <row r="6039" spans="1:4" ht="14.25">
      <c r="A6039" s="5" t="s">
        <v>12114</v>
      </c>
      <c r="B6039" s="19" t="s">
        <v>12123</v>
      </c>
      <c r="C6039" s="20"/>
      <c r="D6039" s="8" t="s">
        <v>12124</v>
      </c>
    </row>
    <row r="6040" spans="1:4" ht="14.25">
      <c r="A6040" s="5" t="s">
        <v>12114</v>
      </c>
      <c r="B6040" s="19" t="s">
        <v>12125</v>
      </c>
      <c r="C6040" s="20"/>
      <c r="D6040" s="8" t="s">
        <v>12126</v>
      </c>
    </row>
    <row r="6041" spans="1:4" ht="14.25">
      <c r="A6041" s="5" t="s">
        <v>12114</v>
      </c>
      <c r="B6041" s="19" t="s">
        <v>12127</v>
      </c>
      <c r="C6041" s="20"/>
      <c r="D6041" s="8" t="s">
        <v>12128</v>
      </c>
    </row>
    <row r="6042" spans="1:4" ht="14.25">
      <c r="A6042" s="5" t="s">
        <v>12114</v>
      </c>
      <c r="B6042" s="19" t="s">
        <v>12129</v>
      </c>
      <c r="C6042" s="20"/>
      <c r="D6042" s="8" t="s">
        <v>12130</v>
      </c>
    </row>
    <row r="6043" spans="1:4" ht="14.25">
      <c r="A6043" s="5" t="s">
        <v>12114</v>
      </c>
      <c r="B6043" s="19" t="s">
        <v>12131</v>
      </c>
      <c r="C6043" s="20"/>
      <c r="D6043" s="8" t="s">
        <v>12132</v>
      </c>
    </row>
    <row r="6044" spans="1:4" ht="14.25">
      <c r="A6044" s="5" t="s">
        <v>12114</v>
      </c>
      <c r="B6044" s="19" t="s">
        <v>12133</v>
      </c>
      <c r="C6044" s="20"/>
      <c r="D6044" s="8" t="s">
        <v>12134</v>
      </c>
    </row>
    <row r="6045" spans="1:4" ht="14.25">
      <c r="A6045" s="5" t="s">
        <v>12114</v>
      </c>
      <c r="B6045" s="19" t="s">
        <v>12135</v>
      </c>
      <c r="C6045" s="20"/>
      <c r="D6045" s="8" t="s">
        <v>12136</v>
      </c>
    </row>
    <row r="6046" spans="1:4" ht="14.25">
      <c r="A6046" s="5" t="s">
        <v>12137</v>
      </c>
      <c r="B6046" s="19" t="s">
        <v>12138</v>
      </c>
      <c r="C6046" s="20"/>
      <c r="D6046" s="8" t="s">
        <v>12139</v>
      </c>
    </row>
    <row r="6047" spans="1:4" ht="14.25">
      <c r="A6047" s="5" t="s">
        <v>12137</v>
      </c>
      <c r="B6047" s="19" t="s">
        <v>12140</v>
      </c>
      <c r="C6047" s="20"/>
      <c r="D6047" s="8" t="s">
        <v>12141</v>
      </c>
    </row>
    <row r="6048" spans="1:4" ht="14.25">
      <c r="A6048" s="5" t="s">
        <v>12137</v>
      </c>
      <c r="B6048" s="19" t="s">
        <v>12142</v>
      </c>
      <c r="C6048" s="20"/>
      <c r="D6048" s="8" t="s">
        <v>12143</v>
      </c>
    </row>
    <row r="6049" spans="1:4" ht="14.25">
      <c r="A6049" s="5" t="s">
        <v>12144</v>
      </c>
      <c r="B6049" s="6" t="s">
        <v>12145</v>
      </c>
      <c r="C6049" s="5"/>
      <c r="D6049" s="8" t="s">
        <v>12146</v>
      </c>
    </row>
    <row r="6050" spans="1:4" ht="14.25">
      <c r="A6050" s="5" t="s">
        <v>12144</v>
      </c>
      <c r="B6050" s="19" t="s">
        <v>12147</v>
      </c>
      <c r="C6050" s="20"/>
      <c r="D6050" s="8" t="s">
        <v>12148</v>
      </c>
    </row>
    <row r="6051" spans="1:4" ht="14.25">
      <c r="A6051" s="5" t="s">
        <v>12144</v>
      </c>
      <c r="B6051" s="19" t="s">
        <v>12149</v>
      </c>
      <c r="C6051" s="20"/>
      <c r="D6051" s="8" t="s">
        <v>12150</v>
      </c>
    </row>
    <row r="6052" spans="1:4" ht="14.25">
      <c r="A6052" s="5" t="s">
        <v>12144</v>
      </c>
      <c r="B6052" s="19" t="s">
        <v>12151</v>
      </c>
      <c r="C6052" s="20"/>
      <c r="D6052" s="8" t="s">
        <v>12152</v>
      </c>
    </row>
    <row r="6053" spans="1:4" ht="14.25">
      <c r="A6053" s="5" t="s">
        <v>12144</v>
      </c>
      <c r="B6053" s="19" t="s">
        <v>12153</v>
      </c>
      <c r="C6053" s="20"/>
      <c r="D6053" s="8" t="s">
        <v>12154</v>
      </c>
    </row>
    <row r="6054" spans="1:4" ht="14.25">
      <c r="A6054" s="5" t="s">
        <v>12144</v>
      </c>
      <c r="B6054" s="19" t="s">
        <v>12155</v>
      </c>
      <c r="C6054" s="20"/>
      <c r="D6054" s="8" t="s">
        <v>12156</v>
      </c>
    </row>
    <row r="6055" spans="1:4" ht="14.25">
      <c r="A6055" s="5" t="s">
        <v>12144</v>
      </c>
      <c r="B6055" s="19" t="s">
        <v>12157</v>
      </c>
      <c r="C6055" s="20"/>
      <c r="D6055" s="8" t="s">
        <v>12158</v>
      </c>
    </row>
    <row r="6056" spans="1:4" ht="14.25">
      <c r="A6056" s="5" t="s">
        <v>12144</v>
      </c>
      <c r="B6056" s="19" t="s">
        <v>12159</v>
      </c>
      <c r="C6056" s="20"/>
      <c r="D6056" s="8" t="s">
        <v>12160</v>
      </c>
    </row>
    <row r="6057" spans="1:4" ht="14.25">
      <c r="A6057" s="5" t="s">
        <v>12144</v>
      </c>
      <c r="B6057" s="19" t="s">
        <v>12161</v>
      </c>
      <c r="C6057" s="20"/>
      <c r="D6057" s="8" t="s">
        <v>12162</v>
      </c>
    </row>
    <row r="6058" spans="1:4" ht="14.25">
      <c r="A6058" s="5" t="s">
        <v>12144</v>
      </c>
      <c r="B6058" s="19" t="s">
        <v>12163</v>
      </c>
      <c r="C6058" s="20"/>
      <c r="D6058" s="8" t="s">
        <v>12164</v>
      </c>
    </row>
    <row r="6059" spans="1:4" ht="14.25">
      <c r="A6059" s="5" t="s">
        <v>12144</v>
      </c>
      <c r="B6059" s="19" t="s">
        <v>12165</v>
      </c>
      <c r="C6059" s="20"/>
      <c r="D6059" s="8" t="s">
        <v>12166</v>
      </c>
    </row>
    <row r="6060" spans="1:4" ht="14.25">
      <c r="A6060" s="5" t="s">
        <v>12144</v>
      </c>
      <c r="B6060" s="19" t="s">
        <v>12167</v>
      </c>
      <c r="C6060" s="20"/>
      <c r="D6060" s="8" t="s">
        <v>12168</v>
      </c>
    </row>
    <row r="6061" spans="1:4" ht="14.25">
      <c r="A6061" s="5" t="s">
        <v>12144</v>
      </c>
      <c r="B6061" s="19" t="s">
        <v>12169</v>
      </c>
      <c r="C6061" s="20"/>
      <c r="D6061" s="8" t="s">
        <v>12170</v>
      </c>
    </row>
    <row r="6062" spans="1:4" ht="14.25">
      <c r="A6062" s="5" t="s">
        <v>12144</v>
      </c>
      <c r="B6062" s="19" t="s">
        <v>12171</v>
      </c>
      <c r="C6062" s="20"/>
      <c r="D6062" s="8" t="s">
        <v>12172</v>
      </c>
    </row>
    <row r="6063" spans="1:4" ht="14.25">
      <c r="A6063" s="5" t="s">
        <v>12144</v>
      </c>
      <c r="B6063" s="19" t="s">
        <v>12173</v>
      </c>
      <c r="C6063" s="20"/>
      <c r="D6063" s="8" t="s">
        <v>12174</v>
      </c>
    </row>
    <row r="6064" spans="1:4" ht="14.25">
      <c r="A6064" s="5" t="s">
        <v>12144</v>
      </c>
      <c r="B6064" s="19" t="s">
        <v>12175</v>
      </c>
      <c r="C6064" s="20"/>
      <c r="D6064" s="8" t="s">
        <v>12176</v>
      </c>
    </row>
    <row r="6065" spans="1:4" ht="14.25">
      <c r="A6065" s="5" t="s">
        <v>12144</v>
      </c>
      <c r="B6065" s="19" t="s">
        <v>12177</v>
      </c>
      <c r="C6065" s="20"/>
      <c r="D6065" s="8" t="s">
        <v>12178</v>
      </c>
    </row>
    <row r="6066" spans="1:4" ht="14.25">
      <c r="A6066" s="5" t="s">
        <v>12144</v>
      </c>
      <c r="B6066" s="19" t="s">
        <v>12179</v>
      </c>
      <c r="C6066" s="20"/>
      <c r="D6066" s="8" t="s">
        <v>12180</v>
      </c>
    </row>
    <row r="6067" spans="1:4" ht="14.25">
      <c r="A6067" s="5" t="s">
        <v>12144</v>
      </c>
      <c r="B6067" s="19" t="s">
        <v>12181</v>
      </c>
      <c r="C6067" s="20"/>
      <c r="D6067" s="8" t="s">
        <v>12182</v>
      </c>
    </row>
    <row r="6068" spans="1:4" ht="14.25">
      <c r="A6068" s="5" t="s">
        <v>12144</v>
      </c>
      <c r="B6068" s="19" t="s">
        <v>12183</v>
      </c>
      <c r="C6068" s="20"/>
      <c r="D6068" s="8" t="s">
        <v>12184</v>
      </c>
    </row>
    <row r="6069" spans="1:4" ht="14.25">
      <c r="A6069" s="5" t="s">
        <v>12144</v>
      </c>
      <c r="B6069" s="19" t="s">
        <v>12185</v>
      </c>
      <c r="C6069" s="20"/>
      <c r="D6069" s="8" t="s">
        <v>12186</v>
      </c>
    </row>
    <row r="6070" spans="1:4" ht="14.25">
      <c r="A6070" s="5" t="s">
        <v>12144</v>
      </c>
      <c r="B6070" s="19" t="s">
        <v>12187</v>
      </c>
      <c r="C6070" s="20"/>
      <c r="D6070" s="8" t="s">
        <v>12188</v>
      </c>
    </row>
    <row r="6071" spans="1:4" ht="14.25">
      <c r="A6071" s="5" t="s">
        <v>12144</v>
      </c>
      <c r="B6071" s="19" t="s">
        <v>12189</v>
      </c>
      <c r="C6071" s="20"/>
      <c r="D6071" s="8" t="s">
        <v>12190</v>
      </c>
    </row>
    <row r="6072" spans="1:4" ht="14.25">
      <c r="A6072" s="5" t="s">
        <v>12144</v>
      </c>
      <c r="B6072" s="19" t="s">
        <v>12191</v>
      </c>
      <c r="C6072" s="20"/>
      <c r="D6072" s="8" t="s">
        <v>12192</v>
      </c>
    </row>
    <row r="6073" spans="1:4" ht="14.25">
      <c r="A6073" s="5" t="s">
        <v>12144</v>
      </c>
      <c r="B6073" s="19" t="s">
        <v>12193</v>
      </c>
      <c r="C6073" s="20"/>
      <c r="D6073" s="8" t="s">
        <v>12194</v>
      </c>
    </row>
    <row r="6074" spans="1:4" ht="14.25">
      <c r="A6074" s="5" t="s">
        <v>12144</v>
      </c>
      <c r="B6074" s="19" t="s">
        <v>12195</v>
      </c>
      <c r="C6074" s="20"/>
      <c r="D6074" s="8" t="s">
        <v>12196</v>
      </c>
    </row>
    <row r="6075" spans="1:4" ht="14.25">
      <c r="A6075" s="5" t="s">
        <v>12144</v>
      </c>
      <c r="B6075" s="19" t="s">
        <v>12197</v>
      </c>
      <c r="C6075" s="20"/>
      <c r="D6075" s="8" t="s">
        <v>12198</v>
      </c>
    </row>
    <row r="6076" spans="1:4" ht="14.25">
      <c r="A6076" s="5" t="s">
        <v>12144</v>
      </c>
      <c r="B6076" s="19" t="s">
        <v>12199</v>
      </c>
      <c r="C6076" s="20"/>
      <c r="D6076" s="8" t="s">
        <v>12200</v>
      </c>
    </row>
    <row r="6077" spans="1:4" ht="14.25">
      <c r="A6077" s="5" t="s">
        <v>12144</v>
      </c>
      <c r="B6077" s="19" t="s">
        <v>12201</v>
      </c>
      <c r="C6077" s="20"/>
      <c r="D6077" s="8" t="s">
        <v>12202</v>
      </c>
    </row>
    <row r="6078" spans="1:4" ht="14.25">
      <c r="A6078" s="5" t="s">
        <v>12144</v>
      </c>
      <c r="B6078" s="19" t="s">
        <v>12203</v>
      </c>
      <c r="C6078" s="20"/>
      <c r="D6078" s="8" t="s">
        <v>12204</v>
      </c>
    </row>
    <row r="6079" spans="1:4" ht="14.25">
      <c r="A6079" s="5" t="s">
        <v>12144</v>
      </c>
      <c r="B6079" s="19" t="s">
        <v>12205</v>
      </c>
      <c r="C6079" s="20"/>
      <c r="D6079" s="8" t="s">
        <v>12206</v>
      </c>
    </row>
    <row r="6080" spans="1:4" ht="14.25">
      <c r="A6080" s="5" t="s">
        <v>12144</v>
      </c>
      <c r="B6080" s="19" t="s">
        <v>12207</v>
      </c>
      <c r="C6080" s="20"/>
      <c r="D6080" s="8" t="s">
        <v>12208</v>
      </c>
    </row>
    <row r="6081" spans="1:4" ht="14.25">
      <c r="A6081" s="5" t="s">
        <v>12144</v>
      </c>
      <c r="B6081" s="19" t="s">
        <v>12209</v>
      </c>
      <c r="C6081" s="20"/>
      <c r="D6081" s="8" t="s">
        <v>12210</v>
      </c>
    </row>
    <row r="6082" spans="1:4" ht="14.25">
      <c r="A6082" s="5" t="s">
        <v>12144</v>
      </c>
      <c r="B6082" s="19" t="s">
        <v>12211</v>
      </c>
      <c r="C6082" s="20"/>
      <c r="D6082" s="8" t="s">
        <v>12212</v>
      </c>
    </row>
    <row r="6083" spans="1:4" ht="14.25">
      <c r="A6083" s="5" t="s">
        <v>12144</v>
      </c>
      <c r="B6083" s="19" t="s">
        <v>12213</v>
      </c>
      <c r="C6083" s="20"/>
      <c r="D6083" s="8" t="s">
        <v>12214</v>
      </c>
    </row>
    <row r="6084" spans="1:4" ht="14.25">
      <c r="A6084" s="5" t="s">
        <v>12144</v>
      </c>
      <c r="B6084" s="19" t="s">
        <v>12215</v>
      </c>
      <c r="C6084" s="20"/>
      <c r="D6084" s="8" t="s">
        <v>12216</v>
      </c>
    </row>
    <row r="6085" spans="1:4" ht="14.25">
      <c r="A6085" s="5" t="s">
        <v>12144</v>
      </c>
      <c r="B6085" s="19" t="s">
        <v>12217</v>
      </c>
      <c r="C6085" s="20"/>
      <c r="D6085" s="8" t="s">
        <v>12218</v>
      </c>
    </row>
    <row r="6086" spans="1:4" ht="14.25">
      <c r="A6086" s="5" t="s">
        <v>12144</v>
      </c>
      <c r="B6086" s="19" t="s">
        <v>12219</v>
      </c>
      <c r="C6086" s="20"/>
      <c r="D6086" s="8" t="s">
        <v>12220</v>
      </c>
    </row>
    <row r="6087" spans="1:4" ht="14.25">
      <c r="A6087" s="5" t="s">
        <v>12144</v>
      </c>
      <c r="B6087" s="19" t="s">
        <v>12221</v>
      </c>
      <c r="C6087" s="20"/>
      <c r="D6087" s="8" t="s">
        <v>12222</v>
      </c>
    </row>
    <row r="6088" spans="1:4" ht="14.25">
      <c r="A6088" s="5" t="s">
        <v>12144</v>
      </c>
      <c r="B6088" s="19" t="s">
        <v>12223</v>
      </c>
      <c r="C6088" s="20"/>
      <c r="D6088" s="8" t="s">
        <v>12224</v>
      </c>
    </row>
    <row r="6089" spans="1:4" ht="14.25">
      <c r="A6089" s="5" t="s">
        <v>12144</v>
      </c>
      <c r="B6089" s="19" t="s">
        <v>12225</v>
      </c>
      <c r="C6089" s="20"/>
      <c r="D6089" s="8" t="s">
        <v>12226</v>
      </c>
    </row>
    <row r="6090" spans="1:4" ht="14.25">
      <c r="A6090" s="5" t="s">
        <v>12144</v>
      </c>
      <c r="B6090" s="19" t="s">
        <v>12227</v>
      </c>
      <c r="C6090" s="20"/>
      <c r="D6090" s="8" t="s">
        <v>12228</v>
      </c>
    </row>
    <row r="6091" spans="1:4" ht="14.25">
      <c r="A6091" s="5" t="s">
        <v>12144</v>
      </c>
      <c r="B6091" s="19" t="s">
        <v>12229</v>
      </c>
      <c r="C6091" s="20"/>
      <c r="D6091" s="8" t="s">
        <v>12230</v>
      </c>
    </row>
    <row r="6092" spans="1:4" ht="14.25">
      <c r="A6092" s="5" t="s">
        <v>12144</v>
      </c>
      <c r="B6092" s="19" t="s">
        <v>12231</v>
      </c>
      <c r="C6092" s="20"/>
      <c r="D6092" s="8" t="s">
        <v>12232</v>
      </c>
    </row>
    <row r="6093" spans="1:4" ht="14.25">
      <c r="A6093" s="5" t="s">
        <v>12144</v>
      </c>
      <c r="B6093" s="19" t="s">
        <v>12233</v>
      </c>
      <c r="C6093" s="20"/>
      <c r="D6093" s="8" t="s">
        <v>12234</v>
      </c>
    </row>
    <row r="6094" spans="1:4" ht="14.25">
      <c r="A6094" s="5" t="s">
        <v>12144</v>
      </c>
      <c r="B6094" s="19" t="s">
        <v>12235</v>
      </c>
      <c r="C6094" s="20"/>
      <c r="D6094" s="8" t="s">
        <v>12236</v>
      </c>
    </row>
    <row r="6095" spans="1:4" ht="14.25">
      <c r="A6095" s="5" t="s">
        <v>12144</v>
      </c>
      <c r="B6095" s="19" t="s">
        <v>12237</v>
      </c>
      <c r="C6095" s="20"/>
      <c r="D6095" s="8" t="s">
        <v>12238</v>
      </c>
    </row>
    <row r="6096" spans="1:4" ht="14.25">
      <c r="A6096" s="5" t="s">
        <v>12144</v>
      </c>
      <c r="B6096" s="19" t="s">
        <v>12239</v>
      </c>
      <c r="C6096" s="20"/>
      <c r="D6096" s="8" t="s">
        <v>12240</v>
      </c>
    </row>
    <row r="6097" spans="1:4" ht="14.25">
      <c r="A6097" s="5" t="s">
        <v>12144</v>
      </c>
      <c r="B6097" s="19" t="s">
        <v>12241</v>
      </c>
      <c r="C6097" s="20"/>
      <c r="D6097" s="8" t="s">
        <v>12242</v>
      </c>
    </row>
    <row r="6098" spans="1:4" ht="14.25">
      <c r="A6098" s="5" t="s">
        <v>12144</v>
      </c>
      <c r="B6098" s="19" t="s">
        <v>12243</v>
      </c>
      <c r="C6098" s="20"/>
      <c r="D6098" s="8" t="s">
        <v>12244</v>
      </c>
    </row>
    <row r="6099" spans="1:4" ht="14.25">
      <c r="A6099" s="5" t="s">
        <v>12144</v>
      </c>
      <c r="B6099" s="19" t="s">
        <v>12245</v>
      </c>
      <c r="C6099" s="20"/>
      <c r="D6099" s="8" t="s">
        <v>12246</v>
      </c>
    </row>
    <row r="6100" spans="1:4" ht="14.25">
      <c r="A6100" s="5" t="s">
        <v>12144</v>
      </c>
      <c r="B6100" s="19" t="s">
        <v>12247</v>
      </c>
      <c r="C6100" s="20"/>
      <c r="D6100" s="8" t="s">
        <v>12248</v>
      </c>
    </row>
    <row r="6101" spans="1:4" ht="14.25">
      <c r="A6101" s="5" t="s">
        <v>12144</v>
      </c>
      <c r="B6101" s="19" t="s">
        <v>12249</v>
      </c>
      <c r="C6101" s="20"/>
      <c r="D6101" s="8" t="s">
        <v>12250</v>
      </c>
    </row>
    <row r="6102" spans="1:4" ht="14.25">
      <c r="A6102" s="5" t="s">
        <v>12144</v>
      </c>
      <c r="B6102" s="19" t="s">
        <v>12251</v>
      </c>
      <c r="C6102" s="20"/>
      <c r="D6102" s="8" t="s">
        <v>12252</v>
      </c>
    </row>
    <row r="6103" spans="1:4" ht="14.25">
      <c r="A6103" s="5" t="s">
        <v>12144</v>
      </c>
      <c r="B6103" s="19" t="s">
        <v>12253</v>
      </c>
      <c r="C6103" s="20"/>
      <c r="D6103" s="8" t="s">
        <v>12254</v>
      </c>
    </row>
    <row r="6104" spans="1:4" ht="14.25">
      <c r="A6104" s="5" t="s">
        <v>12144</v>
      </c>
      <c r="B6104" s="19" t="s">
        <v>12255</v>
      </c>
      <c r="C6104" s="20"/>
      <c r="D6104" s="8" t="s">
        <v>12256</v>
      </c>
    </row>
    <row r="6105" spans="1:4" ht="14.25">
      <c r="A6105" s="5" t="s">
        <v>12144</v>
      </c>
      <c r="B6105" s="19" t="s">
        <v>12257</v>
      </c>
      <c r="C6105" s="20"/>
      <c r="D6105" s="8" t="s">
        <v>12258</v>
      </c>
    </row>
    <row r="6106" spans="1:4" ht="14.25">
      <c r="A6106" s="5" t="s">
        <v>12144</v>
      </c>
      <c r="B6106" s="19" t="s">
        <v>12259</v>
      </c>
      <c r="C6106" s="20"/>
      <c r="D6106" s="8" t="s">
        <v>12260</v>
      </c>
    </row>
    <row r="6107" spans="1:4" ht="14.25">
      <c r="A6107" s="5" t="s">
        <v>12144</v>
      </c>
      <c r="B6107" s="19" t="s">
        <v>12261</v>
      </c>
      <c r="C6107" s="20"/>
      <c r="D6107" s="8" t="s">
        <v>12262</v>
      </c>
    </row>
    <row r="6108" spans="1:4" ht="14.25">
      <c r="A6108" s="5" t="s">
        <v>12144</v>
      </c>
      <c r="B6108" s="19" t="s">
        <v>12263</v>
      </c>
      <c r="C6108" s="20"/>
      <c r="D6108" s="8" t="s">
        <v>12264</v>
      </c>
    </row>
    <row r="6109" spans="1:4" ht="14.25">
      <c r="A6109" s="5" t="s">
        <v>12144</v>
      </c>
      <c r="B6109" s="19" t="s">
        <v>12265</v>
      </c>
      <c r="C6109" s="20"/>
      <c r="D6109" s="8" t="s">
        <v>12266</v>
      </c>
    </row>
    <row r="6110" spans="1:4" ht="14.25">
      <c r="A6110" s="5" t="s">
        <v>12144</v>
      </c>
      <c r="B6110" s="19" t="s">
        <v>12267</v>
      </c>
      <c r="C6110" s="20"/>
      <c r="D6110" s="8" t="s">
        <v>12268</v>
      </c>
    </row>
    <row r="6111" spans="1:4" ht="14.25">
      <c r="A6111" s="5" t="s">
        <v>12144</v>
      </c>
      <c r="B6111" s="19" t="s">
        <v>12269</v>
      </c>
      <c r="C6111" s="20"/>
      <c r="D6111" s="8" t="s">
        <v>12270</v>
      </c>
    </row>
    <row r="6112" spans="1:4" ht="14.25">
      <c r="A6112" s="5" t="s">
        <v>12144</v>
      </c>
      <c r="B6112" s="19" t="s">
        <v>12271</v>
      </c>
      <c r="C6112" s="20"/>
      <c r="D6112" s="8" t="s">
        <v>12272</v>
      </c>
    </row>
    <row r="6113" spans="1:4" ht="14.25">
      <c r="A6113" s="5" t="s">
        <v>12144</v>
      </c>
      <c r="B6113" s="19" t="s">
        <v>12273</v>
      </c>
      <c r="C6113" s="20"/>
      <c r="D6113" s="8" t="s">
        <v>12274</v>
      </c>
    </row>
    <row r="6114" spans="1:4" ht="14.25">
      <c r="A6114" s="5" t="s">
        <v>12144</v>
      </c>
      <c r="B6114" s="19" t="s">
        <v>12275</v>
      </c>
      <c r="C6114" s="20"/>
      <c r="D6114" s="8" t="s">
        <v>12276</v>
      </c>
    </row>
    <row r="6115" spans="1:4" ht="14.25">
      <c r="A6115" s="5" t="s">
        <v>12144</v>
      </c>
      <c r="B6115" s="19" t="s">
        <v>12277</v>
      </c>
      <c r="C6115" s="20"/>
      <c r="D6115" s="8" t="s">
        <v>12278</v>
      </c>
    </row>
    <row r="6116" spans="1:4" ht="14.25">
      <c r="A6116" s="5" t="s">
        <v>12144</v>
      </c>
      <c r="B6116" s="19" t="s">
        <v>12279</v>
      </c>
      <c r="C6116" s="20"/>
      <c r="D6116" s="8" t="s">
        <v>12280</v>
      </c>
    </row>
    <row r="6117" spans="1:4" ht="14.25">
      <c r="A6117" s="5" t="s">
        <v>12144</v>
      </c>
      <c r="B6117" s="19" t="s">
        <v>12281</v>
      </c>
      <c r="C6117" s="20"/>
      <c r="D6117" s="8" t="s">
        <v>12282</v>
      </c>
    </row>
    <row r="6118" spans="1:4" ht="14.25">
      <c r="A6118" s="5" t="s">
        <v>12144</v>
      </c>
      <c r="B6118" s="19" t="s">
        <v>12283</v>
      </c>
      <c r="C6118" s="20"/>
      <c r="D6118" s="8" t="s">
        <v>12284</v>
      </c>
    </row>
    <row r="6119" spans="1:4" ht="14.25">
      <c r="A6119" s="5" t="s">
        <v>12144</v>
      </c>
      <c r="B6119" s="19" t="s">
        <v>12285</v>
      </c>
      <c r="C6119" s="20"/>
      <c r="D6119" s="8" t="s">
        <v>12286</v>
      </c>
    </row>
    <row r="6120" spans="1:4" ht="14.25">
      <c r="A6120" s="5" t="s">
        <v>12144</v>
      </c>
      <c r="B6120" s="19" t="s">
        <v>12287</v>
      </c>
      <c r="C6120" s="20"/>
      <c r="D6120" s="8" t="s">
        <v>12288</v>
      </c>
    </row>
    <row r="6121" spans="1:4" ht="14.25">
      <c r="A6121" s="5" t="s">
        <v>12144</v>
      </c>
      <c r="B6121" s="19" t="s">
        <v>12289</v>
      </c>
      <c r="C6121" s="20"/>
      <c r="D6121" s="8" t="s">
        <v>12290</v>
      </c>
    </row>
    <row r="6122" spans="1:4" ht="14.25">
      <c r="A6122" s="5" t="s">
        <v>12144</v>
      </c>
      <c r="B6122" s="19" t="s">
        <v>12291</v>
      </c>
      <c r="C6122" s="20"/>
      <c r="D6122" s="8" t="s">
        <v>12292</v>
      </c>
    </row>
    <row r="6123" spans="1:4" ht="14.25">
      <c r="A6123" s="5" t="s">
        <v>12144</v>
      </c>
      <c r="B6123" s="19" t="s">
        <v>12293</v>
      </c>
      <c r="C6123" s="20"/>
      <c r="D6123" s="8" t="s">
        <v>12294</v>
      </c>
    </row>
    <row r="6124" spans="1:4" ht="14.25">
      <c r="A6124" s="5" t="s">
        <v>12144</v>
      </c>
      <c r="B6124" s="19" t="s">
        <v>12295</v>
      </c>
      <c r="C6124" s="20"/>
      <c r="D6124" s="8" t="s">
        <v>12296</v>
      </c>
    </row>
    <row r="6125" spans="1:4" ht="14.25">
      <c r="A6125" s="5" t="s">
        <v>12144</v>
      </c>
      <c r="B6125" s="19" t="s">
        <v>12297</v>
      </c>
      <c r="C6125" s="20"/>
      <c r="D6125" s="8" t="s">
        <v>12298</v>
      </c>
    </row>
    <row r="6126" spans="1:4" ht="14.25">
      <c r="A6126" s="5" t="s">
        <v>12299</v>
      </c>
      <c r="B6126" s="6" t="s">
        <v>12300</v>
      </c>
      <c r="C6126" s="5"/>
      <c r="D6126" s="8" t="s">
        <v>12301</v>
      </c>
    </row>
    <row r="6127" spans="1:4" ht="14.25">
      <c r="A6127" s="5" t="s">
        <v>12299</v>
      </c>
      <c r="B6127" s="6" t="s">
        <v>12302</v>
      </c>
      <c r="C6127" s="5"/>
      <c r="D6127" s="8" t="s">
        <v>12303</v>
      </c>
    </row>
    <row r="6128" spans="1:4" ht="14.25">
      <c r="A6128" s="5" t="s">
        <v>12299</v>
      </c>
      <c r="B6128" s="6" t="s">
        <v>12304</v>
      </c>
      <c r="C6128" s="5"/>
      <c r="D6128" s="8" t="s">
        <v>12305</v>
      </c>
    </row>
    <row r="6129" spans="1:4" ht="14.25">
      <c r="A6129" s="5" t="s">
        <v>12299</v>
      </c>
      <c r="B6129" s="6" t="s">
        <v>12306</v>
      </c>
      <c r="C6129" s="5"/>
      <c r="D6129" s="8" t="s">
        <v>12307</v>
      </c>
    </row>
    <row r="6130" spans="1:4" ht="14.25">
      <c r="A6130" s="5" t="s">
        <v>12299</v>
      </c>
      <c r="B6130" s="6" t="s">
        <v>12308</v>
      </c>
      <c r="C6130" s="5"/>
      <c r="D6130" s="8" t="s">
        <v>12309</v>
      </c>
    </row>
    <row r="6131" spans="1:4" ht="14.25">
      <c r="A6131" s="5" t="s">
        <v>12299</v>
      </c>
      <c r="B6131" s="6" t="s">
        <v>12310</v>
      </c>
      <c r="C6131" s="5"/>
      <c r="D6131" s="8" t="s">
        <v>12311</v>
      </c>
    </row>
    <row r="6132" spans="1:4" ht="14.25">
      <c r="A6132" s="5" t="s">
        <v>12299</v>
      </c>
      <c r="B6132" s="19" t="s">
        <v>12312</v>
      </c>
      <c r="C6132" s="20"/>
      <c r="D6132" s="8" t="s">
        <v>12313</v>
      </c>
    </row>
    <row r="6133" spans="1:4" ht="14.25">
      <c r="A6133" s="5" t="s">
        <v>12299</v>
      </c>
      <c r="B6133" s="19" t="s">
        <v>12314</v>
      </c>
      <c r="C6133" s="20"/>
      <c r="D6133" s="8" t="s">
        <v>12315</v>
      </c>
    </row>
    <row r="6134" spans="1:4" ht="14.25">
      <c r="A6134" s="5" t="s">
        <v>12299</v>
      </c>
      <c r="B6134" s="6" t="s">
        <v>12316</v>
      </c>
      <c r="C6134" s="5"/>
      <c r="D6134" s="8" t="s">
        <v>12317</v>
      </c>
    </row>
    <row r="6135" spans="1:4" ht="14.25">
      <c r="A6135" s="5" t="s">
        <v>12299</v>
      </c>
      <c r="B6135" s="6" t="s">
        <v>12318</v>
      </c>
      <c r="C6135" s="5"/>
      <c r="D6135" s="8" t="s">
        <v>12319</v>
      </c>
    </row>
    <row r="6136" spans="1:4" ht="14.25">
      <c r="A6136" s="5" t="s">
        <v>12299</v>
      </c>
      <c r="B6136" s="19" t="s">
        <v>12320</v>
      </c>
      <c r="C6136" s="20"/>
      <c r="D6136" s="8" t="s">
        <v>12321</v>
      </c>
    </row>
    <row r="6137" spans="1:4" ht="14.25">
      <c r="A6137" s="5" t="s">
        <v>12299</v>
      </c>
      <c r="B6137" s="6" t="s">
        <v>12322</v>
      </c>
      <c r="C6137" s="5"/>
      <c r="D6137" s="8" t="s">
        <v>12323</v>
      </c>
    </row>
    <row r="6138" spans="1:4" ht="14.25">
      <c r="A6138" s="5" t="s">
        <v>12299</v>
      </c>
      <c r="B6138" s="6" t="s">
        <v>12324</v>
      </c>
      <c r="C6138" s="5"/>
      <c r="D6138" s="8" t="s">
        <v>12325</v>
      </c>
    </row>
    <row r="6139" spans="1:4" ht="14.25">
      <c r="A6139" s="5" t="s">
        <v>12299</v>
      </c>
      <c r="B6139" s="19" t="s">
        <v>12326</v>
      </c>
      <c r="C6139" s="20"/>
      <c r="D6139" s="8" t="s">
        <v>12327</v>
      </c>
    </row>
    <row r="6140" spans="1:4" ht="14.25">
      <c r="A6140" s="5" t="s">
        <v>12299</v>
      </c>
      <c r="B6140" s="6" t="s">
        <v>12328</v>
      </c>
      <c r="C6140" s="5"/>
      <c r="D6140" s="8" t="s">
        <v>12329</v>
      </c>
    </row>
    <row r="6141" spans="1:4" ht="14.25">
      <c r="A6141" s="5" t="s">
        <v>12299</v>
      </c>
      <c r="B6141" s="6" t="s">
        <v>12330</v>
      </c>
      <c r="C6141" s="5"/>
      <c r="D6141" s="8" t="s">
        <v>12331</v>
      </c>
    </row>
    <row r="6142" spans="1:4" ht="14.25">
      <c r="A6142" s="5" t="s">
        <v>12299</v>
      </c>
      <c r="B6142" s="6" t="s">
        <v>12332</v>
      </c>
      <c r="C6142" s="5"/>
      <c r="D6142" s="8" t="s">
        <v>12333</v>
      </c>
    </row>
    <row r="6143" spans="1:4" ht="14.25">
      <c r="A6143" s="5" t="s">
        <v>12299</v>
      </c>
      <c r="B6143" s="6" t="s">
        <v>12334</v>
      </c>
      <c r="C6143" s="5"/>
      <c r="D6143" s="8" t="s">
        <v>12335</v>
      </c>
    </row>
    <row r="6144" spans="1:4" ht="14.25">
      <c r="A6144" s="5" t="s">
        <v>12299</v>
      </c>
      <c r="B6144" s="6" t="s">
        <v>12336</v>
      </c>
      <c r="C6144" s="5"/>
      <c r="D6144" s="8" t="s">
        <v>12337</v>
      </c>
    </row>
    <row r="6145" spans="1:4" ht="14.25">
      <c r="A6145" s="5" t="s">
        <v>12299</v>
      </c>
      <c r="B6145" s="6" t="s">
        <v>12338</v>
      </c>
      <c r="C6145" s="5"/>
      <c r="D6145" s="8" t="s">
        <v>12339</v>
      </c>
    </row>
    <row r="6146" spans="1:4" ht="14.25">
      <c r="A6146" s="5" t="s">
        <v>12299</v>
      </c>
      <c r="B6146" s="6" t="s">
        <v>12340</v>
      </c>
      <c r="C6146" s="5"/>
      <c r="D6146" s="8" t="s">
        <v>12341</v>
      </c>
    </row>
    <row r="6147" spans="1:4" ht="14.25">
      <c r="A6147" s="5" t="s">
        <v>12299</v>
      </c>
      <c r="B6147" s="6" t="s">
        <v>12342</v>
      </c>
      <c r="C6147" s="5"/>
      <c r="D6147" s="8" t="s">
        <v>12343</v>
      </c>
    </row>
    <row r="6148" spans="1:4" ht="14.25">
      <c r="A6148" s="5" t="s">
        <v>12299</v>
      </c>
      <c r="B6148" s="6" t="s">
        <v>12344</v>
      </c>
      <c r="C6148" s="5"/>
      <c r="D6148" s="8" t="s">
        <v>12345</v>
      </c>
    </row>
    <row r="6149" spans="1:4" ht="14.25">
      <c r="A6149" s="5" t="s">
        <v>12299</v>
      </c>
      <c r="B6149" s="19" t="s">
        <v>12346</v>
      </c>
      <c r="C6149" s="20"/>
      <c r="D6149" s="8" t="s">
        <v>12347</v>
      </c>
    </row>
    <row r="6150" spans="1:4" ht="14.25">
      <c r="A6150" s="5" t="s">
        <v>12299</v>
      </c>
      <c r="B6150" s="6" t="s">
        <v>12348</v>
      </c>
      <c r="C6150" s="5"/>
      <c r="D6150" s="8" t="s">
        <v>12349</v>
      </c>
    </row>
    <row r="6151" spans="1:4" ht="14.25">
      <c r="A6151" s="5" t="s">
        <v>12299</v>
      </c>
      <c r="B6151" s="19" t="s">
        <v>12350</v>
      </c>
      <c r="C6151" s="20"/>
      <c r="D6151" s="8" t="s">
        <v>12351</v>
      </c>
    </row>
    <row r="6152" spans="1:4" ht="14.25">
      <c r="A6152" s="5" t="s">
        <v>12299</v>
      </c>
      <c r="B6152" s="6" t="s">
        <v>12352</v>
      </c>
      <c r="C6152" s="5"/>
      <c r="D6152" s="8" t="s">
        <v>12353</v>
      </c>
    </row>
    <row r="6153" spans="1:4" ht="14.25">
      <c r="A6153" s="5" t="s">
        <v>12299</v>
      </c>
      <c r="B6153" s="19" t="s">
        <v>12354</v>
      </c>
      <c r="C6153" s="20"/>
      <c r="D6153" s="8" t="s">
        <v>12355</v>
      </c>
    </row>
    <row r="6154" spans="1:4" ht="14.25">
      <c r="A6154" s="5" t="s">
        <v>12299</v>
      </c>
      <c r="B6154" s="6" t="s">
        <v>12356</v>
      </c>
      <c r="C6154" s="5"/>
      <c r="D6154" s="8" t="s">
        <v>12357</v>
      </c>
    </row>
    <row r="6155" spans="1:4" ht="14.25">
      <c r="A6155" s="5" t="s">
        <v>12299</v>
      </c>
      <c r="B6155" s="6" t="s">
        <v>12358</v>
      </c>
      <c r="C6155" s="5"/>
      <c r="D6155" s="8" t="s">
        <v>12359</v>
      </c>
    </row>
    <row r="6156" spans="1:4" ht="14.25">
      <c r="A6156" s="5" t="s">
        <v>12299</v>
      </c>
      <c r="B6156" s="6" t="s">
        <v>12360</v>
      </c>
      <c r="C6156" s="5"/>
      <c r="D6156" s="8" t="s">
        <v>12361</v>
      </c>
    </row>
    <row r="6157" spans="1:4" ht="14.25">
      <c r="A6157" s="5" t="s">
        <v>12299</v>
      </c>
      <c r="B6157" s="19" t="s">
        <v>12362</v>
      </c>
      <c r="C6157" s="20"/>
      <c r="D6157" s="8" t="s">
        <v>12363</v>
      </c>
    </row>
    <row r="6158" spans="1:4" ht="14.25">
      <c r="A6158" s="5" t="s">
        <v>12299</v>
      </c>
      <c r="B6158" s="6" t="s">
        <v>12364</v>
      </c>
      <c r="C6158" s="5"/>
      <c r="D6158" s="8" t="s">
        <v>12365</v>
      </c>
    </row>
    <row r="6159" spans="1:4" ht="14.25">
      <c r="A6159" s="5" t="s">
        <v>12299</v>
      </c>
      <c r="B6159" s="19" t="s">
        <v>12366</v>
      </c>
      <c r="C6159" s="20"/>
      <c r="D6159" s="8" t="s">
        <v>12367</v>
      </c>
    </row>
    <row r="6160" spans="1:4" ht="14.25">
      <c r="A6160" s="5" t="s">
        <v>12299</v>
      </c>
      <c r="B6160" s="19" t="s">
        <v>12368</v>
      </c>
      <c r="C6160" s="20"/>
      <c r="D6160" s="8" t="s">
        <v>12369</v>
      </c>
    </row>
    <row r="6161" spans="1:4" ht="14.25">
      <c r="A6161" s="5" t="s">
        <v>12299</v>
      </c>
      <c r="B6161" s="6" t="s">
        <v>12370</v>
      </c>
      <c r="C6161" s="5"/>
      <c r="D6161" s="8" t="s">
        <v>12371</v>
      </c>
    </row>
    <row r="6162" spans="1:4" ht="14.25">
      <c r="A6162" s="5" t="s">
        <v>12299</v>
      </c>
      <c r="B6162" s="6" t="s">
        <v>12372</v>
      </c>
      <c r="C6162" s="5"/>
      <c r="D6162" s="8" t="s">
        <v>12373</v>
      </c>
    </row>
    <row r="6163" spans="1:4" ht="14.25">
      <c r="A6163" s="5" t="s">
        <v>12299</v>
      </c>
      <c r="B6163" s="6" t="s">
        <v>12374</v>
      </c>
      <c r="C6163" s="5"/>
      <c r="D6163" s="8" t="s">
        <v>12375</v>
      </c>
    </row>
    <row r="6164" spans="1:4" ht="14.25">
      <c r="A6164" s="5" t="s">
        <v>12299</v>
      </c>
      <c r="B6164" s="6" t="s">
        <v>12376</v>
      </c>
      <c r="C6164" s="5"/>
      <c r="D6164" s="8" t="s">
        <v>12377</v>
      </c>
    </row>
    <row r="6165" spans="1:4" ht="14.25">
      <c r="A6165" s="5" t="s">
        <v>12299</v>
      </c>
      <c r="B6165" s="6" t="s">
        <v>12378</v>
      </c>
      <c r="C6165" s="5"/>
      <c r="D6165" s="8" t="s">
        <v>12379</v>
      </c>
    </row>
    <row r="6166" spans="1:4" ht="14.25">
      <c r="A6166" s="5" t="s">
        <v>12299</v>
      </c>
      <c r="B6166" s="6" t="s">
        <v>12380</v>
      </c>
      <c r="C6166" s="5"/>
      <c r="D6166" s="8" t="s">
        <v>12381</v>
      </c>
    </row>
    <row r="6167" spans="1:4" ht="14.25">
      <c r="A6167" s="5" t="s">
        <v>12299</v>
      </c>
      <c r="B6167" s="6" t="s">
        <v>12382</v>
      </c>
      <c r="C6167" s="5"/>
      <c r="D6167" s="8" t="s">
        <v>12383</v>
      </c>
    </row>
    <row r="6168" spans="1:4" ht="14.25">
      <c r="A6168" s="5" t="s">
        <v>12299</v>
      </c>
      <c r="B6168" s="6" t="s">
        <v>12384</v>
      </c>
      <c r="C6168" s="5"/>
      <c r="D6168" s="8" t="s">
        <v>12385</v>
      </c>
    </row>
    <row r="6169" spans="1:4" ht="14.25">
      <c r="A6169" s="5" t="s">
        <v>12299</v>
      </c>
      <c r="B6169" s="6" t="s">
        <v>12386</v>
      </c>
      <c r="C6169" s="5"/>
      <c r="D6169" s="8" t="s">
        <v>12387</v>
      </c>
    </row>
    <row r="6170" spans="1:4" ht="14.25">
      <c r="A6170" s="5" t="s">
        <v>12299</v>
      </c>
      <c r="B6170" s="19" t="s">
        <v>12388</v>
      </c>
      <c r="C6170" s="20"/>
      <c r="D6170" s="8" t="s">
        <v>12389</v>
      </c>
    </row>
    <row r="6171" spans="1:4" ht="14.25">
      <c r="A6171" s="5" t="s">
        <v>12299</v>
      </c>
      <c r="B6171" s="6" t="s">
        <v>12390</v>
      </c>
      <c r="C6171" s="5"/>
      <c r="D6171" s="8" t="s">
        <v>12391</v>
      </c>
    </row>
    <row r="6172" spans="1:4" ht="14.25">
      <c r="A6172" s="5" t="s">
        <v>12392</v>
      </c>
      <c r="B6172" s="19" t="s">
        <v>12393</v>
      </c>
      <c r="C6172" s="20"/>
      <c r="D6172" s="8" t="s">
        <v>12394</v>
      </c>
    </row>
    <row r="6173" spans="1:4" ht="14.25">
      <c r="A6173" s="5" t="s">
        <v>1887</v>
      </c>
      <c r="B6173" s="6" t="s">
        <v>12395</v>
      </c>
      <c r="C6173" s="5"/>
      <c r="D6173" s="8" t="s">
        <v>12396</v>
      </c>
    </row>
    <row r="6174" spans="1:4" ht="14.25">
      <c r="A6174" s="5" t="s">
        <v>12397</v>
      </c>
      <c r="B6174" s="19" t="s">
        <v>12398</v>
      </c>
      <c r="C6174" s="20"/>
      <c r="D6174" s="8" t="s">
        <v>12399</v>
      </c>
    </row>
    <row r="6175" spans="1:4" ht="14.25">
      <c r="A6175" s="5" t="s">
        <v>12397</v>
      </c>
      <c r="B6175" s="19" t="s">
        <v>12400</v>
      </c>
      <c r="C6175" s="20"/>
      <c r="D6175" s="8" t="s">
        <v>12401</v>
      </c>
    </row>
    <row r="6176" spans="1:4" ht="14.25">
      <c r="A6176" s="5" t="s">
        <v>12397</v>
      </c>
      <c r="B6176" s="19" t="s">
        <v>12402</v>
      </c>
      <c r="C6176" s="20"/>
      <c r="D6176" s="8" t="s">
        <v>12403</v>
      </c>
    </row>
    <row r="6177" spans="1:4" ht="14.25">
      <c r="A6177" s="5" t="s">
        <v>12397</v>
      </c>
      <c r="B6177" s="19" t="s">
        <v>12404</v>
      </c>
      <c r="C6177" s="20"/>
      <c r="D6177" s="8" t="s">
        <v>12405</v>
      </c>
    </row>
    <row r="6178" spans="1:4" ht="14.25">
      <c r="A6178" s="5" t="s">
        <v>12397</v>
      </c>
      <c r="B6178" s="19" t="s">
        <v>12406</v>
      </c>
      <c r="C6178" s="20"/>
      <c r="D6178" s="8" t="s">
        <v>12407</v>
      </c>
    </row>
    <row r="6179" spans="1:4" ht="14.25">
      <c r="A6179" s="5" t="s">
        <v>12397</v>
      </c>
      <c r="B6179" s="19" t="s">
        <v>12408</v>
      </c>
      <c r="C6179" s="20"/>
      <c r="D6179" s="8" t="s">
        <v>12409</v>
      </c>
    </row>
    <row r="6180" spans="1:4" ht="14.25">
      <c r="A6180" s="5" t="s">
        <v>12397</v>
      </c>
      <c r="B6180" s="19" t="s">
        <v>12410</v>
      </c>
      <c r="C6180" s="20"/>
      <c r="D6180" s="8" t="s">
        <v>12411</v>
      </c>
    </row>
    <row r="6181" spans="1:4" ht="14.25">
      <c r="A6181" s="5" t="s">
        <v>12397</v>
      </c>
      <c r="B6181" s="19" t="s">
        <v>12412</v>
      </c>
      <c r="C6181" s="20"/>
      <c r="D6181" s="8" t="s">
        <v>12413</v>
      </c>
    </row>
    <row r="6182" spans="1:4" ht="14.25">
      <c r="A6182" s="5" t="s">
        <v>12397</v>
      </c>
      <c r="B6182" s="19" t="s">
        <v>12414</v>
      </c>
      <c r="C6182" s="20"/>
      <c r="D6182" s="8" t="s">
        <v>12415</v>
      </c>
    </row>
    <row r="6183" spans="1:4" ht="14.25">
      <c r="A6183" s="5" t="s">
        <v>12397</v>
      </c>
      <c r="B6183" s="19" t="s">
        <v>12416</v>
      </c>
      <c r="C6183" s="20"/>
      <c r="D6183" s="8" t="s">
        <v>12417</v>
      </c>
    </row>
    <row r="6184" spans="1:4" ht="14.25">
      <c r="A6184" s="5" t="s">
        <v>12397</v>
      </c>
      <c r="B6184" s="19" t="s">
        <v>12418</v>
      </c>
      <c r="C6184" s="20"/>
      <c r="D6184" s="8" t="s">
        <v>12419</v>
      </c>
    </row>
    <row r="6185" spans="1:4" ht="14.25">
      <c r="A6185" s="5" t="s">
        <v>12397</v>
      </c>
      <c r="B6185" s="19" t="s">
        <v>12420</v>
      </c>
      <c r="C6185" s="20"/>
      <c r="D6185" s="8" t="s">
        <v>12421</v>
      </c>
    </row>
    <row r="6186" spans="1:4" ht="14.25">
      <c r="A6186" s="5" t="s">
        <v>12397</v>
      </c>
      <c r="B6186" s="19" t="s">
        <v>12422</v>
      </c>
      <c r="C6186" s="20"/>
      <c r="D6186" s="8" t="s">
        <v>12423</v>
      </c>
    </row>
    <row r="6187" spans="1:4" ht="14.25">
      <c r="A6187" s="5" t="s">
        <v>12397</v>
      </c>
      <c r="B6187" s="19" t="s">
        <v>12424</v>
      </c>
      <c r="C6187" s="20"/>
      <c r="D6187" s="8" t="s">
        <v>12425</v>
      </c>
    </row>
    <row r="6188" spans="1:4" ht="14.25">
      <c r="A6188" s="5" t="s">
        <v>12397</v>
      </c>
      <c r="B6188" s="19" t="s">
        <v>12426</v>
      </c>
      <c r="C6188" s="20"/>
      <c r="D6188" s="8" t="s">
        <v>12427</v>
      </c>
    </row>
    <row r="6189" spans="1:4" ht="14.25">
      <c r="A6189" s="5" t="s">
        <v>12397</v>
      </c>
      <c r="B6189" s="19" t="s">
        <v>12428</v>
      </c>
      <c r="C6189" s="20"/>
      <c r="D6189" s="8" t="s">
        <v>12429</v>
      </c>
    </row>
    <row r="6190" spans="1:4" ht="14.25">
      <c r="A6190" s="5" t="s">
        <v>12397</v>
      </c>
      <c r="B6190" s="19" t="s">
        <v>12430</v>
      </c>
      <c r="C6190" s="20"/>
      <c r="D6190" s="8" t="s">
        <v>12431</v>
      </c>
    </row>
    <row r="6191" spans="1:4" ht="14.25">
      <c r="A6191" s="5" t="s">
        <v>12397</v>
      </c>
      <c r="B6191" s="19" t="s">
        <v>12432</v>
      </c>
      <c r="C6191" s="20"/>
      <c r="D6191" s="8" t="s">
        <v>12433</v>
      </c>
    </row>
    <row r="6192" spans="1:4" ht="14.25">
      <c r="A6192" s="5" t="s">
        <v>12397</v>
      </c>
      <c r="B6192" s="19" t="s">
        <v>12434</v>
      </c>
      <c r="C6192" s="20"/>
      <c r="D6192" s="8" t="s">
        <v>12435</v>
      </c>
    </row>
    <row r="6193" spans="1:4" ht="14.25">
      <c r="A6193" s="5" t="s">
        <v>12397</v>
      </c>
      <c r="B6193" s="19" t="s">
        <v>12436</v>
      </c>
      <c r="C6193" s="20"/>
      <c r="D6193" s="8" t="s">
        <v>12437</v>
      </c>
    </row>
    <row r="6194" spans="1:4" ht="14.25">
      <c r="A6194" s="5" t="s">
        <v>12397</v>
      </c>
      <c r="B6194" s="19" t="s">
        <v>12438</v>
      </c>
      <c r="C6194" s="20"/>
      <c r="D6194" s="8" t="s">
        <v>12439</v>
      </c>
    </row>
    <row r="6195" spans="1:4" ht="14.25">
      <c r="A6195" s="5" t="s">
        <v>12397</v>
      </c>
      <c r="B6195" s="19" t="s">
        <v>12440</v>
      </c>
      <c r="C6195" s="20"/>
      <c r="D6195" s="8" t="s">
        <v>12441</v>
      </c>
    </row>
    <row r="6196" spans="1:4" ht="14.25">
      <c r="A6196" s="5" t="s">
        <v>12397</v>
      </c>
      <c r="B6196" s="19" t="s">
        <v>12442</v>
      </c>
      <c r="C6196" s="20"/>
      <c r="D6196" s="8" t="s">
        <v>12443</v>
      </c>
    </row>
    <row r="6197" spans="1:4" ht="14.25">
      <c r="A6197" s="5" t="s">
        <v>12397</v>
      </c>
      <c r="B6197" s="19" t="s">
        <v>12444</v>
      </c>
      <c r="C6197" s="20"/>
      <c r="D6197" s="8" t="s">
        <v>12445</v>
      </c>
    </row>
    <row r="6198" spans="1:4" ht="14.25">
      <c r="A6198" s="5" t="s">
        <v>12397</v>
      </c>
      <c r="B6198" s="19" t="s">
        <v>12446</v>
      </c>
      <c r="C6198" s="20"/>
      <c r="D6198" s="8" t="s">
        <v>12447</v>
      </c>
    </row>
    <row r="6199" spans="1:4" ht="14.25">
      <c r="A6199" s="5" t="s">
        <v>12397</v>
      </c>
      <c r="B6199" s="19" t="s">
        <v>12448</v>
      </c>
      <c r="C6199" s="20"/>
      <c r="D6199" s="8" t="s">
        <v>12449</v>
      </c>
    </row>
    <row r="6200" spans="1:4" ht="14.25">
      <c r="A6200" s="5" t="s">
        <v>12397</v>
      </c>
      <c r="B6200" s="19" t="s">
        <v>12450</v>
      </c>
      <c r="C6200" s="20"/>
      <c r="D6200" s="8" t="s">
        <v>12451</v>
      </c>
    </row>
    <row r="6201" spans="1:4" ht="14.25">
      <c r="A6201" s="5" t="s">
        <v>12397</v>
      </c>
      <c r="B6201" s="19" t="s">
        <v>12452</v>
      </c>
      <c r="C6201" s="20"/>
      <c r="D6201" s="8" t="s">
        <v>12453</v>
      </c>
    </row>
    <row r="6202" spans="1:4" ht="14.25">
      <c r="A6202" s="5" t="s">
        <v>12397</v>
      </c>
      <c r="B6202" s="19" t="s">
        <v>12454</v>
      </c>
      <c r="C6202" s="20"/>
      <c r="D6202" s="8" t="s">
        <v>12455</v>
      </c>
    </row>
    <row r="6203" spans="1:4" ht="14.25">
      <c r="A6203" s="5" t="s">
        <v>12397</v>
      </c>
      <c r="B6203" s="19" t="s">
        <v>12456</v>
      </c>
      <c r="C6203" s="20"/>
      <c r="D6203" s="8" t="s">
        <v>12457</v>
      </c>
    </row>
    <row r="6204" spans="1:4" ht="14.25">
      <c r="A6204" s="5" t="s">
        <v>12397</v>
      </c>
      <c r="B6204" s="19" t="s">
        <v>12458</v>
      </c>
      <c r="C6204" s="20"/>
      <c r="D6204" s="8" t="s">
        <v>12459</v>
      </c>
    </row>
    <row r="6205" spans="1:4" ht="14.25">
      <c r="A6205" s="5" t="s">
        <v>12397</v>
      </c>
      <c r="B6205" s="19" t="s">
        <v>12460</v>
      </c>
      <c r="C6205" s="20"/>
      <c r="D6205" s="8" t="s">
        <v>12461</v>
      </c>
    </row>
    <row r="6206" spans="1:4" ht="14.25">
      <c r="A6206" s="5"/>
      <c r="B6206" s="1"/>
      <c r="C6206" s="1"/>
    </row>
    <row r="6207" spans="1:4" ht="14.25">
      <c r="A6207" s="5"/>
      <c r="B6207" s="1"/>
      <c r="C6207" s="1"/>
    </row>
    <row r="6208" spans="1:4" ht="14.25">
      <c r="A6208" s="5"/>
      <c r="B6208" s="1"/>
      <c r="C6208" s="1"/>
    </row>
    <row r="6209" spans="1:3" ht="14.25">
      <c r="A6209" s="5"/>
      <c r="B6209" s="1"/>
      <c r="C6209" s="1"/>
    </row>
    <row r="6210" spans="1:3" ht="14.25">
      <c r="A6210" s="5"/>
      <c r="B6210" s="1"/>
      <c r="C6210" s="1"/>
    </row>
    <row r="6211" spans="1:3" ht="14.25">
      <c r="A6211" s="5"/>
      <c r="B6211" s="1"/>
      <c r="C6211" s="1"/>
    </row>
    <row r="6212" spans="1:3" ht="14.25">
      <c r="A6212" s="5"/>
      <c r="B6212" s="1"/>
      <c r="C6212" s="1"/>
    </row>
    <row r="6213" spans="1:3" ht="14.25">
      <c r="A6213" s="5"/>
      <c r="B6213" s="1"/>
      <c r="C6213" s="1"/>
    </row>
    <row r="6214" spans="1:3" ht="14.25">
      <c r="A6214" s="5"/>
      <c r="B6214" s="1"/>
      <c r="C6214" s="1"/>
    </row>
    <row r="6215" spans="1:3" ht="14.25">
      <c r="A6215" s="5"/>
      <c r="B6215" s="1"/>
      <c r="C6215" s="1"/>
    </row>
    <row r="6216" spans="1:3" ht="14.25">
      <c r="A6216" s="5"/>
      <c r="B6216" s="1"/>
      <c r="C6216" s="1"/>
    </row>
    <row r="6217" spans="1:3" ht="14.25">
      <c r="A6217" s="5"/>
      <c r="B6217" s="1"/>
      <c r="C6217" s="1"/>
    </row>
    <row r="6218" spans="1:3" ht="14.25">
      <c r="A6218" s="5"/>
      <c r="B6218" s="1"/>
      <c r="C6218" s="1"/>
    </row>
    <row r="6219" spans="1:3" ht="14.25">
      <c r="A6219" s="5"/>
      <c r="B6219" s="1"/>
      <c r="C6219" s="1"/>
    </row>
    <row r="6220" spans="1:3" ht="14.25">
      <c r="A6220" s="5"/>
      <c r="B6220" s="1"/>
      <c r="C6220" s="1"/>
    </row>
    <row r="6221" spans="1:3" ht="14.25">
      <c r="A6221" s="5"/>
      <c r="B6221" s="1"/>
      <c r="C6221" s="1"/>
    </row>
    <row r="6222" spans="1:3" ht="14.25">
      <c r="A6222" s="5"/>
      <c r="B6222" s="1"/>
      <c r="C6222" s="1"/>
    </row>
    <row r="6223" spans="1:3" ht="14.25">
      <c r="A6223" s="5"/>
      <c r="B6223" s="1"/>
      <c r="C6223" s="1"/>
    </row>
    <row r="6224" spans="1:3" ht="14.25">
      <c r="A6224" s="5"/>
      <c r="B6224" s="1"/>
      <c r="C6224" s="1"/>
    </row>
    <row r="6225" spans="1:3" ht="14.25">
      <c r="A6225" s="5"/>
      <c r="B6225" s="1"/>
      <c r="C6225" s="1"/>
    </row>
    <row r="6226" spans="1:3" ht="14.25">
      <c r="A6226" s="5"/>
      <c r="B6226" s="1"/>
      <c r="C6226" s="1"/>
    </row>
    <row r="6227" spans="1:3" ht="14.25">
      <c r="A6227" s="5"/>
      <c r="B6227" s="1"/>
      <c r="C6227" s="1"/>
    </row>
    <row r="6228" spans="1:3" ht="14.25">
      <c r="A6228" s="5"/>
      <c r="B6228" s="1"/>
      <c r="C6228" s="1"/>
    </row>
    <row r="6229" spans="1:3" ht="14.25">
      <c r="A6229" s="5"/>
      <c r="B6229" s="1"/>
      <c r="C6229" s="1"/>
    </row>
    <row r="6230" spans="1:3" ht="14.25">
      <c r="A6230" s="5"/>
      <c r="B6230" s="1"/>
      <c r="C6230" s="1"/>
    </row>
    <row r="6231" spans="1:3" ht="14.25">
      <c r="A6231" s="5"/>
      <c r="B6231" s="1"/>
      <c r="C6231" s="1"/>
    </row>
    <row r="6232" spans="1:3" ht="14.25">
      <c r="A6232" s="5"/>
      <c r="B6232" s="1"/>
      <c r="C6232" s="1"/>
    </row>
    <row r="6233" spans="1:3" ht="14.25">
      <c r="A6233" s="5"/>
      <c r="B6233" s="1"/>
      <c r="C6233" s="1"/>
    </row>
    <row r="6234" spans="1:3" ht="14.25">
      <c r="A6234" s="5"/>
      <c r="B6234" s="1"/>
      <c r="C6234" s="1"/>
    </row>
    <row r="6235" spans="1:3" ht="14.25">
      <c r="A6235" s="5"/>
      <c r="B6235" s="1"/>
      <c r="C6235" s="1"/>
    </row>
    <row r="6236" spans="1:3" ht="14.25">
      <c r="A6236" s="5"/>
      <c r="B6236" s="1"/>
      <c r="C6236" s="1"/>
    </row>
    <row r="6237" spans="1:3" ht="14.25">
      <c r="A6237" s="5"/>
      <c r="B6237" s="1"/>
      <c r="C6237" s="1"/>
    </row>
    <row r="6238" spans="1:3" ht="14.25">
      <c r="A6238" s="5"/>
      <c r="B6238" s="1"/>
      <c r="C6238" s="1"/>
    </row>
    <row r="6239" spans="1:3" ht="14.25">
      <c r="A6239" s="5"/>
      <c r="B6239" s="1"/>
      <c r="C6239" s="1"/>
    </row>
    <row r="6240" spans="1:3" ht="14.25">
      <c r="A6240" s="5"/>
      <c r="B6240" s="1"/>
      <c r="C6240" s="1"/>
    </row>
    <row r="6241" spans="1:3" ht="14.25">
      <c r="A6241" s="5"/>
      <c r="B6241" s="1"/>
      <c r="C6241" s="1"/>
    </row>
    <row r="6242" spans="1:3" ht="14.25">
      <c r="A6242" s="5"/>
      <c r="B6242" s="1"/>
      <c r="C6242" s="1"/>
    </row>
    <row r="6243" spans="1:3" ht="14.25">
      <c r="A6243" s="5"/>
      <c r="B6243" s="1"/>
      <c r="C6243" s="1"/>
    </row>
    <row r="6244" spans="1:3" ht="14.25">
      <c r="A6244" s="5"/>
      <c r="B6244" s="1"/>
      <c r="C6244" s="1"/>
    </row>
    <row r="6245" spans="1:3" ht="14.25">
      <c r="A6245" s="5"/>
      <c r="B6245" s="1"/>
      <c r="C6245" s="1"/>
    </row>
    <row r="6246" spans="1:3" ht="14.25">
      <c r="A6246" s="5"/>
      <c r="B6246" s="1"/>
      <c r="C6246" s="1"/>
    </row>
    <row r="6247" spans="1:3" ht="14.25">
      <c r="A6247" s="5"/>
      <c r="B6247" s="1"/>
      <c r="C6247" s="1"/>
    </row>
    <row r="6248" spans="1:3" ht="14.25">
      <c r="A6248" s="5"/>
      <c r="B6248" s="1"/>
      <c r="C6248" s="1"/>
    </row>
    <row r="6249" spans="1:3" ht="14.25">
      <c r="A6249" s="5"/>
      <c r="B6249" s="1"/>
      <c r="C6249" s="1"/>
    </row>
    <row r="6250" spans="1:3" ht="14.25">
      <c r="A6250" s="5"/>
      <c r="B6250" s="1"/>
      <c r="C6250" s="1"/>
    </row>
    <row r="6251" spans="1:3" ht="14.25">
      <c r="A6251" s="5"/>
      <c r="B6251" s="1"/>
      <c r="C6251" s="1"/>
    </row>
    <row r="6252" spans="1:3" ht="14.25">
      <c r="A6252" s="5"/>
      <c r="B6252" s="1"/>
      <c r="C6252" s="1"/>
    </row>
    <row r="6253" spans="1:3" ht="14.25">
      <c r="A6253" s="5"/>
      <c r="B6253" s="1"/>
      <c r="C6253" s="1"/>
    </row>
    <row r="6254" spans="1:3" ht="14.25">
      <c r="A6254" s="5"/>
      <c r="B6254" s="1"/>
      <c r="C6254" s="1"/>
    </row>
    <row r="6255" spans="1:3" ht="14.25">
      <c r="A6255" s="5"/>
      <c r="B6255" s="1"/>
      <c r="C6255" s="1"/>
    </row>
    <row r="6256" spans="1:3" ht="14.25">
      <c r="A6256" s="5"/>
      <c r="B6256" s="1"/>
      <c r="C6256" s="1"/>
    </row>
    <row r="6257" spans="1:3" ht="14.25">
      <c r="A6257" s="5"/>
      <c r="B6257" s="1"/>
      <c r="C6257" s="1"/>
    </row>
    <row r="6258" spans="1:3" ht="14.25">
      <c r="A6258" s="5"/>
      <c r="B6258" s="1"/>
      <c r="C6258" s="1"/>
    </row>
    <row r="6259" spans="1:3" ht="14.25">
      <c r="A6259" s="5"/>
      <c r="B6259" s="1"/>
      <c r="C6259" s="1"/>
    </row>
    <row r="6260" spans="1:3" ht="14.25">
      <c r="A6260" s="5"/>
      <c r="B6260" s="1"/>
      <c r="C6260" s="1"/>
    </row>
    <row r="6261" spans="1:3" ht="14.25">
      <c r="A6261" s="5"/>
      <c r="B6261" s="1"/>
      <c r="C6261" s="1"/>
    </row>
    <row r="6262" spans="1:3" ht="14.25">
      <c r="A6262" s="5"/>
      <c r="B6262" s="1"/>
      <c r="C6262" s="1"/>
    </row>
    <row r="6263" spans="1:3" ht="14.25">
      <c r="A6263" s="5"/>
      <c r="B6263" s="1"/>
      <c r="C6263" s="1"/>
    </row>
    <row r="6264" spans="1:3" ht="14.25">
      <c r="A6264" s="5"/>
      <c r="B6264" s="1"/>
      <c r="C6264" s="1"/>
    </row>
    <row r="6265" spans="1:3" ht="14.25">
      <c r="A6265" s="5"/>
      <c r="B6265" s="1"/>
      <c r="C6265" s="1"/>
    </row>
    <row r="6266" spans="1:3" ht="14.25">
      <c r="A6266" s="5"/>
      <c r="B6266" s="1"/>
      <c r="C6266" s="1"/>
    </row>
    <row r="6267" spans="1:3" ht="14.25">
      <c r="A6267" s="5"/>
      <c r="B6267" s="1"/>
      <c r="C6267" s="1"/>
    </row>
    <row r="6268" spans="1:3" ht="14.25">
      <c r="A6268" s="5"/>
      <c r="B6268" s="1"/>
      <c r="C6268" s="1"/>
    </row>
    <row r="6269" spans="1:3" ht="14.25">
      <c r="A6269" s="5"/>
      <c r="B6269" s="1"/>
      <c r="C6269" s="1"/>
    </row>
    <row r="6270" spans="1:3" ht="14.25">
      <c r="A6270" s="5"/>
      <c r="B6270" s="1"/>
      <c r="C6270" s="1"/>
    </row>
    <row r="6271" spans="1:3" ht="14.25">
      <c r="A6271" s="5"/>
      <c r="B6271" s="1"/>
      <c r="C6271" s="1"/>
    </row>
    <row r="6272" spans="1:3" ht="14.25">
      <c r="A6272" s="5"/>
      <c r="B6272" s="1"/>
      <c r="C6272" s="1"/>
    </row>
    <row r="6273" spans="1:3" ht="14.25">
      <c r="A6273" s="5"/>
      <c r="B6273" s="1"/>
      <c r="C6273" s="1"/>
    </row>
    <row r="6274" spans="1:3" ht="14.25">
      <c r="A6274" s="5"/>
      <c r="B6274" s="1"/>
      <c r="C6274" s="1"/>
    </row>
    <row r="6275" spans="1:3" ht="14.25">
      <c r="A6275" s="5"/>
      <c r="B6275" s="1"/>
      <c r="C6275" s="1"/>
    </row>
    <row r="6276" spans="1:3" ht="14.25">
      <c r="A6276" s="5"/>
      <c r="B6276" s="1"/>
      <c r="C6276" s="1"/>
    </row>
    <row r="6277" spans="1:3" ht="14.25">
      <c r="A6277" s="5"/>
      <c r="B6277" s="1"/>
      <c r="C6277" s="1"/>
    </row>
    <row r="6278" spans="1:3" ht="14.25">
      <c r="A6278" s="5"/>
      <c r="B6278" s="1"/>
      <c r="C6278" s="1"/>
    </row>
    <row r="6279" spans="1:3" ht="14.25">
      <c r="A6279" s="5"/>
      <c r="B6279" s="1"/>
      <c r="C6279" s="1"/>
    </row>
    <row r="6280" spans="1:3" ht="14.25">
      <c r="A6280" s="5"/>
      <c r="B6280" s="1"/>
      <c r="C6280" s="1"/>
    </row>
    <row r="6281" spans="1:3" ht="14.25">
      <c r="A6281" s="5"/>
      <c r="B6281" s="1"/>
      <c r="C6281" s="1"/>
    </row>
    <row r="6282" spans="1:3" ht="14.25">
      <c r="A6282" s="5"/>
      <c r="B6282" s="1"/>
      <c r="C6282" s="1"/>
    </row>
    <row r="6283" spans="1:3" ht="14.25">
      <c r="A6283" s="5"/>
      <c r="B6283" s="1"/>
      <c r="C6283" s="1"/>
    </row>
    <row r="6284" spans="1:3" ht="14.25">
      <c r="A6284" s="5"/>
      <c r="B6284" s="1"/>
      <c r="C6284" s="1"/>
    </row>
    <row r="6285" spans="1:3" ht="14.25">
      <c r="A6285" s="5"/>
      <c r="B6285" s="1"/>
      <c r="C6285" s="1"/>
    </row>
    <row r="6286" spans="1:3" ht="14.25">
      <c r="A6286" s="5"/>
      <c r="B6286" s="1"/>
      <c r="C6286" s="1"/>
    </row>
    <row r="6287" spans="1:3" ht="14.25">
      <c r="A6287" s="5"/>
      <c r="B6287" s="1"/>
      <c r="C6287" s="1"/>
    </row>
    <row r="6288" spans="1:3" ht="14.25">
      <c r="A6288" s="5"/>
      <c r="B6288" s="1"/>
      <c r="C6288" s="1"/>
    </row>
    <row r="6289" spans="1:3" ht="14.25">
      <c r="A6289" s="5"/>
      <c r="B6289" s="1"/>
      <c r="C6289" s="1"/>
    </row>
    <row r="6290" spans="1:3" ht="14.25">
      <c r="A6290" s="5"/>
      <c r="B6290" s="1"/>
      <c r="C6290" s="1"/>
    </row>
    <row r="6291" spans="1:3" ht="14.25">
      <c r="A6291" s="5"/>
      <c r="B6291" s="1"/>
      <c r="C6291" s="1"/>
    </row>
    <row r="6292" spans="1:3" ht="14.25">
      <c r="A6292" s="5"/>
      <c r="B6292" s="1"/>
      <c r="C6292" s="1"/>
    </row>
    <row r="6293" spans="1:3" ht="14.25">
      <c r="A6293" s="5"/>
      <c r="B6293" s="1"/>
      <c r="C6293" s="1"/>
    </row>
    <row r="6294" spans="1:3" ht="14.25">
      <c r="A6294" s="5"/>
      <c r="B6294" s="1"/>
      <c r="C6294" s="1"/>
    </row>
    <row r="6295" spans="1:3" ht="14.25">
      <c r="A6295" s="5"/>
      <c r="B6295" s="1"/>
      <c r="C6295" s="1"/>
    </row>
    <row r="6296" spans="1:3" ht="14.25">
      <c r="A6296" s="5"/>
      <c r="B6296" s="1"/>
      <c r="C6296" s="1"/>
    </row>
    <row r="6297" spans="1:3" ht="14.25">
      <c r="A6297" s="5"/>
      <c r="B6297" s="1"/>
      <c r="C6297" s="1"/>
    </row>
    <row r="6298" spans="1:3" ht="14.25">
      <c r="A6298" s="5"/>
      <c r="B6298" s="1"/>
      <c r="C6298" s="1"/>
    </row>
    <row r="6299" spans="1:3" ht="14.25">
      <c r="A6299" s="5"/>
      <c r="B6299" s="1"/>
      <c r="C6299" s="1"/>
    </row>
    <row r="6300" spans="1:3" ht="14.25">
      <c r="A6300" s="5"/>
      <c r="B6300" s="1"/>
      <c r="C6300" s="1"/>
    </row>
    <row r="6301" spans="1:3" ht="14.25">
      <c r="A6301" s="5"/>
      <c r="B6301" s="1"/>
      <c r="C6301" s="1"/>
    </row>
    <row r="6302" spans="1:3" ht="14.25">
      <c r="A6302" s="5"/>
      <c r="B6302" s="1"/>
      <c r="C6302" s="1"/>
    </row>
    <row r="6303" spans="1:3" ht="14.25">
      <c r="A6303" s="5"/>
      <c r="B6303" s="1"/>
      <c r="C6303" s="1"/>
    </row>
    <row r="6304" spans="1:3" ht="14.25">
      <c r="A6304" s="5"/>
      <c r="B6304" s="1"/>
      <c r="C6304" s="1"/>
    </row>
    <row r="6305" spans="1:3" ht="14.25">
      <c r="A6305" s="5"/>
      <c r="B6305" s="1"/>
      <c r="C6305" s="1"/>
    </row>
    <row r="6306" spans="1:3" ht="14.25">
      <c r="A6306" s="5"/>
      <c r="B6306" s="1"/>
      <c r="C6306" s="1"/>
    </row>
    <row r="6307" spans="1:3" ht="14.25">
      <c r="A6307" s="5"/>
      <c r="B6307" s="1"/>
      <c r="C6307" s="1"/>
    </row>
    <row r="6308" spans="1:3" ht="14.25">
      <c r="A6308" s="5"/>
      <c r="B6308" s="1"/>
      <c r="C6308" s="1"/>
    </row>
    <row r="6309" spans="1:3" ht="14.25">
      <c r="A6309" s="5"/>
      <c r="B6309" s="1"/>
      <c r="C6309" s="1"/>
    </row>
    <row r="6310" spans="1:3" ht="14.25">
      <c r="A6310" s="5"/>
      <c r="B6310" s="1"/>
      <c r="C6310" s="1"/>
    </row>
    <row r="6311" spans="1:3" ht="14.25">
      <c r="A6311" s="5"/>
      <c r="B6311" s="1"/>
      <c r="C6311" s="1"/>
    </row>
    <row r="6312" spans="1:3" ht="14.25">
      <c r="A6312" s="5"/>
      <c r="B6312" s="1"/>
      <c r="C6312" s="1"/>
    </row>
    <row r="6313" spans="1:3" ht="14.25">
      <c r="A6313" s="5"/>
      <c r="B6313" s="1"/>
      <c r="C6313" s="1"/>
    </row>
    <row r="6314" spans="1:3" ht="14.25">
      <c r="A6314" s="5"/>
      <c r="B6314" s="1"/>
      <c r="C6314" s="1"/>
    </row>
    <row r="6315" spans="1:3" ht="14.25">
      <c r="A6315" s="5"/>
      <c r="B6315" s="1"/>
      <c r="C6315" s="1"/>
    </row>
    <row r="6316" spans="1:3" ht="14.25">
      <c r="A6316" s="5"/>
      <c r="B6316" s="1"/>
      <c r="C6316" s="1"/>
    </row>
    <row r="6317" spans="1:3" ht="14.25">
      <c r="A6317" s="5"/>
      <c r="B6317" s="1"/>
      <c r="C6317" s="1"/>
    </row>
    <row r="6318" spans="1:3" ht="14.25">
      <c r="A6318" s="5"/>
      <c r="B6318" s="1"/>
      <c r="C6318" s="1"/>
    </row>
    <row r="6319" spans="1:3" ht="14.25">
      <c r="A6319" s="5"/>
      <c r="B6319" s="1"/>
      <c r="C6319" s="1"/>
    </row>
    <row r="6320" spans="1:3" ht="14.25">
      <c r="A6320" s="5"/>
      <c r="B6320" s="1"/>
      <c r="C6320" s="1"/>
    </row>
    <row r="6321" spans="1:3" ht="14.25">
      <c r="A6321" s="5"/>
      <c r="B6321" s="1"/>
      <c r="C6321" s="1"/>
    </row>
    <row r="6322" spans="1:3" ht="14.25">
      <c r="A6322" s="5"/>
      <c r="B6322" s="1"/>
      <c r="C6322" s="1"/>
    </row>
    <row r="6323" spans="1:3" ht="14.25">
      <c r="A6323" s="5"/>
      <c r="B6323" s="1"/>
      <c r="C6323" s="1"/>
    </row>
    <row r="6324" spans="1:3" ht="14.25">
      <c r="A6324" s="5"/>
      <c r="B6324" s="1"/>
      <c r="C6324" s="1"/>
    </row>
    <row r="6325" spans="1:3" ht="14.25">
      <c r="A6325" s="5"/>
      <c r="B6325" s="1"/>
      <c r="C6325" s="1"/>
    </row>
    <row r="6326" spans="1:3" ht="14.25">
      <c r="A6326" s="5"/>
      <c r="B6326" s="1"/>
      <c r="C6326" s="1"/>
    </row>
    <row r="6327" spans="1:3" ht="14.25">
      <c r="A6327" s="5"/>
      <c r="B6327" s="1"/>
      <c r="C6327" s="1"/>
    </row>
    <row r="6328" spans="1:3" ht="14.25">
      <c r="A6328" s="5"/>
      <c r="B6328" s="1"/>
      <c r="C6328" s="1"/>
    </row>
    <row r="6329" spans="1:3" ht="14.25">
      <c r="A6329" s="5"/>
      <c r="B6329" s="1"/>
      <c r="C6329" s="1"/>
    </row>
    <row r="6330" spans="1:3" ht="14.25">
      <c r="A6330" s="5"/>
      <c r="B6330" s="1"/>
      <c r="C6330" s="1"/>
    </row>
    <row r="6331" spans="1:3" ht="14.25">
      <c r="A6331" s="5"/>
      <c r="B6331" s="1"/>
      <c r="C6331" s="1"/>
    </row>
    <row r="6332" spans="1:3" ht="14.25">
      <c r="A6332" s="5"/>
      <c r="B6332" s="1"/>
      <c r="C6332" s="1"/>
    </row>
    <row r="6333" spans="1:3" ht="14.25">
      <c r="A6333" s="5"/>
      <c r="B6333" s="1"/>
      <c r="C6333" s="1"/>
    </row>
    <row r="6334" spans="1:3" ht="14.25">
      <c r="A6334" s="5"/>
      <c r="B6334" s="1"/>
      <c r="C6334" s="1"/>
    </row>
    <row r="6335" spans="1:3" ht="14.25">
      <c r="A6335" s="5"/>
      <c r="B6335" s="1"/>
      <c r="C6335" s="1"/>
    </row>
    <row r="6336" spans="1:3" ht="14.25">
      <c r="A6336" s="5"/>
      <c r="B6336" s="1"/>
      <c r="C6336" s="1"/>
    </row>
    <row r="6337" spans="1:3" ht="14.25">
      <c r="A6337" s="5"/>
      <c r="B6337" s="1"/>
      <c r="C6337" s="1"/>
    </row>
    <row r="6338" spans="1:3" ht="14.25">
      <c r="A6338" s="5"/>
      <c r="B6338" s="1"/>
      <c r="C6338" s="1"/>
    </row>
    <row r="6339" spans="1:3" ht="14.25">
      <c r="A6339" s="5"/>
      <c r="B6339" s="1"/>
      <c r="C6339" s="1"/>
    </row>
    <row r="6340" spans="1:3" ht="14.25">
      <c r="A6340" s="5"/>
      <c r="B6340" s="1"/>
      <c r="C6340" s="1"/>
    </row>
    <row r="6341" spans="1:3" ht="14.25">
      <c r="A6341" s="5"/>
      <c r="B6341" s="1"/>
      <c r="C6341" s="1"/>
    </row>
    <row r="6342" spans="1:3" ht="14.25">
      <c r="A6342" s="5"/>
      <c r="B6342" s="1"/>
      <c r="C6342" s="1"/>
    </row>
    <row r="6343" spans="1:3" ht="14.25">
      <c r="A6343" s="5"/>
      <c r="B6343" s="1"/>
      <c r="C6343" s="1"/>
    </row>
    <row r="6344" spans="1:3" ht="14.25">
      <c r="A6344" s="5"/>
      <c r="B6344" s="1"/>
      <c r="C6344" s="1"/>
    </row>
    <row r="6345" spans="1:3" ht="14.25">
      <c r="A6345" s="5"/>
      <c r="B6345" s="1"/>
      <c r="C6345" s="1"/>
    </row>
    <row r="6346" spans="1:3" ht="14.25">
      <c r="A6346" s="5"/>
      <c r="B6346" s="1"/>
      <c r="C6346" s="1"/>
    </row>
    <row r="6347" spans="1:3" ht="14.25">
      <c r="A6347" s="5"/>
      <c r="B6347" s="1"/>
      <c r="C6347" s="1"/>
    </row>
    <row r="6348" spans="1:3" ht="14.25">
      <c r="A6348" s="5"/>
      <c r="B6348" s="1"/>
      <c r="C6348" s="1"/>
    </row>
    <row r="6349" spans="1:3" ht="14.25">
      <c r="A6349" s="5"/>
      <c r="B6349" s="1"/>
      <c r="C6349" s="1"/>
    </row>
    <row r="6350" spans="1:3" ht="14.25">
      <c r="A6350" s="5"/>
      <c r="B6350" s="1"/>
      <c r="C6350" s="1"/>
    </row>
    <row r="6351" spans="1:3" ht="14.25">
      <c r="A6351" s="5"/>
      <c r="B6351" s="1"/>
      <c r="C6351" s="1"/>
    </row>
    <row r="6352" spans="1:3" ht="14.25">
      <c r="A6352" s="5"/>
      <c r="B6352" s="1"/>
      <c r="C6352" s="1"/>
    </row>
    <row r="6353" spans="1:3" ht="14.25">
      <c r="A6353" s="5"/>
      <c r="B6353" s="1"/>
      <c r="C6353" s="1"/>
    </row>
    <row r="6354" spans="1:3" ht="14.25">
      <c r="A6354" s="5"/>
      <c r="B6354" s="1"/>
      <c r="C6354" s="1"/>
    </row>
    <row r="6355" spans="1:3" ht="14.25">
      <c r="A6355" s="5"/>
      <c r="B6355" s="1"/>
      <c r="C6355" s="1"/>
    </row>
    <row r="6356" spans="1:3" ht="14.25">
      <c r="A6356" s="5"/>
      <c r="B6356" s="1"/>
      <c r="C6356" s="1"/>
    </row>
    <row r="6357" spans="1:3" ht="14.25">
      <c r="A6357" s="5"/>
      <c r="B6357" s="1"/>
      <c r="C6357" s="1"/>
    </row>
    <row r="6358" spans="1:3" ht="14.25">
      <c r="A6358" s="5"/>
      <c r="B6358" s="1"/>
      <c r="C6358" s="1"/>
    </row>
    <row r="6359" spans="1:3" ht="14.25">
      <c r="A6359" s="5"/>
      <c r="B6359" s="1"/>
      <c r="C6359" s="1"/>
    </row>
    <row r="6360" spans="1:3" ht="14.25">
      <c r="A6360" s="5"/>
      <c r="B6360" s="1"/>
      <c r="C6360" s="1"/>
    </row>
    <row r="6361" spans="1:3" ht="14.25">
      <c r="A6361" s="5"/>
      <c r="B6361" s="1"/>
      <c r="C6361" s="1"/>
    </row>
    <row r="6362" spans="1:3" ht="14.25">
      <c r="A6362" s="5"/>
      <c r="B6362" s="1"/>
      <c r="C6362" s="1"/>
    </row>
    <row r="6363" spans="1:3" ht="14.25">
      <c r="A6363" s="5"/>
      <c r="B6363" s="1"/>
      <c r="C6363" s="1"/>
    </row>
    <row r="6364" spans="1:3" ht="14.25">
      <c r="A6364" s="5"/>
      <c r="B6364" s="1"/>
      <c r="C6364" s="1"/>
    </row>
    <row r="6365" spans="1:3" ht="14.25">
      <c r="A6365" s="5"/>
      <c r="B6365" s="1"/>
      <c r="C6365" s="1"/>
    </row>
    <row r="6366" spans="1:3" ht="14.25">
      <c r="A6366" s="5"/>
      <c r="B6366" s="1"/>
      <c r="C6366" s="1"/>
    </row>
    <row r="6367" spans="1:3" ht="14.25">
      <c r="A6367" s="5"/>
      <c r="B6367" s="1"/>
      <c r="C6367" s="1"/>
    </row>
    <row r="6368" spans="1:3" ht="14.25">
      <c r="A6368" s="5"/>
      <c r="B6368" s="1"/>
      <c r="C6368" s="1"/>
    </row>
    <row r="6369" spans="1:3" ht="14.25">
      <c r="A6369" s="5"/>
      <c r="B6369" s="1"/>
      <c r="C6369" s="1"/>
    </row>
    <row r="6370" spans="1:3" ht="14.25">
      <c r="A6370" s="5"/>
      <c r="B6370" s="1"/>
      <c r="C6370" s="1"/>
    </row>
    <row r="6371" spans="1:3" ht="14.25">
      <c r="A6371" s="5"/>
      <c r="B6371" s="1"/>
      <c r="C6371" s="1"/>
    </row>
    <row r="6372" spans="1:3" ht="14.25">
      <c r="A6372" s="5"/>
      <c r="B6372" s="1"/>
      <c r="C6372" s="1"/>
    </row>
    <row r="6373" spans="1:3" ht="14.25">
      <c r="A6373" s="5"/>
      <c r="B6373" s="1"/>
      <c r="C6373" s="1"/>
    </row>
    <row r="6374" spans="1:3" ht="14.25">
      <c r="A6374" s="5"/>
      <c r="B6374" s="1"/>
      <c r="C6374" s="1"/>
    </row>
    <row r="6375" spans="1:3" ht="14.25">
      <c r="A6375" s="5"/>
      <c r="B6375" s="1"/>
      <c r="C6375" s="1"/>
    </row>
    <row r="6376" spans="1:3" ht="14.25">
      <c r="A6376" s="5"/>
      <c r="B6376" s="1"/>
      <c r="C6376" s="1"/>
    </row>
    <row r="6377" spans="1:3" ht="14.25">
      <c r="A6377" s="5"/>
      <c r="B6377" s="1"/>
      <c r="C6377" s="1"/>
    </row>
    <row r="6378" spans="1:3" ht="14.25">
      <c r="A6378" s="5"/>
      <c r="B6378" s="1"/>
      <c r="C6378" s="1"/>
    </row>
    <row r="6379" spans="1:3" ht="14.25">
      <c r="A6379" s="5"/>
      <c r="B6379" s="1"/>
      <c r="C6379" s="1"/>
    </row>
    <row r="6380" spans="1:3" ht="14.25">
      <c r="A6380" s="5"/>
      <c r="B6380" s="1"/>
      <c r="C6380" s="1"/>
    </row>
    <row r="6381" spans="1:3" ht="14.25">
      <c r="A6381" s="5"/>
      <c r="B6381" s="1"/>
      <c r="C6381" s="1"/>
    </row>
    <row r="6382" spans="1:3" ht="14.25">
      <c r="A6382" s="5"/>
      <c r="B6382" s="1"/>
      <c r="C6382" s="1"/>
    </row>
    <row r="6383" spans="1:3" ht="14.25">
      <c r="A6383" s="5"/>
      <c r="B6383" s="1"/>
      <c r="C6383" s="1"/>
    </row>
    <row r="6384" spans="1:3" ht="14.25">
      <c r="A6384" s="5"/>
      <c r="B6384" s="1"/>
      <c r="C6384" s="1"/>
    </row>
    <row r="6385" spans="1:3" ht="14.25">
      <c r="A6385" s="5"/>
      <c r="B6385" s="1"/>
      <c r="C6385" s="1"/>
    </row>
    <row r="6386" spans="1:3" ht="14.25">
      <c r="A6386" s="5"/>
      <c r="B6386" s="1"/>
      <c r="C6386" s="1"/>
    </row>
    <row r="6387" spans="1:3" ht="14.25">
      <c r="A6387" s="5"/>
      <c r="B6387" s="1"/>
      <c r="C6387" s="1"/>
    </row>
    <row r="6388" spans="1:3" ht="14.25">
      <c r="A6388" s="5"/>
      <c r="B6388" s="1"/>
      <c r="C6388" s="1"/>
    </row>
    <row r="6389" spans="1:3" ht="14.25">
      <c r="A6389" s="5"/>
      <c r="B6389" s="1"/>
      <c r="C6389" s="1"/>
    </row>
    <row r="6390" spans="1:3" ht="14.25">
      <c r="A6390" s="5"/>
      <c r="B6390" s="1"/>
      <c r="C6390" s="1"/>
    </row>
    <row r="6391" spans="1:3" ht="14.25">
      <c r="A6391" s="5"/>
      <c r="B6391" s="1"/>
      <c r="C6391" s="1"/>
    </row>
    <row r="6392" spans="1:3" ht="14.25">
      <c r="A6392" s="5"/>
      <c r="B6392" s="1"/>
      <c r="C6392" s="1"/>
    </row>
    <row r="6393" spans="1:3" ht="14.25">
      <c r="A6393" s="5"/>
      <c r="B6393" s="1"/>
      <c r="C6393" s="1"/>
    </row>
    <row r="6394" spans="1:3" ht="14.25">
      <c r="A6394" s="5"/>
      <c r="B6394" s="1"/>
      <c r="C6394" s="1"/>
    </row>
    <row r="6395" spans="1:3" ht="14.25">
      <c r="A6395" s="5"/>
      <c r="B6395" s="1"/>
      <c r="C6395" s="1"/>
    </row>
    <row r="6396" spans="1:3" ht="14.25">
      <c r="A6396" s="5"/>
      <c r="B6396" s="1"/>
      <c r="C6396" s="1"/>
    </row>
    <row r="6397" spans="1:3" ht="14.25">
      <c r="A6397" s="5"/>
      <c r="B6397" s="1"/>
      <c r="C6397" s="1"/>
    </row>
    <row r="6398" spans="1:3" ht="14.25">
      <c r="A6398" s="5"/>
      <c r="B6398" s="1"/>
      <c r="C6398" s="1"/>
    </row>
    <row r="6399" spans="1:3" ht="14.25">
      <c r="A6399" s="5"/>
      <c r="B6399" s="1"/>
      <c r="C6399" s="1"/>
    </row>
    <row r="6400" spans="1:3" ht="14.25">
      <c r="A6400" s="5"/>
      <c r="B6400" s="1"/>
      <c r="C6400" s="1"/>
    </row>
    <row r="6401" spans="1:3" ht="14.25">
      <c r="A6401" s="5"/>
      <c r="B6401" s="1"/>
      <c r="C6401" s="1"/>
    </row>
    <row r="6402" spans="1:3" ht="14.25">
      <c r="A6402" s="5"/>
      <c r="B6402" s="1"/>
      <c r="C6402" s="1"/>
    </row>
    <row r="6403" spans="1:3" ht="14.25">
      <c r="A6403" s="5"/>
      <c r="B6403" s="1"/>
      <c r="C6403" s="1"/>
    </row>
    <row r="6404" spans="1:3" ht="14.25">
      <c r="A6404" s="5"/>
      <c r="B6404" s="1"/>
      <c r="C6404" s="1"/>
    </row>
    <row r="6405" spans="1:3" ht="14.25">
      <c r="A6405" s="5"/>
      <c r="B6405" s="1"/>
      <c r="C6405" s="1"/>
    </row>
    <row r="6406" spans="1:3" ht="14.25">
      <c r="A6406" s="5"/>
      <c r="B6406" s="1"/>
      <c r="C6406" s="1"/>
    </row>
    <row r="6407" spans="1:3" ht="14.25">
      <c r="A6407" s="5"/>
      <c r="B6407" s="1"/>
      <c r="C6407" s="1"/>
    </row>
    <row r="6408" spans="1:3" ht="14.25">
      <c r="A6408" s="5"/>
      <c r="B6408" s="1"/>
      <c r="C6408" s="1"/>
    </row>
    <row r="6409" spans="1:3" ht="14.25">
      <c r="A6409" s="5"/>
      <c r="B6409" s="1"/>
      <c r="C6409" s="1"/>
    </row>
    <row r="6410" spans="1:3" ht="14.25">
      <c r="A6410" s="5"/>
      <c r="B6410" s="1"/>
      <c r="C6410" s="1"/>
    </row>
    <row r="6411" spans="1:3" ht="14.25">
      <c r="A6411" s="5"/>
      <c r="B6411" s="1"/>
      <c r="C6411" s="1"/>
    </row>
    <row r="6412" spans="1:3" ht="14.25">
      <c r="A6412" s="5"/>
      <c r="B6412" s="1"/>
      <c r="C6412" s="1"/>
    </row>
    <row r="6413" spans="1:3" ht="14.25">
      <c r="A6413" s="5"/>
      <c r="B6413" s="1"/>
      <c r="C6413" s="1"/>
    </row>
    <row r="6414" spans="1:3" ht="14.25">
      <c r="A6414" s="5"/>
      <c r="B6414" s="1"/>
      <c r="C6414" s="1"/>
    </row>
    <row r="6415" spans="1:3" ht="14.25">
      <c r="A6415" s="5"/>
      <c r="B6415" s="1"/>
      <c r="C6415" s="1"/>
    </row>
    <row r="6416" spans="1:3" ht="14.25">
      <c r="A6416" s="5"/>
      <c r="B6416" s="1"/>
      <c r="C6416" s="1"/>
    </row>
    <row r="6417" spans="1:3" ht="14.25">
      <c r="A6417" s="5"/>
      <c r="B6417" s="1"/>
      <c r="C6417" s="1"/>
    </row>
    <row r="6418" spans="1:3" ht="14.25">
      <c r="A6418" s="5"/>
      <c r="B6418" s="1"/>
      <c r="C6418" s="1"/>
    </row>
    <row r="6419" spans="1:3" ht="14.25">
      <c r="A6419" s="5"/>
      <c r="B6419" s="1"/>
      <c r="C6419" s="1"/>
    </row>
    <row r="6420" spans="1:3" ht="14.25">
      <c r="A6420" s="5"/>
      <c r="B6420" s="1"/>
      <c r="C6420" s="1"/>
    </row>
    <row r="6421" spans="1:3" ht="14.25">
      <c r="A6421" s="5"/>
      <c r="B6421" s="1"/>
      <c r="C6421" s="1"/>
    </row>
    <row r="6422" spans="1:3" ht="14.25">
      <c r="A6422" s="5"/>
      <c r="B6422" s="1"/>
      <c r="C6422" s="1"/>
    </row>
    <row r="6423" spans="1:3" ht="14.25">
      <c r="A6423" s="5"/>
      <c r="B6423" s="1"/>
      <c r="C6423" s="1"/>
    </row>
    <row r="6424" spans="1:3" ht="14.25">
      <c r="A6424" s="5"/>
      <c r="B6424" s="1"/>
      <c r="C6424" s="1"/>
    </row>
    <row r="6425" spans="1:3" ht="14.25">
      <c r="A6425" s="5"/>
      <c r="B6425" s="1"/>
      <c r="C6425" s="1"/>
    </row>
    <row r="6426" spans="1:3" ht="14.25">
      <c r="A6426" s="5"/>
      <c r="B6426" s="1"/>
      <c r="C6426" s="1"/>
    </row>
    <row r="6427" spans="1:3" ht="14.25">
      <c r="A6427" s="5"/>
      <c r="B6427" s="1"/>
      <c r="C6427" s="1"/>
    </row>
    <row r="6428" spans="1:3" ht="14.25">
      <c r="A6428" s="5"/>
      <c r="B6428" s="1"/>
      <c r="C6428" s="1"/>
    </row>
    <row r="6429" spans="1:3" ht="14.25">
      <c r="A6429" s="5"/>
      <c r="B6429" s="1"/>
      <c r="C6429" s="1"/>
    </row>
    <row r="6430" spans="1:3" ht="14.25">
      <c r="A6430" s="5"/>
      <c r="B6430" s="1"/>
      <c r="C6430" s="1"/>
    </row>
    <row r="6431" spans="1:3" ht="14.25">
      <c r="A6431" s="5"/>
      <c r="B6431" s="1"/>
      <c r="C6431" s="1"/>
    </row>
    <row r="6432" spans="1:3" ht="14.25">
      <c r="A6432" s="5"/>
      <c r="B6432" s="1"/>
      <c r="C6432" s="1"/>
    </row>
    <row r="6433" spans="1:3" ht="14.25">
      <c r="A6433" s="5"/>
      <c r="B6433" s="1"/>
      <c r="C6433" s="1"/>
    </row>
    <row r="6434" spans="1:3" ht="14.25">
      <c r="A6434" s="5"/>
      <c r="B6434" s="1"/>
      <c r="C6434" s="1"/>
    </row>
    <row r="6435" spans="1:3" ht="14.25">
      <c r="A6435" s="5"/>
      <c r="B6435" s="1"/>
      <c r="C6435" s="1"/>
    </row>
    <row r="6436" spans="1:3" ht="14.25">
      <c r="A6436" s="5"/>
      <c r="B6436" s="1"/>
      <c r="C6436" s="1"/>
    </row>
    <row r="6437" spans="1:3" ht="14.25">
      <c r="A6437" s="5"/>
      <c r="B6437" s="1"/>
      <c r="C6437" s="1"/>
    </row>
    <row r="6438" spans="1:3" ht="14.25">
      <c r="A6438" s="5"/>
      <c r="B6438" s="1"/>
      <c r="C6438" s="1"/>
    </row>
    <row r="6439" spans="1:3" ht="14.25">
      <c r="A6439" s="5"/>
      <c r="B6439" s="1"/>
      <c r="C6439" s="1"/>
    </row>
    <row r="6440" spans="1:3" ht="14.25">
      <c r="A6440" s="5"/>
      <c r="B6440" s="1"/>
      <c r="C6440" s="1"/>
    </row>
    <row r="6441" spans="1:3" ht="14.25">
      <c r="A6441" s="5"/>
      <c r="B6441" s="1"/>
      <c r="C6441" s="1"/>
    </row>
    <row r="6442" spans="1:3" ht="14.25">
      <c r="A6442" s="5"/>
      <c r="B6442" s="1"/>
      <c r="C6442" s="1"/>
    </row>
    <row r="6443" spans="1:3" ht="14.25">
      <c r="A6443" s="5"/>
      <c r="B6443" s="1"/>
      <c r="C6443" s="1"/>
    </row>
    <row r="6444" spans="1:3" ht="14.25">
      <c r="A6444" s="5"/>
      <c r="B6444" s="1"/>
      <c r="C6444" s="1"/>
    </row>
    <row r="6445" spans="1:3" ht="14.25">
      <c r="A6445" s="5"/>
      <c r="B6445" s="1"/>
      <c r="C6445" s="1"/>
    </row>
    <row r="6446" spans="1:3" ht="14.25">
      <c r="A6446" s="5"/>
      <c r="B6446" s="1"/>
      <c r="C6446" s="1"/>
    </row>
    <row r="6447" spans="1:3" ht="14.25">
      <c r="A6447" s="5"/>
      <c r="B6447" s="1"/>
      <c r="C6447" s="1"/>
    </row>
    <row r="6448" spans="1:3" ht="14.25">
      <c r="A6448" s="5"/>
      <c r="B6448" s="1"/>
      <c r="C6448" s="1"/>
    </row>
    <row r="6449" spans="1:3" ht="14.25">
      <c r="A6449" s="5"/>
      <c r="B6449" s="1"/>
      <c r="C6449" s="1"/>
    </row>
    <row r="6450" spans="1:3" ht="14.25">
      <c r="A6450" s="5"/>
      <c r="B6450" s="1"/>
      <c r="C6450" s="1"/>
    </row>
    <row r="6451" spans="1:3" ht="14.25">
      <c r="A6451" s="5"/>
      <c r="B6451" s="1"/>
      <c r="C6451" s="1"/>
    </row>
    <row r="6452" spans="1:3" ht="14.25">
      <c r="A6452" s="5"/>
      <c r="B6452" s="1"/>
      <c r="C6452" s="1"/>
    </row>
    <row r="6453" spans="1:3" ht="14.25">
      <c r="A6453" s="5"/>
      <c r="B6453" s="1"/>
      <c r="C6453" s="1"/>
    </row>
    <row r="6454" spans="1:3" ht="14.25">
      <c r="A6454" s="5"/>
      <c r="B6454" s="1"/>
      <c r="C6454" s="1"/>
    </row>
    <row r="6455" spans="1:3" ht="14.25">
      <c r="A6455" s="5"/>
      <c r="B6455" s="1"/>
      <c r="C6455" s="1"/>
    </row>
    <row r="6456" spans="1:3" ht="14.25">
      <c r="A6456" s="5"/>
      <c r="B6456" s="1"/>
      <c r="C6456" s="1"/>
    </row>
    <row r="6457" spans="1:3" ht="14.25">
      <c r="A6457" s="5"/>
      <c r="B6457" s="1"/>
      <c r="C6457" s="1"/>
    </row>
    <row r="6458" spans="1:3" ht="14.25">
      <c r="A6458" s="5"/>
      <c r="B6458" s="1"/>
      <c r="C6458" s="1"/>
    </row>
    <row r="6459" spans="1:3" ht="14.25">
      <c r="A6459" s="5"/>
      <c r="B6459" s="1"/>
      <c r="C6459" s="1"/>
    </row>
    <row r="6460" spans="1:3" ht="14.25">
      <c r="A6460" s="5"/>
      <c r="B6460" s="1"/>
      <c r="C6460" s="1"/>
    </row>
    <row r="6461" spans="1:3" ht="14.25">
      <c r="A6461" s="5"/>
      <c r="B6461" s="1"/>
      <c r="C6461" s="1"/>
    </row>
    <row r="6462" spans="1:3" ht="14.25">
      <c r="A6462" s="5"/>
      <c r="B6462" s="1"/>
      <c r="C6462" s="1"/>
    </row>
    <row r="6463" spans="1:3" ht="14.25">
      <c r="A6463" s="5"/>
      <c r="B6463" s="1"/>
      <c r="C6463" s="1"/>
    </row>
    <row r="6464" spans="1:3" ht="14.25">
      <c r="A6464" s="5"/>
      <c r="B6464" s="1"/>
      <c r="C6464" s="1"/>
    </row>
    <row r="6465" spans="1:3" ht="14.25">
      <c r="A6465" s="5"/>
      <c r="B6465" s="1"/>
      <c r="C6465" s="1"/>
    </row>
    <row r="6466" spans="1:3" ht="14.25">
      <c r="A6466" s="5"/>
      <c r="B6466" s="1"/>
      <c r="C6466" s="1"/>
    </row>
    <row r="6467" spans="1:3" ht="14.25">
      <c r="A6467" s="5"/>
      <c r="B6467" s="1"/>
      <c r="C6467" s="1"/>
    </row>
    <row r="6468" spans="1:3" ht="14.25">
      <c r="A6468" s="5"/>
      <c r="B6468" s="1"/>
      <c r="C6468" s="1"/>
    </row>
    <row r="6469" spans="1:3" ht="14.25">
      <c r="A6469" s="5"/>
      <c r="B6469" s="1"/>
      <c r="C6469" s="1"/>
    </row>
    <row r="6470" spans="1:3" ht="14.25">
      <c r="A6470" s="5"/>
      <c r="B6470" s="1"/>
      <c r="C6470" s="1"/>
    </row>
    <row r="6471" spans="1:3" ht="14.25">
      <c r="A6471" s="5"/>
      <c r="B6471" s="1"/>
      <c r="C6471" s="1"/>
    </row>
    <row r="6472" spans="1:3" ht="14.25">
      <c r="A6472" s="5"/>
      <c r="B6472" s="1"/>
      <c r="C6472" s="1"/>
    </row>
    <row r="6473" spans="1:3" ht="14.25">
      <c r="A6473" s="5"/>
      <c r="B6473" s="1"/>
      <c r="C6473" s="1"/>
    </row>
    <row r="6474" spans="1:3" ht="14.25">
      <c r="A6474" s="5"/>
      <c r="B6474" s="1"/>
      <c r="C6474" s="1"/>
    </row>
    <row r="6475" spans="1:3" ht="14.25">
      <c r="A6475" s="5"/>
      <c r="B6475" s="1"/>
      <c r="C6475" s="1"/>
    </row>
    <row r="6476" spans="1:3" ht="14.25">
      <c r="A6476" s="5"/>
      <c r="B6476" s="1"/>
      <c r="C6476" s="1"/>
    </row>
    <row r="6477" spans="1:3" ht="14.25">
      <c r="A6477" s="5"/>
      <c r="B6477" s="1"/>
      <c r="C6477" s="1"/>
    </row>
    <row r="6478" spans="1:3" ht="14.25">
      <c r="A6478" s="5"/>
      <c r="B6478" s="1"/>
      <c r="C6478" s="1"/>
    </row>
    <row r="6479" spans="1:3" ht="14.25">
      <c r="A6479" s="5"/>
      <c r="B6479" s="1"/>
      <c r="C6479" s="1"/>
    </row>
    <row r="6480" spans="1:3" ht="14.25">
      <c r="A6480" s="5"/>
      <c r="B6480" s="1"/>
      <c r="C6480" s="1"/>
    </row>
    <row r="6481" spans="1:3" ht="14.25">
      <c r="A6481" s="5"/>
      <c r="B6481" s="1"/>
      <c r="C6481" s="1"/>
    </row>
    <row r="6482" spans="1:3" ht="14.25">
      <c r="A6482" s="5"/>
      <c r="B6482" s="1"/>
      <c r="C6482" s="1"/>
    </row>
    <row r="6483" spans="1:3" ht="14.25">
      <c r="A6483" s="5"/>
      <c r="B6483" s="1"/>
      <c r="C6483" s="1"/>
    </row>
    <row r="6484" spans="1:3" ht="14.25">
      <c r="A6484" s="5"/>
      <c r="B6484" s="1"/>
      <c r="C6484" s="1"/>
    </row>
    <row r="6485" spans="1:3" ht="14.25">
      <c r="A6485" s="5"/>
      <c r="B6485" s="1"/>
      <c r="C6485" s="1"/>
    </row>
    <row r="6486" spans="1:3" ht="14.25">
      <c r="A6486" s="5"/>
      <c r="B6486" s="1"/>
      <c r="C6486" s="1"/>
    </row>
    <row r="6487" spans="1:3" ht="14.25">
      <c r="A6487" s="5"/>
      <c r="B6487" s="1"/>
      <c r="C6487" s="1"/>
    </row>
    <row r="6488" spans="1:3" ht="14.25">
      <c r="A6488" s="5"/>
      <c r="B6488" s="1"/>
      <c r="C6488" s="1"/>
    </row>
    <row r="6489" spans="1:3" ht="14.25">
      <c r="A6489" s="5"/>
      <c r="B6489" s="1"/>
      <c r="C6489" s="1"/>
    </row>
    <row r="6490" spans="1:3" ht="14.25">
      <c r="A6490" s="5"/>
      <c r="B6490" s="1"/>
      <c r="C6490" s="1"/>
    </row>
    <row r="6491" spans="1:3" ht="14.25">
      <c r="A6491" s="5"/>
      <c r="B6491" s="1"/>
      <c r="C6491" s="1"/>
    </row>
    <row r="6492" spans="1:3" ht="14.25">
      <c r="A6492" s="5"/>
      <c r="B6492" s="1"/>
      <c r="C6492" s="1"/>
    </row>
    <row r="6493" spans="1:3" ht="14.25">
      <c r="A6493" s="5"/>
      <c r="B6493" s="1"/>
      <c r="C6493" s="1"/>
    </row>
    <row r="6494" spans="1:3" ht="14.25">
      <c r="A6494" s="5"/>
      <c r="B6494" s="1"/>
      <c r="C6494" s="1"/>
    </row>
    <row r="6495" spans="1:3" ht="14.25">
      <c r="A6495" s="5"/>
      <c r="B6495" s="1"/>
      <c r="C6495" s="1"/>
    </row>
    <row r="6496" spans="1:3" ht="14.25">
      <c r="A6496" s="5"/>
      <c r="B6496" s="1"/>
      <c r="C6496" s="1"/>
    </row>
    <row r="6497" spans="1:3" ht="14.25">
      <c r="A6497" s="5"/>
      <c r="B6497" s="1"/>
      <c r="C6497" s="1"/>
    </row>
    <row r="6498" spans="1:3" ht="14.25">
      <c r="A6498" s="5"/>
      <c r="B6498" s="1"/>
      <c r="C6498" s="1"/>
    </row>
    <row r="6499" spans="1:3" ht="14.25">
      <c r="A6499" s="5"/>
      <c r="B6499" s="1"/>
      <c r="C6499" s="1"/>
    </row>
    <row r="6500" spans="1:3" ht="14.25">
      <c r="A6500" s="5"/>
      <c r="B6500" s="1"/>
      <c r="C6500" s="1"/>
    </row>
    <row r="6501" spans="1:3" ht="14.25">
      <c r="A6501" s="5"/>
      <c r="B6501" s="1"/>
      <c r="C6501" s="1"/>
    </row>
    <row r="6502" spans="1:3" ht="14.25">
      <c r="A6502" s="5"/>
      <c r="B6502" s="1"/>
      <c r="C6502" s="1"/>
    </row>
    <row r="6503" spans="1:3" ht="14.25">
      <c r="A6503" s="5"/>
      <c r="B6503" s="1"/>
      <c r="C6503" s="1"/>
    </row>
    <row r="6504" spans="1:3" ht="14.25">
      <c r="A6504" s="5"/>
      <c r="B6504" s="1"/>
      <c r="C6504" s="1"/>
    </row>
    <row r="6505" spans="1:3" ht="14.25">
      <c r="A6505" s="5"/>
      <c r="B6505" s="1"/>
      <c r="C6505" s="1"/>
    </row>
    <row r="6506" spans="1:3" ht="14.25">
      <c r="A6506" s="5"/>
      <c r="B6506" s="1"/>
      <c r="C6506" s="1"/>
    </row>
    <row r="6507" spans="1:3" ht="14.25">
      <c r="A6507" s="5"/>
      <c r="B6507" s="1"/>
      <c r="C6507" s="1"/>
    </row>
    <row r="6508" spans="1:3" ht="14.25">
      <c r="A6508" s="5"/>
      <c r="B6508" s="1"/>
      <c r="C6508" s="1"/>
    </row>
    <row r="6509" spans="1:3" ht="14.25">
      <c r="A6509" s="5"/>
      <c r="B6509" s="1"/>
      <c r="C6509" s="1"/>
    </row>
    <row r="6510" spans="1:3" ht="14.25">
      <c r="A6510" s="5"/>
      <c r="B6510" s="1"/>
      <c r="C6510" s="1"/>
    </row>
    <row r="6511" spans="1:3" ht="14.25">
      <c r="A6511" s="5"/>
      <c r="B6511" s="1"/>
      <c r="C6511" s="1"/>
    </row>
    <row r="6512" spans="1:3" ht="14.25">
      <c r="A6512" s="5"/>
      <c r="B6512" s="1"/>
      <c r="C6512" s="1"/>
    </row>
    <row r="6513" spans="1:3" ht="14.25">
      <c r="A6513" s="5"/>
      <c r="B6513" s="1"/>
      <c r="C6513" s="1"/>
    </row>
    <row r="6514" spans="1:3" ht="14.25">
      <c r="A6514" s="5"/>
      <c r="B6514" s="1"/>
      <c r="C6514" s="1"/>
    </row>
    <row r="6515" spans="1:3" ht="14.25">
      <c r="A6515" s="5"/>
      <c r="B6515" s="1"/>
      <c r="C6515" s="1"/>
    </row>
    <row r="6516" spans="1:3" ht="14.25">
      <c r="A6516" s="5"/>
      <c r="B6516" s="1"/>
      <c r="C6516" s="1"/>
    </row>
    <row r="6517" spans="1:3" ht="14.25">
      <c r="A6517" s="5"/>
      <c r="B6517" s="1"/>
      <c r="C6517" s="1"/>
    </row>
    <row r="6518" spans="1:3" ht="14.25">
      <c r="A6518" s="5"/>
      <c r="B6518" s="1"/>
      <c r="C6518" s="1"/>
    </row>
    <row r="6519" spans="1:3" ht="14.25">
      <c r="A6519" s="5"/>
      <c r="B6519" s="1"/>
      <c r="C6519" s="1"/>
    </row>
    <row r="6520" spans="1:3" ht="14.25">
      <c r="A6520" s="5"/>
      <c r="B6520" s="1"/>
      <c r="C6520" s="1"/>
    </row>
    <row r="6521" spans="1:3" ht="14.25">
      <c r="A6521" s="5"/>
      <c r="B6521" s="1"/>
      <c r="C6521" s="1"/>
    </row>
    <row r="6522" spans="1:3" ht="14.25">
      <c r="A6522" s="5"/>
      <c r="B6522" s="1"/>
      <c r="C6522" s="1"/>
    </row>
    <row r="6523" spans="1:3" ht="14.25">
      <c r="A6523" s="5"/>
      <c r="B6523" s="1"/>
      <c r="C6523" s="1"/>
    </row>
    <row r="6524" spans="1:3" ht="14.25">
      <c r="A6524" s="5"/>
      <c r="B6524" s="1"/>
      <c r="C6524" s="1"/>
    </row>
    <row r="6525" spans="1:3" ht="14.25">
      <c r="A6525" s="5"/>
      <c r="B6525" s="1"/>
      <c r="C6525" s="1"/>
    </row>
    <row r="6526" spans="1:3" ht="14.25">
      <c r="A6526" s="5"/>
      <c r="B6526" s="1"/>
      <c r="C6526" s="1"/>
    </row>
    <row r="6527" spans="1:3" ht="14.25">
      <c r="A6527" s="5"/>
      <c r="B6527" s="1"/>
      <c r="C6527" s="1"/>
    </row>
    <row r="6528" spans="1:3" ht="14.25">
      <c r="A6528" s="5"/>
      <c r="B6528" s="1"/>
      <c r="C6528" s="1"/>
    </row>
    <row r="6529" spans="1:3" ht="14.25">
      <c r="A6529" s="5"/>
      <c r="B6529" s="1"/>
      <c r="C6529" s="1"/>
    </row>
    <row r="6530" spans="1:3" ht="14.25">
      <c r="A6530" s="5"/>
      <c r="B6530" s="1"/>
      <c r="C6530" s="1"/>
    </row>
    <row r="6531" spans="1:3" ht="14.25">
      <c r="A6531" s="5"/>
      <c r="B6531" s="1"/>
      <c r="C6531" s="1"/>
    </row>
    <row r="6532" spans="1:3" ht="14.25">
      <c r="A6532" s="5"/>
      <c r="B6532" s="1"/>
      <c r="C6532" s="1"/>
    </row>
    <row r="6533" spans="1:3" ht="14.25">
      <c r="A6533" s="5"/>
      <c r="B6533" s="1"/>
      <c r="C6533" s="1"/>
    </row>
    <row r="6534" spans="1:3" ht="14.25">
      <c r="A6534" s="5"/>
      <c r="B6534" s="1"/>
      <c r="C6534" s="1"/>
    </row>
    <row r="6535" spans="1:3" ht="14.25">
      <c r="A6535" s="5"/>
      <c r="B6535" s="1"/>
      <c r="C6535" s="1"/>
    </row>
    <row r="6536" spans="1:3" ht="14.25">
      <c r="A6536" s="5"/>
      <c r="B6536" s="1"/>
      <c r="C6536" s="1"/>
    </row>
    <row r="6537" spans="1:3" ht="14.25">
      <c r="A6537" s="5"/>
      <c r="B6537" s="1"/>
      <c r="C6537" s="1"/>
    </row>
    <row r="6538" spans="1:3" ht="14.25">
      <c r="A6538" s="5"/>
      <c r="B6538" s="1"/>
      <c r="C6538" s="1"/>
    </row>
    <row r="6539" spans="1:3" ht="14.25">
      <c r="A6539" s="5"/>
      <c r="B6539" s="1"/>
      <c r="C6539" s="1"/>
    </row>
    <row r="6540" spans="1:3" ht="14.25">
      <c r="A6540" s="5"/>
      <c r="B6540" s="1"/>
      <c r="C6540" s="1"/>
    </row>
    <row r="6541" spans="1:3" ht="14.25">
      <c r="A6541" s="5"/>
      <c r="B6541" s="1"/>
      <c r="C6541" s="1"/>
    </row>
    <row r="6542" spans="1:3" ht="14.25">
      <c r="A6542" s="5"/>
      <c r="B6542" s="1"/>
      <c r="C6542" s="1"/>
    </row>
    <row r="6543" spans="1:3" ht="14.25">
      <c r="A6543" s="5"/>
      <c r="B6543" s="1"/>
      <c r="C6543" s="1"/>
    </row>
    <row r="6544" spans="1:3" ht="14.25">
      <c r="A6544" s="5"/>
      <c r="B6544" s="1"/>
      <c r="C6544" s="1"/>
    </row>
    <row r="6545" spans="1:3" ht="14.25">
      <c r="A6545" s="5"/>
      <c r="B6545" s="1"/>
      <c r="C6545" s="1"/>
    </row>
    <row r="6546" spans="1:3" ht="14.25">
      <c r="A6546" s="5"/>
      <c r="B6546" s="1"/>
      <c r="C6546" s="1"/>
    </row>
    <row r="6547" spans="1:3" ht="14.25">
      <c r="A6547" s="5"/>
      <c r="B6547" s="1"/>
      <c r="C6547" s="1"/>
    </row>
    <row r="6548" spans="1:3" ht="14.25">
      <c r="A6548" s="5"/>
      <c r="B6548" s="1"/>
      <c r="C6548" s="1"/>
    </row>
    <row r="6549" spans="1:3" ht="14.25">
      <c r="A6549" s="5"/>
      <c r="B6549" s="1"/>
      <c r="C6549" s="1"/>
    </row>
    <row r="6550" spans="1:3" ht="14.25">
      <c r="A6550" s="5"/>
      <c r="B6550" s="1"/>
      <c r="C6550" s="1"/>
    </row>
    <row r="6551" spans="1:3" ht="14.25">
      <c r="A6551" s="5"/>
      <c r="B6551" s="1"/>
      <c r="C6551" s="1"/>
    </row>
    <row r="6552" spans="1:3" ht="14.25">
      <c r="A6552" s="5"/>
      <c r="B6552" s="1"/>
      <c r="C6552" s="1"/>
    </row>
    <row r="6553" spans="1:3" ht="14.25">
      <c r="A6553" s="5"/>
      <c r="B6553" s="1"/>
      <c r="C6553" s="1"/>
    </row>
    <row r="6554" spans="1:3" ht="14.25">
      <c r="A6554" s="5"/>
      <c r="B6554" s="1"/>
      <c r="C6554" s="1"/>
    </row>
    <row r="6555" spans="1:3" ht="14.25">
      <c r="A6555" s="5"/>
      <c r="B6555" s="1"/>
      <c r="C6555" s="1"/>
    </row>
    <row r="6556" spans="1:3" ht="14.25">
      <c r="A6556" s="5"/>
      <c r="B6556" s="1"/>
      <c r="C6556" s="1"/>
    </row>
    <row r="6557" spans="1:3" ht="14.25">
      <c r="A6557" s="5"/>
      <c r="B6557" s="1"/>
      <c r="C6557" s="1"/>
    </row>
    <row r="6558" spans="1:3" ht="14.25">
      <c r="A6558" s="5"/>
      <c r="B6558" s="1"/>
      <c r="C6558" s="1"/>
    </row>
    <row r="6559" spans="1:3" ht="14.25">
      <c r="A6559" s="5"/>
      <c r="B6559" s="1"/>
      <c r="C6559" s="1"/>
    </row>
    <row r="6560" spans="1:3" ht="14.25">
      <c r="A6560" s="5"/>
      <c r="B6560" s="1"/>
      <c r="C6560" s="1"/>
    </row>
    <row r="6561" spans="1:3" ht="14.25">
      <c r="A6561" s="5"/>
      <c r="B6561" s="1"/>
      <c r="C6561" s="1"/>
    </row>
    <row r="6562" spans="1:3" ht="14.25">
      <c r="A6562" s="5"/>
      <c r="B6562" s="1"/>
      <c r="C6562" s="1"/>
    </row>
    <row r="6563" spans="1:3" ht="14.25">
      <c r="A6563" s="5"/>
      <c r="B6563" s="1"/>
      <c r="C6563" s="1"/>
    </row>
    <row r="6564" spans="1:3" ht="14.25">
      <c r="A6564" s="5"/>
      <c r="B6564" s="1"/>
      <c r="C6564" s="1"/>
    </row>
    <row r="6565" spans="1:3" ht="14.25">
      <c r="A6565" s="5"/>
      <c r="B6565" s="1"/>
      <c r="C6565" s="1"/>
    </row>
    <row r="6566" spans="1:3" ht="14.25">
      <c r="A6566" s="5"/>
      <c r="B6566" s="1"/>
      <c r="C6566" s="1"/>
    </row>
    <row r="6567" spans="1:3" ht="14.25">
      <c r="A6567" s="5"/>
      <c r="B6567" s="1"/>
      <c r="C6567" s="1"/>
    </row>
    <row r="6568" spans="1:3" ht="14.25">
      <c r="A6568" s="5"/>
      <c r="B6568" s="1"/>
      <c r="C6568" s="1"/>
    </row>
    <row r="6569" spans="1:3" ht="14.25">
      <c r="A6569" s="5"/>
      <c r="B6569" s="1"/>
      <c r="C6569" s="1"/>
    </row>
    <row r="6570" spans="1:3" ht="14.25">
      <c r="A6570" s="5"/>
      <c r="B6570" s="1"/>
      <c r="C6570" s="1"/>
    </row>
    <row r="6571" spans="1:3" ht="14.25">
      <c r="A6571" s="5"/>
      <c r="B6571" s="1"/>
      <c r="C6571" s="1"/>
    </row>
    <row r="6572" spans="1:3" ht="14.25">
      <c r="A6572" s="5"/>
      <c r="B6572" s="1"/>
      <c r="C6572" s="1"/>
    </row>
    <row r="6573" spans="1:3" ht="14.25">
      <c r="A6573" s="5"/>
      <c r="B6573" s="1"/>
      <c r="C6573" s="1"/>
    </row>
    <row r="6574" spans="1:3" ht="14.25">
      <c r="A6574" s="5"/>
      <c r="B6574" s="1"/>
      <c r="C6574" s="1"/>
    </row>
    <row r="6575" spans="1:3" ht="14.25">
      <c r="A6575" s="5"/>
      <c r="B6575" s="1"/>
      <c r="C6575" s="1"/>
    </row>
    <row r="6576" spans="1:3" ht="14.25">
      <c r="A6576" s="5"/>
      <c r="B6576" s="1"/>
      <c r="C6576" s="1"/>
    </row>
    <row r="6577" spans="1:3" ht="14.25">
      <c r="A6577" s="5"/>
      <c r="B6577" s="1"/>
      <c r="C6577" s="1"/>
    </row>
    <row r="6578" spans="1:3" ht="14.25">
      <c r="A6578" s="5"/>
      <c r="B6578" s="1"/>
      <c r="C6578" s="1"/>
    </row>
    <row r="6579" spans="1:3" ht="14.25">
      <c r="A6579" s="5"/>
      <c r="B6579" s="1"/>
      <c r="C6579" s="1"/>
    </row>
    <row r="6580" spans="1:3" ht="14.25">
      <c r="A6580" s="5"/>
      <c r="B6580" s="1"/>
      <c r="C6580" s="1"/>
    </row>
    <row r="6581" spans="1:3" ht="14.25">
      <c r="A6581" s="5"/>
      <c r="B6581" s="1"/>
      <c r="C6581" s="1"/>
    </row>
    <row r="6582" spans="1:3" ht="14.25">
      <c r="A6582" s="5"/>
      <c r="B6582" s="1"/>
      <c r="C6582" s="1"/>
    </row>
    <row r="6583" spans="1:3" ht="14.25">
      <c r="A6583" s="5"/>
      <c r="B6583" s="1"/>
      <c r="C6583" s="1"/>
    </row>
    <row r="6584" spans="1:3" ht="14.25">
      <c r="A6584" s="5"/>
      <c r="B6584" s="1"/>
      <c r="C6584" s="1"/>
    </row>
    <row r="6585" spans="1:3" ht="14.25">
      <c r="A6585" s="5"/>
      <c r="B6585" s="1"/>
      <c r="C6585" s="1"/>
    </row>
    <row r="6586" spans="1:3" ht="14.25">
      <c r="A6586" s="5"/>
      <c r="B6586" s="1"/>
      <c r="C6586" s="1"/>
    </row>
    <row r="6587" spans="1:3" ht="14.25">
      <c r="A6587" s="5"/>
      <c r="B6587" s="1"/>
      <c r="C6587" s="1"/>
    </row>
    <row r="6588" spans="1:3" ht="14.25">
      <c r="A6588" s="5"/>
      <c r="B6588" s="1"/>
      <c r="C6588" s="1"/>
    </row>
    <row r="6589" spans="1:3" ht="14.25">
      <c r="A6589" s="5"/>
      <c r="B6589" s="1"/>
      <c r="C6589" s="1"/>
    </row>
    <row r="6590" spans="1:3" ht="14.25">
      <c r="A6590" s="5"/>
      <c r="B6590" s="1"/>
      <c r="C6590" s="1"/>
    </row>
    <row r="6591" spans="1:3" ht="14.25">
      <c r="A6591" s="5"/>
      <c r="B6591" s="1"/>
      <c r="C6591" s="1"/>
    </row>
    <row r="6592" spans="1:3" ht="14.25">
      <c r="A6592" s="5"/>
      <c r="B6592" s="1"/>
      <c r="C6592" s="1"/>
    </row>
    <row r="6593" spans="1:3" ht="14.25">
      <c r="A6593" s="5"/>
      <c r="B6593" s="1"/>
      <c r="C6593" s="1"/>
    </row>
    <row r="6594" spans="1:3" ht="14.25">
      <c r="A6594" s="5"/>
      <c r="B6594" s="1"/>
      <c r="C6594" s="1"/>
    </row>
    <row r="6595" spans="1:3" ht="14.25">
      <c r="A6595" s="5"/>
      <c r="B6595" s="1"/>
      <c r="C6595" s="1"/>
    </row>
    <row r="6596" spans="1:3" ht="14.25">
      <c r="A6596" s="5"/>
      <c r="B6596" s="1"/>
      <c r="C6596" s="1"/>
    </row>
    <row r="6597" spans="1:3" ht="14.25">
      <c r="A6597" s="5"/>
      <c r="B6597" s="1"/>
      <c r="C6597" s="1"/>
    </row>
    <row r="6598" spans="1:3" ht="14.25">
      <c r="A6598" s="5"/>
      <c r="B6598" s="1"/>
      <c r="C6598" s="1"/>
    </row>
    <row r="6599" spans="1:3" ht="14.25">
      <c r="A6599" s="5"/>
      <c r="B6599" s="1"/>
      <c r="C6599" s="1"/>
    </row>
    <row r="6600" spans="1:3" ht="14.25">
      <c r="A6600" s="5"/>
      <c r="B6600" s="1"/>
      <c r="C6600" s="1"/>
    </row>
    <row r="6601" spans="1:3" ht="14.25">
      <c r="A6601" s="5"/>
      <c r="B6601" s="1"/>
      <c r="C6601" s="1"/>
    </row>
    <row r="6602" spans="1:3" ht="14.25">
      <c r="A6602" s="5"/>
      <c r="B6602" s="1"/>
      <c r="C6602" s="1"/>
    </row>
    <row r="6603" spans="1:3" ht="14.25">
      <c r="A6603" s="5"/>
      <c r="B6603" s="1"/>
      <c r="C6603" s="1"/>
    </row>
    <row r="6604" spans="1:3" ht="14.25">
      <c r="A6604" s="5"/>
      <c r="B6604" s="1"/>
      <c r="C6604" s="1"/>
    </row>
    <row r="6605" spans="1:3" ht="14.25">
      <c r="A6605" s="5"/>
      <c r="B6605" s="1"/>
      <c r="C6605" s="1"/>
    </row>
    <row r="6606" spans="1:3" ht="14.25">
      <c r="A6606" s="5"/>
      <c r="B6606" s="1"/>
      <c r="C6606" s="1"/>
    </row>
    <row r="6607" spans="1:3" ht="14.25">
      <c r="A6607" s="5"/>
      <c r="B6607" s="1"/>
      <c r="C6607" s="1"/>
    </row>
    <row r="6608" spans="1:3" ht="14.25">
      <c r="A6608" s="5"/>
      <c r="B6608" s="1"/>
      <c r="C6608" s="1"/>
    </row>
    <row r="6609" spans="1:3" ht="14.25">
      <c r="A6609" s="5"/>
      <c r="B6609" s="1"/>
      <c r="C6609" s="1"/>
    </row>
    <row r="6610" spans="1:3" ht="14.25">
      <c r="A6610" s="5"/>
      <c r="B6610" s="1"/>
      <c r="C6610" s="1"/>
    </row>
    <row r="6611" spans="1:3" ht="14.25">
      <c r="A6611" s="5"/>
      <c r="B6611" s="1"/>
      <c r="C6611" s="1"/>
    </row>
    <row r="6612" spans="1:3" ht="14.25">
      <c r="A6612" s="5"/>
      <c r="B6612" s="1"/>
      <c r="C6612" s="1"/>
    </row>
    <row r="6613" spans="1:3" ht="14.25">
      <c r="A6613" s="5"/>
      <c r="B6613" s="1"/>
      <c r="C6613" s="1"/>
    </row>
    <row r="6614" spans="1:3" ht="14.25">
      <c r="A6614" s="5"/>
      <c r="B6614" s="1"/>
      <c r="C6614" s="1"/>
    </row>
    <row r="6615" spans="1:3" ht="14.25">
      <c r="A6615" s="5"/>
      <c r="B6615" s="1"/>
      <c r="C6615" s="1"/>
    </row>
    <row r="6616" spans="1:3" ht="14.25">
      <c r="A6616" s="5"/>
      <c r="B6616" s="1"/>
      <c r="C6616" s="1"/>
    </row>
    <row r="6617" spans="1:3" ht="14.25">
      <c r="A6617" s="5"/>
      <c r="B6617" s="1"/>
      <c r="C6617" s="1"/>
    </row>
    <row r="6618" spans="1:3" ht="14.25">
      <c r="A6618" s="5"/>
      <c r="B6618" s="1"/>
      <c r="C6618" s="1"/>
    </row>
    <row r="6619" spans="1:3" ht="14.25">
      <c r="A6619" s="5"/>
      <c r="B6619" s="1"/>
      <c r="C6619" s="1"/>
    </row>
    <row r="6620" spans="1:3" ht="14.25">
      <c r="A6620" s="5"/>
      <c r="B6620" s="1"/>
      <c r="C6620" s="1"/>
    </row>
    <row r="6621" spans="1:3" ht="14.25">
      <c r="A6621" s="5"/>
      <c r="B6621" s="1"/>
      <c r="C6621" s="1"/>
    </row>
    <row r="6622" spans="1:3" ht="14.25">
      <c r="A6622" s="5"/>
      <c r="B6622" s="1"/>
      <c r="C6622" s="1"/>
    </row>
    <row r="6623" spans="1:3" ht="14.25">
      <c r="A6623" s="5"/>
      <c r="B6623" s="1"/>
      <c r="C6623" s="1"/>
    </row>
    <row r="6624" spans="1:3" ht="14.25">
      <c r="A6624" s="5"/>
      <c r="B6624" s="1"/>
      <c r="C6624" s="1"/>
    </row>
    <row r="6625" spans="1:3" ht="14.25">
      <c r="A6625" s="5"/>
      <c r="B6625" s="1"/>
      <c r="C6625" s="1"/>
    </row>
    <row r="6626" spans="1:3" ht="14.25">
      <c r="A6626" s="5"/>
      <c r="B6626" s="1"/>
      <c r="C6626" s="1"/>
    </row>
    <row r="6627" spans="1:3" ht="14.25">
      <c r="A6627" s="5"/>
      <c r="B6627" s="1"/>
      <c r="C6627" s="1"/>
    </row>
    <row r="6628" spans="1:3" ht="14.25">
      <c r="A6628" s="5"/>
      <c r="B6628" s="1"/>
      <c r="C6628" s="1"/>
    </row>
    <row r="6629" spans="1:3" ht="14.25">
      <c r="A6629" s="5"/>
      <c r="B6629" s="1"/>
      <c r="C6629" s="1"/>
    </row>
    <row r="6630" spans="1:3" ht="14.25">
      <c r="A6630" s="5"/>
      <c r="B6630" s="1"/>
      <c r="C6630" s="1"/>
    </row>
    <row r="6631" spans="1:3" ht="14.25">
      <c r="A6631" s="5"/>
      <c r="B6631" s="1"/>
      <c r="C6631" s="1"/>
    </row>
    <row r="6632" spans="1:3" ht="14.25">
      <c r="A6632" s="5"/>
      <c r="B6632" s="1"/>
      <c r="C6632" s="1"/>
    </row>
    <row r="6633" spans="1:3" ht="14.25">
      <c r="A6633" s="5"/>
      <c r="B6633" s="1"/>
      <c r="C6633" s="1"/>
    </row>
    <row r="6634" spans="1:3" ht="14.25">
      <c r="A6634" s="5"/>
      <c r="B6634" s="1"/>
      <c r="C6634" s="1"/>
    </row>
    <row r="6635" spans="1:3" ht="14.25">
      <c r="A6635" s="5"/>
      <c r="B6635" s="1"/>
      <c r="C6635" s="1"/>
    </row>
    <row r="6636" spans="1:3" ht="14.25">
      <c r="A6636" s="5"/>
      <c r="B6636" s="1"/>
      <c r="C6636" s="1"/>
    </row>
    <row r="6637" spans="1:3" ht="14.25">
      <c r="A6637" s="5"/>
      <c r="B6637" s="1"/>
      <c r="C6637" s="1"/>
    </row>
    <row r="6638" spans="1:3" ht="14.25">
      <c r="A6638" s="5"/>
      <c r="B6638" s="1"/>
      <c r="C6638" s="1"/>
    </row>
    <row r="6639" spans="1:3" ht="14.25">
      <c r="A6639" s="5"/>
      <c r="B6639" s="1"/>
      <c r="C6639" s="1"/>
    </row>
    <row r="6640" spans="1:3" ht="14.25">
      <c r="A6640" s="5"/>
      <c r="B6640" s="1"/>
      <c r="C6640" s="1"/>
    </row>
    <row r="6641" spans="1:3" ht="14.25">
      <c r="A6641" s="5"/>
      <c r="B6641" s="1"/>
      <c r="C6641" s="1"/>
    </row>
    <row r="6642" spans="1:3" ht="14.25">
      <c r="A6642" s="5"/>
      <c r="B6642" s="1"/>
      <c r="C6642" s="1"/>
    </row>
    <row r="6643" spans="1:3" ht="14.25">
      <c r="A6643" s="5"/>
      <c r="B6643" s="1"/>
      <c r="C6643" s="1"/>
    </row>
    <row r="6644" spans="1:3" ht="14.25">
      <c r="A6644" s="5"/>
      <c r="B6644" s="1"/>
      <c r="C6644" s="1"/>
    </row>
    <row r="6645" spans="1:3" ht="14.25">
      <c r="A6645" s="5"/>
      <c r="B6645" s="1"/>
      <c r="C6645" s="1"/>
    </row>
    <row r="6646" spans="1:3" ht="14.25">
      <c r="A6646" s="5"/>
      <c r="B6646" s="1"/>
      <c r="C6646" s="1"/>
    </row>
    <row r="6647" spans="1:3" ht="14.25">
      <c r="A6647" s="5"/>
      <c r="B6647" s="1"/>
      <c r="C6647" s="1"/>
    </row>
    <row r="6648" spans="1:3" ht="14.25">
      <c r="A6648" s="5"/>
      <c r="B6648" s="1"/>
      <c r="C6648" s="1"/>
    </row>
    <row r="6649" spans="1:3" ht="14.25">
      <c r="A6649" s="5"/>
      <c r="B6649" s="1"/>
      <c r="C6649" s="1"/>
    </row>
    <row r="6650" spans="1:3" ht="14.25">
      <c r="A6650" s="5"/>
      <c r="B6650" s="1"/>
      <c r="C6650" s="1"/>
    </row>
    <row r="6651" spans="1:3" ht="14.25">
      <c r="A6651" s="5"/>
      <c r="B6651" s="1"/>
      <c r="C6651" s="1"/>
    </row>
    <row r="6652" spans="1:3" ht="14.25">
      <c r="A6652" s="5"/>
      <c r="B6652" s="1"/>
      <c r="C6652" s="1"/>
    </row>
    <row r="6653" spans="1:3" ht="14.25">
      <c r="A6653" s="5"/>
      <c r="B6653" s="1"/>
      <c r="C6653" s="1"/>
    </row>
    <row r="6654" spans="1:3" ht="14.25">
      <c r="A6654" s="5"/>
      <c r="B6654" s="1"/>
      <c r="C6654" s="1"/>
    </row>
    <row r="6655" spans="1:3" ht="14.25">
      <c r="A6655" s="5"/>
      <c r="B6655" s="1"/>
      <c r="C6655" s="1"/>
    </row>
    <row r="6656" spans="1:3" ht="14.25">
      <c r="A6656" s="5"/>
      <c r="B6656" s="1"/>
      <c r="C6656" s="1"/>
    </row>
    <row r="6657" spans="1:3" ht="14.25">
      <c r="A6657" s="5"/>
      <c r="B6657" s="1"/>
      <c r="C6657" s="1"/>
    </row>
    <row r="6658" spans="1:3" ht="14.25">
      <c r="A6658" s="5"/>
      <c r="B6658" s="1"/>
      <c r="C6658" s="1"/>
    </row>
    <row r="6659" spans="1:3" ht="14.25">
      <c r="A6659" s="5"/>
      <c r="B6659" s="1"/>
      <c r="C6659" s="1"/>
    </row>
    <row r="6660" spans="1:3" ht="14.25">
      <c r="A6660" s="5"/>
      <c r="B6660" s="1"/>
      <c r="C6660" s="1"/>
    </row>
    <row r="6661" spans="1:3" ht="14.25">
      <c r="A6661" s="5"/>
      <c r="B6661" s="1"/>
      <c r="C6661" s="1"/>
    </row>
    <row r="6662" spans="1:3" ht="14.25">
      <c r="A6662" s="5"/>
      <c r="B6662" s="1"/>
      <c r="C6662" s="1"/>
    </row>
    <row r="6663" spans="1:3" ht="14.25">
      <c r="A6663" s="5"/>
      <c r="B6663" s="1"/>
      <c r="C6663" s="1"/>
    </row>
    <row r="6664" spans="1:3" ht="14.25">
      <c r="A6664" s="5"/>
      <c r="B6664" s="1"/>
      <c r="C6664" s="1"/>
    </row>
    <row r="6665" spans="1:3" ht="14.25">
      <c r="A6665" s="5"/>
      <c r="B6665" s="1"/>
      <c r="C6665" s="1"/>
    </row>
    <row r="6666" spans="1:3" ht="14.25">
      <c r="A6666" s="5"/>
      <c r="B6666" s="1"/>
      <c r="C6666" s="1"/>
    </row>
    <row r="6667" spans="1:3" ht="14.25">
      <c r="A6667" s="5"/>
      <c r="B6667" s="1"/>
      <c r="C6667" s="1"/>
    </row>
    <row r="6668" spans="1:3" ht="14.25">
      <c r="A6668" s="5"/>
      <c r="B6668" s="1"/>
      <c r="C6668" s="1"/>
    </row>
    <row r="6669" spans="1:3" ht="14.25">
      <c r="A6669" s="5"/>
      <c r="B6669" s="1"/>
      <c r="C6669" s="1"/>
    </row>
    <row r="6670" spans="1:3" ht="14.25">
      <c r="A6670" s="5"/>
      <c r="B6670" s="1"/>
      <c r="C6670" s="1"/>
    </row>
    <row r="6671" spans="1:3" ht="14.25">
      <c r="A6671" s="5"/>
      <c r="B6671" s="1"/>
      <c r="C6671" s="1"/>
    </row>
    <row r="6672" spans="1:3" ht="14.25">
      <c r="A6672" s="5"/>
      <c r="B6672" s="1"/>
      <c r="C6672" s="1"/>
    </row>
    <row r="6673" spans="1:3" ht="14.25">
      <c r="A6673" s="5"/>
      <c r="B6673" s="1"/>
      <c r="C6673" s="1"/>
    </row>
    <row r="6674" spans="1:3" ht="14.25">
      <c r="A6674" s="5"/>
      <c r="B6674" s="1"/>
      <c r="C6674" s="1"/>
    </row>
    <row r="6675" spans="1:3" ht="14.25">
      <c r="A6675" s="5"/>
      <c r="B6675" s="1"/>
      <c r="C6675" s="1"/>
    </row>
    <row r="6676" spans="1:3" ht="14.25">
      <c r="A6676" s="5"/>
      <c r="B6676" s="1"/>
      <c r="C6676" s="1"/>
    </row>
    <row r="6677" spans="1:3" ht="14.25">
      <c r="A6677" s="5"/>
      <c r="B6677" s="1"/>
      <c r="C6677" s="1"/>
    </row>
    <row r="6678" spans="1:3" ht="14.25">
      <c r="A6678" s="5"/>
      <c r="B6678" s="1"/>
      <c r="C6678" s="1"/>
    </row>
    <row r="6679" spans="1:3" ht="14.25">
      <c r="A6679" s="5"/>
      <c r="B6679" s="1"/>
      <c r="C6679" s="1"/>
    </row>
    <row r="6680" spans="1:3" ht="14.25">
      <c r="A6680" s="5"/>
      <c r="B6680" s="1"/>
      <c r="C6680" s="1"/>
    </row>
    <row r="6681" spans="1:3" ht="14.25">
      <c r="A6681" s="5"/>
      <c r="B6681" s="1"/>
      <c r="C6681" s="1"/>
    </row>
    <row r="6682" spans="1:3" ht="14.25">
      <c r="A6682" s="5"/>
      <c r="B6682" s="1"/>
      <c r="C6682" s="1"/>
    </row>
    <row r="6683" spans="1:3" ht="14.25">
      <c r="A6683" s="5"/>
      <c r="B6683" s="1"/>
      <c r="C6683" s="1"/>
    </row>
    <row r="6684" spans="1:3" ht="14.25">
      <c r="A6684" s="5"/>
      <c r="B6684" s="1"/>
      <c r="C6684" s="1"/>
    </row>
    <row r="6685" spans="1:3" ht="14.25">
      <c r="A6685" s="5"/>
      <c r="B6685" s="1"/>
      <c r="C6685" s="1"/>
    </row>
    <row r="6686" spans="1:3" ht="14.25">
      <c r="A6686" s="5"/>
      <c r="B6686" s="1"/>
      <c r="C6686" s="1"/>
    </row>
    <row r="6687" spans="1:3" ht="14.25">
      <c r="A6687" s="5"/>
      <c r="B6687" s="1"/>
      <c r="C6687" s="1"/>
    </row>
    <row r="6688" spans="1:3" ht="14.25">
      <c r="A6688" s="5"/>
      <c r="B6688" s="1"/>
      <c r="C6688" s="1"/>
    </row>
    <row r="6689" spans="1:3" ht="14.25">
      <c r="A6689" s="5"/>
      <c r="B6689" s="1"/>
      <c r="C6689" s="1"/>
    </row>
    <row r="6690" spans="1:3" ht="14.25">
      <c r="A6690" s="5"/>
      <c r="B6690" s="1"/>
      <c r="C6690" s="1"/>
    </row>
    <row r="6691" spans="1:3" ht="14.25">
      <c r="A6691" s="5"/>
      <c r="B6691" s="1"/>
      <c r="C6691" s="1"/>
    </row>
    <row r="6692" spans="1:3" ht="14.25">
      <c r="A6692" s="5"/>
      <c r="B6692" s="1"/>
      <c r="C6692" s="1"/>
    </row>
    <row r="6693" spans="1:3" ht="14.25">
      <c r="A6693" s="5"/>
      <c r="B6693" s="1"/>
      <c r="C6693" s="1"/>
    </row>
    <row r="6694" spans="1:3" ht="14.25">
      <c r="A6694" s="5"/>
      <c r="B6694" s="1"/>
      <c r="C6694" s="1"/>
    </row>
    <row r="6695" spans="1:3" ht="14.25">
      <c r="A6695" s="5"/>
      <c r="B6695" s="1"/>
      <c r="C6695" s="1"/>
    </row>
    <row r="6696" spans="1:3" ht="14.25">
      <c r="A6696" s="5"/>
      <c r="B6696" s="1"/>
      <c r="C6696" s="1"/>
    </row>
    <row r="6697" spans="1:3" ht="14.25">
      <c r="A6697" s="5"/>
      <c r="B6697" s="1"/>
      <c r="C6697" s="1"/>
    </row>
    <row r="6698" spans="1:3" ht="14.25">
      <c r="A6698" s="5"/>
      <c r="B6698" s="1"/>
      <c r="C6698" s="1"/>
    </row>
    <row r="6699" spans="1:3" ht="14.25">
      <c r="A6699" s="5"/>
      <c r="B6699" s="1"/>
      <c r="C6699" s="1"/>
    </row>
    <row r="6700" spans="1:3" ht="14.25">
      <c r="A6700" s="5"/>
      <c r="B6700" s="1"/>
      <c r="C6700" s="1"/>
    </row>
    <row r="6701" spans="1:3" ht="14.25">
      <c r="A6701" s="5"/>
      <c r="B6701" s="1"/>
      <c r="C6701" s="1"/>
    </row>
    <row r="6702" spans="1:3" ht="14.25">
      <c r="A6702" s="5"/>
      <c r="B6702" s="1"/>
      <c r="C6702" s="1"/>
    </row>
    <row r="6703" spans="1:3" ht="14.25">
      <c r="A6703" s="5"/>
      <c r="B6703" s="1"/>
      <c r="C6703" s="1"/>
    </row>
    <row r="6704" spans="1:3" ht="14.25">
      <c r="A6704" s="5"/>
      <c r="B6704" s="1"/>
      <c r="C6704" s="1"/>
    </row>
    <row r="6705" spans="1:3" ht="14.25">
      <c r="A6705" s="5"/>
      <c r="B6705" s="1"/>
      <c r="C6705" s="1"/>
    </row>
    <row r="6706" spans="1:3" ht="14.25">
      <c r="A6706" s="5"/>
      <c r="B6706" s="1"/>
      <c r="C6706" s="1"/>
    </row>
    <row r="6707" spans="1:3" ht="14.25">
      <c r="A6707" s="5"/>
      <c r="B6707" s="1"/>
      <c r="C6707" s="1"/>
    </row>
    <row r="6708" spans="1:3" ht="14.25">
      <c r="A6708" s="5"/>
      <c r="B6708" s="1"/>
      <c r="C6708" s="1"/>
    </row>
    <row r="6709" spans="1:3" ht="14.25">
      <c r="A6709" s="5"/>
      <c r="B6709" s="1"/>
      <c r="C6709" s="1"/>
    </row>
    <row r="6710" spans="1:3" ht="14.25">
      <c r="A6710" s="5"/>
      <c r="B6710" s="1"/>
      <c r="C6710" s="1"/>
    </row>
    <row r="6711" spans="1:3" ht="14.25">
      <c r="A6711" s="5"/>
      <c r="B6711" s="1"/>
      <c r="C6711" s="1"/>
    </row>
    <row r="6712" spans="1:3" ht="14.25">
      <c r="A6712" s="5"/>
      <c r="B6712" s="1"/>
      <c r="C6712" s="1"/>
    </row>
    <row r="6713" spans="1:3" ht="14.25">
      <c r="A6713" s="5"/>
      <c r="B6713" s="1"/>
      <c r="C6713" s="1"/>
    </row>
    <row r="6714" spans="1:3" ht="14.25">
      <c r="A6714" s="5"/>
      <c r="B6714" s="1"/>
      <c r="C6714" s="1"/>
    </row>
    <row r="6715" spans="1:3" ht="14.25">
      <c r="A6715" s="5"/>
      <c r="B6715" s="1"/>
      <c r="C6715" s="1"/>
    </row>
    <row r="6716" spans="1:3" ht="14.25">
      <c r="A6716" s="5"/>
      <c r="B6716" s="1"/>
      <c r="C6716" s="1"/>
    </row>
    <row r="6717" spans="1:3" ht="14.25">
      <c r="A6717" s="5"/>
      <c r="B6717" s="1"/>
      <c r="C6717" s="1"/>
    </row>
    <row r="6718" spans="1:3" ht="14.25">
      <c r="A6718" s="5"/>
      <c r="B6718" s="1"/>
      <c r="C6718" s="1"/>
    </row>
    <row r="6719" spans="1:3" ht="14.25">
      <c r="A6719" s="5"/>
      <c r="B6719" s="1"/>
      <c r="C6719" s="1"/>
    </row>
    <row r="6720" spans="1:3" ht="14.25">
      <c r="A6720" s="5"/>
      <c r="B6720" s="1"/>
      <c r="C6720" s="1"/>
    </row>
    <row r="6721" spans="1:3" ht="14.25">
      <c r="A6721" s="5"/>
      <c r="B6721" s="1"/>
      <c r="C6721" s="1"/>
    </row>
    <row r="6722" spans="1:3" ht="14.25">
      <c r="A6722" s="5"/>
      <c r="B6722" s="1"/>
      <c r="C6722" s="1"/>
    </row>
    <row r="6723" spans="1:3" ht="14.25">
      <c r="A6723" s="5"/>
      <c r="B6723" s="1"/>
      <c r="C6723" s="1"/>
    </row>
    <row r="6724" spans="1:3" ht="14.25">
      <c r="A6724" s="5"/>
      <c r="B6724" s="1"/>
      <c r="C6724" s="1"/>
    </row>
    <row r="6725" spans="1:3" ht="14.25">
      <c r="A6725" s="5"/>
      <c r="B6725" s="1"/>
      <c r="C6725" s="1"/>
    </row>
    <row r="6726" spans="1:3" ht="14.25">
      <c r="A6726" s="5"/>
      <c r="B6726" s="1"/>
      <c r="C6726" s="1"/>
    </row>
    <row r="6727" spans="1:3" ht="14.25">
      <c r="A6727" s="5"/>
      <c r="B6727" s="1"/>
      <c r="C6727" s="1"/>
    </row>
    <row r="6728" spans="1:3" ht="14.25">
      <c r="A6728" s="5"/>
      <c r="B6728" s="1"/>
      <c r="C6728" s="1"/>
    </row>
    <row r="6729" spans="1:3" ht="14.25">
      <c r="A6729" s="5"/>
      <c r="B6729" s="1"/>
      <c r="C6729" s="1"/>
    </row>
    <row r="6730" spans="1:3" ht="14.25">
      <c r="A6730" s="5"/>
      <c r="B6730" s="1"/>
      <c r="C6730" s="1"/>
    </row>
    <row r="6731" spans="1:3" ht="14.25">
      <c r="A6731" s="5"/>
      <c r="B6731" s="1"/>
      <c r="C6731" s="1"/>
    </row>
    <row r="6732" spans="1:3" ht="14.25">
      <c r="A6732" s="5"/>
      <c r="B6732" s="1"/>
      <c r="C6732" s="1"/>
    </row>
    <row r="6733" spans="1:3" ht="14.25">
      <c r="A6733" s="5"/>
      <c r="B6733" s="1"/>
      <c r="C6733" s="1"/>
    </row>
    <row r="6734" spans="1:3" ht="14.25">
      <c r="A6734" s="5"/>
      <c r="B6734" s="1"/>
      <c r="C6734" s="1"/>
    </row>
    <row r="6735" spans="1:3" ht="14.25">
      <c r="A6735" s="5"/>
      <c r="B6735" s="1"/>
      <c r="C6735" s="1"/>
    </row>
    <row r="6736" spans="1:3" ht="14.25">
      <c r="A6736" s="5"/>
      <c r="B6736" s="1"/>
      <c r="C6736" s="1"/>
    </row>
    <row r="6737" spans="1:3" ht="14.25">
      <c r="A6737" s="5"/>
      <c r="B6737" s="1"/>
      <c r="C6737" s="1"/>
    </row>
    <row r="6738" spans="1:3" ht="14.25">
      <c r="A6738" s="5"/>
      <c r="B6738" s="1"/>
      <c r="C6738" s="1"/>
    </row>
    <row r="6739" spans="1:3" ht="14.25">
      <c r="A6739" s="5"/>
      <c r="B6739" s="1"/>
      <c r="C6739" s="1"/>
    </row>
    <row r="6740" spans="1:3" ht="14.25">
      <c r="A6740" s="5"/>
      <c r="B6740" s="1"/>
      <c r="C6740" s="1"/>
    </row>
    <row r="6741" spans="1:3" ht="14.25">
      <c r="A6741" s="5"/>
      <c r="B6741" s="1"/>
      <c r="C6741" s="1"/>
    </row>
    <row r="6742" spans="1:3" ht="14.25">
      <c r="A6742" s="5"/>
      <c r="B6742" s="1"/>
      <c r="C6742" s="1"/>
    </row>
    <row r="6743" spans="1:3" ht="14.25">
      <c r="A6743" s="5"/>
      <c r="B6743" s="1"/>
      <c r="C6743" s="1"/>
    </row>
    <row r="6744" spans="1:3" ht="14.25">
      <c r="A6744" s="5"/>
      <c r="B6744" s="1"/>
      <c r="C6744" s="1"/>
    </row>
    <row r="6745" spans="1:3" ht="14.25">
      <c r="A6745" s="5"/>
      <c r="B6745" s="1"/>
      <c r="C6745" s="1"/>
    </row>
    <row r="6746" spans="1:3" ht="14.25">
      <c r="A6746" s="5"/>
      <c r="B6746" s="1"/>
      <c r="C6746" s="1"/>
    </row>
    <row r="6747" spans="1:3" ht="14.25">
      <c r="A6747" s="5"/>
      <c r="B6747" s="1"/>
      <c r="C6747" s="1"/>
    </row>
    <row r="6748" spans="1:3" ht="14.25">
      <c r="A6748" s="5"/>
      <c r="B6748" s="1"/>
      <c r="C6748" s="1"/>
    </row>
    <row r="6749" spans="1:3" ht="14.25">
      <c r="A6749" s="5"/>
      <c r="B6749" s="1"/>
      <c r="C6749" s="1"/>
    </row>
    <row r="6750" spans="1:3" ht="14.25">
      <c r="A6750" s="5"/>
      <c r="B6750" s="1"/>
      <c r="C6750" s="1"/>
    </row>
    <row r="6751" spans="1:3" ht="14.25">
      <c r="A6751" s="5"/>
      <c r="B6751" s="1"/>
      <c r="C6751" s="1"/>
    </row>
    <row r="6752" spans="1:3" ht="14.25">
      <c r="A6752" s="5"/>
      <c r="B6752" s="1"/>
      <c r="C6752" s="1"/>
    </row>
    <row r="6753" spans="1:3" ht="14.25">
      <c r="A6753" s="5"/>
      <c r="B6753" s="1"/>
      <c r="C6753" s="1"/>
    </row>
    <row r="6754" spans="1:3" ht="14.25">
      <c r="A6754" s="5"/>
      <c r="B6754" s="1"/>
      <c r="C6754" s="1"/>
    </row>
    <row r="6755" spans="1:3" ht="14.25">
      <c r="A6755" s="5"/>
      <c r="B6755" s="1"/>
      <c r="C6755" s="1"/>
    </row>
    <row r="6756" spans="1:3" ht="14.25">
      <c r="A6756" s="5"/>
      <c r="B6756" s="1"/>
      <c r="C6756" s="1"/>
    </row>
    <row r="6757" spans="1:3" ht="14.25">
      <c r="A6757" s="5"/>
      <c r="B6757" s="1"/>
      <c r="C6757" s="1"/>
    </row>
    <row r="6758" spans="1:3" ht="14.25">
      <c r="A6758" s="5"/>
      <c r="B6758" s="1"/>
      <c r="C6758" s="1"/>
    </row>
    <row r="6759" spans="1:3" ht="14.25">
      <c r="A6759" s="5"/>
      <c r="B6759" s="1"/>
      <c r="C6759" s="1"/>
    </row>
    <row r="6760" spans="1:3" ht="14.25">
      <c r="A6760" s="5"/>
      <c r="B6760" s="1"/>
      <c r="C6760" s="1"/>
    </row>
    <row r="6761" spans="1:3" ht="14.25">
      <c r="A6761" s="5"/>
      <c r="B6761" s="1"/>
      <c r="C6761" s="1"/>
    </row>
    <row r="6762" spans="1:3" ht="14.25">
      <c r="A6762" s="5"/>
      <c r="B6762" s="1"/>
      <c r="C6762" s="1"/>
    </row>
    <row r="6763" spans="1:3" ht="14.25">
      <c r="A6763" s="5"/>
      <c r="B6763" s="1"/>
      <c r="C6763" s="1"/>
    </row>
    <row r="6764" spans="1:3" ht="14.25">
      <c r="A6764" s="5"/>
      <c r="B6764" s="1"/>
      <c r="C6764" s="1"/>
    </row>
    <row r="6765" spans="1:3" ht="14.25">
      <c r="A6765" s="5"/>
      <c r="B6765" s="1"/>
      <c r="C6765" s="1"/>
    </row>
    <row r="6766" spans="1:3" ht="14.25">
      <c r="A6766" s="5"/>
      <c r="B6766" s="1"/>
      <c r="C6766" s="1"/>
    </row>
    <row r="6767" spans="1:3" ht="14.25">
      <c r="A6767" s="5"/>
      <c r="B6767" s="1"/>
      <c r="C6767" s="1"/>
    </row>
    <row r="6768" spans="1:3" ht="14.25">
      <c r="A6768" s="5"/>
      <c r="B6768" s="1"/>
      <c r="C6768" s="1"/>
    </row>
    <row r="6769" spans="1:3" ht="14.25">
      <c r="A6769" s="5"/>
      <c r="B6769" s="1"/>
      <c r="C6769" s="1"/>
    </row>
    <row r="6770" spans="1:3" ht="14.25">
      <c r="A6770" s="5"/>
      <c r="B6770" s="1"/>
      <c r="C6770" s="1"/>
    </row>
    <row r="6771" spans="1:3" ht="14.25">
      <c r="A6771" s="5"/>
      <c r="B6771" s="1"/>
      <c r="C6771" s="1"/>
    </row>
    <row r="6772" spans="1:3" ht="14.25">
      <c r="A6772" s="5"/>
      <c r="B6772" s="1"/>
      <c r="C6772" s="1"/>
    </row>
    <row r="6773" spans="1:3" ht="14.25">
      <c r="A6773" s="5"/>
      <c r="B6773" s="1"/>
      <c r="C6773" s="1"/>
    </row>
    <row r="6774" spans="1:3" ht="14.25">
      <c r="A6774" s="5"/>
      <c r="B6774" s="1"/>
      <c r="C6774" s="1"/>
    </row>
    <row r="6775" spans="1:3" ht="14.25">
      <c r="A6775" s="5"/>
      <c r="B6775" s="1"/>
      <c r="C6775" s="1"/>
    </row>
    <row r="6776" spans="1:3" ht="14.25">
      <c r="A6776" s="5"/>
      <c r="B6776" s="1"/>
      <c r="C6776" s="1"/>
    </row>
    <row r="6777" spans="1:3" ht="14.25">
      <c r="A6777" s="5"/>
      <c r="B6777" s="1"/>
      <c r="C6777" s="1"/>
    </row>
    <row r="6778" spans="1:3" ht="14.25">
      <c r="A6778" s="5"/>
      <c r="B6778" s="1"/>
      <c r="C6778" s="1"/>
    </row>
    <row r="6779" spans="1:3" ht="14.25">
      <c r="A6779" s="5"/>
      <c r="B6779" s="1"/>
      <c r="C6779" s="1"/>
    </row>
    <row r="6780" spans="1:3" ht="14.25">
      <c r="A6780" s="5"/>
      <c r="B6780" s="1"/>
      <c r="C6780" s="1"/>
    </row>
    <row r="6781" spans="1:3" ht="14.25">
      <c r="A6781" s="5"/>
      <c r="B6781" s="1"/>
      <c r="C6781" s="1"/>
    </row>
    <row r="6782" spans="1:3" ht="14.25">
      <c r="A6782" s="5"/>
      <c r="B6782" s="1"/>
      <c r="C6782" s="1"/>
    </row>
    <row r="6783" spans="1:3" ht="14.25">
      <c r="A6783" s="5"/>
      <c r="B6783" s="1"/>
      <c r="C6783" s="1"/>
    </row>
    <row r="6784" spans="1:3" ht="14.25">
      <c r="A6784" s="5"/>
      <c r="B6784" s="1"/>
      <c r="C6784" s="1"/>
    </row>
    <row r="6785" spans="1:3" ht="14.25">
      <c r="A6785" s="5"/>
      <c r="B6785" s="1"/>
      <c r="C6785" s="1"/>
    </row>
    <row r="6786" spans="1:3" ht="14.25">
      <c r="A6786" s="5"/>
      <c r="B6786" s="1"/>
      <c r="C6786" s="1"/>
    </row>
    <row r="6787" spans="1:3" ht="14.25">
      <c r="A6787" s="5"/>
      <c r="B6787" s="1"/>
      <c r="C6787" s="1"/>
    </row>
    <row r="6788" spans="1:3" ht="14.25">
      <c r="A6788" s="5"/>
      <c r="B6788" s="1"/>
      <c r="C6788" s="1"/>
    </row>
    <row r="6789" spans="1:3" ht="14.25">
      <c r="A6789" s="5"/>
      <c r="B6789" s="1"/>
      <c r="C6789" s="1"/>
    </row>
    <row r="6790" spans="1:3" ht="14.25">
      <c r="A6790" s="5"/>
      <c r="B6790" s="1"/>
      <c r="C6790" s="1"/>
    </row>
    <row r="6791" spans="1:3" ht="14.25">
      <c r="A6791" s="5"/>
      <c r="B6791" s="1"/>
      <c r="C6791" s="1"/>
    </row>
    <row r="6792" spans="1:3" ht="14.25">
      <c r="A6792" s="5"/>
      <c r="B6792" s="1"/>
      <c r="C6792" s="1"/>
    </row>
    <row r="6793" spans="1:3" ht="14.25">
      <c r="A6793" s="5"/>
      <c r="B6793" s="1"/>
      <c r="C6793" s="1"/>
    </row>
    <row r="6794" spans="1:3" ht="14.25">
      <c r="A6794" s="5"/>
      <c r="B6794" s="1"/>
      <c r="C6794" s="1"/>
    </row>
    <row r="6795" spans="1:3" ht="14.25">
      <c r="A6795" s="5"/>
      <c r="B6795" s="1"/>
      <c r="C6795" s="1"/>
    </row>
    <row r="6796" spans="1:3" ht="14.25">
      <c r="A6796" s="5"/>
      <c r="B6796" s="1"/>
      <c r="C6796" s="1"/>
    </row>
    <row r="6797" spans="1:3" ht="14.25">
      <c r="A6797" s="5"/>
      <c r="B6797" s="1"/>
      <c r="C6797" s="1"/>
    </row>
    <row r="6798" spans="1:3" ht="14.25">
      <c r="A6798" s="5"/>
      <c r="B6798" s="1"/>
      <c r="C6798" s="1"/>
    </row>
    <row r="6799" spans="1:3" ht="14.25">
      <c r="A6799" s="5"/>
      <c r="B6799" s="1"/>
      <c r="C6799" s="1"/>
    </row>
    <row r="6800" spans="1:3" ht="14.25">
      <c r="A6800" s="5"/>
      <c r="B6800" s="1"/>
      <c r="C6800" s="1"/>
    </row>
    <row r="6801" spans="1:3" ht="14.25">
      <c r="A6801" s="5"/>
      <c r="B6801" s="1"/>
      <c r="C6801" s="1"/>
    </row>
    <row r="6802" spans="1:3" ht="14.25">
      <c r="A6802" s="5"/>
      <c r="B6802" s="1"/>
      <c r="C6802" s="1"/>
    </row>
    <row r="6803" spans="1:3" ht="14.25">
      <c r="A6803" s="5"/>
      <c r="B6803" s="1"/>
      <c r="C6803" s="1"/>
    </row>
    <row r="6804" spans="1:3" ht="14.25">
      <c r="A6804" s="5"/>
      <c r="B6804" s="1"/>
      <c r="C6804" s="1"/>
    </row>
    <row r="6805" spans="1:3" ht="14.25">
      <c r="A6805" s="5"/>
      <c r="B6805" s="1"/>
      <c r="C6805" s="1"/>
    </row>
    <row r="6806" spans="1:3" ht="14.25">
      <c r="A6806" s="5"/>
      <c r="B6806" s="1"/>
      <c r="C6806" s="1"/>
    </row>
    <row r="6807" spans="1:3" ht="14.25">
      <c r="A6807" s="5"/>
      <c r="B6807" s="1"/>
      <c r="C6807" s="1"/>
    </row>
    <row r="6808" spans="1:3" ht="14.25">
      <c r="A6808" s="5"/>
      <c r="B6808" s="1"/>
      <c r="C6808" s="1"/>
    </row>
    <row r="6809" spans="1:3" ht="14.25">
      <c r="A6809" s="5"/>
      <c r="B6809" s="1"/>
      <c r="C6809" s="1"/>
    </row>
    <row r="6810" spans="1:3" ht="14.25">
      <c r="A6810" s="5"/>
      <c r="B6810" s="1"/>
      <c r="C6810" s="1"/>
    </row>
    <row r="6811" spans="1:3" ht="14.25">
      <c r="A6811" s="5"/>
      <c r="B6811" s="1"/>
      <c r="C6811" s="1"/>
    </row>
    <row r="6812" spans="1:3" ht="14.25">
      <c r="A6812" s="5"/>
      <c r="B6812" s="1"/>
      <c r="C6812" s="1"/>
    </row>
    <row r="6813" spans="1:3" ht="14.25">
      <c r="A6813" s="5"/>
      <c r="B6813" s="1"/>
      <c r="C6813" s="1"/>
    </row>
    <row r="6814" spans="1:3" ht="14.25">
      <c r="A6814" s="5"/>
      <c r="B6814" s="1"/>
      <c r="C6814" s="1"/>
    </row>
    <row r="6815" spans="1:3" ht="14.25">
      <c r="A6815" s="5"/>
      <c r="B6815" s="1"/>
      <c r="C6815" s="1"/>
    </row>
    <row r="6816" spans="1:3" ht="14.25">
      <c r="A6816" s="5"/>
      <c r="B6816" s="1"/>
      <c r="C6816" s="1"/>
    </row>
    <row r="6817" spans="1:3" ht="14.25">
      <c r="A6817" s="5"/>
      <c r="B6817" s="1"/>
      <c r="C6817" s="1"/>
    </row>
    <row r="6818" spans="1:3" ht="14.25">
      <c r="A6818" s="5"/>
      <c r="B6818" s="1"/>
      <c r="C6818" s="1"/>
    </row>
    <row r="6819" spans="1:3" ht="14.25">
      <c r="A6819" s="5"/>
      <c r="B6819" s="1"/>
      <c r="C6819" s="1"/>
    </row>
    <row r="6820" spans="1:3" ht="14.25">
      <c r="A6820" s="5"/>
      <c r="B6820" s="1"/>
      <c r="C6820" s="1"/>
    </row>
    <row r="6821" spans="1:3" ht="14.25">
      <c r="A6821" s="5"/>
      <c r="B6821" s="1"/>
      <c r="C6821" s="1"/>
    </row>
    <row r="6822" spans="1:3" ht="14.25">
      <c r="A6822" s="5"/>
      <c r="B6822" s="1"/>
      <c r="C6822" s="1"/>
    </row>
    <row r="6823" spans="1:3" ht="14.25">
      <c r="A6823" s="5"/>
      <c r="B6823" s="1"/>
      <c r="C6823" s="1"/>
    </row>
    <row r="6824" spans="1:3" ht="14.25">
      <c r="A6824" s="5"/>
      <c r="B6824" s="1"/>
      <c r="C6824" s="1"/>
    </row>
    <row r="6825" spans="1:3" ht="14.25">
      <c r="A6825" s="5"/>
      <c r="B6825" s="1"/>
      <c r="C6825" s="1"/>
    </row>
    <row r="6826" spans="1:3" ht="14.25">
      <c r="A6826" s="5"/>
      <c r="B6826" s="1"/>
      <c r="C6826" s="1"/>
    </row>
    <row r="6827" spans="1:3" ht="14.25">
      <c r="A6827" s="5"/>
      <c r="B6827" s="1"/>
      <c r="C6827" s="1"/>
    </row>
    <row r="6828" spans="1:3" ht="14.25">
      <c r="A6828" s="5"/>
      <c r="B6828" s="1"/>
      <c r="C6828" s="1"/>
    </row>
    <row r="6829" spans="1:3" ht="14.25">
      <c r="A6829" s="5"/>
      <c r="B6829" s="1"/>
      <c r="C6829" s="1"/>
    </row>
    <row r="6830" spans="1:3" ht="14.25">
      <c r="A6830" s="5"/>
      <c r="B6830" s="1"/>
      <c r="C6830" s="1"/>
    </row>
    <row r="6831" spans="1:3" ht="14.25">
      <c r="A6831" s="5"/>
      <c r="B6831" s="1"/>
      <c r="C6831" s="1"/>
    </row>
    <row r="6832" spans="1:3" ht="14.25">
      <c r="A6832" s="5"/>
      <c r="B6832" s="1"/>
      <c r="C6832" s="1"/>
    </row>
    <row r="6833" spans="1:3" ht="14.25">
      <c r="A6833" s="5"/>
      <c r="B6833" s="1"/>
      <c r="C6833" s="1"/>
    </row>
    <row r="6834" spans="1:3" ht="14.25">
      <c r="A6834" s="5"/>
      <c r="B6834" s="1"/>
      <c r="C6834" s="1"/>
    </row>
    <row r="6835" spans="1:3" ht="14.25">
      <c r="A6835" s="5"/>
      <c r="B6835" s="1"/>
      <c r="C6835" s="1"/>
    </row>
    <row r="6836" spans="1:3" ht="14.25">
      <c r="A6836" s="5"/>
      <c r="B6836" s="1"/>
      <c r="C6836" s="1"/>
    </row>
    <row r="6837" spans="1:3" ht="14.25">
      <c r="A6837" s="5"/>
      <c r="B6837" s="1"/>
      <c r="C6837" s="1"/>
    </row>
    <row r="6838" spans="1:3" ht="14.25">
      <c r="A6838" s="5"/>
      <c r="B6838" s="1"/>
      <c r="C6838" s="1"/>
    </row>
    <row r="6839" spans="1:3" ht="14.25">
      <c r="A6839" s="5"/>
      <c r="B6839" s="1"/>
      <c r="C6839" s="1"/>
    </row>
    <row r="6840" spans="1:3" ht="14.25">
      <c r="A6840" s="5"/>
      <c r="B6840" s="1"/>
      <c r="C6840" s="1"/>
    </row>
    <row r="6841" spans="1:3" ht="14.25">
      <c r="A6841" s="5"/>
      <c r="B6841" s="1"/>
      <c r="C6841" s="1"/>
    </row>
    <row r="6842" spans="1:3" ht="14.25">
      <c r="A6842" s="5"/>
      <c r="B6842" s="1"/>
      <c r="C6842" s="1"/>
    </row>
    <row r="6843" spans="1:3" ht="14.25">
      <c r="A6843" s="5"/>
      <c r="B6843" s="1"/>
      <c r="C6843" s="1"/>
    </row>
    <row r="6844" spans="1:3" ht="14.25">
      <c r="A6844" s="5"/>
      <c r="B6844" s="1"/>
      <c r="C6844" s="1"/>
    </row>
    <row r="6845" spans="1:3" ht="14.25">
      <c r="A6845" s="5"/>
      <c r="B6845" s="1"/>
      <c r="C6845" s="1"/>
    </row>
    <row r="6846" spans="1:3" ht="14.25">
      <c r="A6846" s="5"/>
      <c r="B6846" s="1"/>
      <c r="C6846" s="1"/>
    </row>
    <row r="6847" spans="1:3" ht="14.25">
      <c r="A6847" s="5"/>
      <c r="B6847" s="1"/>
      <c r="C6847" s="1"/>
    </row>
    <row r="6848" spans="1:3" ht="14.25">
      <c r="A6848" s="5"/>
      <c r="B6848" s="1"/>
      <c r="C6848" s="1"/>
    </row>
    <row r="6849" spans="1:3" ht="14.25">
      <c r="A6849" s="5"/>
      <c r="B6849" s="1"/>
      <c r="C6849" s="1"/>
    </row>
    <row r="6850" spans="1:3" ht="14.25">
      <c r="A6850" s="5"/>
      <c r="B6850" s="1"/>
      <c r="C6850" s="1"/>
    </row>
    <row r="6851" spans="1:3" ht="14.25">
      <c r="A6851" s="5"/>
      <c r="B6851" s="1"/>
      <c r="C6851" s="1"/>
    </row>
    <row r="6852" spans="1:3" ht="14.25">
      <c r="A6852" s="5"/>
      <c r="B6852" s="1"/>
      <c r="C6852" s="1"/>
    </row>
    <row r="6853" spans="1:3" ht="14.25">
      <c r="A6853" s="5"/>
      <c r="B6853" s="1"/>
      <c r="C6853" s="1"/>
    </row>
    <row r="6854" spans="1:3" ht="14.25">
      <c r="A6854" s="5"/>
      <c r="B6854" s="1"/>
      <c r="C6854" s="1"/>
    </row>
    <row r="6855" spans="1:3" ht="14.25">
      <c r="A6855" s="5"/>
      <c r="B6855" s="1"/>
      <c r="C6855" s="1"/>
    </row>
    <row r="6856" spans="1:3" ht="14.25">
      <c r="A6856" s="5"/>
      <c r="B6856" s="1"/>
      <c r="C6856" s="1"/>
    </row>
    <row r="6857" spans="1:3" ht="14.25">
      <c r="A6857" s="5"/>
      <c r="B6857" s="1"/>
      <c r="C6857" s="1"/>
    </row>
    <row r="6858" spans="1:3" ht="14.25">
      <c r="A6858" s="5"/>
      <c r="B6858" s="1"/>
      <c r="C6858" s="1"/>
    </row>
    <row r="6859" spans="1:3" ht="14.25">
      <c r="A6859" s="5"/>
      <c r="B6859" s="1"/>
      <c r="C6859" s="1"/>
    </row>
    <row r="6860" spans="1:3" ht="14.25">
      <c r="A6860" s="5"/>
      <c r="B6860" s="1"/>
      <c r="C6860" s="1"/>
    </row>
    <row r="6861" spans="1:3" ht="14.25">
      <c r="A6861" s="5"/>
      <c r="B6861" s="1"/>
      <c r="C6861" s="1"/>
    </row>
    <row r="6862" spans="1:3" ht="14.25">
      <c r="A6862" s="5"/>
      <c r="B6862" s="1"/>
      <c r="C6862" s="1"/>
    </row>
    <row r="6863" spans="1:3" ht="14.25">
      <c r="A6863" s="5"/>
      <c r="B6863" s="1"/>
      <c r="C6863" s="1"/>
    </row>
    <row r="6864" spans="1:3" ht="14.25">
      <c r="A6864" s="5"/>
      <c r="B6864" s="1"/>
      <c r="C6864" s="1"/>
    </row>
    <row r="6865" spans="1:3" ht="14.25">
      <c r="A6865" s="5"/>
      <c r="B6865" s="1"/>
      <c r="C6865" s="1"/>
    </row>
    <row r="6866" spans="1:3" ht="14.25">
      <c r="A6866" s="5"/>
      <c r="B6866" s="1"/>
      <c r="C6866" s="1"/>
    </row>
    <row r="6867" spans="1:3" ht="14.25">
      <c r="A6867" s="5"/>
      <c r="B6867" s="1"/>
      <c r="C6867" s="1"/>
    </row>
    <row r="6868" spans="1:3" ht="14.25">
      <c r="A6868" s="5"/>
      <c r="B6868" s="1"/>
      <c r="C6868" s="1"/>
    </row>
    <row r="6869" spans="1:3" ht="14.25">
      <c r="A6869" s="5"/>
      <c r="B6869" s="1"/>
      <c r="C6869" s="1"/>
    </row>
    <row r="6870" spans="1:3" ht="14.25">
      <c r="A6870" s="5"/>
      <c r="B6870" s="1"/>
      <c r="C6870" s="1"/>
    </row>
    <row r="6871" spans="1:3" ht="14.25">
      <c r="A6871" s="5"/>
      <c r="B6871" s="1"/>
      <c r="C6871" s="1"/>
    </row>
    <row r="6872" spans="1:3" ht="14.25">
      <c r="A6872" s="5"/>
      <c r="B6872" s="1"/>
      <c r="C6872" s="1"/>
    </row>
    <row r="6873" spans="1:3" ht="14.25">
      <c r="A6873" s="5"/>
      <c r="B6873" s="1"/>
      <c r="C6873" s="1"/>
    </row>
    <row r="6874" spans="1:3" ht="14.25">
      <c r="A6874" s="5"/>
      <c r="B6874" s="1"/>
      <c r="C6874" s="1"/>
    </row>
    <row r="6875" spans="1:3" ht="14.25">
      <c r="A6875" s="5"/>
      <c r="B6875" s="1"/>
      <c r="C6875" s="1"/>
    </row>
    <row r="6876" spans="1:3" ht="14.25">
      <c r="A6876" s="5"/>
      <c r="B6876" s="1"/>
      <c r="C6876" s="1"/>
    </row>
    <row r="6877" spans="1:3" ht="14.25">
      <c r="A6877" s="5"/>
      <c r="B6877" s="1"/>
      <c r="C6877" s="1"/>
    </row>
    <row r="6878" spans="1:3" ht="14.25">
      <c r="A6878" s="5"/>
      <c r="B6878" s="1"/>
      <c r="C6878" s="1"/>
    </row>
    <row r="6879" spans="1:3" ht="14.25">
      <c r="A6879" s="5"/>
      <c r="B6879" s="1"/>
      <c r="C6879" s="1"/>
    </row>
    <row r="6880" spans="1:3" ht="14.25">
      <c r="A6880" s="5"/>
      <c r="B6880" s="1"/>
      <c r="C6880" s="1"/>
    </row>
    <row r="6881" spans="1:3" ht="14.25">
      <c r="A6881" s="5"/>
      <c r="B6881" s="1"/>
      <c r="C6881" s="1"/>
    </row>
    <row r="6882" spans="1:3" ht="14.25">
      <c r="A6882" s="5"/>
      <c r="B6882" s="1"/>
      <c r="C6882" s="1"/>
    </row>
    <row r="6883" spans="1:3" ht="14.25">
      <c r="A6883" s="5"/>
      <c r="B6883" s="1"/>
      <c r="C6883" s="1"/>
    </row>
    <row r="6884" spans="1:3" ht="14.25">
      <c r="A6884" s="5"/>
      <c r="B6884" s="1"/>
      <c r="C6884" s="1"/>
    </row>
    <row r="6885" spans="1:3" ht="14.25">
      <c r="A6885" s="5"/>
      <c r="B6885" s="1"/>
      <c r="C6885" s="1"/>
    </row>
    <row r="6886" spans="1:3" ht="14.25">
      <c r="A6886" s="5"/>
      <c r="B6886" s="1"/>
      <c r="C6886" s="1"/>
    </row>
    <row r="6887" spans="1:3" ht="14.25">
      <c r="A6887" s="5"/>
      <c r="B6887" s="1"/>
      <c r="C6887" s="1"/>
    </row>
    <row r="6888" spans="1:3" ht="14.25">
      <c r="A6888" s="5"/>
      <c r="B6888" s="1"/>
      <c r="C6888" s="1"/>
    </row>
    <row r="6889" spans="1:3" ht="14.25">
      <c r="A6889" s="5"/>
      <c r="B6889" s="1"/>
      <c r="C6889" s="1"/>
    </row>
    <row r="6890" spans="1:3" ht="14.25">
      <c r="A6890" s="5"/>
      <c r="B6890" s="1"/>
      <c r="C6890" s="1"/>
    </row>
    <row r="6891" spans="1:3" ht="14.25">
      <c r="A6891" s="5"/>
      <c r="B6891" s="1"/>
      <c r="C6891" s="1"/>
    </row>
    <row r="6892" spans="1:3" ht="14.25">
      <c r="A6892" s="5"/>
      <c r="B6892" s="1"/>
      <c r="C6892" s="1"/>
    </row>
    <row r="6893" spans="1:3" ht="14.25">
      <c r="A6893" s="5"/>
      <c r="B6893" s="1"/>
      <c r="C6893" s="1"/>
    </row>
    <row r="6894" spans="1:3" ht="14.25">
      <c r="A6894" s="5"/>
      <c r="B6894" s="1"/>
      <c r="C6894" s="1"/>
    </row>
    <row r="6895" spans="1:3" ht="14.25">
      <c r="A6895" s="5"/>
      <c r="B6895" s="1"/>
      <c r="C6895" s="1"/>
    </row>
    <row r="6896" spans="1:3" ht="14.25">
      <c r="A6896" s="5"/>
      <c r="B6896" s="1"/>
      <c r="C6896" s="1"/>
    </row>
    <row r="6897" spans="1:3" ht="14.25">
      <c r="A6897" s="5"/>
      <c r="B6897" s="1"/>
      <c r="C6897" s="1"/>
    </row>
    <row r="6898" spans="1:3" ht="14.25">
      <c r="A6898" s="5"/>
      <c r="B6898" s="1"/>
      <c r="C6898" s="1"/>
    </row>
    <row r="6899" spans="1:3" ht="14.25">
      <c r="A6899" s="5"/>
      <c r="B6899" s="1"/>
      <c r="C6899" s="1"/>
    </row>
    <row r="6900" spans="1:3" ht="14.25">
      <c r="A6900" s="5"/>
      <c r="B6900" s="1"/>
      <c r="C6900" s="1"/>
    </row>
    <row r="6901" spans="1:3" ht="14.25">
      <c r="A6901" s="5"/>
      <c r="B6901" s="1"/>
      <c r="C6901" s="1"/>
    </row>
    <row r="6902" spans="1:3" ht="14.25">
      <c r="A6902" s="5"/>
      <c r="B6902" s="1"/>
      <c r="C6902" s="1"/>
    </row>
    <row r="6903" spans="1:3" ht="14.25">
      <c r="A6903" s="5"/>
      <c r="B6903" s="1"/>
      <c r="C6903" s="1"/>
    </row>
    <row r="6904" spans="1:3" ht="14.25">
      <c r="A6904" s="5"/>
      <c r="B6904" s="1"/>
      <c r="C6904" s="1"/>
    </row>
    <row r="6905" spans="1:3" ht="14.25">
      <c r="A6905" s="5"/>
      <c r="B6905" s="1"/>
      <c r="C6905" s="1"/>
    </row>
    <row r="6906" spans="1:3" ht="14.25">
      <c r="A6906" s="5"/>
      <c r="B6906" s="1"/>
      <c r="C6906" s="1"/>
    </row>
    <row r="6907" spans="1:3" ht="14.25">
      <c r="A6907" s="5"/>
      <c r="B6907" s="1"/>
      <c r="C6907" s="1"/>
    </row>
    <row r="6908" spans="1:3" ht="14.25">
      <c r="A6908" s="5"/>
      <c r="B6908" s="1"/>
      <c r="C6908" s="1"/>
    </row>
    <row r="6909" spans="1:3" ht="14.25">
      <c r="A6909" s="5"/>
      <c r="B6909" s="1"/>
      <c r="C6909" s="1"/>
    </row>
    <row r="6910" spans="1:3" ht="14.25">
      <c r="A6910" s="5"/>
      <c r="B6910" s="1"/>
      <c r="C6910" s="1"/>
    </row>
    <row r="6911" spans="1:3" ht="14.25">
      <c r="A6911" s="5"/>
      <c r="B6911" s="1"/>
      <c r="C6911" s="1"/>
    </row>
    <row r="6912" spans="1:3" ht="14.25">
      <c r="A6912" s="5"/>
      <c r="B6912" s="1"/>
      <c r="C6912" s="1"/>
    </row>
    <row r="6913" spans="1:3" ht="14.25">
      <c r="A6913" s="5"/>
      <c r="B6913" s="1"/>
      <c r="C6913" s="1"/>
    </row>
    <row r="6914" spans="1:3" ht="14.25">
      <c r="A6914" s="5"/>
      <c r="B6914" s="1"/>
      <c r="C6914" s="1"/>
    </row>
    <row r="6915" spans="1:3" ht="14.25">
      <c r="A6915" s="5"/>
      <c r="B6915" s="1"/>
      <c r="C6915" s="1"/>
    </row>
    <row r="6916" spans="1:3" ht="14.25">
      <c r="A6916" s="5"/>
      <c r="B6916" s="1"/>
      <c r="C6916" s="1"/>
    </row>
    <row r="6917" spans="1:3" ht="14.25">
      <c r="A6917" s="5"/>
      <c r="B6917" s="1"/>
      <c r="C6917" s="1"/>
    </row>
    <row r="6918" spans="1:3" ht="14.25">
      <c r="A6918" s="5"/>
      <c r="B6918" s="1"/>
      <c r="C6918" s="1"/>
    </row>
    <row r="6919" spans="1:3" ht="14.25">
      <c r="A6919" s="5"/>
      <c r="B6919" s="1"/>
      <c r="C6919" s="1"/>
    </row>
    <row r="6920" spans="1:3" ht="14.25">
      <c r="A6920" s="5"/>
      <c r="B6920" s="1"/>
      <c r="C6920" s="1"/>
    </row>
    <row r="6921" spans="1:3" ht="14.25">
      <c r="A6921" s="5"/>
      <c r="B6921" s="1"/>
      <c r="C6921" s="1"/>
    </row>
    <row r="6922" spans="1:3" ht="14.25">
      <c r="A6922" s="5"/>
      <c r="B6922" s="1"/>
      <c r="C6922" s="1"/>
    </row>
    <row r="6923" spans="1:3" ht="14.25">
      <c r="A6923" s="5"/>
      <c r="B6923" s="1"/>
      <c r="C6923" s="1"/>
    </row>
    <row r="6924" spans="1:3" ht="14.25">
      <c r="A6924" s="5"/>
      <c r="B6924" s="1"/>
      <c r="C6924" s="1"/>
    </row>
    <row r="6925" spans="1:3" ht="14.25">
      <c r="A6925" s="5"/>
      <c r="B6925" s="1"/>
      <c r="C6925" s="1"/>
    </row>
    <row r="6926" spans="1:3" ht="14.25">
      <c r="A6926" s="5"/>
      <c r="B6926" s="1"/>
      <c r="C6926" s="1"/>
    </row>
    <row r="6927" spans="1:3" ht="14.25">
      <c r="A6927" s="5"/>
      <c r="B6927" s="1"/>
      <c r="C6927" s="1"/>
    </row>
    <row r="6928" spans="1:3" ht="14.25">
      <c r="A6928" s="5"/>
      <c r="B6928" s="1"/>
      <c r="C6928" s="1"/>
    </row>
    <row r="6929" spans="1:3" ht="14.25">
      <c r="A6929" s="5"/>
      <c r="B6929" s="1"/>
      <c r="C6929" s="1"/>
    </row>
    <row r="6930" spans="1:3" ht="14.25">
      <c r="A6930" s="5"/>
      <c r="B6930" s="1"/>
      <c r="C6930" s="1"/>
    </row>
    <row r="6931" spans="1:3" ht="14.25">
      <c r="A6931" s="5"/>
      <c r="B6931" s="1"/>
      <c r="C6931" s="1"/>
    </row>
    <row r="6932" spans="1:3" ht="14.25">
      <c r="A6932" s="5"/>
      <c r="B6932" s="1"/>
      <c r="C6932" s="1"/>
    </row>
    <row r="6933" spans="1:3" ht="14.25">
      <c r="A6933" s="5"/>
      <c r="B6933" s="1"/>
      <c r="C6933" s="1"/>
    </row>
    <row r="6934" spans="1:3" ht="14.25">
      <c r="A6934" s="5"/>
      <c r="B6934" s="1"/>
      <c r="C6934" s="1"/>
    </row>
    <row r="6935" spans="1:3" ht="14.25">
      <c r="A6935" s="5"/>
      <c r="B6935" s="1"/>
      <c r="C6935" s="1"/>
    </row>
    <row r="6936" spans="1:3" ht="14.25">
      <c r="A6936" s="5"/>
      <c r="B6936" s="1"/>
      <c r="C6936" s="1"/>
    </row>
    <row r="6937" spans="1:3" ht="14.25">
      <c r="A6937" s="5"/>
      <c r="B6937" s="1"/>
      <c r="C6937" s="1"/>
    </row>
    <row r="6938" spans="1:3" ht="14.25">
      <c r="A6938" s="5"/>
      <c r="B6938" s="1"/>
      <c r="C6938" s="1"/>
    </row>
    <row r="6939" spans="1:3" ht="14.25">
      <c r="A6939" s="5"/>
      <c r="B6939" s="1"/>
      <c r="C6939" s="1"/>
    </row>
    <row r="6940" spans="1:3" ht="14.25">
      <c r="A6940" s="5"/>
      <c r="B6940" s="1"/>
      <c r="C6940" s="1"/>
    </row>
    <row r="6941" spans="1:3" ht="14.25">
      <c r="A6941" s="5"/>
      <c r="B6941" s="1"/>
      <c r="C6941" s="1"/>
    </row>
    <row r="6942" spans="1:3" ht="14.25">
      <c r="A6942" s="5"/>
      <c r="B6942" s="1"/>
      <c r="C6942" s="1"/>
    </row>
    <row r="6943" spans="1:3" ht="14.25">
      <c r="A6943" s="5"/>
      <c r="B6943" s="1"/>
      <c r="C6943" s="1"/>
    </row>
    <row r="6944" spans="1:3" ht="14.25">
      <c r="A6944" s="5"/>
      <c r="B6944" s="1"/>
      <c r="C6944" s="1"/>
    </row>
    <row r="6945" spans="1:3" ht="14.25">
      <c r="A6945" s="5"/>
      <c r="B6945" s="1"/>
      <c r="C6945" s="1"/>
    </row>
    <row r="6946" spans="1:3" ht="14.25">
      <c r="A6946" s="5"/>
      <c r="B6946" s="1"/>
      <c r="C6946" s="1"/>
    </row>
    <row r="6947" spans="1:3" ht="14.25">
      <c r="A6947" s="5"/>
      <c r="B6947" s="1"/>
      <c r="C6947" s="1"/>
    </row>
    <row r="6948" spans="1:3" ht="14.25">
      <c r="A6948" s="5"/>
      <c r="B6948" s="1"/>
      <c r="C6948" s="1"/>
    </row>
    <row r="6949" spans="1:3" ht="14.25">
      <c r="A6949" s="5"/>
      <c r="B6949" s="1"/>
      <c r="C6949" s="1"/>
    </row>
    <row r="6950" spans="1:3" ht="14.25">
      <c r="A6950" s="5"/>
      <c r="B6950" s="1"/>
      <c r="C6950" s="1"/>
    </row>
    <row r="6951" spans="1:3" ht="14.25">
      <c r="A6951" s="5"/>
      <c r="B6951" s="1"/>
      <c r="C6951" s="1"/>
    </row>
    <row r="6952" spans="1:3" ht="14.25">
      <c r="A6952" s="5"/>
      <c r="B6952" s="1"/>
      <c r="C6952" s="1"/>
    </row>
    <row r="6953" spans="1:3" ht="14.25">
      <c r="A6953" s="5"/>
      <c r="B6953" s="1"/>
      <c r="C6953" s="1"/>
    </row>
    <row r="6954" spans="1:3" ht="14.25">
      <c r="A6954" s="5"/>
      <c r="B6954" s="1"/>
      <c r="C6954" s="1"/>
    </row>
    <row r="6955" spans="1:3" ht="14.25">
      <c r="A6955" s="5"/>
      <c r="B6955" s="1"/>
      <c r="C6955" s="1"/>
    </row>
    <row r="6956" spans="1:3" ht="14.25">
      <c r="A6956" s="5"/>
      <c r="B6956" s="1"/>
      <c r="C6956" s="1"/>
    </row>
    <row r="6957" spans="1:3" ht="14.25">
      <c r="A6957" s="5"/>
      <c r="B6957" s="1"/>
      <c r="C6957" s="1"/>
    </row>
    <row r="6958" spans="1:3" ht="14.25">
      <c r="A6958" s="5"/>
      <c r="B6958" s="1"/>
      <c r="C6958" s="1"/>
    </row>
    <row r="6959" spans="1:3" ht="14.25">
      <c r="A6959" s="5"/>
      <c r="B6959" s="1"/>
      <c r="C6959" s="1"/>
    </row>
    <row r="6960" spans="1:3" ht="14.25">
      <c r="A6960" s="5"/>
      <c r="B6960" s="1"/>
      <c r="C6960" s="1"/>
    </row>
    <row r="6961" spans="1:3" ht="14.25">
      <c r="A6961" s="5"/>
      <c r="B6961" s="1"/>
      <c r="C6961" s="1"/>
    </row>
    <row r="6962" spans="1:3" ht="14.25">
      <c r="A6962" s="5"/>
      <c r="B6962" s="1"/>
      <c r="C6962" s="1"/>
    </row>
    <row r="6963" spans="1:3" ht="14.25">
      <c r="A6963" s="5"/>
      <c r="B6963" s="1"/>
      <c r="C6963" s="1"/>
    </row>
    <row r="6964" spans="1:3" ht="14.25">
      <c r="A6964" s="5"/>
      <c r="B6964" s="1"/>
      <c r="C6964" s="1"/>
    </row>
    <row r="6965" spans="1:3" ht="14.25">
      <c r="A6965" s="5"/>
      <c r="B6965" s="1"/>
      <c r="C6965" s="1"/>
    </row>
    <row r="6966" spans="1:3" ht="14.25">
      <c r="A6966" s="5"/>
      <c r="B6966" s="1"/>
      <c r="C6966" s="1"/>
    </row>
    <row r="6967" spans="1:3" ht="14.25">
      <c r="A6967" s="5"/>
      <c r="B6967" s="1"/>
      <c r="C6967" s="1"/>
    </row>
    <row r="6968" spans="1:3" ht="14.25">
      <c r="A6968" s="5"/>
      <c r="B6968" s="1"/>
      <c r="C6968" s="1"/>
    </row>
    <row r="6969" spans="1:3" ht="14.25">
      <c r="A6969" s="5"/>
      <c r="B6969" s="1"/>
      <c r="C6969" s="1"/>
    </row>
    <row r="6970" spans="1:3" ht="14.25">
      <c r="A6970" s="5"/>
      <c r="B6970" s="1"/>
      <c r="C6970" s="1"/>
    </row>
    <row r="6971" spans="1:3" ht="14.25">
      <c r="A6971" s="5"/>
      <c r="B6971" s="1"/>
      <c r="C6971" s="1"/>
    </row>
    <row r="6972" spans="1:3" ht="14.25">
      <c r="A6972" s="5"/>
      <c r="B6972" s="1"/>
      <c r="C6972" s="1"/>
    </row>
    <row r="6973" spans="1:3" ht="14.25">
      <c r="A6973" s="5"/>
      <c r="B6973" s="1"/>
      <c r="C6973" s="1"/>
    </row>
    <row r="6974" spans="1:3" ht="14.25">
      <c r="A6974" s="5"/>
      <c r="B6974" s="1"/>
      <c r="C6974" s="1"/>
    </row>
    <row r="6975" spans="1:3" ht="14.25">
      <c r="A6975" s="5"/>
      <c r="B6975" s="1"/>
      <c r="C6975" s="1"/>
    </row>
    <row r="6976" spans="1:3" ht="14.25">
      <c r="A6976" s="5"/>
      <c r="B6976" s="1"/>
      <c r="C6976" s="1"/>
    </row>
    <row r="6977" spans="1:3" ht="14.25">
      <c r="A6977" s="5"/>
      <c r="B6977" s="1"/>
      <c r="C6977" s="1"/>
    </row>
    <row r="6978" spans="1:3" ht="14.25">
      <c r="A6978" s="5"/>
      <c r="B6978" s="1"/>
      <c r="C6978" s="1"/>
    </row>
    <row r="6979" spans="1:3" ht="14.25">
      <c r="A6979" s="5"/>
      <c r="B6979" s="1"/>
      <c r="C6979" s="1"/>
    </row>
    <row r="6980" spans="1:3" ht="14.25">
      <c r="A6980" s="5"/>
      <c r="B6980" s="1"/>
      <c r="C6980" s="1"/>
    </row>
    <row r="6981" spans="1:3" ht="14.25">
      <c r="A6981" s="5"/>
      <c r="B6981" s="1"/>
      <c r="C6981" s="1"/>
    </row>
    <row r="6982" spans="1:3" ht="14.25">
      <c r="A6982" s="5"/>
      <c r="B6982" s="1"/>
      <c r="C6982" s="1"/>
    </row>
    <row r="6983" spans="1:3" ht="14.25">
      <c r="A6983" s="5"/>
      <c r="B6983" s="1"/>
      <c r="C6983" s="1"/>
    </row>
    <row r="6984" spans="1:3" ht="14.25">
      <c r="A6984" s="5"/>
      <c r="B6984" s="1"/>
      <c r="C6984" s="1"/>
    </row>
    <row r="6985" spans="1:3" ht="14.25">
      <c r="A6985" s="5"/>
      <c r="B6985" s="1"/>
      <c r="C6985" s="1"/>
    </row>
    <row r="6986" spans="1:3" ht="14.25">
      <c r="A6986" s="5"/>
      <c r="B6986" s="1"/>
      <c r="C6986" s="1"/>
    </row>
    <row r="6987" spans="1:3" ht="14.25">
      <c r="A6987" s="5"/>
      <c r="B6987" s="1"/>
      <c r="C6987" s="1"/>
    </row>
    <row r="6988" spans="1:3" ht="14.25">
      <c r="A6988" s="5"/>
      <c r="B6988" s="1"/>
      <c r="C6988" s="1"/>
    </row>
    <row r="6989" spans="1:3" ht="14.25">
      <c r="A6989" s="5"/>
      <c r="B6989" s="1"/>
      <c r="C6989" s="1"/>
    </row>
    <row r="6990" spans="1:3" ht="14.25">
      <c r="A6990" s="5"/>
      <c r="B6990" s="1"/>
      <c r="C6990" s="1"/>
    </row>
    <row r="6991" spans="1:3" ht="14.25">
      <c r="A6991" s="5"/>
      <c r="B6991" s="1"/>
      <c r="C6991" s="1"/>
    </row>
    <row r="6992" spans="1:3" ht="14.25">
      <c r="A6992" s="5"/>
      <c r="B6992" s="1"/>
      <c r="C6992" s="1"/>
    </row>
    <row r="6993" spans="1:3" ht="14.25">
      <c r="A6993" s="5"/>
      <c r="B6993" s="1"/>
      <c r="C6993" s="1"/>
    </row>
    <row r="6994" spans="1:3" ht="14.25">
      <c r="A6994" s="5"/>
      <c r="B6994" s="1"/>
      <c r="C6994" s="1"/>
    </row>
    <row r="6995" spans="1:3" ht="14.25">
      <c r="A6995" s="5"/>
      <c r="B6995" s="1"/>
      <c r="C6995" s="1"/>
    </row>
    <row r="6996" spans="1:3" ht="14.25">
      <c r="A6996" s="5"/>
      <c r="B6996" s="1"/>
      <c r="C6996" s="1"/>
    </row>
    <row r="6997" spans="1:3" ht="14.25">
      <c r="A6997" s="5"/>
      <c r="B6997" s="1"/>
      <c r="C6997" s="1"/>
    </row>
    <row r="6998" spans="1:3" ht="14.25">
      <c r="A6998" s="5"/>
      <c r="B6998" s="1"/>
      <c r="C6998" s="1"/>
    </row>
    <row r="6999" spans="1:3" ht="14.25">
      <c r="A6999" s="5"/>
      <c r="B6999" s="1"/>
      <c r="C6999" s="1"/>
    </row>
    <row r="7000" spans="1:3" ht="14.25">
      <c r="A7000" s="5"/>
      <c r="B7000" s="1"/>
      <c r="C7000" s="1"/>
    </row>
    <row r="7001" spans="1:3" ht="14.25">
      <c r="A7001" s="5"/>
      <c r="B7001" s="1"/>
      <c r="C7001" s="1"/>
    </row>
    <row r="7002" spans="1:3" ht="14.25">
      <c r="A7002" s="5"/>
      <c r="B7002" s="1"/>
      <c r="C7002" s="1"/>
    </row>
    <row r="7003" spans="1:3" ht="14.25">
      <c r="A7003" s="5"/>
      <c r="B7003" s="1"/>
      <c r="C7003" s="1"/>
    </row>
    <row r="7004" spans="1:3" ht="14.25">
      <c r="A7004" s="5"/>
      <c r="B7004" s="1"/>
      <c r="C7004" s="1"/>
    </row>
    <row r="7005" spans="1:3" ht="14.25">
      <c r="A7005" s="5"/>
      <c r="B7005" s="1"/>
      <c r="C7005" s="1"/>
    </row>
    <row r="7006" spans="1:3" ht="14.25">
      <c r="A7006" s="5"/>
      <c r="B7006" s="1"/>
      <c r="C7006" s="1"/>
    </row>
    <row r="7007" spans="1:3" ht="14.25">
      <c r="A7007" s="5"/>
      <c r="B7007" s="1"/>
      <c r="C7007" s="1"/>
    </row>
    <row r="7008" spans="1:3" ht="14.25">
      <c r="A7008" s="5"/>
      <c r="B7008" s="1"/>
      <c r="C7008" s="1"/>
    </row>
    <row r="7009" spans="1:3" ht="14.25">
      <c r="A7009" s="5"/>
      <c r="B7009" s="1"/>
      <c r="C7009" s="1"/>
    </row>
    <row r="7010" spans="1:3" ht="14.25">
      <c r="A7010" s="5"/>
      <c r="B7010" s="1"/>
      <c r="C7010" s="1"/>
    </row>
    <row r="7011" spans="1:3" ht="14.25">
      <c r="A7011" s="5"/>
      <c r="B7011" s="1"/>
      <c r="C7011" s="1"/>
    </row>
    <row r="7012" spans="1:3" ht="14.25">
      <c r="A7012" s="5"/>
      <c r="B7012" s="1"/>
      <c r="C7012" s="1"/>
    </row>
    <row r="7013" spans="1:3" ht="14.25">
      <c r="A7013" s="5"/>
      <c r="B7013" s="1"/>
      <c r="C7013" s="1"/>
    </row>
    <row r="7014" spans="1:3" ht="14.25">
      <c r="A7014" s="5"/>
      <c r="B7014" s="1"/>
      <c r="C7014" s="1"/>
    </row>
    <row r="7015" spans="1:3" ht="14.25">
      <c r="A7015" s="5"/>
      <c r="B7015" s="1"/>
      <c r="C7015" s="1"/>
    </row>
    <row r="7016" spans="1:3" ht="14.25">
      <c r="A7016" s="5"/>
      <c r="B7016" s="1"/>
      <c r="C7016" s="1"/>
    </row>
    <row r="7017" spans="1:3" ht="14.25">
      <c r="A7017" s="5"/>
      <c r="B7017" s="1"/>
      <c r="C7017" s="1"/>
    </row>
    <row r="7018" spans="1:3" ht="14.25">
      <c r="A7018" s="5"/>
      <c r="B7018" s="1"/>
      <c r="C7018" s="1"/>
    </row>
    <row r="7019" spans="1:3" ht="14.25">
      <c r="A7019" s="5"/>
      <c r="B7019" s="1"/>
      <c r="C7019" s="1"/>
    </row>
    <row r="7020" spans="1:3" ht="14.25">
      <c r="A7020" s="5"/>
      <c r="B7020" s="1"/>
      <c r="C7020" s="1"/>
    </row>
    <row r="7021" spans="1:3" ht="14.25">
      <c r="A7021" s="5"/>
      <c r="B7021" s="1"/>
      <c r="C7021" s="1"/>
    </row>
    <row r="7022" spans="1:3" ht="14.25">
      <c r="A7022" s="5"/>
      <c r="B7022" s="1"/>
      <c r="C7022" s="1"/>
    </row>
    <row r="7023" spans="1:3" ht="14.25">
      <c r="A7023" s="5"/>
      <c r="B7023" s="1"/>
      <c r="C7023" s="1"/>
    </row>
    <row r="7024" spans="1:3" ht="14.25">
      <c r="A7024" s="5"/>
      <c r="B7024" s="1"/>
      <c r="C7024" s="1"/>
    </row>
    <row r="7025" spans="1:3" ht="14.25">
      <c r="A7025" s="5"/>
      <c r="B7025" s="1"/>
      <c r="C7025" s="1"/>
    </row>
    <row r="7026" spans="1:3" ht="14.25">
      <c r="A7026" s="5"/>
      <c r="B7026" s="1"/>
      <c r="C7026" s="1"/>
    </row>
    <row r="7027" spans="1:3" ht="14.25">
      <c r="A7027" s="5"/>
      <c r="B7027" s="1"/>
      <c r="C7027" s="1"/>
    </row>
    <row r="7028" spans="1:3" ht="14.25">
      <c r="A7028" s="5"/>
      <c r="B7028" s="1"/>
      <c r="C7028" s="1"/>
    </row>
    <row r="7029" spans="1:3" ht="14.25">
      <c r="A7029" s="5"/>
      <c r="B7029" s="1"/>
      <c r="C7029" s="1"/>
    </row>
    <row r="7030" spans="1:3" ht="14.25">
      <c r="A7030" s="5"/>
      <c r="B7030" s="1"/>
      <c r="C7030" s="1"/>
    </row>
    <row r="7031" spans="1:3" ht="14.25">
      <c r="A7031" s="5"/>
      <c r="B7031" s="1"/>
      <c r="C7031" s="1"/>
    </row>
    <row r="7032" spans="1:3" ht="14.25">
      <c r="A7032" s="5"/>
      <c r="B7032" s="1"/>
      <c r="C7032" s="1"/>
    </row>
    <row r="7033" spans="1:3" ht="14.25">
      <c r="A7033" s="5"/>
      <c r="B7033" s="1"/>
      <c r="C7033" s="1"/>
    </row>
    <row r="7034" spans="1:3" ht="14.25">
      <c r="A7034" s="5"/>
      <c r="B7034" s="1"/>
      <c r="C7034" s="1"/>
    </row>
    <row r="7035" spans="1:3" ht="14.25">
      <c r="A7035" s="5"/>
      <c r="B7035" s="1"/>
      <c r="C7035" s="1"/>
    </row>
    <row r="7036" spans="1:3" ht="14.25">
      <c r="A7036" s="5"/>
      <c r="B7036" s="1"/>
      <c r="C7036" s="1"/>
    </row>
    <row r="7037" spans="1:3" ht="14.25">
      <c r="A7037" s="5"/>
      <c r="B7037" s="1"/>
      <c r="C7037" s="1"/>
    </row>
    <row r="7038" spans="1:3" ht="14.25">
      <c r="A7038" s="5"/>
      <c r="B7038" s="1"/>
      <c r="C7038" s="1"/>
    </row>
    <row r="7039" spans="1:3" ht="14.25">
      <c r="A7039" s="5"/>
      <c r="B7039" s="1"/>
      <c r="C7039" s="1"/>
    </row>
    <row r="7040" spans="1:3" ht="14.25">
      <c r="A7040" s="5"/>
      <c r="B7040" s="1"/>
      <c r="C7040" s="1"/>
    </row>
    <row r="7041" spans="1:3" ht="14.25">
      <c r="A7041" s="5"/>
      <c r="B7041" s="1"/>
      <c r="C7041" s="1"/>
    </row>
    <row r="7042" spans="1:3" ht="14.25">
      <c r="A7042" s="5"/>
      <c r="B7042" s="1"/>
      <c r="C7042" s="1"/>
    </row>
    <row r="7043" spans="1:3" ht="14.25">
      <c r="A7043" s="5"/>
      <c r="B7043" s="1"/>
      <c r="C7043" s="1"/>
    </row>
    <row r="7044" spans="1:3" ht="14.25">
      <c r="A7044" s="5"/>
      <c r="B7044" s="1"/>
      <c r="C7044" s="1"/>
    </row>
    <row r="7045" spans="1:3" ht="14.25">
      <c r="A7045" s="5"/>
      <c r="B7045" s="1"/>
      <c r="C7045" s="1"/>
    </row>
    <row r="7046" spans="1:3" ht="14.25">
      <c r="A7046" s="5"/>
      <c r="B7046" s="1"/>
      <c r="C7046" s="1"/>
    </row>
    <row r="7047" spans="1:3" ht="14.25">
      <c r="A7047" s="5"/>
      <c r="B7047" s="1"/>
      <c r="C7047" s="1"/>
    </row>
    <row r="7048" spans="1:3" ht="14.25">
      <c r="A7048" s="5"/>
      <c r="B7048" s="1"/>
      <c r="C7048" s="1"/>
    </row>
    <row r="7049" spans="1:3" ht="14.25">
      <c r="A7049" s="5"/>
      <c r="B7049" s="1"/>
      <c r="C7049" s="1"/>
    </row>
    <row r="7050" spans="1:3" ht="14.25">
      <c r="A7050" s="5"/>
      <c r="B7050" s="1"/>
      <c r="C7050" s="1"/>
    </row>
    <row r="7051" spans="1:3" ht="14.25">
      <c r="A7051" s="5"/>
      <c r="B7051" s="1"/>
      <c r="C7051" s="1"/>
    </row>
    <row r="7052" spans="1:3" ht="14.25">
      <c r="A7052" s="5"/>
      <c r="B7052" s="1"/>
      <c r="C7052" s="1"/>
    </row>
    <row r="7053" spans="1:3" ht="14.25">
      <c r="A7053" s="5"/>
      <c r="B7053" s="1"/>
      <c r="C7053" s="1"/>
    </row>
    <row r="7054" spans="1:3" ht="14.25">
      <c r="A7054" s="5"/>
      <c r="B7054" s="1"/>
      <c r="C7054" s="1"/>
    </row>
    <row r="7055" spans="1:3" ht="14.25">
      <c r="A7055" s="5"/>
      <c r="B7055" s="1"/>
      <c r="C7055" s="1"/>
    </row>
    <row r="7056" spans="1:3" ht="14.25">
      <c r="A7056" s="5"/>
      <c r="B7056" s="1"/>
      <c r="C7056" s="1"/>
    </row>
    <row r="7057" spans="1:3" ht="14.25">
      <c r="A7057" s="5"/>
      <c r="B7057" s="1"/>
      <c r="C7057" s="1"/>
    </row>
    <row r="7058" spans="1:3" ht="14.25">
      <c r="A7058" s="5"/>
      <c r="B7058" s="1"/>
      <c r="C7058" s="1"/>
    </row>
    <row r="7059" spans="1:3" ht="14.25">
      <c r="A7059" s="5"/>
      <c r="B7059" s="1"/>
      <c r="C7059" s="1"/>
    </row>
    <row r="7060" spans="1:3" ht="14.25">
      <c r="A7060" s="5"/>
      <c r="B7060" s="1"/>
      <c r="C7060" s="1"/>
    </row>
    <row r="7061" spans="1:3" ht="14.25">
      <c r="A7061" s="5"/>
      <c r="B7061" s="1"/>
      <c r="C7061" s="1"/>
    </row>
    <row r="7062" spans="1:3" ht="14.25">
      <c r="A7062" s="5"/>
      <c r="B7062" s="1"/>
      <c r="C7062" s="1"/>
    </row>
    <row r="7063" spans="1:3" ht="14.25">
      <c r="A7063" s="5"/>
      <c r="B7063" s="1"/>
      <c r="C7063" s="1"/>
    </row>
    <row r="7064" spans="1:3" ht="14.25">
      <c r="A7064" s="5"/>
      <c r="B7064" s="1"/>
      <c r="C7064" s="1"/>
    </row>
    <row r="7065" spans="1:3" ht="14.25">
      <c r="A7065" s="5"/>
      <c r="B7065" s="1"/>
      <c r="C7065" s="1"/>
    </row>
    <row r="7066" spans="1:3" ht="14.25">
      <c r="A7066" s="5"/>
      <c r="B7066" s="1"/>
      <c r="C7066" s="1"/>
    </row>
    <row r="7067" spans="1:3" ht="14.25">
      <c r="A7067" s="5"/>
      <c r="B7067" s="1"/>
      <c r="C7067" s="1"/>
    </row>
    <row r="7068" spans="1:3" ht="14.25">
      <c r="A7068" s="5"/>
      <c r="B7068" s="1"/>
      <c r="C7068" s="1"/>
    </row>
    <row r="7069" spans="1:3" ht="14.25">
      <c r="A7069" s="5"/>
      <c r="B7069" s="1"/>
      <c r="C7069" s="1"/>
    </row>
    <row r="7070" spans="1:3" ht="14.25">
      <c r="A7070" s="5"/>
      <c r="B7070" s="1"/>
      <c r="C7070" s="1"/>
    </row>
    <row r="7071" spans="1:3" ht="14.25">
      <c r="A7071" s="5"/>
      <c r="B7071" s="1"/>
      <c r="C7071" s="1"/>
    </row>
    <row r="7072" spans="1:3" ht="14.25">
      <c r="A7072" s="5"/>
      <c r="B7072" s="1"/>
      <c r="C7072" s="1"/>
    </row>
    <row r="7073" spans="1:3" ht="14.25">
      <c r="A7073" s="5"/>
      <c r="B7073" s="1"/>
      <c r="C7073" s="1"/>
    </row>
    <row r="7074" spans="1:3" ht="14.25">
      <c r="A7074" s="5"/>
      <c r="B7074" s="1"/>
      <c r="C7074" s="1"/>
    </row>
    <row r="7075" spans="1:3" ht="14.25">
      <c r="A7075" s="5"/>
      <c r="B7075" s="1"/>
      <c r="C7075" s="1"/>
    </row>
    <row r="7076" spans="1:3" ht="14.25">
      <c r="A7076" s="5"/>
      <c r="B7076" s="1"/>
      <c r="C7076" s="1"/>
    </row>
    <row r="7077" spans="1:3" ht="14.25">
      <c r="A7077" s="5"/>
      <c r="B7077" s="1"/>
      <c r="C7077" s="1"/>
    </row>
    <row r="7078" spans="1:3" ht="14.25">
      <c r="A7078" s="5"/>
      <c r="B7078" s="1"/>
      <c r="C7078" s="1"/>
    </row>
    <row r="7079" spans="1:3" ht="14.25">
      <c r="A7079" s="5"/>
      <c r="B7079" s="1"/>
      <c r="C7079" s="1"/>
    </row>
    <row r="7080" spans="1:3" ht="14.25">
      <c r="A7080" s="5"/>
      <c r="B7080" s="1"/>
      <c r="C7080" s="1"/>
    </row>
    <row r="7081" spans="1:3" ht="14.25">
      <c r="A7081" s="5"/>
      <c r="B7081" s="1"/>
      <c r="C7081" s="1"/>
    </row>
    <row r="7082" spans="1:3" ht="14.25">
      <c r="A7082" s="5"/>
      <c r="B7082" s="1"/>
      <c r="C7082" s="1"/>
    </row>
    <row r="7083" spans="1:3" ht="14.25">
      <c r="A7083" s="5"/>
      <c r="B7083" s="1"/>
      <c r="C7083" s="1"/>
    </row>
    <row r="7084" spans="1:3" ht="14.25">
      <c r="A7084" s="5"/>
      <c r="B7084" s="1"/>
      <c r="C7084" s="1"/>
    </row>
    <row r="7085" spans="1:3" ht="14.25">
      <c r="A7085" s="5"/>
      <c r="B7085" s="1"/>
      <c r="C7085" s="1"/>
    </row>
    <row r="7086" spans="1:3" ht="14.25">
      <c r="A7086" s="5"/>
      <c r="B7086" s="1"/>
      <c r="C7086" s="1"/>
    </row>
    <row r="7087" spans="1:3" ht="14.25">
      <c r="A7087" s="5"/>
      <c r="B7087" s="1"/>
      <c r="C7087" s="1"/>
    </row>
    <row r="7088" spans="1:3" ht="14.25">
      <c r="A7088" s="5"/>
      <c r="B7088" s="1"/>
      <c r="C7088" s="1"/>
    </row>
    <row r="7089" spans="1:3" ht="14.25">
      <c r="A7089" s="5"/>
      <c r="B7089" s="1"/>
      <c r="C7089" s="1"/>
    </row>
    <row r="7090" spans="1:3" ht="14.25">
      <c r="A7090" s="5"/>
      <c r="B7090" s="1"/>
      <c r="C7090" s="1"/>
    </row>
    <row r="7091" spans="1:3" ht="14.25">
      <c r="A7091" s="5"/>
      <c r="B7091" s="1"/>
      <c r="C7091" s="1"/>
    </row>
    <row r="7092" spans="1:3" ht="14.25">
      <c r="A7092" s="5"/>
      <c r="B7092" s="1"/>
      <c r="C7092" s="1"/>
    </row>
    <row r="7093" spans="1:3" ht="14.25">
      <c r="A7093" s="5"/>
      <c r="B7093" s="1"/>
      <c r="C7093" s="1"/>
    </row>
    <row r="7094" spans="1:3" ht="14.25">
      <c r="A7094" s="5"/>
      <c r="B7094" s="1"/>
      <c r="C7094" s="1"/>
    </row>
    <row r="7095" spans="1:3" ht="14.25">
      <c r="A7095" s="5"/>
      <c r="B7095" s="1"/>
      <c r="C7095" s="1"/>
    </row>
    <row r="7096" spans="1:3" ht="14.25">
      <c r="A7096" s="5"/>
      <c r="B7096" s="1"/>
      <c r="C7096" s="1"/>
    </row>
    <row r="7097" spans="1:3" ht="14.25">
      <c r="A7097" s="5"/>
      <c r="B7097" s="1"/>
      <c r="C7097" s="1"/>
    </row>
    <row r="7098" spans="1:3" ht="14.25">
      <c r="A7098" s="5"/>
      <c r="B7098" s="1"/>
      <c r="C7098" s="1"/>
    </row>
    <row r="7099" spans="1:3" ht="14.25">
      <c r="A7099" s="5"/>
      <c r="B7099" s="1"/>
      <c r="C7099" s="1"/>
    </row>
    <row r="7100" spans="1:3" ht="14.25">
      <c r="A7100" s="5"/>
      <c r="B7100" s="1"/>
      <c r="C7100" s="1"/>
    </row>
    <row r="7101" spans="1:3" ht="14.25">
      <c r="A7101" s="5"/>
      <c r="B7101" s="1"/>
      <c r="C7101" s="1"/>
    </row>
    <row r="7102" spans="1:3" ht="14.25">
      <c r="A7102" s="5"/>
      <c r="B7102" s="1"/>
      <c r="C7102" s="1"/>
    </row>
    <row r="7103" spans="1:3" ht="14.25">
      <c r="A7103" s="5"/>
      <c r="B7103" s="1"/>
      <c r="C7103" s="1"/>
    </row>
    <row r="7104" spans="1:3" ht="14.25">
      <c r="A7104" s="5"/>
      <c r="B7104" s="1"/>
      <c r="C7104" s="1"/>
    </row>
    <row r="7105" spans="1:3" ht="14.25">
      <c r="A7105" s="5"/>
      <c r="B7105" s="1"/>
      <c r="C7105" s="1"/>
    </row>
    <row r="7106" spans="1:3" ht="14.25">
      <c r="A7106" s="5"/>
      <c r="B7106" s="1"/>
      <c r="C7106" s="1"/>
    </row>
    <row r="7107" spans="1:3" ht="14.25">
      <c r="A7107" s="5"/>
      <c r="B7107" s="1"/>
      <c r="C7107" s="1"/>
    </row>
    <row r="7108" spans="1:3" ht="14.25">
      <c r="A7108" s="5"/>
      <c r="B7108" s="1"/>
      <c r="C7108" s="1"/>
    </row>
    <row r="7109" spans="1:3" ht="14.25">
      <c r="A7109" s="5"/>
      <c r="B7109" s="1"/>
      <c r="C7109" s="1"/>
    </row>
    <row r="7110" spans="1:3" ht="14.25">
      <c r="A7110" s="5"/>
      <c r="B7110" s="1"/>
      <c r="C7110" s="1"/>
    </row>
    <row r="7111" spans="1:3" ht="14.25">
      <c r="A7111" s="5"/>
      <c r="B7111" s="1"/>
      <c r="C7111" s="1"/>
    </row>
    <row r="7112" spans="1:3" ht="14.25">
      <c r="A7112" s="5"/>
      <c r="B7112" s="1"/>
      <c r="C7112" s="1"/>
    </row>
    <row r="7113" spans="1:3" ht="14.25">
      <c r="A7113" s="5"/>
      <c r="B7113" s="1"/>
      <c r="C7113" s="1"/>
    </row>
    <row r="7114" spans="1:3" ht="14.25">
      <c r="A7114" s="5"/>
      <c r="B7114" s="1"/>
      <c r="C7114" s="1"/>
    </row>
    <row r="7115" spans="1:3" ht="14.25">
      <c r="A7115" s="5"/>
      <c r="B7115" s="1"/>
      <c r="C7115" s="1"/>
    </row>
    <row r="7116" spans="1:3" ht="14.25">
      <c r="A7116" s="5"/>
      <c r="B7116" s="1"/>
      <c r="C7116" s="1"/>
    </row>
    <row r="7117" spans="1:3" ht="14.25">
      <c r="A7117" s="5"/>
      <c r="B7117" s="1"/>
      <c r="C7117" s="1"/>
    </row>
    <row r="7118" spans="1:3" ht="14.25">
      <c r="A7118" s="5"/>
      <c r="B7118" s="1"/>
      <c r="C7118" s="1"/>
    </row>
    <row r="7119" spans="1:3" ht="14.25">
      <c r="A7119" s="5"/>
      <c r="B7119" s="1"/>
      <c r="C7119" s="1"/>
    </row>
    <row r="7120" spans="1:3" ht="14.25">
      <c r="A7120" s="5"/>
      <c r="B7120" s="1"/>
      <c r="C7120" s="1"/>
    </row>
    <row r="7121" spans="1:3" ht="14.25">
      <c r="A7121" s="5"/>
      <c r="B7121" s="1"/>
      <c r="C7121" s="1"/>
    </row>
    <row r="7122" spans="1:3" ht="14.25">
      <c r="A7122" s="5"/>
      <c r="B7122" s="1"/>
      <c r="C7122" s="1"/>
    </row>
    <row r="7123" spans="1:3" ht="14.25">
      <c r="A7123" s="5"/>
      <c r="B7123" s="1"/>
      <c r="C7123" s="1"/>
    </row>
    <row r="7124" spans="1:3" ht="14.25">
      <c r="A7124" s="5"/>
      <c r="B7124" s="1"/>
      <c r="C7124" s="1"/>
    </row>
    <row r="7125" spans="1:3" ht="14.25">
      <c r="A7125" s="5"/>
      <c r="B7125" s="1"/>
      <c r="C7125" s="1"/>
    </row>
    <row r="7126" spans="1:3" ht="14.25">
      <c r="A7126" s="5"/>
      <c r="B7126" s="1"/>
      <c r="C7126" s="1"/>
    </row>
    <row r="7127" spans="1:3" ht="14.25">
      <c r="A7127" s="5"/>
      <c r="B7127" s="1"/>
      <c r="C7127" s="1"/>
    </row>
    <row r="7128" spans="1:3" ht="14.25">
      <c r="A7128" s="5"/>
      <c r="B7128" s="1"/>
      <c r="C7128" s="1"/>
    </row>
    <row r="7129" spans="1:3" ht="14.25">
      <c r="A7129" s="5"/>
      <c r="B7129" s="1"/>
      <c r="C7129" s="1"/>
    </row>
    <row r="7130" spans="1:3" ht="14.25">
      <c r="A7130" s="5"/>
      <c r="B7130" s="1"/>
      <c r="C7130" s="1"/>
    </row>
    <row r="7131" spans="1:3" ht="14.25">
      <c r="A7131" s="5"/>
      <c r="B7131" s="1"/>
      <c r="C7131" s="1"/>
    </row>
    <row r="7132" spans="1:3" ht="14.25">
      <c r="A7132" s="5"/>
      <c r="B7132" s="1"/>
      <c r="C7132" s="1"/>
    </row>
    <row r="7133" spans="1:3" ht="14.25">
      <c r="A7133" s="5"/>
      <c r="B7133" s="1"/>
      <c r="C7133" s="1"/>
    </row>
    <row r="7134" spans="1:3" ht="14.25">
      <c r="A7134" s="5"/>
      <c r="B7134" s="1"/>
      <c r="C7134" s="1"/>
    </row>
    <row r="7135" spans="1:3" ht="14.25">
      <c r="A7135" s="5"/>
      <c r="B7135" s="1"/>
      <c r="C7135" s="1"/>
    </row>
    <row r="7136" spans="1:3" ht="14.25">
      <c r="A7136" s="5"/>
      <c r="B7136" s="1"/>
      <c r="C7136" s="1"/>
    </row>
    <row r="7137" spans="1:3" ht="14.25">
      <c r="A7137" s="5"/>
      <c r="B7137" s="1"/>
      <c r="C7137" s="1"/>
    </row>
    <row r="7138" spans="1:3" ht="14.25">
      <c r="A7138" s="5"/>
      <c r="B7138" s="1"/>
      <c r="C7138" s="1"/>
    </row>
    <row r="7139" spans="1:3" ht="14.25">
      <c r="A7139" s="5"/>
      <c r="B7139" s="1"/>
      <c r="C7139" s="1"/>
    </row>
    <row r="7140" spans="1:3" ht="14.25">
      <c r="A7140" s="5"/>
      <c r="B7140" s="1"/>
      <c r="C7140" s="1"/>
    </row>
    <row r="7141" spans="1:3" ht="14.25">
      <c r="A7141" s="5"/>
      <c r="B7141" s="1"/>
      <c r="C7141" s="1"/>
    </row>
    <row r="7142" spans="1:3" ht="14.25">
      <c r="A7142" s="5"/>
      <c r="B7142" s="1"/>
      <c r="C7142" s="1"/>
    </row>
    <row r="7143" spans="1:3" ht="14.25">
      <c r="A7143" s="5"/>
      <c r="B7143" s="1"/>
      <c r="C7143" s="1"/>
    </row>
    <row r="7144" spans="1:3" ht="14.25">
      <c r="A7144" s="5"/>
      <c r="B7144" s="1"/>
      <c r="C7144" s="1"/>
    </row>
    <row r="7145" spans="1:3" ht="14.25">
      <c r="A7145" s="5"/>
      <c r="B7145" s="1"/>
      <c r="C7145" s="1"/>
    </row>
    <row r="7146" spans="1:3" ht="14.25">
      <c r="A7146" s="5"/>
      <c r="B7146" s="1"/>
      <c r="C7146" s="1"/>
    </row>
    <row r="7147" spans="1:3" ht="14.25">
      <c r="A7147" s="5"/>
      <c r="B7147" s="1"/>
      <c r="C7147" s="1"/>
    </row>
    <row r="7148" spans="1:3" ht="14.25">
      <c r="A7148" s="5"/>
      <c r="B7148" s="1"/>
      <c r="C7148" s="1"/>
    </row>
    <row r="7149" spans="1:3" ht="14.25">
      <c r="A7149" s="5"/>
      <c r="B7149" s="1"/>
      <c r="C7149" s="1"/>
    </row>
    <row r="7150" spans="1:3" ht="14.25">
      <c r="A7150" s="5"/>
      <c r="B7150" s="1"/>
      <c r="C7150" s="1"/>
    </row>
    <row r="7151" spans="1:3" ht="14.25">
      <c r="A7151" s="5"/>
      <c r="B7151" s="1"/>
      <c r="C7151" s="1"/>
    </row>
    <row r="7152" spans="1:3" ht="14.25">
      <c r="A7152" s="5"/>
      <c r="B7152" s="1"/>
      <c r="C7152" s="1"/>
    </row>
    <row r="7153" spans="1:3" ht="14.25">
      <c r="A7153" s="5"/>
      <c r="B7153" s="1"/>
      <c r="C7153" s="1"/>
    </row>
    <row r="7154" spans="1:3" ht="14.25">
      <c r="A7154" s="5"/>
      <c r="B7154" s="1"/>
      <c r="C7154" s="1"/>
    </row>
    <row r="7155" spans="1:3" ht="14.25">
      <c r="A7155" s="5"/>
      <c r="B7155" s="1"/>
      <c r="C7155" s="1"/>
    </row>
    <row r="7156" spans="1:3" ht="14.25">
      <c r="A7156" s="5"/>
      <c r="B7156" s="1"/>
      <c r="C7156" s="1"/>
    </row>
    <row r="7157" spans="1:3" ht="14.25">
      <c r="A7157" s="5"/>
      <c r="B7157" s="1"/>
      <c r="C7157" s="1"/>
    </row>
    <row r="7158" spans="1:3" ht="14.25">
      <c r="A7158" s="5"/>
      <c r="B7158" s="1"/>
      <c r="C7158" s="1"/>
    </row>
    <row r="7159" spans="1:3" ht="14.25">
      <c r="A7159" s="5"/>
      <c r="B7159" s="1"/>
      <c r="C7159" s="1"/>
    </row>
    <row r="7160" spans="1:3" ht="14.25">
      <c r="A7160" s="5"/>
      <c r="B7160" s="1"/>
      <c r="C7160" s="1"/>
    </row>
    <row r="7161" spans="1:3" ht="14.25">
      <c r="A7161" s="5"/>
      <c r="B7161" s="1"/>
      <c r="C7161" s="1"/>
    </row>
    <row r="7162" spans="1:3" ht="14.25">
      <c r="A7162" s="5"/>
      <c r="B7162" s="1"/>
      <c r="C7162" s="1"/>
    </row>
    <row r="7163" spans="1:3" ht="14.25">
      <c r="A7163" s="5"/>
      <c r="B7163" s="1"/>
      <c r="C7163" s="1"/>
    </row>
    <row r="7164" spans="1:3" ht="14.25">
      <c r="A7164" s="5"/>
      <c r="B7164" s="1"/>
      <c r="C7164" s="1"/>
    </row>
    <row r="7165" spans="1:3" ht="14.25">
      <c r="A7165" s="5"/>
      <c r="B7165" s="1"/>
      <c r="C7165" s="1"/>
    </row>
    <row r="7166" spans="1:3" ht="14.25">
      <c r="A7166" s="5"/>
      <c r="B7166" s="1"/>
      <c r="C7166" s="1"/>
    </row>
    <row r="7167" spans="1:3" ht="14.25">
      <c r="A7167" s="5"/>
      <c r="B7167" s="1"/>
      <c r="C7167" s="1"/>
    </row>
    <row r="7168" spans="1:3" ht="14.25">
      <c r="A7168" s="5"/>
      <c r="B7168" s="1"/>
      <c r="C7168" s="1"/>
    </row>
    <row r="7169" spans="1:3" ht="14.25">
      <c r="A7169" s="5"/>
      <c r="B7169" s="1"/>
      <c r="C7169" s="1"/>
    </row>
    <row r="7170" spans="1:3" ht="14.25">
      <c r="A7170" s="5"/>
      <c r="B7170" s="1"/>
      <c r="C7170" s="1"/>
    </row>
    <row r="7171" spans="1:3" ht="14.25">
      <c r="A7171" s="5"/>
      <c r="B7171" s="1"/>
      <c r="C7171" s="1"/>
    </row>
    <row r="7172" spans="1:3" ht="14.25">
      <c r="A7172" s="5"/>
      <c r="B7172" s="1"/>
      <c r="C7172" s="1"/>
    </row>
    <row r="7173" spans="1:3" ht="14.25">
      <c r="A7173" s="5"/>
      <c r="B7173" s="1"/>
      <c r="C7173" s="1"/>
    </row>
    <row r="7174" spans="1:3" ht="14.25">
      <c r="A7174" s="5"/>
      <c r="B7174" s="1"/>
      <c r="C7174" s="1"/>
    </row>
    <row r="7175" spans="1:3" ht="14.25">
      <c r="A7175" s="5"/>
      <c r="B7175" s="1"/>
      <c r="C7175" s="1"/>
    </row>
    <row r="7176" spans="1:3" ht="14.25">
      <c r="A7176" s="5"/>
      <c r="B7176" s="1"/>
      <c r="C7176" s="1"/>
    </row>
    <row r="7177" spans="1:3" ht="14.25">
      <c r="A7177" s="5"/>
      <c r="B7177" s="1"/>
      <c r="C7177" s="1"/>
    </row>
    <row r="7178" spans="1:3" ht="14.25">
      <c r="A7178" s="5"/>
      <c r="B7178" s="1"/>
      <c r="C7178" s="1"/>
    </row>
    <row r="7179" spans="1:3" ht="14.25">
      <c r="A7179" s="5"/>
      <c r="B7179" s="1"/>
      <c r="C7179" s="1"/>
    </row>
    <row r="7180" spans="1:3" ht="14.25">
      <c r="A7180" s="5"/>
      <c r="B7180" s="1"/>
      <c r="C7180" s="1"/>
    </row>
    <row r="7181" spans="1:3" ht="14.25">
      <c r="A7181" s="5"/>
      <c r="B7181" s="1"/>
      <c r="C7181" s="1"/>
    </row>
    <row r="7182" spans="1:3" ht="14.25">
      <c r="A7182" s="5"/>
      <c r="B7182" s="1"/>
      <c r="C7182" s="1"/>
    </row>
    <row r="7183" spans="1:3" ht="14.25">
      <c r="A7183" s="5"/>
      <c r="B7183" s="1"/>
      <c r="C7183" s="1"/>
    </row>
    <row r="7184" spans="1:3" ht="14.25">
      <c r="A7184" s="5"/>
      <c r="B7184" s="1"/>
      <c r="C7184" s="1"/>
    </row>
    <row r="7185" spans="1:3" ht="14.25">
      <c r="A7185" s="5"/>
      <c r="B7185" s="1"/>
      <c r="C7185" s="1"/>
    </row>
    <row r="7186" spans="1:3" ht="14.25">
      <c r="A7186" s="5"/>
      <c r="B7186" s="1"/>
      <c r="C7186" s="1"/>
    </row>
    <row r="7187" spans="1:3" ht="14.25">
      <c r="A7187" s="5"/>
      <c r="B7187" s="1"/>
      <c r="C7187" s="1"/>
    </row>
    <row r="7188" spans="1:3" ht="14.25">
      <c r="A7188" s="5"/>
      <c r="B7188" s="1"/>
      <c r="C7188" s="1"/>
    </row>
    <row r="7189" spans="1:3" ht="14.25">
      <c r="A7189" s="5"/>
      <c r="B7189" s="1"/>
      <c r="C7189" s="1"/>
    </row>
    <row r="7190" spans="1:3" ht="14.25">
      <c r="A7190" s="5"/>
      <c r="B7190" s="1"/>
      <c r="C7190" s="1"/>
    </row>
    <row r="7191" spans="1:3" ht="14.25">
      <c r="A7191" s="5"/>
      <c r="B7191" s="1"/>
      <c r="C7191" s="1"/>
    </row>
    <row r="7192" spans="1:3" ht="14.25">
      <c r="A7192" s="5"/>
      <c r="B7192" s="1"/>
      <c r="C7192" s="1"/>
    </row>
    <row r="7193" spans="1:3" ht="14.25">
      <c r="A7193" s="5"/>
      <c r="B7193" s="1"/>
      <c r="C7193" s="1"/>
    </row>
    <row r="7194" spans="1:3" ht="14.25">
      <c r="A7194" s="5"/>
      <c r="B7194" s="1"/>
      <c r="C7194" s="1"/>
    </row>
    <row r="7195" spans="1:3" ht="14.25">
      <c r="A7195" s="5"/>
      <c r="B7195" s="1"/>
      <c r="C7195" s="1"/>
    </row>
    <row r="7196" spans="1:3" ht="14.25">
      <c r="A7196" s="5"/>
      <c r="B7196" s="1"/>
      <c r="C7196" s="1"/>
    </row>
    <row r="7197" spans="1:3" ht="14.25">
      <c r="A7197" s="5"/>
      <c r="B7197" s="1"/>
      <c r="C7197" s="1"/>
    </row>
    <row r="7198" spans="1:3" ht="14.25">
      <c r="A7198" s="5"/>
      <c r="B7198" s="1"/>
      <c r="C7198" s="1"/>
    </row>
    <row r="7199" spans="1:3" ht="14.25">
      <c r="A7199" s="5"/>
      <c r="B7199" s="1"/>
      <c r="C7199" s="1"/>
    </row>
    <row r="7200" spans="1:3" ht="14.25">
      <c r="A7200" s="5"/>
      <c r="B7200" s="1"/>
      <c r="C7200" s="1"/>
    </row>
    <row r="7201" spans="1:3" ht="14.25">
      <c r="A7201" s="5"/>
      <c r="B7201" s="1"/>
      <c r="C7201" s="1"/>
    </row>
    <row r="7202" spans="1:3" ht="14.25">
      <c r="A7202" s="5"/>
      <c r="B7202" s="1"/>
      <c r="C7202" s="1"/>
    </row>
    <row r="7203" spans="1:3" ht="14.25">
      <c r="A7203" s="5"/>
      <c r="B7203" s="1"/>
      <c r="C7203" s="1"/>
    </row>
    <row r="7204" spans="1:3" ht="14.25">
      <c r="A7204" s="5"/>
      <c r="B7204" s="1"/>
      <c r="C7204" s="1"/>
    </row>
    <row r="7205" spans="1:3" ht="14.25">
      <c r="A7205" s="5"/>
      <c r="B7205" s="1"/>
      <c r="C7205" s="1"/>
    </row>
    <row r="7206" spans="1:3" ht="14.25">
      <c r="A7206" s="5"/>
      <c r="B7206" s="1"/>
      <c r="C7206" s="1"/>
    </row>
    <row r="7207" spans="1:3" ht="14.25">
      <c r="A7207" s="5"/>
      <c r="B7207" s="1"/>
      <c r="C7207" s="1"/>
    </row>
    <row r="7208" spans="1:3" ht="14.25">
      <c r="A7208" s="5"/>
      <c r="B7208" s="1"/>
      <c r="C7208" s="1"/>
    </row>
    <row r="7209" spans="1:3" ht="14.25">
      <c r="A7209" s="5"/>
      <c r="B7209" s="1"/>
      <c r="C7209" s="1"/>
    </row>
    <row r="7210" spans="1:3" ht="14.25">
      <c r="A7210" s="5"/>
      <c r="B7210" s="1"/>
      <c r="C7210" s="1"/>
    </row>
    <row r="7211" spans="1:3" ht="14.25">
      <c r="A7211" s="5"/>
      <c r="B7211" s="1"/>
      <c r="C7211" s="1"/>
    </row>
    <row r="7212" spans="1:3" ht="14.25">
      <c r="A7212" s="5"/>
      <c r="B7212" s="1"/>
      <c r="C7212" s="1"/>
    </row>
    <row r="7213" spans="1:3" ht="14.25">
      <c r="A7213" s="5"/>
      <c r="B7213" s="1"/>
      <c r="C7213" s="1"/>
    </row>
    <row r="7214" spans="1:3" ht="14.25">
      <c r="A7214" s="5"/>
      <c r="B7214" s="1"/>
      <c r="C7214" s="1"/>
    </row>
    <row r="7215" spans="1:3" ht="14.25">
      <c r="A7215" s="5"/>
      <c r="B7215" s="1"/>
      <c r="C7215" s="1"/>
    </row>
    <row r="7216" spans="1:3" ht="14.25">
      <c r="A7216" s="5"/>
      <c r="B7216" s="1"/>
      <c r="C7216" s="1"/>
    </row>
    <row r="7217" spans="1:3" ht="14.25">
      <c r="A7217" s="5"/>
      <c r="B7217" s="1"/>
      <c r="C7217" s="1"/>
    </row>
    <row r="7218" spans="1:3" ht="14.25">
      <c r="A7218" s="5"/>
      <c r="B7218" s="1"/>
      <c r="C7218" s="1"/>
    </row>
    <row r="7219" spans="1:3" ht="14.25">
      <c r="A7219" s="5"/>
      <c r="B7219" s="1"/>
      <c r="C7219" s="1"/>
    </row>
    <row r="7220" spans="1:3" ht="14.25">
      <c r="A7220" s="5"/>
      <c r="B7220" s="1"/>
      <c r="C7220" s="1"/>
    </row>
    <row r="7221" spans="1:3" ht="14.25">
      <c r="A7221" s="5"/>
      <c r="B7221" s="1"/>
      <c r="C7221" s="1"/>
    </row>
    <row r="7222" spans="1:3" ht="14.25">
      <c r="A7222" s="5"/>
      <c r="B7222" s="1"/>
      <c r="C7222" s="1"/>
    </row>
    <row r="7223" spans="1:3" ht="14.25">
      <c r="A7223" s="5"/>
      <c r="B7223" s="1"/>
      <c r="C7223" s="1"/>
    </row>
    <row r="7224" spans="1:3" ht="14.25">
      <c r="A7224" s="5"/>
      <c r="B7224" s="1"/>
      <c r="C7224" s="1"/>
    </row>
    <row r="7225" spans="1:3" ht="14.25">
      <c r="A7225" s="5"/>
      <c r="B7225" s="1"/>
      <c r="C7225" s="1"/>
    </row>
    <row r="7226" spans="1:3" ht="14.25">
      <c r="A7226" s="5"/>
      <c r="B7226" s="1"/>
      <c r="C7226" s="1"/>
    </row>
    <row r="7227" spans="1:3" ht="14.25">
      <c r="A7227" s="5"/>
      <c r="B7227" s="1"/>
      <c r="C7227" s="1"/>
    </row>
    <row r="7228" spans="1:3" ht="14.25">
      <c r="A7228" s="5"/>
      <c r="B7228" s="1"/>
      <c r="C7228" s="1"/>
    </row>
    <row r="7229" spans="1:3" ht="14.25">
      <c r="A7229" s="5"/>
      <c r="B7229" s="1"/>
      <c r="C7229" s="1"/>
    </row>
    <row r="7230" spans="1:3" ht="14.25">
      <c r="A7230" s="5"/>
      <c r="B7230" s="1"/>
      <c r="C7230" s="1"/>
    </row>
    <row r="7231" spans="1:3" ht="14.25">
      <c r="A7231" s="5"/>
      <c r="B7231" s="1"/>
      <c r="C7231" s="1"/>
    </row>
    <row r="7232" spans="1:3" ht="14.25">
      <c r="A7232" s="5"/>
      <c r="B7232" s="1"/>
      <c r="C7232" s="1"/>
    </row>
    <row r="7233" spans="1:3" ht="14.25">
      <c r="A7233" s="5"/>
      <c r="B7233" s="1"/>
      <c r="C7233" s="1"/>
    </row>
    <row r="7234" spans="1:3" ht="14.25">
      <c r="A7234" s="5"/>
      <c r="B7234" s="1"/>
      <c r="C7234" s="1"/>
    </row>
    <row r="7235" spans="1:3" ht="14.25">
      <c r="A7235" s="5"/>
      <c r="B7235" s="1"/>
      <c r="C7235" s="1"/>
    </row>
    <row r="7236" spans="1:3" ht="14.25">
      <c r="A7236" s="5"/>
      <c r="B7236" s="1"/>
      <c r="C7236" s="1"/>
    </row>
    <row r="7237" spans="1:3" ht="14.25">
      <c r="A7237" s="5"/>
      <c r="B7237" s="1"/>
      <c r="C7237" s="1"/>
    </row>
    <row r="7238" spans="1:3" ht="14.25">
      <c r="A7238" s="5"/>
      <c r="B7238" s="1"/>
      <c r="C7238" s="1"/>
    </row>
    <row r="7239" spans="1:3" ht="14.25">
      <c r="A7239" s="5"/>
      <c r="B7239" s="1"/>
      <c r="C7239" s="1"/>
    </row>
    <row r="7240" spans="1:3" ht="14.25">
      <c r="A7240" s="5"/>
      <c r="B7240" s="1"/>
      <c r="C7240" s="1"/>
    </row>
    <row r="7241" spans="1:3" ht="14.25">
      <c r="A7241" s="5"/>
      <c r="B7241" s="1"/>
      <c r="C7241" s="1"/>
    </row>
    <row r="7242" spans="1:3" ht="14.25">
      <c r="A7242" s="5"/>
      <c r="B7242" s="1"/>
      <c r="C7242" s="1"/>
    </row>
    <row r="7243" spans="1:3" ht="14.25">
      <c r="A7243" s="5"/>
      <c r="B7243" s="1"/>
      <c r="C7243" s="1"/>
    </row>
    <row r="7244" spans="1:3" ht="14.25">
      <c r="A7244" s="5"/>
      <c r="B7244" s="1"/>
      <c r="C7244" s="1"/>
    </row>
    <row r="7245" spans="1:3" ht="14.25">
      <c r="A7245" s="5"/>
      <c r="B7245" s="1"/>
      <c r="C7245" s="1"/>
    </row>
    <row r="7246" spans="1:3" ht="14.25">
      <c r="A7246" s="5"/>
      <c r="B7246" s="1"/>
      <c r="C7246" s="1"/>
    </row>
    <row r="7247" spans="1:3" ht="14.25">
      <c r="A7247" s="5"/>
      <c r="B7247" s="1"/>
      <c r="C7247" s="1"/>
    </row>
    <row r="7248" spans="1:3" ht="14.25">
      <c r="A7248" s="5"/>
      <c r="B7248" s="1"/>
      <c r="C7248" s="1"/>
    </row>
    <row r="7249" spans="1:3" ht="14.25">
      <c r="A7249" s="5"/>
      <c r="B7249" s="1"/>
      <c r="C7249" s="1"/>
    </row>
    <row r="7250" spans="1:3" ht="14.25">
      <c r="A7250" s="5"/>
      <c r="B7250" s="1"/>
      <c r="C7250" s="1"/>
    </row>
    <row r="7251" spans="1:3" ht="14.25">
      <c r="A7251" s="5"/>
      <c r="B7251" s="1"/>
      <c r="C7251" s="1"/>
    </row>
    <row r="7252" spans="1:3" ht="14.25">
      <c r="A7252" s="5"/>
      <c r="B7252" s="1"/>
      <c r="C7252" s="1"/>
    </row>
    <row r="7253" spans="1:3" ht="14.25">
      <c r="A7253" s="5"/>
      <c r="B7253" s="1"/>
      <c r="C7253" s="1"/>
    </row>
    <row r="7254" spans="1:3" ht="14.25">
      <c r="A7254" s="5"/>
      <c r="B7254" s="1"/>
      <c r="C7254" s="1"/>
    </row>
    <row r="7255" spans="1:3" ht="14.25">
      <c r="A7255" s="5"/>
      <c r="B7255" s="1"/>
      <c r="C7255" s="1"/>
    </row>
    <row r="7256" spans="1:3" ht="14.25">
      <c r="A7256" s="5"/>
      <c r="B7256" s="1"/>
      <c r="C7256" s="1"/>
    </row>
    <row r="7257" spans="1:3" ht="14.25">
      <c r="A7257" s="5"/>
      <c r="B7257" s="1"/>
      <c r="C7257" s="1"/>
    </row>
    <row r="7258" spans="1:3" ht="14.25">
      <c r="A7258" s="5"/>
      <c r="B7258" s="1"/>
      <c r="C7258" s="1"/>
    </row>
    <row r="7259" spans="1:3" ht="14.25">
      <c r="A7259" s="5"/>
      <c r="B7259" s="1"/>
      <c r="C7259" s="1"/>
    </row>
    <row r="7260" spans="1:3" ht="14.25">
      <c r="A7260" s="5"/>
      <c r="B7260" s="1"/>
      <c r="C7260" s="1"/>
    </row>
    <row r="7261" spans="1:3" ht="14.25">
      <c r="A7261" s="5"/>
      <c r="B7261" s="1"/>
      <c r="C7261" s="1"/>
    </row>
    <row r="7262" spans="1:3" ht="14.25">
      <c r="A7262" s="5"/>
      <c r="B7262" s="1"/>
      <c r="C7262" s="1"/>
    </row>
    <row r="7263" spans="1:3" ht="14.25">
      <c r="A7263" s="5"/>
      <c r="B7263" s="1"/>
      <c r="C7263" s="1"/>
    </row>
    <row r="7264" spans="1:3" ht="14.25">
      <c r="A7264" s="5"/>
      <c r="B7264" s="1"/>
      <c r="C7264" s="1"/>
    </row>
    <row r="7265" spans="1:3" ht="14.25">
      <c r="A7265" s="5"/>
      <c r="B7265" s="1"/>
      <c r="C7265" s="1"/>
    </row>
    <row r="7266" spans="1:3" ht="14.25">
      <c r="A7266" s="5"/>
      <c r="B7266" s="1"/>
      <c r="C7266" s="1"/>
    </row>
    <row r="7267" spans="1:3" ht="14.25">
      <c r="A7267" s="5"/>
      <c r="B7267" s="1"/>
      <c r="C7267" s="1"/>
    </row>
    <row r="7268" spans="1:3" ht="14.25">
      <c r="A7268" s="5"/>
      <c r="B7268" s="1"/>
      <c r="C7268" s="1"/>
    </row>
    <row r="7269" spans="1:3" ht="14.25">
      <c r="A7269" s="5"/>
      <c r="B7269" s="1"/>
      <c r="C7269" s="1"/>
    </row>
    <row r="7270" spans="1:3" ht="14.25">
      <c r="A7270" s="5"/>
      <c r="B7270" s="1"/>
      <c r="C7270" s="1"/>
    </row>
    <row r="7271" spans="1:3" ht="14.25">
      <c r="A7271" s="5"/>
      <c r="B7271" s="1"/>
      <c r="C7271" s="1"/>
    </row>
    <row r="7272" spans="1:3" ht="14.25">
      <c r="A7272" s="5"/>
      <c r="B7272" s="1"/>
      <c r="C7272" s="1"/>
    </row>
    <row r="7273" spans="1:3" ht="14.25">
      <c r="A7273" s="5"/>
      <c r="B7273" s="1"/>
      <c r="C7273" s="1"/>
    </row>
    <row r="7274" spans="1:3" ht="14.25">
      <c r="A7274" s="5"/>
      <c r="B7274" s="1"/>
      <c r="C7274" s="1"/>
    </row>
    <row r="7275" spans="1:3" ht="14.25">
      <c r="A7275" s="5"/>
      <c r="B7275" s="1"/>
      <c r="C7275" s="1"/>
    </row>
    <row r="7276" spans="1:3" ht="14.25">
      <c r="A7276" s="5"/>
      <c r="B7276" s="1"/>
      <c r="C7276" s="1"/>
    </row>
    <row r="7277" spans="1:3" ht="14.25">
      <c r="A7277" s="5"/>
      <c r="B7277" s="1"/>
      <c r="C7277" s="1"/>
    </row>
    <row r="7278" spans="1:3" ht="14.25">
      <c r="A7278" s="5"/>
      <c r="B7278" s="1"/>
      <c r="C7278" s="1"/>
    </row>
    <row r="7279" spans="1:3" ht="14.25">
      <c r="A7279" s="5"/>
      <c r="B7279" s="1"/>
      <c r="C7279" s="1"/>
    </row>
    <row r="7280" spans="1:3" ht="14.25">
      <c r="A7280" s="5"/>
      <c r="B7280" s="1"/>
      <c r="C7280" s="1"/>
    </row>
    <row r="7281" spans="1:3" ht="14.25">
      <c r="A7281" s="5"/>
      <c r="B7281" s="1"/>
      <c r="C7281" s="1"/>
    </row>
    <row r="7282" spans="1:3" ht="14.25">
      <c r="A7282" s="5"/>
      <c r="B7282" s="1"/>
      <c r="C7282" s="1"/>
    </row>
    <row r="7283" spans="1:3" ht="14.25">
      <c r="A7283" s="5"/>
      <c r="B7283" s="1"/>
      <c r="C7283" s="1"/>
    </row>
    <row r="7284" spans="1:3" ht="14.25">
      <c r="A7284" s="5"/>
      <c r="B7284" s="1"/>
      <c r="C7284" s="1"/>
    </row>
    <row r="7285" spans="1:3" ht="14.25">
      <c r="A7285" s="5"/>
      <c r="B7285" s="1"/>
      <c r="C7285" s="1"/>
    </row>
    <row r="7286" spans="1:3" ht="14.25">
      <c r="A7286" s="5"/>
      <c r="B7286" s="1"/>
      <c r="C7286" s="1"/>
    </row>
    <row r="7287" spans="1:3" ht="14.25">
      <c r="A7287" s="5"/>
      <c r="B7287" s="1"/>
      <c r="C7287" s="1"/>
    </row>
    <row r="7288" spans="1:3" ht="14.25">
      <c r="A7288" s="5"/>
      <c r="B7288" s="1"/>
      <c r="C7288" s="1"/>
    </row>
    <row r="7289" spans="1:3" ht="14.25">
      <c r="A7289" s="5"/>
      <c r="B7289" s="1"/>
      <c r="C7289" s="1"/>
    </row>
    <row r="7290" spans="1:3" ht="14.25">
      <c r="A7290" s="5"/>
      <c r="B7290" s="1"/>
      <c r="C7290" s="1"/>
    </row>
    <row r="7291" spans="1:3" ht="14.25">
      <c r="A7291" s="5"/>
      <c r="B7291" s="1"/>
      <c r="C7291" s="1"/>
    </row>
    <row r="7292" spans="1:3" ht="14.25">
      <c r="A7292" s="5"/>
      <c r="B7292" s="1"/>
      <c r="C7292" s="1"/>
    </row>
    <row r="7293" spans="1:3" ht="14.25">
      <c r="A7293" s="5"/>
      <c r="B7293" s="1"/>
      <c r="C7293" s="1"/>
    </row>
    <row r="7294" spans="1:3" ht="14.25">
      <c r="A7294" s="5"/>
      <c r="B7294" s="1"/>
      <c r="C7294" s="1"/>
    </row>
    <row r="7295" spans="1:3" ht="14.25">
      <c r="A7295" s="5"/>
      <c r="B7295" s="1"/>
      <c r="C7295" s="1"/>
    </row>
    <row r="7296" spans="1:3" ht="14.25">
      <c r="A7296" s="5"/>
      <c r="B7296" s="1"/>
      <c r="C7296" s="1"/>
    </row>
    <row r="7297" spans="1:3" ht="14.25">
      <c r="A7297" s="5"/>
      <c r="B7297" s="1"/>
      <c r="C7297" s="1"/>
    </row>
    <row r="7298" spans="1:3" ht="14.25">
      <c r="A7298" s="5"/>
      <c r="B7298" s="1"/>
      <c r="C7298" s="1"/>
    </row>
    <row r="7299" spans="1:3" ht="14.25">
      <c r="A7299" s="5"/>
      <c r="B7299" s="1"/>
      <c r="C7299" s="1"/>
    </row>
    <row r="7300" spans="1:3" ht="14.25">
      <c r="A7300" s="5"/>
      <c r="B7300" s="1"/>
      <c r="C7300" s="1"/>
    </row>
    <row r="7301" spans="1:3" ht="14.25">
      <c r="A7301" s="5"/>
      <c r="B7301" s="1"/>
      <c r="C7301" s="1"/>
    </row>
    <row r="7302" spans="1:3" ht="14.25">
      <c r="A7302" s="5"/>
      <c r="B7302" s="1"/>
      <c r="C7302" s="1"/>
    </row>
    <row r="7303" spans="1:3" ht="14.25">
      <c r="A7303" s="5"/>
      <c r="B7303" s="1"/>
      <c r="C7303" s="1"/>
    </row>
    <row r="7304" spans="1:3" ht="14.25">
      <c r="A7304" s="5"/>
      <c r="B7304" s="1"/>
      <c r="C7304" s="1"/>
    </row>
    <row r="7305" spans="1:3" ht="14.25">
      <c r="A7305" s="5"/>
      <c r="B7305" s="1"/>
      <c r="C7305" s="1"/>
    </row>
    <row r="7306" spans="1:3" ht="14.25">
      <c r="A7306" s="5"/>
      <c r="B7306" s="1"/>
      <c r="C7306" s="1"/>
    </row>
    <row r="7307" spans="1:3" ht="14.25">
      <c r="A7307" s="5"/>
      <c r="B7307" s="1"/>
      <c r="C7307" s="1"/>
    </row>
    <row r="7308" spans="1:3" ht="14.25">
      <c r="A7308" s="5"/>
      <c r="B7308" s="1"/>
      <c r="C7308" s="1"/>
    </row>
    <row r="7309" spans="1:3" ht="14.25">
      <c r="A7309" s="5"/>
      <c r="B7309" s="1"/>
      <c r="C7309" s="1"/>
    </row>
    <row r="7310" spans="1:3" ht="14.25">
      <c r="A7310" s="5"/>
      <c r="B7310" s="1"/>
      <c r="C7310" s="1"/>
    </row>
    <row r="7311" spans="1:3" ht="14.25">
      <c r="A7311" s="5"/>
      <c r="B7311" s="1"/>
      <c r="C7311" s="1"/>
    </row>
    <row r="7312" spans="1:3" ht="14.25">
      <c r="A7312" s="5"/>
      <c r="B7312" s="1"/>
      <c r="C7312" s="1"/>
    </row>
    <row r="7313" spans="1:3" ht="14.25">
      <c r="A7313" s="5"/>
      <c r="B7313" s="1"/>
      <c r="C7313" s="1"/>
    </row>
    <row r="7314" spans="1:3" ht="14.25">
      <c r="A7314" s="5"/>
      <c r="B7314" s="1"/>
      <c r="C7314" s="1"/>
    </row>
    <row r="7315" spans="1:3" ht="14.25">
      <c r="A7315" s="5"/>
      <c r="B7315" s="1"/>
      <c r="C7315" s="1"/>
    </row>
    <row r="7316" spans="1:3" ht="14.25">
      <c r="A7316" s="5"/>
      <c r="B7316" s="1"/>
      <c r="C7316" s="1"/>
    </row>
    <row r="7317" spans="1:3" ht="14.25">
      <c r="A7317" s="5"/>
      <c r="B7317" s="1"/>
      <c r="C7317" s="1"/>
    </row>
    <row r="7318" spans="1:3" ht="14.25">
      <c r="A7318" s="5"/>
      <c r="B7318" s="1"/>
      <c r="C7318" s="1"/>
    </row>
    <row r="7319" spans="1:3" ht="14.25">
      <c r="A7319" s="5"/>
      <c r="B7319" s="1"/>
      <c r="C7319" s="1"/>
    </row>
    <row r="7320" spans="1:3" ht="14.25">
      <c r="A7320" s="5"/>
      <c r="B7320" s="1"/>
      <c r="C7320" s="1"/>
    </row>
    <row r="7321" spans="1:3" ht="14.25">
      <c r="A7321" s="5"/>
      <c r="B7321" s="1"/>
      <c r="C7321" s="1"/>
    </row>
    <row r="7322" spans="1:3" ht="14.25">
      <c r="A7322" s="5"/>
      <c r="B7322" s="1"/>
      <c r="C7322" s="1"/>
    </row>
    <row r="7323" spans="1:3" ht="14.25">
      <c r="A7323" s="5"/>
      <c r="B7323" s="1"/>
      <c r="C7323" s="1"/>
    </row>
    <row r="7324" spans="1:3" ht="14.25">
      <c r="A7324" s="5"/>
      <c r="B7324" s="1"/>
      <c r="C7324" s="1"/>
    </row>
    <row r="7325" spans="1:3" ht="14.25">
      <c r="A7325" s="5"/>
      <c r="B7325" s="1"/>
      <c r="C7325" s="1"/>
    </row>
    <row r="7326" spans="1:3" ht="14.25">
      <c r="A7326" s="5"/>
      <c r="B7326" s="1"/>
      <c r="C7326" s="1"/>
    </row>
    <row r="7327" spans="1:3" ht="14.25">
      <c r="A7327" s="5"/>
      <c r="B7327" s="1"/>
      <c r="C7327" s="1"/>
    </row>
    <row r="7328" spans="1:3" ht="14.25">
      <c r="A7328" s="5"/>
      <c r="B7328" s="1"/>
      <c r="C7328" s="1"/>
    </row>
    <row r="7329" spans="1:3" ht="14.25">
      <c r="A7329" s="5"/>
      <c r="B7329" s="1"/>
      <c r="C7329" s="1"/>
    </row>
    <row r="7330" spans="1:3" ht="14.25">
      <c r="A7330" s="5"/>
      <c r="B7330" s="1"/>
      <c r="C7330" s="1"/>
    </row>
    <row r="7331" spans="1:3" ht="14.25">
      <c r="A7331" s="5"/>
      <c r="B7331" s="1"/>
      <c r="C7331" s="1"/>
    </row>
    <row r="7332" spans="1:3" ht="14.25">
      <c r="A7332" s="5"/>
      <c r="B7332" s="1"/>
      <c r="C7332" s="1"/>
    </row>
    <row r="7333" spans="1:3" ht="14.25">
      <c r="A7333" s="5"/>
      <c r="B7333" s="1"/>
      <c r="C7333" s="1"/>
    </row>
    <row r="7334" spans="1:3" ht="14.25">
      <c r="A7334" s="5"/>
      <c r="B7334" s="1"/>
      <c r="C7334" s="1"/>
    </row>
    <row r="7335" spans="1:3" ht="14.25">
      <c r="A7335" s="5"/>
      <c r="B7335" s="1"/>
      <c r="C7335" s="1"/>
    </row>
    <row r="7336" spans="1:3" ht="14.25">
      <c r="A7336" s="5"/>
      <c r="B7336" s="1"/>
      <c r="C7336" s="1"/>
    </row>
    <row r="7337" spans="1:3" ht="14.25">
      <c r="A7337" s="5"/>
      <c r="B7337" s="1"/>
      <c r="C7337" s="1"/>
    </row>
    <row r="7338" spans="1:3" ht="14.25">
      <c r="A7338" s="5"/>
      <c r="B7338" s="1"/>
      <c r="C7338" s="1"/>
    </row>
    <row r="7339" spans="1:3" ht="14.25">
      <c r="A7339" s="5"/>
      <c r="B7339" s="1"/>
      <c r="C7339" s="1"/>
    </row>
    <row r="7340" spans="1:3" ht="14.25">
      <c r="A7340" s="5"/>
      <c r="B7340" s="1"/>
      <c r="C7340" s="1"/>
    </row>
    <row r="7341" spans="1:3" ht="14.25">
      <c r="A7341" s="5"/>
      <c r="B7341" s="1"/>
      <c r="C7341" s="1"/>
    </row>
    <row r="7342" spans="1:3" ht="14.25">
      <c r="A7342" s="5"/>
      <c r="B7342" s="1"/>
      <c r="C7342" s="1"/>
    </row>
    <row r="7343" spans="1:3" ht="14.25">
      <c r="A7343" s="5"/>
      <c r="B7343" s="1"/>
      <c r="C7343" s="1"/>
    </row>
    <row r="7344" spans="1:3" ht="14.25">
      <c r="A7344" s="5"/>
      <c r="B7344" s="1"/>
      <c r="C7344" s="1"/>
    </row>
    <row r="7345" spans="1:3" ht="14.25">
      <c r="A7345" s="5"/>
      <c r="B7345" s="1"/>
      <c r="C7345" s="1"/>
    </row>
    <row r="7346" spans="1:3" ht="14.25">
      <c r="A7346" s="5"/>
      <c r="B7346" s="1"/>
      <c r="C7346" s="1"/>
    </row>
    <row r="7347" spans="1:3" ht="14.25">
      <c r="A7347" s="5"/>
      <c r="B7347" s="1"/>
      <c r="C7347" s="1"/>
    </row>
    <row r="7348" spans="1:3" ht="14.25">
      <c r="A7348" s="5"/>
      <c r="B7348" s="1"/>
      <c r="C7348" s="1"/>
    </row>
    <row r="7349" spans="1:3" ht="14.25">
      <c r="A7349" s="5"/>
      <c r="B7349" s="1"/>
      <c r="C7349" s="1"/>
    </row>
    <row r="7350" spans="1:3" ht="14.25">
      <c r="A7350" s="5"/>
      <c r="B7350" s="1"/>
      <c r="C7350" s="1"/>
    </row>
    <row r="7351" spans="1:3" ht="14.25">
      <c r="A7351" s="5"/>
      <c r="B7351" s="1"/>
      <c r="C7351" s="1"/>
    </row>
    <row r="7352" spans="1:3" ht="14.25">
      <c r="A7352" s="5"/>
      <c r="B7352" s="1"/>
      <c r="C7352" s="1"/>
    </row>
    <row r="7353" spans="1:3" ht="14.25">
      <c r="A7353" s="5"/>
      <c r="B7353" s="1"/>
      <c r="C7353" s="1"/>
    </row>
  </sheetData>
  <mergeCells count="134">
    <mergeCell ref="B6133:C6133"/>
    <mergeCell ref="B6136:C6136"/>
    <mergeCell ref="B6139:C6139"/>
    <mergeCell ref="B6149:C6149"/>
    <mergeCell ref="B6151:C6151"/>
    <mergeCell ref="B6153:C6153"/>
    <mergeCell ref="B6157:C615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32:C6132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200:C6200"/>
    <mergeCell ref="B6201:C6201"/>
    <mergeCell ref="B6202:C6202"/>
    <mergeCell ref="B6203:C6203"/>
    <mergeCell ref="B6204:C6204"/>
    <mergeCell ref="B6205:C6205"/>
    <mergeCell ref="B6191:C6191"/>
    <mergeCell ref="B6192:C6192"/>
    <mergeCell ref="B6193:C6193"/>
    <mergeCell ref="B6194:C6194"/>
    <mergeCell ref="B6195:C6195"/>
    <mergeCell ref="B6196:C6196"/>
    <mergeCell ref="B6197:C6197"/>
    <mergeCell ref="B6184:C6184"/>
    <mergeCell ref="B6185:C6185"/>
    <mergeCell ref="B6186:C6186"/>
    <mergeCell ref="B6187:C6187"/>
    <mergeCell ref="B6188:C6188"/>
    <mergeCell ref="B6189:C6189"/>
    <mergeCell ref="B6190:C6190"/>
    <mergeCell ref="B6198:C6198"/>
    <mergeCell ref="B6199:C6199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081:C6081"/>
    <mergeCell ref="B6082:C6082"/>
    <mergeCell ref="B6083:C6083"/>
    <mergeCell ref="B6084:C6084"/>
    <mergeCell ref="B6159:C6159"/>
    <mergeCell ref="B6160:C6160"/>
    <mergeCell ref="B6170:C6170"/>
    <mergeCell ref="B6172:C6172"/>
    <mergeCell ref="B6174:C617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44:C6044"/>
    <mergeCell ref="B6045:C6045"/>
    <mergeCell ref="B6046:C6046"/>
    <mergeCell ref="B6047:C6047"/>
    <mergeCell ref="B6048:C6048"/>
    <mergeCell ref="B6050:C6050"/>
    <mergeCell ref="B6051:C6051"/>
    <mergeCell ref="B6052:C6052"/>
    <mergeCell ref="B6053:C6053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</mergeCell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  <hyperlink ref="D90" r:id="rId89" xr:uid="{00000000-0004-0000-0100-000058000000}"/>
    <hyperlink ref="D91" r:id="rId90" xr:uid="{00000000-0004-0000-0100-000059000000}"/>
    <hyperlink ref="D92" r:id="rId91" xr:uid="{00000000-0004-0000-0100-00005A000000}"/>
    <hyperlink ref="D93" r:id="rId92" xr:uid="{00000000-0004-0000-0100-00005B000000}"/>
    <hyperlink ref="D94" r:id="rId93" xr:uid="{00000000-0004-0000-0100-00005C000000}"/>
    <hyperlink ref="D95" r:id="rId94" xr:uid="{00000000-0004-0000-0100-00005D000000}"/>
    <hyperlink ref="D96" r:id="rId95" xr:uid="{00000000-0004-0000-0100-00005E000000}"/>
    <hyperlink ref="D97" r:id="rId96" xr:uid="{00000000-0004-0000-0100-00005F000000}"/>
    <hyperlink ref="D98" r:id="rId97" xr:uid="{00000000-0004-0000-0100-000060000000}"/>
    <hyperlink ref="D99" r:id="rId98" xr:uid="{00000000-0004-0000-0100-000061000000}"/>
    <hyperlink ref="D100" r:id="rId99" xr:uid="{00000000-0004-0000-0100-000062000000}"/>
    <hyperlink ref="D101" r:id="rId100" xr:uid="{00000000-0004-0000-0100-000063000000}"/>
    <hyperlink ref="D102" r:id="rId101" xr:uid="{00000000-0004-0000-0100-000064000000}"/>
    <hyperlink ref="D103" r:id="rId102" xr:uid="{00000000-0004-0000-0100-000065000000}"/>
    <hyperlink ref="D104" r:id="rId103" xr:uid="{00000000-0004-0000-0100-000066000000}"/>
    <hyperlink ref="D105" r:id="rId104" xr:uid="{00000000-0004-0000-0100-000067000000}"/>
    <hyperlink ref="D106" r:id="rId105" xr:uid="{00000000-0004-0000-0100-000068000000}"/>
    <hyperlink ref="D107" r:id="rId106" xr:uid="{00000000-0004-0000-0100-000069000000}"/>
    <hyperlink ref="D108" r:id="rId107" xr:uid="{00000000-0004-0000-0100-00006A000000}"/>
    <hyperlink ref="D109" r:id="rId108" xr:uid="{00000000-0004-0000-0100-00006B000000}"/>
    <hyperlink ref="D110" r:id="rId109" xr:uid="{00000000-0004-0000-0100-00006C000000}"/>
    <hyperlink ref="D111" r:id="rId110" xr:uid="{00000000-0004-0000-0100-00006D000000}"/>
    <hyperlink ref="D112" r:id="rId111" xr:uid="{00000000-0004-0000-0100-00006E000000}"/>
    <hyperlink ref="D113" r:id="rId112" xr:uid="{00000000-0004-0000-0100-00006F000000}"/>
    <hyperlink ref="D114" r:id="rId113" xr:uid="{00000000-0004-0000-0100-000070000000}"/>
    <hyperlink ref="D115" r:id="rId114" xr:uid="{00000000-0004-0000-0100-000071000000}"/>
    <hyperlink ref="D116" r:id="rId115" xr:uid="{00000000-0004-0000-0100-000072000000}"/>
    <hyperlink ref="D117" r:id="rId116" xr:uid="{00000000-0004-0000-0100-000073000000}"/>
    <hyperlink ref="D118" r:id="rId117" xr:uid="{00000000-0004-0000-0100-000074000000}"/>
    <hyperlink ref="D119" r:id="rId118" xr:uid="{00000000-0004-0000-0100-000075000000}"/>
    <hyperlink ref="D120" r:id="rId119" xr:uid="{00000000-0004-0000-0100-000076000000}"/>
    <hyperlink ref="D121" r:id="rId120" xr:uid="{00000000-0004-0000-0100-000077000000}"/>
    <hyperlink ref="D122" r:id="rId121" xr:uid="{00000000-0004-0000-0100-000078000000}"/>
    <hyperlink ref="D123" r:id="rId122" xr:uid="{00000000-0004-0000-0100-000079000000}"/>
    <hyperlink ref="D124" r:id="rId123" xr:uid="{00000000-0004-0000-0100-00007A000000}"/>
    <hyperlink ref="D125" r:id="rId124" xr:uid="{00000000-0004-0000-0100-00007B000000}"/>
    <hyperlink ref="D126" r:id="rId125" xr:uid="{00000000-0004-0000-0100-00007C000000}"/>
    <hyperlink ref="D127" r:id="rId126" xr:uid="{00000000-0004-0000-0100-00007D000000}"/>
    <hyperlink ref="D128" r:id="rId127" xr:uid="{00000000-0004-0000-0100-00007E000000}"/>
    <hyperlink ref="D129" r:id="rId128" xr:uid="{00000000-0004-0000-0100-00007F000000}"/>
    <hyperlink ref="D130" r:id="rId129" xr:uid="{00000000-0004-0000-0100-000080000000}"/>
    <hyperlink ref="D131" r:id="rId130" xr:uid="{00000000-0004-0000-0100-000081000000}"/>
    <hyperlink ref="D132" r:id="rId131" xr:uid="{00000000-0004-0000-0100-000082000000}"/>
    <hyperlink ref="D133" r:id="rId132" xr:uid="{00000000-0004-0000-0100-000083000000}"/>
    <hyperlink ref="D134" r:id="rId133" xr:uid="{00000000-0004-0000-0100-000084000000}"/>
    <hyperlink ref="D135" r:id="rId134" xr:uid="{00000000-0004-0000-0100-000085000000}"/>
    <hyperlink ref="D136" r:id="rId135" xr:uid="{00000000-0004-0000-0100-000086000000}"/>
    <hyperlink ref="D137" r:id="rId136" xr:uid="{00000000-0004-0000-0100-000087000000}"/>
    <hyperlink ref="D138" r:id="rId137" xr:uid="{00000000-0004-0000-0100-000088000000}"/>
    <hyperlink ref="D139" r:id="rId138" xr:uid="{00000000-0004-0000-0100-000089000000}"/>
    <hyperlink ref="D140" r:id="rId139" xr:uid="{00000000-0004-0000-0100-00008A000000}"/>
    <hyperlink ref="D141" r:id="rId140" xr:uid="{00000000-0004-0000-0100-00008B000000}"/>
    <hyperlink ref="D142" r:id="rId141" xr:uid="{00000000-0004-0000-0100-00008C000000}"/>
    <hyperlink ref="D143" r:id="rId142" xr:uid="{00000000-0004-0000-0100-00008D000000}"/>
    <hyperlink ref="D144" r:id="rId143" xr:uid="{00000000-0004-0000-0100-00008E000000}"/>
    <hyperlink ref="D145" r:id="rId144" xr:uid="{00000000-0004-0000-0100-00008F000000}"/>
    <hyperlink ref="D146" r:id="rId145" xr:uid="{00000000-0004-0000-0100-000090000000}"/>
    <hyperlink ref="D147" r:id="rId146" xr:uid="{00000000-0004-0000-0100-000091000000}"/>
    <hyperlink ref="D148" r:id="rId147" xr:uid="{00000000-0004-0000-0100-000092000000}"/>
    <hyperlink ref="D149" r:id="rId148" xr:uid="{00000000-0004-0000-0100-000093000000}"/>
    <hyperlink ref="D150" r:id="rId149" xr:uid="{00000000-0004-0000-0100-000094000000}"/>
    <hyperlink ref="D151" r:id="rId150" xr:uid="{00000000-0004-0000-0100-000095000000}"/>
    <hyperlink ref="D152" r:id="rId151" xr:uid="{00000000-0004-0000-0100-000096000000}"/>
    <hyperlink ref="D153" r:id="rId152" xr:uid="{00000000-0004-0000-0100-000097000000}"/>
    <hyperlink ref="D154" r:id="rId153" xr:uid="{00000000-0004-0000-0100-000098000000}"/>
    <hyperlink ref="D155" r:id="rId154" xr:uid="{00000000-0004-0000-0100-000099000000}"/>
    <hyperlink ref="D156" r:id="rId155" xr:uid="{00000000-0004-0000-0100-00009A000000}"/>
    <hyperlink ref="D157" r:id="rId156" xr:uid="{00000000-0004-0000-0100-00009B000000}"/>
    <hyperlink ref="D158" r:id="rId157" xr:uid="{00000000-0004-0000-0100-00009C000000}"/>
    <hyperlink ref="D159" r:id="rId158" xr:uid="{00000000-0004-0000-0100-00009D000000}"/>
    <hyperlink ref="D160" r:id="rId159" xr:uid="{00000000-0004-0000-0100-00009E000000}"/>
    <hyperlink ref="D161" r:id="rId160" xr:uid="{00000000-0004-0000-0100-00009F000000}"/>
    <hyperlink ref="D162" r:id="rId161" xr:uid="{00000000-0004-0000-0100-0000A0000000}"/>
    <hyperlink ref="D163" r:id="rId162" xr:uid="{00000000-0004-0000-0100-0000A1000000}"/>
    <hyperlink ref="D164" r:id="rId163" xr:uid="{00000000-0004-0000-0100-0000A2000000}"/>
    <hyperlink ref="D165" r:id="rId164" xr:uid="{00000000-0004-0000-0100-0000A3000000}"/>
    <hyperlink ref="D166" r:id="rId165" xr:uid="{00000000-0004-0000-0100-0000A4000000}"/>
    <hyperlink ref="D167" r:id="rId166" xr:uid="{00000000-0004-0000-0100-0000A5000000}"/>
    <hyperlink ref="D168" r:id="rId167" xr:uid="{00000000-0004-0000-0100-0000A6000000}"/>
    <hyperlink ref="D169" r:id="rId168" xr:uid="{00000000-0004-0000-0100-0000A7000000}"/>
    <hyperlink ref="D170" r:id="rId169" xr:uid="{00000000-0004-0000-0100-0000A8000000}"/>
    <hyperlink ref="D171" r:id="rId170" xr:uid="{00000000-0004-0000-0100-0000A9000000}"/>
    <hyperlink ref="D172" r:id="rId171" xr:uid="{00000000-0004-0000-0100-0000AA000000}"/>
    <hyperlink ref="D173" r:id="rId172" xr:uid="{00000000-0004-0000-0100-0000AB000000}"/>
    <hyperlink ref="D174" r:id="rId173" xr:uid="{00000000-0004-0000-0100-0000AC000000}"/>
    <hyperlink ref="D175" r:id="rId174" xr:uid="{00000000-0004-0000-0100-0000AD000000}"/>
    <hyperlink ref="D176" r:id="rId175" xr:uid="{00000000-0004-0000-0100-0000AE000000}"/>
    <hyperlink ref="D177" r:id="rId176" xr:uid="{00000000-0004-0000-0100-0000AF000000}"/>
    <hyperlink ref="D178" r:id="rId177" xr:uid="{00000000-0004-0000-0100-0000B0000000}"/>
    <hyperlink ref="D179" r:id="rId178" xr:uid="{00000000-0004-0000-0100-0000B1000000}"/>
    <hyperlink ref="D180" r:id="rId179" xr:uid="{00000000-0004-0000-0100-0000B2000000}"/>
    <hyperlink ref="D181" r:id="rId180" xr:uid="{00000000-0004-0000-0100-0000B3000000}"/>
    <hyperlink ref="D182" r:id="rId181" xr:uid="{00000000-0004-0000-0100-0000B4000000}"/>
    <hyperlink ref="D183" r:id="rId182" xr:uid="{00000000-0004-0000-0100-0000B5000000}"/>
    <hyperlink ref="D184" r:id="rId183" xr:uid="{00000000-0004-0000-0100-0000B6000000}"/>
    <hyperlink ref="D185" r:id="rId184" xr:uid="{00000000-0004-0000-0100-0000B7000000}"/>
    <hyperlink ref="D186" r:id="rId185" xr:uid="{00000000-0004-0000-0100-0000B8000000}"/>
    <hyperlink ref="D187" r:id="rId186" xr:uid="{00000000-0004-0000-0100-0000B9000000}"/>
    <hyperlink ref="D188" r:id="rId187" xr:uid="{00000000-0004-0000-0100-0000BA000000}"/>
    <hyperlink ref="D189" r:id="rId188" xr:uid="{00000000-0004-0000-0100-0000BB000000}"/>
    <hyperlink ref="D190" r:id="rId189" xr:uid="{00000000-0004-0000-0100-0000BC000000}"/>
    <hyperlink ref="D191" r:id="rId190" xr:uid="{00000000-0004-0000-0100-0000BD000000}"/>
    <hyperlink ref="D192" r:id="rId191" xr:uid="{00000000-0004-0000-0100-0000BE000000}"/>
    <hyperlink ref="D193" r:id="rId192" xr:uid="{00000000-0004-0000-0100-0000BF000000}"/>
    <hyperlink ref="D194" r:id="rId193" xr:uid="{00000000-0004-0000-0100-0000C0000000}"/>
    <hyperlink ref="D195" r:id="rId194" xr:uid="{00000000-0004-0000-0100-0000C1000000}"/>
    <hyperlink ref="D196" r:id="rId195" xr:uid="{00000000-0004-0000-0100-0000C2000000}"/>
    <hyperlink ref="D197" r:id="rId196" xr:uid="{00000000-0004-0000-0100-0000C3000000}"/>
    <hyperlink ref="D198" r:id="rId197" xr:uid="{00000000-0004-0000-0100-0000C4000000}"/>
    <hyperlink ref="D199" r:id="rId198" xr:uid="{00000000-0004-0000-0100-0000C5000000}"/>
    <hyperlink ref="D200" r:id="rId199" xr:uid="{00000000-0004-0000-0100-0000C6000000}"/>
    <hyperlink ref="D201" r:id="rId200" xr:uid="{00000000-0004-0000-0100-0000C7000000}"/>
    <hyperlink ref="D202" r:id="rId201" xr:uid="{00000000-0004-0000-0100-0000C8000000}"/>
    <hyperlink ref="D203" r:id="rId202" xr:uid="{00000000-0004-0000-0100-0000C9000000}"/>
    <hyperlink ref="D204" r:id="rId203" xr:uid="{00000000-0004-0000-0100-0000CA000000}"/>
    <hyperlink ref="D205" r:id="rId204" xr:uid="{00000000-0004-0000-0100-0000CB000000}"/>
    <hyperlink ref="D206" r:id="rId205" xr:uid="{00000000-0004-0000-0100-0000CC000000}"/>
    <hyperlink ref="D207" r:id="rId206" xr:uid="{00000000-0004-0000-0100-0000CD000000}"/>
    <hyperlink ref="D208" r:id="rId207" xr:uid="{00000000-0004-0000-0100-0000CE000000}"/>
    <hyperlink ref="D209" r:id="rId208" xr:uid="{00000000-0004-0000-0100-0000CF000000}"/>
    <hyperlink ref="D210" r:id="rId209" xr:uid="{00000000-0004-0000-0100-0000D0000000}"/>
    <hyperlink ref="D211" r:id="rId210" xr:uid="{00000000-0004-0000-0100-0000D1000000}"/>
    <hyperlink ref="D212" r:id="rId211" xr:uid="{00000000-0004-0000-0100-0000D2000000}"/>
    <hyperlink ref="D213" r:id="rId212" xr:uid="{00000000-0004-0000-0100-0000D3000000}"/>
    <hyperlink ref="D214" r:id="rId213" xr:uid="{00000000-0004-0000-0100-0000D4000000}"/>
    <hyperlink ref="D215" r:id="rId214" xr:uid="{00000000-0004-0000-0100-0000D5000000}"/>
    <hyperlink ref="D216" r:id="rId215" xr:uid="{00000000-0004-0000-0100-0000D6000000}"/>
    <hyperlink ref="D217" r:id="rId216" xr:uid="{00000000-0004-0000-0100-0000D7000000}"/>
    <hyperlink ref="D218" r:id="rId217" xr:uid="{00000000-0004-0000-0100-0000D8000000}"/>
    <hyperlink ref="D219" r:id="rId218" xr:uid="{00000000-0004-0000-0100-0000D9000000}"/>
    <hyperlink ref="D220" r:id="rId219" xr:uid="{00000000-0004-0000-0100-0000DA000000}"/>
    <hyperlink ref="D221" r:id="rId220" xr:uid="{00000000-0004-0000-0100-0000DB000000}"/>
    <hyperlink ref="D222" r:id="rId221" xr:uid="{00000000-0004-0000-0100-0000DC000000}"/>
    <hyperlink ref="D223" r:id="rId222" xr:uid="{00000000-0004-0000-0100-0000DD000000}"/>
    <hyperlink ref="D224" r:id="rId223" xr:uid="{00000000-0004-0000-0100-0000DE000000}"/>
    <hyperlink ref="D225" r:id="rId224" xr:uid="{00000000-0004-0000-0100-0000DF000000}"/>
    <hyperlink ref="D226" r:id="rId225" xr:uid="{00000000-0004-0000-0100-0000E0000000}"/>
    <hyperlink ref="D227" r:id="rId226" xr:uid="{00000000-0004-0000-0100-0000E1000000}"/>
    <hyperlink ref="D228" r:id="rId227" xr:uid="{00000000-0004-0000-0100-0000E2000000}"/>
    <hyperlink ref="D229" r:id="rId228" xr:uid="{00000000-0004-0000-0100-0000E3000000}"/>
    <hyperlink ref="D230" r:id="rId229" xr:uid="{00000000-0004-0000-0100-0000E4000000}"/>
    <hyperlink ref="D231" r:id="rId230" xr:uid="{00000000-0004-0000-0100-0000E5000000}"/>
    <hyperlink ref="D232" r:id="rId231" xr:uid="{00000000-0004-0000-0100-0000E6000000}"/>
    <hyperlink ref="D233" r:id="rId232" xr:uid="{00000000-0004-0000-0100-0000E7000000}"/>
    <hyperlink ref="D234" r:id="rId233" xr:uid="{00000000-0004-0000-0100-0000E8000000}"/>
    <hyperlink ref="D235" r:id="rId234" xr:uid="{00000000-0004-0000-0100-0000E9000000}"/>
    <hyperlink ref="D236" r:id="rId235" xr:uid="{00000000-0004-0000-0100-0000EA000000}"/>
    <hyperlink ref="D237" r:id="rId236" xr:uid="{00000000-0004-0000-0100-0000EB000000}"/>
    <hyperlink ref="D238" r:id="rId237" xr:uid="{00000000-0004-0000-0100-0000EC000000}"/>
    <hyperlink ref="D239" r:id="rId238" xr:uid="{00000000-0004-0000-0100-0000ED000000}"/>
    <hyperlink ref="D240" r:id="rId239" xr:uid="{00000000-0004-0000-0100-0000EE000000}"/>
    <hyperlink ref="D241" r:id="rId240" xr:uid="{00000000-0004-0000-0100-0000EF000000}"/>
    <hyperlink ref="D242" r:id="rId241" xr:uid="{00000000-0004-0000-0100-0000F0000000}"/>
    <hyperlink ref="D243" r:id="rId242" xr:uid="{00000000-0004-0000-0100-0000F1000000}"/>
    <hyperlink ref="D244" r:id="rId243" xr:uid="{00000000-0004-0000-0100-0000F2000000}"/>
    <hyperlink ref="D245" r:id="rId244" xr:uid="{00000000-0004-0000-0100-0000F3000000}"/>
    <hyperlink ref="D246" r:id="rId245" xr:uid="{00000000-0004-0000-0100-0000F4000000}"/>
    <hyperlink ref="D247" r:id="rId246" xr:uid="{00000000-0004-0000-0100-0000F5000000}"/>
    <hyperlink ref="D248" r:id="rId247" xr:uid="{00000000-0004-0000-0100-0000F6000000}"/>
    <hyperlink ref="D249" r:id="rId248" xr:uid="{00000000-0004-0000-0100-0000F7000000}"/>
    <hyperlink ref="D250" r:id="rId249" xr:uid="{00000000-0004-0000-0100-0000F8000000}"/>
    <hyperlink ref="D251" r:id="rId250" xr:uid="{00000000-0004-0000-0100-0000F9000000}"/>
    <hyperlink ref="D252" r:id="rId251" xr:uid="{00000000-0004-0000-0100-0000FA000000}"/>
    <hyperlink ref="D253" r:id="rId252" xr:uid="{00000000-0004-0000-0100-0000FB000000}"/>
    <hyperlink ref="D254" r:id="rId253" xr:uid="{00000000-0004-0000-0100-0000FC000000}"/>
    <hyperlink ref="D255" r:id="rId254" xr:uid="{00000000-0004-0000-0100-0000FD000000}"/>
    <hyperlink ref="D256" r:id="rId255" xr:uid="{00000000-0004-0000-0100-0000FE000000}"/>
    <hyperlink ref="D257" r:id="rId256" xr:uid="{00000000-0004-0000-0100-0000FF000000}"/>
    <hyperlink ref="D258" r:id="rId257" xr:uid="{00000000-0004-0000-0100-000000010000}"/>
    <hyperlink ref="D259" r:id="rId258" xr:uid="{00000000-0004-0000-0100-000001010000}"/>
    <hyperlink ref="D260" r:id="rId259" xr:uid="{00000000-0004-0000-0100-000002010000}"/>
    <hyperlink ref="D261" r:id="rId260" xr:uid="{00000000-0004-0000-0100-000003010000}"/>
    <hyperlink ref="D262" r:id="rId261" xr:uid="{00000000-0004-0000-0100-000004010000}"/>
    <hyperlink ref="D263" r:id="rId262" xr:uid="{00000000-0004-0000-0100-000005010000}"/>
    <hyperlink ref="D264" r:id="rId263" xr:uid="{00000000-0004-0000-0100-000006010000}"/>
    <hyperlink ref="D265" r:id="rId264" xr:uid="{00000000-0004-0000-0100-000007010000}"/>
    <hyperlink ref="D266" r:id="rId265" xr:uid="{00000000-0004-0000-0100-000008010000}"/>
    <hyperlink ref="D267" r:id="rId266" xr:uid="{00000000-0004-0000-0100-000009010000}"/>
    <hyperlink ref="D268" r:id="rId267" xr:uid="{00000000-0004-0000-0100-00000A010000}"/>
    <hyperlink ref="D269" r:id="rId268" xr:uid="{00000000-0004-0000-0100-00000B010000}"/>
    <hyperlink ref="D270" r:id="rId269" xr:uid="{00000000-0004-0000-0100-00000C010000}"/>
    <hyperlink ref="D271" r:id="rId270" xr:uid="{00000000-0004-0000-0100-00000D010000}"/>
    <hyperlink ref="D272" r:id="rId271" xr:uid="{00000000-0004-0000-0100-00000E010000}"/>
    <hyperlink ref="D273" r:id="rId272" xr:uid="{00000000-0004-0000-0100-00000F010000}"/>
    <hyperlink ref="D274" r:id="rId273" xr:uid="{00000000-0004-0000-0100-000010010000}"/>
    <hyperlink ref="D275" r:id="rId274" xr:uid="{00000000-0004-0000-0100-000011010000}"/>
    <hyperlink ref="D276" r:id="rId275" xr:uid="{00000000-0004-0000-0100-000012010000}"/>
    <hyperlink ref="D277" r:id="rId276" xr:uid="{00000000-0004-0000-0100-000013010000}"/>
    <hyperlink ref="D278" r:id="rId277" xr:uid="{00000000-0004-0000-0100-000014010000}"/>
    <hyperlink ref="D279" r:id="rId278" xr:uid="{00000000-0004-0000-0100-000015010000}"/>
    <hyperlink ref="D280" r:id="rId279" xr:uid="{00000000-0004-0000-0100-000016010000}"/>
    <hyperlink ref="D281" r:id="rId280" xr:uid="{00000000-0004-0000-0100-000017010000}"/>
    <hyperlink ref="D282" r:id="rId281" xr:uid="{00000000-0004-0000-0100-000018010000}"/>
    <hyperlink ref="D283" r:id="rId282" xr:uid="{00000000-0004-0000-0100-000019010000}"/>
    <hyperlink ref="D284" r:id="rId283" xr:uid="{00000000-0004-0000-0100-00001A010000}"/>
    <hyperlink ref="D285" r:id="rId284" xr:uid="{00000000-0004-0000-0100-00001B010000}"/>
    <hyperlink ref="D286" r:id="rId285" xr:uid="{00000000-0004-0000-0100-00001C010000}"/>
    <hyperlink ref="D287" r:id="rId286" xr:uid="{00000000-0004-0000-0100-00001D010000}"/>
    <hyperlink ref="D288" r:id="rId287" xr:uid="{00000000-0004-0000-0100-00001E010000}"/>
    <hyperlink ref="D289" r:id="rId288" xr:uid="{00000000-0004-0000-0100-00001F010000}"/>
    <hyperlink ref="D290" r:id="rId289" xr:uid="{00000000-0004-0000-0100-000020010000}"/>
    <hyperlink ref="D291" r:id="rId290" xr:uid="{00000000-0004-0000-0100-000021010000}"/>
    <hyperlink ref="D292" r:id="rId291" xr:uid="{00000000-0004-0000-0100-000022010000}"/>
    <hyperlink ref="D293" r:id="rId292" xr:uid="{00000000-0004-0000-0100-000023010000}"/>
    <hyperlink ref="D294" r:id="rId293" xr:uid="{00000000-0004-0000-0100-000024010000}"/>
    <hyperlink ref="D295" r:id="rId294" xr:uid="{00000000-0004-0000-0100-000025010000}"/>
    <hyperlink ref="D296" r:id="rId295" xr:uid="{00000000-0004-0000-0100-000026010000}"/>
    <hyperlink ref="D297" r:id="rId296" xr:uid="{00000000-0004-0000-0100-000027010000}"/>
    <hyperlink ref="D298" r:id="rId297" xr:uid="{00000000-0004-0000-0100-000028010000}"/>
    <hyperlink ref="D299" r:id="rId298" xr:uid="{00000000-0004-0000-0100-000029010000}"/>
    <hyperlink ref="D300" r:id="rId299" xr:uid="{00000000-0004-0000-0100-00002A010000}"/>
    <hyperlink ref="D301" r:id="rId300" xr:uid="{00000000-0004-0000-0100-00002B010000}"/>
    <hyperlink ref="D302" r:id="rId301" xr:uid="{00000000-0004-0000-0100-00002C010000}"/>
    <hyperlink ref="D303" r:id="rId302" xr:uid="{00000000-0004-0000-0100-00002D010000}"/>
    <hyperlink ref="D304" r:id="rId303" xr:uid="{00000000-0004-0000-0100-00002E010000}"/>
    <hyperlink ref="D305" r:id="rId304" xr:uid="{00000000-0004-0000-0100-00002F010000}"/>
    <hyperlink ref="D306" r:id="rId305" xr:uid="{00000000-0004-0000-0100-000030010000}"/>
    <hyperlink ref="D307" r:id="rId306" xr:uid="{00000000-0004-0000-0100-000031010000}"/>
    <hyperlink ref="D308" r:id="rId307" xr:uid="{00000000-0004-0000-0100-000032010000}"/>
    <hyperlink ref="D309" r:id="rId308" xr:uid="{00000000-0004-0000-0100-000033010000}"/>
    <hyperlink ref="D310" r:id="rId309" xr:uid="{00000000-0004-0000-0100-000034010000}"/>
    <hyperlink ref="D311" r:id="rId310" xr:uid="{00000000-0004-0000-0100-000035010000}"/>
    <hyperlink ref="D312" r:id="rId311" xr:uid="{00000000-0004-0000-0100-000036010000}"/>
    <hyperlink ref="D313" r:id="rId312" xr:uid="{00000000-0004-0000-0100-000037010000}"/>
    <hyperlink ref="D314" r:id="rId313" xr:uid="{00000000-0004-0000-0100-000038010000}"/>
    <hyperlink ref="D315" r:id="rId314" xr:uid="{00000000-0004-0000-0100-000039010000}"/>
    <hyperlink ref="D316" r:id="rId315" xr:uid="{00000000-0004-0000-0100-00003A010000}"/>
    <hyperlink ref="D317" r:id="rId316" xr:uid="{00000000-0004-0000-0100-00003B010000}"/>
    <hyperlink ref="D318" r:id="rId317" xr:uid="{00000000-0004-0000-0100-00003C010000}"/>
    <hyperlink ref="D319" r:id="rId318" xr:uid="{00000000-0004-0000-0100-00003D010000}"/>
    <hyperlink ref="D320" r:id="rId319" xr:uid="{00000000-0004-0000-0100-00003E010000}"/>
    <hyperlink ref="D321" r:id="rId320" xr:uid="{00000000-0004-0000-0100-00003F010000}"/>
    <hyperlink ref="D322" r:id="rId321" xr:uid="{00000000-0004-0000-0100-000040010000}"/>
    <hyperlink ref="D323" r:id="rId322" xr:uid="{00000000-0004-0000-0100-000041010000}"/>
    <hyperlink ref="D324" r:id="rId323" xr:uid="{00000000-0004-0000-0100-000042010000}"/>
    <hyperlink ref="D325" r:id="rId324" xr:uid="{00000000-0004-0000-0100-000043010000}"/>
    <hyperlink ref="D326" r:id="rId325" xr:uid="{00000000-0004-0000-0100-000044010000}"/>
    <hyperlink ref="D327" r:id="rId326" xr:uid="{00000000-0004-0000-0100-000045010000}"/>
    <hyperlink ref="D328" r:id="rId327" xr:uid="{00000000-0004-0000-0100-000046010000}"/>
    <hyperlink ref="D329" r:id="rId328" xr:uid="{00000000-0004-0000-0100-000047010000}"/>
    <hyperlink ref="D330" r:id="rId329" xr:uid="{00000000-0004-0000-0100-000048010000}"/>
    <hyperlink ref="D331" r:id="rId330" xr:uid="{00000000-0004-0000-0100-000049010000}"/>
    <hyperlink ref="D332" r:id="rId331" xr:uid="{00000000-0004-0000-0100-00004A010000}"/>
    <hyperlink ref="D333" r:id="rId332" xr:uid="{00000000-0004-0000-0100-00004B010000}"/>
    <hyperlink ref="D334" r:id="rId333" xr:uid="{00000000-0004-0000-0100-00004C010000}"/>
    <hyperlink ref="D335" r:id="rId334" xr:uid="{00000000-0004-0000-0100-00004D010000}"/>
    <hyperlink ref="D336" r:id="rId335" xr:uid="{00000000-0004-0000-0100-00004E010000}"/>
    <hyperlink ref="D337" r:id="rId336" xr:uid="{00000000-0004-0000-0100-00004F010000}"/>
    <hyperlink ref="D338" r:id="rId337" xr:uid="{00000000-0004-0000-0100-000050010000}"/>
    <hyperlink ref="D339" r:id="rId338" xr:uid="{00000000-0004-0000-0100-000051010000}"/>
    <hyperlink ref="D340" r:id="rId339" xr:uid="{00000000-0004-0000-0100-000052010000}"/>
    <hyperlink ref="D341" r:id="rId340" xr:uid="{00000000-0004-0000-0100-000053010000}"/>
    <hyperlink ref="D342" r:id="rId341" xr:uid="{00000000-0004-0000-0100-000054010000}"/>
    <hyperlink ref="D343" r:id="rId342" xr:uid="{00000000-0004-0000-0100-000055010000}"/>
    <hyperlink ref="D344" r:id="rId343" xr:uid="{00000000-0004-0000-0100-000056010000}"/>
    <hyperlink ref="D345" r:id="rId344" xr:uid="{00000000-0004-0000-0100-000057010000}"/>
    <hyperlink ref="D346" r:id="rId345" xr:uid="{00000000-0004-0000-0100-000058010000}"/>
    <hyperlink ref="D347" r:id="rId346" xr:uid="{00000000-0004-0000-0100-000059010000}"/>
    <hyperlink ref="D348" r:id="rId347" xr:uid="{00000000-0004-0000-0100-00005A010000}"/>
    <hyperlink ref="D349" r:id="rId348" xr:uid="{00000000-0004-0000-0100-00005B010000}"/>
    <hyperlink ref="D350" r:id="rId349" xr:uid="{00000000-0004-0000-0100-00005C010000}"/>
    <hyperlink ref="D351" r:id="rId350" xr:uid="{00000000-0004-0000-0100-00005D010000}"/>
    <hyperlink ref="D352" r:id="rId351" xr:uid="{00000000-0004-0000-0100-00005E010000}"/>
    <hyperlink ref="D353" r:id="rId352" xr:uid="{00000000-0004-0000-0100-00005F010000}"/>
    <hyperlink ref="D354" r:id="rId353" xr:uid="{00000000-0004-0000-0100-000060010000}"/>
    <hyperlink ref="D355" r:id="rId354" xr:uid="{00000000-0004-0000-0100-000061010000}"/>
    <hyperlink ref="D356" r:id="rId355" xr:uid="{00000000-0004-0000-0100-000062010000}"/>
    <hyperlink ref="D357" r:id="rId356" xr:uid="{00000000-0004-0000-0100-000063010000}"/>
    <hyperlink ref="D358" r:id="rId357" xr:uid="{00000000-0004-0000-0100-000064010000}"/>
    <hyperlink ref="D359" r:id="rId358" xr:uid="{00000000-0004-0000-0100-000065010000}"/>
    <hyperlink ref="D360" r:id="rId359" xr:uid="{00000000-0004-0000-0100-000066010000}"/>
    <hyperlink ref="D361" r:id="rId360" xr:uid="{00000000-0004-0000-0100-000067010000}"/>
    <hyperlink ref="D362" r:id="rId361" xr:uid="{00000000-0004-0000-0100-000068010000}"/>
    <hyperlink ref="D363" r:id="rId362" xr:uid="{00000000-0004-0000-0100-000069010000}"/>
    <hyperlink ref="D364" r:id="rId363" xr:uid="{00000000-0004-0000-0100-00006A010000}"/>
    <hyperlink ref="D365" r:id="rId364" xr:uid="{00000000-0004-0000-0100-00006B010000}"/>
    <hyperlink ref="D366" r:id="rId365" xr:uid="{00000000-0004-0000-0100-00006C010000}"/>
    <hyperlink ref="D367" r:id="rId366" xr:uid="{00000000-0004-0000-0100-00006D010000}"/>
    <hyperlink ref="D368" r:id="rId367" xr:uid="{00000000-0004-0000-0100-00006E010000}"/>
    <hyperlink ref="D369" r:id="rId368" xr:uid="{00000000-0004-0000-0100-00006F010000}"/>
    <hyperlink ref="D370" r:id="rId369" xr:uid="{00000000-0004-0000-0100-000070010000}"/>
    <hyperlink ref="D371" r:id="rId370" xr:uid="{00000000-0004-0000-0100-000071010000}"/>
    <hyperlink ref="D372" r:id="rId371" xr:uid="{00000000-0004-0000-0100-000072010000}"/>
    <hyperlink ref="D373" r:id="rId372" xr:uid="{00000000-0004-0000-0100-000073010000}"/>
    <hyperlink ref="D374" r:id="rId373" xr:uid="{00000000-0004-0000-0100-000074010000}"/>
    <hyperlink ref="D375" r:id="rId374" xr:uid="{00000000-0004-0000-0100-000075010000}"/>
    <hyperlink ref="D376" r:id="rId375" xr:uid="{00000000-0004-0000-0100-000076010000}"/>
    <hyperlink ref="D377" r:id="rId376" xr:uid="{00000000-0004-0000-0100-000077010000}"/>
    <hyperlink ref="D378" r:id="rId377" xr:uid="{00000000-0004-0000-0100-000078010000}"/>
    <hyperlink ref="D379" r:id="rId378" xr:uid="{00000000-0004-0000-0100-000079010000}"/>
    <hyperlink ref="D380" r:id="rId379" xr:uid="{00000000-0004-0000-0100-00007A010000}"/>
    <hyperlink ref="D381" r:id="rId380" xr:uid="{00000000-0004-0000-0100-00007B010000}"/>
    <hyperlink ref="D382" r:id="rId381" xr:uid="{00000000-0004-0000-0100-00007C010000}"/>
    <hyperlink ref="D383" r:id="rId382" xr:uid="{00000000-0004-0000-0100-00007D010000}"/>
    <hyperlink ref="D384" r:id="rId383" xr:uid="{00000000-0004-0000-0100-00007E010000}"/>
    <hyperlink ref="D385" r:id="rId384" xr:uid="{00000000-0004-0000-0100-00007F010000}"/>
    <hyperlink ref="D386" r:id="rId385" xr:uid="{00000000-0004-0000-0100-000080010000}"/>
    <hyperlink ref="D387" r:id="rId386" xr:uid="{00000000-0004-0000-0100-000081010000}"/>
    <hyperlink ref="D388" r:id="rId387" xr:uid="{00000000-0004-0000-0100-000082010000}"/>
    <hyperlink ref="D389" r:id="rId388" xr:uid="{00000000-0004-0000-0100-000083010000}"/>
    <hyperlink ref="D390" r:id="rId389" xr:uid="{00000000-0004-0000-0100-000084010000}"/>
    <hyperlink ref="D391" r:id="rId390" xr:uid="{00000000-0004-0000-0100-000085010000}"/>
    <hyperlink ref="D392" r:id="rId391" xr:uid="{00000000-0004-0000-0100-000086010000}"/>
    <hyperlink ref="D393" r:id="rId392" xr:uid="{00000000-0004-0000-0100-000087010000}"/>
    <hyperlink ref="D394" r:id="rId393" xr:uid="{00000000-0004-0000-0100-000088010000}"/>
    <hyperlink ref="D395" r:id="rId394" xr:uid="{00000000-0004-0000-0100-000089010000}"/>
    <hyperlink ref="D396" r:id="rId395" xr:uid="{00000000-0004-0000-0100-00008A010000}"/>
    <hyperlink ref="D397" r:id="rId396" xr:uid="{00000000-0004-0000-0100-00008B010000}"/>
    <hyperlink ref="D398" r:id="rId397" xr:uid="{00000000-0004-0000-0100-00008C010000}"/>
    <hyperlink ref="D399" r:id="rId398" xr:uid="{00000000-0004-0000-0100-00008D010000}"/>
    <hyperlink ref="D400" r:id="rId399" xr:uid="{00000000-0004-0000-0100-00008E010000}"/>
    <hyperlink ref="D401" r:id="rId400" xr:uid="{00000000-0004-0000-0100-00008F010000}"/>
    <hyperlink ref="D402" r:id="rId401" xr:uid="{00000000-0004-0000-0100-000090010000}"/>
    <hyperlink ref="D403" r:id="rId402" xr:uid="{00000000-0004-0000-0100-000091010000}"/>
    <hyperlink ref="D404" r:id="rId403" xr:uid="{00000000-0004-0000-0100-000092010000}"/>
    <hyperlink ref="D405" r:id="rId404" xr:uid="{00000000-0004-0000-0100-000093010000}"/>
    <hyperlink ref="D406" r:id="rId405" xr:uid="{00000000-0004-0000-0100-000094010000}"/>
    <hyperlink ref="D407" r:id="rId406" xr:uid="{00000000-0004-0000-0100-000095010000}"/>
    <hyperlink ref="D408" r:id="rId407" xr:uid="{00000000-0004-0000-0100-000096010000}"/>
    <hyperlink ref="D409" r:id="rId408" xr:uid="{00000000-0004-0000-0100-000097010000}"/>
    <hyperlink ref="D410" r:id="rId409" xr:uid="{00000000-0004-0000-0100-000098010000}"/>
    <hyperlink ref="D411" r:id="rId410" xr:uid="{00000000-0004-0000-0100-000099010000}"/>
    <hyperlink ref="D412" r:id="rId411" xr:uid="{00000000-0004-0000-0100-00009A010000}"/>
    <hyperlink ref="D413" r:id="rId412" xr:uid="{00000000-0004-0000-0100-00009B010000}"/>
    <hyperlink ref="D414" r:id="rId413" xr:uid="{00000000-0004-0000-0100-00009C010000}"/>
    <hyperlink ref="D415" r:id="rId414" xr:uid="{00000000-0004-0000-0100-00009D010000}"/>
    <hyperlink ref="D416" r:id="rId415" xr:uid="{00000000-0004-0000-0100-00009E010000}"/>
    <hyperlink ref="D417" r:id="rId416" xr:uid="{00000000-0004-0000-0100-00009F010000}"/>
    <hyperlink ref="D418" r:id="rId417" xr:uid="{00000000-0004-0000-0100-0000A0010000}"/>
    <hyperlink ref="D419" r:id="rId418" xr:uid="{00000000-0004-0000-0100-0000A1010000}"/>
    <hyperlink ref="D420" r:id="rId419" xr:uid="{00000000-0004-0000-0100-0000A2010000}"/>
    <hyperlink ref="D421" r:id="rId420" xr:uid="{00000000-0004-0000-0100-0000A3010000}"/>
    <hyperlink ref="D422" r:id="rId421" xr:uid="{00000000-0004-0000-0100-0000A4010000}"/>
    <hyperlink ref="D423" r:id="rId422" xr:uid="{00000000-0004-0000-0100-0000A5010000}"/>
    <hyperlink ref="D424" r:id="rId423" xr:uid="{00000000-0004-0000-0100-0000A6010000}"/>
    <hyperlink ref="D425" r:id="rId424" xr:uid="{00000000-0004-0000-0100-0000A7010000}"/>
    <hyperlink ref="D426" r:id="rId425" xr:uid="{00000000-0004-0000-0100-0000A8010000}"/>
    <hyperlink ref="D427" r:id="rId426" xr:uid="{00000000-0004-0000-0100-0000A9010000}"/>
    <hyperlink ref="D428" r:id="rId427" xr:uid="{00000000-0004-0000-0100-0000AA010000}"/>
    <hyperlink ref="D429" r:id="rId428" xr:uid="{00000000-0004-0000-0100-0000AB010000}"/>
    <hyperlink ref="D430" r:id="rId429" xr:uid="{00000000-0004-0000-0100-0000AC010000}"/>
    <hyperlink ref="D431" r:id="rId430" xr:uid="{00000000-0004-0000-0100-0000AD010000}"/>
    <hyperlink ref="D432" r:id="rId431" xr:uid="{00000000-0004-0000-0100-0000AE010000}"/>
    <hyperlink ref="D433" r:id="rId432" xr:uid="{00000000-0004-0000-0100-0000AF010000}"/>
    <hyperlink ref="D434" r:id="rId433" xr:uid="{00000000-0004-0000-0100-0000B0010000}"/>
    <hyperlink ref="D435" r:id="rId434" xr:uid="{00000000-0004-0000-0100-0000B1010000}"/>
    <hyperlink ref="D436" r:id="rId435" xr:uid="{00000000-0004-0000-0100-0000B2010000}"/>
    <hyperlink ref="D437" r:id="rId436" xr:uid="{00000000-0004-0000-0100-0000B3010000}"/>
    <hyperlink ref="D438" r:id="rId437" xr:uid="{00000000-0004-0000-0100-0000B4010000}"/>
    <hyperlink ref="D439" r:id="rId438" xr:uid="{00000000-0004-0000-0100-0000B5010000}"/>
    <hyperlink ref="D440" r:id="rId439" xr:uid="{00000000-0004-0000-0100-0000B6010000}"/>
    <hyperlink ref="D441" r:id="rId440" xr:uid="{00000000-0004-0000-0100-0000B7010000}"/>
    <hyperlink ref="D442" r:id="rId441" xr:uid="{00000000-0004-0000-0100-0000B8010000}"/>
    <hyperlink ref="D443" r:id="rId442" xr:uid="{00000000-0004-0000-0100-0000B9010000}"/>
    <hyperlink ref="D444" r:id="rId443" xr:uid="{00000000-0004-0000-0100-0000BA010000}"/>
    <hyperlink ref="D445" r:id="rId444" xr:uid="{00000000-0004-0000-0100-0000BB010000}"/>
    <hyperlink ref="D446" r:id="rId445" xr:uid="{00000000-0004-0000-0100-0000BC010000}"/>
    <hyperlink ref="D447" r:id="rId446" xr:uid="{00000000-0004-0000-0100-0000BD010000}"/>
    <hyperlink ref="D448" r:id="rId447" xr:uid="{00000000-0004-0000-0100-0000BE010000}"/>
    <hyperlink ref="D449" r:id="rId448" xr:uid="{00000000-0004-0000-0100-0000BF010000}"/>
    <hyperlink ref="D450" r:id="rId449" xr:uid="{00000000-0004-0000-0100-0000C0010000}"/>
    <hyperlink ref="D451" r:id="rId450" xr:uid="{00000000-0004-0000-0100-0000C1010000}"/>
    <hyperlink ref="D452" r:id="rId451" xr:uid="{00000000-0004-0000-0100-0000C2010000}"/>
    <hyperlink ref="D453" r:id="rId452" xr:uid="{00000000-0004-0000-0100-0000C3010000}"/>
    <hyperlink ref="D454" r:id="rId453" xr:uid="{00000000-0004-0000-0100-0000C4010000}"/>
    <hyperlink ref="D455" r:id="rId454" xr:uid="{00000000-0004-0000-0100-0000C5010000}"/>
    <hyperlink ref="D456" r:id="rId455" xr:uid="{00000000-0004-0000-0100-0000C6010000}"/>
    <hyperlink ref="D457" r:id="rId456" xr:uid="{00000000-0004-0000-0100-0000C7010000}"/>
    <hyperlink ref="D458" r:id="rId457" xr:uid="{00000000-0004-0000-0100-0000C8010000}"/>
    <hyperlink ref="D459" r:id="rId458" xr:uid="{00000000-0004-0000-0100-0000C9010000}"/>
    <hyperlink ref="D460" r:id="rId459" xr:uid="{00000000-0004-0000-0100-0000CA010000}"/>
    <hyperlink ref="D461" r:id="rId460" xr:uid="{00000000-0004-0000-0100-0000CB010000}"/>
    <hyperlink ref="D462" r:id="rId461" xr:uid="{00000000-0004-0000-0100-0000CC010000}"/>
    <hyperlink ref="D463" r:id="rId462" xr:uid="{00000000-0004-0000-0100-0000CD010000}"/>
    <hyperlink ref="D464" r:id="rId463" xr:uid="{00000000-0004-0000-0100-0000CE010000}"/>
    <hyperlink ref="D465" r:id="rId464" xr:uid="{00000000-0004-0000-0100-0000CF010000}"/>
    <hyperlink ref="D466" r:id="rId465" xr:uid="{00000000-0004-0000-0100-0000D0010000}"/>
    <hyperlink ref="D467" r:id="rId466" xr:uid="{00000000-0004-0000-0100-0000D1010000}"/>
    <hyperlink ref="D468" r:id="rId467" xr:uid="{00000000-0004-0000-0100-0000D2010000}"/>
    <hyperlink ref="D469" r:id="rId468" xr:uid="{00000000-0004-0000-0100-0000D3010000}"/>
    <hyperlink ref="D470" r:id="rId469" xr:uid="{00000000-0004-0000-0100-0000D4010000}"/>
    <hyperlink ref="D471" r:id="rId470" xr:uid="{00000000-0004-0000-0100-0000D5010000}"/>
    <hyperlink ref="D472" r:id="rId471" xr:uid="{00000000-0004-0000-0100-0000D6010000}"/>
    <hyperlink ref="D473" r:id="rId472" xr:uid="{00000000-0004-0000-0100-0000D7010000}"/>
    <hyperlink ref="D474" r:id="rId473" xr:uid="{00000000-0004-0000-0100-0000D8010000}"/>
    <hyperlink ref="D475" r:id="rId474" xr:uid="{00000000-0004-0000-0100-0000D9010000}"/>
    <hyperlink ref="D476" r:id="rId475" xr:uid="{00000000-0004-0000-0100-0000DA010000}"/>
    <hyperlink ref="D477" r:id="rId476" xr:uid="{00000000-0004-0000-0100-0000DB010000}"/>
    <hyperlink ref="D478" r:id="rId477" xr:uid="{00000000-0004-0000-0100-0000DC010000}"/>
    <hyperlink ref="D479" r:id="rId478" xr:uid="{00000000-0004-0000-0100-0000DD010000}"/>
    <hyperlink ref="D480" r:id="rId479" xr:uid="{00000000-0004-0000-0100-0000DE010000}"/>
    <hyperlink ref="D481" r:id="rId480" xr:uid="{00000000-0004-0000-0100-0000DF010000}"/>
    <hyperlink ref="D482" r:id="rId481" xr:uid="{00000000-0004-0000-0100-0000E0010000}"/>
    <hyperlink ref="D483" r:id="rId482" xr:uid="{00000000-0004-0000-0100-0000E1010000}"/>
    <hyperlink ref="D484" r:id="rId483" xr:uid="{00000000-0004-0000-0100-0000E2010000}"/>
    <hyperlink ref="D485" r:id="rId484" xr:uid="{00000000-0004-0000-0100-0000E3010000}"/>
    <hyperlink ref="D486" r:id="rId485" xr:uid="{00000000-0004-0000-0100-0000E4010000}"/>
    <hyperlink ref="D487" r:id="rId486" xr:uid="{00000000-0004-0000-0100-0000E5010000}"/>
    <hyperlink ref="D488" r:id="rId487" xr:uid="{00000000-0004-0000-0100-0000E6010000}"/>
    <hyperlink ref="D489" r:id="rId488" xr:uid="{00000000-0004-0000-0100-0000E7010000}"/>
    <hyperlink ref="D490" r:id="rId489" xr:uid="{00000000-0004-0000-0100-0000E8010000}"/>
    <hyperlink ref="D491" r:id="rId490" xr:uid="{00000000-0004-0000-0100-0000E9010000}"/>
    <hyperlink ref="D492" r:id="rId491" xr:uid="{00000000-0004-0000-0100-0000EA010000}"/>
    <hyperlink ref="D493" r:id="rId492" xr:uid="{00000000-0004-0000-0100-0000EB010000}"/>
    <hyperlink ref="D494" r:id="rId493" xr:uid="{00000000-0004-0000-0100-0000EC010000}"/>
    <hyperlink ref="D495" r:id="rId494" xr:uid="{00000000-0004-0000-0100-0000ED010000}"/>
    <hyperlink ref="D496" r:id="rId495" xr:uid="{00000000-0004-0000-0100-0000EE010000}"/>
    <hyperlink ref="D497" r:id="rId496" xr:uid="{00000000-0004-0000-0100-0000EF010000}"/>
    <hyperlink ref="D498" r:id="rId497" xr:uid="{00000000-0004-0000-0100-0000F0010000}"/>
    <hyperlink ref="D499" r:id="rId498" xr:uid="{00000000-0004-0000-0100-0000F1010000}"/>
    <hyperlink ref="D500" r:id="rId499" xr:uid="{00000000-0004-0000-0100-0000F2010000}"/>
    <hyperlink ref="D501" r:id="rId500" xr:uid="{00000000-0004-0000-0100-0000F3010000}"/>
    <hyperlink ref="D502" r:id="rId501" xr:uid="{00000000-0004-0000-0100-0000F4010000}"/>
    <hyperlink ref="D503" r:id="rId502" xr:uid="{00000000-0004-0000-0100-0000F5010000}"/>
    <hyperlink ref="D504" r:id="rId503" xr:uid="{00000000-0004-0000-0100-0000F6010000}"/>
    <hyperlink ref="D505" r:id="rId504" xr:uid="{00000000-0004-0000-0100-0000F7010000}"/>
    <hyperlink ref="D506" r:id="rId505" xr:uid="{00000000-0004-0000-0100-0000F8010000}"/>
    <hyperlink ref="D507" r:id="rId506" xr:uid="{00000000-0004-0000-0100-0000F9010000}"/>
    <hyperlink ref="D508" r:id="rId507" xr:uid="{00000000-0004-0000-0100-0000FA010000}"/>
    <hyperlink ref="D509" r:id="rId508" xr:uid="{00000000-0004-0000-0100-0000FB010000}"/>
    <hyperlink ref="D510" r:id="rId509" xr:uid="{00000000-0004-0000-0100-0000FC010000}"/>
    <hyperlink ref="D511" r:id="rId510" xr:uid="{00000000-0004-0000-0100-0000FD010000}"/>
    <hyperlink ref="D512" r:id="rId511" xr:uid="{00000000-0004-0000-0100-0000FE010000}"/>
    <hyperlink ref="D513" r:id="rId512" xr:uid="{00000000-0004-0000-0100-0000FF010000}"/>
    <hyperlink ref="D514" r:id="rId513" xr:uid="{00000000-0004-0000-0100-000000020000}"/>
    <hyperlink ref="D515" r:id="rId514" xr:uid="{00000000-0004-0000-0100-000001020000}"/>
    <hyperlink ref="D516" r:id="rId515" xr:uid="{00000000-0004-0000-0100-000002020000}"/>
    <hyperlink ref="D517" r:id="rId516" xr:uid="{00000000-0004-0000-0100-000003020000}"/>
    <hyperlink ref="D518" r:id="rId517" xr:uid="{00000000-0004-0000-0100-000004020000}"/>
    <hyperlink ref="D519" r:id="rId518" xr:uid="{00000000-0004-0000-0100-000005020000}"/>
    <hyperlink ref="D520" r:id="rId519" xr:uid="{00000000-0004-0000-0100-000006020000}"/>
    <hyperlink ref="D521" r:id="rId520" xr:uid="{00000000-0004-0000-0100-000007020000}"/>
    <hyperlink ref="D522" r:id="rId521" xr:uid="{00000000-0004-0000-0100-000008020000}"/>
    <hyperlink ref="D523" r:id="rId522" xr:uid="{00000000-0004-0000-0100-000009020000}"/>
    <hyperlink ref="D524" r:id="rId523" xr:uid="{00000000-0004-0000-0100-00000A020000}"/>
    <hyperlink ref="D525" r:id="rId524" xr:uid="{00000000-0004-0000-0100-00000B020000}"/>
    <hyperlink ref="D526" r:id="rId525" xr:uid="{00000000-0004-0000-0100-00000C020000}"/>
    <hyperlink ref="D527" r:id="rId526" xr:uid="{00000000-0004-0000-0100-00000D020000}"/>
    <hyperlink ref="D528" r:id="rId527" xr:uid="{00000000-0004-0000-0100-00000E020000}"/>
    <hyperlink ref="D529" r:id="rId528" xr:uid="{00000000-0004-0000-0100-00000F020000}"/>
    <hyperlink ref="D530" r:id="rId529" xr:uid="{00000000-0004-0000-0100-000010020000}"/>
    <hyperlink ref="D531" r:id="rId530" xr:uid="{00000000-0004-0000-0100-000011020000}"/>
    <hyperlink ref="D532" r:id="rId531" xr:uid="{00000000-0004-0000-0100-000012020000}"/>
    <hyperlink ref="D533" r:id="rId532" xr:uid="{00000000-0004-0000-0100-000013020000}"/>
    <hyperlink ref="D534" r:id="rId533" xr:uid="{00000000-0004-0000-0100-000014020000}"/>
    <hyperlink ref="D535" r:id="rId534" xr:uid="{00000000-0004-0000-0100-000015020000}"/>
    <hyperlink ref="D536" r:id="rId535" xr:uid="{00000000-0004-0000-0100-000016020000}"/>
    <hyperlink ref="D537" r:id="rId536" xr:uid="{00000000-0004-0000-0100-000017020000}"/>
    <hyperlink ref="D538" r:id="rId537" xr:uid="{00000000-0004-0000-0100-000018020000}"/>
    <hyperlink ref="D539" r:id="rId538" xr:uid="{00000000-0004-0000-0100-000019020000}"/>
    <hyperlink ref="D540" r:id="rId539" xr:uid="{00000000-0004-0000-0100-00001A020000}"/>
    <hyperlink ref="D541" r:id="rId540" xr:uid="{00000000-0004-0000-0100-00001B020000}"/>
    <hyperlink ref="D542" r:id="rId541" xr:uid="{00000000-0004-0000-0100-00001C020000}"/>
    <hyperlink ref="D543" r:id="rId542" xr:uid="{00000000-0004-0000-0100-00001D020000}"/>
    <hyperlink ref="D544" r:id="rId543" xr:uid="{00000000-0004-0000-0100-00001E020000}"/>
    <hyperlink ref="D545" r:id="rId544" xr:uid="{00000000-0004-0000-0100-00001F020000}"/>
    <hyperlink ref="D546" r:id="rId545" xr:uid="{00000000-0004-0000-0100-000020020000}"/>
    <hyperlink ref="D547" r:id="rId546" xr:uid="{00000000-0004-0000-0100-000021020000}"/>
    <hyperlink ref="D548" r:id="rId547" xr:uid="{00000000-0004-0000-0100-000022020000}"/>
    <hyperlink ref="D549" r:id="rId548" xr:uid="{00000000-0004-0000-0100-000023020000}"/>
    <hyperlink ref="D550" r:id="rId549" xr:uid="{00000000-0004-0000-0100-000024020000}"/>
    <hyperlink ref="D551" r:id="rId550" xr:uid="{00000000-0004-0000-0100-000025020000}"/>
    <hyperlink ref="D552" r:id="rId551" xr:uid="{00000000-0004-0000-0100-000026020000}"/>
    <hyperlink ref="D553" r:id="rId552" xr:uid="{00000000-0004-0000-0100-000027020000}"/>
    <hyperlink ref="D554" r:id="rId553" xr:uid="{00000000-0004-0000-0100-000028020000}"/>
    <hyperlink ref="D555" r:id="rId554" xr:uid="{00000000-0004-0000-0100-000029020000}"/>
    <hyperlink ref="D556" r:id="rId555" xr:uid="{00000000-0004-0000-0100-00002A020000}"/>
    <hyperlink ref="D557" r:id="rId556" xr:uid="{00000000-0004-0000-0100-00002B020000}"/>
    <hyperlink ref="D558" r:id="rId557" xr:uid="{00000000-0004-0000-0100-00002C020000}"/>
    <hyperlink ref="D559" r:id="rId558" xr:uid="{00000000-0004-0000-0100-00002D020000}"/>
    <hyperlink ref="D560" r:id="rId559" xr:uid="{00000000-0004-0000-0100-00002E020000}"/>
    <hyperlink ref="D561" r:id="rId560" xr:uid="{00000000-0004-0000-0100-00002F020000}"/>
    <hyperlink ref="D562" r:id="rId561" xr:uid="{00000000-0004-0000-0100-000030020000}"/>
    <hyperlink ref="D563" r:id="rId562" xr:uid="{00000000-0004-0000-0100-000031020000}"/>
    <hyperlink ref="D564" r:id="rId563" xr:uid="{00000000-0004-0000-0100-000032020000}"/>
    <hyperlink ref="D565" r:id="rId564" xr:uid="{00000000-0004-0000-0100-000033020000}"/>
    <hyperlink ref="D566" r:id="rId565" xr:uid="{00000000-0004-0000-0100-000034020000}"/>
    <hyperlink ref="D567" r:id="rId566" xr:uid="{00000000-0004-0000-0100-000035020000}"/>
    <hyperlink ref="D568" r:id="rId567" xr:uid="{00000000-0004-0000-0100-000036020000}"/>
    <hyperlink ref="D569" r:id="rId568" xr:uid="{00000000-0004-0000-0100-000037020000}"/>
    <hyperlink ref="D570" r:id="rId569" xr:uid="{00000000-0004-0000-0100-000038020000}"/>
    <hyperlink ref="D571" r:id="rId570" xr:uid="{00000000-0004-0000-0100-000039020000}"/>
    <hyperlink ref="D572" r:id="rId571" xr:uid="{00000000-0004-0000-0100-00003A020000}"/>
    <hyperlink ref="D573" r:id="rId572" xr:uid="{00000000-0004-0000-0100-00003B020000}"/>
    <hyperlink ref="D574" r:id="rId573" xr:uid="{00000000-0004-0000-0100-00003C020000}"/>
    <hyperlink ref="D575" r:id="rId574" xr:uid="{00000000-0004-0000-0100-00003D020000}"/>
    <hyperlink ref="D576" r:id="rId575" xr:uid="{00000000-0004-0000-0100-00003E020000}"/>
    <hyperlink ref="D577" r:id="rId576" xr:uid="{00000000-0004-0000-0100-00003F020000}"/>
    <hyperlink ref="D578" r:id="rId577" xr:uid="{00000000-0004-0000-0100-000040020000}"/>
    <hyperlink ref="D579" r:id="rId578" xr:uid="{00000000-0004-0000-0100-000041020000}"/>
    <hyperlink ref="D580" r:id="rId579" xr:uid="{00000000-0004-0000-0100-000042020000}"/>
    <hyperlink ref="D581" r:id="rId580" xr:uid="{00000000-0004-0000-0100-000043020000}"/>
    <hyperlink ref="D582" r:id="rId581" xr:uid="{00000000-0004-0000-0100-000044020000}"/>
    <hyperlink ref="D583" r:id="rId582" xr:uid="{00000000-0004-0000-0100-000045020000}"/>
    <hyperlink ref="D584" r:id="rId583" xr:uid="{00000000-0004-0000-0100-000046020000}"/>
    <hyperlink ref="D585" r:id="rId584" xr:uid="{00000000-0004-0000-0100-000047020000}"/>
    <hyperlink ref="D586" r:id="rId585" xr:uid="{00000000-0004-0000-0100-000048020000}"/>
    <hyperlink ref="D587" r:id="rId586" xr:uid="{00000000-0004-0000-0100-000049020000}"/>
    <hyperlink ref="D588" r:id="rId587" xr:uid="{00000000-0004-0000-0100-00004A020000}"/>
    <hyperlink ref="D589" r:id="rId588" xr:uid="{00000000-0004-0000-0100-00004B020000}"/>
    <hyperlink ref="D590" r:id="rId589" xr:uid="{00000000-0004-0000-0100-00004C020000}"/>
    <hyperlink ref="D591" r:id="rId590" xr:uid="{00000000-0004-0000-0100-00004D020000}"/>
    <hyperlink ref="D592" r:id="rId591" xr:uid="{00000000-0004-0000-0100-00004E020000}"/>
    <hyperlink ref="D593" r:id="rId592" xr:uid="{00000000-0004-0000-0100-00004F020000}"/>
    <hyperlink ref="D594" r:id="rId593" xr:uid="{00000000-0004-0000-0100-000050020000}"/>
    <hyperlink ref="D595" r:id="rId594" xr:uid="{00000000-0004-0000-0100-000051020000}"/>
    <hyperlink ref="D596" r:id="rId595" xr:uid="{00000000-0004-0000-0100-000052020000}"/>
    <hyperlink ref="D597" r:id="rId596" xr:uid="{00000000-0004-0000-0100-000053020000}"/>
    <hyperlink ref="D598" r:id="rId597" xr:uid="{00000000-0004-0000-0100-000054020000}"/>
    <hyperlink ref="D599" r:id="rId598" xr:uid="{00000000-0004-0000-0100-000055020000}"/>
    <hyperlink ref="D600" r:id="rId599" xr:uid="{00000000-0004-0000-0100-000056020000}"/>
    <hyperlink ref="D601" r:id="rId600" xr:uid="{00000000-0004-0000-0100-000057020000}"/>
    <hyperlink ref="D602" r:id="rId601" xr:uid="{00000000-0004-0000-0100-000058020000}"/>
    <hyperlink ref="D603" r:id="rId602" xr:uid="{00000000-0004-0000-0100-000059020000}"/>
    <hyperlink ref="D604" r:id="rId603" xr:uid="{00000000-0004-0000-0100-00005A020000}"/>
    <hyperlink ref="D605" r:id="rId604" xr:uid="{00000000-0004-0000-0100-00005B020000}"/>
    <hyperlink ref="D606" r:id="rId605" xr:uid="{00000000-0004-0000-0100-00005C020000}"/>
    <hyperlink ref="D607" r:id="rId606" xr:uid="{00000000-0004-0000-0100-00005D020000}"/>
    <hyperlink ref="D608" r:id="rId607" xr:uid="{00000000-0004-0000-0100-00005E020000}"/>
    <hyperlink ref="D609" r:id="rId608" xr:uid="{00000000-0004-0000-0100-00005F020000}"/>
    <hyperlink ref="D610" r:id="rId609" xr:uid="{00000000-0004-0000-0100-000060020000}"/>
    <hyperlink ref="D611" r:id="rId610" xr:uid="{00000000-0004-0000-0100-000061020000}"/>
    <hyperlink ref="D612" r:id="rId611" xr:uid="{00000000-0004-0000-0100-000062020000}"/>
    <hyperlink ref="D613" r:id="rId612" xr:uid="{00000000-0004-0000-0100-000063020000}"/>
    <hyperlink ref="D614" r:id="rId613" xr:uid="{00000000-0004-0000-0100-000064020000}"/>
    <hyperlink ref="D615" r:id="rId614" xr:uid="{00000000-0004-0000-0100-000065020000}"/>
    <hyperlink ref="D616" r:id="rId615" xr:uid="{00000000-0004-0000-0100-000066020000}"/>
    <hyperlink ref="D617" r:id="rId616" xr:uid="{00000000-0004-0000-0100-000067020000}"/>
    <hyperlink ref="D618" r:id="rId617" xr:uid="{00000000-0004-0000-0100-000068020000}"/>
    <hyperlink ref="D619" r:id="rId618" xr:uid="{00000000-0004-0000-0100-000069020000}"/>
    <hyperlink ref="D620" r:id="rId619" xr:uid="{00000000-0004-0000-0100-00006A020000}"/>
    <hyperlink ref="D621" r:id="rId620" xr:uid="{00000000-0004-0000-0100-00006B020000}"/>
    <hyperlink ref="D622" r:id="rId621" xr:uid="{00000000-0004-0000-0100-00006C020000}"/>
    <hyperlink ref="D623" r:id="rId622" xr:uid="{00000000-0004-0000-0100-00006D020000}"/>
    <hyperlink ref="D624" r:id="rId623" xr:uid="{00000000-0004-0000-0100-00006E020000}"/>
    <hyperlink ref="D625" r:id="rId624" xr:uid="{00000000-0004-0000-0100-00006F020000}"/>
    <hyperlink ref="D626" r:id="rId625" xr:uid="{00000000-0004-0000-0100-000070020000}"/>
    <hyperlink ref="D627" r:id="rId626" xr:uid="{00000000-0004-0000-0100-000071020000}"/>
    <hyperlink ref="D628" r:id="rId627" xr:uid="{00000000-0004-0000-0100-000072020000}"/>
    <hyperlink ref="D629" r:id="rId628" xr:uid="{00000000-0004-0000-0100-000073020000}"/>
    <hyperlink ref="D630" r:id="rId629" xr:uid="{00000000-0004-0000-0100-000074020000}"/>
    <hyperlink ref="D631" r:id="rId630" xr:uid="{00000000-0004-0000-0100-000075020000}"/>
    <hyperlink ref="D632" r:id="rId631" xr:uid="{00000000-0004-0000-0100-000076020000}"/>
    <hyperlink ref="D633" r:id="rId632" xr:uid="{00000000-0004-0000-0100-000077020000}"/>
    <hyperlink ref="D634" r:id="rId633" xr:uid="{00000000-0004-0000-0100-000078020000}"/>
    <hyperlink ref="D635" r:id="rId634" xr:uid="{00000000-0004-0000-0100-000079020000}"/>
    <hyperlink ref="D636" r:id="rId635" xr:uid="{00000000-0004-0000-0100-00007A020000}"/>
    <hyperlink ref="D637" r:id="rId636" xr:uid="{00000000-0004-0000-0100-00007B020000}"/>
    <hyperlink ref="D638" r:id="rId637" xr:uid="{00000000-0004-0000-0100-00007C020000}"/>
    <hyperlink ref="D639" r:id="rId638" xr:uid="{00000000-0004-0000-0100-00007D020000}"/>
    <hyperlink ref="D640" r:id="rId639" xr:uid="{00000000-0004-0000-0100-00007E020000}"/>
    <hyperlink ref="D641" r:id="rId640" xr:uid="{00000000-0004-0000-0100-00007F020000}"/>
    <hyperlink ref="D642" r:id="rId641" xr:uid="{00000000-0004-0000-0100-000080020000}"/>
    <hyperlink ref="D643" r:id="rId642" xr:uid="{00000000-0004-0000-0100-000081020000}"/>
    <hyperlink ref="D644" r:id="rId643" xr:uid="{00000000-0004-0000-0100-000082020000}"/>
    <hyperlink ref="D645" r:id="rId644" xr:uid="{00000000-0004-0000-0100-000083020000}"/>
    <hyperlink ref="D646" r:id="rId645" xr:uid="{00000000-0004-0000-0100-000084020000}"/>
    <hyperlink ref="D647" r:id="rId646" xr:uid="{00000000-0004-0000-0100-000085020000}"/>
    <hyperlink ref="D648" r:id="rId647" xr:uid="{00000000-0004-0000-0100-000086020000}"/>
    <hyperlink ref="D649" r:id="rId648" xr:uid="{00000000-0004-0000-0100-000087020000}"/>
    <hyperlink ref="D650" r:id="rId649" xr:uid="{00000000-0004-0000-0100-000088020000}"/>
    <hyperlink ref="D651" r:id="rId650" xr:uid="{00000000-0004-0000-0100-000089020000}"/>
    <hyperlink ref="D652" r:id="rId651" xr:uid="{00000000-0004-0000-0100-00008A020000}"/>
    <hyperlink ref="D653" r:id="rId652" xr:uid="{00000000-0004-0000-0100-00008B020000}"/>
    <hyperlink ref="D654" r:id="rId653" xr:uid="{00000000-0004-0000-0100-00008C020000}"/>
    <hyperlink ref="D655" r:id="rId654" xr:uid="{00000000-0004-0000-0100-00008D020000}"/>
    <hyperlink ref="D656" r:id="rId655" xr:uid="{00000000-0004-0000-0100-00008E020000}"/>
    <hyperlink ref="D657" r:id="rId656" xr:uid="{00000000-0004-0000-0100-00008F020000}"/>
    <hyperlink ref="D658" r:id="rId657" xr:uid="{00000000-0004-0000-0100-000090020000}"/>
    <hyperlink ref="D659" r:id="rId658" xr:uid="{00000000-0004-0000-0100-000091020000}"/>
    <hyperlink ref="D660" r:id="rId659" xr:uid="{00000000-0004-0000-0100-000092020000}"/>
    <hyperlink ref="D661" r:id="rId660" xr:uid="{00000000-0004-0000-0100-000093020000}"/>
    <hyperlink ref="D662" r:id="rId661" xr:uid="{00000000-0004-0000-0100-000094020000}"/>
    <hyperlink ref="D663" r:id="rId662" xr:uid="{00000000-0004-0000-0100-000095020000}"/>
    <hyperlink ref="D664" r:id="rId663" xr:uid="{00000000-0004-0000-0100-000096020000}"/>
    <hyperlink ref="D665" r:id="rId664" xr:uid="{00000000-0004-0000-0100-000097020000}"/>
    <hyperlink ref="D666" r:id="rId665" xr:uid="{00000000-0004-0000-0100-000098020000}"/>
    <hyperlink ref="D667" r:id="rId666" xr:uid="{00000000-0004-0000-0100-000099020000}"/>
    <hyperlink ref="D668" r:id="rId667" xr:uid="{00000000-0004-0000-0100-00009A020000}"/>
    <hyperlink ref="D669" r:id="rId668" xr:uid="{00000000-0004-0000-0100-00009B020000}"/>
    <hyperlink ref="D670" r:id="rId669" xr:uid="{00000000-0004-0000-0100-00009C020000}"/>
    <hyperlink ref="D671" r:id="rId670" xr:uid="{00000000-0004-0000-0100-00009D020000}"/>
    <hyperlink ref="D672" r:id="rId671" xr:uid="{00000000-0004-0000-0100-00009E020000}"/>
    <hyperlink ref="D673" r:id="rId672" xr:uid="{00000000-0004-0000-0100-00009F020000}"/>
    <hyperlink ref="D674" r:id="rId673" xr:uid="{00000000-0004-0000-0100-0000A0020000}"/>
    <hyperlink ref="D675" r:id="rId674" xr:uid="{00000000-0004-0000-0100-0000A1020000}"/>
    <hyperlink ref="D676" r:id="rId675" xr:uid="{00000000-0004-0000-0100-0000A2020000}"/>
    <hyperlink ref="D677" r:id="rId676" xr:uid="{00000000-0004-0000-0100-0000A3020000}"/>
    <hyperlink ref="D678" r:id="rId677" xr:uid="{00000000-0004-0000-0100-0000A4020000}"/>
    <hyperlink ref="D679" r:id="rId678" xr:uid="{00000000-0004-0000-0100-0000A5020000}"/>
    <hyperlink ref="D680" r:id="rId679" xr:uid="{00000000-0004-0000-0100-0000A6020000}"/>
    <hyperlink ref="D681" r:id="rId680" xr:uid="{00000000-0004-0000-0100-0000A7020000}"/>
    <hyperlink ref="D682" r:id="rId681" xr:uid="{00000000-0004-0000-0100-0000A8020000}"/>
    <hyperlink ref="D683" r:id="rId682" xr:uid="{00000000-0004-0000-0100-0000A9020000}"/>
    <hyperlink ref="D684" r:id="rId683" xr:uid="{00000000-0004-0000-0100-0000AA020000}"/>
    <hyperlink ref="D685" r:id="rId684" xr:uid="{00000000-0004-0000-0100-0000AB020000}"/>
    <hyperlink ref="D686" r:id="rId685" xr:uid="{00000000-0004-0000-0100-0000AC020000}"/>
    <hyperlink ref="D687" r:id="rId686" xr:uid="{00000000-0004-0000-0100-0000AD020000}"/>
    <hyperlink ref="D688" r:id="rId687" xr:uid="{00000000-0004-0000-0100-0000AE020000}"/>
    <hyperlink ref="D689" r:id="rId688" xr:uid="{00000000-0004-0000-0100-0000AF020000}"/>
    <hyperlink ref="D690" r:id="rId689" xr:uid="{00000000-0004-0000-0100-0000B0020000}"/>
    <hyperlink ref="D691" r:id="rId690" xr:uid="{00000000-0004-0000-0100-0000B1020000}"/>
    <hyperlink ref="D692" r:id="rId691" xr:uid="{00000000-0004-0000-0100-0000B2020000}"/>
    <hyperlink ref="D693" r:id="rId692" xr:uid="{00000000-0004-0000-0100-0000B3020000}"/>
    <hyperlink ref="D694" r:id="rId693" xr:uid="{00000000-0004-0000-0100-0000B4020000}"/>
    <hyperlink ref="D695" r:id="rId694" xr:uid="{00000000-0004-0000-0100-0000B5020000}"/>
    <hyperlink ref="D696" r:id="rId695" xr:uid="{00000000-0004-0000-0100-0000B6020000}"/>
    <hyperlink ref="D697" r:id="rId696" xr:uid="{00000000-0004-0000-0100-0000B7020000}"/>
    <hyperlink ref="D698" r:id="rId697" xr:uid="{00000000-0004-0000-0100-0000B8020000}"/>
    <hyperlink ref="D699" r:id="rId698" xr:uid="{00000000-0004-0000-0100-0000B9020000}"/>
    <hyperlink ref="D700" r:id="rId699" xr:uid="{00000000-0004-0000-0100-0000BA020000}"/>
    <hyperlink ref="D701" r:id="rId700" xr:uid="{00000000-0004-0000-0100-0000BB020000}"/>
    <hyperlink ref="D702" r:id="rId701" xr:uid="{00000000-0004-0000-0100-0000BC020000}"/>
    <hyperlink ref="D703" r:id="rId702" xr:uid="{00000000-0004-0000-0100-0000BD020000}"/>
    <hyperlink ref="D704" r:id="rId703" xr:uid="{00000000-0004-0000-0100-0000BE020000}"/>
    <hyperlink ref="D705" r:id="rId704" xr:uid="{00000000-0004-0000-0100-0000BF020000}"/>
    <hyperlink ref="D706" r:id="rId705" xr:uid="{00000000-0004-0000-0100-0000C0020000}"/>
    <hyperlink ref="D707" r:id="rId706" xr:uid="{00000000-0004-0000-0100-0000C1020000}"/>
    <hyperlink ref="D708" r:id="rId707" xr:uid="{00000000-0004-0000-0100-0000C2020000}"/>
    <hyperlink ref="D709" r:id="rId708" xr:uid="{00000000-0004-0000-0100-0000C3020000}"/>
    <hyperlink ref="D710" r:id="rId709" xr:uid="{00000000-0004-0000-0100-0000C4020000}"/>
    <hyperlink ref="D711" r:id="rId710" xr:uid="{00000000-0004-0000-0100-0000C5020000}"/>
    <hyperlink ref="D712" r:id="rId711" xr:uid="{00000000-0004-0000-0100-0000C6020000}"/>
    <hyperlink ref="D713" r:id="rId712" xr:uid="{00000000-0004-0000-0100-0000C7020000}"/>
    <hyperlink ref="D714" r:id="rId713" xr:uid="{00000000-0004-0000-0100-0000C8020000}"/>
    <hyperlink ref="D715" r:id="rId714" xr:uid="{00000000-0004-0000-0100-0000C9020000}"/>
    <hyperlink ref="D716" r:id="rId715" xr:uid="{00000000-0004-0000-0100-0000CA020000}"/>
    <hyperlink ref="D717" r:id="rId716" xr:uid="{00000000-0004-0000-0100-0000CB020000}"/>
    <hyperlink ref="D718" r:id="rId717" xr:uid="{00000000-0004-0000-0100-0000CC020000}"/>
    <hyperlink ref="D719" r:id="rId718" xr:uid="{00000000-0004-0000-0100-0000CD020000}"/>
    <hyperlink ref="D720" r:id="rId719" xr:uid="{00000000-0004-0000-0100-0000CE020000}"/>
    <hyperlink ref="D721" r:id="rId720" xr:uid="{00000000-0004-0000-0100-0000CF020000}"/>
    <hyperlink ref="D722" r:id="rId721" xr:uid="{00000000-0004-0000-0100-0000D0020000}"/>
    <hyperlink ref="D723" r:id="rId722" xr:uid="{00000000-0004-0000-0100-0000D1020000}"/>
    <hyperlink ref="D724" r:id="rId723" xr:uid="{00000000-0004-0000-0100-0000D2020000}"/>
    <hyperlink ref="D725" r:id="rId724" xr:uid="{00000000-0004-0000-0100-0000D3020000}"/>
    <hyperlink ref="D726" r:id="rId725" xr:uid="{00000000-0004-0000-0100-0000D4020000}"/>
    <hyperlink ref="D727" r:id="rId726" xr:uid="{00000000-0004-0000-0100-0000D5020000}"/>
    <hyperlink ref="D728" r:id="rId727" xr:uid="{00000000-0004-0000-0100-0000D6020000}"/>
    <hyperlink ref="D729" r:id="rId728" xr:uid="{00000000-0004-0000-0100-0000D7020000}"/>
    <hyperlink ref="D730" r:id="rId729" xr:uid="{00000000-0004-0000-0100-0000D8020000}"/>
    <hyperlink ref="D731" r:id="rId730" xr:uid="{00000000-0004-0000-0100-0000D9020000}"/>
    <hyperlink ref="D732" r:id="rId731" xr:uid="{00000000-0004-0000-0100-0000DA020000}"/>
    <hyperlink ref="D733" r:id="rId732" xr:uid="{00000000-0004-0000-0100-0000DB020000}"/>
    <hyperlink ref="D734" r:id="rId733" xr:uid="{00000000-0004-0000-0100-0000DC020000}"/>
    <hyperlink ref="D735" r:id="rId734" xr:uid="{00000000-0004-0000-0100-0000DD020000}"/>
    <hyperlink ref="D736" r:id="rId735" xr:uid="{00000000-0004-0000-0100-0000DE020000}"/>
    <hyperlink ref="D737" r:id="rId736" xr:uid="{00000000-0004-0000-0100-0000DF020000}"/>
    <hyperlink ref="D738" r:id="rId737" xr:uid="{00000000-0004-0000-0100-0000E0020000}"/>
    <hyperlink ref="D739" r:id="rId738" xr:uid="{00000000-0004-0000-0100-0000E1020000}"/>
    <hyperlink ref="D740" r:id="rId739" xr:uid="{00000000-0004-0000-0100-0000E2020000}"/>
    <hyperlink ref="D741" r:id="rId740" xr:uid="{00000000-0004-0000-0100-0000E3020000}"/>
    <hyperlink ref="D742" r:id="rId741" xr:uid="{00000000-0004-0000-0100-0000E4020000}"/>
    <hyperlink ref="D743" r:id="rId742" xr:uid="{00000000-0004-0000-0100-0000E5020000}"/>
    <hyperlink ref="D744" r:id="rId743" xr:uid="{00000000-0004-0000-0100-0000E6020000}"/>
    <hyperlink ref="D745" r:id="rId744" xr:uid="{00000000-0004-0000-0100-0000E7020000}"/>
    <hyperlink ref="D746" r:id="rId745" xr:uid="{00000000-0004-0000-0100-0000E8020000}"/>
    <hyperlink ref="D747" r:id="rId746" xr:uid="{00000000-0004-0000-0100-0000E9020000}"/>
    <hyperlink ref="D748" r:id="rId747" xr:uid="{00000000-0004-0000-0100-0000EA020000}"/>
    <hyperlink ref="D749" r:id="rId748" xr:uid="{00000000-0004-0000-0100-0000EB020000}"/>
    <hyperlink ref="D750" r:id="rId749" xr:uid="{00000000-0004-0000-0100-0000EC020000}"/>
    <hyperlink ref="D751" r:id="rId750" xr:uid="{00000000-0004-0000-0100-0000ED020000}"/>
    <hyperlink ref="D752" r:id="rId751" xr:uid="{00000000-0004-0000-0100-0000EE020000}"/>
    <hyperlink ref="D753" r:id="rId752" xr:uid="{00000000-0004-0000-0100-0000EF020000}"/>
    <hyperlink ref="D754" r:id="rId753" xr:uid="{00000000-0004-0000-0100-0000F0020000}"/>
    <hyperlink ref="D755" r:id="rId754" xr:uid="{00000000-0004-0000-0100-0000F1020000}"/>
    <hyperlink ref="D756" r:id="rId755" xr:uid="{00000000-0004-0000-0100-0000F2020000}"/>
    <hyperlink ref="D757" r:id="rId756" xr:uid="{00000000-0004-0000-0100-0000F3020000}"/>
    <hyperlink ref="D758" r:id="rId757" xr:uid="{00000000-0004-0000-0100-0000F4020000}"/>
    <hyperlink ref="D759" r:id="rId758" xr:uid="{00000000-0004-0000-0100-0000F5020000}"/>
    <hyperlink ref="D760" r:id="rId759" xr:uid="{00000000-0004-0000-0100-0000F6020000}"/>
    <hyperlink ref="D761" r:id="rId760" xr:uid="{00000000-0004-0000-0100-0000F7020000}"/>
    <hyperlink ref="D762" r:id="rId761" xr:uid="{00000000-0004-0000-0100-0000F8020000}"/>
    <hyperlink ref="D763" r:id="rId762" xr:uid="{00000000-0004-0000-0100-0000F9020000}"/>
    <hyperlink ref="D764" r:id="rId763" xr:uid="{00000000-0004-0000-0100-0000FA020000}"/>
    <hyperlink ref="D765" r:id="rId764" xr:uid="{00000000-0004-0000-0100-0000FB020000}"/>
    <hyperlink ref="D766" r:id="rId765" xr:uid="{00000000-0004-0000-0100-0000FC020000}"/>
    <hyperlink ref="D767" r:id="rId766" xr:uid="{00000000-0004-0000-0100-0000FD020000}"/>
    <hyperlink ref="D768" r:id="rId767" xr:uid="{00000000-0004-0000-0100-0000FE020000}"/>
    <hyperlink ref="D769" r:id="rId768" xr:uid="{00000000-0004-0000-0100-0000FF020000}"/>
    <hyperlink ref="D770" r:id="rId769" xr:uid="{00000000-0004-0000-0100-000000030000}"/>
    <hyperlink ref="D771" r:id="rId770" xr:uid="{00000000-0004-0000-0100-000001030000}"/>
    <hyperlink ref="D772" r:id="rId771" xr:uid="{00000000-0004-0000-0100-000002030000}"/>
    <hyperlink ref="D773" r:id="rId772" xr:uid="{00000000-0004-0000-0100-000003030000}"/>
    <hyperlink ref="D774" r:id="rId773" xr:uid="{00000000-0004-0000-0100-000004030000}"/>
    <hyperlink ref="D775" r:id="rId774" xr:uid="{00000000-0004-0000-0100-000005030000}"/>
    <hyperlink ref="D776" r:id="rId775" xr:uid="{00000000-0004-0000-0100-000006030000}"/>
    <hyperlink ref="D777" r:id="rId776" xr:uid="{00000000-0004-0000-0100-000007030000}"/>
    <hyperlink ref="D778" r:id="rId777" xr:uid="{00000000-0004-0000-0100-000008030000}"/>
    <hyperlink ref="D779" r:id="rId778" xr:uid="{00000000-0004-0000-0100-000009030000}"/>
    <hyperlink ref="D780" r:id="rId779" xr:uid="{00000000-0004-0000-0100-00000A030000}"/>
    <hyperlink ref="D781" r:id="rId780" xr:uid="{00000000-0004-0000-0100-00000B030000}"/>
    <hyperlink ref="D782" r:id="rId781" xr:uid="{00000000-0004-0000-0100-00000C030000}"/>
    <hyperlink ref="D783" r:id="rId782" xr:uid="{00000000-0004-0000-0100-00000D030000}"/>
    <hyperlink ref="D784" r:id="rId783" xr:uid="{00000000-0004-0000-0100-00000E030000}"/>
    <hyperlink ref="D785" r:id="rId784" xr:uid="{00000000-0004-0000-0100-00000F030000}"/>
    <hyperlink ref="D786" r:id="rId785" xr:uid="{00000000-0004-0000-0100-000010030000}"/>
    <hyperlink ref="D787" r:id="rId786" xr:uid="{00000000-0004-0000-0100-000011030000}"/>
    <hyperlink ref="D788" r:id="rId787" xr:uid="{00000000-0004-0000-0100-000012030000}"/>
    <hyperlink ref="D789" r:id="rId788" xr:uid="{00000000-0004-0000-0100-000013030000}"/>
    <hyperlink ref="D790" r:id="rId789" xr:uid="{00000000-0004-0000-0100-000014030000}"/>
    <hyperlink ref="D791" r:id="rId790" xr:uid="{00000000-0004-0000-0100-000015030000}"/>
    <hyperlink ref="D792" r:id="rId791" xr:uid="{00000000-0004-0000-0100-000016030000}"/>
    <hyperlink ref="D793" r:id="rId792" xr:uid="{00000000-0004-0000-0100-000017030000}"/>
    <hyperlink ref="D794" r:id="rId793" xr:uid="{00000000-0004-0000-0100-000018030000}"/>
    <hyperlink ref="D795" r:id="rId794" xr:uid="{00000000-0004-0000-0100-000019030000}"/>
    <hyperlink ref="D796" r:id="rId795" xr:uid="{00000000-0004-0000-0100-00001A030000}"/>
    <hyperlink ref="D797" r:id="rId796" xr:uid="{00000000-0004-0000-0100-00001B030000}"/>
    <hyperlink ref="D798" r:id="rId797" xr:uid="{00000000-0004-0000-0100-00001C030000}"/>
    <hyperlink ref="D799" r:id="rId798" xr:uid="{00000000-0004-0000-0100-00001D030000}"/>
    <hyperlink ref="D800" r:id="rId799" xr:uid="{00000000-0004-0000-0100-00001E030000}"/>
    <hyperlink ref="D801" r:id="rId800" xr:uid="{00000000-0004-0000-0100-00001F030000}"/>
    <hyperlink ref="D802" r:id="rId801" xr:uid="{00000000-0004-0000-0100-000020030000}"/>
    <hyperlink ref="D803" r:id="rId802" xr:uid="{00000000-0004-0000-0100-000021030000}"/>
    <hyperlink ref="D804" r:id="rId803" xr:uid="{00000000-0004-0000-0100-000022030000}"/>
    <hyperlink ref="D805" r:id="rId804" xr:uid="{00000000-0004-0000-0100-000023030000}"/>
    <hyperlink ref="D806" r:id="rId805" xr:uid="{00000000-0004-0000-0100-000024030000}"/>
    <hyperlink ref="D807" r:id="rId806" xr:uid="{00000000-0004-0000-0100-000025030000}"/>
    <hyperlink ref="D808" r:id="rId807" xr:uid="{00000000-0004-0000-0100-000026030000}"/>
    <hyperlink ref="D809" r:id="rId808" xr:uid="{00000000-0004-0000-0100-000027030000}"/>
    <hyperlink ref="D810" r:id="rId809" xr:uid="{00000000-0004-0000-0100-000028030000}"/>
    <hyperlink ref="D811" r:id="rId810" xr:uid="{00000000-0004-0000-0100-000029030000}"/>
    <hyperlink ref="D812" r:id="rId811" xr:uid="{00000000-0004-0000-0100-00002A030000}"/>
    <hyperlink ref="D813" r:id="rId812" xr:uid="{00000000-0004-0000-0100-00002B030000}"/>
    <hyperlink ref="D814" r:id="rId813" xr:uid="{00000000-0004-0000-0100-00002C030000}"/>
    <hyperlink ref="D815" r:id="rId814" xr:uid="{00000000-0004-0000-0100-00002D030000}"/>
    <hyperlink ref="D816" r:id="rId815" xr:uid="{00000000-0004-0000-0100-00002E030000}"/>
    <hyperlink ref="D817" r:id="rId816" xr:uid="{00000000-0004-0000-0100-00002F030000}"/>
    <hyperlink ref="D818" r:id="rId817" xr:uid="{00000000-0004-0000-0100-000030030000}"/>
    <hyperlink ref="D819" r:id="rId818" xr:uid="{00000000-0004-0000-0100-000031030000}"/>
    <hyperlink ref="D820" r:id="rId819" xr:uid="{00000000-0004-0000-0100-000032030000}"/>
    <hyperlink ref="D821" r:id="rId820" xr:uid="{00000000-0004-0000-0100-000033030000}"/>
    <hyperlink ref="D822" r:id="rId821" xr:uid="{00000000-0004-0000-0100-000034030000}"/>
    <hyperlink ref="D823" r:id="rId822" xr:uid="{00000000-0004-0000-0100-000035030000}"/>
    <hyperlink ref="D824" r:id="rId823" xr:uid="{00000000-0004-0000-0100-000036030000}"/>
    <hyperlink ref="D825" r:id="rId824" xr:uid="{00000000-0004-0000-0100-000037030000}"/>
    <hyperlink ref="D826" r:id="rId825" xr:uid="{00000000-0004-0000-0100-000038030000}"/>
    <hyperlink ref="D827" r:id="rId826" xr:uid="{00000000-0004-0000-0100-000039030000}"/>
    <hyperlink ref="D828" r:id="rId827" xr:uid="{00000000-0004-0000-0100-00003A030000}"/>
    <hyperlink ref="D829" r:id="rId828" xr:uid="{00000000-0004-0000-0100-00003B030000}"/>
    <hyperlink ref="D830" r:id="rId829" xr:uid="{00000000-0004-0000-0100-00003C030000}"/>
    <hyperlink ref="D831" r:id="rId830" xr:uid="{00000000-0004-0000-0100-00003D030000}"/>
    <hyperlink ref="D832" r:id="rId831" xr:uid="{00000000-0004-0000-0100-00003E030000}"/>
    <hyperlink ref="D833" r:id="rId832" xr:uid="{00000000-0004-0000-0100-00003F030000}"/>
    <hyperlink ref="D834" r:id="rId833" xr:uid="{00000000-0004-0000-0100-000040030000}"/>
    <hyperlink ref="D835" r:id="rId834" xr:uid="{00000000-0004-0000-0100-000041030000}"/>
    <hyperlink ref="D836" r:id="rId835" xr:uid="{00000000-0004-0000-0100-000042030000}"/>
    <hyperlink ref="D837" r:id="rId836" xr:uid="{00000000-0004-0000-0100-000043030000}"/>
    <hyperlink ref="D838" r:id="rId837" xr:uid="{00000000-0004-0000-0100-000044030000}"/>
    <hyperlink ref="D839" r:id="rId838" xr:uid="{00000000-0004-0000-0100-000045030000}"/>
    <hyperlink ref="D840" r:id="rId839" xr:uid="{00000000-0004-0000-0100-000046030000}"/>
    <hyperlink ref="D841" r:id="rId840" xr:uid="{00000000-0004-0000-0100-000047030000}"/>
    <hyperlink ref="D842" r:id="rId841" xr:uid="{00000000-0004-0000-0100-000048030000}"/>
    <hyperlink ref="D843" r:id="rId842" xr:uid="{00000000-0004-0000-0100-000049030000}"/>
    <hyperlink ref="D844" r:id="rId843" xr:uid="{00000000-0004-0000-0100-00004A030000}"/>
    <hyperlink ref="D845" r:id="rId844" xr:uid="{00000000-0004-0000-0100-00004B030000}"/>
    <hyperlink ref="D846" r:id="rId845" xr:uid="{00000000-0004-0000-0100-00004C030000}"/>
    <hyperlink ref="D847" r:id="rId846" xr:uid="{00000000-0004-0000-0100-00004D030000}"/>
    <hyperlink ref="D848" r:id="rId847" xr:uid="{00000000-0004-0000-0100-00004E030000}"/>
    <hyperlink ref="D849" r:id="rId848" xr:uid="{00000000-0004-0000-0100-00004F030000}"/>
    <hyperlink ref="D850" r:id="rId849" xr:uid="{00000000-0004-0000-0100-000050030000}"/>
    <hyperlink ref="D851" r:id="rId850" xr:uid="{00000000-0004-0000-0100-000051030000}"/>
    <hyperlink ref="D852" r:id="rId851" xr:uid="{00000000-0004-0000-0100-000052030000}"/>
    <hyperlink ref="D853" r:id="rId852" xr:uid="{00000000-0004-0000-0100-000053030000}"/>
    <hyperlink ref="D854" r:id="rId853" xr:uid="{00000000-0004-0000-0100-000054030000}"/>
    <hyperlink ref="D855" r:id="rId854" xr:uid="{00000000-0004-0000-0100-000055030000}"/>
    <hyperlink ref="D856" r:id="rId855" xr:uid="{00000000-0004-0000-0100-000056030000}"/>
    <hyperlink ref="D857" r:id="rId856" xr:uid="{00000000-0004-0000-0100-000057030000}"/>
    <hyperlink ref="D858" r:id="rId857" xr:uid="{00000000-0004-0000-0100-000058030000}"/>
    <hyperlink ref="D859" r:id="rId858" xr:uid="{00000000-0004-0000-0100-000059030000}"/>
    <hyperlink ref="D860" r:id="rId859" xr:uid="{00000000-0004-0000-0100-00005A030000}"/>
    <hyperlink ref="D861" r:id="rId860" xr:uid="{00000000-0004-0000-0100-00005B030000}"/>
    <hyperlink ref="D862" r:id="rId861" xr:uid="{00000000-0004-0000-0100-00005C030000}"/>
    <hyperlink ref="D863" r:id="rId862" xr:uid="{00000000-0004-0000-0100-00005D030000}"/>
    <hyperlink ref="D864" r:id="rId863" xr:uid="{00000000-0004-0000-0100-00005E030000}"/>
    <hyperlink ref="D865" r:id="rId864" xr:uid="{00000000-0004-0000-0100-00005F030000}"/>
    <hyperlink ref="D866" r:id="rId865" xr:uid="{00000000-0004-0000-0100-000060030000}"/>
    <hyperlink ref="D867" r:id="rId866" xr:uid="{00000000-0004-0000-0100-000061030000}"/>
    <hyperlink ref="D868" r:id="rId867" xr:uid="{00000000-0004-0000-0100-000062030000}"/>
    <hyperlink ref="D869" r:id="rId868" xr:uid="{00000000-0004-0000-0100-000063030000}"/>
    <hyperlink ref="D870" r:id="rId869" xr:uid="{00000000-0004-0000-0100-000064030000}"/>
    <hyperlink ref="D871" r:id="rId870" xr:uid="{00000000-0004-0000-0100-000065030000}"/>
    <hyperlink ref="D872" r:id="rId871" xr:uid="{00000000-0004-0000-0100-000066030000}"/>
    <hyperlink ref="D873" r:id="rId872" xr:uid="{00000000-0004-0000-0100-000067030000}"/>
    <hyperlink ref="D874" r:id="rId873" xr:uid="{00000000-0004-0000-0100-000068030000}"/>
    <hyperlink ref="D875" r:id="rId874" xr:uid="{00000000-0004-0000-0100-000069030000}"/>
    <hyperlink ref="D876" r:id="rId875" xr:uid="{00000000-0004-0000-0100-00006A030000}"/>
    <hyperlink ref="D877" r:id="rId876" xr:uid="{00000000-0004-0000-0100-00006B030000}"/>
    <hyperlink ref="D878" r:id="rId877" xr:uid="{00000000-0004-0000-0100-00006C030000}"/>
    <hyperlink ref="D879" r:id="rId878" xr:uid="{00000000-0004-0000-0100-00006D030000}"/>
    <hyperlink ref="D880" r:id="rId879" xr:uid="{00000000-0004-0000-0100-00006E030000}"/>
    <hyperlink ref="D881" r:id="rId880" xr:uid="{00000000-0004-0000-0100-00006F030000}"/>
    <hyperlink ref="D882" r:id="rId881" xr:uid="{00000000-0004-0000-0100-000070030000}"/>
    <hyperlink ref="D883" r:id="rId882" xr:uid="{00000000-0004-0000-0100-000071030000}"/>
    <hyperlink ref="D884" r:id="rId883" xr:uid="{00000000-0004-0000-0100-000072030000}"/>
    <hyperlink ref="D885" r:id="rId884" xr:uid="{00000000-0004-0000-0100-000073030000}"/>
    <hyperlink ref="D886" r:id="rId885" xr:uid="{00000000-0004-0000-0100-000074030000}"/>
    <hyperlink ref="D887" r:id="rId886" xr:uid="{00000000-0004-0000-0100-000075030000}"/>
    <hyperlink ref="D888" r:id="rId887" xr:uid="{00000000-0004-0000-0100-000076030000}"/>
    <hyperlink ref="D889" r:id="rId888" xr:uid="{00000000-0004-0000-0100-000077030000}"/>
    <hyperlink ref="D890" r:id="rId889" xr:uid="{00000000-0004-0000-0100-000078030000}"/>
    <hyperlink ref="D891" r:id="rId890" xr:uid="{00000000-0004-0000-0100-000079030000}"/>
    <hyperlink ref="D892" r:id="rId891" xr:uid="{00000000-0004-0000-0100-00007A030000}"/>
    <hyperlink ref="D893" r:id="rId892" xr:uid="{00000000-0004-0000-0100-00007B030000}"/>
    <hyperlink ref="D894" r:id="rId893" xr:uid="{00000000-0004-0000-0100-00007C030000}"/>
    <hyperlink ref="D895" r:id="rId894" xr:uid="{00000000-0004-0000-0100-00007D030000}"/>
    <hyperlink ref="D896" r:id="rId895" xr:uid="{00000000-0004-0000-0100-00007E030000}"/>
    <hyperlink ref="D897" r:id="rId896" xr:uid="{00000000-0004-0000-0100-00007F030000}"/>
    <hyperlink ref="D898" r:id="rId897" xr:uid="{00000000-0004-0000-0100-000080030000}"/>
    <hyperlink ref="D899" r:id="rId898" xr:uid="{00000000-0004-0000-0100-000081030000}"/>
    <hyperlink ref="D900" r:id="rId899" xr:uid="{00000000-0004-0000-0100-000082030000}"/>
    <hyperlink ref="D901" r:id="rId900" xr:uid="{00000000-0004-0000-0100-000083030000}"/>
    <hyperlink ref="D902" r:id="rId901" xr:uid="{00000000-0004-0000-0100-000084030000}"/>
    <hyperlink ref="D903" r:id="rId902" xr:uid="{00000000-0004-0000-0100-000085030000}"/>
    <hyperlink ref="D904" r:id="rId903" xr:uid="{00000000-0004-0000-0100-000086030000}"/>
    <hyperlink ref="D905" r:id="rId904" xr:uid="{00000000-0004-0000-0100-000087030000}"/>
    <hyperlink ref="D906" r:id="rId905" xr:uid="{00000000-0004-0000-0100-000088030000}"/>
    <hyperlink ref="D907" r:id="rId906" xr:uid="{00000000-0004-0000-0100-000089030000}"/>
    <hyperlink ref="D908" r:id="rId907" xr:uid="{00000000-0004-0000-0100-00008A030000}"/>
    <hyperlink ref="D909" r:id="rId908" xr:uid="{00000000-0004-0000-0100-00008B030000}"/>
    <hyperlink ref="D910" r:id="rId909" xr:uid="{00000000-0004-0000-0100-00008C030000}"/>
    <hyperlink ref="D911" r:id="rId910" xr:uid="{00000000-0004-0000-0100-00008D030000}"/>
    <hyperlink ref="D912" r:id="rId911" xr:uid="{00000000-0004-0000-0100-00008E030000}"/>
    <hyperlink ref="D913" r:id="rId912" xr:uid="{00000000-0004-0000-0100-00008F030000}"/>
    <hyperlink ref="D914" r:id="rId913" xr:uid="{00000000-0004-0000-0100-000090030000}"/>
    <hyperlink ref="D915" r:id="rId914" xr:uid="{00000000-0004-0000-0100-000091030000}"/>
    <hyperlink ref="D916" r:id="rId915" xr:uid="{00000000-0004-0000-0100-000092030000}"/>
    <hyperlink ref="D917" r:id="rId916" xr:uid="{00000000-0004-0000-0100-000093030000}"/>
    <hyperlink ref="D918" r:id="rId917" xr:uid="{00000000-0004-0000-0100-000094030000}"/>
    <hyperlink ref="D919" r:id="rId918" xr:uid="{00000000-0004-0000-0100-000095030000}"/>
    <hyperlink ref="D920" r:id="rId919" xr:uid="{00000000-0004-0000-0100-000096030000}"/>
    <hyperlink ref="D921" r:id="rId920" xr:uid="{00000000-0004-0000-0100-000097030000}"/>
    <hyperlink ref="D922" r:id="rId921" xr:uid="{00000000-0004-0000-0100-000098030000}"/>
    <hyperlink ref="D923" r:id="rId922" xr:uid="{00000000-0004-0000-0100-000099030000}"/>
    <hyperlink ref="D924" r:id="rId923" xr:uid="{00000000-0004-0000-0100-00009A030000}"/>
    <hyperlink ref="D925" r:id="rId924" xr:uid="{00000000-0004-0000-0100-00009B030000}"/>
    <hyperlink ref="D926" r:id="rId925" xr:uid="{00000000-0004-0000-0100-00009C030000}"/>
    <hyperlink ref="D927" r:id="rId926" xr:uid="{00000000-0004-0000-0100-00009D030000}"/>
    <hyperlink ref="D928" r:id="rId927" xr:uid="{00000000-0004-0000-0100-00009E030000}"/>
    <hyperlink ref="D929" r:id="rId928" xr:uid="{00000000-0004-0000-0100-00009F030000}"/>
    <hyperlink ref="D930" r:id="rId929" xr:uid="{00000000-0004-0000-0100-0000A0030000}"/>
    <hyperlink ref="D931" r:id="rId930" xr:uid="{00000000-0004-0000-0100-0000A1030000}"/>
    <hyperlink ref="D932" r:id="rId931" xr:uid="{00000000-0004-0000-0100-0000A2030000}"/>
    <hyperlink ref="D933" r:id="rId932" xr:uid="{00000000-0004-0000-0100-0000A3030000}"/>
    <hyperlink ref="D934" r:id="rId933" xr:uid="{00000000-0004-0000-0100-0000A4030000}"/>
    <hyperlink ref="D935" r:id="rId934" xr:uid="{00000000-0004-0000-0100-0000A5030000}"/>
    <hyperlink ref="D936" r:id="rId935" xr:uid="{00000000-0004-0000-0100-0000A6030000}"/>
    <hyperlink ref="D937" r:id="rId936" xr:uid="{00000000-0004-0000-0100-0000A7030000}"/>
    <hyperlink ref="D938" r:id="rId937" xr:uid="{00000000-0004-0000-0100-0000A8030000}"/>
    <hyperlink ref="D939" r:id="rId938" xr:uid="{00000000-0004-0000-0100-0000A9030000}"/>
    <hyperlink ref="D940" r:id="rId939" xr:uid="{00000000-0004-0000-0100-0000AA030000}"/>
    <hyperlink ref="D941" r:id="rId940" xr:uid="{00000000-0004-0000-0100-0000AB030000}"/>
    <hyperlink ref="D942" r:id="rId941" xr:uid="{00000000-0004-0000-0100-0000AC030000}"/>
    <hyperlink ref="D943" r:id="rId942" xr:uid="{00000000-0004-0000-0100-0000AD030000}"/>
    <hyperlink ref="D944" r:id="rId943" xr:uid="{00000000-0004-0000-0100-0000AE030000}"/>
    <hyperlink ref="D945" r:id="rId944" xr:uid="{00000000-0004-0000-0100-0000AF030000}"/>
    <hyperlink ref="D946" r:id="rId945" xr:uid="{00000000-0004-0000-0100-0000B0030000}"/>
    <hyperlink ref="D947" r:id="rId946" xr:uid="{00000000-0004-0000-0100-0000B1030000}"/>
    <hyperlink ref="D948" r:id="rId947" xr:uid="{00000000-0004-0000-0100-0000B2030000}"/>
    <hyperlink ref="D949" r:id="rId948" xr:uid="{00000000-0004-0000-0100-0000B3030000}"/>
    <hyperlink ref="D950" r:id="rId949" xr:uid="{00000000-0004-0000-0100-0000B4030000}"/>
    <hyperlink ref="D951" r:id="rId950" xr:uid="{00000000-0004-0000-0100-0000B5030000}"/>
    <hyperlink ref="D952" r:id="rId951" xr:uid="{00000000-0004-0000-0100-0000B6030000}"/>
    <hyperlink ref="D953" r:id="rId952" xr:uid="{00000000-0004-0000-0100-0000B7030000}"/>
    <hyperlink ref="D954" r:id="rId953" xr:uid="{00000000-0004-0000-0100-0000B8030000}"/>
    <hyperlink ref="D955" r:id="rId954" xr:uid="{00000000-0004-0000-0100-0000B9030000}"/>
    <hyperlink ref="D956" r:id="rId955" xr:uid="{00000000-0004-0000-0100-0000BA030000}"/>
    <hyperlink ref="D957" r:id="rId956" xr:uid="{00000000-0004-0000-0100-0000BB030000}"/>
    <hyperlink ref="D958" r:id="rId957" xr:uid="{00000000-0004-0000-0100-0000BC030000}"/>
    <hyperlink ref="D959" r:id="rId958" xr:uid="{00000000-0004-0000-0100-0000BD030000}"/>
    <hyperlink ref="D960" r:id="rId959" xr:uid="{00000000-0004-0000-0100-0000BE030000}"/>
    <hyperlink ref="D961" r:id="rId960" xr:uid="{00000000-0004-0000-0100-0000BF030000}"/>
    <hyperlink ref="D962" r:id="rId961" xr:uid="{00000000-0004-0000-0100-0000C0030000}"/>
    <hyperlink ref="D963" r:id="rId962" xr:uid="{00000000-0004-0000-0100-0000C1030000}"/>
    <hyperlink ref="D964" r:id="rId963" xr:uid="{00000000-0004-0000-0100-0000C2030000}"/>
    <hyperlink ref="D965" r:id="rId964" xr:uid="{00000000-0004-0000-0100-0000C3030000}"/>
    <hyperlink ref="D966" r:id="rId965" xr:uid="{00000000-0004-0000-0100-0000C4030000}"/>
    <hyperlink ref="D967" r:id="rId966" xr:uid="{00000000-0004-0000-0100-0000C5030000}"/>
    <hyperlink ref="D968" r:id="rId967" xr:uid="{00000000-0004-0000-0100-0000C6030000}"/>
    <hyperlink ref="D969" r:id="rId968" xr:uid="{00000000-0004-0000-0100-0000C7030000}"/>
    <hyperlink ref="D970" r:id="rId969" xr:uid="{00000000-0004-0000-0100-0000C8030000}"/>
    <hyperlink ref="D971" r:id="rId970" xr:uid="{00000000-0004-0000-0100-0000C9030000}"/>
    <hyperlink ref="D972" r:id="rId971" xr:uid="{00000000-0004-0000-0100-0000CA030000}"/>
    <hyperlink ref="D973" r:id="rId972" xr:uid="{00000000-0004-0000-0100-0000CB030000}"/>
    <hyperlink ref="D974" r:id="rId973" xr:uid="{00000000-0004-0000-0100-0000CC030000}"/>
    <hyperlink ref="D975" r:id="rId974" xr:uid="{00000000-0004-0000-0100-0000CD030000}"/>
    <hyperlink ref="D976" r:id="rId975" xr:uid="{00000000-0004-0000-0100-0000CE030000}"/>
    <hyperlink ref="D977" r:id="rId976" xr:uid="{00000000-0004-0000-0100-0000CF030000}"/>
    <hyperlink ref="D978" r:id="rId977" xr:uid="{00000000-0004-0000-0100-0000D0030000}"/>
    <hyperlink ref="D979" r:id="rId978" xr:uid="{00000000-0004-0000-0100-0000D1030000}"/>
    <hyperlink ref="D980" r:id="rId979" xr:uid="{00000000-0004-0000-0100-0000D2030000}"/>
    <hyperlink ref="D981" r:id="rId980" xr:uid="{00000000-0004-0000-0100-0000D3030000}"/>
    <hyperlink ref="D982" r:id="rId981" xr:uid="{00000000-0004-0000-0100-0000D4030000}"/>
    <hyperlink ref="D983" r:id="rId982" xr:uid="{00000000-0004-0000-0100-0000D5030000}"/>
    <hyperlink ref="D984" r:id="rId983" xr:uid="{00000000-0004-0000-0100-0000D6030000}"/>
    <hyperlink ref="D985" r:id="rId984" xr:uid="{00000000-0004-0000-0100-0000D7030000}"/>
    <hyperlink ref="D986" r:id="rId985" xr:uid="{00000000-0004-0000-0100-0000D8030000}"/>
    <hyperlink ref="D987" r:id="rId986" xr:uid="{00000000-0004-0000-0100-0000D9030000}"/>
    <hyperlink ref="D988" r:id="rId987" xr:uid="{00000000-0004-0000-0100-0000DA030000}"/>
    <hyperlink ref="D989" r:id="rId988" xr:uid="{00000000-0004-0000-0100-0000DB030000}"/>
    <hyperlink ref="D990" r:id="rId989" xr:uid="{00000000-0004-0000-0100-0000DC030000}"/>
    <hyperlink ref="D991" r:id="rId990" xr:uid="{00000000-0004-0000-0100-0000DD030000}"/>
    <hyperlink ref="D992" r:id="rId991" xr:uid="{00000000-0004-0000-0100-0000DE030000}"/>
    <hyperlink ref="D993" r:id="rId992" xr:uid="{00000000-0004-0000-0100-0000DF030000}"/>
    <hyperlink ref="D994" r:id="rId993" xr:uid="{00000000-0004-0000-0100-0000E0030000}"/>
    <hyperlink ref="D995" r:id="rId994" xr:uid="{00000000-0004-0000-0100-0000E1030000}"/>
    <hyperlink ref="D996" r:id="rId995" xr:uid="{00000000-0004-0000-0100-0000E2030000}"/>
    <hyperlink ref="D997" r:id="rId996" xr:uid="{00000000-0004-0000-0100-0000E3030000}"/>
    <hyperlink ref="D998" r:id="rId997" xr:uid="{00000000-0004-0000-0100-0000E4030000}"/>
    <hyperlink ref="D999" r:id="rId998" xr:uid="{00000000-0004-0000-0100-0000E5030000}"/>
    <hyperlink ref="D1000" r:id="rId999" xr:uid="{00000000-0004-0000-0100-0000E6030000}"/>
    <hyperlink ref="D1001" r:id="rId1000" xr:uid="{00000000-0004-0000-0100-0000E7030000}"/>
    <hyperlink ref="D1002" r:id="rId1001" xr:uid="{00000000-0004-0000-0100-0000E8030000}"/>
    <hyperlink ref="D1003" r:id="rId1002" xr:uid="{00000000-0004-0000-0100-0000E9030000}"/>
    <hyperlink ref="D1004" r:id="rId1003" xr:uid="{00000000-0004-0000-0100-0000EA030000}"/>
    <hyperlink ref="D1005" r:id="rId1004" xr:uid="{00000000-0004-0000-0100-0000EB030000}"/>
    <hyperlink ref="D1006" r:id="rId1005" xr:uid="{00000000-0004-0000-0100-0000EC030000}"/>
    <hyperlink ref="D1007" r:id="rId1006" xr:uid="{00000000-0004-0000-0100-0000ED030000}"/>
    <hyperlink ref="D1008" r:id="rId1007" xr:uid="{00000000-0004-0000-0100-0000EE030000}"/>
    <hyperlink ref="D1009" r:id="rId1008" xr:uid="{00000000-0004-0000-0100-0000EF030000}"/>
    <hyperlink ref="D1010" r:id="rId1009" xr:uid="{00000000-0004-0000-0100-0000F0030000}"/>
    <hyperlink ref="D1011" r:id="rId1010" xr:uid="{00000000-0004-0000-0100-0000F1030000}"/>
    <hyperlink ref="D1012" r:id="rId1011" xr:uid="{00000000-0004-0000-0100-0000F2030000}"/>
    <hyperlink ref="D1013" r:id="rId1012" xr:uid="{00000000-0004-0000-0100-0000F3030000}"/>
    <hyperlink ref="D1014" r:id="rId1013" xr:uid="{00000000-0004-0000-0100-0000F4030000}"/>
    <hyperlink ref="D1015" r:id="rId1014" xr:uid="{00000000-0004-0000-0100-0000F5030000}"/>
    <hyperlink ref="D1016" r:id="rId1015" xr:uid="{00000000-0004-0000-0100-0000F6030000}"/>
    <hyperlink ref="D1017" r:id="rId1016" xr:uid="{00000000-0004-0000-0100-0000F7030000}"/>
    <hyperlink ref="D1018" r:id="rId1017" xr:uid="{00000000-0004-0000-0100-0000F8030000}"/>
    <hyperlink ref="D1019" r:id="rId1018" xr:uid="{00000000-0004-0000-0100-0000F9030000}"/>
    <hyperlink ref="D1020" r:id="rId1019" xr:uid="{00000000-0004-0000-0100-0000FA030000}"/>
    <hyperlink ref="D1021" r:id="rId1020" xr:uid="{00000000-0004-0000-0100-0000FB030000}"/>
    <hyperlink ref="D1022" r:id="rId1021" xr:uid="{00000000-0004-0000-0100-0000FC030000}"/>
    <hyperlink ref="D1023" r:id="rId1022" xr:uid="{00000000-0004-0000-0100-0000FD030000}"/>
    <hyperlink ref="D1024" r:id="rId1023" xr:uid="{00000000-0004-0000-0100-0000FE030000}"/>
    <hyperlink ref="D1025" r:id="rId1024" xr:uid="{00000000-0004-0000-0100-0000FF030000}"/>
    <hyperlink ref="D1026" r:id="rId1025" xr:uid="{00000000-0004-0000-0100-000000040000}"/>
    <hyperlink ref="D1027" r:id="rId1026" xr:uid="{00000000-0004-0000-0100-000001040000}"/>
    <hyperlink ref="D1028" r:id="rId1027" xr:uid="{00000000-0004-0000-0100-000002040000}"/>
    <hyperlink ref="D1029" r:id="rId1028" xr:uid="{00000000-0004-0000-0100-000003040000}"/>
    <hyperlink ref="D1030" r:id="rId1029" xr:uid="{00000000-0004-0000-0100-000004040000}"/>
    <hyperlink ref="D1031" r:id="rId1030" xr:uid="{00000000-0004-0000-0100-000005040000}"/>
    <hyperlink ref="D1032" r:id="rId1031" xr:uid="{00000000-0004-0000-0100-000006040000}"/>
    <hyperlink ref="D1033" r:id="rId1032" xr:uid="{00000000-0004-0000-0100-000007040000}"/>
    <hyperlink ref="D1034" r:id="rId1033" xr:uid="{00000000-0004-0000-0100-000008040000}"/>
    <hyperlink ref="D1035" r:id="rId1034" xr:uid="{00000000-0004-0000-0100-000009040000}"/>
    <hyperlink ref="D1036" r:id="rId1035" xr:uid="{00000000-0004-0000-0100-00000A040000}"/>
    <hyperlink ref="D1037" r:id="rId1036" xr:uid="{00000000-0004-0000-0100-00000B040000}"/>
    <hyperlink ref="D1038" r:id="rId1037" xr:uid="{00000000-0004-0000-0100-00000C040000}"/>
    <hyperlink ref="D1039" r:id="rId1038" xr:uid="{00000000-0004-0000-0100-00000D040000}"/>
    <hyperlink ref="D1040" r:id="rId1039" xr:uid="{00000000-0004-0000-0100-00000E040000}"/>
    <hyperlink ref="D1041" r:id="rId1040" xr:uid="{00000000-0004-0000-0100-00000F040000}"/>
    <hyperlink ref="D1042" r:id="rId1041" xr:uid="{00000000-0004-0000-0100-000010040000}"/>
    <hyperlink ref="D1043" r:id="rId1042" xr:uid="{00000000-0004-0000-0100-000011040000}"/>
    <hyperlink ref="D1044" r:id="rId1043" xr:uid="{00000000-0004-0000-0100-000012040000}"/>
    <hyperlink ref="D1045" r:id="rId1044" xr:uid="{00000000-0004-0000-0100-000013040000}"/>
    <hyperlink ref="D1046" r:id="rId1045" xr:uid="{00000000-0004-0000-0100-000014040000}"/>
    <hyperlink ref="D1047" r:id="rId1046" xr:uid="{00000000-0004-0000-0100-000015040000}"/>
    <hyperlink ref="D1048" r:id="rId1047" xr:uid="{00000000-0004-0000-0100-000016040000}"/>
    <hyperlink ref="D1049" r:id="rId1048" xr:uid="{00000000-0004-0000-0100-000017040000}"/>
    <hyperlink ref="D1050" r:id="rId1049" xr:uid="{00000000-0004-0000-0100-000018040000}"/>
    <hyperlink ref="D1051" r:id="rId1050" xr:uid="{00000000-0004-0000-0100-000019040000}"/>
    <hyperlink ref="D1052" r:id="rId1051" xr:uid="{00000000-0004-0000-0100-00001A040000}"/>
    <hyperlink ref="D1053" r:id="rId1052" xr:uid="{00000000-0004-0000-0100-00001B040000}"/>
    <hyperlink ref="D1054" r:id="rId1053" xr:uid="{00000000-0004-0000-0100-00001C040000}"/>
    <hyperlink ref="D1055" r:id="rId1054" xr:uid="{00000000-0004-0000-0100-00001D040000}"/>
    <hyperlink ref="D1056" r:id="rId1055" xr:uid="{00000000-0004-0000-0100-00001E040000}"/>
    <hyperlink ref="D1057" r:id="rId1056" xr:uid="{00000000-0004-0000-0100-00001F040000}"/>
    <hyperlink ref="D1058" r:id="rId1057" xr:uid="{00000000-0004-0000-0100-000020040000}"/>
    <hyperlink ref="D1059" r:id="rId1058" xr:uid="{00000000-0004-0000-0100-000021040000}"/>
    <hyperlink ref="D1060" r:id="rId1059" xr:uid="{00000000-0004-0000-0100-000022040000}"/>
    <hyperlink ref="D1061" r:id="rId1060" xr:uid="{00000000-0004-0000-0100-000023040000}"/>
    <hyperlink ref="D1062" r:id="rId1061" xr:uid="{00000000-0004-0000-0100-000024040000}"/>
    <hyperlink ref="D1063" r:id="rId1062" xr:uid="{00000000-0004-0000-0100-000025040000}"/>
    <hyperlink ref="D1064" r:id="rId1063" xr:uid="{00000000-0004-0000-0100-000026040000}"/>
    <hyperlink ref="D1065" r:id="rId1064" xr:uid="{00000000-0004-0000-0100-000027040000}"/>
    <hyperlink ref="D1066" r:id="rId1065" xr:uid="{00000000-0004-0000-0100-000028040000}"/>
    <hyperlink ref="D1067" r:id="rId1066" xr:uid="{00000000-0004-0000-0100-000029040000}"/>
    <hyperlink ref="D1068" r:id="rId1067" xr:uid="{00000000-0004-0000-0100-00002A040000}"/>
    <hyperlink ref="D1069" r:id="rId1068" xr:uid="{00000000-0004-0000-0100-00002B040000}"/>
    <hyperlink ref="D1070" r:id="rId1069" xr:uid="{00000000-0004-0000-0100-00002C040000}"/>
    <hyperlink ref="D1071" r:id="rId1070" xr:uid="{00000000-0004-0000-0100-00002D040000}"/>
    <hyperlink ref="D1072" r:id="rId1071" xr:uid="{00000000-0004-0000-0100-00002E040000}"/>
    <hyperlink ref="D1073" r:id="rId1072" xr:uid="{00000000-0004-0000-0100-00002F040000}"/>
    <hyperlink ref="D1074" r:id="rId1073" xr:uid="{00000000-0004-0000-0100-000030040000}"/>
    <hyperlink ref="D1075" r:id="rId1074" xr:uid="{00000000-0004-0000-0100-000031040000}"/>
    <hyperlink ref="D1076" r:id="rId1075" xr:uid="{00000000-0004-0000-0100-000032040000}"/>
    <hyperlink ref="D1077" r:id="rId1076" xr:uid="{00000000-0004-0000-0100-000033040000}"/>
    <hyperlink ref="D1078" r:id="rId1077" xr:uid="{00000000-0004-0000-0100-000034040000}"/>
    <hyperlink ref="D1079" r:id="rId1078" xr:uid="{00000000-0004-0000-0100-000035040000}"/>
    <hyperlink ref="D1080" r:id="rId1079" xr:uid="{00000000-0004-0000-0100-000036040000}"/>
    <hyperlink ref="D1081" r:id="rId1080" xr:uid="{00000000-0004-0000-0100-000037040000}"/>
    <hyperlink ref="D1082" r:id="rId1081" xr:uid="{00000000-0004-0000-0100-000038040000}"/>
    <hyperlink ref="D1083" r:id="rId1082" xr:uid="{00000000-0004-0000-0100-000039040000}"/>
    <hyperlink ref="D1084" r:id="rId1083" xr:uid="{00000000-0004-0000-0100-00003A040000}"/>
    <hyperlink ref="D1085" r:id="rId1084" xr:uid="{00000000-0004-0000-0100-00003B040000}"/>
    <hyperlink ref="D1086" r:id="rId1085" xr:uid="{00000000-0004-0000-0100-00003C040000}"/>
    <hyperlink ref="D1087" r:id="rId1086" xr:uid="{00000000-0004-0000-0100-00003D040000}"/>
    <hyperlink ref="D1088" r:id="rId1087" xr:uid="{00000000-0004-0000-0100-00003E040000}"/>
    <hyperlink ref="D1089" r:id="rId1088" xr:uid="{00000000-0004-0000-0100-00003F040000}"/>
    <hyperlink ref="D1090" r:id="rId1089" xr:uid="{00000000-0004-0000-0100-000040040000}"/>
    <hyperlink ref="D1091" r:id="rId1090" xr:uid="{00000000-0004-0000-0100-000041040000}"/>
    <hyperlink ref="D1092" r:id="rId1091" xr:uid="{00000000-0004-0000-0100-000042040000}"/>
    <hyperlink ref="D1093" r:id="rId1092" xr:uid="{00000000-0004-0000-0100-000043040000}"/>
    <hyperlink ref="D1094" r:id="rId1093" xr:uid="{00000000-0004-0000-0100-000044040000}"/>
    <hyperlink ref="D1095" r:id="rId1094" xr:uid="{00000000-0004-0000-0100-000045040000}"/>
    <hyperlink ref="D1096" r:id="rId1095" xr:uid="{00000000-0004-0000-0100-000046040000}"/>
    <hyperlink ref="D1097" r:id="rId1096" xr:uid="{00000000-0004-0000-0100-000047040000}"/>
    <hyperlink ref="D1098" r:id="rId1097" xr:uid="{00000000-0004-0000-0100-000048040000}"/>
    <hyperlink ref="D1099" r:id="rId1098" xr:uid="{00000000-0004-0000-0100-000049040000}"/>
    <hyperlink ref="D1100" r:id="rId1099" xr:uid="{00000000-0004-0000-0100-00004A040000}"/>
    <hyperlink ref="D1101" r:id="rId1100" xr:uid="{00000000-0004-0000-0100-00004B040000}"/>
    <hyperlink ref="D1102" r:id="rId1101" xr:uid="{00000000-0004-0000-0100-00004C040000}"/>
    <hyperlink ref="D1103" r:id="rId1102" xr:uid="{00000000-0004-0000-0100-00004D040000}"/>
    <hyperlink ref="D1104" r:id="rId1103" xr:uid="{00000000-0004-0000-0100-00004E040000}"/>
    <hyperlink ref="D1105" r:id="rId1104" xr:uid="{00000000-0004-0000-0100-00004F040000}"/>
    <hyperlink ref="D1106" r:id="rId1105" xr:uid="{00000000-0004-0000-0100-000050040000}"/>
    <hyperlink ref="D1107" r:id="rId1106" xr:uid="{00000000-0004-0000-0100-000051040000}"/>
    <hyperlink ref="D1108" r:id="rId1107" xr:uid="{00000000-0004-0000-0100-000052040000}"/>
    <hyperlink ref="D1109" r:id="rId1108" xr:uid="{00000000-0004-0000-0100-000053040000}"/>
    <hyperlink ref="D1110" r:id="rId1109" xr:uid="{00000000-0004-0000-0100-000054040000}"/>
    <hyperlink ref="D1111" r:id="rId1110" xr:uid="{00000000-0004-0000-0100-000055040000}"/>
    <hyperlink ref="D1112" r:id="rId1111" xr:uid="{00000000-0004-0000-0100-000056040000}"/>
    <hyperlink ref="D1113" r:id="rId1112" xr:uid="{00000000-0004-0000-0100-000057040000}"/>
    <hyperlink ref="D1114" r:id="rId1113" xr:uid="{00000000-0004-0000-0100-000058040000}"/>
    <hyperlink ref="D1115" r:id="rId1114" xr:uid="{00000000-0004-0000-0100-000059040000}"/>
    <hyperlink ref="D1116" r:id="rId1115" xr:uid="{00000000-0004-0000-0100-00005A040000}"/>
    <hyperlink ref="D1117" r:id="rId1116" xr:uid="{00000000-0004-0000-0100-00005B040000}"/>
    <hyperlink ref="D1118" r:id="rId1117" xr:uid="{00000000-0004-0000-0100-00005C040000}"/>
    <hyperlink ref="D1119" r:id="rId1118" xr:uid="{00000000-0004-0000-0100-00005D040000}"/>
    <hyperlink ref="D1120" r:id="rId1119" xr:uid="{00000000-0004-0000-0100-00005E040000}"/>
    <hyperlink ref="D1121" r:id="rId1120" xr:uid="{00000000-0004-0000-0100-00005F040000}"/>
    <hyperlink ref="D1122" r:id="rId1121" xr:uid="{00000000-0004-0000-0100-000060040000}"/>
    <hyperlink ref="D1123" r:id="rId1122" xr:uid="{00000000-0004-0000-0100-000061040000}"/>
    <hyperlink ref="D1124" r:id="rId1123" xr:uid="{00000000-0004-0000-0100-000062040000}"/>
    <hyperlink ref="D1125" r:id="rId1124" xr:uid="{00000000-0004-0000-0100-000063040000}"/>
    <hyperlink ref="D1126" r:id="rId1125" xr:uid="{00000000-0004-0000-0100-000064040000}"/>
    <hyperlink ref="D1127" r:id="rId1126" xr:uid="{00000000-0004-0000-0100-000065040000}"/>
    <hyperlink ref="D1128" r:id="rId1127" xr:uid="{00000000-0004-0000-0100-000066040000}"/>
    <hyperlink ref="D1129" r:id="rId1128" xr:uid="{00000000-0004-0000-0100-000067040000}"/>
    <hyperlink ref="D1130" r:id="rId1129" xr:uid="{00000000-0004-0000-0100-000068040000}"/>
    <hyperlink ref="D1131" r:id="rId1130" xr:uid="{00000000-0004-0000-0100-000069040000}"/>
    <hyperlink ref="D1132" r:id="rId1131" xr:uid="{00000000-0004-0000-0100-00006A040000}"/>
    <hyperlink ref="D1133" r:id="rId1132" xr:uid="{00000000-0004-0000-0100-00006B040000}"/>
    <hyperlink ref="D1134" r:id="rId1133" xr:uid="{00000000-0004-0000-0100-00006C040000}"/>
    <hyperlink ref="D1135" r:id="rId1134" xr:uid="{00000000-0004-0000-0100-00006D040000}"/>
    <hyperlink ref="D1136" r:id="rId1135" xr:uid="{00000000-0004-0000-0100-00006E040000}"/>
    <hyperlink ref="D1137" r:id="rId1136" xr:uid="{00000000-0004-0000-0100-00006F040000}"/>
    <hyperlink ref="D1138" r:id="rId1137" xr:uid="{00000000-0004-0000-0100-000070040000}"/>
    <hyperlink ref="D1139" r:id="rId1138" xr:uid="{00000000-0004-0000-0100-000071040000}"/>
    <hyperlink ref="D1140" r:id="rId1139" xr:uid="{00000000-0004-0000-0100-000072040000}"/>
    <hyperlink ref="D1141" r:id="rId1140" xr:uid="{00000000-0004-0000-0100-000073040000}"/>
    <hyperlink ref="D1142" r:id="rId1141" xr:uid="{00000000-0004-0000-0100-000074040000}"/>
    <hyperlink ref="D1143" r:id="rId1142" xr:uid="{00000000-0004-0000-0100-000075040000}"/>
    <hyperlink ref="D1144" r:id="rId1143" xr:uid="{00000000-0004-0000-0100-000076040000}"/>
    <hyperlink ref="D1145" r:id="rId1144" xr:uid="{00000000-0004-0000-0100-000077040000}"/>
    <hyperlink ref="D1146" r:id="rId1145" xr:uid="{00000000-0004-0000-0100-000078040000}"/>
    <hyperlink ref="D1147" r:id="rId1146" xr:uid="{00000000-0004-0000-0100-000079040000}"/>
    <hyperlink ref="D1148" r:id="rId1147" xr:uid="{00000000-0004-0000-0100-00007A040000}"/>
    <hyperlink ref="D1149" r:id="rId1148" xr:uid="{00000000-0004-0000-0100-00007B040000}"/>
    <hyperlink ref="D1150" r:id="rId1149" xr:uid="{00000000-0004-0000-0100-00007C040000}"/>
    <hyperlink ref="D1151" r:id="rId1150" xr:uid="{00000000-0004-0000-0100-00007D040000}"/>
    <hyperlink ref="D1152" r:id="rId1151" xr:uid="{00000000-0004-0000-0100-00007E040000}"/>
    <hyperlink ref="D1153" r:id="rId1152" xr:uid="{00000000-0004-0000-0100-00007F040000}"/>
    <hyperlink ref="D1154" r:id="rId1153" xr:uid="{00000000-0004-0000-0100-000080040000}"/>
    <hyperlink ref="D1155" r:id="rId1154" xr:uid="{00000000-0004-0000-0100-000081040000}"/>
    <hyperlink ref="D1156" r:id="rId1155" xr:uid="{00000000-0004-0000-0100-000082040000}"/>
    <hyperlink ref="D1157" r:id="rId1156" xr:uid="{00000000-0004-0000-0100-000083040000}"/>
    <hyperlink ref="D1158" r:id="rId1157" xr:uid="{00000000-0004-0000-0100-000084040000}"/>
    <hyperlink ref="D1159" r:id="rId1158" xr:uid="{00000000-0004-0000-0100-000085040000}"/>
    <hyperlink ref="D1160" r:id="rId1159" xr:uid="{00000000-0004-0000-0100-000086040000}"/>
    <hyperlink ref="D1161" r:id="rId1160" xr:uid="{00000000-0004-0000-0100-000087040000}"/>
    <hyperlink ref="D1162" r:id="rId1161" xr:uid="{00000000-0004-0000-0100-000088040000}"/>
    <hyperlink ref="D1163" r:id="rId1162" xr:uid="{00000000-0004-0000-0100-000089040000}"/>
    <hyperlink ref="D1164" r:id="rId1163" xr:uid="{00000000-0004-0000-0100-00008A040000}"/>
    <hyperlink ref="D1165" r:id="rId1164" xr:uid="{00000000-0004-0000-0100-00008B040000}"/>
    <hyperlink ref="D1166" r:id="rId1165" xr:uid="{00000000-0004-0000-0100-00008C040000}"/>
    <hyperlink ref="D1167" r:id="rId1166" xr:uid="{00000000-0004-0000-0100-00008D040000}"/>
    <hyperlink ref="D1168" r:id="rId1167" xr:uid="{00000000-0004-0000-0100-00008E040000}"/>
    <hyperlink ref="D1169" r:id="rId1168" xr:uid="{00000000-0004-0000-0100-00008F040000}"/>
    <hyperlink ref="D1170" r:id="rId1169" xr:uid="{00000000-0004-0000-0100-000090040000}"/>
    <hyperlink ref="D1171" r:id="rId1170" xr:uid="{00000000-0004-0000-0100-000091040000}"/>
    <hyperlink ref="D1172" r:id="rId1171" xr:uid="{00000000-0004-0000-0100-000092040000}"/>
    <hyperlink ref="D1173" r:id="rId1172" xr:uid="{00000000-0004-0000-0100-000093040000}"/>
    <hyperlink ref="D1174" r:id="rId1173" xr:uid="{00000000-0004-0000-0100-000094040000}"/>
    <hyperlink ref="D1175" r:id="rId1174" xr:uid="{00000000-0004-0000-0100-000095040000}"/>
    <hyperlink ref="D1176" r:id="rId1175" xr:uid="{00000000-0004-0000-0100-000096040000}"/>
    <hyperlink ref="D1177" r:id="rId1176" xr:uid="{00000000-0004-0000-0100-000097040000}"/>
    <hyperlink ref="D1178" r:id="rId1177" xr:uid="{00000000-0004-0000-0100-000098040000}"/>
    <hyperlink ref="D1179" r:id="rId1178" xr:uid="{00000000-0004-0000-0100-000099040000}"/>
    <hyperlink ref="D1180" r:id="rId1179" xr:uid="{00000000-0004-0000-0100-00009A040000}"/>
    <hyperlink ref="D1181" r:id="rId1180" xr:uid="{00000000-0004-0000-0100-00009B040000}"/>
    <hyperlink ref="D1182" r:id="rId1181" xr:uid="{00000000-0004-0000-0100-00009C040000}"/>
    <hyperlink ref="D1183" r:id="rId1182" xr:uid="{00000000-0004-0000-0100-00009D040000}"/>
    <hyperlink ref="D1184" r:id="rId1183" xr:uid="{00000000-0004-0000-0100-00009E040000}"/>
    <hyperlink ref="D1185" r:id="rId1184" xr:uid="{00000000-0004-0000-0100-00009F040000}"/>
    <hyperlink ref="D1186" r:id="rId1185" xr:uid="{00000000-0004-0000-0100-0000A0040000}"/>
    <hyperlink ref="D1187" r:id="rId1186" xr:uid="{00000000-0004-0000-0100-0000A1040000}"/>
    <hyperlink ref="D1188" r:id="rId1187" xr:uid="{00000000-0004-0000-0100-0000A2040000}"/>
    <hyperlink ref="D1189" r:id="rId1188" xr:uid="{00000000-0004-0000-0100-0000A3040000}"/>
    <hyperlink ref="D1190" r:id="rId1189" xr:uid="{00000000-0004-0000-0100-0000A4040000}"/>
    <hyperlink ref="D1191" r:id="rId1190" xr:uid="{00000000-0004-0000-0100-0000A5040000}"/>
    <hyperlink ref="D1192" r:id="rId1191" xr:uid="{00000000-0004-0000-0100-0000A6040000}"/>
    <hyperlink ref="D1193" r:id="rId1192" xr:uid="{00000000-0004-0000-0100-0000A7040000}"/>
    <hyperlink ref="D1194" r:id="rId1193" xr:uid="{00000000-0004-0000-0100-0000A8040000}"/>
    <hyperlink ref="D1195" r:id="rId1194" xr:uid="{00000000-0004-0000-0100-0000A9040000}"/>
    <hyperlink ref="D1196" r:id="rId1195" xr:uid="{00000000-0004-0000-0100-0000AA040000}"/>
    <hyperlink ref="D1197" r:id="rId1196" xr:uid="{00000000-0004-0000-0100-0000AB040000}"/>
    <hyperlink ref="D1198" r:id="rId1197" xr:uid="{00000000-0004-0000-0100-0000AC040000}"/>
    <hyperlink ref="D1199" r:id="rId1198" xr:uid="{00000000-0004-0000-0100-0000AD040000}"/>
    <hyperlink ref="D1200" r:id="rId1199" xr:uid="{00000000-0004-0000-0100-0000AE040000}"/>
    <hyperlink ref="D1201" r:id="rId1200" xr:uid="{00000000-0004-0000-0100-0000AF040000}"/>
    <hyperlink ref="D1202" r:id="rId1201" xr:uid="{00000000-0004-0000-0100-0000B0040000}"/>
    <hyperlink ref="D1203" r:id="rId1202" xr:uid="{00000000-0004-0000-0100-0000B1040000}"/>
    <hyperlink ref="D1204" r:id="rId1203" xr:uid="{00000000-0004-0000-0100-0000B2040000}"/>
    <hyperlink ref="D1205" r:id="rId1204" xr:uid="{00000000-0004-0000-0100-0000B3040000}"/>
    <hyperlink ref="D1206" r:id="rId1205" xr:uid="{00000000-0004-0000-0100-0000B4040000}"/>
    <hyperlink ref="D1207" r:id="rId1206" xr:uid="{00000000-0004-0000-0100-0000B5040000}"/>
    <hyperlink ref="D1208" r:id="rId1207" xr:uid="{00000000-0004-0000-0100-0000B6040000}"/>
    <hyperlink ref="D1209" r:id="rId1208" xr:uid="{00000000-0004-0000-0100-0000B7040000}"/>
    <hyperlink ref="D1210" r:id="rId1209" xr:uid="{00000000-0004-0000-0100-0000B8040000}"/>
    <hyperlink ref="D1211" r:id="rId1210" xr:uid="{00000000-0004-0000-0100-0000B9040000}"/>
    <hyperlink ref="D1212" r:id="rId1211" xr:uid="{00000000-0004-0000-0100-0000BA040000}"/>
    <hyperlink ref="D1213" r:id="rId1212" xr:uid="{00000000-0004-0000-0100-0000BB040000}"/>
    <hyperlink ref="D1214" r:id="rId1213" xr:uid="{00000000-0004-0000-0100-0000BC040000}"/>
    <hyperlink ref="D1215" r:id="rId1214" xr:uid="{00000000-0004-0000-0100-0000BD040000}"/>
    <hyperlink ref="D1216" r:id="rId1215" xr:uid="{00000000-0004-0000-0100-0000BE040000}"/>
    <hyperlink ref="D1217" r:id="rId1216" xr:uid="{00000000-0004-0000-0100-0000BF040000}"/>
    <hyperlink ref="D1218" r:id="rId1217" xr:uid="{00000000-0004-0000-0100-0000C0040000}"/>
    <hyperlink ref="D1219" r:id="rId1218" xr:uid="{00000000-0004-0000-0100-0000C1040000}"/>
    <hyperlink ref="D1220" r:id="rId1219" xr:uid="{00000000-0004-0000-0100-0000C2040000}"/>
    <hyperlink ref="D1221" r:id="rId1220" xr:uid="{00000000-0004-0000-0100-0000C3040000}"/>
    <hyperlink ref="D1222" r:id="rId1221" xr:uid="{00000000-0004-0000-0100-0000C4040000}"/>
    <hyperlink ref="D1223" r:id="rId1222" xr:uid="{00000000-0004-0000-0100-0000C5040000}"/>
    <hyperlink ref="D1224" r:id="rId1223" xr:uid="{00000000-0004-0000-0100-0000C6040000}"/>
    <hyperlink ref="D1225" r:id="rId1224" xr:uid="{00000000-0004-0000-0100-0000C7040000}"/>
    <hyperlink ref="D1226" r:id="rId1225" xr:uid="{00000000-0004-0000-0100-0000C8040000}"/>
    <hyperlink ref="D1227" r:id="rId1226" xr:uid="{00000000-0004-0000-0100-0000C9040000}"/>
    <hyperlink ref="D1228" r:id="rId1227" xr:uid="{00000000-0004-0000-0100-0000CA040000}"/>
    <hyperlink ref="D1229" r:id="rId1228" xr:uid="{00000000-0004-0000-0100-0000CB040000}"/>
    <hyperlink ref="D1230" r:id="rId1229" xr:uid="{00000000-0004-0000-0100-0000CC040000}"/>
    <hyperlink ref="D1231" r:id="rId1230" xr:uid="{00000000-0004-0000-0100-0000CD040000}"/>
    <hyperlink ref="D1232" r:id="rId1231" xr:uid="{00000000-0004-0000-0100-0000CE040000}"/>
    <hyperlink ref="D1233" r:id="rId1232" xr:uid="{00000000-0004-0000-0100-0000CF040000}"/>
    <hyperlink ref="D1234" r:id="rId1233" xr:uid="{00000000-0004-0000-0100-0000D0040000}"/>
    <hyperlink ref="D1235" r:id="rId1234" xr:uid="{00000000-0004-0000-0100-0000D1040000}"/>
    <hyperlink ref="D1236" r:id="rId1235" xr:uid="{00000000-0004-0000-0100-0000D2040000}"/>
    <hyperlink ref="D1237" r:id="rId1236" xr:uid="{00000000-0004-0000-0100-0000D3040000}"/>
    <hyperlink ref="D1238" r:id="rId1237" xr:uid="{00000000-0004-0000-0100-0000D4040000}"/>
    <hyperlink ref="D1239" r:id="rId1238" xr:uid="{00000000-0004-0000-0100-0000D5040000}"/>
    <hyperlink ref="D1240" r:id="rId1239" xr:uid="{00000000-0004-0000-0100-0000D6040000}"/>
    <hyperlink ref="D1241" r:id="rId1240" xr:uid="{00000000-0004-0000-0100-0000D7040000}"/>
    <hyperlink ref="D1242" r:id="rId1241" xr:uid="{00000000-0004-0000-0100-0000D8040000}"/>
    <hyperlink ref="D1243" r:id="rId1242" xr:uid="{00000000-0004-0000-0100-0000D9040000}"/>
    <hyperlink ref="D1244" r:id="rId1243" xr:uid="{00000000-0004-0000-0100-0000DA040000}"/>
    <hyperlink ref="D1245" r:id="rId1244" xr:uid="{00000000-0004-0000-0100-0000DB040000}"/>
    <hyperlink ref="D1246" r:id="rId1245" xr:uid="{00000000-0004-0000-0100-0000DC040000}"/>
    <hyperlink ref="D1247" r:id="rId1246" xr:uid="{00000000-0004-0000-0100-0000DD040000}"/>
    <hyperlink ref="D1248" r:id="rId1247" xr:uid="{00000000-0004-0000-0100-0000DE040000}"/>
    <hyperlink ref="D1249" r:id="rId1248" xr:uid="{00000000-0004-0000-0100-0000DF040000}"/>
    <hyperlink ref="D1250" r:id="rId1249" xr:uid="{00000000-0004-0000-0100-0000E0040000}"/>
    <hyperlink ref="D1251" r:id="rId1250" xr:uid="{00000000-0004-0000-0100-0000E1040000}"/>
    <hyperlink ref="D1252" r:id="rId1251" xr:uid="{00000000-0004-0000-0100-0000E2040000}"/>
    <hyperlink ref="D1253" r:id="rId1252" xr:uid="{00000000-0004-0000-0100-0000E3040000}"/>
    <hyperlink ref="D1254" r:id="rId1253" xr:uid="{00000000-0004-0000-0100-0000E4040000}"/>
    <hyperlink ref="D1255" r:id="rId1254" xr:uid="{00000000-0004-0000-0100-0000E5040000}"/>
    <hyperlink ref="D1256" r:id="rId1255" xr:uid="{00000000-0004-0000-0100-0000E6040000}"/>
    <hyperlink ref="D1257" r:id="rId1256" xr:uid="{00000000-0004-0000-0100-0000E7040000}"/>
    <hyperlink ref="D1258" r:id="rId1257" xr:uid="{00000000-0004-0000-0100-0000E8040000}"/>
    <hyperlink ref="D1259" r:id="rId1258" xr:uid="{00000000-0004-0000-0100-0000E9040000}"/>
    <hyperlink ref="D1260" r:id="rId1259" xr:uid="{00000000-0004-0000-0100-0000EA040000}"/>
    <hyperlink ref="D1261" r:id="rId1260" xr:uid="{00000000-0004-0000-0100-0000EB040000}"/>
    <hyperlink ref="D1262" r:id="rId1261" xr:uid="{00000000-0004-0000-0100-0000EC040000}"/>
    <hyperlink ref="D1263" r:id="rId1262" xr:uid="{00000000-0004-0000-0100-0000ED040000}"/>
    <hyperlink ref="D1264" r:id="rId1263" xr:uid="{00000000-0004-0000-0100-0000EE040000}"/>
    <hyperlink ref="D1265" r:id="rId1264" xr:uid="{00000000-0004-0000-0100-0000EF040000}"/>
    <hyperlink ref="D1266" r:id="rId1265" xr:uid="{00000000-0004-0000-0100-0000F0040000}"/>
    <hyperlink ref="D1267" r:id="rId1266" xr:uid="{00000000-0004-0000-0100-0000F1040000}"/>
    <hyperlink ref="D1268" r:id="rId1267" xr:uid="{00000000-0004-0000-0100-0000F2040000}"/>
    <hyperlink ref="D1269" r:id="rId1268" xr:uid="{00000000-0004-0000-0100-0000F3040000}"/>
    <hyperlink ref="D1270" r:id="rId1269" xr:uid="{00000000-0004-0000-0100-0000F4040000}"/>
    <hyperlink ref="D1271" r:id="rId1270" xr:uid="{00000000-0004-0000-0100-0000F5040000}"/>
    <hyperlink ref="D1272" r:id="rId1271" xr:uid="{00000000-0004-0000-0100-0000F6040000}"/>
    <hyperlink ref="D1273" r:id="rId1272" xr:uid="{00000000-0004-0000-0100-0000F7040000}"/>
    <hyperlink ref="D1274" r:id="rId1273" xr:uid="{00000000-0004-0000-0100-0000F8040000}"/>
    <hyperlink ref="D1275" r:id="rId1274" xr:uid="{00000000-0004-0000-0100-0000F9040000}"/>
    <hyperlink ref="D1276" r:id="rId1275" xr:uid="{00000000-0004-0000-0100-0000FA040000}"/>
    <hyperlink ref="D1277" r:id="rId1276" xr:uid="{00000000-0004-0000-0100-0000FB040000}"/>
    <hyperlink ref="D1278" r:id="rId1277" xr:uid="{00000000-0004-0000-0100-0000FC040000}"/>
    <hyperlink ref="D1279" r:id="rId1278" xr:uid="{00000000-0004-0000-0100-0000FD040000}"/>
    <hyperlink ref="D1280" r:id="rId1279" xr:uid="{00000000-0004-0000-0100-0000FE040000}"/>
    <hyperlink ref="D1281" r:id="rId1280" xr:uid="{00000000-0004-0000-0100-0000FF040000}"/>
    <hyperlink ref="D1282" r:id="rId1281" xr:uid="{00000000-0004-0000-0100-000000050000}"/>
    <hyperlink ref="D1283" r:id="rId1282" xr:uid="{00000000-0004-0000-0100-000001050000}"/>
    <hyperlink ref="D1284" r:id="rId1283" xr:uid="{00000000-0004-0000-0100-000002050000}"/>
    <hyperlink ref="D1285" r:id="rId1284" xr:uid="{00000000-0004-0000-0100-000003050000}"/>
    <hyperlink ref="D1286" r:id="rId1285" xr:uid="{00000000-0004-0000-0100-000004050000}"/>
    <hyperlink ref="D1287" r:id="rId1286" xr:uid="{00000000-0004-0000-0100-000005050000}"/>
    <hyperlink ref="D1288" r:id="rId1287" xr:uid="{00000000-0004-0000-0100-000006050000}"/>
    <hyperlink ref="D1289" r:id="rId1288" xr:uid="{00000000-0004-0000-0100-000007050000}"/>
    <hyperlink ref="D1290" r:id="rId1289" xr:uid="{00000000-0004-0000-0100-000008050000}"/>
    <hyperlink ref="D1291" r:id="rId1290" xr:uid="{00000000-0004-0000-0100-000009050000}"/>
    <hyperlink ref="D1292" r:id="rId1291" xr:uid="{00000000-0004-0000-0100-00000A050000}"/>
    <hyperlink ref="D1293" r:id="rId1292" xr:uid="{00000000-0004-0000-0100-00000B050000}"/>
    <hyperlink ref="D1294" r:id="rId1293" xr:uid="{00000000-0004-0000-0100-00000C050000}"/>
    <hyperlink ref="D1295" r:id="rId1294" xr:uid="{00000000-0004-0000-0100-00000D050000}"/>
    <hyperlink ref="D1296" r:id="rId1295" xr:uid="{00000000-0004-0000-0100-00000E050000}"/>
    <hyperlink ref="D1297" r:id="rId1296" xr:uid="{00000000-0004-0000-0100-00000F050000}"/>
    <hyperlink ref="D1298" r:id="rId1297" xr:uid="{00000000-0004-0000-0100-000010050000}"/>
    <hyperlink ref="D1299" r:id="rId1298" xr:uid="{00000000-0004-0000-0100-000011050000}"/>
    <hyperlink ref="D1300" r:id="rId1299" xr:uid="{00000000-0004-0000-0100-000012050000}"/>
    <hyperlink ref="D1301" r:id="rId1300" xr:uid="{00000000-0004-0000-0100-000013050000}"/>
    <hyperlink ref="D1302" r:id="rId1301" xr:uid="{00000000-0004-0000-0100-000014050000}"/>
    <hyperlink ref="D1303" r:id="rId1302" xr:uid="{00000000-0004-0000-0100-000015050000}"/>
    <hyperlink ref="D1304" r:id="rId1303" xr:uid="{00000000-0004-0000-0100-000016050000}"/>
    <hyperlink ref="D1305" r:id="rId1304" xr:uid="{00000000-0004-0000-0100-000017050000}"/>
    <hyperlink ref="D1306" r:id="rId1305" xr:uid="{00000000-0004-0000-0100-000018050000}"/>
    <hyperlink ref="D1307" r:id="rId1306" xr:uid="{00000000-0004-0000-0100-000019050000}"/>
    <hyperlink ref="D1308" r:id="rId1307" xr:uid="{00000000-0004-0000-0100-00001A050000}"/>
    <hyperlink ref="D1309" r:id="rId1308" xr:uid="{00000000-0004-0000-0100-00001B050000}"/>
    <hyperlink ref="D1310" r:id="rId1309" xr:uid="{00000000-0004-0000-0100-00001C050000}"/>
    <hyperlink ref="D1311" r:id="rId1310" xr:uid="{00000000-0004-0000-0100-00001D050000}"/>
    <hyperlink ref="D1312" r:id="rId1311" xr:uid="{00000000-0004-0000-0100-00001E050000}"/>
    <hyperlink ref="D1313" r:id="rId1312" xr:uid="{00000000-0004-0000-0100-00001F050000}"/>
    <hyperlink ref="D1314" r:id="rId1313" xr:uid="{00000000-0004-0000-0100-000020050000}"/>
    <hyperlink ref="D1315" r:id="rId1314" xr:uid="{00000000-0004-0000-0100-000021050000}"/>
    <hyperlink ref="D1316" r:id="rId1315" xr:uid="{00000000-0004-0000-0100-000022050000}"/>
    <hyperlink ref="D1317" r:id="rId1316" xr:uid="{00000000-0004-0000-0100-000023050000}"/>
    <hyperlink ref="D1318" r:id="rId1317" xr:uid="{00000000-0004-0000-0100-000024050000}"/>
    <hyperlink ref="D1319" r:id="rId1318" xr:uid="{00000000-0004-0000-0100-000025050000}"/>
    <hyperlink ref="D1320" r:id="rId1319" xr:uid="{00000000-0004-0000-0100-000026050000}"/>
    <hyperlink ref="D1321" r:id="rId1320" xr:uid="{00000000-0004-0000-0100-000027050000}"/>
    <hyperlink ref="D1322" r:id="rId1321" xr:uid="{00000000-0004-0000-0100-000028050000}"/>
    <hyperlink ref="D1323" r:id="rId1322" xr:uid="{00000000-0004-0000-0100-000029050000}"/>
    <hyperlink ref="D1324" r:id="rId1323" xr:uid="{00000000-0004-0000-0100-00002A050000}"/>
    <hyperlink ref="D1325" r:id="rId1324" xr:uid="{00000000-0004-0000-0100-00002B050000}"/>
    <hyperlink ref="D1326" r:id="rId1325" xr:uid="{00000000-0004-0000-0100-00002C050000}"/>
    <hyperlink ref="D1327" r:id="rId1326" xr:uid="{00000000-0004-0000-0100-00002D050000}"/>
    <hyperlink ref="D1328" r:id="rId1327" xr:uid="{00000000-0004-0000-0100-00002E050000}"/>
    <hyperlink ref="D1329" r:id="rId1328" xr:uid="{00000000-0004-0000-0100-00002F050000}"/>
    <hyperlink ref="D1330" r:id="rId1329" xr:uid="{00000000-0004-0000-0100-000030050000}"/>
    <hyperlink ref="D1331" r:id="rId1330" xr:uid="{00000000-0004-0000-0100-000031050000}"/>
    <hyperlink ref="D1332" r:id="rId1331" xr:uid="{00000000-0004-0000-0100-000032050000}"/>
    <hyperlink ref="D1333" r:id="rId1332" xr:uid="{00000000-0004-0000-0100-000033050000}"/>
    <hyperlink ref="D1334" r:id="rId1333" xr:uid="{00000000-0004-0000-0100-000034050000}"/>
    <hyperlink ref="D1335" r:id="rId1334" xr:uid="{00000000-0004-0000-0100-000035050000}"/>
    <hyperlink ref="D1336" r:id="rId1335" xr:uid="{00000000-0004-0000-0100-000036050000}"/>
    <hyperlink ref="D1337" r:id="rId1336" xr:uid="{00000000-0004-0000-0100-000037050000}"/>
    <hyperlink ref="D1338" r:id="rId1337" xr:uid="{00000000-0004-0000-0100-000038050000}"/>
    <hyperlink ref="D1339" r:id="rId1338" xr:uid="{00000000-0004-0000-0100-000039050000}"/>
    <hyperlink ref="D1340" r:id="rId1339" xr:uid="{00000000-0004-0000-0100-00003A050000}"/>
    <hyperlink ref="D1341" r:id="rId1340" xr:uid="{00000000-0004-0000-0100-00003B050000}"/>
    <hyperlink ref="D1342" r:id="rId1341" xr:uid="{00000000-0004-0000-0100-00003C050000}"/>
    <hyperlink ref="D1343" r:id="rId1342" xr:uid="{00000000-0004-0000-0100-00003D050000}"/>
    <hyperlink ref="D1344" r:id="rId1343" xr:uid="{00000000-0004-0000-0100-00003E050000}"/>
    <hyperlink ref="D1345" r:id="rId1344" xr:uid="{00000000-0004-0000-0100-00003F050000}"/>
    <hyperlink ref="D1346" r:id="rId1345" xr:uid="{00000000-0004-0000-0100-000040050000}"/>
    <hyperlink ref="D1347" r:id="rId1346" xr:uid="{00000000-0004-0000-0100-000041050000}"/>
    <hyperlink ref="D1348" r:id="rId1347" xr:uid="{00000000-0004-0000-0100-000042050000}"/>
    <hyperlink ref="D1349" r:id="rId1348" xr:uid="{00000000-0004-0000-0100-000043050000}"/>
    <hyperlink ref="D1350" r:id="rId1349" xr:uid="{00000000-0004-0000-0100-000044050000}"/>
    <hyperlink ref="D1351" r:id="rId1350" xr:uid="{00000000-0004-0000-0100-000045050000}"/>
    <hyperlink ref="D1352" r:id="rId1351" xr:uid="{00000000-0004-0000-0100-000046050000}"/>
    <hyperlink ref="D1353" r:id="rId1352" xr:uid="{00000000-0004-0000-0100-000047050000}"/>
    <hyperlink ref="D1354" r:id="rId1353" xr:uid="{00000000-0004-0000-0100-000048050000}"/>
    <hyperlink ref="D1355" r:id="rId1354" xr:uid="{00000000-0004-0000-0100-000049050000}"/>
    <hyperlink ref="D1356" r:id="rId1355" xr:uid="{00000000-0004-0000-0100-00004A050000}"/>
    <hyperlink ref="D1357" r:id="rId1356" xr:uid="{00000000-0004-0000-0100-00004B050000}"/>
    <hyperlink ref="D1358" r:id="rId1357" xr:uid="{00000000-0004-0000-0100-00004C050000}"/>
    <hyperlink ref="D1359" r:id="rId1358" xr:uid="{00000000-0004-0000-0100-00004D050000}"/>
    <hyperlink ref="D1360" r:id="rId1359" xr:uid="{00000000-0004-0000-0100-00004E050000}"/>
    <hyperlink ref="D1361" r:id="rId1360" xr:uid="{00000000-0004-0000-0100-00004F050000}"/>
    <hyperlink ref="D1362" r:id="rId1361" xr:uid="{00000000-0004-0000-0100-000050050000}"/>
    <hyperlink ref="D1363" r:id="rId1362" xr:uid="{00000000-0004-0000-0100-000051050000}"/>
    <hyperlink ref="D1364" r:id="rId1363" xr:uid="{00000000-0004-0000-0100-000052050000}"/>
    <hyperlink ref="D1365" r:id="rId1364" xr:uid="{00000000-0004-0000-0100-000053050000}"/>
    <hyperlink ref="D1366" r:id="rId1365" xr:uid="{00000000-0004-0000-0100-000054050000}"/>
    <hyperlink ref="D1367" r:id="rId1366" xr:uid="{00000000-0004-0000-0100-000055050000}"/>
    <hyperlink ref="D1368" r:id="rId1367" xr:uid="{00000000-0004-0000-0100-000056050000}"/>
    <hyperlink ref="D1369" r:id="rId1368" xr:uid="{00000000-0004-0000-0100-000057050000}"/>
    <hyperlink ref="D1370" r:id="rId1369" xr:uid="{00000000-0004-0000-0100-000058050000}"/>
    <hyperlink ref="D1371" r:id="rId1370" xr:uid="{00000000-0004-0000-0100-000059050000}"/>
    <hyperlink ref="D1372" r:id="rId1371" xr:uid="{00000000-0004-0000-0100-00005A050000}"/>
    <hyperlink ref="D1373" r:id="rId1372" xr:uid="{00000000-0004-0000-0100-00005B050000}"/>
    <hyperlink ref="D1374" r:id="rId1373" xr:uid="{00000000-0004-0000-0100-00005C050000}"/>
    <hyperlink ref="D1375" r:id="rId1374" xr:uid="{00000000-0004-0000-0100-00005D050000}"/>
    <hyperlink ref="D1376" r:id="rId1375" xr:uid="{00000000-0004-0000-0100-00005E050000}"/>
    <hyperlink ref="D1377" r:id="rId1376" xr:uid="{00000000-0004-0000-0100-00005F050000}"/>
    <hyperlink ref="D1378" r:id="rId1377" xr:uid="{00000000-0004-0000-0100-000060050000}"/>
    <hyperlink ref="D1379" r:id="rId1378" xr:uid="{00000000-0004-0000-0100-000061050000}"/>
    <hyperlink ref="D1380" r:id="rId1379" xr:uid="{00000000-0004-0000-0100-000062050000}"/>
    <hyperlink ref="D1381" r:id="rId1380" xr:uid="{00000000-0004-0000-0100-000063050000}"/>
    <hyperlink ref="D1382" r:id="rId1381" xr:uid="{00000000-0004-0000-0100-000064050000}"/>
    <hyperlink ref="D1383" r:id="rId1382" xr:uid="{00000000-0004-0000-0100-000065050000}"/>
    <hyperlink ref="D1384" r:id="rId1383" xr:uid="{00000000-0004-0000-0100-000066050000}"/>
    <hyperlink ref="D1385" r:id="rId1384" xr:uid="{00000000-0004-0000-0100-000067050000}"/>
    <hyperlink ref="D1386" r:id="rId1385" xr:uid="{00000000-0004-0000-0100-000068050000}"/>
    <hyperlink ref="D1387" r:id="rId1386" xr:uid="{00000000-0004-0000-0100-000069050000}"/>
    <hyperlink ref="D1388" r:id="rId1387" xr:uid="{00000000-0004-0000-0100-00006A050000}"/>
    <hyperlink ref="D1389" r:id="rId1388" xr:uid="{00000000-0004-0000-0100-00006B050000}"/>
    <hyperlink ref="D1390" r:id="rId1389" xr:uid="{00000000-0004-0000-0100-00006C050000}"/>
    <hyperlink ref="D1391" r:id="rId1390" xr:uid="{00000000-0004-0000-0100-00006D050000}"/>
    <hyperlink ref="D1392" r:id="rId1391" xr:uid="{00000000-0004-0000-0100-00006E050000}"/>
    <hyperlink ref="D1393" r:id="rId1392" xr:uid="{00000000-0004-0000-0100-00006F050000}"/>
    <hyperlink ref="D1394" r:id="rId1393" xr:uid="{00000000-0004-0000-0100-000070050000}"/>
    <hyperlink ref="D1395" r:id="rId1394" xr:uid="{00000000-0004-0000-0100-000071050000}"/>
    <hyperlink ref="D1396" r:id="rId1395" xr:uid="{00000000-0004-0000-0100-000072050000}"/>
    <hyperlink ref="D1397" r:id="rId1396" xr:uid="{00000000-0004-0000-0100-000073050000}"/>
    <hyperlink ref="D1398" r:id="rId1397" xr:uid="{00000000-0004-0000-0100-000074050000}"/>
    <hyperlink ref="D1399" r:id="rId1398" xr:uid="{00000000-0004-0000-0100-000075050000}"/>
    <hyperlink ref="D1400" r:id="rId1399" xr:uid="{00000000-0004-0000-0100-000076050000}"/>
    <hyperlink ref="D1401" r:id="rId1400" xr:uid="{00000000-0004-0000-0100-000077050000}"/>
    <hyperlink ref="D1402" r:id="rId1401" xr:uid="{00000000-0004-0000-0100-000078050000}"/>
    <hyperlink ref="D1403" r:id="rId1402" xr:uid="{00000000-0004-0000-0100-000079050000}"/>
    <hyperlink ref="D1404" r:id="rId1403" xr:uid="{00000000-0004-0000-0100-00007A050000}"/>
    <hyperlink ref="D1405" r:id="rId1404" xr:uid="{00000000-0004-0000-0100-00007B050000}"/>
    <hyperlink ref="D1406" r:id="rId1405" xr:uid="{00000000-0004-0000-0100-00007C050000}"/>
    <hyperlink ref="D1407" r:id="rId1406" xr:uid="{00000000-0004-0000-0100-00007D050000}"/>
    <hyperlink ref="D1408" r:id="rId1407" xr:uid="{00000000-0004-0000-0100-00007E050000}"/>
    <hyperlink ref="D1409" r:id="rId1408" xr:uid="{00000000-0004-0000-0100-00007F050000}"/>
    <hyperlink ref="D1410" r:id="rId1409" xr:uid="{00000000-0004-0000-0100-000080050000}"/>
    <hyperlink ref="D1411" r:id="rId1410" xr:uid="{00000000-0004-0000-0100-000081050000}"/>
    <hyperlink ref="D1412" r:id="rId1411" xr:uid="{00000000-0004-0000-0100-000082050000}"/>
    <hyperlink ref="D1413" r:id="rId1412" xr:uid="{00000000-0004-0000-0100-000083050000}"/>
    <hyperlink ref="D1414" r:id="rId1413" xr:uid="{00000000-0004-0000-0100-000084050000}"/>
    <hyperlink ref="D1415" r:id="rId1414" xr:uid="{00000000-0004-0000-0100-000085050000}"/>
    <hyperlink ref="D1416" r:id="rId1415" xr:uid="{00000000-0004-0000-0100-000086050000}"/>
    <hyperlink ref="D1417" r:id="rId1416" xr:uid="{00000000-0004-0000-0100-000087050000}"/>
    <hyperlink ref="D1418" r:id="rId1417" xr:uid="{00000000-0004-0000-0100-000088050000}"/>
    <hyperlink ref="D1419" r:id="rId1418" xr:uid="{00000000-0004-0000-0100-000089050000}"/>
    <hyperlink ref="D1420" r:id="rId1419" xr:uid="{00000000-0004-0000-0100-00008A050000}"/>
    <hyperlink ref="D1421" r:id="rId1420" xr:uid="{00000000-0004-0000-0100-00008B050000}"/>
    <hyperlink ref="D1422" r:id="rId1421" xr:uid="{00000000-0004-0000-0100-00008C050000}"/>
    <hyperlink ref="D1423" r:id="rId1422" xr:uid="{00000000-0004-0000-0100-00008D050000}"/>
    <hyperlink ref="D1424" r:id="rId1423" xr:uid="{00000000-0004-0000-0100-00008E050000}"/>
    <hyperlink ref="D1425" r:id="rId1424" xr:uid="{00000000-0004-0000-0100-00008F050000}"/>
    <hyperlink ref="D1426" r:id="rId1425" xr:uid="{00000000-0004-0000-0100-000090050000}"/>
    <hyperlink ref="D1427" r:id="rId1426" xr:uid="{00000000-0004-0000-0100-000091050000}"/>
    <hyperlink ref="D1428" r:id="rId1427" xr:uid="{00000000-0004-0000-0100-000092050000}"/>
    <hyperlink ref="D1429" r:id="rId1428" xr:uid="{00000000-0004-0000-0100-000093050000}"/>
    <hyperlink ref="D1430" r:id="rId1429" xr:uid="{00000000-0004-0000-0100-000094050000}"/>
    <hyperlink ref="D1431" r:id="rId1430" xr:uid="{00000000-0004-0000-0100-000095050000}"/>
    <hyperlink ref="D1432" r:id="rId1431" xr:uid="{00000000-0004-0000-0100-000096050000}"/>
    <hyperlink ref="D1433" r:id="rId1432" xr:uid="{00000000-0004-0000-0100-000097050000}"/>
    <hyperlink ref="D1434" r:id="rId1433" xr:uid="{00000000-0004-0000-0100-000098050000}"/>
    <hyperlink ref="D1435" r:id="rId1434" xr:uid="{00000000-0004-0000-0100-000099050000}"/>
    <hyperlink ref="D1436" r:id="rId1435" xr:uid="{00000000-0004-0000-0100-00009A050000}"/>
    <hyperlink ref="D1437" r:id="rId1436" xr:uid="{00000000-0004-0000-0100-00009B050000}"/>
    <hyperlink ref="D1438" r:id="rId1437" xr:uid="{00000000-0004-0000-0100-00009C050000}"/>
    <hyperlink ref="D1439" r:id="rId1438" xr:uid="{00000000-0004-0000-0100-00009D050000}"/>
    <hyperlink ref="D1440" r:id="rId1439" xr:uid="{00000000-0004-0000-0100-00009E050000}"/>
    <hyperlink ref="D1441" r:id="rId1440" xr:uid="{00000000-0004-0000-0100-00009F050000}"/>
    <hyperlink ref="D1442" r:id="rId1441" xr:uid="{00000000-0004-0000-0100-0000A0050000}"/>
    <hyperlink ref="D1443" r:id="rId1442" xr:uid="{00000000-0004-0000-0100-0000A1050000}"/>
    <hyperlink ref="D1444" r:id="rId1443" xr:uid="{00000000-0004-0000-0100-0000A2050000}"/>
    <hyperlink ref="D1445" r:id="rId1444" xr:uid="{00000000-0004-0000-0100-0000A3050000}"/>
    <hyperlink ref="D1446" r:id="rId1445" xr:uid="{00000000-0004-0000-0100-0000A4050000}"/>
    <hyperlink ref="D1447" r:id="rId1446" xr:uid="{00000000-0004-0000-0100-0000A5050000}"/>
    <hyperlink ref="D1448" r:id="rId1447" xr:uid="{00000000-0004-0000-0100-0000A6050000}"/>
    <hyperlink ref="D1449" r:id="rId1448" xr:uid="{00000000-0004-0000-0100-0000A7050000}"/>
    <hyperlink ref="D1450" r:id="rId1449" xr:uid="{00000000-0004-0000-0100-0000A8050000}"/>
    <hyperlink ref="D1451" r:id="rId1450" xr:uid="{00000000-0004-0000-0100-0000A9050000}"/>
    <hyperlink ref="D1452" r:id="rId1451" xr:uid="{00000000-0004-0000-0100-0000AA050000}"/>
    <hyperlink ref="D1453" r:id="rId1452" xr:uid="{00000000-0004-0000-0100-0000AB050000}"/>
    <hyperlink ref="D1454" r:id="rId1453" xr:uid="{00000000-0004-0000-0100-0000AC050000}"/>
    <hyperlink ref="D1455" r:id="rId1454" xr:uid="{00000000-0004-0000-0100-0000AD050000}"/>
    <hyperlink ref="D1456" r:id="rId1455" xr:uid="{00000000-0004-0000-0100-0000AE050000}"/>
    <hyperlink ref="D1457" r:id="rId1456" xr:uid="{00000000-0004-0000-0100-0000AF050000}"/>
    <hyperlink ref="D1458" r:id="rId1457" xr:uid="{00000000-0004-0000-0100-0000B0050000}"/>
    <hyperlink ref="D1459" r:id="rId1458" xr:uid="{00000000-0004-0000-0100-0000B1050000}"/>
    <hyperlink ref="D1460" r:id="rId1459" xr:uid="{00000000-0004-0000-0100-0000B2050000}"/>
    <hyperlink ref="D1461" r:id="rId1460" xr:uid="{00000000-0004-0000-0100-0000B3050000}"/>
    <hyperlink ref="D1462" r:id="rId1461" xr:uid="{00000000-0004-0000-0100-0000B4050000}"/>
    <hyperlink ref="D1463" r:id="rId1462" xr:uid="{00000000-0004-0000-0100-0000B5050000}"/>
    <hyperlink ref="D1464" r:id="rId1463" xr:uid="{00000000-0004-0000-0100-0000B6050000}"/>
    <hyperlink ref="D1465" r:id="rId1464" xr:uid="{00000000-0004-0000-0100-0000B7050000}"/>
    <hyperlink ref="D1466" r:id="rId1465" xr:uid="{00000000-0004-0000-0100-0000B8050000}"/>
    <hyperlink ref="D1467" r:id="rId1466" xr:uid="{00000000-0004-0000-0100-0000B9050000}"/>
    <hyperlink ref="D1468" r:id="rId1467" xr:uid="{00000000-0004-0000-0100-0000BA050000}"/>
    <hyperlink ref="D1469" r:id="rId1468" xr:uid="{00000000-0004-0000-0100-0000BB050000}"/>
    <hyperlink ref="D1470" r:id="rId1469" xr:uid="{00000000-0004-0000-0100-0000BC050000}"/>
    <hyperlink ref="D1471" r:id="rId1470" xr:uid="{00000000-0004-0000-0100-0000BD050000}"/>
    <hyperlink ref="D1472" r:id="rId1471" xr:uid="{00000000-0004-0000-0100-0000BE050000}"/>
    <hyperlink ref="D1473" r:id="rId1472" xr:uid="{00000000-0004-0000-0100-0000BF050000}"/>
    <hyperlink ref="D1474" r:id="rId1473" xr:uid="{00000000-0004-0000-0100-0000C0050000}"/>
    <hyperlink ref="D1475" r:id="rId1474" xr:uid="{00000000-0004-0000-0100-0000C1050000}"/>
    <hyperlink ref="D1476" r:id="rId1475" xr:uid="{00000000-0004-0000-0100-0000C2050000}"/>
    <hyperlink ref="D1477" r:id="rId1476" xr:uid="{00000000-0004-0000-0100-0000C3050000}"/>
    <hyperlink ref="D1478" r:id="rId1477" xr:uid="{00000000-0004-0000-0100-0000C4050000}"/>
    <hyperlink ref="D1479" r:id="rId1478" xr:uid="{00000000-0004-0000-0100-0000C5050000}"/>
    <hyperlink ref="D1480" r:id="rId1479" xr:uid="{00000000-0004-0000-0100-0000C6050000}"/>
    <hyperlink ref="D1481" r:id="rId1480" xr:uid="{00000000-0004-0000-0100-0000C7050000}"/>
    <hyperlink ref="D1482" r:id="rId1481" xr:uid="{00000000-0004-0000-0100-0000C8050000}"/>
    <hyperlink ref="D1483" r:id="rId1482" xr:uid="{00000000-0004-0000-0100-0000C9050000}"/>
    <hyperlink ref="D1484" r:id="rId1483" xr:uid="{00000000-0004-0000-0100-0000CA050000}"/>
    <hyperlink ref="D1485" r:id="rId1484" xr:uid="{00000000-0004-0000-0100-0000CB050000}"/>
    <hyperlink ref="D1486" r:id="rId1485" xr:uid="{00000000-0004-0000-0100-0000CC050000}"/>
    <hyperlink ref="D1487" r:id="rId1486" xr:uid="{00000000-0004-0000-0100-0000CD050000}"/>
    <hyperlink ref="D1488" r:id="rId1487" xr:uid="{00000000-0004-0000-0100-0000CE050000}"/>
    <hyperlink ref="D1489" r:id="rId1488" xr:uid="{00000000-0004-0000-0100-0000CF050000}"/>
    <hyperlink ref="D1490" r:id="rId1489" xr:uid="{00000000-0004-0000-0100-0000D0050000}"/>
    <hyperlink ref="D1491" r:id="rId1490" xr:uid="{00000000-0004-0000-0100-0000D1050000}"/>
    <hyperlink ref="D1492" r:id="rId1491" xr:uid="{00000000-0004-0000-0100-0000D2050000}"/>
    <hyperlink ref="D1493" r:id="rId1492" xr:uid="{00000000-0004-0000-0100-0000D3050000}"/>
    <hyperlink ref="D1494" r:id="rId1493" xr:uid="{00000000-0004-0000-0100-0000D4050000}"/>
    <hyperlink ref="D1495" r:id="rId1494" xr:uid="{00000000-0004-0000-0100-0000D5050000}"/>
    <hyperlink ref="D1496" r:id="rId1495" xr:uid="{00000000-0004-0000-0100-0000D6050000}"/>
    <hyperlink ref="D1497" r:id="rId1496" xr:uid="{00000000-0004-0000-0100-0000D7050000}"/>
    <hyperlink ref="D1498" r:id="rId1497" xr:uid="{00000000-0004-0000-0100-0000D8050000}"/>
    <hyperlink ref="D1499" r:id="rId1498" xr:uid="{00000000-0004-0000-0100-0000D9050000}"/>
    <hyperlink ref="D1500" r:id="rId1499" xr:uid="{00000000-0004-0000-0100-0000DA050000}"/>
    <hyperlink ref="D1501" r:id="rId1500" xr:uid="{00000000-0004-0000-0100-0000DB050000}"/>
    <hyperlink ref="D1502" r:id="rId1501" xr:uid="{00000000-0004-0000-0100-0000DC050000}"/>
    <hyperlink ref="D1503" r:id="rId1502" xr:uid="{00000000-0004-0000-0100-0000DD050000}"/>
    <hyperlink ref="D1504" r:id="rId1503" xr:uid="{00000000-0004-0000-0100-0000DE050000}"/>
    <hyperlink ref="D1505" r:id="rId1504" xr:uid="{00000000-0004-0000-0100-0000DF050000}"/>
    <hyperlink ref="D1506" r:id="rId1505" xr:uid="{00000000-0004-0000-0100-0000E0050000}"/>
    <hyperlink ref="D1507" r:id="rId1506" xr:uid="{00000000-0004-0000-0100-0000E1050000}"/>
    <hyperlink ref="D1508" r:id="rId1507" xr:uid="{00000000-0004-0000-0100-0000E2050000}"/>
    <hyperlink ref="D1509" r:id="rId1508" xr:uid="{00000000-0004-0000-0100-0000E3050000}"/>
    <hyperlink ref="D1510" r:id="rId1509" xr:uid="{00000000-0004-0000-0100-0000E4050000}"/>
    <hyperlink ref="D1511" r:id="rId1510" xr:uid="{00000000-0004-0000-0100-0000E5050000}"/>
    <hyperlink ref="D1512" r:id="rId1511" xr:uid="{00000000-0004-0000-0100-0000E6050000}"/>
    <hyperlink ref="D1513" r:id="rId1512" xr:uid="{00000000-0004-0000-0100-0000E7050000}"/>
    <hyperlink ref="D1514" r:id="rId1513" xr:uid="{00000000-0004-0000-0100-0000E8050000}"/>
    <hyperlink ref="D1515" r:id="rId1514" xr:uid="{00000000-0004-0000-0100-0000E9050000}"/>
    <hyperlink ref="D1516" r:id="rId1515" xr:uid="{00000000-0004-0000-0100-0000EA050000}"/>
    <hyperlink ref="D1517" r:id="rId1516" xr:uid="{00000000-0004-0000-0100-0000EB050000}"/>
    <hyperlink ref="D1518" r:id="rId1517" xr:uid="{00000000-0004-0000-0100-0000EC050000}"/>
    <hyperlink ref="D1519" r:id="rId1518" xr:uid="{00000000-0004-0000-0100-0000ED050000}"/>
    <hyperlink ref="D1520" r:id="rId1519" xr:uid="{00000000-0004-0000-0100-0000EE050000}"/>
    <hyperlink ref="D1521" r:id="rId1520" xr:uid="{00000000-0004-0000-0100-0000EF050000}"/>
    <hyperlink ref="D1522" r:id="rId1521" xr:uid="{00000000-0004-0000-0100-0000F0050000}"/>
    <hyperlink ref="D1523" r:id="rId1522" xr:uid="{00000000-0004-0000-0100-0000F1050000}"/>
    <hyperlink ref="D1524" r:id="rId1523" xr:uid="{00000000-0004-0000-0100-0000F2050000}"/>
    <hyperlink ref="D1525" r:id="rId1524" xr:uid="{00000000-0004-0000-0100-0000F3050000}"/>
    <hyperlink ref="D1526" r:id="rId1525" xr:uid="{00000000-0004-0000-0100-0000F4050000}"/>
    <hyperlink ref="D1527" r:id="rId1526" xr:uid="{00000000-0004-0000-0100-0000F5050000}"/>
    <hyperlink ref="D1528" r:id="rId1527" xr:uid="{00000000-0004-0000-0100-0000F6050000}"/>
    <hyperlink ref="D1529" r:id="rId1528" xr:uid="{00000000-0004-0000-0100-0000F7050000}"/>
    <hyperlink ref="D1530" r:id="rId1529" xr:uid="{00000000-0004-0000-0100-0000F8050000}"/>
    <hyperlink ref="D1531" r:id="rId1530" xr:uid="{00000000-0004-0000-0100-0000F9050000}"/>
    <hyperlink ref="D1532" r:id="rId1531" xr:uid="{00000000-0004-0000-0100-0000FA050000}"/>
    <hyperlink ref="D1533" r:id="rId1532" xr:uid="{00000000-0004-0000-0100-0000FB050000}"/>
    <hyperlink ref="D1534" r:id="rId1533" xr:uid="{00000000-0004-0000-0100-0000FC050000}"/>
    <hyperlink ref="D1535" r:id="rId1534" xr:uid="{00000000-0004-0000-0100-0000FD050000}"/>
    <hyperlink ref="D1536" r:id="rId1535" xr:uid="{00000000-0004-0000-0100-0000FE050000}"/>
    <hyperlink ref="D1537" r:id="rId1536" xr:uid="{00000000-0004-0000-0100-0000FF050000}"/>
    <hyperlink ref="D1538" r:id="rId1537" xr:uid="{00000000-0004-0000-0100-000000060000}"/>
    <hyperlink ref="D1539" r:id="rId1538" xr:uid="{00000000-0004-0000-0100-000001060000}"/>
    <hyperlink ref="D1540" r:id="rId1539" xr:uid="{00000000-0004-0000-0100-000002060000}"/>
    <hyperlink ref="D1541" r:id="rId1540" xr:uid="{00000000-0004-0000-0100-000003060000}"/>
    <hyperlink ref="D1542" r:id="rId1541" xr:uid="{00000000-0004-0000-0100-000004060000}"/>
    <hyperlink ref="D1543" r:id="rId1542" xr:uid="{00000000-0004-0000-0100-000005060000}"/>
    <hyperlink ref="D1544" r:id="rId1543" xr:uid="{00000000-0004-0000-0100-000006060000}"/>
    <hyperlink ref="D1545" r:id="rId1544" xr:uid="{00000000-0004-0000-0100-000007060000}"/>
    <hyperlink ref="D1546" r:id="rId1545" xr:uid="{00000000-0004-0000-0100-000008060000}"/>
    <hyperlink ref="D1547" r:id="rId1546" xr:uid="{00000000-0004-0000-0100-000009060000}"/>
    <hyperlink ref="D1548" r:id="rId1547" xr:uid="{00000000-0004-0000-0100-00000A060000}"/>
    <hyperlink ref="D1549" r:id="rId1548" xr:uid="{00000000-0004-0000-0100-00000B060000}"/>
    <hyperlink ref="D1550" r:id="rId1549" xr:uid="{00000000-0004-0000-0100-00000C060000}"/>
    <hyperlink ref="D1551" r:id="rId1550" xr:uid="{00000000-0004-0000-0100-00000D060000}"/>
    <hyperlink ref="D1552" r:id="rId1551" xr:uid="{00000000-0004-0000-0100-00000E060000}"/>
    <hyperlink ref="D1553" r:id="rId1552" xr:uid="{00000000-0004-0000-0100-00000F060000}"/>
    <hyperlink ref="D1554" r:id="rId1553" xr:uid="{00000000-0004-0000-0100-000010060000}"/>
    <hyperlink ref="D1555" r:id="rId1554" xr:uid="{00000000-0004-0000-0100-000011060000}"/>
    <hyperlink ref="D1556" r:id="rId1555" xr:uid="{00000000-0004-0000-0100-000012060000}"/>
    <hyperlink ref="D1557" r:id="rId1556" xr:uid="{00000000-0004-0000-0100-000013060000}"/>
    <hyperlink ref="D1558" r:id="rId1557" xr:uid="{00000000-0004-0000-0100-000014060000}"/>
    <hyperlink ref="D1559" r:id="rId1558" xr:uid="{00000000-0004-0000-0100-000015060000}"/>
    <hyperlink ref="D1560" r:id="rId1559" xr:uid="{00000000-0004-0000-0100-000016060000}"/>
    <hyperlink ref="D1561" r:id="rId1560" xr:uid="{00000000-0004-0000-0100-000017060000}"/>
    <hyperlink ref="D1562" r:id="rId1561" xr:uid="{00000000-0004-0000-0100-000018060000}"/>
    <hyperlink ref="D1563" r:id="rId1562" xr:uid="{00000000-0004-0000-0100-000019060000}"/>
    <hyperlink ref="D1564" r:id="rId1563" xr:uid="{00000000-0004-0000-0100-00001A060000}"/>
    <hyperlink ref="D1565" r:id="rId1564" xr:uid="{00000000-0004-0000-0100-00001B060000}"/>
    <hyperlink ref="D1566" r:id="rId1565" xr:uid="{00000000-0004-0000-0100-00001C060000}"/>
    <hyperlink ref="D1567" r:id="rId1566" xr:uid="{00000000-0004-0000-0100-00001D060000}"/>
    <hyperlink ref="D1568" r:id="rId1567" xr:uid="{00000000-0004-0000-0100-00001E060000}"/>
    <hyperlink ref="D1569" r:id="rId1568" xr:uid="{00000000-0004-0000-0100-00001F060000}"/>
    <hyperlink ref="D1570" r:id="rId1569" xr:uid="{00000000-0004-0000-0100-000020060000}"/>
    <hyperlink ref="D1571" r:id="rId1570" xr:uid="{00000000-0004-0000-0100-000021060000}"/>
    <hyperlink ref="D1572" r:id="rId1571" xr:uid="{00000000-0004-0000-0100-000022060000}"/>
    <hyperlink ref="D1573" r:id="rId1572" xr:uid="{00000000-0004-0000-0100-000023060000}"/>
    <hyperlink ref="D1574" r:id="rId1573" xr:uid="{00000000-0004-0000-0100-000024060000}"/>
    <hyperlink ref="D1575" r:id="rId1574" xr:uid="{00000000-0004-0000-0100-000025060000}"/>
    <hyperlink ref="D1576" r:id="rId1575" xr:uid="{00000000-0004-0000-0100-000026060000}"/>
    <hyperlink ref="D1577" r:id="rId1576" xr:uid="{00000000-0004-0000-0100-000027060000}"/>
    <hyperlink ref="D1578" r:id="rId1577" xr:uid="{00000000-0004-0000-0100-000028060000}"/>
    <hyperlink ref="D1579" r:id="rId1578" xr:uid="{00000000-0004-0000-0100-000029060000}"/>
    <hyperlink ref="D1580" r:id="rId1579" xr:uid="{00000000-0004-0000-0100-00002A060000}"/>
    <hyperlink ref="D1581" r:id="rId1580" xr:uid="{00000000-0004-0000-0100-00002B060000}"/>
    <hyperlink ref="D1582" r:id="rId1581" xr:uid="{00000000-0004-0000-0100-00002C060000}"/>
    <hyperlink ref="D1583" r:id="rId1582" xr:uid="{00000000-0004-0000-0100-00002D060000}"/>
    <hyperlink ref="D1584" r:id="rId1583" xr:uid="{00000000-0004-0000-0100-00002E060000}"/>
    <hyperlink ref="D1585" r:id="rId1584" xr:uid="{00000000-0004-0000-0100-00002F060000}"/>
    <hyperlink ref="D1586" r:id="rId1585" xr:uid="{00000000-0004-0000-0100-000030060000}"/>
    <hyperlink ref="D1587" r:id="rId1586" xr:uid="{00000000-0004-0000-0100-000031060000}"/>
    <hyperlink ref="D1588" r:id="rId1587" xr:uid="{00000000-0004-0000-0100-000032060000}"/>
    <hyperlink ref="D1589" r:id="rId1588" xr:uid="{00000000-0004-0000-0100-000033060000}"/>
    <hyperlink ref="D1590" r:id="rId1589" xr:uid="{00000000-0004-0000-0100-000034060000}"/>
    <hyperlink ref="D1591" r:id="rId1590" xr:uid="{00000000-0004-0000-0100-000035060000}"/>
    <hyperlink ref="D1592" r:id="rId1591" xr:uid="{00000000-0004-0000-0100-000036060000}"/>
    <hyperlink ref="D1593" r:id="rId1592" xr:uid="{00000000-0004-0000-0100-000037060000}"/>
    <hyperlink ref="D1594" r:id="rId1593" xr:uid="{00000000-0004-0000-0100-000038060000}"/>
    <hyperlink ref="D1595" r:id="rId1594" xr:uid="{00000000-0004-0000-0100-000039060000}"/>
    <hyperlink ref="D1596" r:id="rId1595" xr:uid="{00000000-0004-0000-0100-00003A060000}"/>
    <hyperlink ref="D1597" r:id="rId1596" xr:uid="{00000000-0004-0000-0100-00003B060000}"/>
    <hyperlink ref="D1598" r:id="rId1597" xr:uid="{00000000-0004-0000-0100-00003C060000}"/>
    <hyperlink ref="D1599" r:id="rId1598" xr:uid="{00000000-0004-0000-0100-00003D060000}"/>
    <hyperlink ref="D1600" r:id="rId1599" xr:uid="{00000000-0004-0000-0100-00003E060000}"/>
    <hyperlink ref="D1601" r:id="rId1600" xr:uid="{00000000-0004-0000-0100-00003F060000}"/>
    <hyperlink ref="D1602" r:id="rId1601" xr:uid="{00000000-0004-0000-0100-000040060000}"/>
    <hyperlink ref="D1603" r:id="rId1602" xr:uid="{00000000-0004-0000-0100-000041060000}"/>
    <hyperlink ref="D1604" r:id="rId1603" xr:uid="{00000000-0004-0000-0100-000042060000}"/>
    <hyperlink ref="D1605" r:id="rId1604" xr:uid="{00000000-0004-0000-0100-000043060000}"/>
    <hyperlink ref="D1606" r:id="rId1605" xr:uid="{00000000-0004-0000-0100-000044060000}"/>
    <hyperlink ref="D1607" r:id="rId1606" xr:uid="{00000000-0004-0000-0100-000045060000}"/>
    <hyperlink ref="D1608" r:id="rId1607" xr:uid="{00000000-0004-0000-0100-000046060000}"/>
    <hyperlink ref="D1609" r:id="rId1608" xr:uid="{00000000-0004-0000-0100-000047060000}"/>
    <hyperlink ref="D1610" r:id="rId1609" xr:uid="{00000000-0004-0000-0100-000048060000}"/>
    <hyperlink ref="D1611" r:id="rId1610" xr:uid="{00000000-0004-0000-0100-000049060000}"/>
    <hyperlink ref="D1612" r:id="rId1611" xr:uid="{00000000-0004-0000-0100-00004A060000}"/>
    <hyperlink ref="D1613" r:id="rId1612" xr:uid="{00000000-0004-0000-0100-00004B060000}"/>
    <hyperlink ref="D1614" r:id="rId1613" xr:uid="{00000000-0004-0000-0100-00004C060000}"/>
    <hyperlink ref="D1615" r:id="rId1614" xr:uid="{00000000-0004-0000-0100-00004D060000}"/>
    <hyperlink ref="D1616" r:id="rId1615" xr:uid="{00000000-0004-0000-0100-00004E060000}"/>
    <hyperlink ref="D1617" r:id="rId1616" xr:uid="{00000000-0004-0000-0100-00004F060000}"/>
    <hyperlink ref="D1618" r:id="rId1617" xr:uid="{00000000-0004-0000-0100-000050060000}"/>
    <hyperlink ref="D1619" r:id="rId1618" xr:uid="{00000000-0004-0000-0100-000051060000}"/>
    <hyperlink ref="D1620" r:id="rId1619" xr:uid="{00000000-0004-0000-0100-000052060000}"/>
    <hyperlink ref="D1621" r:id="rId1620" xr:uid="{00000000-0004-0000-0100-000053060000}"/>
    <hyperlink ref="D1622" r:id="rId1621" xr:uid="{00000000-0004-0000-0100-000054060000}"/>
    <hyperlink ref="D1623" r:id="rId1622" xr:uid="{00000000-0004-0000-0100-000055060000}"/>
    <hyperlink ref="D1624" r:id="rId1623" xr:uid="{00000000-0004-0000-0100-000056060000}"/>
    <hyperlink ref="D1625" r:id="rId1624" xr:uid="{00000000-0004-0000-0100-000057060000}"/>
    <hyperlink ref="D1626" r:id="rId1625" xr:uid="{00000000-0004-0000-0100-000058060000}"/>
    <hyperlink ref="D1627" r:id="rId1626" xr:uid="{00000000-0004-0000-0100-000059060000}"/>
    <hyperlink ref="D1628" r:id="rId1627" xr:uid="{00000000-0004-0000-0100-00005A060000}"/>
    <hyperlink ref="D1629" r:id="rId1628" xr:uid="{00000000-0004-0000-0100-00005B060000}"/>
    <hyperlink ref="D1630" r:id="rId1629" xr:uid="{00000000-0004-0000-0100-00005C060000}"/>
    <hyperlink ref="D1631" r:id="rId1630" xr:uid="{00000000-0004-0000-0100-00005D060000}"/>
    <hyperlink ref="D1632" r:id="rId1631" xr:uid="{00000000-0004-0000-0100-00005E060000}"/>
    <hyperlink ref="D1633" r:id="rId1632" xr:uid="{00000000-0004-0000-0100-00005F060000}"/>
    <hyperlink ref="D1634" r:id="rId1633" xr:uid="{00000000-0004-0000-0100-000060060000}"/>
    <hyperlink ref="D1635" r:id="rId1634" xr:uid="{00000000-0004-0000-0100-000061060000}"/>
    <hyperlink ref="D1636" r:id="rId1635" xr:uid="{00000000-0004-0000-0100-000062060000}"/>
    <hyperlink ref="D1637" r:id="rId1636" xr:uid="{00000000-0004-0000-0100-000063060000}"/>
    <hyperlink ref="D1638" r:id="rId1637" xr:uid="{00000000-0004-0000-0100-000064060000}"/>
    <hyperlink ref="D1639" r:id="rId1638" xr:uid="{00000000-0004-0000-0100-000065060000}"/>
    <hyperlink ref="D1640" r:id="rId1639" xr:uid="{00000000-0004-0000-0100-000066060000}"/>
    <hyperlink ref="D1641" r:id="rId1640" xr:uid="{00000000-0004-0000-0100-000067060000}"/>
    <hyperlink ref="D1642" r:id="rId1641" xr:uid="{00000000-0004-0000-0100-000068060000}"/>
    <hyperlink ref="D1643" r:id="rId1642" xr:uid="{00000000-0004-0000-0100-000069060000}"/>
    <hyperlink ref="D1644" r:id="rId1643" xr:uid="{00000000-0004-0000-0100-00006A060000}"/>
    <hyperlink ref="D1645" r:id="rId1644" xr:uid="{00000000-0004-0000-0100-00006B060000}"/>
    <hyperlink ref="D1646" r:id="rId1645" xr:uid="{00000000-0004-0000-0100-00006C060000}"/>
    <hyperlink ref="D1647" r:id="rId1646" xr:uid="{00000000-0004-0000-0100-00006D060000}"/>
    <hyperlink ref="D1648" r:id="rId1647" xr:uid="{00000000-0004-0000-0100-00006E060000}"/>
    <hyperlink ref="D1649" r:id="rId1648" xr:uid="{00000000-0004-0000-0100-00006F060000}"/>
    <hyperlink ref="D1650" r:id="rId1649" xr:uid="{00000000-0004-0000-0100-000070060000}"/>
    <hyperlink ref="D1651" r:id="rId1650" xr:uid="{00000000-0004-0000-0100-000071060000}"/>
    <hyperlink ref="D1652" r:id="rId1651" xr:uid="{00000000-0004-0000-0100-000072060000}"/>
    <hyperlink ref="D1653" r:id="rId1652" xr:uid="{00000000-0004-0000-0100-000073060000}"/>
    <hyperlink ref="D1654" r:id="rId1653" xr:uid="{00000000-0004-0000-0100-000074060000}"/>
    <hyperlink ref="D1655" r:id="rId1654" xr:uid="{00000000-0004-0000-0100-000075060000}"/>
    <hyperlink ref="D1656" r:id="rId1655" xr:uid="{00000000-0004-0000-0100-000076060000}"/>
    <hyperlink ref="D1657" r:id="rId1656" xr:uid="{00000000-0004-0000-0100-000077060000}"/>
    <hyperlink ref="D1658" r:id="rId1657" xr:uid="{00000000-0004-0000-0100-000078060000}"/>
    <hyperlink ref="D1659" r:id="rId1658" xr:uid="{00000000-0004-0000-0100-000079060000}"/>
    <hyperlink ref="D1660" r:id="rId1659" xr:uid="{00000000-0004-0000-0100-00007A060000}"/>
    <hyperlink ref="D1661" r:id="rId1660" xr:uid="{00000000-0004-0000-0100-00007B060000}"/>
    <hyperlink ref="D1662" r:id="rId1661" xr:uid="{00000000-0004-0000-0100-00007C060000}"/>
    <hyperlink ref="D1663" r:id="rId1662" xr:uid="{00000000-0004-0000-0100-00007D060000}"/>
    <hyperlink ref="D1664" r:id="rId1663" xr:uid="{00000000-0004-0000-0100-00007E060000}"/>
    <hyperlink ref="D1665" r:id="rId1664" xr:uid="{00000000-0004-0000-0100-00007F060000}"/>
    <hyperlink ref="D1666" r:id="rId1665" xr:uid="{00000000-0004-0000-0100-000080060000}"/>
    <hyperlink ref="D1667" r:id="rId1666" xr:uid="{00000000-0004-0000-0100-000081060000}"/>
    <hyperlink ref="D1668" r:id="rId1667" xr:uid="{00000000-0004-0000-0100-000082060000}"/>
    <hyperlink ref="D1669" r:id="rId1668" xr:uid="{00000000-0004-0000-0100-000083060000}"/>
    <hyperlink ref="D1670" r:id="rId1669" xr:uid="{00000000-0004-0000-0100-000084060000}"/>
    <hyperlink ref="D1671" r:id="rId1670" xr:uid="{00000000-0004-0000-0100-000085060000}"/>
    <hyperlink ref="D1672" r:id="rId1671" xr:uid="{00000000-0004-0000-0100-000086060000}"/>
    <hyperlink ref="D1673" r:id="rId1672" xr:uid="{00000000-0004-0000-0100-000087060000}"/>
    <hyperlink ref="D1674" r:id="rId1673" xr:uid="{00000000-0004-0000-0100-000088060000}"/>
    <hyperlink ref="D1675" r:id="rId1674" xr:uid="{00000000-0004-0000-0100-000089060000}"/>
    <hyperlink ref="D1676" r:id="rId1675" xr:uid="{00000000-0004-0000-0100-00008A060000}"/>
    <hyperlink ref="D1677" r:id="rId1676" xr:uid="{00000000-0004-0000-0100-00008B060000}"/>
    <hyperlink ref="D1678" r:id="rId1677" xr:uid="{00000000-0004-0000-0100-00008C060000}"/>
    <hyperlink ref="D1679" r:id="rId1678" xr:uid="{00000000-0004-0000-0100-00008D060000}"/>
    <hyperlink ref="D1680" r:id="rId1679" xr:uid="{00000000-0004-0000-0100-00008E060000}"/>
    <hyperlink ref="D1681" r:id="rId1680" xr:uid="{00000000-0004-0000-0100-00008F060000}"/>
    <hyperlink ref="D1682" r:id="rId1681" xr:uid="{00000000-0004-0000-0100-000090060000}"/>
    <hyperlink ref="D1683" r:id="rId1682" xr:uid="{00000000-0004-0000-0100-000091060000}"/>
    <hyperlink ref="D1684" r:id="rId1683" xr:uid="{00000000-0004-0000-0100-000092060000}"/>
    <hyperlink ref="D1685" r:id="rId1684" xr:uid="{00000000-0004-0000-0100-000093060000}"/>
    <hyperlink ref="D1686" r:id="rId1685" xr:uid="{00000000-0004-0000-0100-000094060000}"/>
    <hyperlink ref="D1687" r:id="rId1686" xr:uid="{00000000-0004-0000-0100-000095060000}"/>
    <hyperlink ref="D1688" r:id="rId1687" xr:uid="{00000000-0004-0000-0100-000096060000}"/>
    <hyperlink ref="D1689" r:id="rId1688" xr:uid="{00000000-0004-0000-0100-000097060000}"/>
    <hyperlink ref="D1690" r:id="rId1689" xr:uid="{00000000-0004-0000-0100-000098060000}"/>
    <hyperlink ref="D1691" r:id="rId1690" xr:uid="{00000000-0004-0000-0100-000099060000}"/>
    <hyperlink ref="D1692" r:id="rId1691" xr:uid="{00000000-0004-0000-0100-00009A060000}"/>
    <hyperlink ref="D1693" r:id="rId1692" xr:uid="{00000000-0004-0000-0100-00009B060000}"/>
    <hyperlink ref="D1694" r:id="rId1693" xr:uid="{00000000-0004-0000-0100-00009C060000}"/>
    <hyperlink ref="D1695" r:id="rId1694" xr:uid="{00000000-0004-0000-0100-00009D060000}"/>
    <hyperlink ref="D1696" r:id="rId1695" xr:uid="{00000000-0004-0000-0100-00009E060000}"/>
    <hyperlink ref="D1697" r:id="rId1696" xr:uid="{00000000-0004-0000-0100-00009F060000}"/>
    <hyperlink ref="D1698" r:id="rId1697" xr:uid="{00000000-0004-0000-0100-0000A0060000}"/>
    <hyperlink ref="D1699" r:id="rId1698" xr:uid="{00000000-0004-0000-0100-0000A1060000}"/>
    <hyperlink ref="D1700" r:id="rId1699" xr:uid="{00000000-0004-0000-0100-0000A2060000}"/>
    <hyperlink ref="D1701" r:id="rId1700" xr:uid="{00000000-0004-0000-0100-0000A3060000}"/>
    <hyperlink ref="D1702" r:id="rId1701" xr:uid="{00000000-0004-0000-0100-0000A4060000}"/>
    <hyperlink ref="D1703" r:id="rId1702" xr:uid="{00000000-0004-0000-0100-0000A5060000}"/>
    <hyperlink ref="D1704" r:id="rId1703" xr:uid="{00000000-0004-0000-0100-0000A6060000}"/>
    <hyperlink ref="D1705" r:id="rId1704" xr:uid="{00000000-0004-0000-0100-0000A7060000}"/>
    <hyperlink ref="D1706" r:id="rId1705" xr:uid="{00000000-0004-0000-0100-0000A8060000}"/>
    <hyperlink ref="D1707" r:id="rId1706" xr:uid="{00000000-0004-0000-0100-0000A9060000}"/>
    <hyperlink ref="D1708" r:id="rId1707" xr:uid="{00000000-0004-0000-0100-0000AA060000}"/>
    <hyperlink ref="D1709" r:id="rId1708" xr:uid="{00000000-0004-0000-0100-0000AB060000}"/>
    <hyperlink ref="D1710" r:id="rId1709" xr:uid="{00000000-0004-0000-0100-0000AC060000}"/>
    <hyperlink ref="D1711" r:id="rId1710" xr:uid="{00000000-0004-0000-0100-0000AD060000}"/>
    <hyperlink ref="D1712" r:id="rId1711" xr:uid="{00000000-0004-0000-0100-0000AE060000}"/>
    <hyperlink ref="D1713" r:id="rId1712" xr:uid="{00000000-0004-0000-0100-0000AF060000}"/>
    <hyperlink ref="D1714" r:id="rId1713" xr:uid="{00000000-0004-0000-0100-0000B0060000}"/>
    <hyperlink ref="D1715" r:id="rId1714" xr:uid="{00000000-0004-0000-0100-0000B1060000}"/>
    <hyperlink ref="D1716" r:id="rId1715" xr:uid="{00000000-0004-0000-0100-0000B2060000}"/>
    <hyperlink ref="D1717" r:id="rId1716" xr:uid="{00000000-0004-0000-0100-0000B3060000}"/>
    <hyperlink ref="D1718" r:id="rId1717" xr:uid="{00000000-0004-0000-0100-0000B4060000}"/>
    <hyperlink ref="D1719" r:id="rId1718" xr:uid="{00000000-0004-0000-0100-0000B5060000}"/>
    <hyperlink ref="D1720" r:id="rId1719" xr:uid="{00000000-0004-0000-0100-0000B6060000}"/>
    <hyperlink ref="D1721" r:id="rId1720" xr:uid="{00000000-0004-0000-0100-0000B7060000}"/>
    <hyperlink ref="D1722" r:id="rId1721" xr:uid="{00000000-0004-0000-0100-0000B8060000}"/>
    <hyperlink ref="D1723" r:id="rId1722" xr:uid="{00000000-0004-0000-0100-0000B9060000}"/>
    <hyperlink ref="D1724" r:id="rId1723" xr:uid="{00000000-0004-0000-0100-0000BA060000}"/>
    <hyperlink ref="D1725" r:id="rId1724" xr:uid="{00000000-0004-0000-0100-0000BB060000}"/>
    <hyperlink ref="D1726" r:id="rId1725" xr:uid="{00000000-0004-0000-0100-0000BC060000}"/>
    <hyperlink ref="D1727" r:id="rId1726" xr:uid="{00000000-0004-0000-0100-0000BD060000}"/>
    <hyperlink ref="D1728" r:id="rId1727" xr:uid="{00000000-0004-0000-0100-0000BE060000}"/>
    <hyperlink ref="D1729" r:id="rId1728" xr:uid="{00000000-0004-0000-0100-0000BF060000}"/>
    <hyperlink ref="D1730" r:id="rId1729" xr:uid="{00000000-0004-0000-0100-0000C0060000}"/>
    <hyperlink ref="D1731" r:id="rId1730" xr:uid="{00000000-0004-0000-0100-0000C1060000}"/>
    <hyperlink ref="D1732" r:id="rId1731" xr:uid="{00000000-0004-0000-0100-0000C2060000}"/>
    <hyperlink ref="D1733" r:id="rId1732" xr:uid="{00000000-0004-0000-0100-0000C3060000}"/>
    <hyperlink ref="D1734" r:id="rId1733" xr:uid="{00000000-0004-0000-0100-0000C4060000}"/>
    <hyperlink ref="D1735" r:id="rId1734" xr:uid="{00000000-0004-0000-0100-0000C5060000}"/>
    <hyperlink ref="D1736" r:id="rId1735" xr:uid="{00000000-0004-0000-0100-0000C6060000}"/>
    <hyperlink ref="D1737" r:id="rId1736" xr:uid="{00000000-0004-0000-0100-0000C7060000}"/>
    <hyperlink ref="D1738" r:id="rId1737" xr:uid="{00000000-0004-0000-0100-0000C8060000}"/>
    <hyperlink ref="D1739" r:id="rId1738" xr:uid="{00000000-0004-0000-0100-0000C9060000}"/>
    <hyperlink ref="D1740" r:id="rId1739" xr:uid="{00000000-0004-0000-0100-0000CA060000}"/>
    <hyperlink ref="D1741" r:id="rId1740" xr:uid="{00000000-0004-0000-0100-0000CB060000}"/>
    <hyperlink ref="D1742" r:id="rId1741" xr:uid="{00000000-0004-0000-0100-0000CC060000}"/>
    <hyperlink ref="D1743" r:id="rId1742" xr:uid="{00000000-0004-0000-0100-0000CD060000}"/>
    <hyperlink ref="D1744" r:id="rId1743" xr:uid="{00000000-0004-0000-0100-0000CE060000}"/>
    <hyperlink ref="D1745" r:id="rId1744" xr:uid="{00000000-0004-0000-0100-0000CF060000}"/>
    <hyperlink ref="D1746" r:id="rId1745" xr:uid="{00000000-0004-0000-0100-0000D0060000}"/>
    <hyperlink ref="D1747" r:id="rId1746" xr:uid="{00000000-0004-0000-0100-0000D1060000}"/>
    <hyperlink ref="D1748" r:id="rId1747" xr:uid="{00000000-0004-0000-0100-0000D2060000}"/>
    <hyperlink ref="D1749" r:id="rId1748" xr:uid="{00000000-0004-0000-0100-0000D3060000}"/>
    <hyperlink ref="D1750" r:id="rId1749" xr:uid="{00000000-0004-0000-0100-0000D4060000}"/>
    <hyperlink ref="D1751" r:id="rId1750" xr:uid="{00000000-0004-0000-0100-0000D5060000}"/>
    <hyperlink ref="D1752" r:id="rId1751" xr:uid="{00000000-0004-0000-0100-0000D6060000}"/>
    <hyperlink ref="D1753" r:id="rId1752" xr:uid="{00000000-0004-0000-0100-0000D7060000}"/>
    <hyperlink ref="D1754" r:id="rId1753" xr:uid="{00000000-0004-0000-0100-0000D8060000}"/>
    <hyperlink ref="D1755" r:id="rId1754" xr:uid="{00000000-0004-0000-0100-0000D9060000}"/>
    <hyperlink ref="D1756" r:id="rId1755" xr:uid="{00000000-0004-0000-0100-0000DA060000}"/>
    <hyperlink ref="D1757" r:id="rId1756" xr:uid="{00000000-0004-0000-0100-0000DB060000}"/>
    <hyperlink ref="D1758" r:id="rId1757" xr:uid="{00000000-0004-0000-0100-0000DC060000}"/>
    <hyperlink ref="D1759" r:id="rId1758" xr:uid="{00000000-0004-0000-0100-0000DD060000}"/>
    <hyperlink ref="D1760" r:id="rId1759" xr:uid="{00000000-0004-0000-0100-0000DE060000}"/>
    <hyperlink ref="D1761" r:id="rId1760" xr:uid="{00000000-0004-0000-0100-0000DF060000}"/>
    <hyperlink ref="D1762" r:id="rId1761" xr:uid="{00000000-0004-0000-0100-0000E0060000}"/>
    <hyperlink ref="D1763" r:id="rId1762" xr:uid="{00000000-0004-0000-0100-0000E1060000}"/>
    <hyperlink ref="D1764" r:id="rId1763" xr:uid="{00000000-0004-0000-0100-0000E2060000}"/>
    <hyperlink ref="D1765" r:id="rId1764" xr:uid="{00000000-0004-0000-0100-0000E3060000}"/>
    <hyperlink ref="D1766" r:id="rId1765" xr:uid="{00000000-0004-0000-0100-0000E4060000}"/>
    <hyperlink ref="D1767" r:id="rId1766" xr:uid="{00000000-0004-0000-0100-0000E5060000}"/>
    <hyperlink ref="D1768" r:id="rId1767" xr:uid="{00000000-0004-0000-0100-0000E6060000}"/>
    <hyperlink ref="D1769" r:id="rId1768" xr:uid="{00000000-0004-0000-0100-0000E7060000}"/>
    <hyperlink ref="D1770" r:id="rId1769" xr:uid="{00000000-0004-0000-0100-0000E8060000}"/>
    <hyperlink ref="D1771" r:id="rId1770" xr:uid="{00000000-0004-0000-0100-0000E9060000}"/>
    <hyperlink ref="D1772" r:id="rId1771" xr:uid="{00000000-0004-0000-0100-0000EA060000}"/>
    <hyperlink ref="D1773" r:id="rId1772" xr:uid="{00000000-0004-0000-0100-0000EB060000}"/>
    <hyperlink ref="D1774" r:id="rId1773" xr:uid="{00000000-0004-0000-0100-0000EC060000}"/>
    <hyperlink ref="D1775" r:id="rId1774" xr:uid="{00000000-0004-0000-0100-0000ED060000}"/>
    <hyperlink ref="D1776" r:id="rId1775" xr:uid="{00000000-0004-0000-0100-0000EE060000}"/>
    <hyperlink ref="D1777" r:id="rId1776" xr:uid="{00000000-0004-0000-0100-0000EF060000}"/>
    <hyperlink ref="D1778" r:id="rId1777" xr:uid="{00000000-0004-0000-0100-0000F0060000}"/>
    <hyperlink ref="D1779" r:id="rId1778" xr:uid="{00000000-0004-0000-0100-0000F1060000}"/>
    <hyperlink ref="D1780" r:id="rId1779" xr:uid="{00000000-0004-0000-0100-0000F2060000}"/>
    <hyperlink ref="D1781" r:id="rId1780" xr:uid="{00000000-0004-0000-0100-0000F3060000}"/>
    <hyperlink ref="D1782" r:id="rId1781" xr:uid="{00000000-0004-0000-0100-0000F4060000}"/>
    <hyperlink ref="D1783" r:id="rId1782" xr:uid="{00000000-0004-0000-0100-0000F5060000}"/>
    <hyperlink ref="D1784" r:id="rId1783" xr:uid="{00000000-0004-0000-0100-0000F6060000}"/>
    <hyperlink ref="D1785" r:id="rId1784" xr:uid="{00000000-0004-0000-0100-0000F7060000}"/>
    <hyperlink ref="D1786" r:id="rId1785" xr:uid="{00000000-0004-0000-0100-0000F8060000}"/>
    <hyperlink ref="D1787" r:id="rId1786" xr:uid="{00000000-0004-0000-0100-0000F9060000}"/>
    <hyperlink ref="D1788" r:id="rId1787" xr:uid="{00000000-0004-0000-0100-0000FA060000}"/>
    <hyperlink ref="D1789" r:id="rId1788" xr:uid="{00000000-0004-0000-0100-0000FB060000}"/>
    <hyperlink ref="D1790" r:id="rId1789" xr:uid="{00000000-0004-0000-0100-0000FC060000}"/>
    <hyperlink ref="D1791" r:id="rId1790" xr:uid="{00000000-0004-0000-0100-0000FD060000}"/>
    <hyperlink ref="D1792" r:id="rId1791" xr:uid="{00000000-0004-0000-0100-0000FE060000}"/>
    <hyperlink ref="D1793" r:id="rId1792" xr:uid="{00000000-0004-0000-0100-0000FF060000}"/>
    <hyperlink ref="D1794" r:id="rId1793" xr:uid="{00000000-0004-0000-0100-000000070000}"/>
    <hyperlink ref="D1795" r:id="rId1794" xr:uid="{00000000-0004-0000-0100-000001070000}"/>
    <hyperlink ref="D1796" r:id="rId1795" xr:uid="{00000000-0004-0000-0100-000002070000}"/>
    <hyperlink ref="D1797" r:id="rId1796" xr:uid="{00000000-0004-0000-0100-000003070000}"/>
    <hyperlink ref="D1798" r:id="rId1797" xr:uid="{00000000-0004-0000-0100-000004070000}"/>
    <hyperlink ref="D1799" r:id="rId1798" xr:uid="{00000000-0004-0000-0100-000005070000}"/>
    <hyperlink ref="D1800" r:id="rId1799" xr:uid="{00000000-0004-0000-0100-000006070000}"/>
    <hyperlink ref="D1801" r:id="rId1800" xr:uid="{00000000-0004-0000-0100-000007070000}"/>
    <hyperlink ref="D1802" r:id="rId1801" xr:uid="{00000000-0004-0000-0100-000008070000}"/>
    <hyperlink ref="D1803" r:id="rId1802" xr:uid="{00000000-0004-0000-0100-000009070000}"/>
    <hyperlink ref="D1804" r:id="rId1803" xr:uid="{00000000-0004-0000-0100-00000A070000}"/>
    <hyperlink ref="D1805" r:id="rId1804" xr:uid="{00000000-0004-0000-0100-00000B070000}"/>
    <hyperlink ref="D1806" r:id="rId1805" xr:uid="{00000000-0004-0000-0100-00000C070000}"/>
    <hyperlink ref="D1807" r:id="rId1806" xr:uid="{00000000-0004-0000-0100-00000D070000}"/>
    <hyperlink ref="D1808" r:id="rId1807" xr:uid="{00000000-0004-0000-0100-00000E070000}"/>
    <hyperlink ref="D1809" r:id="rId1808" xr:uid="{00000000-0004-0000-0100-00000F070000}"/>
    <hyperlink ref="D1810" r:id="rId1809" xr:uid="{00000000-0004-0000-0100-000010070000}"/>
    <hyperlink ref="D1811" r:id="rId1810" xr:uid="{00000000-0004-0000-0100-000011070000}"/>
    <hyperlink ref="D1812" r:id="rId1811" xr:uid="{00000000-0004-0000-0100-000012070000}"/>
    <hyperlink ref="D1813" r:id="rId1812" xr:uid="{00000000-0004-0000-0100-000013070000}"/>
    <hyperlink ref="D1814" r:id="rId1813" xr:uid="{00000000-0004-0000-0100-000014070000}"/>
    <hyperlink ref="D1815" r:id="rId1814" xr:uid="{00000000-0004-0000-0100-000015070000}"/>
    <hyperlink ref="D1816" r:id="rId1815" xr:uid="{00000000-0004-0000-0100-000016070000}"/>
    <hyperlink ref="D1817" r:id="rId1816" xr:uid="{00000000-0004-0000-0100-000017070000}"/>
    <hyperlink ref="D1818" r:id="rId1817" xr:uid="{00000000-0004-0000-0100-000018070000}"/>
    <hyperlink ref="D1819" r:id="rId1818" xr:uid="{00000000-0004-0000-0100-000019070000}"/>
    <hyperlink ref="D1820" r:id="rId1819" xr:uid="{00000000-0004-0000-0100-00001A070000}"/>
    <hyperlink ref="D1821" r:id="rId1820" xr:uid="{00000000-0004-0000-0100-00001B070000}"/>
    <hyperlink ref="D1822" r:id="rId1821" xr:uid="{00000000-0004-0000-0100-00001C070000}"/>
    <hyperlink ref="D1823" r:id="rId1822" xr:uid="{00000000-0004-0000-0100-00001D070000}"/>
    <hyperlink ref="D1824" r:id="rId1823" xr:uid="{00000000-0004-0000-0100-00001E070000}"/>
    <hyperlink ref="D1825" r:id="rId1824" xr:uid="{00000000-0004-0000-0100-00001F070000}"/>
    <hyperlink ref="D1826" r:id="rId1825" xr:uid="{00000000-0004-0000-0100-000020070000}"/>
    <hyperlink ref="D1827" r:id="rId1826" xr:uid="{00000000-0004-0000-0100-000021070000}"/>
    <hyperlink ref="D1828" r:id="rId1827" xr:uid="{00000000-0004-0000-0100-000022070000}"/>
    <hyperlink ref="D1829" r:id="rId1828" xr:uid="{00000000-0004-0000-0100-000023070000}"/>
    <hyperlink ref="D1830" r:id="rId1829" xr:uid="{00000000-0004-0000-0100-000024070000}"/>
    <hyperlink ref="D1831" r:id="rId1830" xr:uid="{00000000-0004-0000-0100-000025070000}"/>
    <hyperlink ref="D1832" r:id="rId1831" xr:uid="{00000000-0004-0000-0100-000026070000}"/>
    <hyperlink ref="D1833" r:id="rId1832" xr:uid="{00000000-0004-0000-0100-000027070000}"/>
    <hyperlink ref="D1834" r:id="rId1833" xr:uid="{00000000-0004-0000-0100-000028070000}"/>
    <hyperlink ref="D1835" r:id="rId1834" xr:uid="{00000000-0004-0000-0100-000029070000}"/>
    <hyperlink ref="D1836" r:id="rId1835" xr:uid="{00000000-0004-0000-0100-00002A070000}"/>
    <hyperlink ref="D1837" r:id="rId1836" xr:uid="{00000000-0004-0000-0100-00002B070000}"/>
    <hyperlink ref="D1838" r:id="rId1837" xr:uid="{00000000-0004-0000-0100-00002C070000}"/>
    <hyperlink ref="D1839" r:id="rId1838" xr:uid="{00000000-0004-0000-0100-00002D070000}"/>
    <hyperlink ref="D1840" r:id="rId1839" xr:uid="{00000000-0004-0000-0100-00002E070000}"/>
    <hyperlink ref="D1841" r:id="rId1840" xr:uid="{00000000-0004-0000-0100-00002F070000}"/>
    <hyperlink ref="D1842" r:id="rId1841" xr:uid="{00000000-0004-0000-0100-000030070000}"/>
    <hyperlink ref="D1843" r:id="rId1842" xr:uid="{00000000-0004-0000-0100-000031070000}"/>
    <hyperlink ref="D1844" r:id="rId1843" xr:uid="{00000000-0004-0000-0100-000032070000}"/>
    <hyperlink ref="D1845" r:id="rId1844" xr:uid="{00000000-0004-0000-0100-000033070000}"/>
    <hyperlink ref="D1846" r:id="rId1845" xr:uid="{00000000-0004-0000-0100-000034070000}"/>
    <hyperlink ref="D1847" r:id="rId1846" xr:uid="{00000000-0004-0000-0100-000035070000}"/>
    <hyperlink ref="D1848" r:id="rId1847" xr:uid="{00000000-0004-0000-0100-000036070000}"/>
    <hyperlink ref="D1849" r:id="rId1848" xr:uid="{00000000-0004-0000-0100-000037070000}"/>
    <hyperlink ref="D1850" r:id="rId1849" xr:uid="{00000000-0004-0000-0100-000038070000}"/>
    <hyperlink ref="D1851" r:id="rId1850" xr:uid="{00000000-0004-0000-0100-000039070000}"/>
    <hyperlink ref="D1852" r:id="rId1851" xr:uid="{00000000-0004-0000-0100-00003A070000}"/>
    <hyperlink ref="D1853" r:id="rId1852" xr:uid="{00000000-0004-0000-0100-00003B070000}"/>
    <hyperlink ref="D1854" r:id="rId1853" xr:uid="{00000000-0004-0000-0100-00003C070000}"/>
    <hyperlink ref="D1855" r:id="rId1854" xr:uid="{00000000-0004-0000-0100-00003D070000}"/>
    <hyperlink ref="D1856" r:id="rId1855" xr:uid="{00000000-0004-0000-0100-00003E070000}"/>
    <hyperlink ref="D1857" r:id="rId1856" xr:uid="{00000000-0004-0000-0100-00003F070000}"/>
    <hyperlink ref="D1858" r:id="rId1857" xr:uid="{00000000-0004-0000-0100-000040070000}"/>
    <hyperlink ref="D1859" r:id="rId1858" xr:uid="{00000000-0004-0000-0100-000041070000}"/>
    <hyperlink ref="D1860" r:id="rId1859" xr:uid="{00000000-0004-0000-0100-000042070000}"/>
    <hyperlink ref="D1861" r:id="rId1860" xr:uid="{00000000-0004-0000-0100-000043070000}"/>
    <hyperlink ref="D1862" r:id="rId1861" xr:uid="{00000000-0004-0000-0100-000044070000}"/>
    <hyperlink ref="D1863" r:id="rId1862" xr:uid="{00000000-0004-0000-0100-000045070000}"/>
    <hyperlink ref="D1864" r:id="rId1863" xr:uid="{00000000-0004-0000-0100-000046070000}"/>
    <hyperlink ref="D1865" r:id="rId1864" xr:uid="{00000000-0004-0000-0100-000047070000}"/>
    <hyperlink ref="D1866" r:id="rId1865" xr:uid="{00000000-0004-0000-0100-000048070000}"/>
    <hyperlink ref="D1867" r:id="rId1866" xr:uid="{00000000-0004-0000-0100-000049070000}"/>
    <hyperlink ref="D1868" r:id="rId1867" xr:uid="{00000000-0004-0000-0100-00004A070000}"/>
    <hyperlink ref="D1869" r:id="rId1868" xr:uid="{00000000-0004-0000-0100-00004B070000}"/>
    <hyperlink ref="D1870" r:id="rId1869" xr:uid="{00000000-0004-0000-0100-00004C070000}"/>
    <hyperlink ref="D1871" r:id="rId1870" xr:uid="{00000000-0004-0000-0100-00004D070000}"/>
    <hyperlink ref="D1872" r:id="rId1871" xr:uid="{00000000-0004-0000-0100-00004E070000}"/>
    <hyperlink ref="D1873" r:id="rId1872" xr:uid="{00000000-0004-0000-0100-00004F070000}"/>
    <hyperlink ref="D1874" r:id="rId1873" xr:uid="{00000000-0004-0000-0100-000050070000}"/>
    <hyperlink ref="D1875" r:id="rId1874" xr:uid="{00000000-0004-0000-0100-000051070000}"/>
    <hyperlink ref="D1876" r:id="rId1875" xr:uid="{00000000-0004-0000-0100-000052070000}"/>
    <hyperlink ref="D1877" r:id="rId1876" xr:uid="{00000000-0004-0000-0100-000053070000}"/>
    <hyperlink ref="D1878" r:id="rId1877" xr:uid="{00000000-0004-0000-0100-000054070000}"/>
    <hyperlink ref="D1879" r:id="rId1878" xr:uid="{00000000-0004-0000-0100-000055070000}"/>
    <hyperlink ref="D1880" r:id="rId1879" xr:uid="{00000000-0004-0000-0100-000056070000}"/>
    <hyperlink ref="D1881" r:id="rId1880" xr:uid="{00000000-0004-0000-0100-000057070000}"/>
    <hyperlink ref="D1882" r:id="rId1881" xr:uid="{00000000-0004-0000-0100-000058070000}"/>
    <hyperlink ref="D1883" r:id="rId1882" xr:uid="{00000000-0004-0000-0100-000059070000}"/>
    <hyperlink ref="D1884" r:id="rId1883" xr:uid="{00000000-0004-0000-0100-00005A070000}"/>
    <hyperlink ref="D1885" r:id="rId1884" xr:uid="{00000000-0004-0000-0100-00005B070000}"/>
    <hyperlink ref="D1886" r:id="rId1885" xr:uid="{00000000-0004-0000-0100-00005C070000}"/>
    <hyperlink ref="D1887" r:id="rId1886" xr:uid="{00000000-0004-0000-0100-00005D070000}"/>
    <hyperlink ref="D1888" r:id="rId1887" xr:uid="{00000000-0004-0000-0100-00005E070000}"/>
    <hyperlink ref="D1889" r:id="rId1888" xr:uid="{00000000-0004-0000-0100-00005F070000}"/>
    <hyperlink ref="D1890" r:id="rId1889" xr:uid="{00000000-0004-0000-0100-000060070000}"/>
    <hyperlink ref="D1891" r:id="rId1890" xr:uid="{00000000-0004-0000-0100-000061070000}"/>
    <hyperlink ref="D1892" r:id="rId1891" xr:uid="{00000000-0004-0000-0100-000062070000}"/>
    <hyperlink ref="D1893" r:id="rId1892" xr:uid="{00000000-0004-0000-0100-000063070000}"/>
    <hyperlink ref="D1894" r:id="rId1893" xr:uid="{00000000-0004-0000-0100-000064070000}"/>
    <hyperlink ref="D1895" r:id="rId1894" xr:uid="{00000000-0004-0000-0100-000065070000}"/>
    <hyperlink ref="D1896" r:id="rId1895" xr:uid="{00000000-0004-0000-0100-000066070000}"/>
    <hyperlink ref="D1897" r:id="rId1896" xr:uid="{00000000-0004-0000-0100-000067070000}"/>
    <hyperlink ref="D1898" r:id="rId1897" xr:uid="{00000000-0004-0000-0100-000068070000}"/>
    <hyperlink ref="D1899" r:id="rId1898" xr:uid="{00000000-0004-0000-0100-000069070000}"/>
    <hyperlink ref="D1900" r:id="rId1899" xr:uid="{00000000-0004-0000-0100-00006A070000}"/>
    <hyperlink ref="D1901" r:id="rId1900" xr:uid="{00000000-0004-0000-0100-00006B070000}"/>
    <hyperlink ref="D1902" r:id="rId1901" xr:uid="{00000000-0004-0000-0100-00006C070000}"/>
    <hyperlink ref="D1903" r:id="rId1902" xr:uid="{00000000-0004-0000-0100-00006D070000}"/>
    <hyperlink ref="D1904" r:id="rId1903" xr:uid="{00000000-0004-0000-0100-00006E070000}"/>
    <hyperlink ref="D1905" r:id="rId1904" xr:uid="{00000000-0004-0000-0100-00006F070000}"/>
    <hyperlink ref="D1906" r:id="rId1905" xr:uid="{00000000-0004-0000-0100-000070070000}"/>
    <hyperlink ref="D1907" r:id="rId1906" xr:uid="{00000000-0004-0000-0100-000071070000}"/>
    <hyperlink ref="D1908" r:id="rId1907" xr:uid="{00000000-0004-0000-0100-000072070000}"/>
    <hyperlink ref="D1909" r:id="rId1908" xr:uid="{00000000-0004-0000-0100-000073070000}"/>
    <hyperlink ref="D1910" r:id="rId1909" xr:uid="{00000000-0004-0000-0100-000074070000}"/>
    <hyperlink ref="D1911" r:id="rId1910" xr:uid="{00000000-0004-0000-0100-000075070000}"/>
    <hyperlink ref="D1912" r:id="rId1911" xr:uid="{00000000-0004-0000-0100-000076070000}"/>
    <hyperlink ref="D1913" r:id="rId1912" xr:uid="{00000000-0004-0000-0100-000077070000}"/>
    <hyperlink ref="D1914" r:id="rId1913" xr:uid="{00000000-0004-0000-0100-000078070000}"/>
    <hyperlink ref="D1915" r:id="rId1914" xr:uid="{00000000-0004-0000-0100-000079070000}"/>
    <hyperlink ref="D1916" r:id="rId1915" xr:uid="{00000000-0004-0000-0100-00007A070000}"/>
    <hyperlink ref="D1917" r:id="rId1916" xr:uid="{00000000-0004-0000-0100-00007B070000}"/>
    <hyperlink ref="D1918" r:id="rId1917" xr:uid="{00000000-0004-0000-0100-00007C070000}"/>
    <hyperlink ref="D1919" r:id="rId1918" xr:uid="{00000000-0004-0000-0100-00007D070000}"/>
    <hyperlink ref="D1920" r:id="rId1919" xr:uid="{00000000-0004-0000-0100-00007E070000}"/>
    <hyperlink ref="D1921" r:id="rId1920" xr:uid="{00000000-0004-0000-0100-00007F070000}"/>
    <hyperlink ref="D1922" r:id="rId1921" xr:uid="{00000000-0004-0000-0100-000080070000}"/>
    <hyperlink ref="D1923" r:id="rId1922" xr:uid="{00000000-0004-0000-0100-000081070000}"/>
    <hyperlink ref="D1924" r:id="rId1923" xr:uid="{00000000-0004-0000-0100-000082070000}"/>
    <hyperlink ref="D1925" r:id="rId1924" xr:uid="{00000000-0004-0000-0100-000083070000}"/>
    <hyperlink ref="D1926" r:id="rId1925" xr:uid="{00000000-0004-0000-0100-000084070000}"/>
    <hyperlink ref="D1927" r:id="rId1926" xr:uid="{00000000-0004-0000-0100-000085070000}"/>
    <hyperlink ref="D1928" r:id="rId1927" xr:uid="{00000000-0004-0000-0100-000086070000}"/>
    <hyperlink ref="D1929" r:id="rId1928" xr:uid="{00000000-0004-0000-0100-000087070000}"/>
    <hyperlink ref="D1930" r:id="rId1929" xr:uid="{00000000-0004-0000-0100-000088070000}"/>
    <hyperlink ref="D1931" r:id="rId1930" xr:uid="{00000000-0004-0000-0100-000089070000}"/>
    <hyperlink ref="D1932" r:id="rId1931" xr:uid="{00000000-0004-0000-0100-00008A070000}"/>
    <hyperlink ref="D1933" r:id="rId1932" xr:uid="{00000000-0004-0000-0100-00008B070000}"/>
    <hyperlink ref="D1934" r:id="rId1933" xr:uid="{00000000-0004-0000-0100-00008C070000}"/>
    <hyperlink ref="D1935" r:id="rId1934" xr:uid="{00000000-0004-0000-0100-00008D070000}"/>
    <hyperlink ref="D1936" r:id="rId1935" xr:uid="{00000000-0004-0000-0100-00008E070000}"/>
    <hyperlink ref="D1937" r:id="rId1936" xr:uid="{00000000-0004-0000-0100-00008F070000}"/>
    <hyperlink ref="D1938" r:id="rId1937" xr:uid="{00000000-0004-0000-0100-000090070000}"/>
    <hyperlink ref="D1939" r:id="rId1938" xr:uid="{00000000-0004-0000-0100-000091070000}"/>
    <hyperlink ref="D1940" r:id="rId1939" xr:uid="{00000000-0004-0000-0100-000092070000}"/>
    <hyperlink ref="D1941" r:id="rId1940" xr:uid="{00000000-0004-0000-0100-000093070000}"/>
    <hyperlink ref="D1942" r:id="rId1941" xr:uid="{00000000-0004-0000-0100-000094070000}"/>
    <hyperlink ref="D1943" r:id="rId1942" xr:uid="{00000000-0004-0000-0100-000095070000}"/>
    <hyperlink ref="D1944" r:id="rId1943" xr:uid="{00000000-0004-0000-0100-000096070000}"/>
    <hyperlink ref="D1945" r:id="rId1944" xr:uid="{00000000-0004-0000-0100-000097070000}"/>
    <hyperlink ref="D1946" r:id="rId1945" xr:uid="{00000000-0004-0000-0100-000098070000}"/>
    <hyperlink ref="D1947" r:id="rId1946" xr:uid="{00000000-0004-0000-0100-000099070000}"/>
    <hyperlink ref="D1948" r:id="rId1947" xr:uid="{00000000-0004-0000-0100-00009A070000}"/>
    <hyperlink ref="D1949" r:id="rId1948" xr:uid="{00000000-0004-0000-0100-00009B070000}"/>
    <hyperlink ref="D1950" r:id="rId1949" xr:uid="{00000000-0004-0000-0100-00009C070000}"/>
    <hyperlink ref="D1951" r:id="rId1950" xr:uid="{00000000-0004-0000-0100-00009D070000}"/>
    <hyperlink ref="D1952" r:id="rId1951" xr:uid="{00000000-0004-0000-0100-00009E070000}"/>
    <hyperlink ref="D1953" r:id="rId1952" xr:uid="{00000000-0004-0000-0100-00009F070000}"/>
    <hyperlink ref="D1954" r:id="rId1953" xr:uid="{00000000-0004-0000-0100-0000A0070000}"/>
    <hyperlink ref="D1955" r:id="rId1954" xr:uid="{00000000-0004-0000-0100-0000A1070000}"/>
    <hyperlink ref="D1956" r:id="rId1955" xr:uid="{00000000-0004-0000-0100-0000A2070000}"/>
    <hyperlink ref="D1957" r:id="rId1956" xr:uid="{00000000-0004-0000-0100-0000A3070000}"/>
    <hyperlink ref="D1958" r:id="rId1957" xr:uid="{00000000-0004-0000-0100-0000A4070000}"/>
    <hyperlink ref="D1959" r:id="rId1958" xr:uid="{00000000-0004-0000-0100-0000A5070000}"/>
    <hyperlink ref="D1960" r:id="rId1959" xr:uid="{00000000-0004-0000-0100-0000A6070000}"/>
    <hyperlink ref="D1961" r:id="rId1960" xr:uid="{00000000-0004-0000-0100-0000A7070000}"/>
    <hyperlink ref="D1962" r:id="rId1961" xr:uid="{00000000-0004-0000-0100-0000A8070000}"/>
    <hyperlink ref="D1963" r:id="rId1962" xr:uid="{00000000-0004-0000-0100-0000A9070000}"/>
    <hyperlink ref="D1964" r:id="rId1963" xr:uid="{00000000-0004-0000-0100-0000AA070000}"/>
    <hyperlink ref="D1965" r:id="rId1964" xr:uid="{00000000-0004-0000-0100-0000AB070000}"/>
    <hyperlink ref="D1966" r:id="rId1965" xr:uid="{00000000-0004-0000-0100-0000AC070000}"/>
    <hyperlink ref="D1967" r:id="rId1966" xr:uid="{00000000-0004-0000-0100-0000AD070000}"/>
    <hyperlink ref="D1968" r:id="rId1967" xr:uid="{00000000-0004-0000-0100-0000AE070000}"/>
    <hyperlink ref="D1969" r:id="rId1968" xr:uid="{00000000-0004-0000-0100-0000AF070000}"/>
    <hyperlink ref="D1970" r:id="rId1969" xr:uid="{00000000-0004-0000-0100-0000B0070000}"/>
    <hyperlink ref="D1971" r:id="rId1970" xr:uid="{00000000-0004-0000-0100-0000B1070000}"/>
    <hyperlink ref="D1972" r:id="rId1971" xr:uid="{00000000-0004-0000-0100-0000B2070000}"/>
    <hyperlink ref="D1973" r:id="rId1972" xr:uid="{00000000-0004-0000-0100-0000B3070000}"/>
    <hyperlink ref="D1974" r:id="rId1973" xr:uid="{00000000-0004-0000-0100-0000B4070000}"/>
    <hyperlink ref="D1975" r:id="rId1974" xr:uid="{00000000-0004-0000-0100-0000B5070000}"/>
    <hyperlink ref="D1976" r:id="rId1975" xr:uid="{00000000-0004-0000-0100-0000B6070000}"/>
    <hyperlink ref="D1977" r:id="rId1976" xr:uid="{00000000-0004-0000-0100-0000B7070000}"/>
    <hyperlink ref="D1978" r:id="rId1977" xr:uid="{00000000-0004-0000-0100-0000B8070000}"/>
    <hyperlink ref="D1979" r:id="rId1978" xr:uid="{00000000-0004-0000-0100-0000B9070000}"/>
    <hyperlink ref="D1980" r:id="rId1979" xr:uid="{00000000-0004-0000-0100-0000BA070000}"/>
    <hyperlink ref="D1981" r:id="rId1980" xr:uid="{00000000-0004-0000-0100-0000BB070000}"/>
    <hyperlink ref="D1982" r:id="rId1981" xr:uid="{00000000-0004-0000-0100-0000BC070000}"/>
    <hyperlink ref="D1983" r:id="rId1982" xr:uid="{00000000-0004-0000-0100-0000BD070000}"/>
    <hyperlink ref="D1984" r:id="rId1983" xr:uid="{00000000-0004-0000-0100-0000BE070000}"/>
    <hyperlink ref="D1985" r:id="rId1984" xr:uid="{00000000-0004-0000-0100-0000BF070000}"/>
    <hyperlink ref="D1986" r:id="rId1985" xr:uid="{00000000-0004-0000-0100-0000C0070000}"/>
    <hyperlink ref="D1987" r:id="rId1986" xr:uid="{00000000-0004-0000-0100-0000C1070000}"/>
    <hyperlink ref="D1988" r:id="rId1987" xr:uid="{00000000-0004-0000-0100-0000C2070000}"/>
    <hyperlink ref="D1989" r:id="rId1988" xr:uid="{00000000-0004-0000-0100-0000C3070000}"/>
    <hyperlink ref="D1990" r:id="rId1989" xr:uid="{00000000-0004-0000-0100-0000C4070000}"/>
    <hyperlink ref="D1991" r:id="rId1990" xr:uid="{00000000-0004-0000-0100-0000C5070000}"/>
    <hyperlink ref="D1992" r:id="rId1991" xr:uid="{00000000-0004-0000-0100-0000C6070000}"/>
    <hyperlink ref="D1993" r:id="rId1992" xr:uid="{00000000-0004-0000-0100-0000C7070000}"/>
    <hyperlink ref="D1994" r:id="rId1993" xr:uid="{00000000-0004-0000-0100-0000C8070000}"/>
    <hyperlink ref="D1995" r:id="rId1994" xr:uid="{00000000-0004-0000-0100-0000C9070000}"/>
    <hyperlink ref="D1996" r:id="rId1995" xr:uid="{00000000-0004-0000-0100-0000CA070000}"/>
    <hyperlink ref="D1997" r:id="rId1996" xr:uid="{00000000-0004-0000-0100-0000CB070000}"/>
    <hyperlink ref="D1998" r:id="rId1997" xr:uid="{00000000-0004-0000-0100-0000CC070000}"/>
    <hyperlink ref="D1999" r:id="rId1998" xr:uid="{00000000-0004-0000-0100-0000CD070000}"/>
    <hyperlink ref="D2000" r:id="rId1999" xr:uid="{00000000-0004-0000-0100-0000CE070000}"/>
    <hyperlink ref="D2001" r:id="rId2000" xr:uid="{00000000-0004-0000-0100-0000CF070000}"/>
    <hyperlink ref="D2002" r:id="rId2001" xr:uid="{00000000-0004-0000-0100-0000D0070000}"/>
    <hyperlink ref="D2003" r:id="rId2002" xr:uid="{00000000-0004-0000-0100-0000D1070000}"/>
    <hyperlink ref="D2004" r:id="rId2003" xr:uid="{00000000-0004-0000-0100-0000D2070000}"/>
    <hyperlink ref="D2005" r:id="rId2004" xr:uid="{00000000-0004-0000-0100-0000D3070000}"/>
    <hyperlink ref="D2006" r:id="rId2005" xr:uid="{00000000-0004-0000-0100-0000D4070000}"/>
    <hyperlink ref="D2007" r:id="rId2006" xr:uid="{00000000-0004-0000-0100-0000D5070000}"/>
    <hyperlink ref="D2008" r:id="rId2007" xr:uid="{00000000-0004-0000-0100-0000D6070000}"/>
    <hyperlink ref="D2009" r:id="rId2008" xr:uid="{00000000-0004-0000-0100-0000D7070000}"/>
    <hyperlink ref="D2010" r:id="rId2009" xr:uid="{00000000-0004-0000-0100-0000D8070000}"/>
    <hyperlink ref="D2011" r:id="rId2010" xr:uid="{00000000-0004-0000-0100-0000D9070000}"/>
    <hyperlink ref="D2012" r:id="rId2011" xr:uid="{00000000-0004-0000-0100-0000DA070000}"/>
    <hyperlink ref="D2013" r:id="rId2012" xr:uid="{00000000-0004-0000-0100-0000DB070000}"/>
    <hyperlink ref="D2014" r:id="rId2013" xr:uid="{00000000-0004-0000-0100-0000DC070000}"/>
    <hyperlink ref="D2015" r:id="rId2014" xr:uid="{00000000-0004-0000-0100-0000DD070000}"/>
    <hyperlink ref="D2016" r:id="rId2015" xr:uid="{00000000-0004-0000-0100-0000DE070000}"/>
    <hyperlink ref="D2017" r:id="rId2016" xr:uid="{00000000-0004-0000-0100-0000DF070000}"/>
    <hyperlink ref="D2018" r:id="rId2017" xr:uid="{00000000-0004-0000-0100-0000E0070000}"/>
    <hyperlink ref="D2019" r:id="rId2018" xr:uid="{00000000-0004-0000-0100-0000E1070000}"/>
    <hyperlink ref="D2020" r:id="rId2019" xr:uid="{00000000-0004-0000-0100-0000E2070000}"/>
    <hyperlink ref="D2021" r:id="rId2020" xr:uid="{00000000-0004-0000-0100-0000E3070000}"/>
    <hyperlink ref="D2022" r:id="rId2021" xr:uid="{00000000-0004-0000-0100-0000E4070000}"/>
    <hyperlink ref="D2023" r:id="rId2022" xr:uid="{00000000-0004-0000-0100-0000E5070000}"/>
    <hyperlink ref="D2024" r:id="rId2023" xr:uid="{00000000-0004-0000-0100-0000E6070000}"/>
    <hyperlink ref="D2025" r:id="rId2024" xr:uid="{00000000-0004-0000-0100-0000E7070000}"/>
    <hyperlink ref="D2026" r:id="rId2025" xr:uid="{00000000-0004-0000-0100-0000E8070000}"/>
    <hyperlink ref="D2027" r:id="rId2026" xr:uid="{00000000-0004-0000-0100-0000E9070000}"/>
    <hyperlink ref="D2028" r:id="rId2027" xr:uid="{00000000-0004-0000-0100-0000EA070000}"/>
    <hyperlink ref="D2029" r:id="rId2028" xr:uid="{00000000-0004-0000-0100-0000EB070000}"/>
    <hyperlink ref="D2030" r:id="rId2029" xr:uid="{00000000-0004-0000-0100-0000EC070000}"/>
    <hyperlink ref="D2031" r:id="rId2030" xr:uid="{00000000-0004-0000-0100-0000ED070000}"/>
    <hyperlink ref="D2032" r:id="rId2031" xr:uid="{00000000-0004-0000-0100-0000EE070000}"/>
    <hyperlink ref="D2033" r:id="rId2032" xr:uid="{00000000-0004-0000-0100-0000EF070000}"/>
    <hyperlink ref="D2034" r:id="rId2033" xr:uid="{00000000-0004-0000-0100-0000F0070000}"/>
    <hyperlink ref="D2035" r:id="rId2034" xr:uid="{00000000-0004-0000-0100-0000F1070000}"/>
    <hyperlink ref="D2036" r:id="rId2035" xr:uid="{00000000-0004-0000-0100-0000F2070000}"/>
    <hyperlink ref="D2037" r:id="rId2036" xr:uid="{00000000-0004-0000-0100-0000F3070000}"/>
    <hyperlink ref="D2038" r:id="rId2037" xr:uid="{00000000-0004-0000-0100-0000F4070000}"/>
    <hyperlink ref="D2039" r:id="rId2038" xr:uid="{00000000-0004-0000-0100-0000F5070000}"/>
    <hyperlink ref="D2040" r:id="rId2039" xr:uid="{00000000-0004-0000-0100-0000F6070000}"/>
    <hyperlink ref="D2041" r:id="rId2040" xr:uid="{00000000-0004-0000-0100-0000F7070000}"/>
    <hyperlink ref="D2042" r:id="rId2041" xr:uid="{00000000-0004-0000-0100-0000F8070000}"/>
    <hyperlink ref="D2043" r:id="rId2042" xr:uid="{00000000-0004-0000-0100-0000F9070000}"/>
    <hyperlink ref="D2044" r:id="rId2043" xr:uid="{00000000-0004-0000-0100-0000FA070000}"/>
    <hyperlink ref="D2045" r:id="rId2044" xr:uid="{00000000-0004-0000-0100-0000FB070000}"/>
    <hyperlink ref="D2046" r:id="rId2045" xr:uid="{00000000-0004-0000-0100-0000FC070000}"/>
    <hyperlink ref="D2047" r:id="rId2046" xr:uid="{00000000-0004-0000-0100-0000FD070000}"/>
    <hyperlink ref="D2048" r:id="rId2047" xr:uid="{00000000-0004-0000-0100-0000FE070000}"/>
    <hyperlink ref="D2049" r:id="rId2048" xr:uid="{00000000-0004-0000-0100-0000FF070000}"/>
    <hyperlink ref="D2050" r:id="rId2049" xr:uid="{00000000-0004-0000-0100-000000080000}"/>
    <hyperlink ref="D2051" r:id="rId2050" xr:uid="{00000000-0004-0000-0100-000001080000}"/>
    <hyperlink ref="D2052" r:id="rId2051" xr:uid="{00000000-0004-0000-0100-000002080000}"/>
    <hyperlink ref="D2053" r:id="rId2052" xr:uid="{00000000-0004-0000-0100-000003080000}"/>
    <hyperlink ref="D2054" r:id="rId2053" xr:uid="{00000000-0004-0000-0100-000004080000}"/>
    <hyperlink ref="D2055" r:id="rId2054" xr:uid="{00000000-0004-0000-0100-000005080000}"/>
    <hyperlink ref="D2056" r:id="rId2055" xr:uid="{00000000-0004-0000-0100-000006080000}"/>
    <hyperlink ref="D2057" r:id="rId2056" xr:uid="{00000000-0004-0000-0100-000007080000}"/>
    <hyperlink ref="D2058" r:id="rId2057" xr:uid="{00000000-0004-0000-0100-000008080000}"/>
    <hyperlink ref="D2059" r:id="rId2058" xr:uid="{00000000-0004-0000-0100-000009080000}"/>
    <hyperlink ref="D2060" r:id="rId2059" xr:uid="{00000000-0004-0000-0100-00000A080000}"/>
    <hyperlink ref="D2061" r:id="rId2060" xr:uid="{00000000-0004-0000-0100-00000B080000}"/>
    <hyperlink ref="D2062" r:id="rId2061" xr:uid="{00000000-0004-0000-0100-00000C080000}"/>
    <hyperlink ref="D2063" r:id="rId2062" xr:uid="{00000000-0004-0000-0100-00000D080000}"/>
    <hyperlink ref="D2064" r:id="rId2063" xr:uid="{00000000-0004-0000-0100-00000E080000}"/>
    <hyperlink ref="D2065" r:id="rId2064" xr:uid="{00000000-0004-0000-0100-00000F080000}"/>
    <hyperlink ref="D2066" r:id="rId2065" xr:uid="{00000000-0004-0000-0100-000010080000}"/>
    <hyperlink ref="D2067" r:id="rId2066" xr:uid="{00000000-0004-0000-0100-000011080000}"/>
    <hyperlink ref="D2068" r:id="rId2067" xr:uid="{00000000-0004-0000-0100-000012080000}"/>
    <hyperlink ref="D2069" r:id="rId2068" xr:uid="{00000000-0004-0000-0100-000013080000}"/>
    <hyperlink ref="D2070" r:id="rId2069" xr:uid="{00000000-0004-0000-0100-000014080000}"/>
    <hyperlink ref="D2071" r:id="rId2070" xr:uid="{00000000-0004-0000-0100-000015080000}"/>
    <hyperlink ref="D2072" r:id="rId2071" xr:uid="{00000000-0004-0000-0100-000016080000}"/>
    <hyperlink ref="D2073" r:id="rId2072" xr:uid="{00000000-0004-0000-0100-000017080000}"/>
    <hyperlink ref="D2074" r:id="rId2073" xr:uid="{00000000-0004-0000-0100-000018080000}"/>
    <hyperlink ref="D2075" r:id="rId2074" xr:uid="{00000000-0004-0000-0100-000019080000}"/>
    <hyperlink ref="D2076" r:id="rId2075" xr:uid="{00000000-0004-0000-0100-00001A080000}"/>
    <hyperlink ref="D2077" r:id="rId2076" xr:uid="{00000000-0004-0000-0100-00001B080000}"/>
    <hyperlink ref="D2078" r:id="rId2077" xr:uid="{00000000-0004-0000-0100-00001C080000}"/>
    <hyperlink ref="D2079" r:id="rId2078" xr:uid="{00000000-0004-0000-0100-00001D080000}"/>
    <hyperlink ref="D2080" r:id="rId2079" xr:uid="{00000000-0004-0000-0100-00001E080000}"/>
    <hyperlink ref="D2081" r:id="rId2080" xr:uid="{00000000-0004-0000-0100-00001F080000}"/>
    <hyperlink ref="D2082" r:id="rId2081" xr:uid="{00000000-0004-0000-0100-000020080000}"/>
    <hyperlink ref="D2083" r:id="rId2082" xr:uid="{00000000-0004-0000-0100-000021080000}"/>
    <hyperlink ref="D2084" r:id="rId2083" xr:uid="{00000000-0004-0000-0100-000022080000}"/>
    <hyperlink ref="D2085" r:id="rId2084" xr:uid="{00000000-0004-0000-0100-000023080000}"/>
    <hyperlink ref="D2086" r:id="rId2085" xr:uid="{00000000-0004-0000-0100-000024080000}"/>
    <hyperlink ref="D2087" r:id="rId2086" xr:uid="{00000000-0004-0000-0100-000025080000}"/>
    <hyperlink ref="D2088" r:id="rId2087" xr:uid="{00000000-0004-0000-0100-000026080000}"/>
    <hyperlink ref="D2089" r:id="rId2088" xr:uid="{00000000-0004-0000-0100-000027080000}"/>
    <hyperlink ref="D2090" r:id="rId2089" xr:uid="{00000000-0004-0000-0100-000028080000}"/>
    <hyperlink ref="D2091" r:id="rId2090" xr:uid="{00000000-0004-0000-0100-000029080000}"/>
    <hyperlink ref="D2092" r:id="rId2091" xr:uid="{00000000-0004-0000-0100-00002A080000}"/>
    <hyperlink ref="D2093" r:id="rId2092" xr:uid="{00000000-0004-0000-0100-00002B080000}"/>
    <hyperlink ref="D2094" r:id="rId2093" xr:uid="{00000000-0004-0000-0100-00002C080000}"/>
    <hyperlink ref="D2095" r:id="rId2094" xr:uid="{00000000-0004-0000-0100-00002D080000}"/>
    <hyperlink ref="D2096" r:id="rId2095" xr:uid="{00000000-0004-0000-0100-00002E080000}"/>
    <hyperlink ref="D2097" r:id="rId2096" xr:uid="{00000000-0004-0000-0100-00002F080000}"/>
    <hyperlink ref="D2098" r:id="rId2097" xr:uid="{00000000-0004-0000-0100-000030080000}"/>
    <hyperlink ref="D2099" r:id="rId2098" xr:uid="{00000000-0004-0000-0100-000031080000}"/>
    <hyperlink ref="D2100" r:id="rId2099" xr:uid="{00000000-0004-0000-0100-000032080000}"/>
    <hyperlink ref="D2101" r:id="rId2100" xr:uid="{00000000-0004-0000-0100-000033080000}"/>
    <hyperlink ref="D2102" r:id="rId2101" xr:uid="{00000000-0004-0000-0100-000034080000}"/>
    <hyperlink ref="D2103" r:id="rId2102" xr:uid="{00000000-0004-0000-0100-000035080000}"/>
    <hyperlink ref="D2104" r:id="rId2103" xr:uid="{00000000-0004-0000-0100-000036080000}"/>
    <hyperlink ref="D2105" r:id="rId2104" xr:uid="{00000000-0004-0000-0100-000037080000}"/>
    <hyperlink ref="D2106" r:id="rId2105" xr:uid="{00000000-0004-0000-0100-000038080000}"/>
    <hyperlink ref="D2107" r:id="rId2106" xr:uid="{00000000-0004-0000-0100-000039080000}"/>
    <hyperlink ref="D2108" r:id="rId2107" xr:uid="{00000000-0004-0000-0100-00003A080000}"/>
    <hyperlink ref="D2109" r:id="rId2108" xr:uid="{00000000-0004-0000-0100-00003B080000}"/>
    <hyperlink ref="D2110" r:id="rId2109" xr:uid="{00000000-0004-0000-0100-00003C080000}"/>
    <hyperlink ref="D2111" r:id="rId2110" xr:uid="{00000000-0004-0000-0100-00003D080000}"/>
    <hyperlink ref="D2112" r:id="rId2111" xr:uid="{00000000-0004-0000-0100-00003E080000}"/>
    <hyperlink ref="D2113" r:id="rId2112" xr:uid="{00000000-0004-0000-0100-00003F080000}"/>
    <hyperlink ref="D2114" r:id="rId2113" xr:uid="{00000000-0004-0000-0100-000040080000}"/>
    <hyperlink ref="D2115" r:id="rId2114" xr:uid="{00000000-0004-0000-0100-000041080000}"/>
    <hyperlink ref="D2116" r:id="rId2115" xr:uid="{00000000-0004-0000-0100-000042080000}"/>
    <hyperlink ref="D2117" r:id="rId2116" xr:uid="{00000000-0004-0000-0100-000043080000}"/>
    <hyperlink ref="D2118" r:id="rId2117" xr:uid="{00000000-0004-0000-0100-000044080000}"/>
    <hyperlink ref="D2119" r:id="rId2118" xr:uid="{00000000-0004-0000-0100-000045080000}"/>
    <hyperlink ref="D2120" r:id="rId2119" xr:uid="{00000000-0004-0000-0100-000046080000}"/>
    <hyperlink ref="D2121" r:id="rId2120" xr:uid="{00000000-0004-0000-0100-000047080000}"/>
    <hyperlink ref="D2122" r:id="rId2121" xr:uid="{00000000-0004-0000-0100-000048080000}"/>
    <hyperlink ref="D2123" r:id="rId2122" xr:uid="{00000000-0004-0000-0100-000049080000}"/>
    <hyperlink ref="D2124" r:id="rId2123" xr:uid="{00000000-0004-0000-0100-00004A080000}"/>
    <hyperlink ref="D2125" r:id="rId2124" xr:uid="{00000000-0004-0000-0100-00004B080000}"/>
    <hyperlink ref="D2126" r:id="rId2125" xr:uid="{00000000-0004-0000-0100-00004C080000}"/>
    <hyperlink ref="D2127" r:id="rId2126" xr:uid="{00000000-0004-0000-0100-00004D080000}"/>
    <hyperlink ref="D2128" r:id="rId2127" xr:uid="{00000000-0004-0000-0100-00004E080000}"/>
    <hyperlink ref="D2129" r:id="rId2128" xr:uid="{00000000-0004-0000-0100-00004F080000}"/>
    <hyperlink ref="D2130" r:id="rId2129" xr:uid="{00000000-0004-0000-0100-000050080000}"/>
    <hyperlink ref="D2131" r:id="rId2130" xr:uid="{00000000-0004-0000-0100-000051080000}"/>
    <hyperlink ref="D2132" r:id="rId2131" xr:uid="{00000000-0004-0000-0100-000052080000}"/>
    <hyperlink ref="D2133" r:id="rId2132" xr:uid="{00000000-0004-0000-0100-000053080000}"/>
    <hyperlink ref="D2134" r:id="rId2133" xr:uid="{00000000-0004-0000-0100-000054080000}"/>
    <hyperlink ref="D2135" r:id="rId2134" xr:uid="{00000000-0004-0000-0100-000055080000}"/>
    <hyperlink ref="D2136" r:id="rId2135" xr:uid="{00000000-0004-0000-0100-000056080000}"/>
    <hyperlink ref="D2137" r:id="rId2136" xr:uid="{00000000-0004-0000-0100-000057080000}"/>
    <hyperlink ref="D2138" r:id="rId2137" xr:uid="{00000000-0004-0000-0100-000058080000}"/>
    <hyperlink ref="D2139" r:id="rId2138" xr:uid="{00000000-0004-0000-0100-000059080000}"/>
    <hyperlink ref="D2140" r:id="rId2139" xr:uid="{00000000-0004-0000-0100-00005A080000}"/>
    <hyperlink ref="D2141" r:id="rId2140" xr:uid="{00000000-0004-0000-0100-00005B080000}"/>
    <hyperlink ref="D2142" r:id="rId2141" xr:uid="{00000000-0004-0000-0100-00005C080000}"/>
    <hyperlink ref="D2143" r:id="rId2142" xr:uid="{00000000-0004-0000-0100-00005D080000}"/>
    <hyperlink ref="D2144" r:id="rId2143" xr:uid="{00000000-0004-0000-0100-00005E080000}"/>
    <hyperlink ref="D2145" r:id="rId2144" xr:uid="{00000000-0004-0000-0100-00005F080000}"/>
    <hyperlink ref="D2146" r:id="rId2145" xr:uid="{00000000-0004-0000-0100-000060080000}"/>
    <hyperlink ref="D2147" r:id="rId2146" xr:uid="{00000000-0004-0000-0100-000061080000}"/>
    <hyperlink ref="D2148" r:id="rId2147" xr:uid="{00000000-0004-0000-0100-000062080000}"/>
    <hyperlink ref="D2149" r:id="rId2148" xr:uid="{00000000-0004-0000-0100-000063080000}"/>
    <hyperlink ref="D2150" r:id="rId2149" xr:uid="{00000000-0004-0000-0100-000064080000}"/>
    <hyperlink ref="D2151" r:id="rId2150" xr:uid="{00000000-0004-0000-0100-000065080000}"/>
    <hyperlink ref="D2152" r:id="rId2151" xr:uid="{00000000-0004-0000-0100-000066080000}"/>
    <hyperlink ref="D2153" r:id="rId2152" xr:uid="{00000000-0004-0000-0100-000067080000}"/>
    <hyperlink ref="D2154" r:id="rId2153" xr:uid="{00000000-0004-0000-0100-000068080000}"/>
    <hyperlink ref="D2155" r:id="rId2154" xr:uid="{00000000-0004-0000-0100-000069080000}"/>
    <hyperlink ref="D2156" r:id="rId2155" xr:uid="{00000000-0004-0000-0100-00006A080000}"/>
    <hyperlink ref="D2157" r:id="rId2156" xr:uid="{00000000-0004-0000-0100-00006B080000}"/>
    <hyperlink ref="D2158" r:id="rId2157" xr:uid="{00000000-0004-0000-0100-00006C080000}"/>
    <hyperlink ref="D2159" r:id="rId2158" xr:uid="{00000000-0004-0000-0100-00006D080000}"/>
    <hyperlink ref="D2160" r:id="rId2159" xr:uid="{00000000-0004-0000-0100-00006E080000}"/>
    <hyperlink ref="D2161" r:id="rId2160" xr:uid="{00000000-0004-0000-0100-00006F080000}"/>
    <hyperlink ref="D2162" r:id="rId2161" xr:uid="{00000000-0004-0000-0100-000070080000}"/>
    <hyperlink ref="D2163" r:id="rId2162" xr:uid="{00000000-0004-0000-0100-000071080000}"/>
    <hyperlink ref="D2164" r:id="rId2163" xr:uid="{00000000-0004-0000-0100-000072080000}"/>
    <hyperlink ref="D2165" r:id="rId2164" xr:uid="{00000000-0004-0000-0100-000073080000}"/>
    <hyperlink ref="D2166" r:id="rId2165" xr:uid="{00000000-0004-0000-0100-000074080000}"/>
    <hyperlink ref="D2167" r:id="rId2166" xr:uid="{00000000-0004-0000-0100-000075080000}"/>
    <hyperlink ref="D2168" r:id="rId2167" xr:uid="{00000000-0004-0000-0100-000076080000}"/>
    <hyperlink ref="D2169" r:id="rId2168" xr:uid="{00000000-0004-0000-0100-000077080000}"/>
    <hyperlink ref="D2170" r:id="rId2169" xr:uid="{00000000-0004-0000-0100-000078080000}"/>
    <hyperlink ref="D2171" r:id="rId2170" xr:uid="{00000000-0004-0000-0100-000079080000}"/>
    <hyperlink ref="D2172" r:id="rId2171" xr:uid="{00000000-0004-0000-0100-00007A080000}"/>
    <hyperlink ref="D2173" r:id="rId2172" xr:uid="{00000000-0004-0000-0100-00007B080000}"/>
    <hyperlink ref="D2174" r:id="rId2173" xr:uid="{00000000-0004-0000-0100-00007C080000}"/>
    <hyperlink ref="D2175" r:id="rId2174" xr:uid="{00000000-0004-0000-0100-00007D080000}"/>
    <hyperlink ref="D2176" r:id="rId2175" xr:uid="{00000000-0004-0000-0100-00007E080000}"/>
    <hyperlink ref="D2177" r:id="rId2176" xr:uid="{00000000-0004-0000-0100-00007F080000}"/>
    <hyperlink ref="D2178" r:id="rId2177" xr:uid="{00000000-0004-0000-0100-000080080000}"/>
    <hyperlink ref="D2179" r:id="rId2178" xr:uid="{00000000-0004-0000-0100-000081080000}"/>
    <hyperlink ref="D2180" r:id="rId2179" xr:uid="{00000000-0004-0000-0100-000082080000}"/>
    <hyperlink ref="D2181" r:id="rId2180" xr:uid="{00000000-0004-0000-0100-000083080000}"/>
    <hyperlink ref="D2182" r:id="rId2181" xr:uid="{00000000-0004-0000-0100-000084080000}"/>
    <hyperlink ref="D2183" r:id="rId2182" xr:uid="{00000000-0004-0000-0100-000085080000}"/>
    <hyperlink ref="D2184" r:id="rId2183" xr:uid="{00000000-0004-0000-0100-000086080000}"/>
    <hyperlink ref="D2185" r:id="rId2184" xr:uid="{00000000-0004-0000-0100-000087080000}"/>
    <hyperlink ref="D2186" r:id="rId2185" xr:uid="{00000000-0004-0000-0100-000088080000}"/>
    <hyperlink ref="D2187" r:id="rId2186" xr:uid="{00000000-0004-0000-0100-000089080000}"/>
    <hyperlink ref="D2188" r:id="rId2187" xr:uid="{00000000-0004-0000-0100-00008A080000}"/>
    <hyperlink ref="D2189" r:id="rId2188" xr:uid="{00000000-0004-0000-0100-00008B080000}"/>
    <hyperlink ref="D2190" r:id="rId2189" xr:uid="{00000000-0004-0000-0100-00008C080000}"/>
    <hyperlink ref="D2191" r:id="rId2190" xr:uid="{00000000-0004-0000-0100-00008D080000}"/>
    <hyperlink ref="D2192" r:id="rId2191" xr:uid="{00000000-0004-0000-0100-00008E080000}"/>
    <hyperlink ref="D2193" r:id="rId2192" xr:uid="{00000000-0004-0000-0100-00008F080000}"/>
    <hyperlink ref="D2194" r:id="rId2193" xr:uid="{00000000-0004-0000-0100-000090080000}"/>
    <hyperlink ref="D2195" r:id="rId2194" xr:uid="{00000000-0004-0000-0100-000091080000}"/>
    <hyperlink ref="D2196" r:id="rId2195" xr:uid="{00000000-0004-0000-0100-000092080000}"/>
    <hyperlink ref="D2197" r:id="rId2196" xr:uid="{00000000-0004-0000-0100-000093080000}"/>
    <hyperlink ref="D2198" r:id="rId2197" xr:uid="{00000000-0004-0000-0100-000094080000}"/>
    <hyperlink ref="D2199" r:id="rId2198" xr:uid="{00000000-0004-0000-0100-000095080000}"/>
    <hyperlink ref="D2200" r:id="rId2199" xr:uid="{00000000-0004-0000-0100-000096080000}"/>
    <hyperlink ref="D2201" r:id="rId2200" xr:uid="{00000000-0004-0000-0100-000097080000}"/>
    <hyperlink ref="D2202" r:id="rId2201" xr:uid="{00000000-0004-0000-0100-000098080000}"/>
    <hyperlink ref="D2203" r:id="rId2202" xr:uid="{00000000-0004-0000-0100-000099080000}"/>
    <hyperlink ref="D2204" r:id="rId2203" xr:uid="{00000000-0004-0000-0100-00009A080000}"/>
    <hyperlink ref="D2205" r:id="rId2204" xr:uid="{00000000-0004-0000-0100-00009B080000}"/>
    <hyperlink ref="D2206" r:id="rId2205" xr:uid="{00000000-0004-0000-0100-00009C080000}"/>
    <hyperlink ref="D2207" r:id="rId2206" xr:uid="{00000000-0004-0000-0100-00009D080000}"/>
    <hyperlink ref="D2208" r:id="rId2207" xr:uid="{00000000-0004-0000-0100-00009E080000}"/>
    <hyperlink ref="D2209" r:id="rId2208" xr:uid="{00000000-0004-0000-0100-00009F080000}"/>
    <hyperlink ref="D2210" r:id="rId2209" xr:uid="{00000000-0004-0000-0100-0000A0080000}"/>
    <hyperlink ref="D2211" r:id="rId2210" xr:uid="{00000000-0004-0000-0100-0000A1080000}"/>
    <hyperlink ref="D2212" r:id="rId2211" xr:uid="{00000000-0004-0000-0100-0000A2080000}"/>
    <hyperlink ref="D2213" r:id="rId2212" xr:uid="{00000000-0004-0000-0100-0000A3080000}"/>
    <hyperlink ref="D2214" r:id="rId2213" xr:uid="{00000000-0004-0000-0100-0000A4080000}"/>
    <hyperlink ref="D2215" r:id="rId2214" xr:uid="{00000000-0004-0000-0100-0000A5080000}"/>
    <hyperlink ref="D2216" r:id="rId2215" xr:uid="{00000000-0004-0000-0100-0000A6080000}"/>
    <hyperlink ref="D2217" r:id="rId2216" xr:uid="{00000000-0004-0000-0100-0000A7080000}"/>
    <hyperlink ref="D2218" r:id="rId2217" xr:uid="{00000000-0004-0000-0100-0000A8080000}"/>
    <hyperlink ref="D2219" r:id="rId2218" xr:uid="{00000000-0004-0000-0100-0000A9080000}"/>
    <hyperlink ref="D2220" r:id="rId2219" xr:uid="{00000000-0004-0000-0100-0000AA080000}"/>
    <hyperlink ref="D2221" r:id="rId2220" xr:uid="{00000000-0004-0000-0100-0000AB080000}"/>
    <hyperlink ref="D2222" r:id="rId2221" xr:uid="{00000000-0004-0000-0100-0000AC080000}"/>
    <hyperlink ref="D2223" r:id="rId2222" xr:uid="{00000000-0004-0000-0100-0000AD080000}"/>
    <hyperlink ref="D2224" r:id="rId2223" xr:uid="{00000000-0004-0000-0100-0000AE080000}"/>
    <hyperlink ref="D2225" r:id="rId2224" xr:uid="{00000000-0004-0000-0100-0000AF080000}"/>
    <hyperlink ref="D2226" r:id="rId2225" xr:uid="{00000000-0004-0000-0100-0000B0080000}"/>
    <hyperlink ref="D2227" r:id="rId2226" xr:uid="{00000000-0004-0000-0100-0000B1080000}"/>
    <hyperlink ref="D2228" r:id="rId2227" xr:uid="{00000000-0004-0000-0100-0000B2080000}"/>
    <hyperlink ref="D2229" r:id="rId2228" xr:uid="{00000000-0004-0000-0100-0000B3080000}"/>
    <hyperlink ref="D2230" r:id="rId2229" xr:uid="{00000000-0004-0000-0100-0000B4080000}"/>
    <hyperlink ref="D2231" r:id="rId2230" xr:uid="{00000000-0004-0000-0100-0000B5080000}"/>
    <hyperlink ref="D2232" r:id="rId2231" xr:uid="{00000000-0004-0000-0100-0000B6080000}"/>
    <hyperlink ref="D2233" r:id="rId2232" xr:uid="{00000000-0004-0000-0100-0000B7080000}"/>
    <hyperlink ref="D2234" r:id="rId2233" xr:uid="{00000000-0004-0000-0100-0000B8080000}"/>
    <hyperlink ref="D2235" r:id="rId2234" xr:uid="{00000000-0004-0000-0100-0000B9080000}"/>
    <hyperlink ref="D2236" r:id="rId2235" xr:uid="{00000000-0004-0000-0100-0000BA080000}"/>
    <hyperlink ref="D2237" r:id="rId2236" xr:uid="{00000000-0004-0000-0100-0000BB080000}"/>
    <hyperlink ref="D2238" r:id="rId2237" xr:uid="{00000000-0004-0000-0100-0000BC080000}"/>
    <hyperlink ref="D2239" r:id="rId2238" xr:uid="{00000000-0004-0000-0100-0000BD080000}"/>
    <hyperlink ref="D2240" r:id="rId2239" xr:uid="{00000000-0004-0000-0100-0000BE080000}"/>
    <hyperlink ref="D2241" r:id="rId2240" xr:uid="{00000000-0004-0000-0100-0000BF080000}"/>
    <hyperlink ref="D2242" r:id="rId2241" xr:uid="{00000000-0004-0000-0100-0000C0080000}"/>
    <hyperlink ref="D2243" r:id="rId2242" xr:uid="{00000000-0004-0000-0100-0000C1080000}"/>
    <hyperlink ref="D2244" r:id="rId2243" xr:uid="{00000000-0004-0000-0100-0000C2080000}"/>
    <hyperlink ref="D2245" r:id="rId2244" xr:uid="{00000000-0004-0000-0100-0000C3080000}"/>
    <hyperlink ref="D2246" r:id="rId2245" xr:uid="{00000000-0004-0000-0100-0000C4080000}"/>
    <hyperlink ref="D2247" r:id="rId2246" xr:uid="{00000000-0004-0000-0100-0000C5080000}"/>
    <hyperlink ref="D2248" r:id="rId2247" xr:uid="{00000000-0004-0000-0100-0000C6080000}"/>
    <hyperlink ref="D2249" r:id="rId2248" xr:uid="{00000000-0004-0000-0100-0000C7080000}"/>
    <hyperlink ref="D2250" r:id="rId2249" xr:uid="{00000000-0004-0000-0100-0000C8080000}"/>
    <hyperlink ref="D2251" r:id="rId2250" xr:uid="{00000000-0004-0000-0100-0000C9080000}"/>
    <hyperlink ref="D2252" r:id="rId2251" xr:uid="{00000000-0004-0000-0100-0000CA080000}"/>
    <hyperlink ref="D2253" r:id="rId2252" xr:uid="{00000000-0004-0000-0100-0000CB080000}"/>
    <hyperlink ref="D2254" r:id="rId2253" xr:uid="{00000000-0004-0000-0100-0000CC080000}"/>
    <hyperlink ref="D2255" r:id="rId2254" xr:uid="{00000000-0004-0000-0100-0000CD080000}"/>
    <hyperlink ref="D2256" r:id="rId2255" xr:uid="{00000000-0004-0000-0100-0000CE080000}"/>
    <hyperlink ref="D2257" r:id="rId2256" xr:uid="{00000000-0004-0000-0100-0000CF080000}"/>
    <hyperlink ref="D2258" r:id="rId2257" xr:uid="{00000000-0004-0000-0100-0000D0080000}"/>
    <hyperlink ref="D2259" r:id="rId2258" xr:uid="{00000000-0004-0000-0100-0000D1080000}"/>
    <hyperlink ref="D2260" r:id="rId2259" xr:uid="{00000000-0004-0000-0100-0000D2080000}"/>
    <hyperlink ref="D2261" r:id="rId2260" xr:uid="{00000000-0004-0000-0100-0000D3080000}"/>
    <hyperlink ref="D2262" r:id="rId2261" xr:uid="{00000000-0004-0000-0100-0000D4080000}"/>
    <hyperlink ref="D2263" r:id="rId2262" xr:uid="{00000000-0004-0000-0100-0000D5080000}"/>
    <hyperlink ref="D2264" r:id="rId2263" xr:uid="{00000000-0004-0000-0100-0000D6080000}"/>
    <hyperlink ref="D2265" r:id="rId2264" xr:uid="{00000000-0004-0000-0100-0000D7080000}"/>
    <hyperlink ref="D2266" r:id="rId2265" xr:uid="{00000000-0004-0000-0100-0000D8080000}"/>
    <hyperlink ref="D2267" r:id="rId2266" xr:uid="{00000000-0004-0000-0100-0000D9080000}"/>
    <hyperlink ref="D2268" r:id="rId2267" xr:uid="{00000000-0004-0000-0100-0000DA080000}"/>
    <hyperlink ref="D2269" r:id="rId2268" xr:uid="{00000000-0004-0000-0100-0000DB080000}"/>
    <hyperlink ref="D2270" r:id="rId2269" xr:uid="{00000000-0004-0000-0100-0000DC080000}"/>
    <hyperlink ref="D2271" r:id="rId2270" xr:uid="{00000000-0004-0000-0100-0000DD080000}"/>
    <hyperlink ref="D2272" r:id="rId2271" xr:uid="{00000000-0004-0000-0100-0000DE080000}"/>
    <hyperlink ref="D2273" r:id="rId2272" xr:uid="{00000000-0004-0000-0100-0000DF080000}"/>
    <hyperlink ref="D2274" r:id="rId2273" xr:uid="{00000000-0004-0000-0100-0000E0080000}"/>
    <hyperlink ref="D2275" r:id="rId2274" xr:uid="{00000000-0004-0000-0100-0000E1080000}"/>
    <hyperlink ref="D2276" r:id="rId2275" xr:uid="{00000000-0004-0000-0100-0000E2080000}"/>
    <hyperlink ref="D2277" r:id="rId2276" xr:uid="{00000000-0004-0000-0100-0000E3080000}"/>
    <hyperlink ref="D2278" r:id="rId2277" xr:uid="{00000000-0004-0000-0100-0000E4080000}"/>
    <hyperlink ref="D2279" r:id="rId2278" xr:uid="{00000000-0004-0000-0100-0000E5080000}"/>
    <hyperlink ref="D2280" r:id="rId2279" xr:uid="{00000000-0004-0000-0100-0000E6080000}"/>
    <hyperlink ref="D2281" r:id="rId2280" xr:uid="{00000000-0004-0000-0100-0000E7080000}"/>
    <hyperlink ref="D2282" r:id="rId2281" xr:uid="{00000000-0004-0000-0100-0000E8080000}"/>
    <hyperlink ref="D2283" r:id="rId2282" xr:uid="{00000000-0004-0000-0100-0000E9080000}"/>
    <hyperlink ref="D2284" r:id="rId2283" xr:uid="{00000000-0004-0000-0100-0000EA080000}"/>
    <hyperlink ref="D2285" r:id="rId2284" xr:uid="{00000000-0004-0000-0100-0000EB080000}"/>
    <hyperlink ref="D2286" r:id="rId2285" xr:uid="{00000000-0004-0000-0100-0000EC080000}"/>
    <hyperlink ref="D2287" r:id="rId2286" xr:uid="{00000000-0004-0000-0100-0000ED080000}"/>
    <hyperlink ref="D2288" r:id="rId2287" xr:uid="{00000000-0004-0000-0100-0000EE080000}"/>
    <hyperlink ref="D2289" r:id="rId2288" xr:uid="{00000000-0004-0000-0100-0000EF080000}"/>
    <hyperlink ref="D2290" r:id="rId2289" xr:uid="{00000000-0004-0000-0100-0000F0080000}"/>
    <hyperlink ref="D2291" r:id="rId2290" xr:uid="{00000000-0004-0000-0100-0000F1080000}"/>
    <hyperlink ref="D2292" r:id="rId2291" xr:uid="{00000000-0004-0000-0100-0000F2080000}"/>
    <hyperlink ref="D2293" r:id="rId2292" xr:uid="{00000000-0004-0000-0100-0000F3080000}"/>
    <hyperlink ref="D2294" r:id="rId2293" xr:uid="{00000000-0004-0000-0100-0000F4080000}"/>
    <hyperlink ref="D2295" r:id="rId2294" xr:uid="{00000000-0004-0000-0100-0000F5080000}"/>
    <hyperlink ref="D2296" r:id="rId2295" xr:uid="{00000000-0004-0000-0100-0000F6080000}"/>
    <hyperlink ref="D2297" r:id="rId2296" xr:uid="{00000000-0004-0000-0100-0000F7080000}"/>
    <hyperlink ref="D2298" r:id="rId2297" xr:uid="{00000000-0004-0000-0100-0000F8080000}"/>
    <hyperlink ref="D2299" r:id="rId2298" xr:uid="{00000000-0004-0000-0100-0000F9080000}"/>
    <hyperlink ref="D2300" r:id="rId2299" xr:uid="{00000000-0004-0000-0100-0000FA080000}"/>
    <hyperlink ref="D2301" r:id="rId2300" xr:uid="{00000000-0004-0000-0100-0000FB080000}"/>
    <hyperlink ref="D2302" r:id="rId2301" xr:uid="{00000000-0004-0000-0100-0000FC080000}"/>
    <hyperlink ref="D2303" r:id="rId2302" xr:uid="{00000000-0004-0000-0100-0000FD080000}"/>
    <hyperlink ref="D2304" r:id="rId2303" xr:uid="{00000000-0004-0000-0100-0000FE080000}"/>
    <hyperlink ref="D2305" r:id="rId2304" xr:uid="{00000000-0004-0000-0100-0000FF080000}"/>
    <hyperlink ref="D2306" r:id="rId2305" xr:uid="{00000000-0004-0000-0100-000000090000}"/>
    <hyperlink ref="D2307" r:id="rId2306" xr:uid="{00000000-0004-0000-0100-000001090000}"/>
    <hyperlink ref="D2308" r:id="rId2307" xr:uid="{00000000-0004-0000-0100-000002090000}"/>
    <hyperlink ref="D2309" r:id="rId2308" xr:uid="{00000000-0004-0000-0100-000003090000}"/>
    <hyperlink ref="D2310" r:id="rId2309" xr:uid="{00000000-0004-0000-0100-000004090000}"/>
    <hyperlink ref="D2311" r:id="rId2310" xr:uid="{00000000-0004-0000-0100-000005090000}"/>
    <hyperlink ref="D2312" r:id="rId2311" xr:uid="{00000000-0004-0000-0100-000006090000}"/>
    <hyperlink ref="D2313" r:id="rId2312" xr:uid="{00000000-0004-0000-0100-000007090000}"/>
    <hyperlink ref="D2314" r:id="rId2313" xr:uid="{00000000-0004-0000-0100-000008090000}"/>
    <hyperlink ref="D2315" r:id="rId2314" xr:uid="{00000000-0004-0000-0100-000009090000}"/>
    <hyperlink ref="D2316" r:id="rId2315" xr:uid="{00000000-0004-0000-0100-00000A090000}"/>
    <hyperlink ref="D2317" r:id="rId2316" xr:uid="{00000000-0004-0000-0100-00000B090000}"/>
    <hyperlink ref="D2318" r:id="rId2317" xr:uid="{00000000-0004-0000-0100-00000C090000}"/>
    <hyperlink ref="D2319" r:id="rId2318" xr:uid="{00000000-0004-0000-0100-00000D090000}"/>
    <hyperlink ref="D2320" r:id="rId2319" xr:uid="{00000000-0004-0000-0100-00000E090000}"/>
    <hyperlink ref="D2321" r:id="rId2320" xr:uid="{00000000-0004-0000-0100-00000F090000}"/>
    <hyperlink ref="D2322" r:id="rId2321" xr:uid="{00000000-0004-0000-0100-000010090000}"/>
    <hyperlink ref="D2323" r:id="rId2322" xr:uid="{00000000-0004-0000-0100-000011090000}"/>
    <hyperlink ref="D2324" r:id="rId2323" xr:uid="{00000000-0004-0000-0100-000012090000}"/>
    <hyperlink ref="D2325" r:id="rId2324" xr:uid="{00000000-0004-0000-0100-000013090000}"/>
    <hyperlink ref="D2326" r:id="rId2325" xr:uid="{00000000-0004-0000-0100-000014090000}"/>
    <hyperlink ref="D2327" r:id="rId2326" xr:uid="{00000000-0004-0000-0100-000015090000}"/>
    <hyperlink ref="D2328" r:id="rId2327" xr:uid="{00000000-0004-0000-0100-000016090000}"/>
    <hyperlink ref="D2329" r:id="rId2328" xr:uid="{00000000-0004-0000-0100-000017090000}"/>
    <hyperlink ref="D2330" r:id="rId2329" xr:uid="{00000000-0004-0000-0100-000018090000}"/>
    <hyperlink ref="D2331" r:id="rId2330" xr:uid="{00000000-0004-0000-0100-000019090000}"/>
    <hyperlink ref="D2332" r:id="rId2331" xr:uid="{00000000-0004-0000-0100-00001A090000}"/>
    <hyperlink ref="D2333" r:id="rId2332" xr:uid="{00000000-0004-0000-0100-00001B090000}"/>
    <hyperlink ref="D2334" r:id="rId2333" xr:uid="{00000000-0004-0000-0100-00001C090000}"/>
    <hyperlink ref="D2335" r:id="rId2334" xr:uid="{00000000-0004-0000-0100-00001D090000}"/>
    <hyperlink ref="D2336" r:id="rId2335" xr:uid="{00000000-0004-0000-0100-00001E090000}"/>
    <hyperlink ref="D2337" r:id="rId2336" xr:uid="{00000000-0004-0000-0100-00001F090000}"/>
    <hyperlink ref="D2338" r:id="rId2337" xr:uid="{00000000-0004-0000-0100-000020090000}"/>
    <hyperlink ref="D2339" r:id="rId2338" xr:uid="{00000000-0004-0000-0100-000021090000}"/>
    <hyperlink ref="D2340" r:id="rId2339" xr:uid="{00000000-0004-0000-0100-000022090000}"/>
    <hyperlink ref="D2341" r:id="rId2340" xr:uid="{00000000-0004-0000-0100-000023090000}"/>
    <hyperlink ref="D2342" r:id="rId2341" xr:uid="{00000000-0004-0000-0100-000024090000}"/>
    <hyperlink ref="D2343" r:id="rId2342" xr:uid="{00000000-0004-0000-0100-000025090000}"/>
    <hyperlink ref="D2344" r:id="rId2343" xr:uid="{00000000-0004-0000-0100-000026090000}"/>
    <hyperlink ref="D2345" r:id="rId2344" xr:uid="{00000000-0004-0000-0100-000027090000}"/>
    <hyperlink ref="D2346" r:id="rId2345" xr:uid="{00000000-0004-0000-0100-000028090000}"/>
    <hyperlink ref="D2347" r:id="rId2346" xr:uid="{00000000-0004-0000-0100-000029090000}"/>
    <hyperlink ref="D2348" r:id="rId2347" xr:uid="{00000000-0004-0000-0100-00002A090000}"/>
    <hyperlink ref="D2349" r:id="rId2348" xr:uid="{00000000-0004-0000-0100-00002B090000}"/>
    <hyperlink ref="D2350" r:id="rId2349" xr:uid="{00000000-0004-0000-0100-00002C090000}"/>
    <hyperlink ref="D2351" r:id="rId2350" xr:uid="{00000000-0004-0000-0100-00002D090000}"/>
    <hyperlink ref="D2352" r:id="rId2351" xr:uid="{00000000-0004-0000-0100-00002E090000}"/>
    <hyperlink ref="D2353" r:id="rId2352" xr:uid="{00000000-0004-0000-0100-00002F090000}"/>
    <hyperlink ref="D2354" r:id="rId2353" xr:uid="{00000000-0004-0000-0100-000030090000}"/>
    <hyperlink ref="D2355" r:id="rId2354" xr:uid="{00000000-0004-0000-0100-000031090000}"/>
    <hyperlink ref="D2356" r:id="rId2355" xr:uid="{00000000-0004-0000-0100-000032090000}"/>
    <hyperlink ref="D2357" r:id="rId2356" xr:uid="{00000000-0004-0000-0100-000033090000}"/>
    <hyperlink ref="D2358" r:id="rId2357" xr:uid="{00000000-0004-0000-0100-000034090000}"/>
    <hyperlink ref="D2359" r:id="rId2358" xr:uid="{00000000-0004-0000-0100-000035090000}"/>
    <hyperlink ref="D2360" r:id="rId2359" xr:uid="{00000000-0004-0000-0100-000036090000}"/>
    <hyperlink ref="D2361" r:id="rId2360" xr:uid="{00000000-0004-0000-0100-000037090000}"/>
    <hyperlink ref="D2362" r:id="rId2361" xr:uid="{00000000-0004-0000-0100-000038090000}"/>
    <hyperlink ref="D2363" r:id="rId2362" xr:uid="{00000000-0004-0000-0100-000039090000}"/>
    <hyperlink ref="D2364" r:id="rId2363" xr:uid="{00000000-0004-0000-0100-00003A090000}"/>
    <hyperlink ref="D2365" r:id="rId2364" xr:uid="{00000000-0004-0000-0100-00003B090000}"/>
    <hyperlink ref="D2366" r:id="rId2365" xr:uid="{00000000-0004-0000-0100-00003C090000}"/>
    <hyperlink ref="D2367" r:id="rId2366" xr:uid="{00000000-0004-0000-0100-00003D090000}"/>
    <hyperlink ref="D2368" r:id="rId2367" xr:uid="{00000000-0004-0000-0100-00003E090000}"/>
    <hyperlink ref="D2369" r:id="rId2368" xr:uid="{00000000-0004-0000-0100-00003F090000}"/>
    <hyperlink ref="D2370" r:id="rId2369" xr:uid="{00000000-0004-0000-0100-000040090000}"/>
    <hyperlink ref="D2371" r:id="rId2370" xr:uid="{00000000-0004-0000-0100-000041090000}"/>
    <hyperlink ref="D2372" r:id="rId2371" xr:uid="{00000000-0004-0000-0100-000042090000}"/>
    <hyperlink ref="D2373" r:id="rId2372" xr:uid="{00000000-0004-0000-0100-000043090000}"/>
    <hyperlink ref="D2374" r:id="rId2373" xr:uid="{00000000-0004-0000-0100-000044090000}"/>
    <hyperlink ref="D2375" r:id="rId2374" xr:uid="{00000000-0004-0000-0100-000045090000}"/>
    <hyperlink ref="D2376" r:id="rId2375" xr:uid="{00000000-0004-0000-0100-000046090000}"/>
    <hyperlink ref="D2377" r:id="rId2376" xr:uid="{00000000-0004-0000-0100-000047090000}"/>
    <hyperlink ref="D2378" r:id="rId2377" xr:uid="{00000000-0004-0000-0100-000048090000}"/>
    <hyperlink ref="D2379" r:id="rId2378" xr:uid="{00000000-0004-0000-0100-000049090000}"/>
    <hyperlink ref="D2380" r:id="rId2379" xr:uid="{00000000-0004-0000-0100-00004A090000}"/>
    <hyperlink ref="D2381" r:id="rId2380" xr:uid="{00000000-0004-0000-0100-00004B090000}"/>
    <hyperlink ref="D2382" r:id="rId2381" xr:uid="{00000000-0004-0000-0100-00004C090000}"/>
    <hyperlink ref="D2383" r:id="rId2382" xr:uid="{00000000-0004-0000-0100-00004D090000}"/>
    <hyperlink ref="D2384" r:id="rId2383" xr:uid="{00000000-0004-0000-0100-00004E090000}"/>
    <hyperlink ref="D2385" r:id="rId2384" xr:uid="{00000000-0004-0000-0100-00004F090000}"/>
    <hyperlink ref="D2386" r:id="rId2385" xr:uid="{00000000-0004-0000-0100-000050090000}"/>
    <hyperlink ref="D2387" r:id="rId2386" xr:uid="{00000000-0004-0000-0100-000051090000}"/>
    <hyperlink ref="D2388" r:id="rId2387" xr:uid="{00000000-0004-0000-0100-000052090000}"/>
    <hyperlink ref="D2389" r:id="rId2388" xr:uid="{00000000-0004-0000-0100-000053090000}"/>
    <hyperlink ref="D2390" r:id="rId2389" xr:uid="{00000000-0004-0000-0100-000054090000}"/>
    <hyperlink ref="D2391" r:id="rId2390" xr:uid="{00000000-0004-0000-0100-000055090000}"/>
    <hyperlink ref="D2392" r:id="rId2391" xr:uid="{00000000-0004-0000-0100-000056090000}"/>
    <hyperlink ref="D2393" r:id="rId2392" xr:uid="{00000000-0004-0000-0100-000057090000}"/>
    <hyperlink ref="D2394" r:id="rId2393" xr:uid="{00000000-0004-0000-0100-000058090000}"/>
    <hyperlink ref="D2395" r:id="rId2394" xr:uid="{00000000-0004-0000-0100-000059090000}"/>
    <hyperlink ref="D2396" r:id="rId2395" xr:uid="{00000000-0004-0000-0100-00005A090000}"/>
    <hyperlink ref="D2397" r:id="rId2396" xr:uid="{00000000-0004-0000-0100-00005B090000}"/>
    <hyperlink ref="D2398" r:id="rId2397" xr:uid="{00000000-0004-0000-0100-00005C090000}"/>
    <hyperlink ref="D2399" r:id="rId2398" xr:uid="{00000000-0004-0000-0100-00005D090000}"/>
    <hyperlink ref="D2400" r:id="rId2399" xr:uid="{00000000-0004-0000-0100-00005E090000}"/>
    <hyperlink ref="D2401" r:id="rId2400" xr:uid="{00000000-0004-0000-0100-00005F090000}"/>
    <hyperlink ref="D2402" r:id="rId2401" xr:uid="{00000000-0004-0000-0100-000060090000}"/>
    <hyperlink ref="D2403" r:id="rId2402" xr:uid="{00000000-0004-0000-0100-000061090000}"/>
    <hyperlink ref="D2404" r:id="rId2403" xr:uid="{00000000-0004-0000-0100-000062090000}"/>
    <hyperlink ref="D2405" r:id="rId2404" xr:uid="{00000000-0004-0000-0100-000063090000}"/>
    <hyperlink ref="D2406" r:id="rId2405" xr:uid="{00000000-0004-0000-0100-000064090000}"/>
    <hyperlink ref="D2407" r:id="rId2406" xr:uid="{00000000-0004-0000-0100-000065090000}"/>
    <hyperlink ref="D2408" r:id="rId2407" xr:uid="{00000000-0004-0000-0100-000066090000}"/>
    <hyperlink ref="D2409" r:id="rId2408" xr:uid="{00000000-0004-0000-0100-000067090000}"/>
    <hyperlink ref="D2410" r:id="rId2409" xr:uid="{00000000-0004-0000-0100-000068090000}"/>
    <hyperlink ref="D2411" r:id="rId2410" xr:uid="{00000000-0004-0000-0100-000069090000}"/>
    <hyperlink ref="D2412" r:id="rId2411" xr:uid="{00000000-0004-0000-0100-00006A090000}"/>
    <hyperlink ref="D2413" r:id="rId2412" xr:uid="{00000000-0004-0000-0100-00006B090000}"/>
    <hyperlink ref="D2414" r:id="rId2413" xr:uid="{00000000-0004-0000-0100-00006C090000}"/>
    <hyperlink ref="D2415" r:id="rId2414" xr:uid="{00000000-0004-0000-0100-00006D090000}"/>
    <hyperlink ref="D2416" r:id="rId2415" xr:uid="{00000000-0004-0000-0100-00006E090000}"/>
    <hyperlink ref="D2417" r:id="rId2416" xr:uid="{00000000-0004-0000-0100-00006F090000}"/>
    <hyperlink ref="D2418" r:id="rId2417" xr:uid="{00000000-0004-0000-0100-000070090000}"/>
    <hyperlink ref="D2419" r:id="rId2418" xr:uid="{00000000-0004-0000-0100-000071090000}"/>
    <hyperlink ref="D2420" r:id="rId2419" xr:uid="{00000000-0004-0000-0100-000072090000}"/>
    <hyperlink ref="D2421" r:id="rId2420" xr:uid="{00000000-0004-0000-0100-000073090000}"/>
    <hyperlink ref="D2422" r:id="rId2421" xr:uid="{00000000-0004-0000-0100-000074090000}"/>
    <hyperlink ref="D2423" r:id="rId2422" xr:uid="{00000000-0004-0000-0100-000075090000}"/>
    <hyperlink ref="D2424" r:id="rId2423" xr:uid="{00000000-0004-0000-0100-000076090000}"/>
    <hyperlink ref="D2425" r:id="rId2424" xr:uid="{00000000-0004-0000-0100-000077090000}"/>
    <hyperlink ref="D2426" r:id="rId2425" xr:uid="{00000000-0004-0000-0100-000078090000}"/>
    <hyperlink ref="D2427" r:id="rId2426" xr:uid="{00000000-0004-0000-0100-000079090000}"/>
    <hyperlink ref="D2428" r:id="rId2427" xr:uid="{00000000-0004-0000-0100-00007A090000}"/>
    <hyperlink ref="D2429" r:id="rId2428" xr:uid="{00000000-0004-0000-0100-00007B090000}"/>
    <hyperlink ref="D2430" r:id="rId2429" xr:uid="{00000000-0004-0000-0100-00007C090000}"/>
    <hyperlink ref="D2431" r:id="rId2430" xr:uid="{00000000-0004-0000-0100-00007D090000}"/>
    <hyperlink ref="D2432" r:id="rId2431" xr:uid="{00000000-0004-0000-0100-00007E090000}"/>
    <hyperlink ref="D2433" r:id="rId2432" xr:uid="{00000000-0004-0000-0100-00007F090000}"/>
    <hyperlink ref="D2434" r:id="rId2433" xr:uid="{00000000-0004-0000-0100-000080090000}"/>
    <hyperlink ref="D2435" r:id="rId2434" xr:uid="{00000000-0004-0000-0100-000081090000}"/>
    <hyperlink ref="D2436" r:id="rId2435" xr:uid="{00000000-0004-0000-0100-000082090000}"/>
    <hyperlink ref="D2437" r:id="rId2436" xr:uid="{00000000-0004-0000-0100-000083090000}"/>
    <hyperlink ref="D2438" r:id="rId2437" xr:uid="{00000000-0004-0000-0100-000084090000}"/>
    <hyperlink ref="D2439" r:id="rId2438" xr:uid="{00000000-0004-0000-0100-000085090000}"/>
    <hyperlink ref="D2440" r:id="rId2439" xr:uid="{00000000-0004-0000-0100-000086090000}"/>
    <hyperlink ref="D2441" r:id="rId2440" xr:uid="{00000000-0004-0000-0100-000087090000}"/>
    <hyperlink ref="D2442" r:id="rId2441" xr:uid="{00000000-0004-0000-0100-000088090000}"/>
    <hyperlink ref="D2443" r:id="rId2442" xr:uid="{00000000-0004-0000-0100-000089090000}"/>
    <hyperlink ref="D2444" r:id="rId2443" xr:uid="{00000000-0004-0000-0100-00008A090000}"/>
    <hyperlink ref="D2445" r:id="rId2444" xr:uid="{00000000-0004-0000-0100-00008B090000}"/>
    <hyperlink ref="D2446" r:id="rId2445" xr:uid="{00000000-0004-0000-0100-00008C090000}"/>
    <hyperlink ref="D2447" r:id="rId2446" xr:uid="{00000000-0004-0000-0100-00008D090000}"/>
    <hyperlink ref="D2448" r:id="rId2447" xr:uid="{00000000-0004-0000-0100-00008E090000}"/>
    <hyperlink ref="D2449" r:id="rId2448" xr:uid="{00000000-0004-0000-0100-00008F090000}"/>
    <hyperlink ref="D2450" r:id="rId2449" xr:uid="{00000000-0004-0000-0100-000090090000}"/>
    <hyperlink ref="D2451" r:id="rId2450" xr:uid="{00000000-0004-0000-0100-000091090000}"/>
    <hyperlink ref="D2452" r:id="rId2451" xr:uid="{00000000-0004-0000-0100-000092090000}"/>
    <hyperlink ref="D2453" r:id="rId2452" xr:uid="{00000000-0004-0000-0100-000093090000}"/>
    <hyperlink ref="D2454" r:id="rId2453" xr:uid="{00000000-0004-0000-0100-000094090000}"/>
    <hyperlink ref="D2455" r:id="rId2454" xr:uid="{00000000-0004-0000-0100-000095090000}"/>
    <hyperlink ref="D2456" r:id="rId2455" xr:uid="{00000000-0004-0000-0100-000096090000}"/>
    <hyperlink ref="D2457" r:id="rId2456" xr:uid="{00000000-0004-0000-0100-000097090000}"/>
    <hyperlink ref="D2458" r:id="rId2457" xr:uid="{00000000-0004-0000-0100-000098090000}"/>
    <hyperlink ref="D2459" r:id="rId2458" xr:uid="{00000000-0004-0000-0100-000099090000}"/>
    <hyperlink ref="D2460" r:id="rId2459" xr:uid="{00000000-0004-0000-0100-00009A090000}"/>
    <hyperlink ref="D2461" r:id="rId2460" xr:uid="{00000000-0004-0000-0100-00009B090000}"/>
    <hyperlink ref="D2462" r:id="rId2461" xr:uid="{00000000-0004-0000-0100-00009C090000}"/>
    <hyperlink ref="D2463" r:id="rId2462" xr:uid="{00000000-0004-0000-0100-00009D090000}"/>
    <hyperlink ref="D2464" r:id="rId2463" xr:uid="{00000000-0004-0000-0100-00009E090000}"/>
    <hyperlink ref="D2465" r:id="rId2464" xr:uid="{00000000-0004-0000-0100-00009F090000}"/>
    <hyperlink ref="D2466" r:id="rId2465" xr:uid="{00000000-0004-0000-0100-0000A0090000}"/>
    <hyperlink ref="D2467" r:id="rId2466" xr:uid="{00000000-0004-0000-0100-0000A1090000}"/>
    <hyperlink ref="D2468" r:id="rId2467" xr:uid="{00000000-0004-0000-0100-0000A2090000}"/>
    <hyperlink ref="D2469" r:id="rId2468" xr:uid="{00000000-0004-0000-0100-0000A3090000}"/>
    <hyperlink ref="D2470" r:id="rId2469" xr:uid="{00000000-0004-0000-0100-0000A4090000}"/>
    <hyperlink ref="D2471" r:id="rId2470" xr:uid="{00000000-0004-0000-0100-0000A5090000}"/>
    <hyperlink ref="D2472" r:id="rId2471" xr:uid="{00000000-0004-0000-0100-0000A6090000}"/>
    <hyperlink ref="D2473" r:id="rId2472" xr:uid="{00000000-0004-0000-0100-0000A7090000}"/>
    <hyperlink ref="D2474" r:id="rId2473" xr:uid="{00000000-0004-0000-0100-0000A8090000}"/>
    <hyperlink ref="D2475" r:id="rId2474" xr:uid="{00000000-0004-0000-0100-0000A9090000}"/>
    <hyperlink ref="D2476" r:id="rId2475" xr:uid="{00000000-0004-0000-0100-0000AA090000}"/>
    <hyperlink ref="D2477" r:id="rId2476" xr:uid="{00000000-0004-0000-0100-0000AB090000}"/>
    <hyperlink ref="D2478" r:id="rId2477" xr:uid="{00000000-0004-0000-0100-0000AC090000}"/>
    <hyperlink ref="D2479" r:id="rId2478" xr:uid="{00000000-0004-0000-0100-0000AD090000}"/>
    <hyperlink ref="D2480" r:id="rId2479" xr:uid="{00000000-0004-0000-0100-0000AE090000}"/>
    <hyperlink ref="D2481" r:id="rId2480" xr:uid="{00000000-0004-0000-0100-0000AF090000}"/>
    <hyperlink ref="D2482" r:id="rId2481" xr:uid="{00000000-0004-0000-0100-0000B0090000}"/>
    <hyperlink ref="D2483" r:id="rId2482" xr:uid="{00000000-0004-0000-0100-0000B1090000}"/>
    <hyperlink ref="D2484" r:id="rId2483" xr:uid="{00000000-0004-0000-0100-0000B2090000}"/>
    <hyperlink ref="D2485" r:id="rId2484" xr:uid="{00000000-0004-0000-0100-0000B3090000}"/>
    <hyperlink ref="D2486" r:id="rId2485" xr:uid="{00000000-0004-0000-0100-0000B4090000}"/>
    <hyperlink ref="D2487" r:id="rId2486" xr:uid="{00000000-0004-0000-0100-0000B5090000}"/>
    <hyperlink ref="D2488" r:id="rId2487" xr:uid="{00000000-0004-0000-0100-0000B6090000}"/>
    <hyperlink ref="D2489" r:id="rId2488" xr:uid="{00000000-0004-0000-0100-0000B7090000}"/>
    <hyperlink ref="D2490" r:id="rId2489" xr:uid="{00000000-0004-0000-0100-0000B8090000}"/>
    <hyperlink ref="D2491" r:id="rId2490" xr:uid="{00000000-0004-0000-0100-0000B9090000}"/>
    <hyperlink ref="D2492" r:id="rId2491" xr:uid="{00000000-0004-0000-0100-0000BA090000}"/>
    <hyperlink ref="D2493" r:id="rId2492" xr:uid="{00000000-0004-0000-0100-0000BB090000}"/>
    <hyperlink ref="D2494" r:id="rId2493" xr:uid="{00000000-0004-0000-0100-0000BC090000}"/>
    <hyperlink ref="D2495" r:id="rId2494" xr:uid="{00000000-0004-0000-0100-0000BD090000}"/>
    <hyperlink ref="D2496" r:id="rId2495" xr:uid="{00000000-0004-0000-0100-0000BE090000}"/>
    <hyperlink ref="D2497" r:id="rId2496" xr:uid="{00000000-0004-0000-0100-0000BF090000}"/>
    <hyperlink ref="D2498" r:id="rId2497" xr:uid="{00000000-0004-0000-0100-0000C0090000}"/>
    <hyperlink ref="D2499" r:id="rId2498" xr:uid="{00000000-0004-0000-0100-0000C1090000}"/>
    <hyperlink ref="D2500" r:id="rId2499" xr:uid="{00000000-0004-0000-0100-0000C2090000}"/>
    <hyperlink ref="D2501" r:id="rId2500" xr:uid="{00000000-0004-0000-0100-0000C3090000}"/>
    <hyperlink ref="D2502" r:id="rId2501" xr:uid="{00000000-0004-0000-0100-0000C4090000}"/>
    <hyperlink ref="D2503" r:id="rId2502" xr:uid="{00000000-0004-0000-0100-0000C5090000}"/>
    <hyperlink ref="D2504" r:id="rId2503" xr:uid="{00000000-0004-0000-0100-0000C6090000}"/>
    <hyperlink ref="D2505" r:id="rId2504" xr:uid="{00000000-0004-0000-0100-0000C7090000}"/>
    <hyperlink ref="D2506" r:id="rId2505" xr:uid="{00000000-0004-0000-0100-0000C8090000}"/>
    <hyperlink ref="D2507" r:id="rId2506" xr:uid="{00000000-0004-0000-0100-0000C9090000}"/>
    <hyperlink ref="D2508" r:id="rId2507" xr:uid="{00000000-0004-0000-0100-0000CA090000}"/>
    <hyperlink ref="D2509" r:id="rId2508" xr:uid="{00000000-0004-0000-0100-0000CB090000}"/>
    <hyperlink ref="D2510" r:id="rId2509" xr:uid="{00000000-0004-0000-0100-0000CC090000}"/>
    <hyperlink ref="D2511" r:id="rId2510" xr:uid="{00000000-0004-0000-0100-0000CD090000}"/>
    <hyperlink ref="D2512" r:id="rId2511" xr:uid="{00000000-0004-0000-0100-0000CE090000}"/>
    <hyperlink ref="D2513" r:id="rId2512" xr:uid="{00000000-0004-0000-0100-0000CF090000}"/>
    <hyperlink ref="D2514" r:id="rId2513" xr:uid="{00000000-0004-0000-0100-0000D0090000}"/>
    <hyperlink ref="D2515" r:id="rId2514" xr:uid="{00000000-0004-0000-0100-0000D1090000}"/>
    <hyperlink ref="D2516" r:id="rId2515" xr:uid="{00000000-0004-0000-0100-0000D2090000}"/>
    <hyperlink ref="D2517" r:id="rId2516" xr:uid="{00000000-0004-0000-0100-0000D3090000}"/>
    <hyperlink ref="D2518" r:id="rId2517" xr:uid="{00000000-0004-0000-0100-0000D4090000}"/>
    <hyperlink ref="D2519" r:id="rId2518" xr:uid="{00000000-0004-0000-0100-0000D5090000}"/>
    <hyperlink ref="D2520" r:id="rId2519" xr:uid="{00000000-0004-0000-0100-0000D6090000}"/>
    <hyperlink ref="D2521" r:id="rId2520" xr:uid="{00000000-0004-0000-0100-0000D7090000}"/>
    <hyperlink ref="D2522" r:id="rId2521" xr:uid="{00000000-0004-0000-0100-0000D8090000}"/>
    <hyperlink ref="D2523" r:id="rId2522" xr:uid="{00000000-0004-0000-0100-0000D9090000}"/>
    <hyperlink ref="D2524" r:id="rId2523" xr:uid="{00000000-0004-0000-0100-0000DA090000}"/>
    <hyperlink ref="D2525" r:id="rId2524" xr:uid="{00000000-0004-0000-0100-0000DB090000}"/>
    <hyperlink ref="D2526" r:id="rId2525" xr:uid="{00000000-0004-0000-0100-0000DC090000}"/>
    <hyperlink ref="D2527" r:id="rId2526" xr:uid="{00000000-0004-0000-0100-0000DD090000}"/>
    <hyperlink ref="D2528" r:id="rId2527" xr:uid="{00000000-0004-0000-0100-0000DE090000}"/>
    <hyperlink ref="D2529" r:id="rId2528" xr:uid="{00000000-0004-0000-0100-0000DF090000}"/>
    <hyperlink ref="D2530" r:id="rId2529" xr:uid="{00000000-0004-0000-0100-0000E0090000}"/>
    <hyperlink ref="D2531" r:id="rId2530" xr:uid="{00000000-0004-0000-0100-0000E1090000}"/>
    <hyperlink ref="D2532" r:id="rId2531" xr:uid="{00000000-0004-0000-0100-0000E2090000}"/>
    <hyperlink ref="D2533" r:id="rId2532" xr:uid="{00000000-0004-0000-0100-0000E3090000}"/>
    <hyperlink ref="D2534" r:id="rId2533" xr:uid="{00000000-0004-0000-0100-0000E4090000}"/>
    <hyperlink ref="D2535" r:id="rId2534" xr:uid="{00000000-0004-0000-0100-0000E5090000}"/>
    <hyperlink ref="D2536" r:id="rId2535" xr:uid="{00000000-0004-0000-0100-0000E6090000}"/>
    <hyperlink ref="D2537" r:id="rId2536" xr:uid="{00000000-0004-0000-0100-0000E7090000}"/>
    <hyperlink ref="D2538" r:id="rId2537" xr:uid="{00000000-0004-0000-0100-0000E8090000}"/>
    <hyperlink ref="D2539" r:id="rId2538" xr:uid="{00000000-0004-0000-0100-0000E9090000}"/>
    <hyperlink ref="D2540" r:id="rId2539" xr:uid="{00000000-0004-0000-0100-0000EA090000}"/>
    <hyperlink ref="D2541" r:id="rId2540" xr:uid="{00000000-0004-0000-0100-0000EB090000}"/>
    <hyperlink ref="D2542" r:id="rId2541" xr:uid="{00000000-0004-0000-0100-0000EC090000}"/>
    <hyperlink ref="D2543" r:id="rId2542" xr:uid="{00000000-0004-0000-0100-0000ED090000}"/>
    <hyperlink ref="D2544" r:id="rId2543" xr:uid="{00000000-0004-0000-0100-0000EE090000}"/>
    <hyperlink ref="D2545" r:id="rId2544" xr:uid="{00000000-0004-0000-0100-0000EF090000}"/>
    <hyperlink ref="D2546" r:id="rId2545" xr:uid="{00000000-0004-0000-0100-0000F0090000}"/>
    <hyperlink ref="D2547" r:id="rId2546" xr:uid="{00000000-0004-0000-0100-0000F1090000}"/>
    <hyperlink ref="D2548" r:id="rId2547" xr:uid="{00000000-0004-0000-0100-0000F2090000}"/>
    <hyperlink ref="D2549" r:id="rId2548" xr:uid="{00000000-0004-0000-0100-0000F3090000}"/>
    <hyperlink ref="D2550" r:id="rId2549" xr:uid="{00000000-0004-0000-0100-0000F4090000}"/>
    <hyperlink ref="D2551" r:id="rId2550" xr:uid="{00000000-0004-0000-0100-0000F5090000}"/>
    <hyperlink ref="D2552" r:id="rId2551" xr:uid="{00000000-0004-0000-0100-0000F6090000}"/>
    <hyperlink ref="D2553" r:id="rId2552" xr:uid="{00000000-0004-0000-0100-0000F7090000}"/>
    <hyperlink ref="D2554" r:id="rId2553" xr:uid="{00000000-0004-0000-0100-0000F8090000}"/>
    <hyperlink ref="D2555" r:id="rId2554" xr:uid="{00000000-0004-0000-0100-0000F9090000}"/>
    <hyperlink ref="D2556" r:id="rId2555" xr:uid="{00000000-0004-0000-0100-0000FA090000}"/>
    <hyperlink ref="D2557" r:id="rId2556" xr:uid="{00000000-0004-0000-0100-0000FB090000}"/>
    <hyperlink ref="D2558" r:id="rId2557" xr:uid="{00000000-0004-0000-0100-0000FC090000}"/>
    <hyperlink ref="D2559" r:id="rId2558" xr:uid="{00000000-0004-0000-0100-0000FD090000}"/>
    <hyperlink ref="D2560" r:id="rId2559" xr:uid="{00000000-0004-0000-0100-0000FE090000}"/>
    <hyperlink ref="D2561" r:id="rId2560" xr:uid="{00000000-0004-0000-0100-0000FF090000}"/>
    <hyperlink ref="D2562" r:id="rId2561" xr:uid="{00000000-0004-0000-0100-0000000A0000}"/>
    <hyperlink ref="D2563" r:id="rId2562" xr:uid="{00000000-0004-0000-0100-0000010A0000}"/>
    <hyperlink ref="D2564" r:id="rId2563" xr:uid="{00000000-0004-0000-0100-0000020A0000}"/>
    <hyperlink ref="D2565" r:id="rId2564" xr:uid="{00000000-0004-0000-0100-0000030A0000}"/>
    <hyperlink ref="D2566" r:id="rId2565" xr:uid="{00000000-0004-0000-0100-0000040A0000}"/>
    <hyperlink ref="D2567" r:id="rId2566" xr:uid="{00000000-0004-0000-0100-0000050A0000}"/>
    <hyperlink ref="D2568" r:id="rId2567" xr:uid="{00000000-0004-0000-0100-0000060A0000}"/>
    <hyperlink ref="D2569" r:id="rId2568" xr:uid="{00000000-0004-0000-0100-0000070A0000}"/>
    <hyperlink ref="D2570" r:id="rId2569" xr:uid="{00000000-0004-0000-0100-0000080A0000}"/>
    <hyperlink ref="D2571" r:id="rId2570" xr:uid="{00000000-0004-0000-0100-0000090A0000}"/>
    <hyperlink ref="D2572" r:id="rId2571" xr:uid="{00000000-0004-0000-0100-00000A0A0000}"/>
    <hyperlink ref="D2573" r:id="rId2572" xr:uid="{00000000-0004-0000-0100-00000B0A0000}"/>
    <hyperlink ref="D2574" r:id="rId2573" xr:uid="{00000000-0004-0000-0100-00000C0A0000}"/>
    <hyperlink ref="D2575" r:id="rId2574" xr:uid="{00000000-0004-0000-0100-00000D0A0000}"/>
    <hyperlink ref="D2576" r:id="rId2575" xr:uid="{00000000-0004-0000-0100-00000E0A0000}"/>
    <hyperlink ref="D2577" r:id="rId2576" xr:uid="{00000000-0004-0000-0100-00000F0A0000}"/>
    <hyperlink ref="D2578" r:id="rId2577" xr:uid="{00000000-0004-0000-0100-0000100A0000}"/>
    <hyperlink ref="D2579" r:id="rId2578" xr:uid="{00000000-0004-0000-0100-0000110A0000}"/>
    <hyperlink ref="D2580" r:id="rId2579" xr:uid="{00000000-0004-0000-0100-0000120A0000}"/>
    <hyperlink ref="D2581" r:id="rId2580" xr:uid="{00000000-0004-0000-0100-0000130A0000}"/>
    <hyperlink ref="D2582" r:id="rId2581" xr:uid="{00000000-0004-0000-0100-0000140A0000}"/>
    <hyperlink ref="D2583" r:id="rId2582" xr:uid="{00000000-0004-0000-0100-0000150A0000}"/>
    <hyperlink ref="D2584" r:id="rId2583" xr:uid="{00000000-0004-0000-0100-0000160A0000}"/>
    <hyperlink ref="D2585" r:id="rId2584" xr:uid="{00000000-0004-0000-0100-0000170A0000}"/>
    <hyperlink ref="D2586" r:id="rId2585" xr:uid="{00000000-0004-0000-0100-0000180A0000}"/>
    <hyperlink ref="D2587" r:id="rId2586" xr:uid="{00000000-0004-0000-0100-0000190A0000}"/>
    <hyperlink ref="D2588" r:id="rId2587" xr:uid="{00000000-0004-0000-0100-00001A0A0000}"/>
    <hyperlink ref="D2589" r:id="rId2588" xr:uid="{00000000-0004-0000-0100-00001B0A0000}"/>
    <hyperlink ref="D2590" r:id="rId2589" xr:uid="{00000000-0004-0000-0100-00001C0A0000}"/>
    <hyperlink ref="D2591" r:id="rId2590" xr:uid="{00000000-0004-0000-0100-00001D0A0000}"/>
    <hyperlink ref="D2592" r:id="rId2591" xr:uid="{00000000-0004-0000-0100-00001E0A0000}"/>
    <hyperlink ref="D2593" r:id="rId2592" xr:uid="{00000000-0004-0000-0100-00001F0A0000}"/>
    <hyperlink ref="D2594" r:id="rId2593" xr:uid="{00000000-0004-0000-0100-0000200A0000}"/>
    <hyperlink ref="D2595" r:id="rId2594" xr:uid="{00000000-0004-0000-0100-0000210A0000}"/>
    <hyperlink ref="D2596" r:id="rId2595" xr:uid="{00000000-0004-0000-0100-0000220A0000}"/>
    <hyperlink ref="D2597" r:id="rId2596" xr:uid="{00000000-0004-0000-0100-0000230A0000}"/>
    <hyperlink ref="D2598" r:id="rId2597" xr:uid="{00000000-0004-0000-0100-0000240A0000}"/>
    <hyperlink ref="D2599" r:id="rId2598" xr:uid="{00000000-0004-0000-0100-0000250A0000}"/>
    <hyperlink ref="D2600" r:id="rId2599" xr:uid="{00000000-0004-0000-0100-0000260A0000}"/>
    <hyperlink ref="D2601" r:id="rId2600" xr:uid="{00000000-0004-0000-0100-0000270A0000}"/>
    <hyperlink ref="D2602" r:id="rId2601" xr:uid="{00000000-0004-0000-0100-0000280A0000}"/>
    <hyperlink ref="D2603" r:id="rId2602" xr:uid="{00000000-0004-0000-0100-0000290A0000}"/>
    <hyperlink ref="D2604" r:id="rId2603" xr:uid="{00000000-0004-0000-0100-00002A0A0000}"/>
    <hyperlink ref="D2605" r:id="rId2604" xr:uid="{00000000-0004-0000-0100-00002B0A0000}"/>
    <hyperlink ref="D2606" r:id="rId2605" xr:uid="{00000000-0004-0000-0100-00002C0A0000}"/>
    <hyperlink ref="D2607" r:id="rId2606" xr:uid="{00000000-0004-0000-0100-00002D0A0000}"/>
    <hyperlink ref="D2608" r:id="rId2607" xr:uid="{00000000-0004-0000-0100-00002E0A0000}"/>
    <hyperlink ref="D2609" r:id="rId2608" xr:uid="{00000000-0004-0000-0100-00002F0A0000}"/>
    <hyperlink ref="D2610" r:id="rId2609" xr:uid="{00000000-0004-0000-0100-0000300A0000}"/>
    <hyperlink ref="D2611" r:id="rId2610" xr:uid="{00000000-0004-0000-0100-0000310A0000}"/>
    <hyperlink ref="D2612" r:id="rId2611" xr:uid="{00000000-0004-0000-0100-0000320A0000}"/>
    <hyperlink ref="D2613" r:id="rId2612" xr:uid="{00000000-0004-0000-0100-0000330A0000}"/>
    <hyperlink ref="D2614" r:id="rId2613" xr:uid="{00000000-0004-0000-0100-0000340A0000}"/>
    <hyperlink ref="D2615" r:id="rId2614" xr:uid="{00000000-0004-0000-0100-0000350A0000}"/>
    <hyperlink ref="D2616" r:id="rId2615" xr:uid="{00000000-0004-0000-0100-0000360A0000}"/>
    <hyperlink ref="D2617" r:id="rId2616" xr:uid="{00000000-0004-0000-0100-0000370A0000}"/>
    <hyperlink ref="D2618" r:id="rId2617" xr:uid="{00000000-0004-0000-0100-0000380A0000}"/>
    <hyperlink ref="D2619" r:id="rId2618" xr:uid="{00000000-0004-0000-0100-0000390A0000}"/>
    <hyperlink ref="D2620" r:id="rId2619" xr:uid="{00000000-0004-0000-0100-00003A0A0000}"/>
    <hyperlink ref="D2621" r:id="rId2620" xr:uid="{00000000-0004-0000-0100-00003B0A0000}"/>
    <hyperlink ref="D2622" r:id="rId2621" xr:uid="{00000000-0004-0000-0100-00003C0A0000}"/>
    <hyperlink ref="D2623" r:id="rId2622" xr:uid="{00000000-0004-0000-0100-00003D0A0000}"/>
    <hyperlink ref="D2624" r:id="rId2623" xr:uid="{00000000-0004-0000-0100-00003E0A0000}"/>
    <hyperlink ref="D2625" r:id="rId2624" xr:uid="{00000000-0004-0000-0100-00003F0A0000}"/>
    <hyperlink ref="D2626" r:id="rId2625" xr:uid="{00000000-0004-0000-0100-0000400A0000}"/>
    <hyperlink ref="D2627" r:id="rId2626" xr:uid="{00000000-0004-0000-0100-0000410A0000}"/>
    <hyperlink ref="D2628" r:id="rId2627" xr:uid="{00000000-0004-0000-0100-0000420A0000}"/>
    <hyperlink ref="D2629" r:id="rId2628" xr:uid="{00000000-0004-0000-0100-0000430A0000}"/>
    <hyperlink ref="D2630" r:id="rId2629" xr:uid="{00000000-0004-0000-0100-0000440A0000}"/>
    <hyperlink ref="D2631" r:id="rId2630" xr:uid="{00000000-0004-0000-0100-0000450A0000}"/>
    <hyperlink ref="D2632" r:id="rId2631" xr:uid="{00000000-0004-0000-0100-0000460A0000}"/>
    <hyperlink ref="D2633" r:id="rId2632" xr:uid="{00000000-0004-0000-0100-0000470A0000}"/>
    <hyperlink ref="D2634" r:id="rId2633" xr:uid="{00000000-0004-0000-0100-0000480A0000}"/>
    <hyperlink ref="D2635" r:id="rId2634" xr:uid="{00000000-0004-0000-0100-0000490A0000}"/>
    <hyperlink ref="D2636" r:id="rId2635" xr:uid="{00000000-0004-0000-0100-00004A0A0000}"/>
    <hyperlink ref="D2637" r:id="rId2636" xr:uid="{00000000-0004-0000-0100-00004B0A0000}"/>
    <hyperlink ref="D2638" r:id="rId2637" xr:uid="{00000000-0004-0000-0100-00004C0A0000}"/>
    <hyperlink ref="D2639" r:id="rId2638" xr:uid="{00000000-0004-0000-0100-00004D0A0000}"/>
    <hyperlink ref="D2640" r:id="rId2639" xr:uid="{00000000-0004-0000-0100-00004E0A0000}"/>
    <hyperlink ref="D2641" r:id="rId2640" xr:uid="{00000000-0004-0000-0100-00004F0A0000}"/>
    <hyperlink ref="D2642" r:id="rId2641" xr:uid="{00000000-0004-0000-0100-0000500A0000}"/>
    <hyperlink ref="D2643" r:id="rId2642" xr:uid="{00000000-0004-0000-0100-0000510A0000}"/>
    <hyperlink ref="D2644" r:id="rId2643" xr:uid="{00000000-0004-0000-0100-0000520A0000}"/>
    <hyperlink ref="D2645" r:id="rId2644" xr:uid="{00000000-0004-0000-0100-0000530A0000}"/>
    <hyperlink ref="D2646" r:id="rId2645" xr:uid="{00000000-0004-0000-0100-0000540A0000}"/>
    <hyperlink ref="D2647" r:id="rId2646" xr:uid="{00000000-0004-0000-0100-0000550A0000}"/>
    <hyperlink ref="D2648" r:id="rId2647" xr:uid="{00000000-0004-0000-0100-0000560A0000}"/>
    <hyperlink ref="D2649" r:id="rId2648" xr:uid="{00000000-0004-0000-0100-0000570A0000}"/>
    <hyperlink ref="D2650" r:id="rId2649" xr:uid="{00000000-0004-0000-0100-0000580A0000}"/>
    <hyperlink ref="D2651" r:id="rId2650" xr:uid="{00000000-0004-0000-0100-0000590A0000}"/>
    <hyperlink ref="D2652" r:id="rId2651" xr:uid="{00000000-0004-0000-0100-00005A0A0000}"/>
    <hyperlink ref="D2653" r:id="rId2652" xr:uid="{00000000-0004-0000-0100-00005B0A0000}"/>
    <hyperlink ref="D2654" r:id="rId2653" xr:uid="{00000000-0004-0000-0100-00005C0A0000}"/>
    <hyperlink ref="D2655" r:id="rId2654" xr:uid="{00000000-0004-0000-0100-00005D0A0000}"/>
    <hyperlink ref="D2656" r:id="rId2655" xr:uid="{00000000-0004-0000-0100-00005E0A0000}"/>
    <hyperlink ref="D2657" r:id="rId2656" xr:uid="{00000000-0004-0000-0100-00005F0A0000}"/>
    <hyperlink ref="D2658" r:id="rId2657" xr:uid="{00000000-0004-0000-0100-0000600A0000}"/>
    <hyperlink ref="D2659" r:id="rId2658" xr:uid="{00000000-0004-0000-0100-0000610A0000}"/>
    <hyperlink ref="D2660" r:id="rId2659" xr:uid="{00000000-0004-0000-0100-0000620A0000}"/>
    <hyperlink ref="D2661" r:id="rId2660" xr:uid="{00000000-0004-0000-0100-0000630A0000}"/>
    <hyperlink ref="D2662" r:id="rId2661" xr:uid="{00000000-0004-0000-0100-0000640A0000}"/>
    <hyperlink ref="D2663" r:id="rId2662" xr:uid="{00000000-0004-0000-0100-0000650A0000}"/>
    <hyperlink ref="D2664" r:id="rId2663" xr:uid="{00000000-0004-0000-0100-0000660A0000}"/>
    <hyperlink ref="D2665" r:id="rId2664" xr:uid="{00000000-0004-0000-0100-0000670A0000}"/>
    <hyperlink ref="D2666" r:id="rId2665" xr:uid="{00000000-0004-0000-0100-0000680A0000}"/>
    <hyperlink ref="D2667" r:id="rId2666" xr:uid="{00000000-0004-0000-0100-0000690A0000}"/>
    <hyperlink ref="D2668" r:id="rId2667" xr:uid="{00000000-0004-0000-0100-00006A0A0000}"/>
    <hyperlink ref="D2669" r:id="rId2668" xr:uid="{00000000-0004-0000-0100-00006B0A0000}"/>
    <hyperlink ref="D2670" r:id="rId2669" xr:uid="{00000000-0004-0000-0100-00006C0A0000}"/>
    <hyperlink ref="D2671" r:id="rId2670" xr:uid="{00000000-0004-0000-0100-00006D0A0000}"/>
    <hyperlink ref="D2672" r:id="rId2671" xr:uid="{00000000-0004-0000-0100-00006E0A0000}"/>
    <hyperlink ref="D2673" r:id="rId2672" xr:uid="{00000000-0004-0000-0100-00006F0A0000}"/>
    <hyperlink ref="D2674" r:id="rId2673" xr:uid="{00000000-0004-0000-0100-0000700A0000}"/>
    <hyperlink ref="D2675" r:id="rId2674" xr:uid="{00000000-0004-0000-0100-0000710A0000}"/>
    <hyperlink ref="D2676" r:id="rId2675" xr:uid="{00000000-0004-0000-0100-0000720A0000}"/>
    <hyperlink ref="D2677" r:id="rId2676" xr:uid="{00000000-0004-0000-0100-0000730A0000}"/>
    <hyperlink ref="D2678" r:id="rId2677" xr:uid="{00000000-0004-0000-0100-0000740A0000}"/>
    <hyperlink ref="D2679" r:id="rId2678" xr:uid="{00000000-0004-0000-0100-0000750A0000}"/>
    <hyperlink ref="D2680" r:id="rId2679" xr:uid="{00000000-0004-0000-0100-0000760A0000}"/>
    <hyperlink ref="D2681" r:id="rId2680" xr:uid="{00000000-0004-0000-0100-0000770A0000}"/>
    <hyperlink ref="D2682" r:id="rId2681" xr:uid="{00000000-0004-0000-0100-0000780A0000}"/>
    <hyperlink ref="D2683" r:id="rId2682" xr:uid="{00000000-0004-0000-0100-0000790A0000}"/>
    <hyperlink ref="D2684" r:id="rId2683" xr:uid="{00000000-0004-0000-0100-00007A0A0000}"/>
    <hyperlink ref="D2685" r:id="rId2684" xr:uid="{00000000-0004-0000-0100-00007B0A0000}"/>
    <hyperlink ref="D2686" r:id="rId2685" xr:uid="{00000000-0004-0000-0100-00007C0A0000}"/>
    <hyperlink ref="D2687" r:id="rId2686" xr:uid="{00000000-0004-0000-0100-00007D0A0000}"/>
    <hyperlink ref="D2688" r:id="rId2687" xr:uid="{00000000-0004-0000-0100-00007E0A0000}"/>
    <hyperlink ref="D2689" r:id="rId2688" xr:uid="{00000000-0004-0000-0100-00007F0A0000}"/>
    <hyperlink ref="D2690" r:id="rId2689" xr:uid="{00000000-0004-0000-0100-0000800A0000}"/>
    <hyperlink ref="D2691" r:id="rId2690" xr:uid="{00000000-0004-0000-0100-0000810A0000}"/>
    <hyperlink ref="D2692" r:id="rId2691" xr:uid="{00000000-0004-0000-0100-0000820A0000}"/>
    <hyperlink ref="D2693" r:id="rId2692" xr:uid="{00000000-0004-0000-0100-0000830A0000}"/>
    <hyperlink ref="D2694" r:id="rId2693" xr:uid="{00000000-0004-0000-0100-0000840A0000}"/>
    <hyperlink ref="D2695" r:id="rId2694" xr:uid="{00000000-0004-0000-0100-0000850A0000}"/>
    <hyperlink ref="D2696" r:id="rId2695" xr:uid="{00000000-0004-0000-0100-0000860A0000}"/>
    <hyperlink ref="D2697" r:id="rId2696" xr:uid="{00000000-0004-0000-0100-0000870A0000}"/>
    <hyperlink ref="D2698" r:id="rId2697" xr:uid="{00000000-0004-0000-0100-0000880A0000}"/>
    <hyperlink ref="D2699" r:id="rId2698" xr:uid="{00000000-0004-0000-0100-0000890A0000}"/>
    <hyperlink ref="D2700" r:id="rId2699" xr:uid="{00000000-0004-0000-0100-00008A0A0000}"/>
    <hyperlink ref="D2701" r:id="rId2700" xr:uid="{00000000-0004-0000-0100-00008B0A0000}"/>
    <hyperlink ref="D2702" r:id="rId2701" xr:uid="{00000000-0004-0000-0100-00008C0A0000}"/>
    <hyperlink ref="D2703" r:id="rId2702" xr:uid="{00000000-0004-0000-0100-00008D0A0000}"/>
    <hyperlink ref="D2704" r:id="rId2703" xr:uid="{00000000-0004-0000-0100-00008E0A0000}"/>
    <hyperlink ref="D2705" r:id="rId2704" xr:uid="{00000000-0004-0000-0100-00008F0A0000}"/>
    <hyperlink ref="D2706" r:id="rId2705" xr:uid="{00000000-0004-0000-0100-0000900A0000}"/>
    <hyperlink ref="D2707" r:id="rId2706" xr:uid="{00000000-0004-0000-0100-0000910A0000}"/>
    <hyperlink ref="D2708" r:id="rId2707" xr:uid="{00000000-0004-0000-0100-0000920A0000}"/>
    <hyperlink ref="D2709" r:id="rId2708" xr:uid="{00000000-0004-0000-0100-0000930A0000}"/>
    <hyperlink ref="D2710" r:id="rId2709" xr:uid="{00000000-0004-0000-0100-0000940A0000}"/>
    <hyperlink ref="D2711" r:id="rId2710" xr:uid="{00000000-0004-0000-0100-0000950A0000}"/>
    <hyperlink ref="D2712" r:id="rId2711" xr:uid="{00000000-0004-0000-0100-0000960A0000}"/>
    <hyperlink ref="D2713" r:id="rId2712" xr:uid="{00000000-0004-0000-0100-0000970A0000}"/>
    <hyperlink ref="D2714" r:id="rId2713" xr:uid="{00000000-0004-0000-0100-0000980A0000}"/>
    <hyperlink ref="D2715" r:id="rId2714" xr:uid="{00000000-0004-0000-0100-0000990A0000}"/>
    <hyperlink ref="D2716" r:id="rId2715" xr:uid="{00000000-0004-0000-0100-00009A0A0000}"/>
    <hyperlink ref="D2717" r:id="rId2716" xr:uid="{00000000-0004-0000-0100-00009B0A0000}"/>
    <hyperlink ref="D2718" r:id="rId2717" xr:uid="{00000000-0004-0000-0100-00009C0A0000}"/>
    <hyperlink ref="D2719" r:id="rId2718" xr:uid="{00000000-0004-0000-0100-00009D0A0000}"/>
    <hyperlink ref="D2720" r:id="rId2719" xr:uid="{00000000-0004-0000-0100-00009E0A0000}"/>
    <hyperlink ref="D2721" r:id="rId2720" xr:uid="{00000000-0004-0000-0100-00009F0A0000}"/>
    <hyperlink ref="D2722" r:id="rId2721" xr:uid="{00000000-0004-0000-0100-0000A00A0000}"/>
    <hyperlink ref="D2723" r:id="rId2722" xr:uid="{00000000-0004-0000-0100-0000A10A0000}"/>
    <hyperlink ref="D2724" r:id="rId2723" xr:uid="{00000000-0004-0000-0100-0000A20A0000}"/>
    <hyperlink ref="D2725" r:id="rId2724" xr:uid="{00000000-0004-0000-0100-0000A30A0000}"/>
    <hyperlink ref="D2726" r:id="rId2725" xr:uid="{00000000-0004-0000-0100-0000A40A0000}"/>
    <hyperlink ref="D2727" r:id="rId2726" xr:uid="{00000000-0004-0000-0100-0000A50A0000}"/>
    <hyperlink ref="D2728" r:id="rId2727" xr:uid="{00000000-0004-0000-0100-0000A60A0000}"/>
    <hyperlink ref="D2729" r:id="rId2728" xr:uid="{00000000-0004-0000-0100-0000A70A0000}"/>
    <hyperlink ref="D2730" r:id="rId2729" xr:uid="{00000000-0004-0000-0100-0000A80A0000}"/>
    <hyperlink ref="D2731" r:id="rId2730" xr:uid="{00000000-0004-0000-0100-0000A90A0000}"/>
    <hyperlink ref="D2732" r:id="rId2731" xr:uid="{00000000-0004-0000-0100-0000AA0A0000}"/>
    <hyperlink ref="D2733" r:id="rId2732" xr:uid="{00000000-0004-0000-0100-0000AB0A0000}"/>
    <hyperlink ref="D2734" r:id="rId2733" xr:uid="{00000000-0004-0000-0100-0000AC0A0000}"/>
    <hyperlink ref="D2735" r:id="rId2734" xr:uid="{00000000-0004-0000-0100-0000AD0A0000}"/>
    <hyperlink ref="D2736" r:id="rId2735" xr:uid="{00000000-0004-0000-0100-0000AE0A0000}"/>
    <hyperlink ref="D2737" r:id="rId2736" xr:uid="{00000000-0004-0000-0100-0000AF0A0000}"/>
    <hyperlink ref="D2738" r:id="rId2737" xr:uid="{00000000-0004-0000-0100-0000B00A0000}"/>
    <hyperlink ref="D2739" r:id="rId2738" xr:uid="{00000000-0004-0000-0100-0000B10A0000}"/>
    <hyperlink ref="D2740" r:id="rId2739" xr:uid="{00000000-0004-0000-0100-0000B20A0000}"/>
    <hyperlink ref="D2741" r:id="rId2740" xr:uid="{00000000-0004-0000-0100-0000B30A0000}"/>
    <hyperlink ref="D2742" r:id="rId2741" xr:uid="{00000000-0004-0000-0100-0000B40A0000}"/>
    <hyperlink ref="D2743" r:id="rId2742" xr:uid="{00000000-0004-0000-0100-0000B50A0000}"/>
    <hyperlink ref="D2744" r:id="rId2743" xr:uid="{00000000-0004-0000-0100-0000B60A0000}"/>
    <hyperlink ref="D2745" r:id="rId2744" xr:uid="{00000000-0004-0000-0100-0000B70A0000}"/>
    <hyperlink ref="D2746" r:id="rId2745" xr:uid="{00000000-0004-0000-0100-0000B80A0000}"/>
    <hyperlink ref="D2747" r:id="rId2746" xr:uid="{00000000-0004-0000-0100-0000B90A0000}"/>
    <hyperlink ref="D2748" r:id="rId2747" xr:uid="{00000000-0004-0000-0100-0000BA0A0000}"/>
    <hyperlink ref="D2749" r:id="rId2748" xr:uid="{00000000-0004-0000-0100-0000BB0A0000}"/>
    <hyperlink ref="D2750" r:id="rId2749" xr:uid="{00000000-0004-0000-0100-0000BC0A0000}"/>
    <hyperlink ref="D2751" r:id="rId2750" xr:uid="{00000000-0004-0000-0100-0000BD0A0000}"/>
    <hyperlink ref="D2752" r:id="rId2751" xr:uid="{00000000-0004-0000-0100-0000BE0A0000}"/>
    <hyperlink ref="D2753" r:id="rId2752" xr:uid="{00000000-0004-0000-0100-0000BF0A0000}"/>
    <hyperlink ref="D2754" r:id="rId2753" xr:uid="{00000000-0004-0000-0100-0000C00A0000}"/>
    <hyperlink ref="D2755" r:id="rId2754" xr:uid="{00000000-0004-0000-0100-0000C10A0000}"/>
    <hyperlink ref="D2756" r:id="rId2755" xr:uid="{00000000-0004-0000-0100-0000C20A0000}"/>
    <hyperlink ref="D2757" r:id="rId2756" xr:uid="{00000000-0004-0000-0100-0000C30A0000}"/>
    <hyperlink ref="D2758" r:id="rId2757" xr:uid="{00000000-0004-0000-0100-0000C40A0000}"/>
    <hyperlink ref="D2759" r:id="rId2758" xr:uid="{00000000-0004-0000-0100-0000C50A0000}"/>
    <hyperlink ref="D2760" r:id="rId2759" xr:uid="{00000000-0004-0000-0100-0000C60A0000}"/>
    <hyperlink ref="D2761" r:id="rId2760" xr:uid="{00000000-0004-0000-0100-0000C70A0000}"/>
    <hyperlink ref="D2762" r:id="rId2761" xr:uid="{00000000-0004-0000-0100-0000C80A0000}"/>
    <hyperlink ref="D2763" r:id="rId2762" xr:uid="{00000000-0004-0000-0100-0000C90A0000}"/>
    <hyperlink ref="D2764" r:id="rId2763" xr:uid="{00000000-0004-0000-0100-0000CA0A0000}"/>
    <hyperlink ref="D2765" r:id="rId2764" xr:uid="{00000000-0004-0000-0100-0000CB0A0000}"/>
    <hyperlink ref="D2766" r:id="rId2765" xr:uid="{00000000-0004-0000-0100-0000CC0A0000}"/>
    <hyperlink ref="D2767" r:id="rId2766" xr:uid="{00000000-0004-0000-0100-0000CD0A0000}"/>
    <hyperlink ref="D2768" r:id="rId2767" xr:uid="{00000000-0004-0000-0100-0000CE0A0000}"/>
    <hyperlink ref="D2769" r:id="rId2768" xr:uid="{00000000-0004-0000-0100-0000CF0A0000}"/>
    <hyperlink ref="D2770" r:id="rId2769" xr:uid="{00000000-0004-0000-0100-0000D00A0000}"/>
    <hyperlink ref="D2771" r:id="rId2770" xr:uid="{00000000-0004-0000-0100-0000D10A0000}"/>
    <hyperlink ref="D2772" r:id="rId2771" xr:uid="{00000000-0004-0000-0100-0000D20A0000}"/>
    <hyperlink ref="D2773" r:id="rId2772" xr:uid="{00000000-0004-0000-0100-0000D30A0000}"/>
    <hyperlink ref="D2774" r:id="rId2773" xr:uid="{00000000-0004-0000-0100-0000D40A0000}"/>
    <hyperlink ref="D2775" r:id="rId2774" xr:uid="{00000000-0004-0000-0100-0000D50A0000}"/>
    <hyperlink ref="D2776" r:id="rId2775" xr:uid="{00000000-0004-0000-0100-0000D60A0000}"/>
    <hyperlink ref="D2777" r:id="rId2776" xr:uid="{00000000-0004-0000-0100-0000D70A0000}"/>
    <hyperlink ref="D2778" r:id="rId2777" xr:uid="{00000000-0004-0000-0100-0000D80A0000}"/>
    <hyperlink ref="D2779" r:id="rId2778" xr:uid="{00000000-0004-0000-0100-0000D90A0000}"/>
    <hyperlink ref="D2780" r:id="rId2779" xr:uid="{00000000-0004-0000-0100-0000DA0A0000}"/>
    <hyperlink ref="D2781" r:id="rId2780" xr:uid="{00000000-0004-0000-0100-0000DB0A0000}"/>
    <hyperlink ref="D2782" r:id="rId2781" xr:uid="{00000000-0004-0000-0100-0000DC0A0000}"/>
    <hyperlink ref="D2783" r:id="rId2782" xr:uid="{00000000-0004-0000-0100-0000DD0A0000}"/>
    <hyperlink ref="D2784" r:id="rId2783" xr:uid="{00000000-0004-0000-0100-0000DE0A0000}"/>
    <hyperlink ref="D2785" r:id="rId2784" xr:uid="{00000000-0004-0000-0100-0000DF0A0000}"/>
    <hyperlink ref="D2786" r:id="rId2785" xr:uid="{00000000-0004-0000-0100-0000E00A0000}"/>
    <hyperlink ref="D2787" r:id="rId2786" xr:uid="{00000000-0004-0000-0100-0000E10A0000}"/>
    <hyperlink ref="D2788" r:id="rId2787" xr:uid="{00000000-0004-0000-0100-0000E20A0000}"/>
    <hyperlink ref="D2789" r:id="rId2788" xr:uid="{00000000-0004-0000-0100-0000E30A0000}"/>
    <hyperlink ref="D2790" r:id="rId2789" xr:uid="{00000000-0004-0000-0100-0000E40A0000}"/>
    <hyperlink ref="D2791" r:id="rId2790" xr:uid="{00000000-0004-0000-0100-0000E50A0000}"/>
    <hyperlink ref="D2792" r:id="rId2791" xr:uid="{00000000-0004-0000-0100-0000E60A0000}"/>
    <hyperlink ref="D2793" r:id="rId2792" xr:uid="{00000000-0004-0000-0100-0000E70A0000}"/>
    <hyperlink ref="D2794" r:id="rId2793" xr:uid="{00000000-0004-0000-0100-0000E80A0000}"/>
    <hyperlink ref="D2795" r:id="rId2794" xr:uid="{00000000-0004-0000-0100-0000E90A0000}"/>
    <hyperlink ref="D2796" r:id="rId2795" xr:uid="{00000000-0004-0000-0100-0000EA0A0000}"/>
    <hyperlink ref="D2797" r:id="rId2796" xr:uid="{00000000-0004-0000-0100-0000EB0A0000}"/>
    <hyperlink ref="D2798" r:id="rId2797" xr:uid="{00000000-0004-0000-0100-0000EC0A0000}"/>
    <hyperlink ref="D2799" r:id="rId2798" xr:uid="{00000000-0004-0000-0100-0000ED0A0000}"/>
    <hyperlink ref="D2800" r:id="rId2799" xr:uid="{00000000-0004-0000-0100-0000EE0A0000}"/>
    <hyperlink ref="D2801" r:id="rId2800" xr:uid="{00000000-0004-0000-0100-0000EF0A0000}"/>
    <hyperlink ref="D2802" r:id="rId2801" xr:uid="{00000000-0004-0000-0100-0000F00A0000}"/>
    <hyperlink ref="D2803" r:id="rId2802" xr:uid="{00000000-0004-0000-0100-0000F10A0000}"/>
    <hyperlink ref="D2804" r:id="rId2803" xr:uid="{00000000-0004-0000-0100-0000F20A0000}"/>
    <hyperlink ref="D2805" r:id="rId2804" xr:uid="{00000000-0004-0000-0100-0000F30A0000}"/>
    <hyperlink ref="D2806" r:id="rId2805" xr:uid="{00000000-0004-0000-0100-0000F40A0000}"/>
    <hyperlink ref="D2807" r:id="rId2806" xr:uid="{00000000-0004-0000-0100-0000F50A0000}"/>
    <hyperlink ref="D2808" r:id="rId2807" xr:uid="{00000000-0004-0000-0100-0000F60A0000}"/>
    <hyperlink ref="D2809" r:id="rId2808" xr:uid="{00000000-0004-0000-0100-0000F70A0000}"/>
    <hyperlink ref="D2810" r:id="rId2809" xr:uid="{00000000-0004-0000-0100-0000F80A0000}"/>
    <hyperlink ref="D2811" r:id="rId2810" xr:uid="{00000000-0004-0000-0100-0000F90A0000}"/>
    <hyperlink ref="D2812" r:id="rId2811" xr:uid="{00000000-0004-0000-0100-0000FA0A0000}"/>
    <hyperlink ref="D2813" r:id="rId2812" xr:uid="{00000000-0004-0000-0100-0000FB0A0000}"/>
    <hyperlink ref="D2814" r:id="rId2813" xr:uid="{00000000-0004-0000-0100-0000FC0A0000}"/>
    <hyperlink ref="D2815" r:id="rId2814" xr:uid="{00000000-0004-0000-0100-0000FD0A0000}"/>
    <hyperlink ref="D2816" r:id="rId2815" xr:uid="{00000000-0004-0000-0100-0000FE0A0000}"/>
    <hyperlink ref="D2817" r:id="rId2816" xr:uid="{00000000-0004-0000-0100-0000FF0A0000}"/>
    <hyperlink ref="D2818" r:id="rId2817" xr:uid="{00000000-0004-0000-0100-0000000B0000}"/>
    <hyperlink ref="D2819" r:id="rId2818" xr:uid="{00000000-0004-0000-0100-0000010B0000}"/>
    <hyperlink ref="D2820" r:id="rId2819" xr:uid="{00000000-0004-0000-0100-0000020B0000}"/>
    <hyperlink ref="D2821" r:id="rId2820" xr:uid="{00000000-0004-0000-0100-0000030B0000}"/>
    <hyperlink ref="D2822" r:id="rId2821" xr:uid="{00000000-0004-0000-0100-0000040B0000}"/>
    <hyperlink ref="D2823" r:id="rId2822" xr:uid="{00000000-0004-0000-0100-0000050B0000}"/>
    <hyperlink ref="D2824" r:id="rId2823" xr:uid="{00000000-0004-0000-0100-0000060B0000}"/>
    <hyperlink ref="D2825" r:id="rId2824" xr:uid="{00000000-0004-0000-0100-0000070B0000}"/>
    <hyperlink ref="D2826" r:id="rId2825" xr:uid="{00000000-0004-0000-0100-0000080B0000}"/>
    <hyperlink ref="D2827" r:id="rId2826" xr:uid="{00000000-0004-0000-0100-0000090B0000}"/>
    <hyperlink ref="D2828" r:id="rId2827" xr:uid="{00000000-0004-0000-0100-00000A0B0000}"/>
    <hyperlink ref="D2829" r:id="rId2828" xr:uid="{00000000-0004-0000-0100-00000B0B0000}"/>
    <hyperlink ref="D2830" r:id="rId2829" xr:uid="{00000000-0004-0000-0100-00000C0B0000}"/>
    <hyperlink ref="D2831" r:id="rId2830" xr:uid="{00000000-0004-0000-0100-00000D0B0000}"/>
    <hyperlink ref="D2832" r:id="rId2831" xr:uid="{00000000-0004-0000-0100-00000E0B0000}"/>
    <hyperlink ref="D2833" r:id="rId2832" xr:uid="{00000000-0004-0000-0100-00000F0B0000}"/>
    <hyperlink ref="D2834" r:id="rId2833" xr:uid="{00000000-0004-0000-0100-0000100B0000}"/>
    <hyperlink ref="D2835" r:id="rId2834" xr:uid="{00000000-0004-0000-0100-0000110B0000}"/>
    <hyperlink ref="D2836" r:id="rId2835" xr:uid="{00000000-0004-0000-0100-0000120B0000}"/>
    <hyperlink ref="D2837" r:id="rId2836" xr:uid="{00000000-0004-0000-0100-0000130B0000}"/>
    <hyperlink ref="D2838" r:id="rId2837" xr:uid="{00000000-0004-0000-0100-0000140B0000}"/>
    <hyperlink ref="D2839" r:id="rId2838" xr:uid="{00000000-0004-0000-0100-0000150B0000}"/>
    <hyperlink ref="D2840" r:id="rId2839" xr:uid="{00000000-0004-0000-0100-0000160B0000}"/>
    <hyperlink ref="D2841" r:id="rId2840" xr:uid="{00000000-0004-0000-0100-0000170B0000}"/>
    <hyperlink ref="D2842" r:id="rId2841" xr:uid="{00000000-0004-0000-0100-0000180B0000}"/>
    <hyperlink ref="D2843" r:id="rId2842" xr:uid="{00000000-0004-0000-0100-0000190B0000}"/>
    <hyperlink ref="D2844" r:id="rId2843" xr:uid="{00000000-0004-0000-0100-00001A0B0000}"/>
    <hyperlink ref="D2845" r:id="rId2844" xr:uid="{00000000-0004-0000-0100-00001B0B0000}"/>
    <hyperlink ref="D2846" r:id="rId2845" xr:uid="{00000000-0004-0000-0100-00001C0B0000}"/>
    <hyperlink ref="D2847" r:id="rId2846" xr:uid="{00000000-0004-0000-0100-00001D0B0000}"/>
    <hyperlink ref="D2848" r:id="rId2847" xr:uid="{00000000-0004-0000-0100-00001E0B0000}"/>
    <hyperlink ref="D2849" r:id="rId2848" xr:uid="{00000000-0004-0000-0100-00001F0B0000}"/>
    <hyperlink ref="D2850" r:id="rId2849" xr:uid="{00000000-0004-0000-0100-0000200B0000}"/>
    <hyperlink ref="D2851" r:id="rId2850" xr:uid="{00000000-0004-0000-0100-0000210B0000}"/>
    <hyperlink ref="D2852" r:id="rId2851" xr:uid="{00000000-0004-0000-0100-0000220B0000}"/>
    <hyperlink ref="D2853" r:id="rId2852" xr:uid="{00000000-0004-0000-0100-0000230B0000}"/>
    <hyperlink ref="D2854" r:id="rId2853" xr:uid="{00000000-0004-0000-0100-0000240B0000}"/>
    <hyperlink ref="D2855" r:id="rId2854" xr:uid="{00000000-0004-0000-0100-0000250B0000}"/>
    <hyperlink ref="D2856" r:id="rId2855" xr:uid="{00000000-0004-0000-0100-0000260B0000}"/>
    <hyperlink ref="D2857" r:id="rId2856" xr:uid="{00000000-0004-0000-0100-0000270B0000}"/>
    <hyperlink ref="D2858" r:id="rId2857" xr:uid="{00000000-0004-0000-0100-0000280B0000}"/>
    <hyperlink ref="D2859" r:id="rId2858" xr:uid="{00000000-0004-0000-0100-0000290B0000}"/>
    <hyperlink ref="D2860" r:id="rId2859" xr:uid="{00000000-0004-0000-0100-00002A0B0000}"/>
    <hyperlink ref="D2861" r:id="rId2860" xr:uid="{00000000-0004-0000-0100-00002B0B0000}"/>
    <hyperlink ref="D2862" r:id="rId2861" xr:uid="{00000000-0004-0000-0100-00002C0B0000}"/>
    <hyperlink ref="D2863" r:id="rId2862" xr:uid="{00000000-0004-0000-0100-00002D0B0000}"/>
    <hyperlink ref="D2864" r:id="rId2863" xr:uid="{00000000-0004-0000-0100-00002E0B0000}"/>
    <hyperlink ref="D2865" r:id="rId2864" xr:uid="{00000000-0004-0000-0100-00002F0B0000}"/>
    <hyperlink ref="D2866" r:id="rId2865" xr:uid="{00000000-0004-0000-0100-0000300B0000}"/>
    <hyperlink ref="D2867" r:id="rId2866" xr:uid="{00000000-0004-0000-0100-0000310B0000}"/>
    <hyperlink ref="D2868" r:id="rId2867" xr:uid="{00000000-0004-0000-0100-0000320B0000}"/>
    <hyperlink ref="D2869" r:id="rId2868" xr:uid="{00000000-0004-0000-0100-0000330B0000}"/>
    <hyperlink ref="D2870" r:id="rId2869" xr:uid="{00000000-0004-0000-0100-0000340B0000}"/>
    <hyperlink ref="D2871" r:id="rId2870" xr:uid="{00000000-0004-0000-0100-0000350B0000}"/>
    <hyperlink ref="D2872" r:id="rId2871" xr:uid="{00000000-0004-0000-0100-0000360B0000}"/>
    <hyperlink ref="D2873" r:id="rId2872" xr:uid="{00000000-0004-0000-0100-0000370B0000}"/>
    <hyperlink ref="D2874" r:id="rId2873" xr:uid="{00000000-0004-0000-0100-0000380B0000}"/>
    <hyperlink ref="D2875" r:id="rId2874" xr:uid="{00000000-0004-0000-0100-0000390B0000}"/>
    <hyperlink ref="D2876" r:id="rId2875" xr:uid="{00000000-0004-0000-0100-00003A0B0000}"/>
    <hyperlink ref="D2877" r:id="rId2876" xr:uid="{00000000-0004-0000-0100-00003B0B0000}"/>
    <hyperlink ref="D2878" r:id="rId2877" xr:uid="{00000000-0004-0000-0100-00003C0B0000}"/>
    <hyperlink ref="D2879" r:id="rId2878" xr:uid="{00000000-0004-0000-0100-00003D0B0000}"/>
    <hyperlink ref="D2880" r:id="rId2879" xr:uid="{00000000-0004-0000-0100-00003E0B0000}"/>
    <hyperlink ref="D2881" r:id="rId2880" xr:uid="{00000000-0004-0000-0100-00003F0B0000}"/>
    <hyperlink ref="D2882" r:id="rId2881" xr:uid="{00000000-0004-0000-0100-0000400B0000}"/>
    <hyperlink ref="D2883" r:id="rId2882" xr:uid="{00000000-0004-0000-0100-0000410B0000}"/>
    <hyperlink ref="D2884" r:id="rId2883" xr:uid="{00000000-0004-0000-0100-0000420B0000}"/>
    <hyperlink ref="D2885" r:id="rId2884" xr:uid="{00000000-0004-0000-0100-0000430B0000}"/>
    <hyperlink ref="D2886" r:id="rId2885" xr:uid="{00000000-0004-0000-0100-0000440B0000}"/>
    <hyperlink ref="D2887" r:id="rId2886" xr:uid="{00000000-0004-0000-0100-0000450B0000}"/>
    <hyperlink ref="D2888" r:id="rId2887" xr:uid="{00000000-0004-0000-0100-0000460B0000}"/>
    <hyperlink ref="D2889" r:id="rId2888" xr:uid="{00000000-0004-0000-0100-0000470B0000}"/>
    <hyperlink ref="D2890" r:id="rId2889" xr:uid="{00000000-0004-0000-0100-0000480B0000}"/>
    <hyperlink ref="D2891" r:id="rId2890" xr:uid="{00000000-0004-0000-0100-0000490B0000}"/>
    <hyperlink ref="D2892" r:id="rId2891" xr:uid="{00000000-0004-0000-0100-00004A0B0000}"/>
    <hyperlink ref="D2893" r:id="rId2892" xr:uid="{00000000-0004-0000-0100-00004B0B0000}"/>
    <hyperlink ref="D2894" r:id="rId2893" xr:uid="{00000000-0004-0000-0100-00004C0B0000}"/>
    <hyperlink ref="D2895" r:id="rId2894" xr:uid="{00000000-0004-0000-0100-00004D0B0000}"/>
    <hyperlink ref="D2896" r:id="rId2895" xr:uid="{00000000-0004-0000-0100-00004E0B0000}"/>
    <hyperlink ref="D2897" r:id="rId2896" xr:uid="{00000000-0004-0000-0100-00004F0B0000}"/>
    <hyperlink ref="D2898" r:id="rId2897" xr:uid="{00000000-0004-0000-0100-0000500B0000}"/>
    <hyperlink ref="D2899" r:id="rId2898" xr:uid="{00000000-0004-0000-0100-0000510B0000}"/>
    <hyperlink ref="D2900" r:id="rId2899" xr:uid="{00000000-0004-0000-0100-0000520B0000}"/>
    <hyperlink ref="D2901" r:id="rId2900" xr:uid="{00000000-0004-0000-0100-0000530B0000}"/>
    <hyperlink ref="D2902" r:id="rId2901" xr:uid="{00000000-0004-0000-0100-0000540B0000}"/>
    <hyperlink ref="D2903" r:id="rId2902" xr:uid="{00000000-0004-0000-0100-0000550B0000}"/>
    <hyperlink ref="D2904" r:id="rId2903" xr:uid="{00000000-0004-0000-0100-0000560B0000}"/>
    <hyperlink ref="D2905" r:id="rId2904" xr:uid="{00000000-0004-0000-0100-0000570B0000}"/>
    <hyperlink ref="D2906" r:id="rId2905" xr:uid="{00000000-0004-0000-0100-0000580B0000}"/>
    <hyperlink ref="D2907" r:id="rId2906" xr:uid="{00000000-0004-0000-0100-0000590B0000}"/>
    <hyperlink ref="D2908" r:id="rId2907" xr:uid="{00000000-0004-0000-0100-00005A0B0000}"/>
    <hyperlink ref="D2909" r:id="rId2908" xr:uid="{00000000-0004-0000-0100-00005B0B0000}"/>
    <hyperlink ref="D2910" r:id="rId2909" xr:uid="{00000000-0004-0000-0100-00005C0B0000}"/>
    <hyperlink ref="D2911" r:id="rId2910" xr:uid="{00000000-0004-0000-0100-00005D0B0000}"/>
    <hyperlink ref="D2912" r:id="rId2911" xr:uid="{00000000-0004-0000-0100-00005E0B0000}"/>
    <hyperlink ref="D2913" r:id="rId2912" xr:uid="{00000000-0004-0000-0100-00005F0B0000}"/>
    <hyperlink ref="D2914" r:id="rId2913" xr:uid="{00000000-0004-0000-0100-0000600B0000}"/>
    <hyperlink ref="D2915" r:id="rId2914" xr:uid="{00000000-0004-0000-0100-0000610B0000}"/>
    <hyperlink ref="D2916" r:id="rId2915" xr:uid="{00000000-0004-0000-0100-0000620B0000}"/>
    <hyperlink ref="D2917" r:id="rId2916" xr:uid="{00000000-0004-0000-0100-0000630B0000}"/>
    <hyperlink ref="D2918" r:id="rId2917" xr:uid="{00000000-0004-0000-0100-0000640B0000}"/>
    <hyperlink ref="D2919" r:id="rId2918" xr:uid="{00000000-0004-0000-0100-0000650B0000}"/>
    <hyperlink ref="D2920" r:id="rId2919" xr:uid="{00000000-0004-0000-0100-0000660B0000}"/>
    <hyperlink ref="D2921" r:id="rId2920" xr:uid="{00000000-0004-0000-0100-0000670B0000}"/>
    <hyperlink ref="D2922" r:id="rId2921" xr:uid="{00000000-0004-0000-0100-0000680B0000}"/>
    <hyperlink ref="D2923" r:id="rId2922" xr:uid="{00000000-0004-0000-0100-0000690B0000}"/>
    <hyperlink ref="D2924" r:id="rId2923" xr:uid="{00000000-0004-0000-0100-00006A0B0000}"/>
    <hyperlink ref="D2925" r:id="rId2924" xr:uid="{00000000-0004-0000-0100-00006B0B0000}"/>
    <hyperlink ref="D2926" r:id="rId2925" xr:uid="{00000000-0004-0000-0100-00006C0B0000}"/>
    <hyperlink ref="D2927" r:id="rId2926" xr:uid="{00000000-0004-0000-0100-00006D0B0000}"/>
    <hyperlink ref="D2928" r:id="rId2927" xr:uid="{00000000-0004-0000-0100-00006E0B0000}"/>
    <hyperlink ref="D2929" r:id="rId2928" xr:uid="{00000000-0004-0000-0100-00006F0B0000}"/>
    <hyperlink ref="D2930" r:id="rId2929" xr:uid="{00000000-0004-0000-0100-0000700B0000}"/>
    <hyperlink ref="D2931" r:id="rId2930" xr:uid="{00000000-0004-0000-0100-0000710B0000}"/>
    <hyperlink ref="D2932" r:id="rId2931" xr:uid="{00000000-0004-0000-0100-0000720B0000}"/>
    <hyperlink ref="D2933" r:id="rId2932" xr:uid="{00000000-0004-0000-0100-0000730B0000}"/>
    <hyperlink ref="D2934" r:id="rId2933" xr:uid="{00000000-0004-0000-0100-0000740B0000}"/>
    <hyperlink ref="D2935" r:id="rId2934" xr:uid="{00000000-0004-0000-0100-0000750B0000}"/>
    <hyperlink ref="D2936" r:id="rId2935" xr:uid="{00000000-0004-0000-0100-0000760B0000}"/>
    <hyperlink ref="D2937" r:id="rId2936" xr:uid="{00000000-0004-0000-0100-0000770B0000}"/>
    <hyperlink ref="D2938" r:id="rId2937" xr:uid="{00000000-0004-0000-0100-0000780B0000}"/>
    <hyperlink ref="D2939" r:id="rId2938" xr:uid="{00000000-0004-0000-0100-0000790B0000}"/>
    <hyperlink ref="D2940" r:id="rId2939" xr:uid="{00000000-0004-0000-0100-00007A0B0000}"/>
    <hyperlink ref="D2941" r:id="rId2940" xr:uid="{00000000-0004-0000-0100-00007B0B0000}"/>
    <hyperlink ref="D2942" r:id="rId2941" xr:uid="{00000000-0004-0000-0100-00007C0B0000}"/>
    <hyperlink ref="D2943" r:id="rId2942" xr:uid="{00000000-0004-0000-0100-00007D0B0000}"/>
    <hyperlink ref="D2944" r:id="rId2943" xr:uid="{00000000-0004-0000-0100-00007E0B0000}"/>
    <hyperlink ref="D2945" r:id="rId2944" xr:uid="{00000000-0004-0000-0100-00007F0B0000}"/>
    <hyperlink ref="D2946" r:id="rId2945" xr:uid="{00000000-0004-0000-0100-0000800B0000}"/>
    <hyperlink ref="D2947" r:id="rId2946" xr:uid="{00000000-0004-0000-0100-0000810B0000}"/>
    <hyperlink ref="D2948" r:id="rId2947" xr:uid="{00000000-0004-0000-0100-0000820B0000}"/>
    <hyperlink ref="D2949" r:id="rId2948" xr:uid="{00000000-0004-0000-0100-0000830B0000}"/>
    <hyperlink ref="D2950" r:id="rId2949" xr:uid="{00000000-0004-0000-0100-0000840B0000}"/>
    <hyperlink ref="D2951" r:id="rId2950" xr:uid="{00000000-0004-0000-0100-0000850B0000}"/>
    <hyperlink ref="D2952" r:id="rId2951" xr:uid="{00000000-0004-0000-0100-0000860B0000}"/>
    <hyperlink ref="D2953" r:id="rId2952" xr:uid="{00000000-0004-0000-0100-0000870B0000}"/>
    <hyperlink ref="D2954" r:id="rId2953" xr:uid="{00000000-0004-0000-0100-0000880B0000}"/>
    <hyperlink ref="D2955" r:id="rId2954" xr:uid="{00000000-0004-0000-0100-0000890B0000}"/>
    <hyperlink ref="D2956" r:id="rId2955" xr:uid="{00000000-0004-0000-0100-00008A0B0000}"/>
    <hyperlink ref="D2957" r:id="rId2956" xr:uid="{00000000-0004-0000-0100-00008B0B0000}"/>
    <hyperlink ref="D2958" r:id="rId2957" xr:uid="{00000000-0004-0000-0100-00008C0B0000}"/>
    <hyperlink ref="D2959" r:id="rId2958" xr:uid="{00000000-0004-0000-0100-00008D0B0000}"/>
    <hyperlink ref="D2960" r:id="rId2959" xr:uid="{00000000-0004-0000-0100-00008E0B0000}"/>
    <hyperlink ref="D2961" r:id="rId2960" xr:uid="{00000000-0004-0000-0100-00008F0B0000}"/>
    <hyperlink ref="D2962" r:id="rId2961" xr:uid="{00000000-0004-0000-0100-0000900B0000}"/>
    <hyperlink ref="D2963" r:id="rId2962" xr:uid="{00000000-0004-0000-0100-0000910B0000}"/>
    <hyperlink ref="D2964" r:id="rId2963" xr:uid="{00000000-0004-0000-0100-0000920B0000}"/>
    <hyperlink ref="D2965" r:id="rId2964" xr:uid="{00000000-0004-0000-0100-0000930B0000}"/>
    <hyperlink ref="D2966" r:id="rId2965" xr:uid="{00000000-0004-0000-0100-0000940B0000}"/>
    <hyperlink ref="D2967" r:id="rId2966" xr:uid="{00000000-0004-0000-0100-0000950B0000}"/>
    <hyperlink ref="D2968" r:id="rId2967" xr:uid="{00000000-0004-0000-0100-0000960B0000}"/>
    <hyperlink ref="D2969" r:id="rId2968" xr:uid="{00000000-0004-0000-0100-0000970B0000}"/>
    <hyperlink ref="D2970" r:id="rId2969" xr:uid="{00000000-0004-0000-0100-0000980B0000}"/>
    <hyperlink ref="D2971" r:id="rId2970" xr:uid="{00000000-0004-0000-0100-0000990B0000}"/>
    <hyperlink ref="D2972" r:id="rId2971" xr:uid="{00000000-0004-0000-0100-00009A0B0000}"/>
    <hyperlink ref="D2973" r:id="rId2972" xr:uid="{00000000-0004-0000-0100-00009B0B0000}"/>
    <hyperlink ref="D2974" r:id="rId2973" xr:uid="{00000000-0004-0000-0100-00009C0B0000}"/>
    <hyperlink ref="D2975" r:id="rId2974" xr:uid="{00000000-0004-0000-0100-00009D0B0000}"/>
    <hyperlink ref="D2976" r:id="rId2975" xr:uid="{00000000-0004-0000-0100-00009E0B0000}"/>
    <hyperlink ref="D2977" r:id="rId2976" xr:uid="{00000000-0004-0000-0100-00009F0B0000}"/>
    <hyperlink ref="D2978" r:id="rId2977" xr:uid="{00000000-0004-0000-0100-0000A00B0000}"/>
    <hyperlink ref="D2979" r:id="rId2978" xr:uid="{00000000-0004-0000-0100-0000A10B0000}"/>
    <hyperlink ref="D2980" r:id="rId2979" xr:uid="{00000000-0004-0000-0100-0000A20B0000}"/>
    <hyperlink ref="D2981" r:id="rId2980" xr:uid="{00000000-0004-0000-0100-0000A30B0000}"/>
    <hyperlink ref="D2982" r:id="rId2981" xr:uid="{00000000-0004-0000-0100-0000A40B0000}"/>
    <hyperlink ref="D2983" r:id="rId2982" xr:uid="{00000000-0004-0000-0100-0000A50B0000}"/>
    <hyperlink ref="D2984" r:id="rId2983" xr:uid="{00000000-0004-0000-0100-0000A60B0000}"/>
    <hyperlink ref="D2985" r:id="rId2984" xr:uid="{00000000-0004-0000-0100-0000A70B0000}"/>
    <hyperlink ref="D2986" r:id="rId2985" xr:uid="{00000000-0004-0000-0100-0000A80B0000}"/>
    <hyperlink ref="D2987" r:id="rId2986" xr:uid="{00000000-0004-0000-0100-0000A90B0000}"/>
    <hyperlink ref="D2988" r:id="rId2987" xr:uid="{00000000-0004-0000-0100-0000AA0B0000}"/>
    <hyperlink ref="D2989" r:id="rId2988" xr:uid="{00000000-0004-0000-0100-0000AB0B0000}"/>
    <hyperlink ref="D2990" r:id="rId2989" xr:uid="{00000000-0004-0000-0100-0000AC0B0000}"/>
    <hyperlink ref="D2991" r:id="rId2990" xr:uid="{00000000-0004-0000-0100-0000AD0B0000}"/>
    <hyperlink ref="D2992" r:id="rId2991" xr:uid="{00000000-0004-0000-0100-0000AE0B0000}"/>
    <hyperlink ref="D2993" r:id="rId2992" xr:uid="{00000000-0004-0000-0100-0000AF0B0000}"/>
    <hyperlink ref="D2994" r:id="rId2993" xr:uid="{00000000-0004-0000-0100-0000B00B0000}"/>
    <hyperlink ref="D2995" r:id="rId2994" xr:uid="{00000000-0004-0000-0100-0000B10B0000}"/>
    <hyperlink ref="D2996" r:id="rId2995" xr:uid="{00000000-0004-0000-0100-0000B20B0000}"/>
    <hyperlink ref="D2997" r:id="rId2996" xr:uid="{00000000-0004-0000-0100-0000B30B0000}"/>
    <hyperlink ref="D2998" r:id="rId2997" xr:uid="{00000000-0004-0000-0100-0000B40B0000}"/>
    <hyperlink ref="D2999" r:id="rId2998" xr:uid="{00000000-0004-0000-0100-0000B50B0000}"/>
    <hyperlink ref="D3000" r:id="rId2999" xr:uid="{00000000-0004-0000-0100-0000B60B0000}"/>
    <hyperlink ref="D3001" r:id="rId3000" xr:uid="{00000000-0004-0000-0100-0000B70B0000}"/>
    <hyperlink ref="D3002" r:id="rId3001" xr:uid="{00000000-0004-0000-0100-0000B80B0000}"/>
    <hyperlink ref="D3003" r:id="rId3002" xr:uid="{00000000-0004-0000-0100-0000B90B0000}"/>
    <hyperlink ref="D3004" r:id="rId3003" xr:uid="{00000000-0004-0000-0100-0000BA0B0000}"/>
    <hyperlink ref="D3005" r:id="rId3004" xr:uid="{00000000-0004-0000-0100-0000BB0B0000}"/>
    <hyperlink ref="D3006" r:id="rId3005" xr:uid="{00000000-0004-0000-0100-0000BC0B0000}"/>
    <hyperlink ref="D3007" r:id="rId3006" xr:uid="{00000000-0004-0000-0100-0000BD0B0000}"/>
    <hyperlink ref="D3008" r:id="rId3007" xr:uid="{00000000-0004-0000-0100-0000BE0B0000}"/>
    <hyperlink ref="D3009" r:id="rId3008" xr:uid="{00000000-0004-0000-0100-0000BF0B0000}"/>
    <hyperlink ref="D3010" r:id="rId3009" xr:uid="{00000000-0004-0000-0100-0000C00B0000}"/>
    <hyperlink ref="D3011" r:id="rId3010" xr:uid="{00000000-0004-0000-0100-0000C10B0000}"/>
    <hyperlink ref="D3012" r:id="rId3011" xr:uid="{00000000-0004-0000-0100-0000C20B0000}"/>
    <hyperlink ref="D3013" r:id="rId3012" xr:uid="{00000000-0004-0000-0100-0000C30B0000}"/>
    <hyperlink ref="D3014" r:id="rId3013" xr:uid="{00000000-0004-0000-0100-0000C40B0000}"/>
    <hyperlink ref="D3015" r:id="rId3014" xr:uid="{00000000-0004-0000-0100-0000C50B0000}"/>
    <hyperlink ref="D3016" r:id="rId3015" xr:uid="{00000000-0004-0000-0100-0000C60B0000}"/>
    <hyperlink ref="D3017" r:id="rId3016" xr:uid="{00000000-0004-0000-0100-0000C70B0000}"/>
    <hyperlink ref="D3018" r:id="rId3017" xr:uid="{00000000-0004-0000-0100-0000C80B0000}"/>
    <hyperlink ref="D3019" r:id="rId3018" xr:uid="{00000000-0004-0000-0100-0000C90B0000}"/>
    <hyperlink ref="D3020" r:id="rId3019" xr:uid="{00000000-0004-0000-0100-0000CA0B0000}"/>
    <hyperlink ref="D3021" r:id="rId3020" xr:uid="{00000000-0004-0000-0100-0000CB0B0000}"/>
    <hyperlink ref="D3022" r:id="rId3021" xr:uid="{00000000-0004-0000-0100-0000CC0B0000}"/>
    <hyperlink ref="D3023" r:id="rId3022" xr:uid="{00000000-0004-0000-0100-0000CD0B0000}"/>
    <hyperlink ref="D3024" r:id="rId3023" xr:uid="{00000000-0004-0000-0100-0000CE0B0000}"/>
    <hyperlink ref="D3025" r:id="rId3024" xr:uid="{00000000-0004-0000-0100-0000CF0B0000}"/>
    <hyperlink ref="D3026" r:id="rId3025" xr:uid="{00000000-0004-0000-0100-0000D00B0000}"/>
    <hyperlink ref="D3027" r:id="rId3026" xr:uid="{00000000-0004-0000-0100-0000D10B0000}"/>
    <hyperlink ref="D3028" r:id="rId3027" xr:uid="{00000000-0004-0000-0100-0000D20B0000}"/>
    <hyperlink ref="D3029" r:id="rId3028" xr:uid="{00000000-0004-0000-0100-0000D30B0000}"/>
    <hyperlink ref="D3030" r:id="rId3029" xr:uid="{00000000-0004-0000-0100-0000D40B0000}"/>
    <hyperlink ref="D3031" r:id="rId3030" xr:uid="{00000000-0004-0000-0100-0000D50B0000}"/>
    <hyperlink ref="D3032" r:id="rId3031" xr:uid="{00000000-0004-0000-0100-0000D60B0000}"/>
    <hyperlink ref="D3033" r:id="rId3032" xr:uid="{00000000-0004-0000-0100-0000D70B0000}"/>
    <hyperlink ref="D3034" r:id="rId3033" xr:uid="{00000000-0004-0000-0100-0000D80B0000}"/>
    <hyperlink ref="D3035" r:id="rId3034" xr:uid="{00000000-0004-0000-0100-0000D90B0000}"/>
    <hyperlink ref="D3036" r:id="rId3035" xr:uid="{00000000-0004-0000-0100-0000DA0B0000}"/>
    <hyperlink ref="D3037" r:id="rId3036" xr:uid="{00000000-0004-0000-0100-0000DB0B0000}"/>
    <hyperlink ref="D3038" r:id="rId3037" xr:uid="{00000000-0004-0000-0100-0000DC0B0000}"/>
    <hyperlink ref="D3039" r:id="rId3038" xr:uid="{00000000-0004-0000-0100-0000DD0B0000}"/>
    <hyperlink ref="D3040" r:id="rId3039" xr:uid="{00000000-0004-0000-0100-0000DE0B0000}"/>
    <hyperlink ref="D3041" r:id="rId3040" xr:uid="{00000000-0004-0000-0100-0000DF0B0000}"/>
    <hyperlink ref="D3042" r:id="rId3041" xr:uid="{00000000-0004-0000-0100-0000E00B0000}"/>
    <hyperlink ref="D3043" r:id="rId3042" xr:uid="{00000000-0004-0000-0100-0000E10B0000}"/>
    <hyperlink ref="D3044" r:id="rId3043" xr:uid="{00000000-0004-0000-0100-0000E20B0000}"/>
    <hyperlink ref="D3045" r:id="rId3044" xr:uid="{00000000-0004-0000-0100-0000E30B0000}"/>
    <hyperlink ref="D3046" r:id="rId3045" xr:uid="{00000000-0004-0000-0100-0000E40B0000}"/>
    <hyperlink ref="D3047" r:id="rId3046" xr:uid="{00000000-0004-0000-0100-0000E50B0000}"/>
    <hyperlink ref="D3048" r:id="rId3047" xr:uid="{00000000-0004-0000-0100-0000E60B0000}"/>
    <hyperlink ref="D3049" r:id="rId3048" xr:uid="{00000000-0004-0000-0100-0000E70B0000}"/>
    <hyperlink ref="D3050" r:id="rId3049" xr:uid="{00000000-0004-0000-0100-0000E80B0000}"/>
    <hyperlink ref="D3051" r:id="rId3050" xr:uid="{00000000-0004-0000-0100-0000E90B0000}"/>
    <hyperlink ref="D3052" r:id="rId3051" xr:uid="{00000000-0004-0000-0100-0000EA0B0000}"/>
    <hyperlink ref="D3053" r:id="rId3052" xr:uid="{00000000-0004-0000-0100-0000EB0B0000}"/>
    <hyperlink ref="D3054" r:id="rId3053" xr:uid="{00000000-0004-0000-0100-0000EC0B0000}"/>
    <hyperlink ref="D3055" r:id="rId3054" xr:uid="{00000000-0004-0000-0100-0000ED0B0000}"/>
    <hyperlink ref="D3056" r:id="rId3055" xr:uid="{00000000-0004-0000-0100-0000EE0B0000}"/>
    <hyperlink ref="D3057" r:id="rId3056" xr:uid="{00000000-0004-0000-0100-0000EF0B0000}"/>
    <hyperlink ref="D3058" r:id="rId3057" xr:uid="{00000000-0004-0000-0100-0000F00B0000}"/>
    <hyperlink ref="D3059" r:id="rId3058" xr:uid="{00000000-0004-0000-0100-0000F10B0000}"/>
    <hyperlink ref="D3060" r:id="rId3059" xr:uid="{00000000-0004-0000-0100-0000F20B0000}"/>
    <hyperlink ref="D3061" r:id="rId3060" xr:uid="{00000000-0004-0000-0100-0000F30B0000}"/>
    <hyperlink ref="D3062" r:id="rId3061" xr:uid="{00000000-0004-0000-0100-0000F40B0000}"/>
    <hyperlink ref="D3063" r:id="rId3062" xr:uid="{00000000-0004-0000-0100-0000F50B0000}"/>
    <hyperlink ref="D3064" r:id="rId3063" xr:uid="{00000000-0004-0000-0100-0000F60B0000}"/>
    <hyperlink ref="D3065" r:id="rId3064" xr:uid="{00000000-0004-0000-0100-0000F70B0000}"/>
    <hyperlink ref="D3066" r:id="rId3065" xr:uid="{00000000-0004-0000-0100-0000F80B0000}"/>
    <hyperlink ref="D3067" r:id="rId3066" xr:uid="{00000000-0004-0000-0100-0000F90B0000}"/>
    <hyperlink ref="D3068" r:id="rId3067" xr:uid="{00000000-0004-0000-0100-0000FA0B0000}"/>
    <hyperlink ref="D3069" r:id="rId3068" xr:uid="{00000000-0004-0000-0100-0000FB0B0000}"/>
    <hyperlink ref="D3070" r:id="rId3069" xr:uid="{00000000-0004-0000-0100-0000FC0B0000}"/>
    <hyperlink ref="D3071" r:id="rId3070" xr:uid="{00000000-0004-0000-0100-0000FD0B0000}"/>
    <hyperlink ref="D3072" r:id="rId3071" xr:uid="{00000000-0004-0000-0100-0000FE0B0000}"/>
    <hyperlink ref="D3073" r:id="rId3072" xr:uid="{00000000-0004-0000-0100-0000FF0B0000}"/>
    <hyperlink ref="D3074" r:id="rId3073" xr:uid="{00000000-0004-0000-0100-0000000C0000}"/>
    <hyperlink ref="D3075" r:id="rId3074" xr:uid="{00000000-0004-0000-0100-0000010C0000}"/>
    <hyperlink ref="D3076" r:id="rId3075" xr:uid="{00000000-0004-0000-0100-0000020C0000}"/>
    <hyperlink ref="D3077" r:id="rId3076" xr:uid="{00000000-0004-0000-0100-0000030C0000}"/>
    <hyperlink ref="D3078" r:id="rId3077" xr:uid="{00000000-0004-0000-0100-0000040C0000}"/>
    <hyperlink ref="D3079" r:id="rId3078" xr:uid="{00000000-0004-0000-0100-0000050C0000}"/>
    <hyperlink ref="D3080" r:id="rId3079" xr:uid="{00000000-0004-0000-0100-0000060C0000}"/>
    <hyperlink ref="D3081" r:id="rId3080" xr:uid="{00000000-0004-0000-0100-0000070C0000}"/>
    <hyperlink ref="D3082" r:id="rId3081" xr:uid="{00000000-0004-0000-0100-0000080C0000}"/>
    <hyperlink ref="D3083" r:id="rId3082" xr:uid="{00000000-0004-0000-0100-0000090C0000}"/>
    <hyperlink ref="D3084" r:id="rId3083" xr:uid="{00000000-0004-0000-0100-00000A0C0000}"/>
    <hyperlink ref="D3085" r:id="rId3084" xr:uid="{00000000-0004-0000-0100-00000B0C0000}"/>
    <hyperlink ref="D3086" r:id="rId3085" xr:uid="{00000000-0004-0000-0100-00000C0C0000}"/>
    <hyperlink ref="D3087" r:id="rId3086" xr:uid="{00000000-0004-0000-0100-00000D0C0000}"/>
    <hyperlink ref="D3088" r:id="rId3087" xr:uid="{00000000-0004-0000-0100-00000E0C0000}"/>
    <hyperlink ref="D3089" r:id="rId3088" xr:uid="{00000000-0004-0000-0100-00000F0C0000}"/>
    <hyperlink ref="D3090" r:id="rId3089" xr:uid="{00000000-0004-0000-0100-0000100C0000}"/>
    <hyperlink ref="D3091" r:id="rId3090" xr:uid="{00000000-0004-0000-0100-0000110C0000}"/>
    <hyperlink ref="D3092" r:id="rId3091" xr:uid="{00000000-0004-0000-0100-0000120C0000}"/>
    <hyperlink ref="D3093" r:id="rId3092" xr:uid="{00000000-0004-0000-0100-0000130C0000}"/>
    <hyperlink ref="D3094" r:id="rId3093" xr:uid="{00000000-0004-0000-0100-0000140C0000}"/>
    <hyperlink ref="D3095" r:id="rId3094" xr:uid="{00000000-0004-0000-0100-0000150C0000}"/>
    <hyperlink ref="D3096" r:id="rId3095" xr:uid="{00000000-0004-0000-0100-0000160C0000}"/>
    <hyperlink ref="D3097" r:id="rId3096" xr:uid="{00000000-0004-0000-0100-0000170C0000}"/>
    <hyperlink ref="D3098" r:id="rId3097" xr:uid="{00000000-0004-0000-0100-0000180C0000}"/>
    <hyperlink ref="D3099" r:id="rId3098" xr:uid="{00000000-0004-0000-0100-0000190C0000}"/>
    <hyperlink ref="D3100" r:id="rId3099" xr:uid="{00000000-0004-0000-0100-00001A0C0000}"/>
    <hyperlink ref="D3101" r:id="rId3100" xr:uid="{00000000-0004-0000-0100-00001B0C0000}"/>
    <hyperlink ref="D3102" r:id="rId3101" xr:uid="{00000000-0004-0000-0100-00001C0C0000}"/>
    <hyperlink ref="D3103" r:id="rId3102" xr:uid="{00000000-0004-0000-0100-00001D0C0000}"/>
    <hyperlink ref="D3104" r:id="rId3103" xr:uid="{00000000-0004-0000-0100-00001E0C0000}"/>
    <hyperlink ref="D3105" r:id="rId3104" xr:uid="{00000000-0004-0000-0100-00001F0C0000}"/>
    <hyperlink ref="D3106" r:id="rId3105" xr:uid="{00000000-0004-0000-0100-0000200C0000}"/>
    <hyperlink ref="D3107" r:id="rId3106" xr:uid="{00000000-0004-0000-0100-0000210C0000}"/>
    <hyperlink ref="D3108" r:id="rId3107" xr:uid="{00000000-0004-0000-0100-0000220C0000}"/>
    <hyperlink ref="D3109" r:id="rId3108" xr:uid="{00000000-0004-0000-0100-0000230C0000}"/>
    <hyperlink ref="D3110" r:id="rId3109" xr:uid="{00000000-0004-0000-0100-0000240C0000}"/>
    <hyperlink ref="D3111" r:id="rId3110" xr:uid="{00000000-0004-0000-0100-0000250C0000}"/>
    <hyperlink ref="D3112" r:id="rId3111" xr:uid="{00000000-0004-0000-0100-0000260C0000}"/>
    <hyperlink ref="D3113" r:id="rId3112" xr:uid="{00000000-0004-0000-0100-0000270C0000}"/>
    <hyperlink ref="D3114" r:id="rId3113" xr:uid="{00000000-0004-0000-0100-0000280C0000}"/>
    <hyperlink ref="D3115" r:id="rId3114" xr:uid="{00000000-0004-0000-0100-0000290C0000}"/>
    <hyperlink ref="D3116" r:id="rId3115" xr:uid="{00000000-0004-0000-0100-00002A0C0000}"/>
    <hyperlink ref="D3117" r:id="rId3116" xr:uid="{00000000-0004-0000-0100-00002B0C0000}"/>
    <hyperlink ref="D3118" r:id="rId3117" xr:uid="{00000000-0004-0000-0100-00002C0C0000}"/>
    <hyperlink ref="D3119" r:id="rId3118" xr:uid="{00000000-0004-0000-0100-00002D0C0000}"/>
    <hyperlink ref="D3120" r:id="rId3119" xr:uid="{00000000-0004-0000-0100-00002E0C0000}"/>
    <hyperlink ref="D3121" r:id="rId3120" xr:uid="{00000000-0004-0000-0100-00002F0C0000}"/>
    <hyperlink ref="D3122" r:id="rId3121" xr:uid="{00000000-0004-0000-0100-0000300C0000}"/>
    <hyperlink ref="D3123" r:id="rId3122" xr:uid="{00000000-0004-0000-0100-0000310C0000}"/>
    <hyperlink ref="D3124" r:id="rId3123" xr:uid="{00000000-0004-0000-0100-0000320C0000}"/>
    <hyperlink ref="D3125" r:id="rId3124" xr:uid="{00000000-0004-0000-0100-0000330C0000}"/>
    <hyperlink ref="D3126" r:id="rId3125" xr:uid="{00000000-0004-0000-0100-0000340C0000}"/>
    <hyperlink ref="D3127" r:id="rId3126" xr:uid="{00000000-0004-0000-0100-0000350C0000}"/>
    <hyperlink ref="D3128" r:id="rId3127" xr:uid="{00000000-0004-0000-0100-0000360C0000}"/>
    <hyperlink ref="D3129" r:id="rId3128" xr:uid="{00000000-0004-0000-0100-0000370C0000}"/>
    <hyperlink ref="D3130" r:id="rId3129" xr:uid="{00000000-0004-0000-0100-0000380C0000}"/>
    <hyperlink ref="D3131" r:id="rId3130" xr:uid="{00000000-0004-0000-0100-0000390C0000}"/>
    <hyperlink ref="D3132" r:id="rId3131" xr:uid="{00000000-0004-0000-0100-00003A0C0000}"/>
    <hyperlink ref="D3133" r:id="rId3132" xr:uid="{00000000-0004-0000-0100-00003B0C0000}"/>
    <hyperlink ref="D3134" r:id="rId3133" xr:uid="{00000000-0004-0000-0100-00003C0C0000}"/>
    <hyperlink ref="D3135" r:id="rId3134" xr:uid="{00000000-0004-0000-0100-00003D0C0000}"/>
    <hyperlink ref="D3136" r:id="rId3135" xr:uid="{00000000-0004-0000-0100-00003E0C0000}"/>
    <hyperlink ref="D3137" r:id="rId3136" xr:uid="{00000000-0004-0000-0100-00003F0C0000}"/>
    <hyperlink ref="D3138" r:id="rId3137" xr:uid="{00000000-0004-0000-0100-0000400C0000}"/>
    <hyperlink ref="D3139" r:id="rId3138" xr:uid="{00000000-0004-0000-0100-0000410C0000}"/>
    <hyperlink ref="D3140" r:id="rId3139" xr:uid="{00000000-0004-0000-0100-0000420C0000}"/>
    <hyperlink ref="D3141" r:id="rId3140" xr:uid="{00000000-0004-0000-0100-0000430C0000}"/>
    <hyperlink ref="D3142" r:id="rId3141" xr:uid="{00000000-0004-0000-0100-0000440C0000}"/>
    <hyperlink ref="D3143" r:id="rId3142" xr:uid="{00000000-0004-0000-0100-0000450C0000}"/>
    <hyperlink ref="D3144" r:id="rId3143" xr:uid="{00000000-0004-0000-0100-0000460C0000}"/>
    <hyperlink ref="D3145" r:id="rId3144" xr:uid="{00000000-0004-0000-0100-0000470C0000}"/>
    <hyperlink ref="D3146" r:id="rId3145" xr:uid="{00000000-0004-0000-0100-0000480C0000}"/>
    <hyperlink ref="D3147" r:id="rId3146" xr:uid="{00000000-0004-0000-0100-0000490C0000}"/>
    <hyperlink ref="D3148" r:id="rId3147" xr:uid="{00000000-0004-0000-0100-00004A0C0000}"/>
    <hyperlink ref="D3149" r:id="rId3148" xr:uid="{00000000-0004-0000-0100-00004B0C0000}"/>
    <hyperlink ref="D3150" r:id="rId3149" xr:uid="{00000000-0004-0000-0100-00004C0C0000}"/>
    <hyperlink ref="D3151" r:id="rId3150" xr:uid="{00000000-0004-0000-0100-00004D0C0000}"/>
    <hyperlink ref="D3152" r:id="rId3151" xr:uid="{00000000-0004-0000-0100-00004E0C0000}"/>
    <hyperlink ref="D3153" r:id="rId3152" xr:uid="{00000000-0004-0000-0100-00004F0C0000}"/>
    <hyperlink ref="D3154" r:id="rId3153" xr:uid="{00000000-0004-0000-0100-0000500C0000}"/>
    <hyperlink ref="D3155" r:id="rId3154" xr:uid="{00000000-0004-0000-0100-0000510C0000}"/>
    <hyperlink ref="D3156" r:id="rId3155" xr:uid="{00000000-0004-0000-0100-0000520C0000}"/>
    <hyperlink ref="D3157" r:id="rId3156" xr:uid="{00000000-0004-0000-0100-0000530C0000}"/>
    <hyperlink ref="D3158" r:id="rId3157" xr:uid="{00000000-0004-0000-0100-0000540C0000}"/>
    <hyperlink ref="D3159" r:id="rId3158" xr:uid="{00000000-0004-0000-0100-0000550C0000}"/>
    <hyperlink ref="D3160" r:id="rId3159" xr:uid="{00000000-0004-0000-0100-0000560C0000}"/>
    <hyperlink ref="D3161" r:id="rId3160" xr:uid="{00000000-0004-0000-0100-0000570C0000}"/>
    <hyperlink ref="D3162" r:id="rId3161" xr:uid="{00000000-0004-0000-0100-0000580C0000}"/>
    <hyperlink ref="D3163" r:id="rId3162" xr:uid="{00000000-0004-0000-0100-0000590C0000}"/>
    <hyperlink ref="D3164" r:id="rId3163" xr:uid="{00000000-0004-0000-0100-00005A0C0000}"/>
    <hyperlink ref="D3165" r:id="rId3164" xr:uid="{00000000-0004-0000-0100-00005B0C0000}"/>
    <hyperlink ref="D3166" r:id="rId3165" xr:uid="{00000000-0004-0000-0100-00005C0C0000}"/>
    <hyperlink ref="D3167" r:id="rId3166" xr:uid="{00000000-0004-0000-0100-00005D0C0000}"/>
    <hyperlink ref="D3168" r:id="rId3167" xr:uid="{00000000-0004-0000-0100-00005E0C0000}"/>
    <hyperlink ref="D3169" r:id="rId3168" xr:uid="{00000000-0004-0000-0100-00005F0C0000}"/>
    <hyperlink ref="D3170" r:id="rId3169" xr:uid="{00000000-0004-0000-0100-0000600C0000}"/>
    <hyperlink ref="D3171" r:id="rId3170" xr:uid="{00000000-0004-0000-0100-0000610C0000}"/>
    <hyperlink ref="D3172" r:id="rId3171" xr:uid="{00000000-0004-0000-0100-0000620C0000}"/>
    <hyperlink ref="D3173" r:id="rId3172" xr:uid="{00000000-0004-0000-0100-0000630C0000}"/>
    <hyperlink ref="D3174" r:id="rId3173" xr:uid="{00000000-0004-0000-0100-0000640C0000}"/>
    <hyperlink ref="D3175" r:id="rId3174" xr:uid="{00000000-0004-0000-0100-0000650C0000}"/>
    <hyperlink ref="D3176" r:id="rId3175" xr:uid="{00000000-0004-0000-0100-0000660C0000}"/>
    <hyperlink ref="D3177" r:id="rId3176" xr:uid="{00000000-0004-0000-0100-0000670C0000}"/>
    <hyperlink ref="D3178" r:id="rId3177" xr:uid="{00000000-0004-0000-0100-0000680C0000}"/>
    <hyperlink ref="D3179" r:id="rId3178" xr:uid="{00000000-0004-0000-0100-0000690C0000}"/>
    <hyperlink ref="D3180" r:id="rId3179" xr:uid="{00000000-0004-0000-0100-00006A0C0000}"/>
    <hyperlink ref="D3181" r:id="rId3180" xr:uid="{00000000-0004-0000-0100-00006B0C0000}"/>
    <hyperlink ref="D3182" r:id="rId3181" xr:uid="{00000000-0004-0000-0100-00006C0C0000}"/>
    <hyperlink ref="D3183" r:id="rId3182" xr:uid="{00000000-0004-0000-0100-00006D0C0000}"/>
    <hyperlink ref="D3184" r:id="rId3183" xr:uid="{00000000-0004-0000-0100-00006E0C0000}"/>
    <hyperlink ref="D3185" r:id="rId3184" xr:uid="{00000000-0004-0000-0100-00006F0C0000}"/>
    <hyperlink ref="D3186" r:id="rId3185" xr:uid="{00000000-0004-0000-0100-0000700C0000}"/>
    <hyperlink ref="D3187" r:id="rId3186" xr:uid="{00000000-0004-0000-0100-0000710C0000}"/>
    <hyperlink ref="D3188" r:id="rId3187" xr:uid="{00000000-0004-0000-0100-0000720C0000}"/>
    <hyperlink ref="D3189" r:id="rId3188" xr:uid="{00000000-0004-0000-0100-0000730C0000}"/>
    <hyperlink ref="D3190" r:id="rId3189" xr:uid="{00000000-0004-0000-0100-0000740C0000}"/>
    <hyperlink ref="D3191" r:id="rId3190" xr:uid="{00000000-0004-0000-0100-0000750C0000}"/>
    <hyperlink ref="D3192" r:id="rId3191" xr:uid="{00000000-0004-0000-0100-0000760C0000}"/>
    <hyperlink ref="D3193" r:id="rId3192" xr:uid="{00000000-0004-0000-0100-0000770C0000}"/>
    <hyperlink ref="D3194" r:id="rId3193" xr:uid="{00000000-0004-0000-0100-0000780C0000}"/>
    <hyperlink ref="D3195" r:id="rId3194" xr:uid="{00000000-0004-0000-0100-0000790C0000}"/>
    <hyperlink ref="D3196" r:id="rId3195" xr:uid="{00000000-0004-0000-0100-00007A0C0000}"/>
    <hyperlink ref="D3197" r:id="rId3196" xr:uid="{00000000-0004-0000-0100-00007B0C0000}"/>
    <hyperlink ref="D3198" r:id="rId3197" xr:uid="{00000000-0004-0000-0100-00007C0C0000}"/>
    <hyperlink ref="D3199" r:id="rId3198" xr:uid="{00000000-0004-0000-0100-00007D0C0000}"/>
    <hyperlink ref="D3200" r:id="rId3199" xr:uid="{00000000-0004-0000-0100-00007E0C0000}"/>
    <hyperlink ref="D3201" r:id="rId3200" xr:uid="{00000000-0004-0000-0100-00007F0C0000}"/>
    <hyperlink ref="D3202" r:id="rId3201" xr:uid="{00000000-0004-0000-0100-0000800C0000}"/>
    <hyperlink ref="D3203" r:id="rId3202" xr:uid="{00000000-0004-0000-0100-0000810C0000}"/>
    <hyperlink ref="D3204" r:id="rId3203" xr:uid="{00000000-0004-0000-0100-0000820C0000}"/>
    <hyperlink ref="D3205" r:id="rId3204" xr:uid="{00000000-0004-0000-0100-0000830C0000}"/>
    <hyperlink ref="D3206" r:id="rId3205" xr:uid="{00000000-0004-0000-0100-0000840C0000}"/>
    <hyperlink ref="D3207" r:id="rId3206" xr:uid="{00000000-0004-0000-0100-0000850C0000}"/>
    <hyperlink ref="D3208" r:id="rId3207" xr:uid="{00000000-0004-0000-0100-0000860C0000}"/>
    <hyperlink ref="D3209" r:id="rId3208" xr:uid="{00000000-0004-0000-0100-0000870C0000}"/>
    <hyperlink ref="D3210" r:id="rId3209" xr:uid="{00000000-0004-0000-0100-0000880C0000}"/>
    <hyperlink ref="D3211" r:id="rId3210" xr:uid="{00000000-0004-0000-0100-0000890C0000}"/>
    <hyperlink ref="D3212" r:id="rId3211" xr:uid="{00000000-0004-0000-0100-00008A0C0000}"/>
    <hyperlink ref="D3213" r:id="rId3212" xr:uid="{00000000-0004-0000-0100-00008B0C0000}"/>
    <hyperlink ref="D3214" r:id="rId3213" xr:uid="{00000000-0004-0000-0100-00008C0C0000}"/>
    <hyperlink ref="D3215" r:id="rId3214" xr:uid="{00000000-0004-0000-0100-00008D0C0000}"/>
    <hyperlink ref="D3216" r:id="rId3215" xr:uid="{00000000-0004-0000-0100-00008E0C0000}"/>
    <hyperlink ref="D3217" r:id="rId3216" xr:uid="{00000000-0004-0000-0100-00008F0C0000}"/>
    <hyperlink ref="D3218" r:id="rId3217" xr:uid="{00000000-0004-0000-0100-0000900C0000}"/>
    <hyperlink ref="D3219" r:id="rId3218" xr:uid="{00000000-0004-0000-0100-0000910C0000}"/>
    <hyperlink ref="D3220" r:id="rId3219" xr:uid="{00000000-0004-0000-0100-0000920C0000}"/>
    <hyperlink ref="D3221" r:id="rId3220" xr:uid="{00000000-0004-0000-0100-0000930C0000}"/>
    <hyperlink ref="D3222" r:id="rId3221" xr:uid="{00000000-0004-0000-0100-0000940C0000}"/>
    <hyperlink ref="D3223" r:id="rId3222" xr:uid="{00000000-0004-0000-0100-0000950C0000}"/>
    <hyperlink ref="D3224" r:id="rId3223" xr:uid="{00000000-0004-0000-0100-0000960C0000}"/>
    <hyperlink ref="D3225" r:id="rId3224" xr:uid="{00000000-0004-0000-0100-0000970C0000}"/>
    <hyperlink ref="D3226" r:id="rId3225" xr:uid="{00000000-0004-0000-0100-0000980C0000}"/>
    <hyperlink ref="D3227" r:id="rId3226" xr:uid="{00000000-0004-0000-0100-0000990C0000}"/>
    <hyperlink ref="D3228" r:id="rId3227" xr:uid="{00000000-0004-0000-0100-00009A0C0000}"/>
    <hyperlink ref="D3229" r:id="rId3228" xr:uid="{00000000-0004-0000-0100-00009B0C0000}"/>
    <hyperlink ref="D3230" r:id="rId3229" xr:uid="{00000000-0004-0000-0100-00009C0C0000}"/>
    <hyperlink ref="D3231" r:id="rId3230" xr:uid="{00000000-0004-0000-0100-00009D0C0000}"/>
    <hyperlink ref="D3232" r:id="rId3231" xr:uid="{00000000-0004-0000-0100-00009E0C0000}"/>
    <hyperlink ref="D3233" r:id="rId3232" xr:uid="{00000000-0004-0000-0100-00009F0C0000}"/>
    <hyperlink ref="D3234" r:id="rId3233" xr:uid="{00000000-0004-0000-0100-0000A00C0000}"/>
    <hyperlink ref="D3235" r:id="rId3234" xr:uid="{00000000-0004-0000-0100-0000A10C0000}"/>
    <hyperlink ref="D3236" r:id="rId3235" xr:uid="{00000000-0004-0000-0100-0000A20C0000}"/>
    <hyperlink ref="D3237" r:id="rId3236" xr:uid="{00000000-0004-0000-0100-0000A30C0000}"/>
    <hyperlink ref="D3238" r:id="rId3237" xr:uid="{00000000-0004-0000-0100-0000A40C0000}"/>
    <hyperlink ref="D3239" r:id="rId3238" xr:uid="{00000000-0004-0000-0100-0000A50C0000}"/>
    <hyperlink ref="D3240" r:id="rId3239" xr:uid="{00000000-0004-0000-0100-0000A60C0000}"/>
    <hyperlink ref="D3241" r:id="rId3240" xr:uid="{00000000-0004-0000-0100-0000A70C0000}"/>
    <hyperlink ref="D3242" r:id="rId3241" xr:uid="{00000000-0004-0000-0100-0000A80C0000}"/>
    <hyperlink ref="D3243" r:id="rId3242" xr:uid="{00000000-0004-0000-0100-0000A90C0000}"/>
    <hyperlink ref="D3244" r:id="rId3243" xr:uid="{00000000-0004-0000-0100-0000AA0C0000}"/>
    <hyperlink ref="D3245" r:id="rId3244" xr:uid="{00000000-0004-0000-0100-0000AB0C0000}"/>
    <hyperlink ref="D3246" r:id="rId3245" xr:uid="{00000000-0004-0000-0100-0000AC0C0000}"/>
    <hyperlink ref="D3247" r:id="rId3246" xr:uid="{00000000-0004-0000-0100-0000AD0C0000}"/>
    <hyperlink ref="D3248" r:id="rId3247" xr:uid="{00000000-0004-0000-0100-0000AE0C0000}"/>
    <hyperlink ref="D3249" r:id="rId3248" xr:uid="{00000000-0004-0000-0100-0000AF0C0000}"/>
    <hyperlink ref="D3250" r:id="rId3249" xr:uid="{00000000-0004-0000-0100-0000B00C0000}"/>
    <hyperlink ref="D3251" r:id="rId3250" xr:uid="{00000000-0004-0000-0100-0000B10C0000}"/>
    <hyperlink ref="D3252" r:id="rId3251" xr:uid="{00000000-0004-0000-0100-0000B20C0000}"/>
    <hyperlink ref="D3253" r:id="rId3252" xr:uid="{00000000-0004-0000-0100-0000B30C0000}"/>
    <hyperlink ref="D3254" r:id="rId3253" xr:uid="{00000000-0004-0000-0100-0000B40C0000}"/>
    <hyperlink ref="D3255" r:id="rId3254" xr:uid="{00000000-0004-0000-0100-0000B50C0000}"/>
    <hyperlink ref="D3256" r:id="rId3255" xr:uid="{00000000-0004-0000-0100-0000B60C0000}"/>
    <hyperlink ref="D3257" r:id="rId3256" xr:uid="{00000000-0004-0000-0100-0000B70C0000}"/>
    <hyperlink ref="D3258" r:id="rId3257" xr:uid="{00000000-0004-0000-0100-0000B80C0000}"/>
    <hyperlink ref="D3259" r:id="rId3258" xr:uid="{00000000-0004-0000-0100-0000B90C0000}"/>
    <hyperlink ref="D3260" r:id="rId3259" xr:uid="{00000000-0004-0000-0100-0000BA0C0000}"/>
    <hyperlink ref="D3261" r:id="rId3260" xr:uid="{00000000-0004-0000-0100-0000BB0C0000}"/>
    <hyperlink ref="D3262" r:id="rId3261" xr:uid="{00000000-0004-0000-0100-0000BC0C0000}"/>
    <hyperlink ref="D3263" r:id="rId3262" xr:uid="{00000000-0004-0000-0100-0000BD0C0000}"/>
    <hyperlink ref="D3264" r:id="rId3263" xr:uid="{00000000-0004-0000-0100-0000BE0C0000}"/>
    <hyperlink ref="D3265" r:id="rId3264" xr:uid="{00000000-0004-0000-0100-0000BF0C0000}"/>
    <hyperlink ref="D3266" r:id="rId3265" xr:uid="{00000000-0004-0000-0100-0000C00C0000}"/>
    <hyperlink ref="D3267" r:id="rId3266" xr:uid="{00000000-0004-0000-0100-0000C10C0000}"/>
    <hyperlink ref="D3268" r:id="rId3267" xr:uid="{00000000-0004-0000-0100-0000C20C0000}"/>
    <hyperlink ref="D3269" r:id="rId3268" xr:uid="{00000000-0004-0000-0100-0000C30C0000}"/>
    <hyperlink ref="D3270" r:id="rId3269" xr:uid="{00000000-0004-0000-0100-0000C40C0000}"/>
    <hyperlink ref="D3271" r:id="rId3270" xr:uid="{00000000-0004-0000-0100-0000C50C0000}"/>
    <hyperlink ref="D3272" r:id="rId3271" xr:uid="{00000000-0004-0000-0100-0000C60C0000}"/>
    <hyperlink ref="D3273" r:id="rId3272" xr:uid="{00000000-0004-0000-0100-0000C70C0000}"/>
    <hyperlink ref="D3274" r:id="rId3273" xr:uid="{00000000-0004-0000-0100-0000C80C0000}"/>
    <hyperlink ref="D3275" r:id="rId3274" xr:uid="{00000000-0004-0000-0100-0000C90C0000}"/>
    <hyperlink ref="D3276" r:id="rId3275" xr:uid="{00000000-0004-0000-0100-0000CA0C0000}"/>
    <hyperlink ref="D3277" r:id="rId3276" xr:uid="{00000000-0004-0000-0100-0000CB0C0000}"/>
    <hyperlink ref="D3278" r:id="rId3277" xr:uid="{00000000-0004-0000-0100-0000CC0C0000}"/>
    <hyperlink ref="D3279" r:id="rId3278" xr:uid="{00000000-0004-0000-0100-0000CD0C0000}"/>
    <hyperlink ref="D3280" r:id="rId3279" xr:uid="{00000000-0004-0000-0100-0000CE0C0000}"/>
    <hyperlink ref="D3281" r:id="rId3280" xr:uid="{00000000-0004-0000-0100-0000CF0C0000}"/>
    <hyperlink ref="D3282" r:id="rId3281" xr:uid="{00000000-0004-0000-0100-0000D00C0000}"/>
    <hyperlink ref="D3283" r:id="rId3282" xr:uid="{00000000-0004-0000-0100-0000D10C0000}"/>
    <hyperlink ref="D3284" r:id="rId3283" xr:uid="{00000000-0004-0000-0100-0000D20C0000}"/>
    <hyperlink ref="D3285" r:id="rId3284" xr:uid="{00000000-0004-0000-0100-0000D30C0000}"/>
    <hyperlink ref="D3286" r:id="rId3285" xr:uid="{00000000-0004-0000-0100-0000D40C0000}"/>
    <hyperlink ref="D3287" r:id="rId3286" xr:uid="{00000000-0004-0000-0100-0000D50C0000}"/>
    <hyperlink ref="D3288" r:id="rId3287" xr:uid="{00000000-0004-0000-0100-0000D60C0000}"/>
    <hyperlink ref="D3289" r:id="rId3288" xr:uid="{00000000-0004-0000-0100-0000D70C0000}"/>
    <hyperlink ref="D3290" r:id="rId3289" xr:uid="{00000000-0004-0000-0100-0000D80C0000}"/>
    <hyperlink ref="D3291" r:id="rId3290" xr:uid="{00000000-0004-0000-0100-0000D90C0000}"/>
    <hyperlink ref="D3292" r:id="rId3291" xr:uid="{00000000-0004-0000-0100-0000DA0C0000}"/>
    <hyperlink ref="D3293" r:id="rId3292" xr:uid="{00000000-0004-0000-0100-0000DB0C0000}"/>
    <hyperlink ref="D3294" r:id="rId3293" xr:uid="{00000000-0004-0000-0100-0000DC0C0000}"/>
    <hyperlink ref="D3295" r:id="rId3294" xr:uid="{00000000-0004-0000-0100-0000DD0C0000}"/>
    <hyperlink ref="D3296" r:id="rId3295" xr:uid="{00000000-0004-0000-0100-0000DE0C0000}"/>
    <hyperlink ref="D3297" r:id="rId3296" xr:uid="{00000000-0004-0000-0100-0000DF0C0000}"/>
    <hyperlink ref="D3298" r:id="rId3297" xr:uid="{00000000-0004-0000-0100-0000E00C0000}"/>
    <hyperlink ref="D3299" r:id="rId3298" xr:uid="{00000000-0004-0000-0100-0000E10C0000}"/>
    <hyperlink ref="D3300" r:id="rId3299" xr:uid="{00000000-0004-0000-0100-0000E20C0000}"/>
    <hyperlink ref="D3301" r:id="rId3300" xr:uid="{00000000-0004-0000-0100-0000E30C0000}"/>
    <hyperlink ref="D3302" r:id="rId3301" xr:uid="{00000000-0004-0000-0100-0000E40C0000}"/>
    <hyperlink ref="D3303" r:id="rId3302" xr:uid="{00000000-0004-0000-0100-0000E50C0000}"/>
    <hyperlink ref="D3304" r:id="rId3303" xr:uid="{00000000-0004-0000-0100-0000E60C0000}"/>
    <hyperlink ref="D3305" r:id="rId3304" xr:uid="{00000000-0004-0000-0100-0000E70C0000}"/>
    <hyperlink ref="D3306" r:id="rId3305" xr:uid="{00000000-0004-0000-0100-0000E80C0000}"/>
    <hyperlink ref="D3307" r:id="rId3306" xr:uid="{00000000-0004-0000-0100-0000E90C0000}"/>
    <hyperlink ref="D3308" r:id="rId3307" xr:uid="{00000000-0004-0000-0100-0000EA0C0000}"/>
    <hyperlink ref="D3309" r:id="rId3308" xr:uid="{00000000-0004-0000-0100-0000EB0C0000}"/>
    <hyperlink ref="D3310" r:id="rId3309" xr:uid="{00000000-0004-0000-0100-0000EC0C0000}"/>
    <hyperlink ref="D3311" r:id="rId3310" xr:uid="{00000000-0004-0000-0100-0000ED0C0000}"/>
    <hyperlink ref="D3312" r:id="rId3311" xr:uid="{00000000-0004-0000-0100-0000EE0C0000}"/>
    <hyperlink ref="D3313" r:id="rId3312" xr:uid="{00000000-0004-0000-0100-0000EF0C0000}"/>
    <hyperlink ref="D3314" r:id="rId3313" xr:uid="{00000000-0004-0000-0100-0000F00C0000}"/>
    <hyperlink ref="D3315" r:id="rId3314" xr:uid="{00000000-0004-0000-0100-0000F10C0000}"/>
    <hyperlink ref="D3316" r:id="rId3315" xr:uid="{00000000-0004-0000-0100-0000F20C0000}"/>
    <hyperlink ref="D3317" r:id="rId3316" xr:uid="{00000000-0004-0000-0100-0000F30C0000}"/>
    <hyperlink ref="D3318" r:id="rId3317" xr:uid="{00000000-0004-0000-0100-0000F40C0000}"/>
    <hyperlink ref="D3319" r:id="rId3318" xr:uid="{00000000-0004-0000-0100-0000F50C0000}"/>
    <hyperlink ref="D3320" r:id="rId3319" xr:uid="{00000000-0004-0000-0100-0000F60C0000}"/>
    <hyperlink ref="D3321" r:id="rId3320" xr:uid="{00000000-0004-0000-0100-0000F70C0000}"/>
    <hyperlink ref="D3322" r:id="rId3321" xr:uid="{00000000-0004-0000-0100-0000F80C0000}"/>
    <hyperlink ref="D3323" r:id="rId3322" xr:uid="{00000000-0004-0000-0100-0000F90C0000}"/>
    <hyperlink ref="D3324" r:id="rId3323" xr:uid="{00000000-0004-0000-0100-0000FA0C0000}"/>
    <hyperlink ref="D3325" r:id="rId3324" xr:uid="{00000000-0004-0000-0100-0000FB0C0000}"/>
    <hyperlink ref="D3326" r:id="rId3325" xr:uid="{00000000-0004-0000-0100-0000FC0C0000}"/>
    <hyperlink ref="D3327" r:id="rId3326" xr:uid="{00000000-0004-0000-0100-0000FD0C0000}"/>
    <hyperlink ref="D3328" r:id="rId3327" xr:uid="{00000000-0004-0000-0100-0000FE0C0000}"/>
    <hyperlink ref="D3329" r:id="rId3328" xr:uid="{00000000-0004-0000-0100-0000FF0C0000}"/>
    <hyperlink ref="D3330" r:id="rId3329" xr:uid="{00000000-0004-0000-0100-0000000D0000}"/>
    <hyperlink ref="D3331" r:id="rId3330" xr:uid="{00000000-0004-0000-0100-0000010D0000}"/>
    <hyperlink ref="D3332" r:id="rId3331" xr:uid="{00000000-0004-0000-0100-0000020D0000}"/>
    <hyperlink ref="D3333" r:id="rId3332" xr:uid="{00000000-0004-0000-0100-0000030D0000}"/>
    <hyperlink ref="D3334" r:id="rId3333" xr:uid="{00000000-0004-0000-0100-0000040D0000}"/>
    <hyperlink ref="D3335" r:id="rId3334" xr:uid="{00000000-0004-0000-0100-0000050D0000}"/>
    <hyperlink ref="D3336" r:id="rId3335" xr:uid="{00000000-0004-0000-0100-0000060D0000}"/>
    <hyperlink ref="D3337" r:id="rId3336" xr:uid="{00000000-0004-0000-0100-0000070D0000}"/>
    <hyperlink ref="D3338" r:id="rId3337" xr:uid="{00000000-0004-0000-0100-0000080D0000}"/>
    <hyperlink ref="D3339" r:id="rId3338" xr:uid="{00000000-0004-0000-0100-0000090D0000}"/>
    <hyperlink ref="D3340" r:id="rId3339" xr:uid="{00000000-0004-0000-0100-00000A0D0000}"/>
    <hyperlink ref="D3341" r:id="rId3340" xr:uid="{00000000-0004-0000-0100-00000B0D0000}"/>
    <hyperlink ref="D3342" r:id="rId3341" xr:uid="{00000000-0004-0000-0100-00000C0D0000}"/>
    <hyperlink ref="D3343" r:id="rId3342" xr:uid="{00000000-0004-0000-0100-00000D0D0000}"/>
    <hyperlink ref="D3344" r:id="rId3343" xr:uid="{00000000-0004-0000-0100-00000E0D0000}"/>
    <hyperlink ref="D3345" r:id="rId3344" xr:uid="{00000000-0004-0000-0100-00000F0D0000}"/>
    <hyperlink ref="D3346" r:id="rId3345" xr:uid="{00000000-0004-0000-0100-0000100D0000}"/>
    <hyperlink ref="D3347" r:id="rId3346" xr:uid="{00000000-0004-0000-0100-0000110D0000}"/>
    <hyperlink ref="D3348" r:id="rId3347" xr:uid="{00000000-0004-0000-0100-0000120D0000}"/>
    <hyperlink ref="D3349" r:id="rId3348" xr:uid="{00000000-0004-0000-0100-0000130D0000}"/>
    <hyperlink ref="D3350" r:id="rId3349" xr:uid="{00000000-0004-0000-0100-0000140D0000}"/>
    <hyperlink ref="D3351" r:id="rId3350" xr:uid="{00000000-0004-0000-0100-0000150D0000}"/>
    <hyperlink ref="D3352" r:id="rId3351" xr:uid="{00000000-0004-0000-0100-0000160D0000}"/>
    <hyperlink ref="D3353" r:id="rId3352" xr:uid="{00000000-0004-0000-0100-0000170D0000}"/>
    <hyperlink ref="D3354" r:id="rId3353" xr:uid="{00000000-0004-0000-0100-0000180D0000}"/>
    <hyperlink ref="D3355" r:id="rId3354" xr:uid="{00000000-0004-0000-0100-0000190D0000}"/>
    <hyperlink ref="D3356" r:id="rId3355" xr:uid="{00000000-0004-0000-0100-00001A0D0000}"/>
    <hyperlink ref="D3357" r:id="rId3356" xr:uid="{00000000-0004-0000-0100-00001B0D0000}"/>
    <hyperlink ref="D3358" r:id="rId3357" xr:uid="{00000000-0004-0000-0100-00001C0D0000}"/>
    <hyperlink ref="D3359" r:id="rId3358" xr:uid="{00000000-0004-0000-0100-00001D0D0000}"/>
    <hyperlink ref="D3360" r:id="rId3359" xr:uid="{00000000-0004-0000-0100-00001E0D0000}"/>
    <hyperlink ref="D3361" r:id="rId3360" xr:uid="{00000000-0004-0000-0100-00001F0D0000}"/>
    <hyperlink ref="D3362" r:id="rId3361" xr:uid="{00000000-0004-0000-0100-0000200D0000}"/>
    <hyperlink ref="D3363" r:id="rId3362" xr:uid="{00000000-0004-0000-0100-0000210D0000}"/>
    <hyperlink ref="D3364" r:id="rId3363" xr:uid="{00000000-0004-0000-0100-0000220D0000}"/>
    <hyperlink ref="D3365" r:id="rId3364" xr:uid="{00000000-0004-0000-0100-0000230D0000}"/>
    <hyperlink ref="D3366" r:id="rId3365" xr:uid="{00000000-0004-0000-0100-0000240D0000}"/>
    <hyperlink ref="D3367" r:id="rId3366" xr:uid="{00000000-0004-0000-0100-0000250D0000}"/>
    <hyperlink ref="D3368" r:id="rId3367" xr:uid="{00000000-0004-0000-0100-0000260D0000}"/>
    <hyperlink ref="D3369" r:id="rId3368" xr:uid="{00000000-0004-0000-0100-0000270D0000}"/>
    <hyperlink ref="D3370" r:id="rId3369" xr:uid="{00000000-0004-0000-0100-0000280D0000}"/>
    <hyperlink ref="D3371" r:id="rId3370" xr:uid="{00000000-0004-0000-0100-0000290D0000}"/>
    <hyperlink ref="D3372" r:id="rId3371" xr:uid="{00000000-0004-0000-0100-00002A0D0000}"/>
    <hyperlink ref="D3373" r:id="rId3372" xr:uid="{00000000-0004-0000-0100-00002B0D0000}"/>
    <hyperlink ref="D3374" r:id="rId3373" xr:uid="{00000000-0004-0000-0100-00002C0D0000}"/>
    <hyperlink ref="D3375" r:id="rId3374" xr:uid="{00000000-0004-0000-0100-00002D0D0000}"/>
    <hyperlink ref="D3376" r:id="rId3375" xr:uid="{00000000-0004-0000-0100-00002E0D0000}"/>
    <hyperlink ref="D3377" r:id="rId3376" xr:uid="{00000000-0004-0000-0100-00002F0D0000}"/>
    <hyperlink ref="D3378" r:id="rId3377" xr:uid="{00000000-0004-0000-0100-0000300D0000}"/>
    <hyperlink ref="D3379" r:id="rId3378" xr:uid="{00000000-0004-0000-0100-0000310D0000}"/>
    <hyperlink ref="D3380" r:id="rId3379" xr:uid="{00000000-0004-0000-0100-0000320D0000}"/>
    <hyperlink ref="D3381" r:id="rId3380" xr:uid="{00000000-0004-0000-0100-0000330D0000}"/>
    <hyperlink ref="D3382" r:id="rId3381" xr:uid="{00000000-0004-0000-0100-0000340D0000}"/>
    <hyperlink ref="D3383" r:id="rId3382" xr:uid="{00000000-0004-0000-0100-0000350D0000}"/>
    <hyperlink ref="D3384" r:id="rId3383" xr:uid="{00000000-0004-0000-0100-0000360D0000}"/>
    <hyperlink ref="D3385" r:id="rId3384" xr:uid="{00000000-0004-0000-0100-0000370D0000}"/>
    <hyperlink ref="D3386" r:id="rId3385" xr:uid="{00000000-0004-0000-0100-0000380D0000}"/>
    <hyperlink ref="D3387" r:id="rId3386" xr:uid="{00000000-0004-0000-0100-0000390D0000}"/>
    <hyperlink ref="D3388" r:id="rId3387" xr:uid="{00000000-0004-0000-0100-00003A0D0000}"/>
    <hyperlink ref="D3389" r:id="rId3388" xr:uid="{00000000-0004-0000-0100-00003B0D0000}"/>
    <hyperlink ref="D3390" r:id="rId3389" xr:uid="{00000000-0004-0000-0100-00003C0D0000}"/>
    <hyperlink ref="D3391" r:id="rId3390" xr:uid="{00000000-0004-0000-0100-00003D0D0000}"/>
    <hyperlink ref="D3392" r:id="rId3391" xr:uid="{00000000-0004-0000-0100-00003E0D0000}"/>
    <hyperlink ref="D3393" r:id="rId3392" xr:uid="{00000000-0004-0000-0100-00003F0D0000}"/>
    <hyperlink ref="D3394" r:id="rId3393" xr:uid="{00000000-0004-0000-0100-0000400D0000}"/>
    <hyperlink ref="D3395" r:id="rId3394" xr:uid="{00000000-0004-0000-0100-0000410D0000}"/>
    <hyperlink ref="D3396" r:id="rId3395" xr:uid="{00000000-0004-0000-0100-0000420D0000}"/>
    <hyperlink ref="D3397" r:id="rId3396" xr:uid="{00000000-0004-0000-0100-0000430D0000}"/>
    <hyperlink ref="D3398" r:id="rId3397" xr:uid="{00000000-0004-0000-0100-0000440D0000}"/>
    <hyperlink ref="D3399" r:id="rId3398" xr:uid="{00000000-0004-0000-0100-0000450D0000}"/>
    <hyperlink ref="D3400" r:id="rId3399" xr:uid="{00000000-0004-0000-0100-0000460D0000}"/>
    <hyperlink ref="D3401" r:id="rId3400" xr:uid="{00000000-0004-0000-0100-0000470D0000}"/>
    <hyperlink ref="D3402" r:id="rId3401" xr:uid="{00000000-0004-0000-0100-0000480D0000}"/>
    <hyperlink ref="D3403" r:id="rId3402" xr:uid="{00000000-0004-0000-0100-0000490D0000}"/>
    <hyperlink ref="D3404" r:id="rId3403" xr:uid="{00000000-0004-0000-0100-00004A0D0000}"/>
    <hyperlink ref="D3405" r:id="rId3404" xr:uid="{00000000-0004-0000-0100-00004B0D0000}"/>
    <hyperlink ref="D3406" r:id="rId3405" xr:uid="{00000000-0004-0000-0100-00004C0D0000}"/>
    <hyperlink ref="D3407" r:id="rId3406" xr:uid="{00000000-0004-0000-0100-00004D0D0000}"/>
    <hyperlink ref="D3408" r:id="rId3407" xr:uid="{00000000-0004-0000-0100-00004E0D0000}"/>
    <hyperlink ref="D3409" r:id="rId3408" xr:uid="{00000000-0004-0000-0100-00004F0D0000}"/>
    <hyperlink ref="D3410" r:id="rId3409" xr:uid="{00000000-0004-0000-0100-0000500D0000}"/>
    <hyperlink ref="D3411" r:id="rId3410" xr:uid="{00000000-0004-0000-0100-0000510D0000}"/>
    <hyperlink ref="D3412" r:id="rId3411" xr:uid="{00000000-0004-0000-0100-0000520D0000}"/>
    <hyperlink ref="D3413" r:id="rId3412" xr:uid="{00000000-0004-0000-0100-0000530D0000}"/>
    <hyperlink ref="D3414" r:id="rId3413" xr:uid="{00000000-0004-0000-0100-0000540D0000}"/>
    <hyperlink ref="D3415" r:id="rId3414" xr:uid="{00000000-0004-0000-0100-0000550D0000}"/>
    <hyperlink ref="D3416" r:id="rId3415" xr:uid="{00000000-0004-0000-0100-0000560D0000}"/>
    <hyperlink ref="D3417" r:id="rId3416" xr:uid="{00000000-0004-0000-0100-0000570D0000}"/>
    <hyperlink ref="D3418" r:id="rId3417" xr:uid="{00000000-0004-0000-0100-0000580D0000}"/>
    <hyperlink ref="D3419" r:id="rId3418" xr:uid="{00000000-0004-0000-0100-0000590D0000}"/>
    <hyperlink ref="D3420" r:id="rId3419" xr:uid="{00000000-0004-0000-0100-00005A0D0000}"/>
    <hyperlink ref="D3421" r:id="rId3420" xr:uid="{00000000-0004-0000-0100-00005B0D0000}"/>
    <hyperlink ref="D3422" r:id="rId3421" xr:uid="{00000000-0004-0000-0100-00005C0D0000}"/>
    <hyperlink ref="D3423" r:id="rId3422" xr:uid="{00000000-0004-0000-0100-00005D0D0000}"/>
    <hyperlink ref="D3424" r:id="rId3423" xr:uid="{00000000-0004-0000-0100-00005E0D0000}"/>
    <hyperlink ref="D3425" r:id="rId3424" xr:uid="{00000000-0004-0000-0100-00005F0D0000}"/>
    <hyperlink ref="D3426" r:id="rId3425" xr:uid="{00000000-0004-0000-0100-0000600D0000}"/>
    <hyperlink ref="D3427" r:id="rId3426" xr:uid="{00000000-0004-0000-0100-0000610D0000}"/>
    <hyperlink ref="D3428" r:id="rId3427" xr:uid="{00000000-0004-0000-0100-0000620D0000}"/>
    <hyperlink ref="D3429" r:id="rId3428" xr:uid="{00000000-0004-0000-0100-0000630D0000}"/>
    <hyperlink ref="D3430" r:id="rId3429" xr:uid="{00000000-0004-0000-0100-0000640D0000}"/>
    <hyperlink ref="D3431" r:id="rId3430" xr:uid="{00000000-0004-0000-0100-0000650D0000}"/>
    <hyperlink ref="D3432" r:id="rId3431" xr:uid="{00000000-0004-0000-0100-0000660D0000}"/>
    <hyperlink ref="D3433" r:id="rId3432" xr:uid="{00000000-0004-0000-0100-0000670D0000}"/>
    <hyperlink ref="D3434" r:id="rId3433" xr:uid="{00000000-0004-0000-0100-0000680D0000}"/>
    <hyperlink ref="D3435" r:id="rId3434" xr:uid="{00000000-0004-0000-0100-0000690D0000}"/>
    <hyperlink ref="D3436" r:id="rId3435" xr:uid="{00000000-0004-0000-0100-00006A0D0000}"/>
    <hyperlink ref="D3437" r:id="rId3436" xr:uid="{00000000-0004-0000-0100-00006B0D0000}"/>
    <hyperlink ref="D3438" r:id="rId3437" xr:uid="{00000000-0004-0000-0100-00006C0D0000}"/>
    <hyperlink ref="D3439" r:id="rId3438" xr:uid="{00000000-0004-0000-0100-00006D0D0000}"/>
    <hyperlink ref="D3440" r:id="rId3439" xr:uid="{00000000-0004-0000-0100-00006E0D0000}"/>
    <hyperlink ref="D3441" r:id="rId3440" xr:uid="{00000000-0004-0000-0100-00006F0D0000}"/>
    <hyperlink ref="D3442" r:id="rId3441" xr:uid="{00000000-0004-0000-0100-0000700D0000}"/>
    <hyperlink ref="D3443" r:id="rId3442" xr:uid="{00000000-0004-0000-0100-0000710D0000}"/>
    <hyperlink ref="D3444" r:id="rId3443" xr:uid="{00000000-0004-0000-0100-0000720D0000}"/>
    <hyperlink ref="D3445" r:id="rId3444" xr:uid="{00000000-0004-0000-0100-0000730D0000}"/>
    <hyperlink ref="D3446" r:id="rId3445" xr:uid="{00000000-0004-0000-0100-0000740D0000}"/>
    <hyperlink ref="D3447" r:id="rId3446" xr:uid="{00000000-0004-0000-0100-0000750D0000}"/>
    <hyperlink ref="D3448" r:id="rId3447" xr:uid="{00000000-0004-0000-0100-0000760D0000}"/>
    <hyperlink ref="D3449" r:id="rId3448" xr:uid="{00000000-0004-0000-0100-0000770D0000}"/>
    <hyperlink ref="D3450" r:id="rId3449" xr:uid="{00000000-0004-0000-0100-0000780D0000}"/>
    <hyperlink ref="D3451" r:id="rId3450" xr:uid="{00000000-0004-0000-0100-0000790D0000}"/>
    <hyperlink ref="D3452" r:id="rId3451" xr:uid="{00000000-0004-0000-0100-00007A0D0000}"/>
    <hyperlink ref="D3453" r:id="rId3452" xr:uid="{00000000-0004-0000-0100-00007B0D0000}"/>
    <hyperlink ref="D3454" r:id="rId3453" xr:uid="{00000000-0004-0000-0100-00007C0D0000}"/>
    <hyperlink ref="D3455" r:id="rId3454" xr:uid="{00000000-0004-0000-0100-00007D0D0000}"/>
    <hyperlink ref="D3456" r:id="rId3455" xr:uid="{00000000-0004-0000-0100-00007E0D0000}"/>
    <hyperlink ref="D3457" r:id="rId3456" xr:uid="{00000000-0004-0000-0100-00007F0D0000}"/>
    <hyperlink ref="D3458" r:id="rId3457" xr:uid="{00000000-0004-0000-0100-0000800D0000}"/>
    <hyperlink ref="D3459" r:id="rId3458" xr:uid="{00000000-0004-0000-0100-0000810D0000}"/>
    <hyperlink ref="D3460" r:id="rId3459" xr:uid="{00000000-0004-0000-0100-0000820D0000}"/>
    <hyperlink ref="D3461" r:id="rId3460" xr:uid="{00000000-0004-0000-0100-0000830D0000}"/>
    <hyperlink ref="D3462" r:id="rId3461" xr:uid="{00000000-0004-0000-0100-0000840D0000}"/>
    <hyperlink ref="D3463" r:id="rId3462" xr:uid="{00000000-0004-0000-0100-0000850D0000}"/>
    <hyperlink ref="D3464" r:id="rId3463" xr:uid="{00000000-0004-0000-0100-0000860D0000}"/>
    <hyperlink ref="D3465" r:id="rId3464" xr:uid="{00000000-0004-0000-0100-0000870D0000}"/>
    <hyperlink ref="D3466" r:id="rId3465" xr:uid="{00000000-0004-0000-0100-0000880D0000}"/>
    <hyperlink ref="D3467" r:id="rId3466" xr:uid="{00000000-0004-0000-0100-0000890D0000}"/>
    <hyperlink ref="D3468" r:id="rId3467" xr:uid="{00000000-0004-0000-0100-00008A0D0000}"/>
    <hyperlink ref="D3469" r:id="rId3468" xr:uid="{00000000-0004-0000-0100-00008B0D0000}"/>
    <hyperlink ref="D3470" r:id="rId3469" xr:uid="{00000000-0004-0000-0100-00008C0D0000}"/>
    <hyperlink ref="D3471" r:id="rId3470" xr:uid="{00000000-0004-0000-0100-00008D0D0000}"/>
    <hyperlink ref="D3472" r:id="rId3471" xr:uid="{00000000-0004-0000-0100-00008E0D0000}"/>
    <hyperlink ref="D3473" r:id="rId3472" xr:uid="{00000000-0004-0000-0100-00008F0D0000}"/>
    <hyperlink ref="D3474" r:id="rId3473" xr:uid="{00000000-0004-0000-0100-0000900D0000}"/>
    <hyperlink ref="D3475" r:id="rId3474" xr:uid="{00000000-0004-0000-0100-0000910D0000}"/>
    <hyperlink ref="D3476" r:id="rId3475" xr:uid="{00000000-0004-0000-0100-0000920D0000}"/>
    <hyperlink ref="D3477" r:id="rId3476" xr:uid="{00000000-0004-0000-0100-0000930D0000}"/>
    <hyperlink ref="D3478" r:id="rId3477" xr:uid="{00000000-0004-0000-0100-0000940D0000}"/>
    <hyperlink ref="D3479" r:id="rId3478" xr:uid="{00000000-0004-0000-0100-0000950D0000}"/>
    <hyperlink ref="D3480" r:id="rId3479" xr:uid="{00000000-0004-0000-0100-0000960D0000}"/>
    <hyperlink ref="D3481" r:id="rId3480" xr:uid="{00000000-0004-0000-0100-0000970D0000}"/>
    <hyperlink ref="D3482" r:id="rId3481" xr:uid="{00000000-0004-0000-0100-0000980D0000}"/>
    <hyperlink ref="D3483" r:id="rId3482" xr:uid="{00000000-0004-0000-0100-0000990D0000}"/>
    <hyperlink ref="D3484" r:id="rId3483" xr:uid="{00000000-0004-0000-0100-00009A0D0000}"/>
    <hyperlink ref="D3485" r:id="rId3484" xr:uid="{00000000-0004-0000-0100-00009B0D0000}"/>
    <hyperlink ref="D3486" r:id="rId3485" xr:uid="{00000000-0004-0000-0100-00009C0D0000}"/>
    <hyperlink ref="D3487" r:id="rId3486" xr:uid="{00000000-0004-0000-0100-00009D0D0000}"/>
    <hyperlink ref="D3488" r:id="rId3487" xr:uid="{00000000-0004-0000-0100-00009E0D0000}"/>
    <hyperlink ref="D3489" r:id="rId3488" xr:uid="{00000000-0004-0000-0100-00009F0D0000}"/>
    <hyperlink ref="D3490" r:id="rId3489" xr:uid="{00000000-0004-0000-0100-0000A00D0000}"/>
    <hyperlink ref="D3491" r:id="rId3490" xr:uid="{00000000-0004-0000-0100-0000A10D0000}"/>
    <hyperlink ref="D3492" r:id="rId3491" xr:uid="{00000000-0004-0000-0100-0000A20D0000}"/>
    <hyperlink ref="D3493" r:id="rId3492" xr:uid="{00000000-0004-0000-0100-0000A30D0000}"/>
    <hyperlink ref="D3494" r:id="rId3493" xr:uid="{00000000-0004-0000-0100-0000A40D0000}"/>
    <hyperlink ref="D3495" r:id="rId3494" xr:uid="{00000000-0004-0000-0100-0000A50D0000}"/>
    <hyperlink ref="D3496" r:id="rId3495" xr:uid="{00000000-0004-0000-0100-0000A60D0000}"/>
    <hyperlink ref="D3497" r:id="rId3496" xr:uid="{00000000-0004-0000-0100-0000A70D0000}"/>
    <hyperlink ref="D3498" r:id="rId3497" xr:uid="{00000000-0004-0000-0100-0000A80D0000}"/>
    <hyperlink ref="D3499" r:id="rId3498" xr:uid="{00000000-0004-0000-0100-0000A90D0000}"/>
    <hyperlink ref="D3500" r:id="rId3499" xr:uid="{00000000-0004-0000-0100-0000AA0D0000}"/>
    <hyperlink ref="D3501" r:id="rId3500" xr:uid="{00000000-0004-0000-0100-0000AB0D0000}"/>
    <hyperlink ref="D3502" r:id="rId3501" xr:uid="{00000000-0004-0000-0100-0000AC0D0000}"/>
    <hyperlink ref="D3503" r:id="rId3502" xr:uid="{00000000-0004-0000-0100-0000AD0D0000}"/>
    <hyperlink ref="D3504" r:id="rId3503" xr:uid="{00000000-0004-0000-0100-0000AE0D0000}"/>
    <hyperlink ref="D3505" r:id="rId3504" xr:uid="{00000000-0004-0000-0100-0000AF0D0000}"/>
    <hyperlink ref="D3506" r:id="rId3505" xr:uid="{00000000-0004-0000-0100-0000B00D0000}"/>
    <hyperlink ref="D3507" r:id="rId3506" xr:uid="{00000000-0004-0000-0100-0000B10D0000}"/>
    <hyperlink ref="D3508" r:id="rId3507" xr:uid="{00000000-0004-0000-0100-0000B20D0000}"/>
    <hyperlink ref="D3509" r:id="rId3508" xr:uid="{00000000-0004-0000-0100-0000B30D0000}"/>
    <hyperlink ref="D3510" r:id="rId3509" xr:uid="{00000000-0004-0000-0100-0000B40D0000}"/>
    <hyperlink ref="D3511" r:id="rId3510" xr:uid="{00000000-0004-0000-0100-0000B50D0000}"/>
    <hyperlink ref="D3512" r:id="rId3511" xr:uid="{00000000-0004-0000-0100-0000B60D0000}"/>
    <hyperlink ref="D3513" r:id="rId3512" xr:uid="{00000000-0004-0000-0100-0000B70D0000}"/>
    <hyperlink ref="D3514" r:id="rId3513" xr:uid="{00000000-0004-0000-0100-0000B80D0000}"/>
    <hyperlink ref="D3515" r:id="rId3514" xr:uid="{00000000-0004-0000-0100-0000B90D0000}"/>
    <hyperlink ref="D3516" r:id="rId3515" xr:uid="{00000000-0004-0000-0100-0000BA0D0000}"/>
    <hyperlink ref="D3517" r:id="rId3516" xr:uid="{00000000-0004-0000-0100-0000BB0D0000}"/>
    <hyperlink ref="D3518" r:id="rId3517" xr:uid="{00000000-0004-0000-0100-0000BC0D0000}"/>
    <hyperlink ref="D3519" r:id="rId3518" xr:uid="{00000000-0004-0000-0100-0000BD0D0000}"/>
    <hyperlink ref="D3520" r:id="rId3519" xr:uid="{00000000-0004-0000-0100-0000BE0D0000}"/>
    <hyperlink ref="D3521" r:id="rId3520" xr:uid="{00000000-0004-0000-0100-0000BF0D0000}"/>
    <hyperlink ref="D3522" r:id="rId3521" xr:uid="{00000000-0004-0000-0100-0000C00D0000}"/>
    <hyperlink ref="D3523" r:id="rId3522" xr:uid="{00000000-0004-0000-0100-0000C10D0000}"/>
    <hyperlink ref="D3524" r:id="rId3523" xr:uid="{00000000-0004-0000-0100-0000C20D0000}"/>
    <hyperlink ref="D3525" r:id="rId3524" xr:uid="{00000000-0004-0000-0100-0000C30D0000}"/>
    <hyperlink ref="D3526" r:id="rId3525" xr:uid="{00000000-0004-0000-0100-0000C40D0000}"/>
    <hyperlink ref="D3527" r:id="rId3526" xr:uid="{00000000-0004-0000-0100-0000C50D0000}"/>
    <hyperlink ref="D3528" r:id="rId3527" xr:uid="{00000000-0004-0000-0100-0000C60D0000}"/>
    <hyperlink ref="D3529" r:id="rId3528" xr:uid="{00000000-0004-0000-0100-0000C70D0000}"/>
    <hyperlink ref="D3530" r:id="rId3529" xr:uid="{00000000-0004-0000-0100-0000C80D0000}"/>
    <hyperlink ref="D3531" r:id="rId3530" xr:uid="{00000000-0004-0000-0100-0000C90D0000}"/>
    <hyperlink ref="D3532" r:id="rId3531" xr:uid="{00000000-0004-0000-0100-0000CA0D0000}"/>
    <hyperlink ref="D3533" r:id="rId3532" xr:uid="{00000000-0004-0000-0100-0000CB0D0000}"/>
    <hyperlink ref="D3534" r:id="rId3533" xr:uid="{00000000-0004-0000-0100-0000CC0D0000}"/>
    <hyperlink ref="D3535" r:id="rId3534" xr:uid="{00000000-0004-0000-0100-0000CD0D0000}"/>
    <hyperlink ref="D3536" r:id="rId3535" xr:uid="{00000000-0004-0000-0100-0000CE0D0000}"/>
    <hyperlink ref="D3537" r:id="rId3536" xr:uid="{00000000-0004-0000-0100-0000CF0D0000}"/>
    <hyperlink ref="D3538" r:id="rId3537" xr:uid="{00000000-0004-0000-0100-0000D00D0000}"/>
    <hyperlink ref="D3539" r:id="rId3538" xr:uid="{00000000-0004-0000-0100-0000D10D0000}"/>
    <hyperlink ref="D3540" r:id="rId3539" xr:uid="{00000000-0004-0000-0100-0000D20D0000}"/>
    <hyperlink ref="D3541" r:id="rId3540" xr:uid="{00000000-0004-0000-0100-0000D30D0000}"/>
    <hyperlink ref="D3542" r:id="rId3541" xr:uid="{00000000-0004-0000-0100-0000D40D0000}"/>
    <hyperlink ref="D3543" r:id="rId3542" xr:uid="{00000000-0004-0000-0100-0000D50D0000}"/>
    <hyperlink ref="D3544" r:id="rId3543" xr:uid="{00000000-0004-0000-0100-0000D60D0000}"/>
    <hyperlink ref="D3545" r:id="rId3544" xr:uid="{00000000-0004-0000-0100-0000D70D0000}"/>
    <hyperlink ref="D3546" r:id="rId3545" xr:uid="{00000000-0004-0000-0100-0000D80D0000}"/>
    <hyperlink ref="D3547" r:id="rId3546" xr:uid="{00000000-0004-0000-0100-0000D90D0000}"/>
    <hyperlink ref="D3548" r:id="rId3547" xr:uid="{00000000-0004-0000-0100-0000DA0D0000}"/>
    <hyperlink ref="D3549" r:id="rId3548" xr:uid="{00000000-0004-0000-0100-0000DB0D0000}"/>
    <hyperlink ref="D3550" r:id="rId3549" xr:uid="{00000000-0004-0000-0100-0000DC0D0000}"/>
    <hyperlink ref="D3551" r:id="rId3550" xr:uid="{00000000-0004-0000-0100-0000DD0D0000}"/>
    <hyperlink ref="D3552" r:id="rId3551" xr:uid="{00000000-0004-0000-0100-0000DE0D0000}"/>
    <hyperlink ref="D3553" r:id="rId3552" xr:uid="{00000000-0004-0000-0100-0000DF0D0000}"/>
    <hyperlink ref="D3554" r:id="rId3553" xr:uid="{00000000-0004-0000-0100-0000E00D0000}"/>
    <hyperlink ref="D3555" r:id="rId3554" xr:uid="{00000000-0004-0000-0100-0000E10D0000}"/>
    <hyperlink ref="D3556" r:id="rId3555" xr:uid="{00000000-0004-0000-0100-0000E20D0000}"/>
    <hyperlink ref="D3557" r:id="rId3556" xr:uid="{00000000-0004-0000-0100-0000E30D0000}"/>
    <hyperlink ref="D3558" r:id="rId3557" xr:uid="{00000000-0004-0000-0100-0000E40D0000}"/>
    <hyperlink ref="D3559" r:id="rId3558" xr:uid="{00000000-0004-0000-0100-0000E50D0000}"/>
    <hyperlink ref="D3560" r:id="rId3559" xr:uid="{00000000-0004-0000-0100-0000E60D0000}"/>
    <hyperlink ref="D3561" r:id="rId3560" xr:uid="{00000000-0004-0000-0100-0000E70D0000}"/>
    <hyperlink ref="D3562" r:id="rId3561" xr:uid="{00000000-0004-0000-0100-0000E80D0000}"/>
    <hyperlink ref="D3563" r:id="rId3562" xr:uid="{00000000-0004-0000-0100-0000E90D0000}"/>
    <hyperlink ref="D3564" r:id="rId3563" xr:uid="{00000000-0004-0000-0100-0000EA0D0000}"/>
    <hyperlink ref="D3565" r:id="rId3564" xr:uid="{00000000-0004-0000-0100-0000EB0D0000}"/>
    <hyperlink ref="D3566" r:id="rId3565" xr:uid="{00000000-0004-0000-0100-0000EC0D0000}"/>
    <hyperlink ref="D3567" r:id="rId3566" xr:uid="{00000000-0004-0000-0100-0000ED0D0000}"/>
    <hyperlink ref="D3568" r:id="rId3567" xr:uid="{00000000-0004-0000-0100-0000EE0D0000}"/>
    <hyperlink ref="D3569" r:id="rId3568" xr:uid="{00000000-0004-0000-0100-0000EF0D0000}"/>
    <hyperlink ref="D3570" r:id="rId3569" xr:uid="{00000000-0004-0000-0100-0000F00D0000}"/>
    <hyperlink ref="D3571" r:id="rId3570" xr:uid="{00000000-0004-0000-0100-0000F10D0000}"/>
    <hyperlink ref="D3572" r:id="rId3571" xr:uid="{00000000-0004-0000-0100-0000F20D0000}"/>
    <hyperlink ref="D3573" r:id="rId3572" xr:uid="{00000000-0004-0000-0100-0000F30D0000}"/>
    <hyperlink ref="D3574" r:id="rId3573" xr:uid="{00000000-0004-0000-0100-0000F40D0000}"/>
    <hyperlink ref="D3575" r:id="rId3574" xr:uid="{00000000-0004-0000-0100-0000F50D0000}"/>
    <hyperlink ref="D3576" r:id="rId3575" xr:uid="{00000000-0004-0000-0100-0000F60D0000}"/>
    <hyperlink ref="D3577" r:id="rId3576" xr:uid="{00000000-0004-0000-0100-0000F70D0000}"/>
    <hyperlink ref="D3578" r:id="rId3577" xr:uid="{00000000-0004-0000-0100-0000F80D0000}"/>
    <hyperlink ref="D3579" r:id="rId3578" xr:uid="{00000000-0004-0000-0100-0000F90D0000}"/>
    <hyperlink ref="D3580" r:id="rId3579" xr:uid="{00000000-0004-0000-0100-0000FA0D0000}"/>
    <hyperlink ref="D3581" r:id="rId3580" xr:uid="{00000000-0004-0000-0100-0000FB0D0000}"/>
    <hyperlink ref="D3582" r:id="rId3581" xr:uid="{00000000-0004-0000-0100-0000FC0D0000}"/>
    <hyperlink ref="D3583" r:id="rId3582" xr:uid="{00000000-0004-0000-0100-0000FD0D0000}"/>
    <hyperlink ref="D3584" r:id="rId3583" xr:uid="{00000000-0004-0000-0100-0000FE0D0000}"/>
    <hyperlink ref="D3585" r:id="rId3584" xr:uid="{00000000-0004-0000-0100-0000FF0D0000}"/>
    <hyperlink ref="D3586" r:id="rId3585" xr:uid="{00000000-0004-0000-0100-0000000E0000}"/>
    <hyperlink ref="D3587" r:id="rId3586" xr:uid="{00000000-0004-0000-0100-0000010E0000}"/>
    <hyperlink ref="D3588" r:id="rId3587" xr:uid="{00000000-0004-0000-0100-0000020E0000}"/>
    <hyperlink ref="D3589" r:id="rId3588" xr:uid="{00000000-0004-0000-0100-0000030E0000}"/>
    <hyperlink ref="D3590" r:id="rId3589" xr:uid="{00000000-0004-0000-0100-0000040E0000}"/>
    <hyperlink ref="D3591" r:id="rId3590" xr:uid="{00000000-0004-0000-0100-0000050E0000}"/>
    <hyperlink ref="D3592" r:id="rId3591" xr:uid="{00000000-0004-0000-0100-0000060E0000}"/>
    <hyperlink ref="D3593" r:id="rId3592" xr:uid="{00000000-0004-0000-0100-0000070E0000}"/>
    <hyperlink ref="D3594" r:id="rId3593" xr:uid="{00000000-0004-0000-0100-0000080E0000}"/>
    <hyperlink ref="D3595" r:id="rId3594" xr:uid="{00000000-0004-0000-0100-0000090E0000}"/>
    <hyperlink ref="D3596" r:id="rId3595" xr:uid="{00000000-0004-0000-0100-00000A0E0000}"/>
    <hyperlink ref="D3597" r:id="rId3596" xr:uid="{00000000-0004-0000-0100-00000B0E0000}"/>
    <hyperlink ref="D3598" r:id="rId3597" xr:uid="{00000000-0004-0000-0100-00000C0E0000}"/>
    <hyperlink ref="D3599" r:id="rId3598" xr:uid="{00000000-0004-0000-0100-00000D0E0000}"/>
    <hyperlink ref="D3600" r:id="rId3599" xr:uid="{00000000-0004-0000-0100-00000E0E0000}"/>
    <hyperlink ref="D3601" r:id="rId3600" xr:uid="{00000000-0004-0000-0100-00000F0E0000}"/>
    <hyperlink ref="D3602" r:id="rId3601" xr:uid="{00000000-0004-0000-0100-0000100E0000}"/>
    <hyperlink ref="D3603" r:id="rId3602" xr:uid="{00000000-0004-0000-0100-0000110E0000}"/>
    <hyperlink ref="D3604" r:id="rId3603" xr:uid="{00000000-0004-0000-0100-0000120E0000}"/>
    <hyperlink ref="D3605" r:id="rId3604" xr:uid="{00000000-0004-0000-0100-0000130E0000}"/>
    <hyperlink ref="D3606" r:id="rId3605" xr:uid="{00000000-0004-0000-0100-0000140E0000}"/>
    <hyperlink ref="D3607" r:id="rId3606" xr:uid="{00000000-0004-0000-0100-0000150E0000}"/>
    <hyperlink ref="D3608" r:id="rId3607" xr:uid="{00000000-0004-0000-0100-0000160E0000}"/>
    <hyperlink ref="D3609" r:id="rId3608" xr:uid="{00000000-0004-0000-0100-0000170E0000}"/>
    <hyperlink ref="D3610" r:id="rId3609" xr:uid="{00000000-0004-0000-0100-0000180E0000}"/>
    <hyperlink ref="D3611" r:id="rId3610" xr:uid="{00000000-0004-0000-0100-0000190E0000}"/>
    <hyperlink ref="D3612" r:id="rId3611" xr:uid="{00000000-0004-0000-0100-00001A0E0000}"/>
    <hyperlink ref="D3613" r:id="rId3612" xr:uid="{00000000-0004-0000-0100-00001B0E0000}"/>
    <hyperlink ref="D3614" r:id="rId3613" xr:uid="{00000000-0004-0000-0100-00001C0E0000}"/>
    <hyperlink ref="D3615" r:id="rId3614" xr:uid="{00000000-0004-0000-0100-00001D0E0000}"/>
    <hyperlink ref="D3616" r:id="rId3615" xr:uid="{00000000-0004-0000-0100-00001E0E0000}"/>
    <hyperlink ref="D3617" r:id="rId3616" xr:uid="{00000000-0004-0000-0100-00001F0E0000}"/>
    <hyperlink ref="D3618" r:id="rId3617" xr:uid="{00000000-0004-0000-0100-0000200E0000}"/>
    <hyperlink ref="D3619" r:id="rId3618" xr:uid="{00000000-0004-0000-0100-0000210E0000}"/>
    <hyperlink ref="D3620" r:id="rId3619" xr:uid="{00000000-0004-0000-0100-0000220E0000}"/>
    <hyperlink ref="D3621" r:id="rId3620" xr:uid="{00000000-0004-0000-0100-0000230E0000}"/>
    <hyperlink ref="D3622" r:id="rId3621" xr:uid="{00000000-0004-0000-0100-0000240E0000}"/>
    <hyperlink ref="D3623" r:id="rId3622" xr:uid="{00000000-0004-0000-0100-0000250E0000}"/>
    <hyperlink ref="D3624" r:id="rId3623" xr:uid="{00000000-0004-0000-0100-0000260E0000}"/>
    <hyperlink ref="D3625" r:id="rId3624" xr:uid="{00000000-0004-0000-0100-0000270E0000}"/>
    <hyperlink ref="D3626" r:id="rId3625" xr:uid="{00000000-0004-0000-0100-0000280E0000}"/>
    <hyperlink ref="D3627" r:id="rId3626" xr:uid="{00000000-0004-0000-0100-0000290E0000}"/>
    <hyperlink ref="D3628" r:id="rId3627" xr:uid="{00000000-0004-0000-0100-00002A0E0000}"/>
    <hyperlink ref="D3629" r:id="rId3628" xr:uid="{00000000-0004-0000-0100-00002B0E0000}"/>
    <hyperlink ref="D3630" r:id="rId3629" xr:uid="{00000000-0004-0000-0100-00002C0E0000}"/>
    <hyperlink ref="D3631" r:id="rId3630" xr:uid="{00000000-0004-0000-0100-00002D0E0000}"/>
    <hyperlink ref="D3632" r:id="rId3631" xr:uid="{00000000-0004-0000-0100-00002E0E0000}"/>
    <hyperlink ref="D3633" r:id="rId3632" xr:uid="{00000000-0004-0000-0100-00002F0E0000}"/>
    <hyperlink ref="D3634" r:id="rId3633" xr:uid="{00000000-0004-0000-0100-0000300E0000}"/>
    <hyperlink ref="D3635" r:id="rId3634" xr:uid="{00000000-0004-0000-0100-0000310E0000}"/>
    <hyperlink ref="D3636" r:id="rId3635" xr:uid="{00000000-0004-0000-0100-0000320E0000}"/>
    <hyperlink ref="D3637" r:id="rId3636" xr:uid="{00000000-0004-0000-0100-0000330E0000}"/>
    <hyperlink ref="D3638" r:id="rId3637" xr:uid="{00000000-0004-0000-0100-0000340E0000}"/>
    <hyperlink ref="D3639" r:id="rId3638" xr:uid="{00000000-0004-0000-0100-0000350E0000}"/>
    <hyperlink ref="D3640" r:id="rId3639" xr:uid="{00000000-0004-0000-0100-0000360E0000}"/>
    <hyperlink ref="D3641" r:id="rId3640" xr:uid="{00000000-0004-0000-0100-0000370E0000}"/>
    <hyperlink ref="D3642" r:id="rId3641" xr:uid="{00000000-0004-0000-0100-0000380E0000}"/>
    <hyperlink ref="D3643" r:id="rId3642" xr:uid="{00000000-0004-0000-0100-0000390E0000}"/>
    <hyperlink ref="D3644" r:id="rId3643" xr:uid="{00000000-0004-0000-0100-00003A0E0000}"/>
    <hyperlink ref="D3645" r:id="rId3644" xr:uid="{00000000-0004-0000-0100-00003B0E0000}"/>
    <hyperlink ref="D3646" r:id="rId3645" xr:uid="{00000000-0004-0000-0100-00003C0E0000}"/>
    <hyperlink ref="D3647" r:id="rId3646" xr:uid="{00000000-0004-0000-0100-00003D0E0000}"/>
    <hyperlink ref="D3648" r:id="rId3647" xr:uid="{00000000-0004-0000-0100-00003E0E0000}"/>
    <hyperlink ref="D3649" r:id="rId3648" xr:uid="{00000000-0004-0000-0100-00003F0E0000}"/>
    <hyperlink ref="D3650" r:id="rId3649" xr:uid="{00000000-0004-0000-0100-0000400E0000}"/>
    <hyperlink ref="D3651" r:id="rId3650" xr:uid="{00000000-0004-0000-0100-0000410E0000}"/>
    <hyperlink ref="D3652" r:id="rId3651" xr:uid="{00000000-0004-0000-0100-0000420E0000}"/>
    <hyperlink ref="D3653" r:id="rId3652" xr:uid="{00000000-0004-0000-0100-0000430E0000}"/>
    <hyperlink ref="D3654" r:id="rId3653" xr:uid="{00000000-0004-0000-0100-0000440E0000}"/>
    <hyperlink ref="D3655" r:id="rId3654" xr:uid="{00000000-0004-0000-0100-0000450E0000}"/>
    <hyperlink ref="D3656" r:id="rId3655" xr:uid="{00000000-0004-0000-0100-0000460E0000}"/>
    <hyperlink ref="D3657" r:id="rId3656" xr:uid="{00000000-0004-0000-0100-0000470E0000}"/>
    <hyperlink ref="D3658" r:id="rId3657" xr:uid="{00000000-0004-0000-0100-0000480E0000}"/>
    <hyperlink ref="D3659" r:id="rId3658" xr:uid="{00000000-0004-0000-0100-0000490E0000}"/>
    <hyperlink ref="D3660" r:id="rId3659" xr:uid="{00000000-0004-0000-0100-00004A0E0000}"/>
    <hyperlink ref="D3661" r:id="rId3660" xr:uid="{00000000-0004-0000-0100-00004B0E0000}"/>
    <hyperlink ref="D3662" r:id="rId3661" xr:uid="{00000000-0004-0000-0100-00004C0E0000}"/>
    <hyperlink ref="D3663" r:id="rId3662" xr:uid="{00000000-0004-0000-0100-00004D0E0000}"/>
    <hyperlink ref="D3664" r:id="rId3663" xr:uid="{00000000-0004-0000-0100-00004E0E0000}"/>
    <hyperlink ref="D3665" r:id="rId3664" xr:uid="{00000000-0004-0000-0100-00004F0E0000}"/>
    <hyperlink ref="D3666" r:id="rId3665" xr:uid="{00000000-0004-0000-0100-0000500E0000}"/>
    <hyperlink ref="D3667" r:id="rId3666" xr:uid="{00000000-0004-0000-0100-0000510E0000}"/>
    <hyperlink ref="D3668" r:id="rId3667" xr:uid="{00000000-0004-0000-0100-0000520E0000}"/>
    <hyperlink ref="D3669" r:id="rId3668" xr:uid="{00000000-0004-0000-0100-0000530E0000}"/>
    <hyperlink ref="D3670" r:id="rId3669" xr:uid="{00000000-0004-0000-0100-0000540E0000}"/>
    <hyperlink ref="D3671" r:id="rId3670" xr:uid="{00000000-0004-0000-0100-0000550E0000}"/>
    <hyperlink ref="D3672" r:id="rId3671" xr:uid="{00000000-0004-0000-0100-0000560E0000}"/>
    <hyperlink ref="D3673" r:id="rId3672" xr:uid="{00000000-0004-0000-0100-0000570E0000}"/>
    <hyperlink ref="D3674" r:id="rId3673" xr:uid="{00000000-0004-0000-0100-0000580E0000}"/>
    <hyperlink ref="D3675" r:id="rId3674" xr:uid="{00000000-0004-0000-0100-0000590E0000}"/>
    <hyperlink ref="D3676" r:id="rId3675" xr:uid="{00000000-0004-0000-0100-00005A0E0000}"/>
    <hyperlink ref="D3677" r:id="rId3676" xr:uid="{00000000-0004-0000-0100-00005B0E0000}"/>
    <hyperlink ref="D3678" r:id="rId3677" xr:uid="{00000000-0004-0000-0100-00005C0E0000}"/>
    <hyperlink ref="D3679" r:id="rId3678" xr:uid="{00000000-0004-0000-0100-00005D0E0000}"/>
    <hyperlink ref="D3680" r:id="rId3679" xr:uid="{00000000-0004-0000-0100-00005E0E0000}"/>
    <hyperlink ref="D3681" r:id="rId3680" xr:uid="{00000000-0004-0000-0100-00005F0E0000}"/>
    <hyperlink ref="D3682" r:id="rId3681" xr:uid="{00000000-0004-0000-0100-0000600E0000}"/>
    <hyperlink ref="D3683" r:id="rId3682" xr:uid="{00000000-0004-0000-0100-0000610E0000}"/>
    <hyperlink ref="D3684" r:id="rId3683" xr:uid="{00000000-0004-0000-0100-0000620E0000}"/>
    <hyperlink ref="D3685" r:id="rId3684" xr:uid="{00000000-0004-0000-0100-0000630E0000}"/>
    <hyperlink ref="D3686" r:id="rId3685" xr:uid="{00000000-0004-0000-0100-0000640E0000}"/>
    <hyperlink ref="D3687" r:id="rId3686" xr:uid="{00000000-0004-0000-0100-0000650E0000}"/>
    <hyperlink ref="D3688" r:id="rId3687" xr:uid="{00000000-0004-0000-0100-0000660E0000}"/>
    <hyperlink ref="D3689" r:id="rId3688" xr:uid="{00000000-0004-0000-0100-0000670E0000}"/>
    <hyperlink ref="D3690" r:id="rId3689" xr:uid="{00000000-0004-0000-0100-0000680E0000}"/>
    <hyperlink ref="D3691" r:id="rId3690" xr:uid="{00000000-0004-0000-0100-0000690E0000}"/>
    <hyperlink ref="D3692" r:id="rId3691" xr:uid="{00000000-0004-0000-0100-00006A0E0000}"/>
    <hyperlink ref="D3693" r:id="rId3692" xr:uid="{00000000-0004-0000-0100-00006B0E0000}"/>
    <hyperlink ref="D3694" r:id="rId3693" xr:uid="{00000000-0004-0000-0100-00006C0E0000}"/>
    <hyperlink ref="D3695" r:id="rId3694" xr:uid="{00000000-0004-0000-0100-00006D0E0000}"/>
    <hyperlink ref="D3696" r:id="rId3695" xr:uid="{00000000-0004-0000-0100-00006E0E0000}"/>
    <hyperlink ref="D3697" r:id="rId3696" xr:uid="{00000000-0004-0000-0100-00006F0E0000}"/>
    <hyperlink ref="D3698" r:id="rId3697" xr:uid="{00000000-0004-0000-0100-0000700E0000}"/>
    <hyperlink ref="D3699" r:id="rId3698" xr:uid="{00000000-0004-0000-0100-0000710E0000}"/>
    <hyperlink ref="D3700" r:id="rId3699" xr:uid="{00000000-0004-0000-0100-0000720E0000}"/>
    <hyperlink ref="D3701" r:id="rId3700" xr:uid="{00000000-0004-0000-0100-0000730E0000}"/>
    <hyperlink ref="D3702" r:id="rId3701" xr:uid="{00000000-0004-0000-0100-0000740E0000}"/>
    <hyperlink ref="D3703" r:id="rId3702" xr:uid="{00000000-0004-0000-0100-0000750E0000}"/>
    <hyperlink ref="D3704" r:id="rId3703" xr:uid="{00000000-0004-0000-0100-0000760E0000}"/>
    <hyperlink ref="D3705" r:id="rId3704" xr:uid="{00000000-0004-0000-0100-0000770E0000}"/>
    <hyperlink ref="D3706" r:id="rId3705" xr:uid="{00000000-0004-0000-0100-0000780E0000}"/>
    <hyperlink ref="D3707" r:id="rId3706" xr:uid="{00000000-0004-0000-0100-0000790E0000}"/>
    <hyperlink ref="D3708" r:id="rId3707" xr:uid="{00000000-0004-0000-0100-00007A0E0000}"/>
    <hyperlink ref="D3709" r:id="rId3708" xr:uid="{00000000-0004-0000-0100-00007B0E0000}"/>
    <hyperlink ref="D3710" r:id="rId3709" xr:uid="{00000000-0004-0000-0100-00007C0E0000}"/>
    <hyperlink ref="D3711" r:id="rId3710" xr:uid="{00000000-0004-0000-0100-00007D0E0000}"/>
    <hyperlink ref="D3712" r:id="rId3711" xr:uid="{00000000-0004-0000-0100-00007E0E0000}"/>
    <hyperlink ref="D3713" r:id="rId3712" xr:uid="{00000000-0004-0000-0100-00007F0E0000}"/>
    <hyperlink ref="D3714" r:id="rId3713" xr:uid="{00000000-0004-0000-0100-0000800E0000}"/>
    <hyperlink ref="D3715" r:id="rId3714" xr:uid="{00000000-0004-0000-0100-0000810E0000}"/>
    <hyperlink ref="D3716" r:id="rId3715" xr:uid="{00000000-0004-0000-0100-0000820E0000}"/>
    <hyperlink ref="D3717" r:id="rId3716" xr:uid="{00000000-0004-0000-0100-0000830E0000}"/>
    <hyperlink ref="D3718" r:id="rId3717" xr:uid="{00000000-0004-0000-0100-0000840E0000}"/>
    <hyperlink ref="D3719" r:id="rId3718" xr:uid="{00000000-0004-0000-0100-0000850E0000}"/>
    <hyperlink ref="D3720" r:id="rId3719" xr:uid="{00000000-0004-0000-0100-0000860E0000}"/>
    <hyperlink ref="D3721" r:id="rId3720" xr:uid="{00000000-0004-0000-0100-0000870E0000}"/>
    <hyperlink ref="D3722" r:id="rId3721" xr:uid="{00000000-0004-0000-0100-0000880E0000}"/>
    <hyperlink ref="D3723" r:id="rId3722" xr:uid="{00000000-0004-0000-0100-0000890E0000}"/>
    <hyperlink ref="D3724" r:id="rId3723" xr:uid="{00000000-0004-0000-0100-00008A0E0000}"/>
    <hyperlink ref="D3725" r:id="rId3724" xr:uid="{00000000-0004-0000-0100-00008B0E0000}"/>
    <hyperlink ref="D3726" r:id="rId3725" xr:uid="{00000000-0004-0000-0100-00008C0E0000}"/>
    <hyperlink ref="D3727" r:id="rId3726" xr:uid="{00000000-0004-0000-0100-00008D0E0000}"/>
    <hyperlink ref="D3728" r:id="rId3727" xr:uid="{00000000-0004-0000-0100-00008E0E0000}"/>
    <hyperlink ref="D3729" r:id="rId3728" xr:uid="{00000000-0004-0000-0100-00008F0E0000}"/>
    <hyperlink ref="D3730" r:id="rId3729" xr:uid="{00000000-0004-0000-0100-0000900E0000}"/>
    <hyperlink ref="D3731" r:id="rId3730" xr:uid="{00000000-0004-0000-0100-0000910E0000}"/>
    <hyperlink ref="D3732" r:id="rId3731" xr:uid="{00000000-0004-0000-0100-0000920E0000}"/>
    <hyperlink ref="D3733" r:id="rId3732" xr:uid="{00000000-0004-0000-0100-0000930E0000}"/>
    <hyperlink ref="D3734" r:id="rId3733" xr:uid="{00000000-0004-0000-0100-0000940E0000}"/>
    <hyperlink ref="D3735" r:id="rId3734" xr:uid="{00000000-0004-0000-0100-0000950E0000}"/>
    <hyperlink ref="D3736" r:id="rId3735" xr:uid="{00000000-0004-0000-0100-0000960E0000}"/>
    <hyperlink ref="D3737" r:id="rId3736" xr:uid="{00000000-0004-0000-0100-0000970E0000}"/>
    <hyperlink ref="D3738" r:id="rId3737" xr:uid="{00000000-0004-0000-0100-0000980E0000}"/>
    <hyperlink ref="D3739" r:id="rId3738" xr:uid="{00000000-0004-0000-0100-0000990E0000}"/>
    <hyperlink ref="D3740" r:id="rId3739" xr:uid="{00000000-0004-0000-0100-00009A0E0000}"/>
    <hyperlink ref="D3741" r:id="rId3740" xr:uid="{00000000-0004-0000-0100-00009B0E0000}"/>
    <hyperlink ref="D3742" r:id="rId3741" xr:uid="{00000000-0004-0000-0100-00009C0E0000}"/>
    <hyperlink ref="D3743" r:id="rId3742" xr:uid="{00000000-0004-0000-0100-00009D0E0000}"/>
    <hyperlink ref="D3744" r:id="rId3743" xr:uid="{00000000-0004-0000-0100-00009E0E0000}"/>
    <hyperlink ref="D3745" r:id="rId3744" xr:uid="{00000000-0004-0000-0100-00009F0E0000}"/>
    <hyperlink ref="D3746" r:id="rId3745" xr:uid="{00000000-0004-0000-0100-0000A00E0000}"/>
    <hyperlink ref="D3747" r:id="rId3746" xr:uid="{00000000-0004-0000-0100-0000A10E0000}"/>
    <hyperlink ref="D3748" r:id="rId3747" xr:uid="{00000000-0004-0000-0100-0000A20E0000}"/>
    <hyperlink ref="D3749" r:id="rId3748" xr:uid="{00000000-0004-0000-0100-0000A30E0000}"/>
    <hyperlink ref="D3750" r:id="rId3749" xr:uid="{00000000-0004-0000-0100-0000A40E0000}"/>
    <hyperlink ref="D3751" r:id="rId3750" xr:uid="{00000000-0004-0000-0100-0000A50E0000}"/>
    <hyperlink ref="D3752" r:id="rId3751" xr:uid="{00000000-0004-0000-0100-0000A60E0000}"/>
    <hyperlink ref="D3753" r:id="rId3752" xr:uid="{00000000-0004-0000-0100-0000A70E0000}"/>
    <hyperlink ref="D3754" r:id="rId3753" xr:uid="{00000000-0004-0000-0100-0000A80E0000}"/>
    <hyperlink ref="D3755" r:id="rId3754" xr:uid="{00000000-0004-0000-0100-0000A90E0000}"/>
    <hyperlink ref="D3756" r:id="rId3755" xr:uid="{00000000-0004-0000-0100-0000AA0E0000}"/>
    <hyperlink ref="D3757" r:id="rId3756" xr:uid="{00000000-0004-0000-0100-0000AB0E0000}"/>
    <hyperlink ref="D3758" r:id="rId3757" xr:uid="{00000000-0004-0000-0100-0000AC0E0000}"/>
    <hyperlink ref="D3759" r:id="rId3758" xr:uid="{00000000-0004-0000-0100-0000AD0E0000}"/>
    <hyperlink ref="D3760" r:id="rId3759" xr:uid="{00000000-0004-0000-0100-0000AE0E0000}"/>
    <hyperlink ref="D3761" r:id="rId3760" xr:uid="{00000000-0004-0000-0100-0000AF0E0000}"/>
    <hyperlink ref="D3762" r:id="rId3761" xr:uid="{00000000-0004-0000-0100-0000B00E0000}"/>
    <hyperlink ref="D3763" r:id="rId3762" xr:uid="{00000000-0004-0000-0100-0000B10E0000}"/>
    <hyperlink ref="D3764" r:id="rId3763" xr:uid="{00000000-0004-0000-0100-0000B20E0000}"/>
    <hyperlink ref="D3765" r:id="rId3764" xr:uid="{00000000-0004-0000-0100-0000B30E0000}"/>
    <hyperlink ref="D3766" r:id="rId3765" xr:uid="{00000000-0004-0000-0100-0000B40E0000}"/>
    <hyperlink ref="D3767" r:id="rId3766" xr:uid="{00000000-0004-0000-0100-0000B50E0000}"/>
    <hyperlink ref="D3768" r:id="rId3767" xr:uid="{00000000-0004-0000-0100-0000B60E0000}"/>
    <hyperlink ref="D3769" r:id="rId3768" xr:uid="{00000000-0004-0000-0100-0000B70E0000}"/>
    <hyperlink ref="D3770" r:id="rId3769" xr:uid="{00000000-0004-0000-0100-0000B80E0000}"/>
    <hyperlink ref="D3771" r:id="rId3770" xr:uid="{00000000-0004-0000-0100-0000B90E0000}"/>
    <hyperlink ref="D3772" r:id="rId3771" xr:uid="{00000000-0004-0000-0100-0000BA0E0000}"/>
    <hyperlink ref="D3773" r:id="rId3772" xr:uid="{00000000-0004-0000-0100-0000BB0E0000}"/>
    <hyperlink ref="D3774" r:id="rId3773" xr:uid="{00000000-0004-0000-0100-0000BC0E0000}"/>
    <hyperlink ref="D3775" r:id="rId3774" xr:uid="{00000000-0004-0000-0100-0000BD0E0000}"/>
    <hyperlink ref="D3776" r:id="rId3775" xr:uid="{00000000-0004-0000-0100-0000BE0E0000}"/>
    <hyperlink ref="D3777" r:id="rId3776" xr:uid="{00000000-0004-0000-0100-0000BF0E0000}"/>
    <hyperlink ref="D3778" r:id="rId3777" xr:uid="{00000000-0004-0000-0100-0000C00E0000}"/>
    <hyperlink ref="D3779" r:id="rId3778" xr:uid="{00000000-0004-0000-0100-0000C10E0000}"/>
    <hyperlink ref="D3780" r:id="rId3779" xr:uid="{00000000-0004-0000-0100-0000C20E0000}"/>
    <hyperlink ref="D3781" r:id="rId3780" xr:uid="{00000000-0004-0000-0100-0000C30E0000}"/>
    <hyperlink ref="D3782" r:id="rId3781" xr:uid="{00000000-0004-0000-0100-0000C40E0000}"/>
    <hyperlink ref="D3783" r:id="rId3782" xr:uid="{00000000-0004-0000-0100-0000C50E0000}"/>
    <hyperlink ref="D3784" r:id="rId3783" xr:uid="{00000000-0004-0000-0100-0000C60E0000}"/>
    <hyperlink ref="D3785" r:id="rId3784" xr:uid="{00000000-0004-0000-0100-0000C70E0000}"/>
    <hyperlink ref="D3786" r:id="rId3785" xr:uid="{00000000-0004-0000-0100-0000C80E0000}"/>
    <hyperlink ref="D3787" r:id="rId3786" xr:uid="{00000000-0004-0000-0100-0000C90E0000}"/>
    <hyperlink ref="D3788" r:id="rId3787" xr:uid="{00000000-0004-0000-0100-0000CA0E0000}"/>
    <hyperlink ref="D3789" r:id="rId3788" xr:uid="{00000000-0004-0000-0100-0000CB0E0000}"/>
    <hyperlink ref="D3790" r:id="rId3789" xr:uid="{00000000-0004-0000-0100-0000CC0E0000}"/>
    <hyperlink ref="D3791" r:id="rId3790" xr:uid="{00000000-0004-0000-0100-0000CD0E0000}"/>
    <hyperlink ref="D3792" r:id="rId3791" xr:uid="{00000000-0004-0000-0100-0000CE0E0000}"/>
    <hyperlink ref="D3793" r:id="rId3792" xr:uid="{00000000-0004-0000-0100-0000CF0E0000}"/>
    <hyperlink ref="D3794" r:id="rId3793" xr:uid="{00000000-0004-0000-0100-0000D00E0000}"/>
    <hyperlink ref="D3795" r:id="rId3794" xr:uid="{00000000-0004-0000-0100-0000D10E0000}"/>
    <hyperlink ref="D3796" r:id="rId3795" xr:uid="{00000000-0004-0000-0100-0000D20E0000}"/>
    <hyperlink ref="D3797" r:id="rId3796" xr:uid="{00000000-0004-0000-0100-0000D30E0000}"/>
    <hyperlink ref="D3798" r:id="rId3797" xr:uid="{00000000-0004-0000-0100-0000D40E0000}"/>
    <hyperlink ref="D3799" r:id="rId3798" xr:uid="{00000000-0004-0000-0100-0000D50E0000}"/>
    <hyperlink ref="D3800" r:id="rId3799" xr:uid="{00000000-0004-0000-0100-0000D60E0000}"/>
    <hyperlink ref="D3801" r:id="rId3800" xr:uid="{00000000-0004-0000-0100-0000D70E0000}"/>
    <hyperlink ref="D3802" r:id="rId3801" xr:uid="{00000000-0004-0000-0100-0000D80E0000}"/>
    <hyperlink ref="D3803" r:id="rId3802" xr:uid="{00000000-0004-0000-0100-0000D90E0000}"/>
    <hyperlink ref="D3804" r:id="rId3803" xr:uid="{00000000-0004-0000-0100-0000DA0E0000}"/>
    <hyperlink ref="D3805" r:id="rId3804" xr:uid="{00000000-0004-0000-0100-0000DB0E0000}"/>
    <hyperlink ref="D3806" r:id="rId3805" xr:uid="{00000000-0004-0000-0100-0000DC0E0000}"/>
    <hyperlink ref="D3807" r:id="rId3806" xr:uid="{00000000-0004-0000-0100-0000DD0E0000}"/>
    <hyperlink ref="D3808" r:id="rId3807" xr:uid="{00000000-0004-0000-0100-0000DE0E0000}"/>
    <hyperlink ref="D3809" r:id="rId3808" xr:uid="{00000000-0004-0000-0100-0000DF0E0000}"/>
    <hyperlink ref="D3810" r:id="rId3809" xr:uid="{00000000-0004-0000-0100-0000E00E0000}"/>
    <hyperlink ref="D3811" r:id="rId3810" xr:uid="{00000000-0004-0000-0100-0000E10E0000}"/>
    <hyperlink ref="D3812" r:id="rId3811" xr:uid="{00000000-0004-0000-0100-0000E20E0000}"/>
    <hyperlink ref="D3813" r:id="rId3812" xr:uid="{00000000-0004-0000-0100-0000E30E0000}"/>
    <hyperlink ref="D3814" r:id="rId3813" xr:uid="{00000000-0004-0000-0100-0000E40E0000}"/>
    <hyperlink ref="D3815" r:id="rId3814" xr:uid="{00000000-0004-0000-0100-0000E50E0000}"/>
    <hyperlink ref="D3816" r:id="rId3815" xr:uid="{00000000-0004-0000-0100-0000E60E0000}"/>
    <hyperlink ref="D3817" r:id="rId3816" xr:uid="{00000000-0004-0000-0100-0000E70E0000}"/>
    <hyperlink ref="D3818" r:id="rId3817" xr:uid="{00000000-0004-0000-0100-0000E80E0000}"/>
    <hyperlink ref="D3819" r:id="rId3818" xr:uid="{00000000-0004-0000-0100-0000E90E0000}"/>
    <hyperlink ref="D3820" r:id="rId3819" xr:uid="{00000000-0004-0000-0100-0000EA0E0000}"/>
    <hyperlink ref="D3821" r:id="rId3820" xr:uid="{00000000-0004-0000-0100-0000EB0E0000}"/>
    <hyperlink ref="D3822" r:id="rId3821" xr:uid="{00000000-0004-0000-0100-0000EC0E0000}"/>
    <hyperlink ref="D3823" r:id="rId3822" xr:uid="{00000000-0004-0000-0100-0000ED0E0000}"/>
    <hyperlink ref="D3824" r:id="rId3823" xr:uid="{00000000-0004-0000-0100-0000EE0E0000}"/>
    <hyperlink ref="D3825" r:id="rId3824" xr:uid="{00000000-0004-0000-0100-0000EF0E0000}"/>
    <hyperlink ref="D3826" r:id="rId3825" xr:uid="{00000000-0004-0000-0100-0000F00E0000}"/>
    <hyperlink ref="D3827" r:id="rId3826" xr:uid="{00000000-0004-0000-0100-0000F10E0000}"/>
    <hyperlink ref="D3828" r:id="rId3827" xr:uid="{00000000-0004-0000-0100-0000F20E0000}"/>
    <hyperlink ref="D3829" r:id="rId3828" xr:uid="{00000000-0004-0000-0100-0000F30E0000}"/>
    <hyperlink ref="D3830" r:id="rId3829" xr:uid="{00000000-0004-0000-0100-0000F40E0000}"/>
    <hyperlink ref="D3831" r:id="rId3830" xr:uid="{00000000-0004-0000-0100-0000F50E0000}"/>
    <hyperlink ref="D3832" r:id="rId3831" xr:uid="{00000000-0004-0000-0100-0000F60E0000}"/>
    <hyperlink ref="D3833" r:id="rId3832" xr:uid="{00000000-0004-0000-0100-0000F70E0000}"/>
    <hyperlink ref="D3834" r:id="rId3833" xr:uid="{00000000-0004-0000-0100-0000F80E0000}"/>
    <hyperlink ref="D3835" r:id="rId3834" xr:uid="{00000000-0004-0000-0100-0000F90E0000}"/>
    <hyperlink ref="D3836" r:id="rId3835" xr:uid="{00000000-0004-0000-0100-0000FA0E0000}"/>
    <hyperlink ref="D3837" r:id="rId3836" xr:uid="{00000000-0004-0000-0100-0000FB0E0000}"/>
    <hyperlink ref="D3838" r:id="rId3837" xr:uid="{00000000-0004-0000-0100-0000FC0E0000}"/>
    <hyperlink ref="D3839" r:id="rId3838" xr:uid="{00000000-0004-0000-0100-0000FD0E0000}"/>
    <hyperlink ref="D3840" r:id="rId3839" xr:uid="{00000000-0004-0000-0100-0000FE0E0000}"/>
    <hyperlink ref="D3841" r:id="rId3840" xr:uid="{00000000-0004-0000-0100-0000FF0E0000}"/>
    <hyperlink ref="D3842" r:id="rId3841" xr:uid="{00000000-0004-0000-0100-0000000F0000}"/>
    <hyperlink ref="D3843" r:id="rId3842" xr:uid="{00000000-0004-0000-0100-0000010F0000}"/>
    <hyperlink ref="D3844" r:id="rId3843" xr:uid="{00000000-0004-0000-0100-0000020F0000}"/>
    <hyperlink ref="D3845" r:id="rId3844" xr:uid="{00000000-0004-0000-0100-0000030F0000}"/>
    <hyperlink ref="D3846" r:id="rId3845" xr:uid="{00000000-0004-0000-0100-0000040F0000}"/>
    <hyperlink ref="D3847" r:id="rId3846" xr:uid="{00000000-0004-0000-0100-0000050F0000}"/>
    <hyperlink ref="D3848" r:id="rId3847" xr:uid="{00000000-0004-0000-0100-0000060F0000}"/>
    <hyperlink ref="D3849" r:id="rId3848" xr:uid="{00000000-0004-0000-0100-0000070F0000}"/>
    <hyperlink ref="D3850" r:id="rId3849" xr:uid="{00000000-0004-0000-0100-0000080F0000}"/>
    <hyperlink ref="D3851" r:id="rId3850" xr:uid="{00000000-0004-0000-0100-0000090F0000}"/>
    <hyperlink ref="D3852" r:id="rId3851" xr:uid="{00000000-0004-0000-0100-00000A0F0000}"/>
    <hyperlink ref="D3853" r:id="rId3852" xr:uid="{00000000-0004-0000-0100-00000B0F0000}"/>
    <hyperlink ref="D3854" r:id="rId3853" xr:uid="{00000000-0004-0000-0100-00000C0F0000}"/>
    <hyperlink ref="D3855" r:id="rId3854" xr:uid="{00000000-0004-0000-0100-00000D0F0000}"/>
    <hyperlink ref="D3856" r:id="rId3855" xr:uid="{00000000-0004-0000-0100-00000E0F0000}"/>
    <hyperlink ref="D3857" r:id="rId3856" xr:uid="{00000000-0004-0000-0100-00000F0F0000}"/>
    <hyperlink ref="D3858" r:id="rId3857" xr:uid="{00000000-0004-0000-0100-0000100F0000}"/>
    <hyperlink ref="D3859" r:id="rId3858" xr:uid="{00000000-0004-0000-0100-0000110F0000}"/>
    <hyperlink ref="D3860" r:id="rId3859" xr:uid="{00000000-0004-0000-0100-0000120F0000}"/>
    <hyperlink ref="D3861" r:id="rId3860" xr:uid="{00000000-0004-0000-0100-0000130F0000}"/>
    <hyperlink ref="D3862" r:id="rId3861" xr:uid="{00000000-0004-0000-0100-0000140F0000}"/>
    <hyperlink ref="D3863" r:id="rId3862" xr:uid="{00000000-0004-0000-0100-0000150F0000}"/>
    <hyperlink ref="D3864" r:id="rId3863" xr:uid="{00000000-0004-0000-0100-0000160F0000}"/>
    <hyperlink ref="D3865" r:id="rId3864" xr:uid="{00000000-0004-0000-0100-0000170F0000}"/>
    <hyperlink ref="D3866" r:id="rId3865" xr:uid="{00000000-0004-0000-0100-0000180F0000}"/>
    <hyperlink ref="D3867" r:id="rId3866" xr:uid="{00000000-0004-0000-0100-0000190F0000}"/>
    <hyperlink ref="D3868" r:id="rId3867" xr:uid="{00000000-0004-0000-0100-00001A0F0000}"/>
    <hyperlink ref="D3869" r:id="rId3868" xr:uid="{00000000-0004-0000-0100-00001B0F0000}"/>
    <hyperlink ref="D3870" r:id="rId3869" xr:uid="{00000000-0004-0000-0100-00001C0F0000}"/>
    <hyperlink ref="D3871" r:id="rId3870" xr:uid="{00000000-0004-0000-0100-00001D0F0000}"/>
    <hyperlink ref="D3872" r:id="rId3871" xr:uid="{00000000-0004-0000-0100-00001E0F0000}"/>
    <hyperlink ref="D3873" r:id="rId3872" xr:uid="{00000000-0004-0000-0100-00001F0F0000}"/>
    <hyperlink ref="D3874" r:id="rId3873" xr:uid="{00000000-0004-0000-0100-0000200F0000}"/>
    <hyperlink ref="D3875" r:id="rId3874" xr:uid="{00000000-0004-0000-0100-0000210F0000}"/>
    <hyperlink ref="D3876" r:id="rId3875" xr:uid="{00000000-0004-0000-0100-0000220F0000}"/>
    <hyperlink ref="D3877" r:id="rId3876" xr:uid="{00000000-0004-0000-0100-0000230F0000}"/>
    <hyperlink ref="D3878" r:id="rId3877" xr:uid="{00000000-0004-0000-0100-0000240F0000}"/>
    <hyperlink ref="D3879" r:id="rId3878" xr:uid="{00000000-0004-0000-0100-0000250F0000}"/>
    <hyperlink ref="D3880" r:id="rId3879" xr:uid="{00000000-0004-0000-0100-0000260F0000}"/>
    <hyperlink ref="D3881" r:id="rId3880" xr:uid="{00000000-0004-0000-0100-0000270F0000}"/>
    <hyperlink ref="D3882" r:id="rId3881" xr:uid="{00000000-0004-0000-0100-0000280F0000}"/>
    <hyperlink ref="D3883" r:id="rId3882" xr:uid="{00000000-0004-0000-0100-0000290F0000}"/>
    <hyperlink ref="D3884" r:id="rId3883" xr:uid="{00000000-0004-0000-0100-00002A0F0000}"/>
    <hyperlink ref="D3885" r:id="rId3884" xr:uid="{00000000-0004-0000-0100-00002B0F0000}"/>
    <hyperlink ref="D3886" r:id="rId3885" xr:uid="{00000000-0004-0000-0100-00002C0F0000}"/>
    <hyperlink ref="D3887" r:id="rId3886" xr:uid="{00000000-0004-0000-0100-00002D0F0000}"/>
    <hyperlink ref="D3888" r:id="rId3887" xr:uid="{00000000-0004-0000-0100-00002E0F0000}"/>
    <hyperlink ref="D3889" r:id="rId3888" xr:uid="{00000000-0004-0000-0100-00002F0F0000}"/>
    <hyperlink ref="D3890" r:id="rId3889" xr:uid="{00000000-0004-0000-0100-0000300F0000}"/>
    <hyperlink ref="D3891" r:id="rId3890" xr:uid="{00000000-0004-0000-0100-0000310F0000}"/>
    <hyperlink ref="D3892" r:id="rId3891" xr:uid="{00000000-0004-0000-0100-0000320F0000}"/>
    <hyperlink ref="D3893" r:id="rId3892" xr:uid="{00000000-0004-0000-0100-0000330F0000}"/>
    <hyperlink ref="D3894" r:id="rId3893" xr:uid="{00000000-0004-0000-0100-0000340F0000}"/>
    <hyperlink ref="D3895" r:id="rId3894" xr:uid="{00000000-0004-0000-0100-0000350F0000}"/>
    <hyperlink ref="D3896" r:id="rId3895" xr:uid="{00000000-0004-0000-0100-0000360F0000}"/>
    <hyperlink ref="D3897" r:id="rId3896" xr:uid="{00000000-0004-0000-0100-0000370F0000}"/>
    <hyperlink ref="D3898" r:id="rId3897" xr:uid="{00000000-0004-0000-0100-0000380F0000}"/>
    <hyperlink ref="D3899" r:id="rId3898" xr:uid="{00000000-0004-0000-0100-0000390F0000}"/>
    <hyperlink ref="D3900" r:id="rId3899" xr:uid="{00000000-0004-0000-0100-00003A0F0000}"/>
    <hyperlink ref="D3901" r:id="rId3900" xr:uid="{00000000-0004-0000-0100-00003B0F0000}"/>
    <hyperlink ref="D3902" r:id="rId3901" xr:uid="{00000000-0004-0000-0100-00003C0F0000}"/>
    <hyperlink ref="D3903" r:id="rId3902" xr:uid="{00000000-0004-0000-0100-00003D0F0000}"/>
    <hyperlink ref="D3904" r:id="rId3903" xr:uid="{00000000-0004-0000-0100-00003E0F0000}"/>
    <hyperlink ref="D3905" r:id="rId3904" xr:uid="{00000000-0004-0000-0100-00003F0F0000}"/>
    <hyperlink ref="D3906" r:id="rId3905" xr:uid="{00000000-0004-0000-0100-0000400F0000}"/>
    <hyperlink ref="D3907" r:id="rId3906" xr:uid="{00000000-0004-0000-0100-0000410F0000}"/>
    <hyperlink ref="D3908" r:id="rId3907" xr:uid="{00000000-0004-0000-0100-0000420F0000}"/>
    <hyperlink ref="D3909" r:id="rId3908" xr:uid="{00000000-0004-0000-0100-0000430F0000}"/>
    <hyperlink ref="D3910" r:id="rId3909" xr:uid="{00000000-0004-0000-0100-0000440F0000}"/>
    <hyperlink ref="D3911" r:id="rId3910" xr:uid="{00000000-0004-0000-0100-0000450F0000}"/>
    <hyperlink ref="D3912" r:id="rId3911" xr:uid="{00000000-0004-0000-0100-0000460F0000}"/>
    <hyperlink ref="D3913" r:id="rId3912" xr:uid="{00000000-0004-0000-0100-0000470F0000}"/>
    <hyperlink ref="D3914" r:id="rId3913" xr:uid="{00000000-0004-0000-0100-0000480F0000}"/>
    <hyperlink ref="D3915" r:id="rId3914" xr:uid="{00000000-0004-0000-0100-0000490F0000}"/>
    <hyperlink ref="D3916" r:id="rId3915" xr:uid="{00000000-0004-0000-0100-00004A0F0000}"/>
    <hyperlink ref="D3917" r:id="rId3916" xr:uid="{00000000-0004-0000-0100-00004B0F0000}"/>
    <hyperlink ref="D3918" r:id="rId3917" xr:uid="{00000000-0004-0000-0100-00004C0F0000}"/>
    <hyperlink ref="D3919" r:id="rId3918" xr:uid="{00000000-0004-0000-0100-00004D0F0000}"/>
    <hyperlink ref="D3920" r:id="rId3919" xr:uid="{00000000-0004-0000-0100-00004E0F0000}"/>
    <hyperlink ref="D3921" r:id="rId3920" xr:uid="{00000000-0004-0000-0100-00004F0F0000}"/>
    <hyperlink ref="D3922" r:id="rId3921" xr:uid="{00000000-0004-0000-0100-0000500F0000}"/>
    <hyperlink ref="D3923" r:id="rId3922" xr:uid="{00000000-0004-0000-0100-0000510F0000}"/>
    <hyperlink ref="D3924" r:id="rId3923" xr:uid="{00000000-0004-0000-0100-0000520F0000}"/>
    <hyperlink ref="D3925" r:id="rId3924" xr:uid="{00000000-0004-0000-0100-0000530F0000}"/>
    <hyperlink ref="D3926" r:id="rId3925" xr:uid="{00000000-0004-0000-0100-0000540F0000}"/>
    <hyperlink ref="D3927" r:id="rId3926" xr:uid="{00000000-0004-0000-0100-0000550F0000}"/>
    <hyperlink ref="D3928" r:id="rId3927" xr:uid="{00000000-0004-0000-0100-0000560F0000}"/>
    <hyperlink ref="D3929" r:id="rId3928" xr:uid="{00000000-0004-0000-0100-0000570F0000}"/>
    <hyperlink ref="D3930" r:id="rId3929" xr:uid="{00000000-0004-0000-0100-0000580F0000}"/>
    <hyperlink ref="D3931" r:id="rId3930" xr:uid="{00000000-0004-0000-0100-0000590F0000}"/>
    <hyperlink ref="D3932" r:id="rId3931" xr:uid="{00000000-0004-0000-0100-00005A0F0000}"/>
    <hyperlink ref="D3933" r:id="rId3932" xr:uid="{00000000-0004-0000-0100-00005B0F0000}"/>
    <hyperlink ref="D3934" r:id="rId3933" xr:uid="{00000000-0004-0000-0100-00005C0F0000}"/>
    <hyperlink ref="D3935" r:id="rId3934" xr:uid="{00000000-0004-0000-0100-00005D0F0000}"/>
    <hyperlink ref="D3936" r:id="rId3935" xr:uid="{00000000-0004-0000-0100-00005E0F0000}"/>
    <hyperlink ref="D3937" r:id="rId3936" xr:uid="{00000000-0004-0000-0100-00005F0F0000}"/>
    <hyperlink ref="D3938" r:id="rId3937" xr:uid="{00000000-0004-0000-0100-0000600F0000}"/>
    <hyperlink ref="D3939" r:id="rId3938" xr:uid="{00000000-0004-0000-0100-0000610F0000}"/>
    <hyperlink ref="D3940" r:id="rId3939" xr:uid="{00000000-0004-0000-0100-0000620F0000}"/>
    <hyperlink ref="D3941" r:id="rId3940" xr:uid="{00000000-0004-0000-0100-0000630F0000}"/>
    <hyperlink ref="D3942" r:id="rId3941" xr:uid="{00000000-0004-0000-0100-0000640F0000}"/>
    <hyperlink ref="D3943" r:id="rId3942" xr:uid="{00000000-0004-0000-0100-0000650F0000}"/>
    <hyperlink ref="D3944" r:id="rId3943" xr:uid="{00000000-0004-0000-0100-0000660F0000}"/>
    <hyperlink ref="D3945" r:id="rId3944" xr:uid="{00000000-0004-0000-0100-0000670F0000}"/>
    <hyperlink ref="D3946" r:id="rId3945" xr:uid="{00000000-0004-0000-0100-0000680F0000}"/>
    <hyperlink ref="D3947" r:id="rId3946" xr:uid="{00000000-0004-0000-0100-0000690F0000}"/>
    <hyperlink ref="D3948" r:id="rId3947" xr:uid="{00000000-0004-0000-0100-00006A0F0000}"/>
    <hyperlink ref="D3949" r:id="rId3948" xr:uid="{00000000-0004-0000-0100-00006B0F0000}"/>
    <hyperlink ref="D3950" r:id="rId3949" xr:uid="{00000000-0004-0000-0100-00006C0F0000}"/>
    <hyperlink ref="D3951" r:id="rId3950" xr:uid="{00000000-0004-0000-0100-00006D0F0000}"/>
    <hyperlink ref="D3952" r:id="rId3951" xr:uid="{00000000-0004-0000-0100-00006E0F0000}"/>
    <hyperlink ref="D3953" r:id="rId3952" xr:uid="{00000000-0004-0000-0100-00006F0F0000}"/>
    <hyperlink ref="D3954" r:id="rId3953" xr:uid="{00000000-0004-0000-0100-0000700F0000}"/>
    <hyperlink ref="D3955" r:id="rId3954" xr:uid="{00000000-0004-0000-0100-0000710F0000}"/>
    <hyperlink ref="D3956" r:id="rId3955" xr:uid="{00000000-0004-0000-0100-0000720F0000}"/>
    <hyperlink ref="D3957" r:id="rId3956" xr:uid="{00000000-0004-0000-0100-0000730F0000}"/>
    <hyperlink ref="D3958" r:id="rId3957" xr:uid="{00000000-0004-0000-0100-0000740F0000}"/>
    <hyperlink ref="D3959" r:id="rId3958" xr:uid="{00000000-0004-0000-0100-0000750F0000}"/>
    <hyperlink ref="D3960" r:id="rId3959" xr:uid="{00000000-0004-0000-0100-0000760F0000}"/>
    <hyperlink ref="D3961" r:id="rId3960" xr:uid="{00000000-0004-0000-0100-0000770F0000}"/>
    <hyperlink ref="D3962" r:id="rId3961" xr:uid="{00000000-0004-0000-0100-0000780F0000}"/>
    <hyperlink ref="D3963" r:id="rId3962" xr:uid="{00000000-0004-0000-0100-0000790F0000}"/>
    <hyperlink ref="D3964" r:id="rId3963" xr:uid="{00000000-0004-0000-0100-00007A0F0000}"/>
    <hyperlink ref="D3965" r:id="rId3964" xr:uid="{00000000-0004-0000-0100-00007B0F0000}"/>
    <hyperlink ref="D3966" r:id="rId3965" xr:uid="{00000000-0004-0000-0100-00007C0F0000}"/>
    <hyperlink ref="D3967" r:id="rId3966" xr:uid="{00000000-0004-0000-0100-00007D0F0000}"/>
    <hyperlink ref="D3968" r:id="rId3967" xr:uid="{00000000-0004-0000-0100-00007E0F0000}"/>
    <hyperlink ref="D3969" r:id="rId3968" xr:uid="{00000000-0004-0000-0100-00007F0F0000}"/>
    <hyperlink ref="D3970" r:id="rId3969" xr:uid="{00000000-0004-0000-0100-0000800F0000}"/>
    <hyperlink ref="D3971" r:id="rId3970" xr:uid="{00000000-0004-0000-0100-0000810F0000}"/>
    <hyperlink ref="D3972" r:id="rId3971" xr:uid="{00000000-0004-0000-0100-0000820F0000}"/>
    <hyperlink ref="D3973" r:id="rId3972" xr:uid="{00000000-0004-0000-0100-0000830F0000}"/>
    <hyperlink ref="D3974" r:id="rId3973" xr:uid="{00000000-0004-0000-0100-0000840F0000}"/>
    <hyperlink ref="D3975" r:id="rId3974" xr:uid="{00000000-0004-0000-0100-0000850F0000}"/>
    <hyperlink ref="D3976" r:id="rId3975" xr:uid="{00000000-0004-0000-0100-0000860F0000}"/>
    <hyperlink ref="D3977" r:id="rId3976" xr:uid="{00000000-0004-0000-0100-0000870F0000}"/>
    <hyperlink ref="D3978" r:id="rId3977" xr:uid="{00000000-0004-0000-0100-0000880F0000}"/>
    <hyperlink ref="D3979" r:id="rId3978" xr:uid="{00000000-0004-0000-0100-0000890F0000}"/>
    <hyperlink ref="D3980" r:id="rId3979" xr:uid="{00000000-0004-0000-0100-00008A0F0000}"/>
    <hyperlink ref="D3981" r:id="rId3980" xr:uid="{00000000-0004-0000-0100-00008B0F0000}"/>
    <hyperlink ref="D3982" r:id="rId3981" xr:uid="{00000000-0004-0000-0100-00008C0F0000}"/>
    <hyperlink ref="D3983" r:id="rId3982" xr:uid="{00000000-0004-0000-0100-00008D0F0000}"/>
    <hyperlink ref="D3984" r:id="rId3983" xr:uid="{00000000-0004-0000-0100-00008E0F0000}"/>
    <hyperlink ref="D3985" r:id="rId3984" xr:uid="{00000000-0004-0000-0100-00008F0F0000}"/>
    <hyperlink ref="D3986" r:id="rId3985" xr:uid="{00000000-0004-0000-0100-0000900F0000}"/>
    <hyperlink ref="D3987" r:id="rId3986" xr:uid="{00000000-0004-0000-0100-0000910F0000}"/>
    <hyperlink ref="D3988" r:id="rId3987" xr:uid="{00000000-0004-0000-0100-0000920F0000}"/>
    <hyperlink ref="D3989" r:id="rId3988" xr:uid="{00000000-0004-0000-0100-0000930F0000}"/>
    <hyperlink ref="D3990" r:id="rId3989" xr:uid="{00000000-0004-0000-0100-0000940F0000}"/>
    <hyperlink ref="D3991" r:id="rId3990" xr:uid="{00000000-0004-0000-0100-0000950F0000}"/>
    <hyperlink ref="D3992" r:id="rId3991" xr:uid="{00000000-0004-0000-0100-0000960F0000}"/>
    <hyperlink ref="D3993" r:id="rId3992" xr:uid="{00000000-0004-0000-0100-0000970F0000}"/>
    <hyperlink ref="D3994" r:id="rId3993" xr:uid="{00000000-0004-0000-0100-0000980F0000}"/>
    <hyperlink ref="D3995" r:id="rId3994" xr:uid="{00000000-0004-0000-0100-0000990F0000}"/>
    <hyperlink ref="D3996" r:id="rId3995" xr:uid="{00000000-0004-0000-0100-00009A0F0000}"/>
    <hyperlink ref="D3997" r:id="rId3996" xr:uid="{00000000-0004-0000-0100-00009B0F0000}"/>
    <hyperlink ref="D3998" r:id="rId3997" xr:uid="{00000000-0004-0000-0100-00009C0F0000}"/>
    <hyperlink ref="D3999" r:id="rId3998" xr:uid="{00000000-0004-0000-0100-00009D0F0000}"/>
    <hyperlink ref="D4000" r:id="rId3999" xr:uid="{00000000-0004-0000-0100-00009E0F0000}"/>
    <hyperlink ref="D4001" r:id="rId4000" xr:uid="{00000000-0004-0000-0100-00009F0F0000}"/>
    <hyperlink ref="D4002" r:id="rId4001" xr:uid="{00000000-0004-0000-0100-0000A00F0000}"/>
    <hyperlink ref="D4003" r:id="rId4002" xr:uid="{00000000-0004-0000-0100-0000A10F0000}"/>
    <hyperlink ref="D4004" r:id="rId4003" xr:uid="{00000000-0004-0000-0100-0000A20F0000}"/>
    <hyperlink ref="D4005" r:id="rId4004" xr:uid="{00000000-0004-0000-0100-0000A30F0000}"/>
    <hyperlink ref="D4006" r:id="rId4005" xr:uid="{00000000-0004-0000-0100-0000A40F0000}"/>
    <hyperlink ref="D4007" r:id="rId4006" xr:uid="{00000000-0004-0000-0100-0000A50F0000}"/>
    <hyperlink ref="D4008" r:id="rId4007" xr:uid="{00000000-0004-0000-0100-0000A60F0000}"/>
    <hyperlink ref="D4009" r:id="rId4008" xr:uid="{00000000-0004-0000-0100-0000A70F0000}"/>
    <hyperlink ref="D4010" r:id="rId4009" xr:uid="{00000000-0004-0000-0100-0000A80F0000}"/>
    <hyperlink ref="D4011" r:id="rId4010" xr:uid="{00000000-0004-0000-0100-0000A90F0000}"/>
    <hyperlink ref="D4012" r:id="rId4011" xr:uid="{00000000-0004-0000-0100-0000AA0F0000}"/>
    <hyperlink ref="D4013" r:id="rId4012" xr:uid="{00000000-0004-0000-0100-0000AB0F0000}"/>
    <hyperlink ref="D4014" r:id="rId4013" xr:uid="{00000000-0004-0000-0100-0000AC0F0000}"/>
    <hyperlink ref="D4015" r:id="rId4014" xr:uid="{00000000-0004-0000-0100-0000AD0F0000}"/>
    <hyperlink ref="D4016" r:id="rId4015" xr:uid="{00000000-0004-0000-0100-0000AE0F0000}"/>
    <hyperlink ref="D4017" r:id="rId4016" xr:uid="{00000000-0004-0000-0100-0000AF0F0000}"/>
    <hyperlink ref="D4018" r:id="rId4017" xr:uid="{00000000-0004-0000-0100-0000B00F0000}"/>
    <hyperlink ref="D4019" r:id="rId4018" xr:uid="{00000000-0004-0000-0100-0000B10F0000}"/>
    <hyperlink ref="D4020" r:id="rId4019" xr:uid="{00000000-0004-0000-0100-0000B20F0000}"/>
    <hyperlink ref="D4021" r:id="rId4020" xr:uid="{00000000-0004-0000-0100-0000B30F0000}"/>
    <hyperlink ref="D4022" r:id="rId4021" xr:uid="{00000000-0004-0000-0100-0000B40F0000}"/>
    <hyperlink ref="D4023" r:id="rId4022" xr:uid="{00000000-0004-0000-0100-0000B50F0000}"/>
    <hyperlink ref="D4024" r:id="rId4023" xr:uid="{00000000-0004-0000-0100-0000B60F0000}"/>
    <hyperlink ref="D4025" r:id="rId4024" xr:uid="{00000000-0004-0000-0100-0000B70F0000}"/>
    <hyperlink ref="D4026" r:id="rId4025" xr:uid="{00000000-0004-0000-0100-0000B80F0000}"/>
    <hyperlink ref="D4027" r:id="rId4026" xr:uid="{00000000-0004-0000-0100-0000B90F0000}"/>
    <hyperlink ref="D4028" r:id="rId4027" xr:uid="{00000000-0004-0000-0100-0000BA0F0000}"/>
    <hyperlink ref="D4029" r:id="rId4028" xr:uid="{00000000-0004-0000-0100-0000BB0F0000}"/>
    <hyperlink ref="D4030" r:id="rId4029" xr:uid="{00000000-0004-0000-0100-0000BC0F0000}"/>
    <hyperlink ref="D4031" r:id="rId4030" xr:uid="{00000000-0004-0000-0100-0000BD0F0000}"/>
    <hyperlink ref="D4032" r:id="rId4031" xr:uid="{00000000-0004-0000-0100-0000BE0F0000}"/>
    <hyperlink ref="D4033" r:id="rId4032" xr:uid="{00000000-0004-0000-0100-0000BF0F0000}"/>
    <hyperlink ref="D4034" r:id="rId4033" xr:uid="{00000000-0004-0000-0100-0000C00F0000}"/>
    <hyperlink ref="D4035" r:id="rId4034" xr:uid="{00000000-0004-0000-0100-0000C10F0000}"/>
    <hyperlink ref="D4036" r:id="rId4035" xr:uid="{00000000-0004-0000-0100-0000C20F0000}"/>
    <hyperlink ref="D4037" r:id="rId4036" xr:uid="{00000000-0004-0000-0100-0000C30F0000}"/>
    <hyperlink ref="D4038" r:id="rId4037" xr:uid="{00000000-0004-0000-0100-0000C40F0000}"/>
    <hyperlink ref="D4039" r:id="rId4038" xr:uid="{00000000-0004-0000-0100-0000C50F0000}"/>
    <hyperlink ref="D4040" r:id="rId4039" xr:uid="{00000000-0004-0000-0100-0000C60F0000}"/>
    <hyperlink ref="D4041" r:id="rId4040" xr:uid="{00000000-0004-0000-0100-0000C70F0000}"/>
    <hyperlink ref="D4042" r:id="rId4041" xr:uid="{00000000-0004-0000-0100-0000C80F0000}"/>
    <hyperlink ref="D4043" r:id="rId4042" xr:uid="{00000000-0004-0000-0100-0000C90F0000}"/>
    <hyperlink ref="D4044" r:id="rId4043" xr:uid="{00000000-0004-0000-0100-0000CA0F0000}"/>
    <hyperlink ref="D4045" r:id="rId4044" xr:uid="{00000000-0004-0000-0100-0000CB0F0000}"/>
    <hyperlink ref="D4046" r:id="rId4045" xr:uid="{00000000-0004-0000-0100-0000CC0F0000}"/>
    <hyperlink ref="D4047" r:id="rId4046" xr:uid="{00000000-0004-0000-0100-0000CD0F0000}"/>
    <hyperlink ref="D4048" r:id="rId4047" xr:uid="{00000000-0004-0000-0100-0000CE0F0000}"/>
    <hyperlink ref="D4049" r:id="rId4048" xr:uid="{00000000-0004-0000-0100-0000CF0F0000}"/>
    <hyperlink ref="D4050" r:id="rId4049" xr:uid="{00000000-0004-0000-0100-0000D00F0000}"/>
    <hyperlink ref="D4051" r:id="rId4050" xr:uid="{00000000-0004-0000-0100-0000D10F0000}"/>
    <hyperlink ref="D4052" r:id="rId4051" xr:uid="{00000000-0004-0000-0100-0000D20F0000}"/>
    <hyperlink ref="D4053" r:id="rId4052" xr:uid="{00000000-0004-0000-0100-0000D30F0000}"/>
    <hyperlink ref="D4054" r:id="rId4053" xr:uid="{00000000-0004-0000-0100-0000D40F0000}"/>
    <hyperlink ref="D4055" r:id="rId4054" xr:uid="{00000000-0004-0000-0100-0000D50F0000}"/>
    <hyperlink ref="D4056" r:id="rId4055" xr:uid="{00000000-0004-0000-0100-0000D60F0000}"/>
    <hyperlink ref="D4057" r:id="rId4056" xr:uid="{00000000-0004-0000-0100-0000D70F0000}"/>
    <hyperlink ref="D4058" r:id="rId4057" xr:uid="{00000000-0004-0000-0100-0000D80F0000}"/>
    <hyperlink ref="D4059" r:id="rId4058" xr:uid="{00000000-0004-0000-0100-0000D90F0000}"/>
    <hyperlink ref="D4060" r:id="rId4059" xr:uid="{00000000-0004-0000-0100-0000DA0F0000}"/>
    <hyperlink ref="D4061" r:id="rId4060" xr:uid="{00000000-0004-0000-0100-0000DB0F0000}"/>
    <hyperlink ref="D4062" r:id="rId4061" xr:uid="{00000000-0004-0000-0100-0000DC0F0000}"/>
    <hyperlink ref="D4063" r:id="rId4062" xr:uid="{00000000-0004-0000-0100-0000DD0F0000}"/>
    <hyperlink ref="D4064" r:id="rId4063" xr:uid="{00000000-0004-0000-0100-0000DE0F0000}"/>
    <hyperlink ref="D4065" r:id="rId4064" xr:uid="{00000000-0004-0000-0100-0000DF0F0000}"/>
    <hyperlink ref="D4066" r:id="rId4065" xr:uid="{00000000-0004-0000-0100-0000E00F0000}"/>
    <hyperlink ref="D4067" r:id="rId4066" xr:uid="{00000000-0004-0000-0100-0000E10F0000}"/>
    <hyperlink ref="D4068" r:id="rId4067" xr:uid="{00000000-0004-0000-0100-0000E20F0000}"/>
    <hyperlink ref="D4069" r:id="rId4068" xr:uid="{00000000-0004-0000-0100-0000E30F0000}"/>
    <hyperlink ref="D4070" r:id="rId4069" xr:uid="{00000000-0004-0000-0100-0000E40F0000}"/>
    <hyperlink ref="D4071" r:id="rId4070" xr:uid="{00000000-0004-0000-0100-0000E50F0000}"/>
    <hyperlink ref="D4072" r:id="rId4071" xr:uid="{00000000-0004-0000-0100-0000E60F0000}"/>
    <hyperlink ref="D4073" r:id="rId4072" xr:uid="{00000000-0004-0000-0100-0000E70F0000}"/>
    <hyperlink ref="D4074" r:id="rId4073" xr:uid="{00000000-0004-0000-0100-0000E80F0000}"/>
    <hyperlink ref="D4075" r:id="rId4074" xr:uid="{00000000-0004-0000-0100-0000E90F0000}"/>
    <hyperlink ref="D4076" r:id="rId4075" xr:uid="{00000000-0004-0000-0100-0000EA0F0000}"/>
    <hyperlink ref="D4077" r:id="rId4076" xr:uid="{00000000-0004-0000-0100-0000EB0F0000}"/>
    <hyperlink ref="D4078" r:id="rId4077" xr:uid="{00000000-0004-0000-0100-0000EC0F0000}"/>
    <hyperlink ref="D4079" r:id="rId4078" xr:uid="{00000000-0004-0000-0100-0000ED0F0000}"/>
    <hyperlink ref="D4080" r:id="rId4079" xr:uid="{00000000-0004-0000-0100-0000EE0F0000}"/>
    <hyperlink ref="D4081" r:id="rId4080" xr:uid="{00000000-0004-0000-0100-0000EF0F0000}"/>
    <hyperlink ref="D4082" r:id="rId4081" xr:uid="{00000000-0004-0000-0100-0000F00F0000}"/>
    <hyperlink ref="D4083" r:id="rId4082" xr:uid="{00000000-0004-0000-0100-0000F10F0000}"/>
    <hyperlink ref="D4084" r:id="rId4083" xr:uid="{00000000-0004-0000-0100-0000F20F0000}"/>
    <hyperlink ref="D4085" r:id="rId4084" xr:uid="{00000000-0004-0000-0100-0000F30F0000}"/>
    <hyperlink ref="D4086" r:id="rId4085" xr:uid="{00000000-0004-0000-0100-0000F40F0000}"/>
    <hyperlink ref="D4087" r:id="rId4086" xr:uid="{00000000-0004-0000-0100-0000F50F0000}"/>
    <hyperlink ref="D4088" r:id="rId4087" xr:uid="{00000000-0004-0000-0100-0000F60F0000}"/>
    <hyperlink ref="D4089" r:id="rId4088" xr:uid="{00000000-0004-0000-0100-0000F70F0000}"/>
    <hyperlink ref="D4090" r:id="rId4089" xr:uid="{00000000-0004-0000-0100-0000F80F0000}"/>
    <hyperlink ref="D4091" r:id="rId4090" xr:uid="{00000000-0004-0000-0100-0000F90F0000}"/>
    <hyperlink ref="D4092" r:id="rId4091" xr:uid="{00000000-0004-0000-0100-0000FA0F0000}"/>
    <hyperlink ref="D4093" r:id="rId4092" xr:uid="{00000000-0004-0000-0100-0000FB0F0000}"/>
    <hyperlink ref="D4094" r:id="rId4093" xr:uid="{00000000-0004-0000-0100-0000FC0F0000}"/>
    <hyperlink ref="D4095" r:id="rId4094" xr:uid="{00000000-0004-0000-0100-0000FD0F0000}"/>
    <hyperlink ref="D4096" r:id="rId4095" xr:uid="{00000000-0004-0000-0100-0000FE0F0000}"/>
    <hyperlink ref="D4097" r:id="rId4096" xr:uid="{00000000-0004-0000-0100-0000FF0F0000}"/>
    <hyperlink ref="D4098" r:id="rId4097" xr:uid="{00000000-0004-0000-0100-000000100000}"/>
    <hyperlink ref="D4099" r:id="rId4098" xr:uid="{00000000-0004-0000-0100-000001100000}"/>
    <hyperlink ref="D4100" r:id="rId4099" xr:uid="{00000000-0004-0000-0100-000002100000}"/>
    <hyperlink ref="D4101" r:id="rId4100" xr:uid="{00000000-0004-0000-0100-000003100000}"/>
    <hyperlink ref="D4102" r:id="rId4101" xr:uid="{00000000-0004-0000-0100-000004100000}"/>
    <hyperlink ref="D4103" r:id="rId4102" xr:uid="{00000000-0004-0000-0100-000005100000}"/>
    <hyperlink ref="D4104" r:id="rId4103" xr:uid="{00000000-0004-0000-0100-000006100000}"/>
    <hyperlink ref="D4105" r:id="rId4104" xr:uid="{00000000-0004-0000-0100-000007100000}"/>
    <hyperlink ref="D4106" r:id="rId4105" xr:uid="{00000000-0004-0000-0100-000008100000}"/>
    <hyperlink ref="D4107" r:id="rId4106" xr:uid="{00000000-0004-0000-0100-000009100000}"/>
    <hyperlink ref="D4108" r:id="rId4107" xr:uid="{00000000-0004-0000-0100-00000A100000}"/>
    <hyperlink ref="D4109" r:id="rId4108" xr:uid="{00000000-0004-0000-0100-00000B100000}"/>
    <hyperlink ref="D4110" r:id="rId4109" xr:uid="{00000000-0004-0000-0100-00000C100000}"/>
    <hyperlink ref="D4111" r:id="rId4110" xr:uid="{00000000-0004-0000-0100-00000D100000}"/>
    <hyperlink ref="D4112" r:id="rId4111" xr:uid="{00000000-0004-0000-0100-00000E100000}"/>
    <hyperlink ref="D4113" r:id="rId4112" xr:uid="{00000000-0004-0000-0100-00000F100000}"/>
    <hyperlink ref="D4114" r:id="rId4113" xr:uid="{00000000-0004-0000-0100-000010100000}"/>
    <hyperlink ref="D4115" r:id="rId4114" xr:uid="{00000000-0004-0000-0100-000011100000}"/>
    <hyperlink ref="D4116" r:id="rId4115" xr:uid="{00000000-0004-0000-0100-000012100000}"/>
    <hyperlink ref="D4117" r:id="rId4116" xr:uid="{00000000-0004-0000-0100-000013100000}"/>
    <hyperlink ref="D4118" r:id="rId4117" xr:uid="{00000000-0004-0000-0100-000014100000}"/>
    <hyperlink ref="D4119" r:id="rId4118" xr:uid="{00000000-0004-0000-0100-000015100000}"/>
    <hyperlink ref="D4120" r:id="rId4119" xr:uid="{00000000-0004-0000-0100-000016100000}"/>
    <hyperlink ref="D4121" r:id="rId4120" xr:uid="{00000000-0004-0000-0100-000017100000}"/>
    <hyperlink ref="D4122" r:id="rId4121" xr:uid="{00000000-0004-0000-0100-000018100000}"/>
    <hyperlink ref="D4123" r:id="rId4122" xr:uid="{00000000-0004-0000-0100-000019100000}"/>
    <hyperlink ref="D4124" r:id="rId4123" xr:uid="{00000000-0004-0000-0100-00001A100000}"/>
    <hyperlink ref="D4125" r:id="rId4124" xr:uid="{00000000-0004-0000-0100-00001B100000}"/>
    <hyperlink ref="D4126" r:id="rId4125" xr:uid="{00000000-0004-0000-0100-00001C100000}"/>
    <hyperlink ref="D4127" r:id="rId4126" xr:uid="{00000000-0004-0000-0100-00001D100000}"/>
    <hyperlink ref="D4128" r:id="rId4127" xr:uid="{00000000-0004-0000-0100-00001E100000}"/>
    <hyperlink ref="D4129" r:id="rId4128" xr:uid="{00000000-0004-0000-0100-00001F100000}"/>
    <hyperlink ref="D4130" r:id="rId4129" xr:uid="{00000000-0004-0000-0100-000020100000}"/>
    <hyperlink ref="D4131" r:id="rId4130" xr:uid="{00000000-0004-0000-0100-000021100000}"/>
    <hyperlink ref="D4132" r:id="rId4131" xr:uid="{00000000-0004-0000-0100-000022100000}"/>
    <hyperlink ref="D4133" r:id="rId4132" xr:uid="{00000000-0004-0000-0100-000023100000}"/>
    <hyperlink ref="D4134" r:id="rId4133" xr:uid="{00000000-0004-0000-0100-000024100000}"/>
    <hyperlink ref="D4135" r:id="rId4134" xr:uid="{00000000-0004-0000-0100-000025100000}"/>
    <hyperlink ref="D4136" r:id="rId4135" xr:uid="{00000000-0004-0000-0100-000026100000}"/>
    <hyperlink ref="D4137" r:id="rId4136" xr:uid="{00000000-0004-0000-0100-000027100000}"/>
    <hyperlink ref="D4138" r:id="rId4137" xr:uid="{00000000-0004-0000-0100-000028100000}"/>
    <hyperlink ref="D4139" r:id="rId4138" xr:uid="{00000000-0004-0000-0100-000029100000}"/>
    <hyperlink ref="D4140" r:id="rId4139" xr:uid="{00000000-0004-0000-0100-00002A100000}"/>
    <hyperlink ref="D4141" r:id="rId4140" xr:uid="{00000000-0004-0000-0100-00002B100000}"/>
    <hyperlink ref="D4142" r:id="rId4141" xr:uid="{00000000-0004-0000-0100-00002C100000}"/>
    <hyperlink ref="D4143" r:id="rId4142" xr:uid="{00000000-0004-0000-0100-00002D100000}"/>
    <hyperlink ref="D4144" r:id="rId4143" xr:uid="{00000000-0004-0000-0100-00002E100000}"/>
    <hyperlink ref="D4145" r:id="rId4144" xr:uid="{00000000-0004-0000-0100-00002F100000}"/>
    <hyperlink ref="D4146" r:id="rId4145" xr:uid="{00000000-0004-0000-0100-000030100000}"/>
    <hyperlink ref="D4147" r:id="rId4146" xr:uid="{00000000-0004-0000-0100-000031100000}"/>
    <hyperlink ref="D4148" r:id="rId4147" xr:uid="{00000000-0004-0000-0100-000032100000}"/>
    <hyperlink ref="D4149" r:id="rId4148" xr:uid="{00000000-0004-0000-0100-000033100000}"/>
    <hyperlink ref="D4150" r:id="rId4149" xr:uid="{00000000-0004-0000-0100-000034100000}"/>
    <hyperlink ref="D4151" r:id="rId4150" xr:uid="{00000000-0004-0000-0100-000035100000}"/>
    <hyperlink ref="D4152" r:id="rId4151" xr:uid="{00000000-0004-0000-0100-000036100000}"/>
    <hyperlink ref="D4153" r:id="rId4152" xr:uid="{00000000-0004-0000-0100-000037100000}"/>
    <hyperlink ref="D4154" r:id="rId4153" xr:uid="{00000000-0004-0000-0100-000038100000}"/>
    <hyperlink ref="D4155" r:id="rId4154" xr:uid="{00000000-0004-0000-0100-000039100000}"/>
    <hyperlink ref="D4156" r:id="rId4155" xr:uid="{00000000-0004-0000-0100-00003A100000}"/>
    <hyperlink ref="D4157" r:id="rId4156" xr:uid="{00000000-0004-0000-0100-00003B100000}"/>
    <hyperlink ref="D4158" r:id="rId4157" xr:uid="{00000000-0004-0000-0100-00003C100000}"/>
    <hyperlink ref="D4159" r:id="rId4158" xr:uid="{00000000-0004-0000-0100-00003D100000}"/>
    <hyperlink ref="D4160" r:id="rId4159" xr:uid="{00000000-0004-0000-0100-00003E100000}"/>
    <hyperlink ref="D4161" r:id="rId4160" xr:uid="{00000000-0004-0000-0100-00003F100000}"/>
    <hyperlink ref="D4162" r:id="rId4161" xr:uid="{00000000-0004-0000-0100-000040100000}"/>
    <hyperlink ref="D4163" r:id="rId4162" xr:uid="{00000000-0004-0000-0100-000041100000}"/>
    <hyperlink ref="D4164" r:id="rId4163" xr:uid="{00000000-0004-0000-0100-000042100000}"/>
    <hyperlink ref="D4165" r:id="rId4164" xr:uid="{00000000-0004-0000-0100-000043100000}"/>
    <hyperlink ref="D4166" r:id="rId4165" xr:uid="{00000000-0004-0000-0100-000044100000}"/>
    <hyperlink ref="D4167" r:id="rId4166" xr:uid="{00000000-0004-0000-0100-000045100000}"/>
    <hyperlink ref="D4168" r:id="rId4167" xr:uid="{00000000-0004-0000-0100-000046100000}"/>
    <hyperlink ref="D4169" r:id="rId4168" xr:uid="{00000000-0004-0000-0100-000047100000}"/>
    <hyperlink ref="D4170" r:id="rId4169" xr:uid="{00000000-0004-0000-0100-000048100000}"/>
    <hyperlink ref="D4171" r:id="rId4170" xr:uid="{00000000-0004-0000-0100-000049100000}"/>
    <hyperlink ref="D4172" r:id="rId4171" xr:uid="{00000000-0004-0000-0100-00004A100000}"/>
    <hyperlink ref="D4173" r:id="rId4172" xr:uid="{00000000-0004-0000-0100-00004B100000}"/>
    <hyperlink ref="D4174" r:id="rId4173" xr:uid="{00000000-0004-0000-0100-00004C100000}"/>
    <hyperlink ref="D4175" r:id="rId4174" xr:uid="{00000000-0004-0000-0100-00004D100000}"/>
    <hyperlink ref="D4176" r:id="rId4175" xr:uid="{00000000-0004-0000-0100-00004E100000}"/>
    <hyperlink ref="D4177" r:id="rId4176" xr:uid="{00000000-0004-0000-0100-00004F100000}"/>
    <hyperlink ref="D4178" r:id="rId4177" xr:uid="{00000000-0004-0000-0100-000050100000}"/>
    <hyperlink ref="D4179" r:id="rId4178" xr:uid="{00000000-0004-0000-0100-000051100000}"/>
    <hyperlink ref="D4180" r:id="rId4179" xr:uid="{00000000-0004-0000-0100-000052100000}"/>
    <hyperlink ref="D4181" r:id="rId4180" xr:uid="{00000000-0004-0000-0100-000053100000}"/>
    <hyperlink ref="D4182" r:id="rId4181" xr:uid="{00000000-0004-0000-0100-000054100000}"/>
    <hyperlink ref="D4183" r:id="rId4182" xr:uid="{00000000-0004-0000-0100-000055100000}"/>
    <hyperlink ref="D4184" r:id="rId4183" xr:uid="{00000000-0004-0000-0100-000056100000}"/>
    <hyperlink ref="D4185" r:id="rId4184" xr:uid="{00000000-0004-0000-0100-000057100000}"/>
    <hyperlink ref="D4186" r:id="rId4185" xr:uid="{00000000-0004-0000-0100-000058100000}"/>
    <hyperlink ref="D4187" r:id="rId4186" xr:uid="{00000000-0004-0000-0100-000059100000}"/>
    <hyperlink ref="D4188" r:id="rId4187" xr:uid="{00000000-0004-0000-0100-00005A100000}"/>
    <hyperlink ref="D4189" r:id="rId4188" xr:uid="{00000000-0004-0000-0100-00005B100000}"/>
    <hyperlink ref="D4190" r:id="rId4189" xr:uid="{00000000-0004-0000-0100-00005C100000}"/>
    <hyperlink ref="D4191" r:id="rId4190" xr:uid="{00000000-0004-0000-0100-00005D100000}"/>
    <hyperlink ref="D4192" r:id="rId4191" xr:uid="{00000000-0004-0000-0100-00005E100000}"/>
    <hyperlink ref="D4193" r:id="rId4192" xr:uid="{00000000-0004-0000-0100-00005F100000}"/>
    <hyperlink ref="D4194" r:id="rId4193" xr:uid="{00000000-0004-0000-0100-000060100000}"/>
    <hyperlink ref="D4195" r:id="rId4194" xr:uid="{00000000-0004-0000-0100-000061100000}"/>
    <hyperlink ref="D4196" r:id="rId4195" xr:uid="{00000000-0004-0000-0100-000062100000}"/>
    <hyperlink ref="D4197" r:id="rId4196" xr:uid="{00000000-0004-0000-0100-000063100000}"/>
    <hyperlink ref="D4198" r:id="rId4197" xr:uid="{00000000-0004-0000-0100-000064100000}"/>
    <hyperlink ref="D4199" r:id="rId4198" xr:uid="{00000000-0004-0000-0100-000065100000}"/>
    <hyperlink ref="D4200" r:id="rId4199" xr:uid="{00000000-0004-0000-0100-000066100000}"/>
    <hyperlink ref="D4201" r:id="rId4200" xr:uid="{00000000-0004-0000-0100-000067100000}"/>
    <hyperlink ref="D4202" r:id="rId4201" xr:uid="{00000000-0004-0000-0100-000068100000}"/>
    <hyperlink ref="D4203" r:id="rId4202" xr:uid="{00000000-0004-0000-0100-000069100000}"/>
    <hyperlink ref="D4204" r:id="rId4203" xr:uid="{00000000-0004-0000-0100-00006A100000}"/>
    <hyperlink ref="D4205" r:id="rId4204" xr:uid="{00000000-0004-0000-0100-00006B100000}"/>
    <hyperlink ref="D4206" r:id="rId4205" xr:uid="{00000000-0004-0000-0100-00006C100000}"/>
    <hyperlink ref="D4207" r:id="rId4206" xr:uid="{00000000-0004-0000-0100-00006D100000}"/>
    <hyperlink ref="D4208" r:id="rId4207" xr:uid="{00000000-0004-0000-0100-00006E100000}"/>
    <hyperlink ref="D4209" r:id="rId4208" xr:uid="{00000000-0004-0000-0100-00006F100000}"/>
    <hyperlink ref="D4210" r:id="rId4209" xr:uid="{00000000-0004-0000-0100-000070100000}"/>
    <hyperlink ref="D4211" r:id="rId4210" xr:uid="{00000000-0004-0000-0100-000071100000}"/>
    <hyperlink ref="D4212" r:id="rId4211" xr:uid="{00000000-0004-0000-0100-000072100000}"/>
    <hyperlink ref="D4213" r:id="rId4212" xr:uid="{00000000-0004-0000-0100-000073100000}"/>
    <hyperlink ref="D4214" r:id="rId4213" xr:uid="{00000000-0004-0000-0100-000074100000}"/>
    <hyperlink ref="D4215" r:id="rId4214" xr:uid="{00000000-0004-0000-0100-000075100000}"/>
    <hyperlink ref="D4216" r:id="rId4215" xr:uid="{00000000-0004-0000-0100-000076100000}"/>
    <hyperlink ref="D4217" r:id="rId4216" xr:uid="{00000000-0004-0000-0100-000077100000}"/>
    <hyperlink ref="D4218" r:id="rId4217" xr:uid="{00000000-0004-0000-0100-000078100000}"/>
    <hyperlink ref="D4219" r:id="rId4218" xr:uid="{00000000-0004-0000-0100-000079100000}"/>
    <hyperlink ref="D4220" r:id="rId4219" xr:uid="{00000000-0004-0000-0100-00007A100000}"/>
    <hyperlink ref="D4221" r:id="rId4220" xr:uid="{00000000-0004-0000-0100-00007B100000}"/>
    <hyperlink ref="D4222" r:id="rId4221" xr:uid="{00000000-0004-0000-0100-00007C100000}"/>
    <hyperlink ref="D4223" r:id="rId4222" xr:uid="{00000000-0004-0000-0100-00007D100000}"/>
    <hyperlink ref="D4224" r:id="rId4223" xr:uid="{00000000-0004-0000-0100-00007E100000}"/>
    <hyperlink ref="D4225" r:id="rId4224" xr:uid="{00000000-0004-0000-0100-00007F100000}"/>
    <hyperlink ref="D4226" r:id="rId4225" xr:uid="{00000000-0004-0000-0100-000080100000}"/>
    <hyperlink ref="D4227" r:id="rId4226" xr:uid="{00000000-0004-0000-0100-000081100000}"/>
    <hyperlink ref="D4228" r:id="rId4227" xr:uid="{00000000-0004-0000-0100-000082100000}"/>
    <hyperlink ref="D4229" r:id="rId4228" xr:uid="{00000000-0004-0000-0100-000083100000}"/>
    <hyperlink ref="D4230" r:id="rId4229" xr:uid="{00000000-0004-0000-0100-000084100000}"/>
    <hyperlink ref="D4231" r:id="rId4230" xr:uid="{00000000-0004-0000-0100-000085100000}"/>
    <hyperlink ref="D4232" r:id="rId4231" xr:uid="{00000000-0004-0000-0100-000086100000}"/>
    <hyperlink ref="D4233" r:id="rId4232" xr:uid="{00000000-0004-0000-0100-000087100000}"/>
    <hyperlink ref="D4234" r:id="rId4233" xr:uid="{00000000-0004-0000-0100-000088100000}"/>
    <hyperlink ref="D4235" r:id="rId4234" xr:uid="{00000000-0004-0000-0100-000089100000}"/>
    <hyperlink ref="D4236" r:id="rId4235" xr:uid="{00000000-0004-0000-0100-00008A100000}"/>
    <hyperlink ref="D4237" r:id="rId4236" xr:uid="{00000000-0004-0000-0100-00008B100000}"/>
    <hyperlink ref="D4238" r:id="rId4237" xr:uid="{00000000-0004-0000-0100-00008C100000}"/>
    <hyperlink ref="D4239" r:id="rId4238" xr:uid="{00000000-0004-0000-0100-00008D100000}"/>
    <hyperlink ref="D4240" r:id="rId4239" xr:uid="{00000000-0004-0000-0100-00008E100000}"/>
    <hyperlink ref="D4241" r:id="rId4240" xr:uid="{00000000-0004-0000-0100-00008F100000}"/>
    <hyperlink ref="D4242" r:id="rId4241" xr:uid="{00000000-0004-0000-0100-000090100000}"/>
    <hyperlink ref="D4243" r:id="rId4242" xr:uid="{00000000-0004-0000-0100-000091100000}"/>
    <hyperlink ref="D4244" r:id="rId4243" xr:uid="{00000000-0004-0000-0100-000092100000}"/>
    <hyperlink ref="D4245" r:id="rId4244" xr:uid="{00000000-0004-0000-0100-000093100000}"/>
    <hyperlink ref="D4246" r:id="rId4245" xr:uid="{00000000-0004-0000-0100-000094100000}"/>
    <hyperlink ref="D4247" r:id="rId4246" xr:uid="{00000000-0004-0000-0100-000095100000}"/>
    <hyperlink ref="D4248" r:id="rId4247" xr:uid="{00000000-0004-0000-0100-000096100000}"/>
    <hyperlink ref="D4249" r:id="rId4248" xr:uid="{00000000-0004-0000-0100-000097100000}"/>
    <hyperlink ref="D4250" r:id="rId4249" xr:uid="{00000000-0004-0000-0100-000098100000}"/>
    <hyperlink ref="D4251" r:id="rId4250" xr:uid="{00000000-0004-0000-0100-000099100000}"/>
    <hyperlink ref="D4252" r:id="rId4251" xr:uid="{00000000-0004-0000-0100-00009A100000}"/>
    <hyperlink ref="D4253" r:id="rId4252" xr:uid="{00000000-0004-0000-0100-00009B100000}"/>
    <hyperlink ref="D4254" r:id="rId4253" xr:uid="{00000000-0004-0000-0100-00009C100000}"/>
    <hyperlink ref="D4255" r:id="rId4254" xr:uid="{00000000-0004-0000-0100-00009D100000}"/>
    <hyperlink ref="D4256" r:id="rId4255" xr:uid="{00000000-0004-0000-0100-00009E100000}"/>
    <hyperlink ref="D4257" r:id="rId4256" xr:uid="{00000000-0004-0000-0100-00009F100000}"/>
    <hyperlink ref="D4258" r:id="rId4257" xr:uid="{00000000-0004-0000-0100-0000A0100000}"/>
    <hyperlink ref="D4259" r:id="rId4258" xr:uid="{00000000-0004-0000-0100-0000A1100000}"/>
    <hyperlink ref="D4260" r:id="rId4259" xr:uid="{00000000-0004-0000-0100-0000A2100000}"/>
    <hyperlink ref="D4261" r:id="rId4260" xr:uid="{00000000-0004-0000-0100-0000A3100000}"/>
    <hyperlink ref="D4262" r:id="rId4261" xr:uid="{00000000-0004-0000-0100-0000A4100000}"/>
    <hyperlink ref="D4263" r:id="rId4262" xr:uid="{00000000-0004-0000-0100-0000A5100000}"/>
    <hyperlink ref="D4264" r:id="rId4263" xr:uid="{00000000-0004-0000-0100-0000A6100000}"/>
    <hyperlink ref="D4265" r:id="rId4264" xr:uid="{00000000-0004-0000-0100-0000A7100000}"/>
    <hyperlink ref="D4266" r:id="rId4265" xr:uid="{00000000-0004-0000-0100-0000A8100000}"/>
    <hyperlink ref="D4267" r:id="rId4266" xr:uid="{00000000-0004-0000-0100-0000A9100000}"/>
    <hyperlink ref="D4268" r:id="rId4267" xr:uid="{00000000-0004-0000-0100-0000AA100000}"/>
    <hyperlink ref="D4269" r:id="rId4268" xr:uid="{00000000-0004-0000-0100-0000AB100000}"/>
    <hyperlink ref="D4270" r:id="rId4269" xr:uid="{00000000-0004-0000-0100-0000AC100000}"/>
    <hyperlink ref="D4271" r:id="rId4270" xr:uid="{00000000-0004-0000-0100-0000AD100000}"/>
    <hyperlink ref="D4272" r:id="rId4271" xr:uid="{00000000-0004-0000-0100-0000AE100000}"/>
    <hyperlink ref="D4273" r:id="rId4272" xr:uid="{00000000-0004-0000-0100-0000AF100000}"/>
    <hyperlink ref="D4274" r:id="rId4273" xr:uid="{00000000-0004-0000-0100-0000B0100000}"/>
    <hyperlink ref="D4275" r:id="rId4274" xr:uid="{00000000-0004-0000-0100-0000B1100000}"/>
    <hyperlink ref="D4276" r:id="rId4275" xr:uid="{00000000-0004-0000-0100-0000B2100000}"/>
    <hyperlink ref="D4277" r:id="rId4276" xr:uid="{00000000-0004-0000-0100-0000B3100000}"/>
    <hyperlink ref="D4278" r:id="rId4277" xr:uid="{00000000-0004-0000-0100-0000B4100000}"/>
    <hyperlink ref="D4279" r:id="rId4278" xr:uid="{00000000-0004-0000-0100-0000B5100000}"/>
    <hyperlink ref="D4280" r:id="rId4279" xr:uid="{00000000-0004-0000-0100-0000B6100000}"/>
    <hyperlink ref="D4281" r:id="rId4280" xr:uid="{00000000-0004-0000-0100-0000B7100000}"/>
    <hyperlink ref="D4282" r:id="rId4281" xr:uid="{00000000-0004-0000-0100-0000B8100000}"/>
    <hyperlink ref="D4283" r:id="rId4282" xr:uid="{00000000-0004-0000-0100-0000B9100000}"/>
    <hyperlink ref="D4284" r:id="rId4283" xr:uid="{00000000-0004-0000-0100-0000BA100000}"/>
    <hyperlink ref="D4285" r:id="rId4284" xr:uid="{00000000-0004-0000-0100-0000BB100000}"/>
    <hyperlink ref="D4286" r:id="rId4285" xr:uid="{00000000-0004-0000-0100-0000BC100000}"/>
    <hyperlink ref="D4287" r:id="rId4286" xr:uid="{00000000-0004-0000-0100-0000BD100000}"/>
    <hyperlink ref="D4288" r:id="rId4287" xr:uid="{00000000-0004-0000-0100-0000BE100000}"/>
    <hyperlink ref="D4289" r:id="rId4288" xr:uid="{00000000-0004-0000-0100-0000BF100000}"/>
    <hyperlink ref="D4290" r:id="rId4289" xr:uid="{00000000-0004-0000-0100-0000C0100000}"/>
    <hyperlink ref="D4291" r:id="rId4290" xr:uid="{00000000-0004-0000-0100-0000C1100000}"/>
    <hyperlink ref="D4292" r:id="rId4291" xr:uid="{00000000-0004-0000-0100-0000C2100000}"/>
    <hyperlink ref="D4293" r:id="rId4292" xr:uid="{00000000-0004-0000-0100-0000C3100000}"/>
    <hyperlink ref="D4294" r:id="rId4293" xr:uid="{00000000-0004-0000-0100-0000C4100000}"/>
    <hyperlink ref="D4295" r:id="rId4294" xr:uid="{00000000-0004-0000-0100-0000C5100000}"/>
    <hyperlink ref="D4296" r:id="rId4295" xr:uid="{00000000-0004-0000-0100-0000C6100000}"/>
    <hyperlink ref="D4297" r:id="rId4296" xr:uid="{00000000-0004-0000-0100-0000C7100000}"/>
    <hyperlink ref="D4298" r:id="rId4297" xr:uid="{00000000-0004-0000-0100-0000C8100000}"/>
    <hyperlink ref="D4299" r:id="rId4298" xr:uid="{00000000-0004-0000-0100-0000C9100000}"/>
    <hyperlink ref="D4300" r:id="rId4299" xr:uid="{00000000-0004-0000-0100-0000CA100000}"/>
    <hyperlink ref="D4301" r:id="rId4300" xr:uid="{00000000-0004-0000-0100-0000CB100000}"/>
    <hyperlink ref="D4302" r:id="rId4301" xr:uid="{00000000-0004-0000-0100-0000CC100000}"/>
    <hyperlink ref="D4303" r:id="rId4302" xr:uid="{00000000-0004-0000-0100-0000CD100000}"/>
    <hyperlink ref="D4304" r:id="rId4303" xr:uid="{00000000-0004-0000-0100-0000CE100000}"/>
    <hyperlink ref="D4305" r:id="rId4304" xr:uid="{00000000-0004-0000-0100-0000CF100000}"/>
    <hyperlink ref="D4306" r:id="rId4305" xr:uid="{00000000-0004-0000-0100-0000D0100000}"/>
    <hyperlink ref="D4307" r:id="rId4306" xr:uid="{00000000-0004-0000-0100-0000D1100000}"/>
    <hyperlink ref="D4308" r:id="rId4307" xr:uid="{00000000-0004-0000-0100-0000D2100000}"/>
    <hyperlink ref="D4309" r:id="rId4308" xr:uid="{00000000-0004-0000-0100-0000D3100000}"/>
    <hyperlink ref="D4310" r:id="rId4309" xr:uid="{00000000-0004-0000-0100-0000D4100000}"/>
    <hyperlink ref="D4311" r:id="rId4310" xr:uid="{00000000-0004-0000-0100-0000D5100000}"/>
    <hyperlink ref="D4312" r:id="rId4311" xr:uid="{00000000-0004-0000-0100-0000D6100000}"/>
    <hyperlink ref="D4313" r:id="rId4312" xr:uid="{00000000-0004-0000-0100-0000D7100000}"/>
    <hyperlink ref="D4314" r:id="rId4313" xr:uid="{00000000-0004-0000-0100-0000D8100000}"/>
    <hyperlink ref="D4315" r:id="rId4314" xr:uid="{00000000-0004-0000-0100-0000D9100000}"/>
    <hyperlink ref="D4316" r:id="rId4315" xr:uid="{00000000-0004-0000-0100-0000DA100000}"/>
    <hyperlink ref="D4317" r:id="rId4316" xr:uid="{00000000-0004-0000-0100-0000DB100000}"/>
    <hyperlink ref="D4318" r:id="rId4317" xr:uid="{00000000-0004-0000-0100-0000DC100000}"/>
    <hyperlink ref="D4319" r:id="rId4318" xr:uid="{00000000-0004-0000-0100-0000DD100000}"/>
    <hyperlink ref="D4320" r:id="rId4319" xr:uid="{00000000-0004-0000-0100-0000DE100000}"/>
    <hyperlink ref="D4321" r:id="rId4320" xr:uid="{00000000-0004-0000-0100-0000DF100000}"/>
    <hyperlink ref="D4322" r:id="rId4321" xr:uid="{00000000-0004-0000-0100-0000E0100000}"/>
    <hyperlink ref="D4323" r:id="rId4322" xr:uid="{00000000-0004-0000-0100-0000E1100000}"/>
    <hyperlink ref="D4324" r:id="rId4323" xr:uid="{00000000-0004-0000-0100-0000E2100000}"/>
    <hyperlink ref="D4325" r:id="rId4324" xr:uid="{00000000-0004-0000-0100-0000E3100000}"/>
    <hyperlink ref="D4326" r:id="rId4325" xr:uid="{00000000-0004-0000-0100-0000E4100000}"/>
    <hyperlink ref="D4327" r:id="rId4326" xr:uid="{00000000-0004-0000-0100-0000E5100000}"/>
    <hyperlink ref="D4328" r:id="rId4327" xr:uid="{00000000-0004-0000-0100-0000E6100000}"/>
    <hyperlink ref="D4329" r:id="rId4328" xr:uid="{00000000-0004-0000-0100-0000E7100000}"/>
    <hyperlink ref="D4330" r:id="rId4329" xr:uid="{00000000-0004-0000-0100-0000E8100000}"/>
    <hyperlink ref="D4331" r:id="rId4330" xr:uid="{00000000-0004-0000-0100-0000E9100000}"/>
    <hyperlink ref="D4332" r:id="rId4331" xr:uid="{00000000-0004-0000-0100-0000EA100000}"/>
    <hyperlink ref="D4333" r:id="rId4332" xr:uid="{00000000-0004-0000-0100-0000EB100000}"/>
    <hyperlink ref="D4334" r:id="rId4333" xr:uid="{00000000-0004-0000-0100-0000EC100000}"/>
    <hyperlink ref="D4335" r:id="rId4334" xr:uid="{00000000-0004-0000-0100-0000ED100000}"/>
    <hyperlink ref="D4336" r:id="rId4335" xr:uid="{00000000-0004-0000-0100-0000EE100000}"/>
    <hyperlink ref="D4337" r:id="rId4336" xr:uid="{00000000-0004-0000-0100-0000EF100000}"/>
    <hyperlink ref="D4338" r:id="rId4337" xr:uid="{00000000-0004-0000-0100-0000F0100000}"/>
    <hyperlink ref="D4339" r:id="rId4338" xr:uid="{00000000-0004-0000-0100-0000F1100000}"/>
    <hyperlink ref="D4340" r:id="rId4339" xr:uid="{00000000-0004-0000-0100-0000F2100000}"/>
    <hyperlink ref="D4341" r:id="rId4340" xr:uid="{00000000-0004-0000-0100-0000F3100000}"/>
    <hyperlink ref="D4342" r:id="rId4341" xr:uid="{00000000-0004-0000-0100-0000F4100000}"/>
    <hyperlink ref="D4343" r:id="rId4342" xr:uid="{00000000-0004-0000-0100-0000F5100000}"/>
    <hyperlink ref="D4344" r:id="rId4343" xr:uid="{00000000-0004-0000-0100-0000F6100000}"/>
    <hyperlink ref="D4345" r:id="rId4344" xr:uid="{00000000-0004-0000-0100-0000F7100000}"/>
    <hyperlink ref="D4346" r:id="rId4345" xr:uid="{00000000-0004-0000-0100-0000F8100000}"/>
    <hyperlink ref="D4347" r:id="rId4346" xr:uid="{00000000-0004-0000-0100-0000F9100000}"/>
    <hyperlink ref="D4348" r:id="rId4347" xr:uid="{00000000-0004-0000-0100-0000FA100000}"/>
    <hyperlink ref="D4349" r:id="rId4348" xr:uid="{00000000-0004-0000-0100-0000FB100000}"/>
    <hyperlink ref="D4350" r:id="rId4349" xr:uid="{00000000-0004-0000-0100-0000FC100000}"/>
    <hyperlink ref="D4351" r:id="rId4350" xr:uid="{00000000-0004-0000-0100-0000FD100000}"/>
    <hyperlink ref="D4352" r:id="rId4351" xr:uid="{00000000-0004-0000-0100-0000FE100000}"/>
    <hyperlink ref="D4353" r:id="rId4352" xr:uid="{00000000-0004-0000-0100-0000FF100000}"/>
    <hyperlink ref="D4354" r:id="rId4353" xr:uid="{00000000-0004-0000-0100-000000110000}"/>
    <hyperlink ref="D4355" r:id="rId4354" xr:uid="{00000000-0004-0000-0100-000001110000}"/>
    <hyperlink ref="D4356" r:id="rId4355" xr:uid="{00000000-0004-0000-0100-000002110000}"/>
    <hyperlink ref="D4357" r:id="rId4356" xr:uid="{00000000-0004-0000-0100-000003110000}"/>
    <hyperlink ref="D4358" r:id="rId4357" xr:uid="{00000000-0004-0000-0100-000004110000}"/>
    <hyperlink ref="D4359" r:id="rId4358" xr:uid="{00000000-0004-0000-0100-000005110000}"/>
    <hyperlink ref="D4360" r:id="rId4359" xr:uid="{00000000-0004-0000-0100-000006110000}"/>
    <hyperlink ref="D4361" r:id="rId4360" xr:uid="{00000000-0004-0000-0100-000007110000}"/>
    <hyperlink ref="D4362" r:id="rId4361" xr:uid="{00000000-0004-0000-0100-000008110000}"/>
    <hyperlink ref="D4363" r:id="rId4362" xr:uid="{00000000-0004-0000-0100-000009110000}"/>
    <hyperlink ref="D4364" r:id="rId4363" xr:uid="{00000000-0004-0000-0100-00000A110000}"/>
    <hyperlink ref="D4365" r:id="rId4364" xr:uid="{00000000-0004-0000-0100-00000B110000}"/>
    <hyperlink ref="D4366" r:id="rId4365" xr:uid="{00000000-0004-0000-0100-00000C110000}"/>
    <hyperlink ref="D4367" r:id="rId4366" xr:uid="{00000000-0004-0000-0100-00000D110000}"/>
    <hyperlink ref="D4368" r:id="rId4367" xr:uid="{00000000-0004-0000-0100-00000E110000}"/>
    <hyperlink ref="D4369" r:id="rId4368" xr:uid="{00000000-0004-0000-0100-00000F110000}"/>
    <hyperlink ref="D4370" r:id="rId4369" xr:uid="{00000000-0004-0000-0100-000010110000}"/>
    <hyperlink ref="D4371" r:id="rId4370" xr:uid="{00000000-0004-0000-0100-000011110000}"/>
    <hyperlink ref="D4372" r:id="rId4371" xr:uid="{00000000-0004-0000-0100-000012110000}"/>
    <hyperlink ref="D4373" r:id="rId4372" xr:uid="{00000000-0004-0000-0100-000013110000}"/>
    <hyperlink ref="D4374" r:id="rId4373" xr:uid="{00000000-0004-0000-0100-000014110000}"/>
    <hyperlink ref="D4375" r:id="rId4374" xr:uid="{00000000-0004-0000-0100-000015110000}"/>
    <hyperlink ref="D4376" r:id="rId4375" xr:uid="{00000000-0004-0000-0100-000016110000}"/>
    <hyperlink ref="D4377" r:id="rId4376" xr:uid="{00000000-0004-0000-0100-000017110000}"/>
    <hyperlink ref="D4378" r:id="rId4377" xr:uid="{00000000-0004-0000-0100-000018110000}"/>
    <hyperlink ref="D4379" r:id="rId4378" xr:uid="{00000000-0004-0000-0100-000019110000}"/>
    <hyperlink ref="D4380" r:id="rId4379" xr:uid="{00000000-0004-0000-0100-00001A110000}"/>
    <hyperlink ref="D4381" r:id="rId4380" xr:uid="{00000000-0004-0000-0100-00001B110000}"/>
    <hyperlink ref="D4382" r:id="rId4381" xr:uid="{00000000-0004-0000-0100-00001C110000}"/>
    <hyperlink ref="D4383" r:id="rId4382" xr:uid="{00000000-0004-0000-0100-00001D110000}"/>
    <hyperlink ref="D4384" r:id="rId4383" xr:uid="{00000000-0004-0000-0100-00001E110000}"/>
    <hyperlink ref="D4385" r:id="rId4384" xr:uid="{00000000-0004-0000-0100-00001F110000}"/>
    <hyperlink ref="D4386" r:id="rId4385" xr:uid="{00000000-0004-0000-0100-000020110000}"/>
    <hyperlink ref="D4387" r:id="rId4386" xr:uid="{00000000-0004-0000-0100-000021110000}"/>
    <hyperlink ref="D4388" r:id="rId4387" xr:uid="{00000000-0004-0000-0100-000022110000}"/>
    <hyperlink ref="D4389" r:id="rId4388" xr:uid="{00000000-0004-0000-0100-000023110000}"/>
    <hyperlink ref="D4390" r:id="rId4389" xr:uid="{00000000-0004-0000-0100-000024110000}"/>
    <hyperlink ref="D4391" r:id="rId4390" xr:uid="{00000000-0004-0000-0100-000025110000}"/>
    <hyperlink ref="D4392" r:id="rId4391" xr:uid="{00000000-0004-0000-0100-000026110000}"/>
    <hyperlink ref="D4393" r:id="rId4392" xr:uid="{00000000-0004-0000-0100-000027110000}"/>
    <hyperlink ref="D4394" r:id="rId4393" xr:uid="{00000000-0004-0000-0100-000028110000}"/>
    <hyperlink ref="D4395" r:id="rId4394" xr:uid="{00000000-0004-0000-0100-000029110000}"/>
    <hyperlink ref="D4396" r:id="rId4395" xr:uid="{00000000-0004-0000-0100-00002A110000}"/>
    <hyperlink ref="D4397" r:id="rId4396" xr:uid="{00000000-0004-0000-0100-00002B110000}"/>
    <hyperlink ref="D4398" r:id="rId4397" xr:uid="{00000000-0004-0000-0100-00002C110000}"/>
    <hyperlink ref="D4399" r:id="rId4398" xr:uid="{00000000-0004-0000-0100-00002D110000}"/>
    <hyperlink ref="D4400" r:id="rId4399" xr:uid="{00000000-0004-0000-0100-00002E110000}"/>
    <hyperlink ref="D4401" r:id="rId4400" xr:uid="{00000000-0004-0000-0100-00002F110000}"/>
    <hyperlink ref="D4402" r:id="rId4401" xr:uid="{00000000-0004-0000-0100-000030110000}"/>
    <hyperlink ref="D4403" r:id="rId4402" xr:uid="{00000000-0004-0000-0100-000031110000}"/>
    <hyperlink ref="D4404" r:id="rId4403" xr:uid="{00000000-0004-0000-0100-000032110000}"/>
    <hyperlink ref="D4405" r:id="rId4404" xr:uid="{00000000-0004-0000-0100-000033110000}"/>
    <hyperlink ref="D4406" r:id="rId4405" xr:uid="{00000000-0004-0000-0100-000034110000}"/>
    <hyperlink ref="D4407" r:id="rId4406" xr:uid="{00000000-0004-0000-0100-000035110000}"/>
    <hyperlink ref="D4408" r:id="rId4407" xr:uid="{00000000-0004-0000-0100-000036110000}"/>
    <hyperlink ref="D4409" r:id="rId4408" xr:uid="{00000000-0004-0000-0100-000037110000}"/>
    <hyperlink ref="D4410" r:id="rId4409" xr:uid="{00000000-0004-0000-0100-000038110000}"/>
    <hyperlink ref="D4411" r:id="rId4410" xr:uid="{00000000-0004-0000-0100-000039110000}"/>
    <hyperlink ref="D4412" r:id="rId4411" xr:uid="{00000000-0004-0000-0100-00003A110000}"/>
    <hyperlink ref="D4413" r:id="rId4412" xr:uid="{00000000-0004-0000-0100-00003B110000}"/>
    <hyperlink ref="D4414" r:id="rId4413" xr:uid="{00000000-0004-0000-0100-00003C110000}"/>
    <hyperlink ref="D4415" r:id="rId4414" xr:uid="{00000000-0004-0000-0100-00003D110000}"/>
    <hyperlink ref="D4416" r:id="rId4415" xr:uid="{00000000-0004-0000-0100-00003E110000}"/>
    <hyperlink ref="D4417" r:id="rId4416" xr:uid="{00000000-0004-0000-0100-00003F110000}"/>
    <hyperlink ref="D4418" r:id="rId4417" xr:uid="{00000000-0004-0000-0100-000040110000}"/>
    <hyperlink ref="D4419" r:id="rId4418" xr:uid="{00000000-0004-0000-0100-000041110000}"/>
    <hyperlink ref="D4420" r:id="rId4419" xr:uid="{00000000-0004-0000-0100-000042110000}"/>
    <hyperlink ref="D4421" r:id="rId4420" xr:uid="{00000000-0004-0000-0100-000043110000}"/>
    <hyperlink ref="D4422" r:id="rId4421" xr:uid="{00000000-0004-0000-0100-000044110000}"/>
    <hyperlink ref="D4423" r:id="rId4422" xr:uid="{00000000-0004-0000-0100-000045110000}"/>
    <hyperlink ref="D4424" r:id="rId4423" xr:uid="{00000000-0004-0000-0100-000046110000}"/>
    <hyperlink ref="D4425" r:id="rId4424" xr:uid="{00000000-0004-0000-0100-000047110000}"/>
    <hyperlink ref="D4426" r:id="rId4425" xr:uid="{00000000-0004-0000-0100-000048110000}"/>
    <hyperlink ref="D4427" r:id="rId4426" xr:uid="{00000000-0004-0000-0100-000049110000}"/>
    <hyperlink ref="D4428" r:id="rId4427" xr:uid="{00000000-0004-0000-0100-00004A110000}"/>
    <hyperlink ref="D4429" r:id="rId4428" xr:uid="{00000000-0004-0000-0100-00004B110000}"/>
    <hyperlink ref="D4430" r:id="rId4429" xr:uid="{00000000-0004-0000-0100-00004C110000}"/>
    <hyperlink ref="D4431" r:id="rId4430" xr:uid="{00000000-0004-0000-0100-00004D110000}"/>
    <hyperlink ref="D4432" r:id="rId4431" xr:uid="{00000000-0004-0000-0100-00004E110000}"/>
    <hyperlink ref="D4433" r:id="rId4432" xr:uid="{00000000-0004-0000-0100-00004F110000}"/>
    <hyperlink ref="D4434" r:id="rId4433" xr:uid="{00000000-0004-0000-0100-000050110000}"/>
    <hyperlink ref="D4435" r:id="rId4434" xr:uid="{00000000-0004-0000-0100-000051110000}"/>
    <hyperlink ref="D4436" r:id="rId4435" xr:uid="{00000000-0004-0000-0100-000052110000}"/>
    <hyperlink ref="D4437" r:id="rId4436" xr:uid="{00000000-0004-0000-0100-000053110000}"/>
    <hyperlink ref="D4438" r:id="rId4437" xr:uid="{00000000-0004-0000-0100-000054110000}"/>
    <hyperlink ref="D4439" r:id="rId4438" xr:uid="{00000000-0004-0000-0100-000055110000}"/>
    <hyperlink ref="D4440" r:id="rId4439" xr:uid="{00000000-0004-0000-0100-000056110000}"/>
    <hyperlink ref="D4441" r:id="rId4440" xr:uid="{00000000-0004-0000-0100-000057110000}"/>
    <hyperlink ref="D4442" r:id="rId4441" xr:uid="{00000000-0004-0000-0100-000058110000}"/>
    <hyperlink ref="D4443" r:id="rId4442" xr:uid="{00000000-0004-0000-0100-000059110000}"/>
    <hyperlink ref="D4444" r:id="rId4443" xr:uid="{00000000-0004-0000-0100-00005A110000}"/>
    <hyperlink ref="D4445" r:id="rId4444" xr:uid="{00000000-0004-0000-0100-00005B110000}"/>
    <hyperlink ref="D4446" r:id="rId4445" xr:uid="{00000000-0004-0000-0100-00005C110000}"/>
    <hyperlink ref="D4447" r:id="rId4446" xr:uid="{00000000-0004-0000-0100-00005D110000}"/>
    <hyperlink ref="D4448" r:id="rId4447" xr:uid="{00000000-0004-0000-0100-00005E110000}"/>
    <hyperlink ref="D4449" r:id="rId4448" xr:uid="{00000000-0004-0000-0100-00005F110000}"/>
    <hyperlink ref="D4450" r:id="rId4449" xr:uid="{00000000-0004-0000-0100-000060110000}"/>
    <hyperlink ref="D4451" r:id="rId4450" xr:uid="{00000000-0004-0000-0100-000061110000}"/>
    <hyperlink ref="D4452" r:id="rId4451" xr:uid="{00000000-0004-0000-0100-000062110000}"/>
    <hyperlink ref="D4453" r:id="rId4452" xr:uid="{00000000-0004-0000-0100-000063110000}"/>
    <hyperlink ref="D4454" r:id="rId4453" xr:uid="{00000000-0004-0000-0100-000064110000}"/>
    <hyperlink ref="D4455" r:id="rId4454" xr:uid="{00000000-0004-0000-0100-000065110000}"/>
    <hyperlink ref="D4456" r:id="rId4455" xr:uid="{00000000-0004-0000-0100-000066110000}"/>
    <hyperlink ref="D4457" r:id="rId4456" xr:uid="{00000000-0004-0000-0100-000067110000}"/>
    <hyperlink ref="D4458" r:id="rId4457" xr:uid="{00000000-0004-0000-0100-000068110000}"/>
    <hyperlink ref="D4459" r:id="rId4458" xr:uid="{00000000-0004-0000-0100-000069110000}"/>
    <hyperlink ref="D4460" r:id="rId4459" xr:uid="{00000000-0004-0000-0100-00006A110000}"/>
    <hyperlink ref="D4461" r:id="rId4460" xr:uid="{00000000-0004-0000-0100-00006B110000}"/>
    <hyperlink ref="D4462" r:id="rId4461" xr:uid="{00000000-0004-0000-0100-00006C110000}"/>
    <hyperlink ref="D4463" r:id="rId4462" xr:uid="{00000000-0004-0000-0100-00006D110000}"/>
    <hyperlink ref="D4464" r:id="rId4463" xr:uid="{00000000-0004-0000-0100-00006E110000}"/>
    <hyperlink ref="D4465" r:id="rId4464" xr:uid="{00000000-0004-0000-0100-00006F110000}"/>
    <hyperlink ref="D4466" r:id="rId4465" xr:uid="{00000000-0004-0000-0100-000070110000}"/>
    <hyperlink ref="D4467" r:id="rId4466" xr:uid="{00000000-0004-0000-0100-000071110000}"/>
    <hyperlink ref="D4468" r:id="rId4467" xr:uid="{00000000-0004-0000-0100-000072110000}"/>
    <hyperlink ref="D4469" r:id="rId4468" xr:uid="{00000000-0004-0000-0100-000073110000}"/>
    <hyperlink ref="D4470" r:id="rId4469" xr:uid="{00000000-0004-0000-0100-000074110000}"/>
    <hyperlink ref="D4471" r:id="rId4470" xr:uid="{00000000-0004-0000-0100-000075110000}"/>
    <hyperlink ref="D4472" r:id="rId4471" xr:uid="{00000000-0004-0000-0100-000076110000}"/>
    <hyperlink ref="D4473" r:id="rId4472" xr:uid="{00000000-0004-0000-0100-000077110000}"/>
    <hyperlink ref="D4474" r:id="rId4473" xr:uid="{00000000-0004-0000-0100-000078110000}"/>
    <hyperlink ref="D4475" r:id="rId4474" xr:uid="{00000000-0004-0000-0100-000079110000}"/>
    <hyperlink ref="D4476" r:id="rId4475" xr:uid="{00000000-0004-0000-0100-00007A110000}"/>
    <hyperlink ref="D4477" r:id="rId4476" xr:uid="{00000000-0004-0000-0100-00007B110000}"/>
    <hyperlink ref="D4478" r:id="rId4477" xr:uid="{00000000-0004-0000-0100-00007C110000}"/>
    <hyperlink ref="D4479" r:id="rId4478" xr:uid="{00000000-0004-0000-0100-00007D110000}"/>
    <hyperlink ref="D4480" r:id="rId4479" xr:uid="{00000000-0004-0000-0100-00007E110000}"/>
    <hyperlink ref="D4481" r:id="rId4480" xr:uid="{00000000-0004-0000-0100-00007F110000}"/>
    <hyperlink ref="D4482" r:id="rId4481" xr:uid="{00000000-0004-0000-0100-000080110000}"/>
    <hyperlink ref="D4483" r:id="rId4482" xr:uid="{00000000-0004-0000-0100-000081110000}"/>
    <hyperlink ref="D4484" r:id="rId4483" xr:uid="{00000000-0004-0000-0100-000082110000}"/>
    <hyperlink ref="D4485" r:id="rId4484" xr:uid="{00000000-0004-0000-0100-000083110000}"/>
    <hyperlink ref="D4486" r:id="rId4485" xr:uid="{00000000-0004-0000-0100-000084110000}"/>
    <hyperlink ref="D4487" r:id="rId4486" xr:uid="{00000000-0004-0000-0100-000085110000}"/>
    <hyperlink ref="D4488" r:id="rId4487" xr:uid="{00000000-0004-0000-0100-000086110000}"/>
    <hyperlink ref="D4489" r:id="rId4488" xr:uid="{00000000-0004-0000-0100-000087110000}"/>
    <hyperlink ref="D4490" r:id="rId4489" xr:uid="{00000000-0004-0000-0100-000088110000}"/>
    <hyperlink ref="D4491" r:id="rId4490" xr:uid="{00000000-0004-0000-0100-000089110000}"/>
    <hyperlink ref="D4492" r:id="rId4491" xr:uid="{00000000-0004-0000-0100-00008A110000}"/>
    <hyperlink ref="D4493" r:id="rId4492" xr:uid="{00000000-0004-0000-0100-00008B110000}"/>
    <hyperlink ref="D4494" r:id="rId4493" xr:uid="{00000000-0004-0000-0100-00008C110000}"/>
    <hyperlink ref="D4495" r:id="rId4494" xr:uid="{00000000-0004-0000-0100-00008D110000}"/>
    <hyperlink ref="D4496" r:id="rId4495" xr:uid="{00000000-0004-0000-0100-00008E110000}"/>
    <hyperlink ref="D4497" r:id="rId4496" xr:uid="{00000000-0004-0000-0100-00008F110000}"/>
    <hyperlink ref="D4498" r:id="rId4497" xr:uid="{00000000-0004-0000-0100-000090110000}"/>
    <hyperlink ref="D4499" r:id="rId4498" xr:uid="{00000000-0004-0000-0100-000091110000}"/>
    <hyperlink ref="D4500" r:id="rId4499" xr:uid="{00000000-0004-0000-0100-000092110000}"/>
    <hyperlink ref="D4501" r:id="rId4500" xr:uid="{00000000-0004-0000-0100-000093110000}"/>
    <hyperlink ref="D4502" r:id="rId4501" xr:uid="{00000000-0004-0000-0100-000094110000}"/>
    <hyperlink ref="D4503" r:id="rId4502" xr:uid="{00000000-0004-0000-0100-000095110000}"/>
    <hyperlink ref="D4504" r:id="rId4503" xr:uid="{00000000-0004-0000-0100-000096110000}"/>
    <hyperlink ref="D4505" r:id="rId4504" xr:uid="{00000000-0004-0000-0100-000097110000}"/>
    <hyperlink ref="D4506" r:id="rId4505" xr:uid="{00000000-0004-0000-0100-000098110000}"/>
    <hyperlink ref="D4507" r:id="rId4506" xr:uid="{00000000-0004-0000-0100-000099110000}"/>
    <hyperlink ref="D4508" r:id="rId4507" xr:uid="{00000000-0004-0000-0100-00009A110000}"/>
    <hyperlink ref="D4509" r:id="rId4508" xr:uid="{00000000-0004-0000-0100-00009B110000}"/>
    <hyperlink ref="D4510" r:id="rId4509" xr:uid="{00000000-0004-0000-0100-00009C110000}"/>
    <hyperlink ref="D4511" r:id="rId4510" xr:uid="{00000000-0004-0000-0100-00009D110000}"/>
    <hyperlink ref="D4512" r:id="rId4511" xr:uid="{00000000-0004-0000-0100-00009E110000}"/>
    <hyperlink ref="D4513" r:id="rId4512" xr:uid="{00000000-0004-0000-0100-00009F110000}"/>
    <hyperlink ref="D4514" r:id="rId4513" xr:uid="{00000000-0004-0000-0100-0000A0110000}"/>
    <hyperlink ref="D4515" r:id="rId4514" xr:uid="{00000000-0004-0000-0100-0000A1110000}"/>
    <hyperlink ref="D4516" r:id="rId4515" xr:uid="{00000000-0004-0000-0100-0000A2110000}"/>
    <hyperlink ref="D4517" r:id="rId4516" xr:uid="{00000000-0004-0000-0100-0000A3110000}"/>
    <hyperlink ref="D4518" r:id="rId4517" xr:uid="{00000000-0004-0000-0100-0000A4110000}"/>
    <hyperlink ref="D4519" r:id="rId4518" xr:uid="{00000000-0004-0000-0100-0000A5110000}"/>
    <hyperlink ref="D4520" r:id="rId4519" xr:uid="{00000000-0004-0000-0100-0000A6110000}"/>
    <hyperlink ref="D4521" r:id="rId4520" xr:uid="{00000000-0004-0000-0100-0000A7110000}"/>
    <hyperlink ref="D4522" r:id="rId4521" xr:uid="{00000000-0004-0000-0100-0000A8110000}"/>
    <hyperlink ref="D4523" r:id="rId4522" xr:uid="{00000000-0004-0000-0100-0000A9110000}"/>
    <hyperlink ref="D4524" r:id="rId4523" xr:uid="{00000000-0004-0000-0100-0000AA110000}"/>
    <hyperlink ref="D4525" r:id="rId4524" xr:uid="{00000000-0004-0000-0100-0000AB110000}"/>
    <hyperlink ref="D4526" r:id="rId4525" xr:uid="{00000000-0004-0000-0100-0000AC110000}"/>
    <hyperlink ref="D4527" r:id="rId4526" xr:uid="{00000000-0004-0000-0100-0000AD110000}"/>
    <hyperlink ref="D4528" r:id="rId4527" xr:uid="{00000000-0004-0000-0100-0000AE110000}"/>
    <hyperlink ref="D4529" r:id="rId4528" xr:uid="{00000000-0004-0000-0100-0000AF110000}"/>
    <hyperlink ref="D4530" r:id="rId4529" xr:uid="{00000000-0004-0000-0100-0000B0110000}"/>
    <hyperlink ref="D4531" r:id="rId4530" xr:uid="{00000000-0004-0000-0100-0000B1110000}"/>
    <hyperlink ref="D4532" r:id="rId4531" xr:uid="{00000000-0004-0000-0100-0000B2110000}"/>
    <hyperlink ref="D4533" r:id="rId4532" xr:uid="{00000000-0004-0000-0100-0000B3110000}"/>
    <hyperlink ref="D4534" r:id="rId4533" xr:uid="{00000000-0004-0000-0100-0000B4110000}"/>
    <hyperlink ref="D4535" r:id="rId4534" xr:uid="{00000000-0004-0000-0100-0000B5110000}"/>
    <hyperlink ref="D4536" r:id="rId4535" xr:uid="{00000000-0004-0000-0100-0000B6110000}"/>
    <hyperlink ref="D4537" r:id="rId4536" xr:uid="{00000000-0004-0000-0100-0000B7110000}"/>
    <hyperlink ref="D4538" r:id="rId4537" xr:uid="{00000000-0004-0000-0100-0000B8110000}"/>
    <hyperlink ref="D4539" r:id="rId4538" xr:uid="{00000000-0004-0000-0100-0000B9110000}"/>
    <hyperlink ref="D4540" r:id="rId4539" xr:uid="{00000000-0004-0000-0100-0000BA110000}"/>
    <hyperlink ref="D4541" r:id="rId4540" xr:uid="{00000000-0004-0000-0100-0000BB110000}"/>
    <hyperlink ref="D4542" r:id="rId4541" xr:uid="{00000000-0004-0000-0100-0000BC110000}"/>
    <hyperlink ref="D4543" r:id="rId4542" xr:uid="{00000000-0004-0000-0100-0000BD110000}"/>
    <hyperlink ref="D4544" r:id="rId4543" xr:uid="{00000000-0004-0000-0100-0000BE110000}"/>
    <hyperlink ref="D4545" r:id="rId4544" xr:uid="{00000000-0004-0000-0100-0000BF110000}"/>
    <hyperlink ref="D4546" r:id="rId4545" xr:uid="{00000000-0004-0000-0100-0000C0110000}"/>
    <hyperlink ref="D4547" r:id="rId4546" xr:uid="{00000000-0004-0000-0100-0000C1110000}"/>
    <hyperlink ref="D4548" r:id="rId4547" xr:uid="{00000000-0004-0000-0100-0000C2110000}"/>
    <hyperlink ref="D4549" r:id="rId4548" xr:uid="{00000000-0004-0000-0100-0000C3110000}"/>
    <hyperlink ref="D4550" r:id="rId4549" xr:uid="{00000000-0004-0000-0100-0000C4110000}"/>
    <hyperlink ref="D4551" r:id="rId4550" xr:uid="{00000000-0004-0000-0100-0000C5110000}"/>
    <hyperlink ref="D4552" r:id="rId4551" xr:uid="{00000000-0004-0000-0100-0000C6110000}"/>
    <hyperlink ref="D4553" r:id="rId4552" xr:uid="{00000000-0004-0000-0100-0000C7110000}"/>
    <hyperlink ref="D4554" r:id="rId4553" xr:uid="{00000000-0004-0000-0100-0000C8110000}"/>
    <hyperlink ref="D4555" r:id="rId4554" xr:uid="{00000000-0004-0000-0100-0000C9110000}"/>
    <hyperlink ref="D4556" r:id="rId4555" xr:uid="{00000000-0004-0000-0100-0000CA110000}"/>
    <hyperlink ref="D4557" r:id="rId4556" xr:uid="{00000000-0004-0000-0100-0000CB110000}"/>
    <hyperlink ref="D4558" r:id="rId4557" xr:uid="{00000000-0004-0000-0100-0000CC110000}"/>
    <hyperlink ref="D4559" r:id="rId4558" xr:uid="{00000000-0004-0000-0100-0000CD110000}"/>
    <hyperlink ref="D4560" r:id="rId4559" xr:uid="{00000000-0004-0000-0100-0000CE110000}"/>
    <hyperlink ref="D4561" r:id="rId4560" xr:uid="{00000000-0004-0000-0100-0000CF110000}"/>
    <hyperlink ref="D4562" r:id="rId4561" xr:uid="{00000000-0004-0000-0100-0000D0110000}"/>
    <hyperlink ref="D4563" r:id="rId4562" xr:uid="{00000000-0004-0000-0100-0000D1110000}"/>
    <hyperlink ref="D4564" r:id="rId4563" xr:uid="{00000000-0004-0000-0100-0000D2110000}"/>
    <hyperlink ref="D4565" r:id="rId4564" xr:uid="{00000000-0004-0000-0100-0000D3110000}"/>
    <hyperlink ref="D4566" r:id="rId4565" xr:uid="{00000000-0004-0000-0100-0000D4110000}"/>
    <hyperlink ref="D4567" r:id="rId4566" xr:uid="{00000000-0004-0000-0100-0000D5110000}"/>
    <hyperlink ref="D4568" r:id="rId4567" xr:uid="{00000000-0004-0000-0100-0000D6110000}"/>
    <hyperlink ref="D4569" r:id="rId4568" xr:uid="{00000000-0004-0000-0100-0000D7110000}"/>
    <hyperlink ref="D4570" r:id="rId4569" xr:uid="{00000000-0004-0000-0100-0000D8110000}"/>
    <hyperlink ref="D4571" r:id="rId4570" xr:uid="{00000000-0004-0000-0100-0000D9110000}"/>
    <hyperlink ref="D4572" r:id="rId4571" xr:uid="{00000000-0004-0000-0100-0000DA110000}"/>
    <hyperlink ref="D4573" r:id="rId4572" xr:uid="{00000000-0004-0000-0100-0000DB110000}"/>
    <hyperlink ref="D4574" r:id="rId4573" xr:uid="{00000000-0004-0000-0100-0000DC110000}"/>
    <hyperlink ref="D4575" r:id="rId4574" xr:uid="{00000000-0004-0000-0100-0000DD110000}"/>
    <hyperlink ref="D4576" r:id="rId4575" xr:uid="{00000000-0004-0000-0100-0000DE110000}"/>
    <hyperlink ref="D4577" r:id="rId4576" xr:uid="{00000000-0004-0000-0100-0000DF110000}"/>
    <hyperlink ref="D4578" r:id="rId4577" xr:uid="{00000000-0004-0000-0100-0000E0110000}"/>
    <hyperlink ref="D4579" r:id="rId4578" xr:uid="{00000000-0004-0000-0100-0000E1110000}"/>
    <hyperlink ref="D4580" r:id="rId4579" xr:uid="{00000000-0004-0000-0100-0000E2110000}"/>
    <hyperlink ref="D4581" r:id="rId4580" xr:uid="{00000000-0004-0000-0100-0000E3110000}"/>
    <hyperlink ref="D4582" r:id="rId4581" xr:uid="{00000000-0004-0000-0100-0000E4110000}"/>
    <hyperlink ref="D4583" r:id="rId4582" xr:uid="{00000000-0004-0000-0100-0000E5110000}"/>
    <hyperlink ref="D4584" r:id="rId4583" xr:uid="{00000000-0004-0000-0100-0000E6110000}"/>
    <hyperlink ref="D4585" r:id="rId4584" xr:uid="{00000000-0004-0000-0100-0000E7110000}"/>
    <hyperlink ref="D4586" r:id="rId4585" xr:uid="{00000000-0004-0000-0100-0000E8110000}"/>
    <hyperlink ref="D4587" r:id="rId4586" xr:uid="{00000000-0004-0000-0100-0000E9110000}"/>
    <hyperlink ref="D4588" r:id="rId4587" xr:uid="{00000000-0004-0000-0100-0000EA110000}"/>
    <hyperlink ref="D4589" r:id="rId4588" xr:uid="{00000000-0004-0000-0100-0000EB110000}"/>
    <hyperlink ref="D4590" r:id="rId4589" xr:uid="{00000000-0004-0000-0100-0000EC110000}"/>
    <hyperlink ref="D4591" r:id="rId4590" xr:uid="{00000000-0004-0000-0100-0000ED110000}"/>
    <hyperlink ref="D4592" r:id="rId4591" xr:uid="{00000000-0004-0000-0100-0000EE110000}"/>
    <hyperlink ref="D4593" r:id="rId4592" xr:uid="{00000000-0004-0000-0100-0000EF110000}"/>
    <hyperlink ref="D4594" r:id="rId4593" xr:uid="{00000000-0004-0000-0100-0000F0110000}"/>
    <hyperlink ref="D4595" r:id="rId4594" xr:uid="{00000000-0004-0000-0100-0000F1110000}"/>
    <hyperlink ref="D4596" r:id="rId4595" xr:uid="{00000000-0004-0000-0100-0000F2110000}"/>
    <hyperlink ref="D4597" r:id="rId4596" xr:uid="{00000000-0004-0000-0100-0000F3110000}"/>
    <hyperlink ref="D4598" r:id="rId4597" xr:uid="{00000000-0004-0000-0100-0000F4110000}"/>
    <hyperlink ref="D4599" r:id="rId4598" xr:uid="{00000000-0004-0000-0100-0000F5110000}"/>
    <hyperlink ref="D4600" r:id="rId4599" xr:uid="{00000000-0004-0000-0100-0000F6110000}"/>
    <hyperlink ref="D4601" r:id="rId4600" xr:uid="{00000000-0004-0000-0100-0000F7110000}"/>
    <hyperlink ref="D4602" r:id="rId4601" xr:uid="{00000000-0004-0000-0100-0000F8110000}"/>
    <hyperlink ref="D4603" r:id="rId4602" xr:uid="{00000000-0004-0000-0100-0000F9110000}"/>
    <hyperlink ref="D4604" r:id="rId4603" xr:uid="{00000000-0004-0000-0100-0000FA110000}"/>
    <hyperlink ref="D4605" r:id="rId4604" xr:uid="{00000000-0004-0000-0100-0000FB110000}"/>
    <hyperlink ref="D4606" r:id="rId4605" xr:uid="{00000000-0004-0000-0100-0000FC110000}"/>
    <hyperlink ref="D4607" r:id="rId4606" xr:uid="{00000000-0004-0000-0100-0000FD110000}"/>
    <hyperlink ref="D4608" r:id="rId4607" xr:uid="{00000000-0004-0000-0100-0000FE110000}"/>
    <hyperlink ref="D4609" r:id="rId4608" xr:uid="{00000000-0004-0000-0100-0000FF110000}"/>
    <hyperlink ref="D4610" r:id="rId4609" xr:uid="{00000000-0004-0000-0100-000000120000}"/>
    <hyperlink ref="D4611" r:id="rId4610" xr:uid="{00000000-0004-0000-0100-000001120000}"/>
    <hyperlink ref="D4612" r:id="rId4611" xr:uid="{00000000-0004-0000-0100-000002120000}"/>
    <hyperlink ref="D4613" r:id="rId4612" xr:uid="{00000000-0004-0000-0100-000003120000}"/>
    <hyperlink ref="D4614" r:id="rId4613" xr:uid="{00000000-0004-0000-0100-000004120000}"/>
    <hyperlink ref="D4615" r:id="rId4614" xr:uid="{00000000-0004-0000-0100-000005120000}"/>
    <hyperlink ref="D4616" r:id="rId4615" xr:uid="{00000000-0004-0000-0100-000006120000}"/>
    <hyperlink ref="D4617" r:id="rId4616" xr:uid="{00000000-0004-0000-0100-000007120000}"/>
    <hyperlink ref="D4618" r:id="rId4617" xr:uid="{00000000-0004-0000-0100-000008120000}"/>
    <hyperlink ref="D4619" r:id="rId4618" xr:uid="{00000000-0004-0000-0100-000009120000}"/>
    <hyperlink ref="D4620" r:id="rId4619" xr:uid="{00000000-0004-0000-0100-00000A120000}"/>
    <hyperlink ref="D4621" r:id="rId4620" xr:uid="{00000000-0004-0000-0100-00000B120000}"/>
    <hyperlink ref="D4622" r:id="rId4621" xr:uid="{00000000-0004-0000-0100-00000C120000}"/>
    <hyperlink ref="D4623" r:id="rId4622" xr:uid="{00000000-0004-0000-0100-00000D120000}"/>
    <hyperlink ref="D4624" r:id="rId4623" xr:uid="{00000000-0004-0000-0100-00000E120000}"/>
    <hyperlink ref="D4625" r:id="rId4624" xr:uid="{00000000-0004-0000-0100-00000F120000}"/>
    <hyperlink ref="D4626" r:id="rId4625" xr:uid="{00000000-0004-0000-0100-000010120000}"/>
    <hyperlink ref="D4627" r:id="rId4626" xr:uid="{00000000-0004-0000-0100-000011120000}"/>
    <hyperlink ref="D4628" r:id="rId4627" xr:uid="{00000000-0004-0000-0100-000012120000}"/>
    <hyperlink ref="D4629" r:id="rId4628" xr:uid="{00000000-0004-0000-0100-000013120000}"/>
    <hyperlink ref="D4630" r:id="rId4629" xr:uid="{00000000-0004-0000-0100-000014120000}"/>
    <hyperlink ref="D4631" r:id="rId4630" xr:uid="{00000000-0004-0000-0100-000015120000}"/>
    <hyperlink ref="D4632" r:id="rId4631" xr:uid="{00000000-0004-0000-0100-000016120000}"/>
    <hyperlink ref="D4633" r:id="rId4632" xr:uid="{00000000-0004-0000-0100-000017120000}"/>
    <hyperlink ref="D4634" r:id="rId4633" xr:uid="{00000000-0004-0000-0100-000018120000}"/>
    <hyperlink ref="D4635" r:id="rId4634" xr:uid="{00000000-0004-0000-0100-000019120000}"/>
    <hyperlink ref="D4636" r:id="rId4635" xr:uid="{00000000-0004-0000-0100-00001A120000}"/>
    <hyperlink ref="D4637" r:id="rId4636" xr:uid="{00000000-0004-0000-0100-00001B120000}"/>
    <hyperlink ref="D4638" r:id="rId4637" xr:uid="{00000000-0004-0000-0100-00001C120000}"/>
    <hyperlink ref="D4639" r:id="rId4638" xr:uid="{00000000-0004-0000-0100-00001D120000}"/>
    <hyperlink ref="D4640" r:id="rId4639" xr:uid="{00000000-0004-0000-0100-00001E120000}"/>
    <hyperlink ref="D4641" r:id="rId4640" xr:uid="{00000000-0004-0000-0100-00001F120000}"/>
    <hyperlink ref="D4642" r:id="rId4641" xr:uid="{00000000-0004-0000-0100-000020120000}"/>
    <hyperlink ref="D4643" r:id="rId4642" xr:uid="{00000000-0004-0000-0100-000021120000}"/>
    <hyperlink ref="D4644" r:id="rId4643" xr:uid="{00000000-0004-0000-0100-000022120000}"/>
    <hyperlink ref="D4645" r:id="rId4644" xr:uid="{00000000-0004-0000-0100-000023120000}"/>
    <hyperlink ref="D4646" r:id="rId4645" xr:uid="{00000000-0004-0000-0100-000024120000}"/>
    <hyperlink ref="D4647" r:id="rId4646" xr:uid="{00000000-0004-0000-0100-000025120000}"/>
    <hyperlink ref="D4648" r:id="rId4647" xr:uid="{00000000-0004-0000-0100-000026120000}"/>
    <hyperlink ref="D4649" r:id="rId4648" xr:uid="{00000000-0004-0000-0100-000027120000}"/>
    <hyperlink ref="D4650" r:id="rId4649" xr:uid="{00000000-0004-0000-0100-000028120000}"/>
    <hyperlink ref="D4651" r:id="rId4650" xr:uid="{00000000-0004-0000-0100-000029120000}"/>
    <hyperlink ref="D4652" r:id="rId4651" xr:uid="{00000000-0004-0000-0100-00002A120000}"/>
    <hyperlink ref="D4653" r:id="rId4652" xr:uid="{00000000-0004-0000-0100-00002B120000}"/>
    <hyperlink ref="D4654" r:id="rId4653" xr:uid="{00000000-0004-0000-0100-00002C120000}"/>
    <hyperlink ref="D4655" r:id="rId4654" xr:uid="{00000000-0004-0000-0100-00002D120000}"/>
    <hyperlink ref="D4656" r:id="rId4655" xr:uid="{00000000-0004-0000-0100-00002E120000}"/>
    <hyperlink ref="D4657" r:id="rId4656" xr:uid="{00000000-0004-0000-0100-00002F120000}"/>
    <hyperlink ref="D4658" r:id="rId4657" xr:uid="{00000000-0004-0000-0100-000030120000}"/>
    <hyperlink ref="D4659" r:id="rId4658" xr:uid="{00000000-0004-0000-0100-000031120000}"/>
    <hyperlink ref="D4660" r:id="rId4659" xr:uid="{00000000-0004-0000-0100-000032120000}"/>
    <hyperlink ref="D4661" r:id="rId4660" xr:uid="{00000000-0004-0000-0100-000033120000}"/>
    <hyperlink ref="D4662" r:id="rId4661" xr:uid="{00000000-0004-0000-0100-000034120000}"/>
    <hyperlink ref="D4663" r:id="rId4662" xr:uid="{00000000-0004-0000-0100-000035120000}"/>
    <hyperlink ref="D4664" r:id="rId4663" xr:uid="{00000000-0004-0000-0100-000036120000}"/>
    <hyperlink ref="D4665" r:id="rId4664" xr:uid="{00000000-0004-0000-0100-000037120000}"/>
    <hyperlink ref="D4666" r:id="rId4665" xr:uid="{00000000-0004-0000-0100-000038120000}"/>
    <hyperlink ref="D4667" r:id="rId4666" xr:uid="{00000000-0004-0000-0100-000039120000}"/>
    <hyperlink ref="D4668" r:id="rId4667" xr:uid="{00000000-0004-0000-0100-00003A120000}"/>
    <hyperlink ref="D4669" r:id="rId4668" xr:uid="{00000000-0004-0000-0100-00003B120000}"/>
    <hyperlink ref="D4670" r:id="rId4669" xr:uid="{00000000-0004-0000-0100-00003C120000}"/>
    <hyperlink ref="D4671" r:id="rId4670" xr:uid="{00000000-0004-0000-0100-00003D120000}"/>
    <hyperlink ref="D4672" r:id="rId4671" xr:uid="{00000000-0004-0000-0100-00003E120000}"/>
    <hyperlink ref="D4673" r:id="rId4672" xr:uid="{00000000-0004-0000-0100-00003F120000}"/>
    <hyperlink ref="D4674" r:id="rId4673" xr:uid="{00000000-0004-0000-0100-000040120000}"/>
    <hyperlink ref="D4675" r:id="rId4674" xr:uid="{00000000-0004-0000-0100-000041120000}"/>
    <hyperlink ref="D4676" r:id="rId4675" xr:uid="{00000000-0004-0000-0100-000042120000}"/>
    <hyperlink ref="D4677" r:id="rId4676" xr:uid="{00000000-0004-0000-0100-000043120000}"/>
    <hyperlink ref="D4678" r:id="rId4677" xr:uid="{00000000-0004-0000-0100-000044120000}"/>
    <hyperlink ref="D4679" r:id="rId4678" xr:uid="{00000000-0004-0000-0100-000045120000}"/>
    <hyperlink ref="D4680" r:id="rId4679" xr:uid="{00000000-0004-0000-0100-000046120000}"/>
    <hyperlink ref="D4681" r:id="rId4680" xr:uid="{00000000-0004-0000-0100-000047120000}"/>
    <hyperlink ref="D4682" r:id="rId4681" xr:uid="{00000000-0004-0000-0100-000048120000}"/>
    <hyperlink ref="D4683" r:id="rId4682" xr:uid="{00000000-0004-0000-0100-000049120000}"/>
    <hyperlink ref="D4684" r:id="rId4683" xr:uid="{00000000-0004-0000-0100-00004A120000}"/>
    <hyperlink ref="D4685" r:id="rId4684" xr:uid="{00000000-0004-0000-0100-00004B120000}"/>
    <hyperlink ref="D4686" r:id="rId4685" xr:uid="{00000000-0004-0000-0100-00004C120000}"/>
    <hyperlink ref="D4687" r:id="rId4686" xr:uid="{00000000-0004-0000-0100-00004D120000}"/>
    <hyperlink ref="D4688" r:id="rId4687" xr:uid="{00000000-0004-0000-0100-00004E120000}"/>
    <hyperlink ref="D4689" r:id="rId4688" xr:uid="{00000000-0004-0000-0100-00004F120000}"/>
    <hyperlink ref="D4690" r:id="rId4689" xr:uid="{00000000-0004-0000-0100-000050120000}"/>
    <hyperlink ref="D4691" r:id="rId4690" xr:uid="{00000000-0004-0000-0100-000051120000}"/>
    <hyperlink ref="D4692" r:id="rId4691" xr:uid="{00000000-0004-0000-0100-000052120000}"/>
    <hyperlink ref="D4693" r:id="rId4692" xr:uid="{00000000-0004-0000-0100-000053120000}"/>
    <hyperlink ref="D4694" r:id="rId4693" xr:uid="{00000000-0004-0000-0100-000054120000}"/>
    <hyperlink ref="D4695" r:id="rId4694" xr:uid="{00000000-0004-0000-0100-000055120000}"/>
    <hyperlink ref="D4696" r:id="rId4695" xr:uid="{00000000-0004-0000-0100-000056120000}"/>
    <hyperlink ref="D4697" r:id="rId4696" xr:uid="{00000000-0004-0000-0100-000057120000}"/>
    <hyperlink ref="D4698" r:id="rId4697" xr:uid="{00000000-0004-0000-0100-000058120000}"/>
    <hyperlink ref="D4699" r:id="rId4698" xr:uid="{00000000-0004-0000-0100-000059120000}"/>
    <hyperlink ref="D4700" r:id="rId4699" xr:uid="{00000000-0004-0000-0100-00005A120000}"/>
    <hyperlink ref="D4701" r:id="rId4700" xr:uid="{00000000-0004-0000-0100-00005B120000}"/>
    <hyperlink ref="D4702" r:id="rId4701" xr:uid="{00000000-0004-0000-0100-00005C120000}"/>
    <hyperlink ref="D4703" r:id="rId4702" xr:uid="{00000000-0004-0000-0100-00005D120000}"/>
    <hyperlink ref="D4704" r:id="rId4703" xr:uid="{00000000-0004-0000-0100-00005E120000}"/>
    <hyperlink ref="D4705" r:id="rId4704" xr:uid="{00000000-0004-0000-0100-00005F120000}"/>
    <hyperlink ref="D4706" r:id="rId4705" xr:uid="{00000000-0004-0000-0100-000060120000}"/>
    <hyperlink ref="D4707" r:id="rId4706" xr:uid="{00000000-0004-0000-0100-000061120000}"/>
    <hyperlink ref="D4708" r:id="rId4707" xr:uid="{00000000-0004-0000-0100-000062120000}"/>
    <hyperlink ref="D4709" r:id="rId4708" xr:uid="{00000000-0004-0000-0100-000063120000}"/>
    <hyperlink ref="D4710" r:id="rId4709" xr:uid="{00000000-0004-0000-0100-000064120000}"/>
    <hyperlink ref="D4711" r:id="rId4710" xr:uid="{00000000-0004-0000-0100-000065120000}"/>
    <hyperlink ref="D4712" r:id="rId4711" xr:uid="{00000000-0004-0000-0100-000066120000}"/>
    <hyperlink ref="D4713" r:id="rId4712" xr:uid="{00000000-0004-0000-0100-000067120000}"/>
    <hyperlink ref="D4714" r:id="rId4713" xr:uid="{00000000-0004-0000-0100-000068120000}"/>
    <hyperlink ref="D4715" r:id="rId4714" xr:uid="{00000000-0004-0000-0100-000069120000}"/>
    <hyperlink ref="D4716" r:id="rId4715" xr:uid="{00000000-0004-0000-0100-00006A120000}"/>
    <hyperlink ref="D4717" r:id="rId4716" xr:uid="{00000000-0004-0000-0100-00006B120000}"/>
    <hyperlink ref="D4718" r:id="rId4717" xr:uid="{00000000-0004-0000-0100-00006C120000}"/>
    <hyperlink ref="D4719" r:id="rId4718" xr:uid="{00000000-0004-0000-0100-00006D120000}"/>
    <hyperlink ref="D4720" r:id="rId4719" xr:uid="{00000000-0004-0000-0100-00006E120000}"/>
    <hyperlink ref="D4721" r:id="rId4720" xr:uid="{00000000-0004-0000-0100-00006F120000}"/>
    <hyperlink ref="D4722" r:id="rId4721" xr:uid="{00000000-0004-0000-0100-000070120000}"/>
    <hyperlink ref="D4723" r:id="rId4722" xr:uid="{00000000-0004-0000-0100-000071120000}"/>
    <hyperlink ref="D4724" r:id="rId4723" xr:uid="{00000000-0004-0000-0100-000072120000}"/>
    <hyperlink ref="D4725" r:id="rId4724" xr:uid="{00000000-0004-0000-0100-000073120000}"/>
    <hyperlink ref="D4726" r:id="rId4725" xr:uid="{00000000-0004-0000-0100-000074120000}"/>
    <hyperlink ref="D4727" r:id="rId4726" xr:uid="{00000000-0004-0000-0100-000075120000}"/>
    <hyperlink ref="D4728" r:id="rId4727" xr:uid="{00000000-0004-0000-0100-000076120000}"/>
    <hyperlink ref="D4729" r:id="rId4728" xr:uid="{00000000-0004-0000-0100-000077120000}"/>
    <hyperlink ref="D4730" r:id="rId4729" xr:uid="{00000000-0004-0000-0100-000078120000}"/>
    <hyperlink ref="D4731" r:id="rId4730" xr:uid="{00000000-0004-0000-0100-000079120000}"/>
    <hyperlink ref="D4732" r:id="rId4731" xr:uid="{00000000-0004-0000-0100-00007A120000}"/>
    <hyperlink ref="D4733" r:id="rId4732" xr:uid="{00000000-0004-0000-0100-00007B120000}"/>
    <hyperlink ref="D4734" r:id="rId4733" xr:uid="{00000000-0004-0000-0100-00007C120000}"/>
    <hyperlink ref="D4735" r:id="rId4734" xr:uid="{00000000-0004-0000-0100-00007D120000}"/>
    <hyperlink ref="D4736" r:id="rId4735" xr:uid="{00000000-0004-0000-0100-00007E120000}"/>
    <hyperlink ref="D4737" r:id="rId4736" xr:uid="{00000000-0004-0000-0100-00007F120000}"/>
    <hyperlink ref="D4738" r:id="rId4737" xr:uid="{00000000-0004-0000-0100-000080120000}"/>
    <hyperlink ref="D4739" r:id="rId4738" xr:uid="{00000000-0004-0000-0100-000081120000}"/>
    <hyperlink ref="D4740" r:id="rId4739" xr:uid="{00000000-0004-0000-0100-000082120000}"/>
    <hyperlink ref="D4741" r:id="rId4740" xr:uid="{00000000-0004-0000-0100-000083120000}"/>
    <hyperlink ref="D4742" r:id="rId4741" xr:uid="{00000000-0004-0000-0100-000084120000}"/>
    <hyperlink ref="D4743" r:id="rId4742" xr:uid="{00000000-0004-0000-0100-000085120000}"/>
    <hyperlink ref="D4744" r:id="rId4743" xr:uid="{00000000-0004-0000-0100-000086120000}"/>
    <hyperlink ref="D4745" r:id="rId4744" xr:uid="{00000000-0004-0000-0100-000087120000}"/>
    <hyperlink ref="D4746" r:id="rId4745" xr:uid="{00000000-0004-0000-0100-000088120000}"/>
    <hyperlink ref="D4747" r:id="rId4746" xr:uid="{00000000-0004-0000-0100-000089120000}"/>
    <hyperlink ref="D4748" r:id="rId4747" xr:uid="{00000000-0004-0000-0100-00008A120000}"/>
    <hyperlink ref="D4749" r:id="rId4748" xr:uid="{00000000-0004-0000-0100-00008B120000}"/>
    <hyperlink ref="D4750" r:id="rId4749" xr:uid="{00000000-0004-0000-0100-00008C120000}"/>
    <hyperlink ref="D4751" r:id="rId4750" xr:uid="{00000000-0004-0000-0100-00008D120000}"/>
    <hyperlink ref="D4752" r:id="rId4751" xr:uid="{00000000-0004-0000-0100-00008E120000}"/>
    <hyperlink ref="D4753" r:id="rId4752" xr:uid="{00000000-0004-0000-0100-00008F120000}"/>
    <hyperlink ref="D4754" r:id="rId4753" xr:uid="{00000000-0004-0000-0100-000090120000}"/>
    <hyperlink ref="D4755" r:id="rId4754" xr:uid="{00000000-0004-0000-0100-000091120000}"/>
    <hyperlink ref="D4756" r:id="rId4755" xr:uid="{00000000-0004-0000-0100-000092120000}"/>
    <hyperlink ref="D4757" r:id="rId4756" xr:uid="{00000000-0004-0000-0100-000093120000}"/>
    <hyperlink ref="D4758" r:id="rId4757" xr:uid="{00000000-0004-0000-0100-000094120000}"/>
    <hyperlink ref="D4759" r:id="rId4758" xr:uid="{00000000-0004-0000-0100-000095120000}"/>
    <hyperlink ref="D4760" r:id="rId4759" xr:uid="{00000000-0004-0000-0100-000096120000}"/>
    <hyperlink ref="D4761" r:id="rId4760" xr:uid="{00000000-0004-0000-0100-000097120000}"/>
    <hyperlink ref="D4762" r:id="rId4761" xr:uid="{00000000-0004-0000-0100-000098120000}"/>
    <hyperlink ref="D4763" r:id="rId4762" xr:uid="{00000000-0004-0000-0100-000099120000}"/>
    <hyperlink ref="D4764" r:id="rId4763" xr:uid="{00000000-0004-0000-0100-00009A120000}"/>
    <hyperlink ref="D4765" r:id="rId4764" xr:uid="{00000000-0004-0000-0100-00009B120000}"/>
    <hyperlink ref="D4766" r:id="rId4765" xr:uid="{00000000-0004-0000-0100-00009C120000}"/>
    <hyperlink ref="D4767" r:id="rId4766" xr:uid="{00000000-0004-0000-0100-00009D120000}"/>
    <hyperlink ref="D4768" r:id="rId4767" xr:uid="{00000000-0004-0000-0100-00009E120000}"/>
    <hyperlink ref="D4769" r:id="rId4768" xr:uid="{00000000-0004-0000-0100-00009F120000}"/>
    <hyperlink ref="D4770" r:id="rId4769" xr:uid="{00000000-0004-0000-0100-0000A0120000}"/>
    <hyperlink ref="D4771" r:id="rId4770" xr:uid="{00000000-0004-0000-0100-0000A1120000}"/>
    <hyperlink ref="D4772" r:id="rId4771" xr:uid="{00000000-0004-0000-0100-0000A2120000}"/>
    <hyperlink ref="D4773" r:id="rId4772" xr:uid="{00000000-0004-0000-0100-0000A3120000}"/>
    <hyperlink ref="D4774" r:id="rId4773" xr:uid="{00000000-0004-0000-0100-0000A4120000}"/>
    <hyperlink ref="D4775" r:id="rId4774" xr:uid="{00000000-0004-0000-0100-0000A5120000}"/>
    <hyperlink ref="D4776" r:id="rId4775" xr:uid="{00000000-0004-0000-0100-0000A6120000}"/>
    <hyperlink ref="D4777" r:id="rId4776" xr:uid="{00000000-0004-0000-0100-0000A7120000}"/>
    <hyperlink ref="D4778" r:id="rId4777" xr:uid="{00000000-0004-0000-0100-0000A8120000}"/>
    <hyperlink ref="D4779" r:id="rId4778" xr:uid="{00000000-0004-0000-0100-0000A9120000}"/>
    <hyperlink ref="D4780" r:id="rId4779" xr:uid="{00000000-0004-0000-0100-0000AA120000}"/>
    <hyperlink ref="D4781" r:id="rId4780" xr:uid="{00000000-0004-0000-0100-0000AB120000}"/>
    <hyperlink ref="D4782" r:id="rId4781" xr:uid="{00000000-0004-0000-0100-0000AC120000}"/>
    <hyperlink ref="D4783" r:id="rId4782" xr:uid="{00000000-0004-0000-0100-0000AD120000}"/>
    <hyperlink ref="D4784" r:id="rId4783" xr:uid="{00000000-0004-0000-0100-0000AE120000}"/>
    <hyperlink ref="D4785" r:id="rId4784" xr:uid="{00000000-0004-0000-0100-0000AF120000}"/>
    <hyperlink ref="D4786" r:id="rId4785" xr:uid="{00000000-0004-0000-0100-0000B0120000}"/>
    <hyperlink ref="D4787" r:id="rId4786" xr:uid="{00000000-0004-0000-0100-0000B1120000}"/>
    <hyperlink ref="D4788" r:id="rId4787" xr:uid="{00000000-0004-0000-0100-0000B2120000}"/>
    <hyperlink ref="D4789" r:id="rId4788" xr:uid="{00000000-0004-0000-0100-0000B3120000}"/>
    <hyperlink ref="D4790" r:id="rId4789" xr:uid="{00000000-0004-0000-0100-0000B4120000}"/>
    <hyperlink ref="D4791" r:id="rId4790" xr:uid="{00000000-0004-0000-0100-0000B5120000}"/>
    <hyperlink ref="D4792" r:id="rId4791" xr:uid="{00000000-0004-0000-0100-0000B6120000}"/>
    <hyperlink ref="D4793" r:id="rId4792" xr:uid="{00000000-0004-0000-0100-0000B7120000}"/>
    <hyperlink ref="D4794" r:id="rId4793" xr:uid="{00000000-0004-0000-0100-0000B8120000}"/>
    <hyperlink ref="D4795" r:id="rId4794" xr:uid="{00000000-0004-0000-0100-0000B9120000}"/>
    <hyperlink ref="D4796" r:id="rId4795" xr:uid="{00000000-0004-0000-0100-0000BA120000}"/>
    <hyperlink ref="D4797" r:id="rId4796" xr:uid="{00000000-0004-0000-0100-0000BB120000}"/>
    <hyperlink ref="D4798" r:id="rId4797" xr:uid="{00000000-0004-0000-0100-0000BC120000}"/>
    <hyperlink ref="D4799" r:id="rId4798" xr:uid="{00000000-0004-0000-0100-0000BD120000}"/>
    <hyperlink ref="D4800" r:id="rId4799" xr:uid="{00000000-0004-0000-0100-0000BE120000}"/>
    <hyperlink ref="D4801" r:id="rId4800" xr:uid="{00000000-0004-0000-0100-0000BF120000}"/>
    <hyperlink ref="D4802" r:id="rId4801" xr:uid="{00000000-0004-0000-0100-0000C0120000}"/>
    <hyperlink ref="D4803" r:id="rId4802" xr:uid="{00000000-0004-0000-0100-0000C1120000}"/>
    <hyperlink ref="D4804" r:id="rId4803" xr:uid="{00000000-0004-0000-0100-0000C2120000}"/>
    <hyperlink ref="D4805" r:id="rId4804" xr:uid="{00000000-0004-0000-0100-0000C3120000}"/>
    <hyperlink ref="D4806" r:id="rId4805" xr:uid="{00000000-0004-0000-0100-0000C4120000}"/>
    <hyperlink ref="D4807" r:id="rId4806" xr:uid="{00000000-0004-0000-0100-0000C5120000}"/>
    <hyperlink ref="D4808" r:id="rId4807" xr:uid="{00000000-0004-0000-0100-0000C6120000}"/>
    <hyperlink ref="D4809" r:id="rId4808" xr:uid="{00000000-0004-0000-0100-0000C7120000}"/>
    <hyperlink ref="D4810" r:id="rId4809" xr:uid="{00000000-0004-0000-0100-0000C8120000}"/>
    <hyperlink ref="D4811" r:id="rId4810" xr:uid="{00000000-0004-0000-0100-0000C9120000}"/>
    <hyperlink ref="D4812" r:id="rId4811" xr:uid="{00000000-0004-0000-0100-0000CA120000}"/>
    <hyperlink ref="D4813" r:id="rId4812" xr:uid="{00000000-0004-0000-0100-0000CB120000}"/>
    <hyperlink ref="D4814" r:id="rId4813" xr:uid="{00000000-0004-0000-0100-0000CC120000}"/>
    <hyperlink ref="D4815" r:id="rId4814" xr:uid="{00000000-0004-0000-0100-0000CD120000}"/>
    <hyperlink ref="D4816" r:id="rId4815" xr:uid="{00000000-0004-0000-0100-0000CE120000}"/>
    <hyperlink ref="D4817" r:id="rId4816" xr:uid="{00000000-0004-0000-0100-0000CF120000}"/>
    <hyperlink ref="D4818" r:id="rId4817" xr:uid="{00000000-0004-0000-0100-0000D0120000}"/>
    <hyperlink ref="D4819" r:id="rId4818" xr:uid="{00000000-0004-0000-0100-0000D1120000}"/>
    <hyperlink ref="D4820" r:id="rId4819" xr:uid="{00000000-0004-0000-0100-0000D2120000}"/>
    <hyperlink ref="D4821" r:id="rId4820" xr:uid="{00000000-0004-0000-0100-0000D3120000}"/>
    <hyperlink ref="D4822" r:id="rId4821" xr:uid="{00000000-0004-0000-0100-0000D4120000}"/>
    <hyperlink ref="D4823" r:id="rId4822" xr:uid="{00000000-0004-0000-0100-0000D5120000}"/>
    <hyperlink ref="D4824" r:id="rId4823" xr:uid="{00000000-0004-0000-0100-0000D6120000}"/>
    <hyperlink ref="D4825" r:id="rId4824" xr:uid="{00000000-0004-0000-0100-0000D7120000}"/>
    <hyperlink ref="D4826" r:id="rId4825" xr:uid="{00000000-0004-0000-0100-0000D8120000}"/>
    <hyperlink ref="D4827" r:id="rId4826" xr:uid="{00000000-0004-0000-0100-0000D9120000}"/>
    <hyperlink ref="D4828" r:id="rId4827" xr:uid="{00000000-0004-0000-0100-0000DA120000}"/>
    <hyperlink ref="D4829" r:id="rId4828" xr:uid="{00000000-0004-0000-0100-0000DB120000}"/>
    <hyperlink ref="D4830" r:id="rId4829" xr:uid="{00000000-0004-0000-0100-0000DC120000}"/>
    <hyperlink ref="D4831" r:id="rId4830" xr:uid="{00000000-0004-0000-0100-0000DD120000}"/>
    <hyperlink ref="D4832" r:id="rId4831" xr:uid="{00000000-0004-0000-0100-0000DE120000}"/>
    <hyperlink ref="D4833" r:id="rId4832" xr:uid="{00000000-0004-0000-0100-0000DF120000}"/>
    <hyperlink ref="D4834" r:id="rId4833" xr:uid="{00000000-0004-0000-0100-0000E0120000}"/>
    <hyperlink ref="D4835" r:id="rId4834" xr:uid="{00000000-0004-0000-0100-0000E1120000}"/>
    <hyperlink ref="D4836" r:id="rId4835" xr:uid="{00000000-0004-0000-0100-0000E2120000}"/>
    <hyperlink ref="D4837" r:id="rId4836" xr:uid="{00000000-0004-0000-0100-0000E3120000}"/>
    <hyperlink ref="D4838" r:id="rId4837" xr:uid="{00000000-0004-0000-0100-0000E4120000}"/>
    <hyperlink ref="D4839" r:id="rId4838" xr:uid="{00000000-0004-0000-0100-0000E5120000}"/>
    <hyperlink ref="D4840" r:id="rId4839" xr:uid="{00000000-0004-0000-0100-0000E6120000}"/>
    <hyperlink ref="D4841" r:id="rId4840" xr:uid="{00000000-0004-0000-0100-0000E7120000}"/>
    <hyperlink ref="D4842" r:id="rId4841" xr:uid="{00000000-0004-0000-0100-0000E8120000}"/>
    <hyperlink ref="D4843" r:id="rId4842" xr:uid="{00000000-0004-0000-0100-0000E9120000}"/>
    <hyperlink ref="D4844" r:id="rId4843" xr:uid="{00000000-0004-0000-0100-0000EA120000}"/>
    <hyperlink ref="D4845" r:id="rId4844" xr:uid="{00000000-0004-0000-0100-0000EB120000}"/>
    <hyperlink ref="D4846" r:id="rId4845" xr:uid="{00000000-0004-0000-0100-0000EC120000}"/>
    <hyperlink ref="D4847" r:id="rId4846" xr:uid="{00000000-0004-0000-0100-0000ED120000}"/>
    <hyperlink ref="D4848" r:id="rId4847" xr:uid="{00000000-0004-0000-0100-0000EE120000}"/>
    <hyperlink ref="D4849" r:id="rId4848" xr:uid="{00000000-0004-0000-0100-0000EF120000}"/>
    <hyperlink ref="D4850" r:id="rId4849" xr:uid="{00000000-0004-0000-0100-0000F0120000}"/>
    <hyperlink ref="D4851" r:id="rId4850" xr:uid="{00000000-0004-0000-0100-0000F1120000}"/>
    <hyperlink ref="D4852" r:id="rId4851" xr:uid="{00000000-0004-0000-0100-0000F2120000}"/>
    <hyperlink ref="D4853" r:id="rId4852" xr:uid="{00000000-0004-0000-0100-0000F3120000}"/>
    <hyperlink ref="D4854" r:id="rId4853" xr:uid="{00000000-0004-0000-0100-0000F4120000}"/>
    <hyperlink ref="D4855" r:id="rId4854" xr:uid="{00000000-0004-0000-0100-0000F5120000}"/>
    <hyperlink ref="D4856" r:id="rId4855" xr:uid="{00000000-0004-0000-0100-0000F6120000}"/>
    <hyperlink ref="D4857" r:id="rId4856" xr:uid="{00000000-0004-0000-0100-0000F7120000}"/>
    <hyperlink ref="D4858" r:id="rId4857" xr:uid="{00000000-0004-0000-0100-0000F8120000}"/>
    <hyperlink ref="D4859" r:id="rId4858" xr:uid="{00000000-0004-0000-0100-0000F9120000}"/>
    <hyperlink ref="D4860" r:id="rId4859" xr:uid="{00000000-0004-0000-0100-0000FA120000}"/>
    <hyperlink ref="D4861" r:id="rId4860" xr:uid="{00000000-0004-0000-0100-0000FB120000}"/>
    <hyperlink ref="D4862" r:id="rId4861" xr:uid="{00000000-0004-0000-0100-0000FC120000}"/>
    <hyperlink ref="D4863" r:id="rId4862" xr:uid="{00000000-0004-0000-0100-0000FD120000}"/>
    <hyperlink ref="D4864" r:id="rId4863" xr:uid="{00000000-0004-0000-0100-0000FE120000}"/>
    <hyperlink ref="D4865" r:id="rId4864" xr:uid="{00000000-0004-0000-0100-0000FF120000}"/>
    <hyperlink ref="D4866" r:id="rId4865" xr:uid="{00000000-0004-0000-0100-000000130000}"/>
    <hyperlink ref="D4867" r:id="rId4866" xr:uid="{00000000-0004-0000-0100-000001130000}"/>
    <hyperlink ref="D4868" r:id="rId4867" xr:uid="{00000000-0004-0000-0100-000002130000}"/>
    <hyperlink ref="D4869" r:id="rId4868" xr:uid="{00000000-0004-0000-0100-000003130000}"/>
    <hyperlink ref="D4870" r:id="rId4869" xr:uid="{00000000-0004-0000-0100-000004130000}"/>
    <hyperlink ref="D4871" r:id="rId4870" xr:uid="{00000000-0004-0000-0100-000005130000}"/>
    <hyperlink ref="D4872" r:id="rId4871" xr:uid="{00000000-0004-0000-0100-000006130000}"/>
    <hyperlink ref="D4873" r:id="rId4872" xr:uid="{00000000-0004-0000-0100-000007130000}"/>
    <hyperlink ref="D4874" r:id="rId4873" xr:uid="{00000000-0004-0000-0100-000008130000}"/>
    <hyperlink ref="D4875" r:id="rId4874" xr:uid="{00000000-0004-0000-0100-000009130000}"/>
    <hyperlink ref="D4876" r:id="rId4875" xr:uid="{00000000-0004-0000-0100-00000A130000}"/>
    <hyperlink ref="D4877" r:id="rId4876" xr:uid="{00000000-0004-0000-0100-00000B130000}"/>
    <hyperlink ref="D4878" r:id="rId4877" xr:uid="{00000000-0004-0000-0100-00000C130000}"/>
    <hyperlink ref="D4879" r:id="rId4878" xr:uid="{00000000-0004-0000-0100-00000D130000}"/>
    <hyperlink ref="D4880" r:id="rId4879" xr:uid="{00000000-0004-0000-0100-00000E130000}"/>
    <hyperlink ref="D4881" r:id="rId4880" xr:uid="{00000000-0004-0000-0100-00000F130000}"/>
    <hyperlink ref="D4882" r:id="rId4881" xr:uid="{00000000-0004-0000-0100-000010130000}"/>
    <hyperlink ref="D4883" r:id="rId4882" xr:uid="{00000000-0004-0000-0100-000011130000}"/>
    <hyperlink ref="D4884" r:id="rId4883" xr:uid="{00000000-0004-0000-0100-000012130000}"/>
    <hyperlink ref="D4885" r:id="rId4884" xr:uid="{00000000-0004-0000-0100-000013130000}"/>
    <hyperlink ref="D4886" r:id="rId4885" xr:uid="{00000000-0004-0000-0100-000014130000}"/>
    <hyperlink ref="D4887" r:id="rId4886" xr:uid="{00000000-0004-0000-0100-000015130000}"/>
    <hyperlink ref="D4888" r:id="rId4887" xr:uid="{00000000-0004-0000-0100-000016130000}"/>
    <hyperlink ref="D4889" r:id="rId4888" xr:uid="{00000000-0004-0000-0100-000017130000}"/>
    <hyperlink ref="D4890" r:id="rId4889" xr:uid="{00000000-0004-0000-0100-000018130000}"/>
    <hyperlink ref="D4891" r:id="rId4890" xr:uid="{00000000-0004-0000-0100-000019130000}"/>
    <hyperlink ref="D4892" r:id="rId4891" xr:uid="{00000000-0004-0000-0100-00001A130000}"/>
    <hyperlink ref="D4893" r:id="rId4892" xr:uid="{00000000-0004-0000-0100-00001B130000}"/>
    <hyperlink ref="D4894" r:id="rId4893" xr:uid="{00000000-0004-0000-0100-00001C130000}"/>
    <hyperlink ref="D4895" r:id="rId4894" xr:uid="{00000000-0004-0000-0100-00001D130000}"/>
    <hyperlink ref="D4896" r:id="rId4895" xr:uid="{00000000-0004-0000-0100-00001E130000}"/>
    <hyperlink ref="D4897" r:id="rId4896" xr:uid="{00000000-0004-0000-0100-00001F130000}"/>
    <hyperlink ref="D4898" r:id="rId4897" xr:uid="{00000000-0004-0000-0100-000020130000}"/>
    <hyperlink ref="D4899" r:id="rId4898" xr:uid="{00000000-0004-0000-0100-000021130000}"/>
    <hyperlink ref="D4900" r:id="rId4899" xr:uid="{00000000-0004-0000-0100-000022130000}"/>
    <hyperlink ref="D4901" r:id="rId4900" xr:uid="{00000000-0004-0000-0100-000023130000}"/>
    <hyperlink ref="D4902" r:id="rId4901" xr:uid="{00000000-0004-0000-0100-000024130000}"/>
    <hyperlink ref="D4903" r:id="rId4902" xr:uid="{00000000-0004-0000-0100-000025130000}"/>
    <hyperlink ref="D4904" r:id="rId4903" xr:uid="{00000000-0004-0000-0100-000026130000}"/>
    <hyperlink ref="D4905" r:id="rId4904" xr:uid="{00000000-0004-0000-0100-000027130000}"/>
    <hyperlink ref="D4906" r:id="rId4905" xr:uid="{00000000-0004-0000-0100-000028130000}"/>
    <hyperlink ref="D4907" r:id="rId4906" xr:uid="{00000000-0004-0000-0100-000029130000}"/>
    <hyperlink ref="D4908" r:id="rId4907" xr:uid="{00000000-0004-0000-0100-00002A130000}"/>
    <hyperlink ref="D4909" r:id="rId4908" xr:uid="{00000000-0004-0000-0100-00002B130000}"/>
    <hyperlink ref="D4910" r:id="rId4909" xr:uid="{00000000-0004-0000-0100-00002C130000}"/>
    <hyperlink ref="D4911" r:id="rId4910" xr:uid="{00000000-0004-0000-0100-00002D130000}"/>
    <hyperlink ref="D4912" r:id="rId4911" xr:uid="{00000000-0004-0000-0100-00002E130000}"/>
    <hyperlink ref="D4913" r:id="rId4912" xr:uid="{00000000-0004-0000-0100-00002F130000}"/>
    <hyperlink ref="D4914" r:id="rId4913" xr:uid="{00000000-0004-0000-0100-000030130000}"/>
    <hyperlink ref="D4915" r:id="rId4914" xr:uid="{00000000-0004-0000-0100-000031130000}"/>
    <hyperlink ref="D4916" r:id="rId4915" xr:uid="{00000000-0004-0000-0100-000032130000}"/>
    <hyperlink ref="D4917" r:id="rId4916" xr:uid="{00000000-0004-0000-0100-000033130000}"/>
    <hyperlink ref="D4918" r:id="rId4917" xr:uid="{00000000-0004-0000-0100-000034130000}"/>
    <hyperlink ref="D4919" r:id="rId4918" xr:uid="{00000000-0004-0000-0100-000035130000}"/>
    <hyperlink ref="D4920" r:id="rId4919" xr:uid="{00000000-0004-0000-0100-000036130000}"/>
    <hyperlink ref="D4921" r:id="rId4920" xr:uid="{00000000-0004-0000-0100-000037130000}"/>
    <hyperlink ref="D4922" r:id="rId4921" xr:uid="{00000000-0004-0000-0100-000038130000}"/>
    <hyperlink ref="D4923" r:id="rId4922" xr:uid="{00000000-0004-0000-0100-000039130000}"/>
    <hyperlink ref="D4924" r:id="rId4923" xr:uid="{00000000-0004-0000-0100-00003A130000}"/>
    <hyperlink ref="D4925" r:id="rId4924" xr:uid="{00000000-0004-0000-0100-00003B130000}"/>
    <hyperlink ref="D4926" r:id="rId4925" xr:uid="{00000000-0004-0000-0100-00003C130000}"/>
    <hyperlink ref="D4927" r:id="rId4926" xr:uid="{00000000-0004-0000-0100-00003D130000}"/>
    <hyperlink ref="D4928" r:id="rId4927" xr:uid="{00000000-0004-0000-0100-00003E130000}"/>
    <hyperlink ref="D4929" r:id="rId4928" xr:uid="{00000000-0004-0000-0100-00003F130000}"/>
    <hyperlink ref="D4930" r:id="rId4929" xr:uid="{00000000-0004-0000-0100-000040130000}"/>
    <hyperlink ref="D4931" r:id="rId4930" xr:uid="{00000000-0004-0000-0100-000041130000}"/>
    <hyperlink ref="D4932" r:id="rId4931" xr:uid="{00000000-0004-0000-0100-000042130000}"/>
    <hyperlink ref="D4933" r:id="rId4932" xr:uid="{00000000-0004-0000-0100-000043130000}"/>
    <hyperlink ref="D4934" r:id="rId4933" xr:uid="{00000000-0004-0000-0100-000044130000}"/>
    <hyperlink ref="D4935" r:id="rId4934" xr:uid="{00000000-0004-0000-0100-000045130000}"/>
    <hyperlink ref="D4936" r:id="rId4935" xr:uid="{00000000-0004-0000-0100-000046130000}"/>
    <hyperlink ref="D4937" r:id="rId4936" xr:uid="{00000000-0004-0000-0100-000047130000}"/>
    <hyperlink ref="D4938" r:id="rId4937" xr:uid="{00000000-0004-0000-0100-000048130000}"/>
    <hyperlink ref="D4939" r:id="rId4938" xr:uid="{00000000-0004-0000-0100-000049130000}"/>
    <hyperlink ref="D4940" r:id="rId4939" xr:uid="{00000000-0004-0000-0100-00004A130000}"/>
    <hyperlink ref="D4941" r:id="rId4940" xr:uid="{00000000-0004-0000-0100-00004B130000}"/>
    <hyperlink ref="D4942" r:id="rId4941" xr:uid="{00000000-0004-0000-0100-00004C130000}"/>
    <hyperlink ref="D4943" r:id="rId4942" xr:uid="{00000000-0004-0000-0100-00004D130000}"/>
    <hyperlink ref="D4944" r:id="rId4943" xr:uid="{00000000-0004-0000-0100-00004E130000}"/>
    <hyperlink ref="D4945" r:id="rId4944" xr:uid="{00000000-0004-0000-0100-00004F130000}"/>
    <hyperlink ref="D4946" r:id="rId4945" xr:uid="{00000000-0004-0000-0100-000050130000}"/>
    <hyperlink ref="D4947" r:id="rId4946" xr:uid="{00000000-0004-0000-0100-000051130000}"/>
    <hyperlink ref="D4948" r:id="rId4947" xr:uid="{00000000-0004-0000-0100-000052130000}"/>
    <hyperlink ref="D4949" r:id="rId4948" xr:uid="{00000000-0004-0000-0100-000053130000}"/>
    <hyperlink ref="D4950" r:id="rId4949" xr:uid="{00000000-0004-0000-0100-000054130000}"/>
    <hyperlink ref="D4951" r:id="rId4950" xr:uid="{00000000-0004-0000-0100-000055130000}"/>
    <hyperlink ref="D4952" r:id="rId4951" xr:uid="{00000000-0004-0000-0100-000056130000}"/>
    <hyperlink ref="D4953" r:id="rId4952" xr:uid="{00000000-0004-0000-0100-000057130000}"/>
    <hyperlink ref="D4954" r:id="rId4953" xr:uid="{00000000-0004-0000-0100-000058130000}"/>
    <hyperlink ref="D4955" r:id="rId4954" xr:uid="{00000000-0004-0000-0100-000059130000}"/>
    <hyperlink ref="D4956" r:id="rId4955" xr:uid="{00000000-0004-0000-0100-00005A130000}"/>
    <hyperlink ref="D4957" r:id="rId4956" xr:uid="{00000000-0004-0000-0100-00005B130000}"/>
    <hyperlink ref="D4958" r:id="rId4957" xr:uid="{00000000-0004-0000-0100-00005C130000}"/>
    <hyperlink ref="D4959" r:id="rId4958" xr:uid="{00000000-0004-0000-0100-00005D130000}"/>
    <hyperlink ref="D4960" r:id="rId4959" xr:uid="{00000000-0004-0000-0100-00005E130000}"/>
    <hyperlink ref="D4961" r:id="rId4960" xr:uid="{00000000-0004-0000-0100-00005F130000}"/>
    <hyperlink ref="D4962" r:id="rId4961" xr:uid="{00000000-0004-0000-0100-000060130000}"/>
    <hyperlink ref="D4963" r:id="rId4962" xr:uid="{00000000-0004-0000-0100-000061130000}"/>
    <hyperlink ref="D4964" r:id="rId4963" xr:uid="{00000000-0004-0000-0100-000062130000}"/>
    <hyperlink ref="D4965" r:id="rId4964" xr:uid="{00000000-0004-0000-0100-000063130000}"/>
    <hyperlink ref="D4966" r:id="rId4965" xr:uid="{00000000-0004-0000-0100-000064130000}"/>
    <hyperlink ref="D4967" r:id="rId4966" xr:uid="{00000000-0004-0000-0100-000065130000}"/>
    <hyperlink ref="D4968" r:id="rId4967" xr:uid="{00000000-0004-0000-0100-000066130000}"/>
    <hyperlink ref="D4969" r:id="rId4968" xr:uid="{00000000-0004-0000-0100-000067130000}"/>
    <hyperlink ref="D4970" r:id="rId4969" xr:uid="{00000000-0004-0000-0100-000068130000}"/>
    <hyperlink ref="D4971" r:id="rId4970" xr:uid="{00000000-0004-0000-0100-000069130000}"/>
    <hyperlink ref="D4972" r:id="rId4971" xr:uid="{00000000-0004-0000-0100-00006A130000}"/>
    <hyperlink ref="D4973" r:id="rId4972" xr:uid="{00000000-0004-0000-0100-00006B130000}"/>
    <hyperlink ref="D4974" r:id="rId4973" xr:uid="{00000000-0004-0000-0100-00006C130000}"/>
    <hyperlink ref="D4975" r:id="rId4974" xr:uid="{00000000-0004-0000-0100-00006D130000}"/>
    <hyperlink ref="D4976" r:id="rId4975" xr:uid="{00000000-0004-0000-0100-00006E130000}"/>
    <hyperlink ref="D4977" r:id="rId4976" xr:uid="{00000000-0004-0000-0100-00006F130000}"/>
    <hyperlink ref="D4978" r:id="rId4977" xr:uid="{00000000-0004-0000-0100-000070130000}"/>
    <hyperlink ref="D4979" r:id="rId4978" xr:uid="{00000000-0004-0000-0100-000071130000}"/>
    <hyperlink ref="D4980" r:id="rId4979" xr:uid="{00000000-0004-0000-0100-000072130000}"/>
    <hyperlink ref="D4981" r:id="rId4980" xr:uid="{00000000-0004-0000-0100-000073130000}"/>
    <hyperlink ref="D4982" r:id="rId4981" xr:uid="{00000000-0004-0000-0100-000074130000}"/>
    <hyperlink ref="D4983" r:id="rId4982" xr:uid="{00000000-0004-0000-0100-000075130000}"/>
    <hyperlink ref="D4984" r:id="rId4983" xr:uid="{00000000-0004-0000-0100-000076130000}"/>
    <hyperlink ref="D4985" r:id="rId4984" xr:uid="{00000000-0004-0000-0100-000077130000}"/>
    <hyperlink ref="D4986" r:id="rId4985" xr:uid="{00000000-0004-0000-0100-000078130000}"/>
    <hyperlink ref="D4987" r:id="rId4986" xr:uid="{00000000-0004-0000-0100-000079130000}"/>
    <hyperlink ref="D4988" r:id="rId4987" xr:uid="{00000000-0004-0000-0100-00007A130000}"/>
    <hyperlink ref="D4989" r:id="rId4988" xr:uid="{00000000-0004-0000-0100-00007B130000}"/>
    <hyperlink ref="D4990" r:id="rId4989" xr:uid="{00000000-0004-0000-0100-00007C130000}"/>
    <hyperlink ref="D4991" r:id="rId4990" xr:uid="{00000000-0004-0000-0100-00007D130000}"/>
    <hyperlink ref="D4992" r:id="rId4991" xr:uid="{00000000-0004-0000-0100-00007E130000}"/>
    <hyperlink ref="D4993" r:id="rId4992" xr:uid="{00000000-0004-0000-0100-00007F130000}"/>
    <hyperlink ref="D4994" r:id="rId4993" xr:uid="{00000000-0004-0000-0100-000080130000}"/>
    <hyperlink ref="D4995" r:id="rId4994" xr:uid="{00000000-0004-0000-0100-000081130000}"/>
    <hyperlink ref="D4996" r:id="rId4995" xr:uid="{00000000-0004-0000-0100-000082130000}"/>
    <hyperlink ref="D4997" r:id="rId4996" xr:uid="{00000000-0004-0000-0100-000083130000}"/>
    <hyperlink ref="D4998" r:id="rId4997" xr:uid="{00000000-0004-0000-0100-000084130000}"/>
    <hyperlink ref="D4999" r:id="rId4998" xr:uid="{00000000-0004-0000-0100-000085130000}"/>
    <hyperlink ref="D5000" r:id="rId4999" xr:uid="{00000000-0004-0000-0100-000086130000}"/>
    <hyperlink ref="D5001" r:id="rId5000" xr:uid="{00000000-0004-0000-0100-000087130000}"/>
    <hyperlink ref="D5002" r:id="rId5001" xr:uid="{00000000-0004-0000-0100-000088130000}"/>
    <hyperlink ref="D5003" r:id="rId5002" xr:uid="{00000000-0004-0000-0100-000089130000}"/>
    <hyperlink ref="D5004" r:id="rId5003" xr:uid="{00000000-0004-0000-0100-00008A130000}"/>
    <hyperlink ref="D5005" r:id="rId5004" xr:uid="{00000000-0004-0000-0100-00008B130000}"/>
    <hyperlink ref="D5006" r:id="rId5005" xr:uid="{00000000-0004-0000-0100-00008C130000}"/>
    <hyperlink ref="D5007" r:id="rId5006" xr:uid="{00000000-0004-0000-0100-00008D130000}"/>
    <hyperlink ref="D5008" r:id="rId5007" xr:uid="{00000000-0004-0000-0100-00008E130000}"/>
    <hyperlink ref="D5009" r:id="rId5008" xr:uid="{00000000-0004-0000-0100-00008F130000}"/>
    <hyperlink ref="D5010" r:id="rId5009" xr:uid="{00000000-0004-0000-0100-000090130000}"/>
    <hyperlink ref="D5011" r:id="rId5010" xr:uid="{00000000-0004-0000-0100-000091130000}"/>
    <hyperlink ref="D5012" r:id="rId5011" xr:uid="{00000000-0004-0000-0100-000092130000}"/>
    <hyperlink ref="D5013" r:id="rId5012" xr:uid="{00000000-0004-0000-0100-000093130000}"/>
    <hyperlink ref="D5014" r:id="rId5013" xr:uid="{00000000-0004-0000-0100-000094130000}"/>
    <hyperlink ref="D5015" r:id="rId5014" xr:uid="{00000000-0004-0000-0100-000095130000}"/>
    <hyperlink ref="D5016" r:id="rId5015" xr:uid="{00000000-0004-0000-0100-000096130000}"/>
    <hyperlink ref="D5017" r:id="rId5016" xr:uid="{00000000-0004-0000-0100-000097130000}"/>
    <hyperlink ref="D5018" r:id="rId5017" xr:uid="{00000000-0004-0000-0100-000098130000}"/>
    <hyperlink ref="D5019" r:id="rId5018" xr:uid="{00000000-0004-0000-0100-000099130000}"/>
    <hyperlink ref="D5020" r:id="rId5019" xr:uid="{00000000-0004-0000-0100-00009A130000}"/>
    <hyperlink ref="D5021" r:id="rId5020" xr:uid="{00000000-0004-0000-0100-00009B130000}"/>
    <hyperlink ref="D5022" r:id="rId5021" xr:uid="{00000000-0004-0000-0100-00009C130000}"/>
    <hyperlink ref="D5023" r:id="rId5022" xr:uid="{00000000-0004-0000-0100-00009D130000}"/>
    <hyperlink ref="D5024" r:id="rId5023" xr:uid="{00000000-0004-0000-0100-00009E130000}"/>
    <hyperlink ref="D5025" r:id="rId5024" xr:uid="{00000000-0004-0000-0100-00009F130000}"/>
    <hyperlink ref="D5026" r:id="rId5025" xr:uid="{00000000-0004-0000-0100-0000A0130000}"/>
    <hyperlink ref="D5027" r:id="rId5026" xr:uid="{00000000-0004-0000-0100-0000A1130000}"/>
    <hyperlink ref="D5028" r:id="rId5027" xr:uid="{00000000-0004-0000-0100-0000A2130000}"/>
    <hyperlink ref="D5029" r:id="rId5028" xr:uid="{00000000-0004-0000-0100-0000A3130000}"/>
    <hyperlink ref="D5030" r:id="rId5029" xr:uid="{00000000-0004-0000-0100-0000A4130000}"/>
    <hyperlink ref="D5031" r:id="rId5030" xr:uid="{00000000-0004-0000-0100-0000A5130000}"/>
    <hyperlink ref="D5032" r:id="rId5031" xr:uid="{00000000-0004-0000-0100-0000A6130000}"/>
    <hyperlink ref="D5033" r:id="rId5032" xr:uid="{00000000-0004-0000-0100-0000A7130000}"/>
    <hyperlink ref="D5034" r:id="rId5033" xr:uid="{00000000-0004-0000-0100-0000A8130000}"/>
    <hyperlink ref="D5035" r:id="rId5034" xr:uid="{00000000-0004-0000-0100-0000A9130000}"/>
    <hyperlink ref="D5036" r:id="rId5035" xr:uid="{00000000-0004-0000-0100-0000AA130000}"/>
    <hyperlink ref="D5037" r:id="rId5036" xr:uid="{00000000-0004-0000-0100-0000AB130000}"/>
    <hyperlink ref="D5038" r:id="rId5037" xr:uid="{00000000-0004-0000-0100-0000AC130000}"/>
    <hyperlink ref="D5039" r:id="rId5038" xr:uid="{00000000-0004-0000-0100-0000AD130000}"/>
    <hyperlink ref="D5040" r:id="rId5039" xr:uid="{00000000-0004-0000-0100-0000AE130000}"/>
    <hyperlink ref="D5041" r:id="rId5040" xr:uid="{00000000-0004-0000-0100-0000AF130000}"/>
    <hyperlink ref="D5042" r:id="rId5041" xr:uid="{00000000-0004-0000-0100-0000B0130000}"/>
    <hyperlink ref="D5043" r:id="rId5042" xr:uid="{00000000-0004-0000-0100-0000B1130000}"/>
    <hyperlink ref="D5044" r:id="rId5043" xr:uid="{00000000-0004-0000-0100-0000B2130000}"/>
    <hyperlink ref="D5045" r:id="rId5044" xr:uid="{00000000-0004-0000-0100-0000B3130000}"/>
    <hyperlink ref="D5046" r:id="rId5045" xr:uid="{00000000-0004-0000-0100-0000B4130000}"/>
    <hyperlink ref="D5047" r:id="rId5046" xr:uid="{00000000-0004-0000-0100-0000B5130000}"/>
    <hyperlink ref="D5048" r:id="rId5047" xr:uid="{00000000-0004-0000-0100-0000B6130000}"/>
    <hyperlink ref="D5049" r:id="rId5048" xr:uid="{00000000-0004-0000-0100-0000B7130000}"/>
    <hyperlink ref="D5050" r:id="rId5049" xr:uid="{00000000-0004-0000-0100-0000B8130000}"/>
    <hyperlink ref="D5051" r:id="rId5050" xr:uid="{00000000-0004-0000-0100-0000B9130000}"/>
    <hyperlink ref="D5052" r:id="rId5051" xr:uid="{00000000-0004-0000-0100-0000BA130000}"/>
    <hyperlink ref="D5053" r:id="rId5052" xr:uid="{00000000-0004-0000-0100-0000BB130000}"/>
    <hyperlink ref="D5054" r:id="rId5053" xr:uid="{00000000-0004-0000-0100-0000BC130000}"/>
    <hyperlink ref="D5055" r:id="rId5054" xr:uid="{00000000-0004-0000-0100-0000BD130000}"/>
    <hyperlink ref="D5056" r:id="rId5055" xr:uid="{00000000-0004-0000-0100-0000BE130000}"/>
    <hyperlink ref="D5057" r:id="rId5056" xr:uid="{00000000-0004-0000-0100-0000BF130000}"/>
    <hyperlink ref="D5058" r:id="rId5057" xr:uid="{00000000-0004-0000-0100-0000C0130000}"/>
    <hyperlink ref="D5059" r:id="rId5058" xr:uid="{00000000-0004-0000-0100-0000C1130000}"/>
    <hyperlink ref="D5060" r:id="rId5059" xr:uid="{00000000-0004-0000-0100-0000C2130000}"/>
    <hyperlink ref="D5061" r:id="rId5060" xr:uid="{00000000-0004-0000-0100-0000C3130000}"/>
    <hyperlink ref="D5062" r:id="rId5061" xr:uid="{00000000-0004-0000-0100-0000C4130000}"/>
    <hyperlink ref="D5063" r:id="rId5062" xr:uid="{00000000-0004-0000-0100-0000C5130000}"/>
    <hyperlink ref="D5064" r:id="rId5063" xr:uid="{00000000-0004-0000-0100-0000C6130000}"/>
    <hyperlink ref="D5065" r:id="rId5064" xr:uid="{00000000-0004-0000-0100-0000C7130000}"/>
    <hyperlink ref="D5066" r:id="rId5065" xr:uid="{00000000-0004-0000-0100-0000C8130000}"/>
    <hyperlink ref="D5067" r:id="rId5066" xr:uid="{00000000-0004-0000-0100-0000C9130000}"/>
    <hyperlink ref="D5068" r:id="rId5067" xr:uid="{00000000-0004-0000-0100-0000CA130000}"/>
    <hyperlink ref="D5069" r:id="rId5068" xr:uid="{00000000-0004-0000-0100-0000CB130000}"/>
    <hyperlink ref="D5070" r:id="rId5069" xr:uid="{00000000-0004-0000-0100-0000CC130000}"/>
    <hyperlink ref="D5071" r:id="rId5070" xr:uid="{00000000-0004-0000-0100-0000CD130000}"/>
    <hyperlink ref="D5072" r:id="rId5071" xr:uid="{00000000-0004-0000-0100-0000CE130000}"/>
    <hyperlink ref="D5073" r:id="rId5072" xr:uid="{00000000-0004-0000-0100-0000CF130000}"/>
    <hyperlink ref="D5074" r:id="rId5073" xr:uid="{00000000-0004-0000-0100-0000D0130000}"/>
    <hyperlink ref="D5075" r:id="rId5074" xr:uid="{00000000-0004-0000-0100-0000D1130000}"/>
    <hyperlink ref="D5076" r:id="rId5075" xr:uid="{00000000-0004-0000-0100-0000D2130000}"/>
    <hyperlink ref="D5077" r:id="rId5076" xr:uid="{00000000-0004-0000-0100-0000D3130000}"/>
    <hyperlink ref="D5078" r:id="rId5077" xr:uid="{00000000-0004-0000-0100-0000D4130000}"/>
    <hyperlink ref="D5079" r:id="rId5078" xr:uid="{00000000-0004-0000-0100-0000D5130000}"/>
    <hyperlink ref="D5080" r:id="rId5079" xr:uid="{00000000-0004-0000-0100-0000D6130000}"/>
    <hyperlink ref="D5081" r:id="rId5080" xr:uid="{00000000-0004-0000-0100-0000D7130000}"/>
    <hyperlink ref="D5082" r:id="rId5081" xr:uid="{00000000-0004-0000-0100-0000D8130000}"/>
    <hyperlink ref="D5083" r:id="rId5082" xr:uid="{00000000-0004-0000-0100-0000D9130000}"/>
    <hyperlink ref="D5084" r:id="rId5083" xr:uid="{00000000-0004-0000-0100-0000DA130000}"/>
    <hyperlink ref="D5085" r:id="rId5084" xr:uid="{00000000-0004-0000-0100-0000DB130000}"/>
    <hyperlink ref="D5086" r:id="rId5085" xr:uid="{00000000-0004-0000-0100-0000DC130000}"/>
    <hyperlink ref="D5087" r:id="rId5086" xr:uid="{00000000-0004-0000-0100-0000DD130000}"/>
    <hyperlink ref="D5088" r:id="rId5087" xr:uid="{00000000-0004-0000-0100-0000DE130000}"/>
    <hyperlink ref="D5089" r:id="rId5088" xr:uid="{00000000-0004-0000-0100-0000DF130000}"/>
    <hyperlink ref="D5090" r:id="rId5089" xr:uid="{00000000-0004-0000-0100-0000E0130000}"/>
    <hyperlink ref="D5091" r:id="rId5090" xr:uid="{00000000-0004-0000-0100-0000E1130000}"/>
    <hyperlink ref="D5092" r:id="rId5091" xr:uid="{00000000-0004-0000-0100-0000E2130000}"/>
    <hyperlink ref="D5093" r:id="rId5092" xr:uid="{00000000-0004-0000-0100-0000E3130000}"/>
    <hyperlink ref="D5094" r:id="rId5093" xr:uid="{00000000-0004-0000-0100-0000E4130000}"/>
    <hyperlink ref="D5095" r:id="rId5094" xr:uid="{00000000-0004-0000-0100-0000E5130000}"/>
    <hyperlink ref="D5096" r:id="rId5095" xr:uid="{00000000-0004-0000-0100-0000E6130000}"/>
    <hyperlink ref="D5097" r:id="rId5096" xr:uid="{00000000-0004-0000-0100-0000E7130000}"/>
    <hyperlink ref="D5098" r:id="rId5097" xr:uid="{00000000-0004-0000-0100-0000E8130000}"/>
    <hyperlink ref="D5099" r:id="rId5098" xr:uid="{00000000-0004-0000-0100-0000E9130000}"/>
    <hyperlink ref="D5100" r:id="rId5099" xr:uid="{00000000-0004-0000-0100-0000EA130000}"/>
    <hyperlink ref="D5101" r:id="rId5100" xr:uid="{00000000-0004-0000-0100-0000EB130000}"/>
    <hyperlink ref="D5102" r:id="rId5101" xr:uid="{00000000-0004-0000-0100-0000EC130000}"/>
    <hyperlink ref="D5103" r:id="rId5102" xr:uid="{00000000-0004-0000-0100-0000ED130000}"/>
    <hyperlink ref="D5104" r:id="rId5103" xr:uid="{00000000-0004-0000-0100-0000EE130000}"/>
    <hyperlink ref="D5105" r:id="rId5104" xr:uid="{00000000-0004-0000-0100-0000EF130000}"/>
    <hyperlink ref="D5106" r:id="rId5105" xr:uid="{00000000-0004-0000-0100-0000F0130000}"/>
    <hyperlink ref="D5107" r:id="rId5106" xr:uid="{00000000-0004-0000-0100-0000F1130000}"/>
    <hyperlink ref="D5108" r:id="rId5107" xr:uid="{00000000-0004-0000-0100-0000F2130000}"/>
    <hyperlink ref="D5109" r:id="rId5108" xr:uid="{00000000-0004-0000-0100-0000F3130000}"/>
    <hyperlink ref="D5110" r:id="rId5109" xr:uid="{00000000-0004-0000-0100-0000F4130000}"/>
    <hyperlink ref="D5111" r:id="rId5110" xr:uid="{00000000-0004-0000-0100-0000F5130000}"/>
    <hyperlink ref="D5112" r:id="rId5111" xr:uid="{00000000-0004-0000-0100-0000F6130000}"/>
    <hyperlink ref="D5113" r:id="rId5112" xr:uid="{00000000-0004-0000-0100-0000F7130000}"/>
    <hyperlink ref="D5114" r:id="rId5113" xr:uid="{00000000-0004-0000-0100-0000F8130000}"/>
    <hyperlink ref="D5115" r:id="rId5114" xr:uid="{00000000-0004-0000-0100-0000F9130000}"/>
    <hyperlink ref="D5116" r:id="rId5115" xr:uid="{00000000-0004-0000-0100-0000FA130000}"/>
    <hyperlink ref="D5117" r:id="rId5116" xr:uid="{00000000-0004-0000-0100-0000FB130000}"/>
    <hyperlink ref="D5118" r:id="rId5117" xr:uid="{00000000-0004-0000-0100-0000FC130000}"/>
    <hyperlink ref="D5119" r:id="rId5118" xr:uid="{00000000-0004-0000-0100-0000FD130000}"/>
    <hyperlink ref="D5120" r:id="rId5119" xr:uid="{00000000-0004-0000-0100-0000FE130000}"/>
    <hyperlink ref="D5121" r:id="rId5120" xr:uid="{00000000-0004-0000-0100-0000FF130000}"/>
    <hyperlink ref="D5122" r:id="rId5121" xr:uid="{00000000-0004-0000-0100-000000140000}"/>
    <hyperlink ref="D5123" r:id="rId5122" xr:uid="{00000000-0004-0000-0100-000001140000}"/>
    <hyperlink ref="D5124" r:id="rId5123" xr:uid="{00000000-0004-0000-0100-000002140000}"/>
    <hyperlink ref="D5125" r:id="rId5124" xr:uid="{00000000-0004-0000-0100-000003140000}"/>
    <hyperlink ref="D5126" r:id="rId5125" xr:uid="{00000000-0004-0000-0100-000004140000}"/>
    <hyperlink ref="D5127" r:id="rId5126" xr:uid="{00000000-0004-0000-0100-000005140000}"/>
    <hyperlink ref="D5128" r:id="rId5127" xr:uid="{00000000-0004-0000-0100-000006140000}"/>
    <hyperlink ref="D5129" r:id="rId5128" xr:uid="{00000000-0004-0000-0100-000007140000}"/>
    <hyperlink ref="D5130" r:id="rId5129" xr:uid="{00000000-0004-0000-0100-000008140000}"/>
    <hyperlink ref="D5131" r:id="rId5130" xr:uid="{00000000-0004-0000-0100-000009140000}"/>
    <hyperlink ref="D5132" r:id="rId5131" xr:uid="{00000000-0004-0000-0100-00000A140000}"/>
    <hyperlink ref="D5133" r:id="rId5132" xr:uid="{00000000-0004-0000-0100-00000B140000}"/>
    <hyperlink ref="D5134" r:id="rId5133" xr:uid="{00000000-0004-0000-0100-00000C140000}"/>
    <hyperlink ref="D5135" r:id="rId5134" xr:uid="{00000000-0004-0000-0100-00000D140000}"/>
    <hyperlink ref="D5136" r:id="rId5135" xr:uid="{00000000-0004-0000-0100-00000E140000}"/>
    <hyperlink ref="D5137" r:id="rId5136" xr:uid="{00000000-0004-0000-0100-00000F140000}"/>
    <hyperlink ref="D5138" r:id="rId5137" xr:uid="{00000000-0004-0000-0100-000010140000}"/>
    <hyperlink ref="D5139" r:id="rId5138" xr:uid="{00000000-0004-0000-0100-000011140000}"/>
    <hyperlink ref="D5140" r:id="rId5139" xr:uid="{00000000-0004-0000-0100-000012140000}"/>
    <hyperlink ref="D5141" r:id="rId5140" xr:uid="{00000000-0004-0000-0100-000013140000}"/>
    <hyperlink ref="D5142" r:id="rId5141" xr:uid="{00000000-0004-0000-0100-000014140000}"/>
    <hyperlink ref="D5143" r:id="rId5142" xr:uid="{00000000-0004-0000-0100-000015140000}"/>
    <hyperlink ref="D5144" r:id="rId5143" xr:uid="{00000000-0004-0000-0100-000016140000}"/>
    <hyperlink ref="D5145" r:id="rId5144" xr:uid="{00000000-0004-0000-0100-000017140000}"/>
    <hyperlink ref="D5146" r:id="rId5145" xr:uid="{00000000-0004-0000-0100-000018140000}"/>
    <hyperlink ref="D5147" r:id="rId5146" xr:uid="{00000000-0004-0000-0100-000019140000}"/>
    <hyperlink ref="D5148" r:id="rId5147" xr:uid="{00000000-0004-0000-0100-00001A140000}"/>
    <hyperlink ref="D5149" r:id="rId5148" xr:uid="{00000000-0004-0000-0100-00001B140000}"/>
    <hyperlink ref="D5150" r:id="rId5149" xr:uid="{00000000-0004-0000-0100-00001C140000}"/>
    <hyperlink ref="D5151" r:id="rId5150" xr:uid="{00000000-0004-0000-0100-00001D140000}"/>
    <hyperlink ref="D5152" r:id="rId5151" xr:uid="{00000000-0004-0000-0100-00001E140000}"/>
    <hyperlink ref="D5153" r:id="rId5152" xr:uid="{00000000-0004-0000-0100-00001F140000}"/>
    <hyperlink ref="D5154" r:id="rId5153" xr:uid="{00000000-0004-0000-0100-000020140000}"/>
    <hyperlink ref="D5155" r:id="rId5154" xr:uid="{00000000-0004-0000-0100-000021140000}"/>
    <hyperlink ref="D5156" r:id="rId5155" xr:uid="{00000000-0004-0000-0100-000022140000}"/>
    <hyperlink ref="D5157" r:id="rId5156" xr:uid="{00000000-0004-0000-0100-000023140000}"/>
    <hyperlink ref="D5158" r:id="rId5157" xr:uid="{00000000-0004-0000-0100-000024140000}"/>
    <hyperlink ref="D5159" r:id="rId5158" xr:uid="{00000000-0004-0000-0100-000025140000}"/>
    <hyperlink ref="D5160" r:id="rId5159" xr:uid="{00000000-0004-0000-0100-000026140000}"/>
    <hyperlink ref="D5161" r:id="rId5160" xr:uid="{00000000-0004-0000-0100-000027140000}"/>
    <hyperlink ref="D5162" r:id="rId5161" xr:uid="{00000000-0004-0000-0100-000028140000}"/>
    <hyperlink ref="D5163" r:id="rId5162" xr:uid="{00000000-0004-0000-0100-000029140000}"/>
    <hyperlink ref="D5164" r:id="rId5163" xr:uid="{00000000-0004-0000-0100-00002A140000}"/>
    <hyperlink ref="D5165" r:id="rId5164" xr:uid="{00000000-0004-0000-0100-00002B140000}"/>
    <hyperlink ref="D5166" r:id="rId5165" xr:uid="{00000000-0004-0000-0100-00002C140000}"/>
    <hyperlink ref="D5167" r:id="rId5166" xr:uid="{00000000-0004-0000-0100-00002D140000}"/>
    <hyperlink ref="D5168" r:id="rId5167" xr:uid="{00000000-0004-0000-0100-00002E140000}"/>
    <hyperlink ref="D5169" r:id="rId5168" xr:uid="{00000000-0004-0000-0100-00002F140000}"/>
    <hyperlink ref="D5170" r:id="rId5169" xr:uid="{00000000-0004-0000-0100-000030140000}"/>
    <hyperlink ref="D5171" r:id="rId5170" xr:uid="{00000000-0004-0000-0100-000031140000}"/>
    <hyperlink ref="D5172" r:id="rId5171" xr:uid="{00000000-0004-0000-0100-000032140000}"/>
    <hyperlink ref="D5173" r:id="rId5172" xr:uid="{00000000-0004-0000-0100-000033140000}"/>
    <hyperlink ref="D5174" r:id="rId5173" xr:uid="{00000000-0004-0000-0100-000034140000}"/>
    <hyperlink ref="D5175" r:id="rId5174" xr:uid="{00000000-0004-0000-0100-000035140000}"/>
    <hyperlink ref="D5176" r:id="rId5175" xr:uid="{00000000-0004-0000-0100-000036140000}"/>
    <hyperlink ref="D5177" r:id="rId5176" xr:uid="{00000000-0004-0000-0100-000037140000}"/>
    <hyperlink ref="D5178" r:id="rId5177" xr:uid="{00000000-0004-0000-0100-000038140000}"/>
    <hyperlink ref="D5179" r:id="rId5178" xr:uid="{00000000-0004-0000-0100-000039140000}"/>
    <hyperlink ref="D5180" r:id="rId5179" xr:uid="{00000000-0004-0000-0100-00003A140000}"/>
    <hyperlink ref="D5181" r:id="rId5180" xr:uid="{00000000-0004-0000-0100-00003B140000}"/>
    <hyperlink ref="D5182" r:id="rId5181" xr:uid="{00000000-0004-0000-0100-00003C140000}"/>
    <hyperlink ref="D5183" r:id="rId5182" xr:uid="{00000000-0004-0000-0100-00003D140000}"/>
    <hyperlink ref="D5184" r:id="rId5183" xr:uid="{00000000-0004-0000-0100-00003E140000}"/>
    <hyperlink ref="D5185" r:id="rId5184" xr:uid="{00000000-0004-0000-0100-00003F140000}"/>
    <hyperlink ref="D5186" r:id="rId5185" xr:uid="{00000000-0004-0000-0100-000040140000}"/>
    <hyperlink ref="D5187" r:id="rId5186" xr:uid="{00000000-0004-0000-0100-000041140000}"/>
    <hyperlink ref="D5188" r:id="rId5187" xr:uid="{00000000-0004-0000-0100-000042140000}"/>
    <hyperlink ref="D5189" r:id="rId5188" xr:uid="{00000000-0004-0000-0100-000043140000}"/>
    <hyperlink ref="D5190" r:id="rId5189" xr:uid="{00000000-0004-0000-0100-000044140000}"/>
    <hyperlink ref="D5191" r:id="rId5190" xr:uid="{00000000-0004-0000-0100-000045140000}"/>
    <hyperlink ref="D5192" r:id="rId5191" xr:uid="{00000000-0004-0000-0100-000046140000}"/>
    <hyperlink ref="D5193" r:id="rId5192" xr:uid="{00000000-0004-0000-0100-000047140000}"/>
    <hyperlink ref="D5194" r:id="rId5193" xr:uid="{00000000-0004-0000-0100-000048140000}"/>
    <hyperlink ref="D5195" r:id="rId5194" xr:uid="{00000000-0004-0000-0100-000049140000}"/>
    <hyperlink ref="D5196" r:id="rId5195" xr:uid="{00000000-0004-0000-0100-00004A140000}"/>
    <hyperlink ref="D5197" r:id="rId5196" xr:uid="{00000000-0004-0000-0100-00004B140000}"/>
    <hyperlink ref="D5198" r:id="rId5197" xr:uid="{00000000-0004-0000-0100-00004C140000}"/>
    <hyperlink ref="D5199" r:id="rId5198" xr:uid="{00000000-0004-0000-0100-00004D140000}"/>
    <hyperlink ref="D5200" r:id="rId5199" xr:uid="{00000000-0004-0000-0100-00004E140000}"/>
    <hyperlink ref="D5201" r:id="rId5200" xr:uid="{00000000-0004-0000-0100-00004F140000}"/>
    <hyperlink ref="D5202" r:id="rId5201" xr:uid="{00000000-0004-0000-0100-000050140000}"/>
    <hyperlink ref="D5203" r:id="rId5202" xr:uid="{00000000-0004-0000-0100-000051140000}"/>
    <hyperlink ref="D5204" r:id="rId5203" xr:uid="{00000000-0004-0000-0100-000052140000}"/>
    <hyperlink ref="D5205" r:id="rId5204" xr:uid="{00000000-0004-0000-0100-000053140000}"/>
    <hyperlink ref="D5206" r:id="rId5205" xr:uid="{00000000-0004-0000-0100-000054140000}"/>
    <hyperlink ref="D5207" r:id="rId5206" xr:uid="{00000000-0004-0000-0100-000055140000}"/>
    <hyperlink ref="D5208" r:id="rId5207" xr:uid="{00000000-0004-0000-0100-000056140000}"/>
    <hyperlink ref="D5209" r:id="rId5208" xr:uid="{00000000-0004-0000-0100-000057140000}"/>
    <hyperlink ref="D5210" r:id="rId5209" xr:uid="{00000000-0004-0000-0100-000058140000}"/>
    <hyperlink ref="D5211" r:id="rId5210" xr:uid="{00000000-0004-0000-0100-000059140000}"/>
    <hyperlink ref="D5212" r:id="rId5211" xr:uid="{00000000-0004-0000-0100-00005A140000}"/>
    <hyperlink ref="D5213" r:id="rId5212" xr:uid="{00000000-0004-0000-0100-00005B140000}"/>
    <hyperlink ref="D5214" r:id="rId5213" xr:uid="{00000000-0004-0000-0100-00005C140000}"/>
    <hyperlink ref="D5215" r:id="rId5214" xr:uid="{00000000-0004-0000-0100-00005D140000}"/>
    <hyperlink ref="D5216" r:id="rId5215" xr:uid="{00000000-0004-0000-0100-00005E140000}"/>
    <hyperlink ref="D5217" r:id="rId5216" xr:uid="{00000000-0004-0000-0100-00005F140000}"/>
    <hyperlink ref="D5218" r:id="rId5217" xr:uid="{00000000-0004-0000-0100-000060140000}"/>
    <hyperlink ref="D5219" r:id="rId5218" xr:uid="{00000000-0004-0000-0100-000061140000}"/>
    <hyperlink ref="D5220" r:id="rId5219" xr:uid="{00000000-0004-0000-0100-000062140000}"/>
    <hyperlink ref="D5221" r:id="rId5220" xr:uid="{00000000-0004-0000-0100-000063140000}"/>
    <hyperlink ref="D5222" r:id="rId5221" xr:uid="{00000000-0004-0000-0100-000064140000}"/>
    <hyperlink ref="D5223" r:id="rId5222" xr:uid="{00000000-0004-0000-0100-000065140000}"/>
    <hyperlink ref="D5224" r:id="rId5223" xr:uid="{00000000-0004-0000-0100-000066140000}"/>
    <hyperlink ref="D5225" r:id="rId5224" xr:uid="{00000000-0004-0000-0100-000067140000}"/>
    <hyperlink ref="D5226" r:id="rId5225" xr:uid="{00000000-0004-0000-0100-000068140000}"/>
    <hyperlink ref="D5227" r:id="rId5226" xr:uid="{00000000-0004-0000-0100-000069140000}"/>
    <hyperlink ref="D5228" r:id="rId5227" xr:uid="{00000000-0004-0000-0100-00006A140000}"/>
    <hyperlink ref="D5229" r:id="rId5228" xr:uid="{00000000-0004-0000-0100-00006B140000}"/>
    <hyperlink ref="D5230" r:id="rId5229" xr:uid="{00000000-0004-0000-0100-00006C140000}"/>
    <hyperlink ref="D5231" r:id="rId5230" xr:uid="{00000000-0004-0000-0100-00006D140000}"/>
    <hyperlink ref="D5232" r:id="rId5231" xr:uid="{00000000-0004-0000-0100-00006E140000}"/>
    <hyperlink ref="D5233" r:id="rId5232" xr:uid="{00000000-0004-0000-0100-00006F140000}"/>
    <hyperlink ref="D5234" r:id="rId5233" xr:uid="{00000000-0004-0000-0100-000070140000}"/>
    <hyperlink ref="D5235" r:id="rId5234" xr:uid="{00000000-0004-0000-0100-000071140000}"/>
    <hyperlink ref="D5236" r:id="rId5235" xr:uid="{00000000-0004-0000-0100-000072140000}"/>
    <hyperlink ref="D5237" r:id="rId5236" xr:uid="{00000000-0004-0000-0100-000073140000}"/>
    <hyperlink ref="D5238" r:id="rId5237" xr:uid="{00000000-0004-0000-0100-000074140000}"/>
    <hyperlink ref="D5239" r:id="rId5238" xr:uid="{00000000-0004-0000-0100-000075140000}"/>
    <hyperlink ref="D5240" r:id="rId5239" xr:uid="{00000000-0004-0000-0100-000076140000}"/>
    <hyperlink ref="D5241" r:id="rId5240" xr:uid="{00000000-0004-0000-0100-000077140000}"/>
    <hyperlink ref="D5242" r:id="rId5241" xr:uid="{00000000-0004-0000-0100-000078140000}"/>
    <hyperlink ref="D5243" r:id="rId5242" xr:uid="{00000000-0004-0000-0100-000079140000}"/>
    <hyperlink ref="D5244" r:id="rId5243" xr:uid="{00000000-0004-0000-0100-00007A140000}"/>
    <hyperlink ref="D5245" r:id="rId5244" xr:uid="{00000000-0004-0000-0100-00007B140000}"/>
    <hyperlink ref="D5246" r:id="rId5245" xr:uid="{00000000-0004-0000-0100-00007C140000}"/>
    <hyperlink ref="D5247" r:id="rId5246" xr:uid="{00000000-0004-0000-0100-00007D140000}"/>
    <hyperlink ref="D5248" r:id="rId5247" xr:uid="{00000000-0004-0000-0100-00007E140000}"/>
    <hyperlink ref="D5249" r:id="rId5248" xr:uid="{00000000-0004-0000-0100-00007F140000}"/>
    <hyperlink ref="D5250" r:id="rId5249" xr:uid="{00000000-0004-0000-0100-000080140000}"/>
    <hyperlink ref="D5251" r:id="rId5250" xr:uid="{00000000-0004-0000-0100-000081140000}"/>
    <hyperlink ref="D5252" r:id="rId5251" xr:uid="{00000000-0004-0000-0100-000082140000}"/>
    <hyperlink ref="D5253" r:id="rId5252" xr:uid="{00000000-0004-0000-0100-000083140000}"/>
    <hyperlink ref="D5254" r:id="rId5253" xr:uid="{00000000-0004-0000-0100-000084140000}"/>
    <hyperlink ref="D5255" r:id="rId5254" xr:uid="{00000000-0004-0000-0100-000085140000}"/>
    <hyperlink ref="D5256" r:id="rId5255" xr:uid="{00000000-0004-0000-0100-000086140000}"/>
    <hyperlink ref="D5257" r:id="rId5256" xr:uid="{00000000-0004-0000-0100-000087140000}"/>
    <hyperlink ref="D5258" r:id="rId5257" xr:uid="{00000000-0004-0000-0100-000088140000}"/>
    <hyperlink ref="D5259" r:id="rId5258" xr:uid="{00000000-0004-0000-0100-000089140000}"/>
    <hyperlink ref="D5260" r:id="rId5259" xr:uid="{00000000-0004-0000-0100-00008A140000}"/>
    <hyperlink ref="D5261" r:id="rId5260" xr:uid="{00000000-0004-0000-0100-00008B140000}"/>
    <hyperlink ref="D5262" r:id="rId5261" xr:uid="{00000000-0004-0000-0100-00008C140000}"/>
    <hyperlink ref="D5263" r:id="rId5262" xr:uid="{00000000-0004-0000-0100-00008D140000}"/>
    <hyperlink ref="D5264" r:id="rId5263" xr:uid="{00000000-0004-0000-0100-00008E140000}"/>
    <hyperlink ref="D5265" r:id="rId5264" xr:uid="{00000000-0004-0000-0100-00008F140000}"/>
    <hyperlink ref="D5266" r:id="rId5265" xr:uid="{00000000-0004-0000-0100-000090140000}"/>
    <hyperlink ref="D5267" r:id="rId5266" xr:uid="{00000000-0004-0000-0100-000091140000}"/>
    <hyperlink ref="D5268" r:id="rId5267" xr:uid="{00000000-0004-0000-0100-000092140000}"/>
    <hyperlink ref="D5269" r:id="rId5268" xr:uid="{00000000-0004-0000-0100-000093140000}"/>
    <hyperlink ref="D5270" r:id="rId5269" xr:uid="{00000000-0004-0000-0100-000094140000}"/>
    <hyperlink ref="D5271" r:id="rId5270" xr:uid="{00000000-0004-0000-0100-000095140000}"/>
    <hyperlink ref="D5272" r:id="rId5271" xr:uid="{00000000-0004-0000-0100-000096140000}"/>
    <hyperlink ref="D5273" r:id="rId5272" xr:uid="{00000000-0004-0000-0100-000097140000}"/>
    <hyperlink ref="D5274" r:id="rId5273" xr:uid="{00000000-0004-0000-0100-000098140000}"/>
    <hyperlink ref="D5275" r:id="rId5274" xr:uid="{00000000-0004-0000-0100-000099140000}"/>
    <hyperlink ref="D5276" r:id="rId5275" xr:uid="{00000000-0004-0000-0100-00009A140000}"/>
    <hyperlink ref="D5277" r:id="rId5276" xr:uid="{00000000-0004-0000-0100-00009B140000}"/>
    <hyperlink ref="D5278" r:id="rId5277" xr:uid="{00000000-0004-0000-0100-00009C140000}"/>
    <hyperlink ref="D5279" r:id="rId5278" xr:uid="{00000000-0004-0000-0100-00009D140000}"/>
    <hyperlink ref="D5280" r:id="rId5279" xr:uid="{00000000-0004-0000-0100-00009E140000}"/>
    <hyperlink ref="D5281" r:id="rId5280" xr:uid="{00000000-0004-0000-0100-00009F140000}"/>
    <hyperlink ref="D5282" r:id="rId5281" xr:uid="{00000000-0004-0000-0100-0000A0140000}"/>
    <hyperlink ref="D5283" r:id="rId5282" xr:uid="{00000000-0004-0000-0100-0000A1140000}"/>
    <hyperlink ref="D5284" r:id="rId5283" xr:uid="{00000000-0004-0000-0100-0000A2140000}"/>
    <hyperlink ref="D5285" r:id="rId5284" xr:uid="{00000000-0004-0000-0100-0000A3140000}"/>
    <hyperlink ref="D5286" r:id="rId5285" xr:uid="{00000000-0004-0000-0100-0000A4140000}"/>
    <hyperlink ref="D5287" r:id="rId5286" xr:uid="{00000000-0004-0000-0100-0000A5140000}"/>
    <hyperlink ref="D5288" r:id="rId5287" xr:uid="{00000000-0004-0000-0100-0000A6140000}"/>
    <hyperlink ref="D5289" r:id="rId5288" xr:uid="{00000000-0004-0000-0100-0000A7140000}"/>
    <hyperlink ref="D5290" r:id="rId5289" xr:uid="{00000000-0004-0000-0100-0000A8140000}"/>
    <hyperlink ref="D5291" r:id="rId5290" xr:uid="{00000000-0004-0000-0100-0000A9140000}"/>
    <hyperlink ref="D5292" r:id="rId5291" xr:uid="{00000000-0004-0000-0100-0000AA140000}"/>
    <hyperlink ref="D5293" r:id="rId5292" xr:uid="{00000000-0004-0000-0100-0000AB140000}"/>
    <hyperlink ref="D5294" r:id="rId5293" xr:uid="{00000000-0004-0000-0100-0000AC140000}"/>
    <hyperlink ref="D5295" r:id="rId5294" xr:uid="{00000000-0004-0000-0100-0000AD140000}"/>
    <hyperlink ref="D5296" r:id="rId5295" xr:uid="{00000000-0004-0000-0100-0000AE140000}"/>
    <hyperlink ref="D5297" r:id="rId5296" xr:uid="{00000000-0004-0000-0100-0000AF140000}"/>
    <hyperlink ref="D5298" r:id="rId5297" xr:uid="{00000000-0004-0000-0100-0000B0140000}"/>
    <hyperlink ref="D5299" r:id="rId5298" xr:uid="{00000000-0004-0000-0100-0000B1140000}"/>
    <hyperlink ref="D5300" r:id="rId5299" xr:uid="{00000000-0004-0000-0100-0000B2140000}"/>
    <hyperlink ref="D5301" r:id="rId5300" xr:uid="{00000000-0004-0000-0100-0000B3140000}"/>
    <hyperlink ref="D5302" r:id="rId5301" xr:uid="{00000000-0004-0000-0100-0000B4140000}"/>
    <hyperlink ref="D5303" r:id="rId5302" xr:uid="{00000000-0004-0000-0100-0000B5140000}"/>
    <hyperlink ref="D5304" r:id="rId5303" xr:uid="{00000000-0004-0000-0100-0000B6140000}"/>
    <hyperlink ref="D5305" r:id="rId5304" xr:uid="{00000000-0004-0000-0100-0000B7140000}"/>
    <hyperlink ref="D5306" r:id="rId5305" xr:uid="{00000000-0004-0000-0100-0000B8140000}"/>
    <hyperlink ref="D5307" r:id="rId5306" xr:uid="{00000000-0004-0000-0100-0000B9140000}"/>
    <hyperlink ref="D5308" r:id="rId5307" xr:uid="{00000000-0004-0000-0100-0000BA140000}"/>
    <hyperlink ref="D5309" r:id="rId5308" xr:uid="{00000000-0004-0000-0100-0000BB140000}"/>
    <hyperlink ref="D5310" r:id="rId5309" xr:uid="{00000000-0004-0000-0100-0000BC140000}"/>
    <hyperlink ref="D5311" r:id="rId5310" xr:uid="{00000000-0004-0000-0100-0000BD140000}"/>
    <hyperlink ref="D5312" r:id="rId5311" xr:uid="{00000000-0004-0000-0100-0000BE140000}"/>
    <hyperlink ref="D5313" r:id="rId5312" xr:uid="{00000000-0004-0000-0100-0000BF140000}"/>
    <hyperlink ref="D5314" r:id="rId5313" xr:uid="{00000000-0004-0000-0100-0000C0140000}"/>
    <hyperlink ref="D5315" r:id="rId5314" xr:uid="{00000000-0004-0000-0100-0000C1140000}"/>
    <hyperlink ref="D5316" r:id="rId5315" xr:uid="{00000000-0004-0000-0100-0000C2140000}"/>
    <hyperlink ref="D5317" r:id="rId5316" xr:uid="{00000000-0004-0000-0100-0000C3140000}"/>
    <hyperlink ref="D5318" r:id="rId5317" xr:uid="{00000000-0004-0000-0100-0000C4140000}"/>
    <hyperlink ref="D5319" r:id="rId5318" xr:uid="{00000000-0004-0000-0100-0000C5140000}"/>
    <hyperlink ref="D5320" r:id="rId5319" xr:uid="{00000000-0004-0000-0100-0000C6140000}"/>
    <hyperlink ref="D5321" r:id="rId5320" xr:uid="{00000000-0004-0000-0100-0000C7140000}"/>
    <hyperlink ref="D5322" r:id="rId5321" xr:uid="{00000000-0004-0000-0100-0000C8140000}"/>
    <hyperlink ref="D5323" r:id="rId5322" xr:uid="{00000000-0004-0000-0100-0000C9140000}"/>
    <hyperlink ref="D5324" r:id="rId5323" xr:uid="{00000000-0004-0000-0100-0000CA140000}"/>
    <hyperlink ref="D5325" r:id="rId5324" xr:uid="{00000000-0004-0000-0100-0000CB140000}"/>
    <hyperlink ref="D5326" r:id="rId5325" xr:uid="{00000000-0004-0000-0100-0000CC140000}"/>
    <hyperlink ref="D5327" r:id="rId5326" xr:uid="{00000000-0004-0000-0100-0000CD140000}"/>
    <hyperlink ref="D5328" r:id="rId5327" xr:uid="{00000000-0004-0000-0100-0000CE140000}"/>
    <hyperlink ref="D5329" r:id="rId5328" xr:uid="{00000000-0004-0000-0100-0000CF140000}"/>
    <hyperlink ref="D5330" r:id="rId5329" xr:uid="{00000000-0004-0000-0100-0000D0140000}"/>
    <hyperlink ref="D5331" r:id="rId5330" xr:uid="{00000000-0004-0000-0100-0000D1140000}"/>
    <hyperlink ref="D5332" r:id="rId5331" xr:uid="{00000000-0004-0000-0100-0000D2140000}"/>
    <hyperlink ref="D5333" r:id="rId5332" xr:uid="{00000000-0004-0000-0100-0000D3140000}"/>
    <hyperlink ref="D5334" r:id="rId5333" xr:uid="{00000000-0004-0000-0100-0000D4140000}"/>
    <hyperlink ref="D5335" r:id="rId5334" xr:uid="{00000000-0004-0000-0100-0000D5140000}"/>
    <hyperlink ref="D5336" r:id="rId5335" xr:uid="{00000000-0004-0000-0100-0000D6140000}"/>
    <hyperlink ref="D5337" r:id="rId5336" xr:uid="{00000000-0004-0000-0100-0000D7140000}"/>
    <hyperlink ref="D5338" r:id="rId5337" xr:uid="{00000000-0004-0000-0100-0000D8140000}"/>
    <hyperlink ref="D5339" r:id="rId5338" xr:uid="{00000000-0004-0000-0100-0000D9140000}"/>
    <hyperlink ref="D5340" r:id="rId5339" xr:uid="{00000000-0004-0000-0100-0000DA140000}"/>
    <hyperlink ref="D5341" r:id="rId5340" xr:uid="{00000000-0004-0000-0100-0000DB140000}"/>
    <hyperlink ref="D5342" r:id="rId5341" xr:uid="{00000000-0004-0000-0100-0000DC140000}"/>
    <hyperlink ref="D5343" r:id="rId5342" xr:uid="{00000000-0004-0000-0100-0000DD140000}"/>
    <hyperlink ref="D5344" r:id="rId5343" xr:uid="{00000000-0004-0000-0100-0000DE140000}"/>
    <hyperlink ref="D5345" r:id="rId5344" xr:uid="{00000000-0004-0000-0100-0000DF140000}"/>
    <hyperlink ref="D5346" r:id="rId5345" xr:uid="{00000000-0004-0000-0100-0000E0140000}"/>
    <hyperlink ref="D5347" r:id="rId5346" xr:uid="{00000000-0004-0000-0100-0000E1140000}"/>
    <hyperlink ref="D5348" r:id="rId5347" xr:uid="{00000000-0004-0000-0100-0000E2140000}"/>
    <hyperlink ref="D5349" r:id="rId5348" xr:uid="{00000000-0004-0000-0100-0000E3140000}"/>
    <hyperlink ref="D5350" r:id="rId5349" xr:uid="{00000000-0004-0000-0100-0000E4140000}"/>
    <hyperlink ref="D5351" r:id="rId5350" xr:uid="{00000000-0004-0000-0100-0000E5140000}"/>
    <hyperlink ref="D5352" r:id="rId5351" xr:uid="{00000000-0004-0000-0100-0000E6140000}"/>
    <hyperlink ref="D5353" r:id="rId5352" xr:uid="{00000000-0004-0000-0100-0000E7140000}"/>
    <hyperlink ref="D5354" r:id="rId5353" xr:uid="{00000000-0004-0000-0100-0000E8140000}"/>
    <hyperlink ref="D5355" r:id="rId5354" xr:uid="{00000000-0004-0000-0100-0000E9140000}"/>
    <hyperlink ref="D5356" r:id="rId5355" xr:uid="{00000000-0004-0000-0100-0000EA140000}"/>
    <hyperlink ref="D5357" r:id="rId5356" xr:uid="{00000000-0004-0000-0100-0000EB140000}"/>
    <hyperlink ref="D5358" r:id="rId5357" xr:uid="{00000000-0004-0000-0100-0000EC140000}"/>
    <hyperlink ref="D5359" r:id="rId5358" xr:uid="{00000000-0004-0000-0100-0000ED140000}"/>
    <hyperlink ref="D5360" r:id="rId5359" xr:uid="{00000000-0004-0000-0100-0000EE140000}"/>
    <hyperlink ref="D5361" r:id="rId5360" xr:uid="{00000000-0004-0000-0100-0000EF140000}"/>
    <hyperlink ref="D5362" r:id="rId5361" xr:uid="{00000000-0004-0000-0100-0000F0140000}"/>
    <hyperlink ref="D5363" r:id="rId5362" xr:uid="{00000000-0004-0000-0100-0000F1140000}"/>
    <hyperlink ref="D5364" r:id="rId5363" xr:uid="{00000000-0004-0000-0100-0000F2140000}"/>
    <hyperlink ref="D5365" r:id="rId5364" xr:uid="{00000000-0004-0000-0100-0000F3140000}"/>
    <hyperlink ref="D5366" r:id="rId5365" xr:uid="{00000000-0004-0000-0100-0000F4140000}"/>
    <hyperlink ref="D5367" r:id="rId5366" xr:uid="{00000000-0004-0000-0100-0000F5140000}"/>
    <hyperlink ref="D5368" r:id="rId5367" xr:uid="{00000000-0004-0000-0100-0000F6140000}"/>
    <hyperlink ref="D5369" r:id="rId5368" xr:uid="{00000000-0004-0000-0100-0000F7140000}"/>
    <hyperlink ref="D5370" r:id="rId5369" xr:uid="{00000000-0004-0000-0100-0000F8140000}"/>
    <hyperlink ref="D5371" r:id="rId5370" xr:uid="{00000000-0004-0000-0100-0000F9140000}"/>
    <hyperlink ref="D5372" r:id="rId5371" xr:uid="{00000000-0004-0000-0100-0000FA140000}"/>
    <hyperlink ref="D5373" r:id="rId5372" xr:uid="{00000000-0004-0000-0100-0000FB140000}"/>
    <hyperlink ref="D5374" r:id="rId5373" xr:uid="{00000000-0004-0000-0100-0000FC140000}"/>
    <hyperlink ref="D5375" r:id="rId5374" xr:uid="{00000000-0004-0000-0100-0000FD140000}"/>
    <hyperlink ref="D5376" r:id="rId5375" xr:uid="{00000000-0004-0000-0100-0000FE140000}"/>
    <hyperlink ref="D5377" r:id="rId5376" xr:uid="{00000000-0004-0000-0100-0000FF140000}"/>
    <hyperlink ref="D5378" r:id="rId5377" xr:uid="{00000000-0004-0000-0100-000000150000}"/>
    <hyperlink ref="D5379" r:id="rId5378" xr:uid="{00000000-0004-0000-0100-000001150000}"/>
    <hyperlink ref="D5380" r:id="rId5379" xr:uid="{00000000-0004-0000-0100-000002150000}"/>
    <hyperlink ref="D5381" r:id="rId5380" xr:uid="{00000000-0004-0000-0100-000003150000}"/>
    <hyperlink ref="D5382" r:id="rId5381" xr:uid="{00000000-0004-0000-0100-000004150000}"/>
    <hyperlink ref="D5383" r:id="rId5382" xr:uid="{00000000-0004-0000-0100-000005150000}"/>
    <hyperlink ref="D5384" r:id="rId5383" xr:uid="{00000000-0004-0000-0100-000006150000}"/>
    <hyperlink ref="D5385" r:id="rId5384" xr:uid="{00000000-0004-0000-0100-000007150000}"/>
    <hyperlink ref="D5386" r:id="rId5385" xr:uid="{00000000-0004-0000-0100-000008150000}"/>
    <hyperlink ref="D5387" r:id="rId5386" xr:uid="{00000000-0004-0000-0100-000009150000}"/>
    <hyperlink ref="D5388" r:id="rId5387" xr:uid="{00000000-0004-0000-0100-00000A150000}"/>
    <hyperlink ref="D5389" r:id="rId5388" xr:uid="{00000000-0004-0000-0100-00000B150000}"/>
    <hyperlink ref="D5390" r:id="rId5389" xr:uid="{00000000-0004-0000-0100-00000C150000}"/>
    <hyperlink ref="D5391" r:id="rId5390" xr:uid="{00000000-0004-0000-0100-00000D150000}"/>
    <hyperlink ref="D5392" r:id="rId5391" xr:uid="{00000000-0004-0000-0100-00000E150000}"/>
    <hyperlink ref="D5393" r:id="rId5392" xr:uid="{00000000-0004-0000-0100-00000F150000}"/>
    <hyperlink ref="D5394" r:id="rId5393" xr:uid="{00000000-0004-0000-0100-000010150000}"/>
    <hyperlink ref="D5395" r:id="rId5394" xr:uid="{00000000-0004-0000-0100-000011150000}"/>
    <hyperlink ref="D5396" r:id="rId5395" xr:uid="{00000000-0004-0000-0100-000012150000}"/>
    <hyperlink ref="D5397" r:id="rId5396" xr:uid="{00000000-0004-0000-0100-000013150000}"/>
    <hyperlink ref="D5398" r:id="rId5397" xr:uid="{00000000-0004-0000-0100-000014150000}"/>
    <hyperlink ref="D5399" r:id="rId5398" xr:uid="{00000000-0004-0000-0100-000015150000}"/>
    <hyperlink ref="D5400" r:id="rId5399" xr:uid="{00000000-0004-0000-0100-000016150000}"/>
    <hyperlink ref="D5401" r:id="rId5400" xr:uid="{00000000-0004-0000-0100-000017150000}"/>
    <hyperlink ref="D5402" r:id="rId5401" xr:uid="{00000000-0004-0000-0100-000018150000}"/>
    <hyperlink ref="D5403" r:id="rId5402" xr:uid="{00000000-0004-0000-0100-000019150000}"/>
    <hyperlink ref="D5404" r:id="rId5403" xr:uid="{00000000-0004-0000-0100-00001A150000}"/>
    <hyperlink ref="D5405" r:id="rId5404" xr:uid="{00000000-0004-0000-0100-00001B150000}"/>
    <hyperlink ref="D5406" r:id="rId5405" xr:uid="{00000000-0004-0000-0100-00001C150000}"/>
    <hyperlink ref="D5407" r:id="rId5406" xr:uid="{00000000-0004-0000-0100-00001D150000}"/>
    <hyperlink ref="D5408" r:id="rId5407" xr:uid="{00000000-0004-0000-0100-00001E150000}"/>
    <hyperlink ref="D5409" r:id="rId5408" xr:uid="{00000000-0004-0000-0100-00001F150000}"/>
    <hyperlink ref="D5410" r:id="rId5409" xr:uid="{00000000-0004-0000-0100-000020150000}"/>
    <hyperlink ref="D5411" r:id="rId5410" xr:uid="{00000000-0004-0000-0100-000021150000}"/>
    <hyperlink ref="D5412" r:id="rId5411" xr:uid="{00000000-0004-0000-0100-000022150000}"/>
    <hyperlink ref="D5413" r:id="rId5412" xr:uid="{00000000-0004-0000-0100-000023150000}"/>
    <hyperlink ref="D5414" r:id="rId5413" xr:uid="{00000000-0004-0000-0100-000024150000}"/>
    <hyperlink ref="D5415" r:id="rId5414" xr:uid="{00000000-0004-0000-0100-000025150000}"/>
    <hyperlink ref="D5416" r:id="rId5415" xr:uid="{00000000-0004-0000-0100-000026150000}"/>
    <hyperlink ref="D5417" r:id="rId5416" xr:uid="{00000000-0004-0000-0100-000027150000}"/>
    <hyperlink ref="D5418" r:id="rId5417" xr:uid="{00000000-0004-0000-0100-000028150000}"/>
    <hyperlink ref="D5419" r:id="rId5418" xr:uid="{00000000-0004-0000-0100-000029150000}"/>
    <hyperlink ref="D5420" r:id="rId5419" xr:uid="{00000000-0004-0000-0100-00002A150000}"/>
    <hyperlink ref="D5421" r:id="rId5420" xr:uid="{00000000-0004-0000-0100-00002B150000}"/>
    <hyperlink ref="D5422" r:id="rId5421" xr:uid="{00000000-0004-0000-0100-00002C150000}"/>
    <hyperlink ref="D5423" r:id="rId5422" xr:uid="{00000000-0004-0000-0100-00002D150000}"/>
    <hyperlink ref="D5424" r:id="rId5423" xr:uid="{00000000-0004-0000-0100-00002E150000}"/>
    <hyperlink ref="D5425" r:id="rId5424" xr:uid="{00000000-0004-0000-0100-00002F150000}"/>
    <hyperlink ref="D5426" r:id="rId5425" xr:uid="{00000000-0004-0000-0100-000030150000}"/>
    <hyperlink ref="D5427" r:id="rId5426" xr:uid="{00000000-0004-0000-0100-000031150000}"/>
    <hyperlink ref="D5428" r:id="rId5427" xr:uid="{00000000-0004-0000-0100-000032150000}"/>
    <hyperlink ref="D5429" r:id="rId5428" xr:uid="{00000000-0004-0000-0100-000033150000}"/>
    <hyperlink ref="D5430" r:id="rId5429" xr:uid="{00000000-0004-0000-0100-000034150000}"/>
    <hyperlink ref="D5431" r:id="rId5430" xr:uid="{00000000-0004-0000-0100-000035150000}"/>
    <hyperlink ref="D5432" r:id="rId5431" xr:uid="{00000000-0004-0000-0100-000036150000}"/>
    <hyperlink ref="D5433" r:id="rId5432" xr:uid="{00000000-0004-0000-0100-000037150000}"/>
    <hyperlink ref="D5434" r:id="rId5433" xr:uid="{00000000-0004-0000-0100-000038150000}"/>
    <hyperlink ref="D5435" r:id="rId5434" xr:uid="{00000000-0004-0000-0100-000039150000}"/>
    <hyperlink ref="D5436" r:id="rId5435" xr:uid="{00000000-0004-0000-0100-00003A150000}"/>
    <hyperlink ref="D5437" r:id="rId5436" xr:uid="{00000000-0004-0000-0100-00003B150000}"/>
    <hyperlink ref="D5438" r:id="rId5437" xr:uid="{00000000-0004-0000-0100-00003C150000}"/>
    <hyperlink ref="D5439" r:id="rId5438" xr:uid="{00000000-0004-0000-0100-00003D150000}"/>
    <hyperlink ref="D5440" r:id="rId5439" xr:uid="{00000000-0004-0000-0100-00003E150000}"/>
    <hyperlink ref="D5441" r:id="rId5440" xr:uid="{00000000-0004-0000-0100-00003F150000}"/>
    <hyperlink ref="D5442" r:id="rId5441" xr:uid="{00000000-0004-0000-0100-000040150000}"/>
    <hyperlink ref="D5443" r:id="rId5442" xr:uid="{00000000-0004-0000-0100-000041150000}"/>
    <hyperlink ref="D5444" r:id="rId5443" xr:uid="{00000000-0004-0000-0100-000042150000}"/>
    <hyperlink ref="D5445" r:id="rId5444" xr:uid="{00000000-0004-0000-0100-000043150000}"/>
    <hyperlink ref="D5446" r:id="rId5445" xr:uid="{00000000-0004-0000-0100-000044150000}"/>
    <hyperlink ref="D5447" r:id="rId5446" xr:uid="{00000000-0004-0000-0100-000045150000}"/>
    <hyperlink ref="D5448" r:id="rId5447" xr:uid="{00000000-0004-0000-0100-000046150000}"/>
    <hyperlink ref="D5449" r:id="rId5448" xr:uid="{00000000-0004-0000-0100-000047150000}"/>
    <hyperlink ref="D5450" r:id="rId5449" xr:uid="{00000000-0004-0000-0100-000048150000}"/>
    <hyperlink ref="D5451" r:id="rId5450" xr:uid="{00000000-0004-0000-0100-000049150000}"/>
    <hyperlink ref="D5452" r:id="rId5451" xr:uid="{00000000-0004-0000-0100-00004A150000}"/>
    <hyperlink ref="D5453" r:id="rId5452" xr:uid="{00000000-0004-0000-0100-00004B150000}"/>
    <hyperlink ref="D5454" r:id="rId5453" xr:uid="{00000000-0004-0000-0100-00004C150000}"/>
    <hyperlink ref="D5455" r:id="rId5454" xr:uid="{00000000-0004-0000-0100-00004D150000}"/>
    <hyperlink ref="D5456" r:id="rId5455" xr:uid="{00000000-0004-0000-0100-00004E150000}"/>
    <hyperlink ref="D5457" r:id="rId5456" xr:uid="{00000000-0004-0000-0100-00004F150000}"/>
    <hyperlink ref="D5458" r:id="rId5457" xr:uid="{00000000-0004-0000-0100-000050150000}"/>
    <hyperlink ref="D5459" r:id="rId5458" xr:uid="{00000000-0004-0000-0100-000051150000}"/>
    <hyperlink ref="D5460" r:id="rId5459" xr:uid="{00000000-0004-0000-0100-000052150000}"/>
    <hyperlink ref="D5461" r:id="rId5460" xr:uid="{00000000-0004-0000-0100-000053150000}"/>
    <hyperlink ref="D5462" r:id="rId5461" xr:uid="{00000000-0004-0000-0100-000054150000}"/>
    <hyperlink ref="D5463" r:id="rId5462" xr:uid="{00000000-0004-0000-0100-000055150000}"/>
    <hyperlink ref="D5464" r:id="rId5463" xr:uid="{00000000-0004-0000-0100-000056150000}"/>
    <hyperlink ref="D5465" r:id="rId5464" xr:uid="{00000000-0004-0000-0100-000057150000}"/>
    <hyperlink ref="D5466" r:id="rId5465" xr:uid="{00000000-0004-0000-0100-000058150000}"/>
    <hyperlink ref="D5467" r:id="rId5466" xr:uid="{00000000-0004-0000-0100-000059150000}"/>
    <hyperlink ref="D5468" r:id="rId5467" xr:uid="{00000000-0004-0000-0100-00005A150000}"/>
    <hyperlink ref="D5469" r:id="rId5468" xr:uid="{00000000-0004-0000-0100-00005B150000}"/>
    <hyperlink ref="D5470" r:id="rId5469" xr:uid="{00000000-0004-0000-0100-00005C150000}"/>
    <hyperlink ref="D5471" r:id="rId5470" xr:uid="{00000000-0004-0000-0100-00005D150000}"/>
    <hyperlink ref="D5472" r:id="rId5471" xr:uid="{00000000-0004-0000-0100-00005E150000}"/>
    <hyperlink ref="D5473" r:id="rId5472" xr:uid="{00000000-0004-0000-0100-00005F150000}"/>
    <hyperlink ref="D5474" r:id="rId5473" xr:uid="{00000000-0004-0000-0100-000060150000}"/>
    <hyperlink ref="D5475" r:id="rId5474" xr:uid="{00000000-0004-0000-0100-000061150000}"/>
    <hyperlink ref="D5476" r:id="rId5475" xr:uid="{00000000-0004-0000-0100-000062150000}"/>
    <hyperlink ref="D5477" r:id="rId5476" xr:uid="{00000000-0004-0000-0100-000063150000}"/>
    <hyperlink ref="D5478" r:id="rId5477" xr:uid="{00000000-0004-0000-0100-000064150000}"/>
    <hyperlink ref="D5479" r:id="rId5478" xr:uid="{00000000-0004-0000-0100-000065150000}"/>
    <hyperlink ref="D5480" r:id="rId5479" xr:uid="{00000000-0004-0000-0100-000066150000}"/>
    <hyperlink ref="D5481" r:id="rId5480" xr:uid="{00000000-0004-0000-0100-000067150000}"/>
    <hyperlink ref="D5482" r:id="rId5481" xr:uid="{00000000-0004-0000-0100-000068150000}"/>
    <hyperlink ref="D5483" r:id="rId5482" xr:uid="{00000000-0004-0000-0100-000069150000}"/>
    <hyperlink ref="D5484" r:id="rId5483" xr:uid="{00000000-0004-0000-0100-00006A150000}"/>
    <hyperlink ref="D5485" r:id="rId5484" xr:uid="{00000000-0004-0000-0100-00006B150000}"/>
    <hyperlink ref="D5486" r:id="rId5485" xr:uid="{00000000-0004-0000-0100-00006C150000}"/>
    <hyperlink ref="D5487" r:id="rId5486" xr:uid="{00000000-0004-0000-0100-00006D150000}"/>
    <hyperlink ref="D5488" r:id="rId5487" xr:uid="{00000000-0004-0000-0100-00006E150000}"/>
    <hyperlink ref="D5489" r:id="rId5488" xr:uid="{00000000-0004-0000-0100-00006F150000}"/>
    <hyperlink ref="D5490" r:id="rId5489" xr:uid="{00000000-0004-0000-0100-000070150000}"/>
    <hyperlink ref="D5491" r:id="rId5490" xr:uid="{00000000-0004-0000-0100-000071150000}"/>
    <hyperlink ref="D5492" r:id="rId5491" xr:uid="{00000000-0004-0000-0100-000072150000}"/>
    <hyperlink ref="D5493" r:id="rId5492" xr:uid="{00000000-0004-0000-0100-000073150000}"/>
    <hyperlink ref="D5494" r:id="rId5493" xr:uid="{00000000-0004-0000-0100-000074150000}"/>
    <hyperlink ref="D5495" r:id="rId5494" xr:uid="{00000000-0004-0000-0100-000075150000}"/>
    <hyperlink ref="D5496" r:id="rId5495" xr:uid="{00000000-0004-0000-0100-000076150000}"/>
    <hyperlink ref="D5497" r:id="rId5496" xr:uid="{00000000-0004-0000-0100-000077150000}"/>
    <hyperlink ref="D5498" r:id="rId5497" xr:uid="{00000000-0004-0000-0100-000078150000}"/>
    <hyperlink ref="D5499" r:id="rId5498" xr:uid="{00000000-0004-0000-0100-000079150000}"/>
    <hyperlink ref="D5500" r:id="rId5499" xr:uid="{00000000-0004-0000-0100-00007A150000}"/>
    <hyperlink ref="D5501" r:id="rId5500" xr:uid="{00000000-0004-0000-0100-00007B150000}"/>
    <hyperlink ref="D5502" r:id="rId5501" xr:uid="{00000000-0004-0000-0100-00007C150000}"/>
    <hyperlink ref="D5503" r:id="rId5502" xr:uid="{00000000-0004-0000-0100-00007D150000}"/>
    <hyperlink ref="D5504" r:id="rId5503" xr:uid="{00000000-0004-0000-0100-00007E150000}"/>
    <hyperlink ref="D5505" r:id="rId5504" xr:uid="{00000000-0004-0000-0100-00007F150000}"/>
    <hyperlink ref="D5506" r:id="rId5505" xr:uid="{00000000-0004-0000-0100-000080150000}"/>
    <hyperlink ref="D5507" r:id="rId5506" xr:uid="{00000000-0004-0000-0100-000081150000}"/>
    <hyperlink ref="D5508" r:id="rId5507" xr:uid="{00000000-0004-0000-0100-000082150000}"/>
    <hyperlink ref="D5509" r:id="rId5508" xr:uid="{00000000-0004-0000-0100-000083150000}"/>
    <hyperlink ref="D5510" r:id="rId5509" xr:uid="{00000000-0004-0000-0100-000084150000}"/>
    <hyperlink ref="D5511" r:id="rId5510" xr:uid="{00000000-0004-0000-0100-000085150000}"/>
    <hyperlink ref="D5512" r:id="rId5511" xr:uid="{00000000-0004-0000-0100-000086150000}"/>
    <hyperlink ref="D5513" r:id="rId5512" xr:uid="{00000000-0004-0000-0100-000087150000}"/>
    <hyperlink ref="D5514" r:id="rId5513" xr:uid="{00000000-0004-0000-0100-000088150000}"/>
    <hyperlink ref="D5515" r:id="rId5514" xr:uid="{00000000-0004-0000-0100-000089150000}"/>
    <hyperlink ref="D5516" r:id="rId5515" xr:uid="{00000000-0004-0000-0100-00008A150000}"/>
    <hyperlink ref="D5517" r:id="rId5516" xr:uid="{00000000-0004-0000-0100-00008B150000}"/>
    <hyperlink ref="D5518" r:id="rId5517" xr:uid="{00000000-0004-0000-0100-00008C150000}"/>
    <hyperlink ref="D5519" r:id="rId5518" xr:uid="{00000000-0004-0000-0100-00008D150000}"/>
    <hyperlink ref="D5520" r:id="rId5519" xr:uid="{00000000-0004-0000-0100-00008E150000}"/>
    <hyperlink ref="D5521" r:id="rId5520" xr:uid="{00000000-0004-0000-0100-00008F150000}"/>
    <hyperlink ref="D5522" r:id="rId5521" xr:uid="{00000000-0004-0000-0100-000090150000}"/>
    <hyperlink ref="D5523" r:id="rId5522" xr:uid="{00000000-0004-0000-0100-000091150000}"/>
    <hyperlink ref="D5524" r:id="rId5523" xr:uid="{00000000-0004-0000-0100-000092150000}"/>
    <hyperlink ref="D5525" r:id="rId5524" xr:uid="{00000000-0004-0000-0100-000093150000}"/>
    <hyperlink ref="D5526" r:id="rId5525" xr:uid="{00000000-0004-0000-0100-000094150000}"/>
    <hyperlink ref="D5527" r:id="rId5526" xr:uid="{00000000-0004-0000-0100-000095150000}"/>
    <hyperlink ref="D5528" r:id="rId5527" xr:uid="{00000000-0004-0000-0100-000096150000}"/>
    <hyperlink ref="D5529" r:id="rId5528" xr:uid="{00000000-0004-0000-0100-000097150000}"/>
    <hyperlink ref="D5530" r:id="rId5529" xr:uid="{00000000-0004-0000-0100-000098150000}"/>
    <hyperlink ref="D5531" r:id="rId5530" xr:uid="{00000000-0004-0000-0100-000099150000}"/>
    <hyperlink ref="D5532" r:id="rId5531" xr:uid="{00000000-0004-0000-0100-00009A150000}"/>
    <hyperlink ref="D5533" r:id="rId5532" xr:uid="{00000000-0004-0000-0100-00009B150000}"/>
    <hyperlink ref="D5534" r:id="rId5533" xr:uid="{00000000-0004-0000-0100-00009C150000}"/>
    <hyperlink ref="D5535" r:id="rId5534" xr:uid="{00000000-0004-0000-0100-00009D150000}"/>
    <hyperlink ref="D5536" r:id="rId5535" xr:uid="{00000000-0004-0000-0100-00009E150000}"/>
    <hyperlink ref="D5537" r:id="rId5536" xr:uid="{00000000-0004-0000-0100-00009F150000}"/>
    <hyperlink ref="D5538" r:id="rId5537" xr:uid="{00000000-0004-0000-0100-0000A0150000}"/>
    <hyperlink ref="D5539" r:id="rId5538" xr:uid="{00000000-0004-0000-0100-0000A1150000}"/>
    <hyperlink ref="D5540" r:id="rId5539" xr:uid="{00000000-0004-0000-0100-0000A2150000}"/>
    <hyperlink ref="D5541" r:id="rId5540" xr:uid="{00000000-0004-0000-0100-0000A3150000}"/>
    <hyperlink ref="D5542" r:id="rId5541" xr:uid="{00000000-0004-0000-0100-0000A4150000}"/>
    <hyperlink ref="D5543" r:id="rId5542" xr:uid="{00000000-0004-0000-0100-0000A5150000}"/>
    <hyperlink ref="D5544" r:id="rId5543" xr:uid="{00000000-0004-0000-0100-0000A6150000}"/>
    <hyperlink ref="D5545" r:id="rId5544" xr:uid="{00000000-0004-0000-0100-0000A7150000}"/>
    <hyperlink ref="D5546" r:id="rId5545" xr:uid="{00000000-0004-0000-0100-0000A8150000}"/>
    <hyperlink ref="D5547" r:id="rId5546" xr:uid="{00000000-0004-0000-0100-0000A9150000}"/>
    <hyperlink ref="D5548" r:id="rId5547" xr:uid="{00000000-0004-0000-0100-0000AA150000}"/>
    <hyperlink ref="D5549" r:id="rId5548" xr:uid="{00000000-0004-0000-0100-0000AB150000}"/>
    <hyperlink ref="D5550" r:id="rId5549" xr:uid="{00000000-0004-0000-0100-0000AC150000}"/>
    <hyperlink ref="D5551" r:id="rId5550" xr:uid="{00000000-0004-0000-0100-0000AD150000}"/>
    <hyperlink ref="D5552" r:id="rId5551" xr:uid="{00000000-0004-0000-0100-0000AE150000}"/>
    <hyperlink ref="D5553" r:id="rId5552" xr:uid="{00000000-0004-0000-0100-0000AF150000}"/>
    <hyperlink ref="D5554" r:id="rId5553" xr:uid="{00000000-0004-0000-0100-0000B0150000}"/>
    <hyperlink ref="D5555" r:id="rId5554" xr:uid="{00000000-0004-0000-0100-0000B1150000}"/>
    <hyperlink ref="D5556" r:id="rId5555" xr:uid="{00000000-0004-0000-0100-0000B2150000}"/>
    <hyperlink ref="D5557" r:id="rId5556" xr:uid="{00000000-0004-0000-0100-0000B3150000}"/>
    <hyperlink ref="D5558" r:id="rId5557" xr:uid="{00000000-0004-0000-0100-0000B4150000}"/>
    <hyperlink ref="D5559" r:id="rId5558" xr:uid="{00000000-0004-0000-0100-0000B5150000}"/>
    <hyperlink ref="D5560" r:id="rId5559" xr:uid="{00000000-0004-0000-0100-0000B6150000}"/>
    <hyperlink ref="D5561" r:id="rId5560" xr:uid="{00000000-0004-0000-0100-0000B7150000}"/>
    <hyperlink ref="D5562" r:id="rId5561" xr:uid="{00000000-0004-0000-0100-0000B8150000}"/>
    <hyperlink ref="D5563" r:id="rId5562" xr:uid="{00000000-0004-0000-0100-0000B9150000}"/>
    <hyperlink ref="D5564" r:id="rId5563" xr:uid="{00000000-0004-0000-0100-0000BA150000}"/>
    <hyperlink ref="D5565" r:id="rId5564" xr:uid="{00000000-0004-0000-0100-0000BB150000}"/>
    <hyperlink ref="D5566" r:id="rId5565" xr:uid="{00000000-0004-0000-0100-0000BC150000}"/>
    <hyperlink ref="D5567" r:id="rId5566" xr:uid="{00000000-0004-0000-0100-0000BD150000}"/>
    <hyperlink ref="D5568" r:id="rId5567" xr:uid="{00000000-0004-0000-0100-0000BE150000}"/>
    <hyperlink ref="D5569" r:id="rId5568" xr:uid="{00000000-0004-0000-0100-0000BF150000}"/>
    <hyperlink ref="D5570" r:id="rId5569" xr:uid="{00000000-0004-0000-0100-0000C0150000}"/>
    <hyperlink ref="D5571" r:id="rId5570" xr:uid="{00000000-0004-0000-0100-0000C1150000}"/>
    <hyperlink ref="D5572" r:id="rId5571" xr:uid="{00000000-0004-0000-0100-0000C2150000}"/>
    <hyperlink ref="D5573" r:id="rId5572" xr:uid="{00000000-0004-0000-0100-0000C3150000}"/>
    <hyperlink ref="D5574" r:id="rId5573" xr:uid="{00000000-0004-0000-0100-0000C4150000}"/>
    <hyperlink ref="D5575" r:id="rId5574" xr:uid="{00000000-0004-0000-0100-0000C5150000}"/>
    <hyperlink ref="D5576" r:id="rId5575" xr:uid="{00000000-0004-0000-0100-0000C6150000}"/>
    <hyperlink ref="D5577" r:id="rId5576" xr:uid="{00000000-0004-0000-0100-0000C7150000}"/>
    <hyperlink ref="D5578" r:id="rId5577" xr:uid="{00000000-0004-0000-0100-0000C8150000}"/>
    <hyperlink ref="D5579" r:id="rId5578" xr:uid="{00000000-0004-0000-0100-0000C9150000}"/>
    <hyperlink ref="D5580" r:id="rId5579" xr:uid="{00000000-0004-0000-0100-0000CA150000}"/>
    <hyperlink ref="D5581" r:id="rId5580" xr:uid="{00000000-0004-0000-0100-0000CB150000}"/>
    <hyperlink ref="D5582" r:id="rId5581" xr:uid="{00000000-0004-0000-0100-0000CC150000}"/>
    <hyperlink ref="D5583" r:id="rId5582" xr:uid="{00000000-0004-0000-0100-0000CD150000}"/>
    <hyperlink ref="D5584" r:id="rId5583" xr:uid="{00000000-0004-0000-0100-0000CE150000}"/>
    <hyperlink ref="D5585" r:id="rId5584" xr:uid="{00000000-0004-0000-0100-0000CF150000}"/>
    <hyperlink ref="D5586" r:id="rId5585" xr:uid="{00000000-0004-0000-0100-0000D0150000}"/>
    <hyperlink ref="D5587" r:id="rId5586" xr:uid="{00000000-0004-0000-0100-0000D1150000}"/>
    <hyperlink ref="D5588" r:id="rId5587" xr:uid="{00000000-0004-0000-0100-0000D2150000}"/>
    <hyperlink ref="D5589" r:id="rId5588" xr:uid="{00000000-0004-0000-0100-0000D3150000}"/>
    <hyperlink ref="D5590" r:id="rId5589" xr:uid="{00000000-0004-0000-0100-0000D4150000}"/>
    <hyperlink ref="D5591" r:id="rId5590" xr:uid="{00000000-0004-0000-0100-0000D5150000}"/>
    <hyperlink ref="D5592" r:id="rId5591" xr:uid="{00000000-0004-0000-0100-0000D6150000}"/>
    <hyperlink ref="D5593" r:id="rId5592" xr:uid="{00000000-0004-0000-0100-0000D7150000}"/>
    <hyperlink ref="D5594" r:id="rId5593" xr:uid="{00000000-0004-0000-0100-0000D8150000}"/>
    <hyperlink ref="D5595" r:id="rId5594" xr:uid="{00000000-0004-0000-0100-0000D9150000}"/>
    <hyperlink ref="D5596" r:id="rId5595" xr:uid="{00000000-0004-0000-0100-0000DA150000}"/>
    <hyperlink ref="D5597" r:id="rId5596" xr:uid="{00000000-0004-0000-0100-0000DB150000}"/>
    <hyperlink ref="D5598" r:id="rId5597" xr:uid="{00000000-0004-0000-0100-0000DC150000}"/>
    <hyperlink ref="D5599" r:id="rId5598" xr:uid="{00000000-0004-0000-0100-0000DD150000}"/>
    <hyperlink ref="D5600" r:id="rId5599" xr:uid="{00000000-0004-0000-0100-0000DE150000}"/>
    <hyperlink ref="D5601" r:id="rId5600" xr:uid="{00000000-0004-0000-0100-0000DF150000}"/>
    <hyperlink ref="D5602" r:id="rId5601" xr:uid="{00000000-0004-0000-0100-0000E0150000}"/>
    <hyperlink ref="D5603" r:id="rId5602" xr:uid="{00000000-0004-0000-0100-0000E1150000}"/>
    <hyperlink ref="D5604" r:id="rId5603" xr:uid="{00000000-0004-0000-0100-0000E2150000}"/>
    <hyperlink ref="D5605" r:id="rId5604" xr:uid="{00000000-0004-0000-0100-0000E3150000}"/>
    <hyperlink ref="D5606" r:id="rId5605" xr:uid="{00000000-0004-0000-0100-0000E4150000}"/>
    <hyperlink ref="D5607" r:id="rId5606" xr:uid="{00000000-0004-0000-0100-0000E5150000}"/>
    <hyperlink ref="D5608" r:id="rId5607" xr:uid="{00000000-0004-0000-0100-0000E6150000}"/>
    <hyperlink ref="D5609" r:id="rId5608" xr:uid="{00000000-0004-0000-0100-0000E7150000}"/>
    <hyperlink ref="D5610" r:id="rId5609" xr:uid="{00000000-0004-0000-0100-0000E8150000}"/>
    <hyperlink ref="D5611" r:id="rId5610" xr:uid="{00000000-0004-0000-0100-0000E9150000}"/>
    <hyperlink ref="D5612" r:id="rId5611" xr:uid="{00000000-0004-0000-0100-0000EA150000}"/>
    <hyperlink ref="D5613" r:id="rId5612" xr:uid="{00000000-0004-0000-0100-0000EB150000}"/>
    <hyperlink ref="D5614" r:id="rId5613" xr:uid="{00000000-0004-0000-0100-0000EC150000}"/>
    <hyperlink ref="D5615" r:id="rId5614" xr:uid="{00000000-0004-0000-0100-0000ED150000}"/>
    <hyperlink ref="D5616" r:id="rId5615" xr:uid="{00000000-0004-0000-0100-0000EE150000}"/>
    <hyperlink ref="D5617" r:id="rId5616" xr:uid="{00000000-0004-0000-0100-0000EF150000}"/>
    <hyperlink ref="D5618" r:id="rId5617" xr:uid="{00000000-0004-0000-0100-0000F0150000}"/>
    <hyperlink ref="D5619" r:id="rId5618" xr:uid="{00000000-0004-0000-0100-0000F1150000}"/>
    <hyperlink ref="D5620" r:id="rId5619" xr:uid="{00000000-0004-0000-0100-0000F2150000}"/>
    <hyperlink ref="D5621" r:id="rId5620" xr:uid="{00000000-0004-0000-0100-0000F3150000}"/>
    <hyperlink ref="D5622" r:id="rId5621" xr:uid="{00000000-0004-0000-0100-0000F4150000}"/>
    <hyperlink ref="D5623" r:id="rId5622" xr:uid="{00000000-0004-0000-0100-0000F5150000}"/>
    <hyperlink ref="D5624" r:id="rId5623" xr:uid="{00000000-0004-0000-0100-0000F6150000}"/>
    <hyperlink ref="D5625" r:id="rId5624" xr:uid="{00000000-0004-0000-0100-0000F7150000}"/>
    <hyperlink ref="D5626" r:id="rId5625" xr:uid="{00000000-0004-0000-0100-0000F8150000}"/>
    <hyperlink ref="D5627" r:id="rId5626" xr:uid="{00000000-0004-0000-0100-0000F9150000}"/>
    <hyperlink ref="D5628" r:id="rId5627" xr:uid="{00000000-0004-0000-0100-0000FA150000}"/>
    <hyperlink ref="D5629" r:id="rId5628" xr:uid="{00000000-0004-0000-0100-0000FB150000}"/>
    <hyperlink ref="D5630" r:id="rId5629" xr:uid="{00000000-0004-0000-0100-0000FC150000}"/>
    <hyperlink ref="D5631" r:id="rId5630" xr:uid="{00000000-0004-0000-0100-0000FD150000}"/>
    <hyperlink ref="D5632" r:id="rId5631" xr:uid="{00000000-0004-0000-0100-0000FE150000}"/>
    <hyperlink ref="D5633" r:id="rId5632" xr:uid="{00000000-0004-0000-0100-0000FF150000}"/>
    <hyperlink ref="D5634" r:id="rId5633" xr:uid="{00000000-0004-0000-0100-000000160000}"/>
    <hyperlink ref="D5635" r:id="rId5634" xr:uid="{00000000-0004-0000-0100-000001160000}"/>
    <hyperlink ref="D5636" r:id="rId5635" xr:uid="{00000000-0004-0000-0100-000002160000}"/>
    <hyperlink ref="D5637" r:id="rId5636" xr:uid="{00000000-0004-0000-0100-000003160000}"/>
    <hyperlink ref="D5638" r:id="rId5637" xr:uid="{00000000-0004-0000-0100-000004160000}"/>
    <hyperlink ref="D5639" r:id="rId5638" xr:uid="{00000000-0004-0000-0100-000005160000}"/>
    <hyperlink ref="D5640" r:id="rId5639" xr:uid="{00000000-0004-0000-0100-000006160000}"/>
    <hyperlink ref="D5641" r:id="rId5640" xr:uid="{00000000-0004-0000-0100-000007160000}"/>
    <hyperlink ref="D5642" r:id="rId5641" xr:uid="{00000000-0004-0000-0100-000008160000}"/>
    <hyperlink ref="D5643" r:id="rId5642" xr:uid="{00000000-0004-0000-0100-000009160000}"/>
    <hyperlink ref="D5644" r:id="rId5643" xr:uid="{00000000-0004-0000-0100-00000A160000}"/>
    <hyperlink ref="D5645" r:id="rId5644" xr:uid="{00000000-0004-0000-0100-00000B160000}"/>
    <hyperlink ref="D5646" r:id="rId5645" xr:uid="{00000000-0004-0000-0100-00000C160000}"/>
    <hyperlink ref="D5647" r:id="rId5646" xr:uid="{00000000-0004-0000-0100-00000D160000}"/>
    <hyperlink ref="D5648" r:id="rId5647" xr:uid="{00000000-0004-0000-0100-00000E160000}"/>
    <hyperlink ref="D5649" r:id="rId5648" xr:uid="{00000000-0004-0000-0100-00000F160000}"/>
    <hyperlink ref="D5650" r:id="rId5649" xr:uid="{00000000-0004-0000-0100-000010160000}"/>
    <hyperlink ref="D5651" r:id="rId5650" xr:uid="{00000000-0004-0000-0100-000011160000}"/>
    <hyperlink ref="D5652" r:id="rId5651" xr:uid="{00000000-0004-0000-0100-000012160000}"/>
    <hyperlink ref="D5653" r:id="rId5652" xr:uid="{00000000-0004-0000-0100-000013160000}"/>
    <hyperlink ref="D5654" r:id="rId5653" xr:uid="{00000000-0004-0000-0100-000014160000}"/>
    <hyperlink ref="D5655" r:id="rId5654" xr:uid="{00000000-0004-0000-0100-000015160000}"/>
    <hyperlink ref="D5656" r:id="rId5655" xr:uid="{00000000-0004-0000-0100-000016160000}"/>
    <hyperlink ref="D5657" r:id="rId5656" xr:uid="{00000000-0004-0000-0100-000017160000}"/>
    <hyperlink ref="D5658" r:id="rId5657" xr:uid="{00000000-0004-0000-0100-000018160000}"/>
    <hyperlink ref="D5659" r:id="rId5658" xr:uid="{00000000-0004-0000-0100-000019160000}"/>
    <hyperlink ref="D5660" r:id="rId5659" xr:uid="{00000000-0004-0000-0100-00001A160000}"/>
    <hyperlink ref="D5661" r:id="rId5660" xr:uid="{00000000-0004-0000-0100-00001B160000}"/>
    <hyperlink ref="D5662" r:id="rId5661" xr:uid="{00000000-0004-0000-0100-00001C160000}"/>
    <hyperlink ref="D5663" r:id="rId5662" xr:uid="{00000000-0004-0000-0100-00001D160000}"/>
    <hyperlink ref="D5664" r:id="rId5663" xr:uid="{00000000-0004-0000-0100-00001E160000}"/>
    <hyperlink ref="D5665" r:id="rId5664" xr:uid="{00000000-0004-0000-0100-00001F160000}"/>
    <hyperlink ref="D5666" r:id="rId5665" xr:uid="{00000000-0004-0000-0100-000020160000}"/>
    <hyperlink ref="D5667" r:id="rId5666" xr:uid="{00000000-0004-0000-0100-000021160000}"/>
    <hyperlink ref="D5668" r:id="rId5667" xr:uid="{00000000-0004-0000-0100-000022160000}"/>
    <hyperlink ref="D5669" r:id="rId5668" xr:uid="{00000000-0004-0000-0100-000023160000}"/>
    <hyperlink ref="D5670" r:id="rId5669" xr:uid="{00000000-0004-0000-0100-000024160000}"/>
    <hyperlink ref="D5671" r:id="rId5670" xr:uid="{00000000-0004-0000-0100-000025160000}"/>
    <hyperlink ref="D5672" r:id="rId5671" xr:uid="{00000000-0004-0000-0100-000026160000}"/>
    <hyperlink ref="D5673" r:id="rId5672" xr:uid="{00000000-0004-0000-0100-000027160000}"/>
    <hyperlink ref="D5674" r:id="rId5673" xr:uid="{00000000-0004-0000-0100-000028160000}"/>
    <hyperlink ref="D5675" r:id="rId5674" xr:uid="{00000000-0004-0000-0100-000029160000}"/>
    <hyperlink ref="D5676" r:id="rId5675" xr:uid="{00000000-0004-0000-0100-00002A160000}"/>
    <hyperlink ref="D5677" r:id="rId5676" xr:uid="{00000000-0004-0000-0100-00002B160000}"/>
    <hyperlink ref="D5678" r:id="rId5677" xr:uid="{00000000-0004-0000-0100-00002C160000}"/>
    <hyperlink ref="D5679" r:id="rId5678" xr:uid="{00000000-0004-0000-0100-00002D160000}"/>
    <hyperlink ref="D5680" r:id="rId5679" xr:uid="{00000000-0004-0000-0100-00002E160000}"/>
    <hyperlink ref="D5681" r:id="rId5680" xr:uid="{00000000-0004-0000-0100-00002F160000}"/>
    <hyperlink ref="D5682" r:id="rId5681" xr:uid="{00000000-0004-0000-0100-000030160000}"/>
    <hyperlink ref="D5683" r:id="rId5682" xr:uid="{00000000-0004-0000-0100-000031160000}"/>
    <hyperlink ref="D5684" r:id="rId5683" xr:uid="{00000000-0004-0000-0100-000032160000}"/>
    <hyperlink ref="D5685" r:id="rId5684" xr:uid="{00000000-0004-0000-0100-000033160000}"/>
    <hyperlink ref="D5686" r:id="rId5685" xr:uid="{00000000-0004-0000-0100-000034160000}"/>
    <hyperlink ref="D5687" r:id="rId5686" xr:uid="{00000000-0004-0000-0100-000035160000}"/>
    <hyperlink ref="D5688" r:id="rId5687" xr:uid="{00000000-0004-0000-0100-000036160000}"/>
    <hyperlink ref="D5689" r:id="rId5688" xr:uid="{00000000-0004-0000-0100-000037160000}"/>
    <hyperlink ref="D5690" r:id="rId5689" xr:uid="{00000000-0004-0000-0100-000038160000}"/>
    <hyperlink ref="D5691" r:id="rId5690" xr:uid="{00000000-0004-0000-0100-000039160000}"/>
    <hyperlink ref="D5692" r:id="rId5691" xr:uid="{00000000-0004-0000-0100-00003A160000}"/>
    <hyperlink ref="D5693" r:id="rId5692" xr:uid="{00000000-0004-0000-0100-00003B160000}"/>
    <hyperlink ref="D5694" r:id="rId5693" xr:uid="{00000000-0004-0000-0100-00003C160000}"/>
    <hyperlink ref="D5695" r:id="rId5694" xr:uid="{00000000-0004-0000-0100-00003D160000}"/>
    <hyperlink ref="D5696" r:id="rId5695" xr:uid="{00000000-0004-0000-0100-00003E160000}"/>
    <hyperlink ref="D5697" r:id="rId5696" xr:uid="{00000000-0004-0000-0100-00003F160000}"/>
    <hyperlink ref="D5698" r:id="rId5697" xr:uid="{00000000-0004-0000-0100-000040160000}"/>
    <hyperlink ref="D5699" r:id="rId5698" xr:uid="{00000000-0004-0000-0100-000041160000}"/>
    <hyperlink ref="D5700" r:id="rId5699" xr:uid="{00000000-0004-0000-0100-000042160000}"/>
    <hyperlink ref="D5701" r:id="rId5700" xr:uid="{00000000-0004-0000-0100-000043160000}"/>
    <hyperlink ref="D5702" r:id="rId5701" xr:uid="{00000000-0004-0000-0100-000044160000}"/>
    <hyperlink ref="D5703" r:id="rId5702" xr:uid="{00000000-0004-0000-0100-000045160000}"/>
    <hyperlink ref="D5704" r:id="rId5703" xr:uid="{00000000-0004-0000-0100-000046160000}"/>
    <hyperlink ref="D5705" r:id="rId5704" xr:uid="{00000000-0004-0000-0100-000047160000}"/>
    <hyperlink ref="D5706" r:id="rId5705" xr:uid="{00000000-0004-0000-0100-000048160000}"/>
    <hyperlink ref="D5707" r:id="rId5706" xr:uid="{00000000-0004-0000-0100-000049160000}"/>
    <hyperlink ref="D5708" r:id="rId5707" xr:uid="{00000000-0004-0000-0100-00004A160000}"/>
    <hyperlink ref="D5709" r:id="rId5708" xr:uid="{00000000-0004-0000-0100-00004B160000}"/>
    <hyperlink ref="D5710" r:id="rId5709" xr:uid="{00000000-0004-0000-0100-00004C160000}"/>
    <hyperlink ref="D5711" r:id="rId5710" xr:uid="{00000000-0004-0000-0100-00004D160000}"/>
    <hyperlink ref="D5712" r:id="rId5711" xr:uid="{00000000-0004-0000-0100-00004E160000}"/>
    <hyperlink ref="D5713" r:id="rId5712" xr:uid="{00000000-0004-0000-0100-00004F160000}"/>
    <hyperlink ref="D5714" r:id="rId5713" xr:uid="{00000000-0004-0000-0100-000050160000}"/>
    <hyperlink ref="D5715" r:id="rId5714" xr:uid="{00000000-0004-0000-0100-000051160000}"/>
    <hyperlink ref="D5716" r:id="rId5715" xr:uid="{00000000-0004-0000-0100-000052160000}"/>
    <hyperlink ref="D5717" r:id="rId5716" xr:uid="{00000000-0004-0000-0100-000053160000}"/>
    <hyperlink ref="D5718" r:id="rId5717" xr:uid="{00000000-0004-0000-0100-000054160000}"/>
    <hyperlink ref="D5719" r:id="rId5718" xr:uid="{00000000-0004-0000-0100-000055160000}"/>
    <hyperlink ref="D5720" r:id="rId5719" xr:uid="{00000000-0004-0000-0100-000056160000}"/>
    <hyperlink ref="D5721" r:id="rId5720" xr:uid="{00000000-0004-0000-0100-000057160000}"/>
    <hyperlink ref="D5722" r:id="rId5721" xr:uid="{00000000-0004-0000-0100-000058160000}"/>
    <hyperlink ref="D5723" r:id="rId5722" xr:uid="{00000000-0004-0000-0100-000059160000}"/>
    <hyperlink ref="D5724" r:id="rId5723" xr:uid="{00000000-0004-0000-0100-00005A160000}"/>
    <hyperlink ref="D5725" r:id="rId5724" xr:uid="{00000000-0004-0000-0100-00005B160000}"/>
    <hyperlink ref="D5726" r:id="rId5725" xr:uid="{00000000-0004-0000-0100-00005C160000}"/>
    <hyperlink ref="D5727" r:id="rId5726" xr:uid="{00000000-0004-0000-0100-00005D160000}"/>
    <hyperlink ref="D5728" r:id="rId5727" xr:uid="{00000000-0004-0000-0100-00005E160000}"/>
    <hyperlink ref="D5729" r:id="rId5728" xr:uid="{00000000-0004-0000-0100-00005F160000}"/>
    <hyperlink ref="D5730" r:id="rId5729" xr:uid="{00000000-0004-0000-0100-000060160000}"/>
    <hyperlink ref="D5731" r:id="rId5730" xr:uid="{00000000-0004-0000-0100-000061160000}"/>
    <hyperlink ref="D5732" r:id="rId5731" xr:uid="{00000000-0004-0000-0100-000062160000}"/>
    <hyperlink ref="D5733" r:id="rId5732" xr:uid="{00000000-0004-0000-0100-000063160000}"/>
    <hyperlink ref="D5734" r:id="rId5733" xr:uid="{00000000-0004-0000-0100-000064160000}"/>
    <hyperlink ref="D5735" r:id="rId5734" xr:uid="{00000000-0004-0000-0100-000065160000}"/>
    <hyperlink ref="D5736" r:id="rId5735" xr:uid="{00000000-0004-0000-0100-000066160000}"/>
    <hyperlink ref="D5737" r:id="rId5736" xr:uid="{00000000-0004-0000-0100-000067160000}"/>
    <hyperlink ref="D5738" r:id="rId5737" xr:uid="{00000000-0004-0000-0100-000068160000}"/>
    <hyperlink ref="D5739" r:id="rId5738" xr:uid="{00000000-0004-0000-0100-000069160000}"/>
    <hyperlink ref="D5740" r:id="rId5739" xr:uid="{00000000-0004-0000-0100-00006A160000}"/>
    <hyperlink ref="D5741" r:id="rId5740" xr:uid="{00000000-0004-0000-0100-00006B160000}"/>
    <hyperlink ref="D5742" r:id="rId5741" xr:uid="{00000000-0004-0000-0100-00006C160000}"/>
    <hyperlink ref="D5743" r:id="rId5742" xr:uid="{00000000-0004-0000-0100-00006D160000}"/>
    <hyperlink ref="D5744" r:id="rId5743" xr:uid="{00000000-0004-0000-0100-00006E160000}"/>
    <hyperlink ref="D5745" r:id="rId5744" xr:uid="{00000000-0004-0000-0100-00006F160000}"/>
    <hyperlink ref="D5746" r:id="rId5745" xr:uid="{00000000-0004-0000-0100-000070160000}"/>
    <hyperlink ref="D5747" r:id="rId5746" xr:uid="{00000000-0004-0000-0100-000071160000}"/>
    <hyperlink ref="D5748" r:id="rId5747" xr:uid="{00000000-0004-0000-0100-000072160000}"/>
    <hyperlink ref="D5749" r:id="rId5748" xr:uid="{00000000-0004-0000-0100-000073160000}"/>
    <hyperlink ref="D5750" r:id="rId5749" xr:uid="{00000000-0004-0000-0100-000074160000}"/>
    <hyperlink ref="D5751" r:id="rId5750" xr:uid="{00000000-0004-0000-0100-000075160000}"/>
    <hyperlink ref="D5752" r:id="rId5751" xr:uid="{00000000-0004-0000-0100-000076160000}"/>
    <hyperlink ref="D5753" r:id="rId5752" xr:uid="{00000000-0004-0000-0100-000077160000}"/>
    <hyperlink ref="D5754" r:id="rId5753" xr:uid="{00000000-0004-0000-0100-000078160000}"/>
    <hyperlink ref="D5755" r:id="rId5754" xr:uid="{00000000-0004-0000-0100-000079160000}"/>
    <hyperlink ref="D5756" r:id="rId5755" xr:uid="{00000000-0004-0000-0100-00007A160000}"/>
    <hyperlink ref="D5757" r:id="rId5756" xr:uid="{00000000-0004-0000-0100-00007B160000}"/>
    <hyperlink ref="D5758" r:id="rId5757" xr:uid="{00000000-0004-0000-0100-00007C160000}"/>
    <hyperlink ref="D5759" r:id="rId5758" xr:uid="{00000000-0004-0000-0100-00007D160000}"/>
    <hyperlink ref="D5760" r:id="rId5759" xr:uid="{00000000-0004-0000-0100-00007E160000}"/>
    <hyperlink ref="D5761" r:id="rId5760" xr:uid="{00000000-0004-0000-0100-00007F160000}"/>
    <hyperlink ref="D5762" r:id="rId5761" xr:uid="{00000000-0004-0000-0100-000080160000}"/>
    <hyperlink ref="D5763" r:id="rId5762" xr:uid="{00000000-0004-0000-0100-000081160000}"/>
    <hyperlink ref="D5764" r:id="rId5763" xr:uid="{00000000-0004-0000-0100-000082160000}"/>
    <hyperlink ref="D5765" r:id="rId5764" xr:uid="{00000000-0004-0000-0100-000083160000}"/>
    <hyperlink ref="D5766" r:id="rId5765" xr:uid="{00000000-0004-0000-0100-000084160000}"/>
    <hyperlink ref="D5767" r:id="rId5766" xr:uid="{00000000-0004-0000-0100-000085160000}"/>
    <hyperlink ref="D5768" r:id="rId5767" xr:uid="{00000000-0004-0000-0100-000086160000}"/>
    <hyperlink ref="D5769" r:id="rId5768" xr:uid="{00000000-0004-0000-0100-000087160000}"/>
    <hyperlink ref="D5770" r:id="rId5769" xr:uid="{00000000-0004-0000-0100-000088160000}"/>
    <hyperlink ref="D5771" r:id="rId5770" xr:uid="{00000000-0004-0000-0100-000089160000}"/>
    <hyperlink ref="D5772" r:id="rId5771" xr:uid="{00000000-0004-0000-0100-00008A160000}"/>
    <hyperlink ref="D5773" r:id="rId5772" xr:uid="{00000000-0004-0000-0100-00008B160000}"/>
    <hyperlink ref="D5774" r:id="rId5773" xr:uid="{00000000-0004-0000-0100-00008C160000}"/>
    <hyperlink ref="D5775" r:id="rId5774" xr:uid="{00000000-0004-0000-0100-00008D160000}"/>
    <hyperlink ref="D5776" r:id="rId5775" xr:uid="{00000000-0004-0000-0100-00008E160000}"/>
    <hyperlink ref="D5777" r:id="rId5776" xr:uid="{00000000-0004-0000-0100-00008F160000}"/>
    <hyperlink ref="D5778" r:id="rId5777" xr:uid="{00000000-0004-0000-0100-000090160000}"/>
    <hyperlink ref="D5779" r:id="rId5778" xr:uid="{00000000-0004-0000-0100-000091160000}"/>
    <hyperlink ref="D5780" r:id="rId5779" xr:uid="{00000000-0004-0000-0100-000092160000}"/>
    <hyperlink ref="D5781" r:id="rId5780" xr:uid="{00000000-0004-0000-0100-000093160000}"/>
    <hyperlink ref="D5782" r:id="rId5781" xr:uid="{00000000-0004-0000-0100-000094160000}"/>
    <hyperlink ref="D5783" r:id="rId5782" xr:uid="{00000000-0004-0000-0100-000095160000}"/>
    <hyperlink ref="D5784" r:id="rId5783" xr:uid="{00000000-0004-0000-0100-000096160000}"/>
    <hyperlink ref="D5785" r:id="rId5784" xr:uid="{00000000-0004-0000-0100-000097160000}"/>
    <hyperlink ref="D5786" r:id="rId5785" xr:uid="{00000000-0004-0000-0100-000098160000}"/>
    <hyperlink ref="D5787" r:id="rId5786" xr:uid="{00000000-0004-0000-0100-000099160000}"/>
    <hyperlink ref="D5788" r:id="rId5787" xr:uid="{00000000-0004-0000-0100-00009A160000}"/>
    <hyperlink ref="D5789" r:id="rId5788" xr:uid="{00000000-0004-0000-0100-00009B160000}"/>
    <hyperlink ref="D5790" r:id="rId5789" xr:uid="{00000000-0004-0000-0100-00009C160000}"/>
    <hyperlink ref="D5791" r:id="rId5790" xr:uid="{00000000-0004-0000-0100-00009D160000}"/>
    <hyperlink ref="D5792" r:id="rId5791" xr:uid="{00000000-0004-0000-0100-00009E160000}"/>
    <hyperlink ref="D5793" r:id="rId5792" xr:uid="{00000000-0004-0000-0100-00009F160000}"/>
    <hyperlink ref="D5794" r:id="rId5793" xr:uid="{00000000-0004-0000-0100-0000A0160000}"/>
    <hyperlink ref="D5795" r:id="rId5794" xr:uid="{00000000-0004-0000-0100-0000A1160000}"/>
    <hyperlink ref="D5796" r:id="rId5795" xr:uid="{00000000-0004-0000-0100-0000A2160000}"/>
    <hyperlink ref="D5797" r:id="rId5796" xr:uid="{00000000-0004-0000-0100-0000A3160000}"/>
    <hyperlink ref="D5798" r:id="rId5797" xr:uid="{00000000-0004-0000-0100-0000A4160000}"/>
    <hyperlink ref="D5799" r:id="rId5798" xr:uid="{00000000-0004-0000-0100-0000A5160000}"/>
    <hyperlink ref="D5800" r:id="rId5799" xr:uid="{00000000-0004-0000-0100-0000A6160000}"/>
    <hyperlink ref="D5801" r:id="rId5800" xr:uid="{00000000-0004-0000-0100-0000A7160000}"/>
    <hyperlink ref="D5802" r:id="rId5801" xr:uid="{00000000-0004-0000-0100-0000A8160000}"/>
    <hyperlink ref="D5803" r:id="rId5802" xr:uid="{00000000-0004-0000-0100-0000A9160000}"/>
    <hyperlink ref="D5804" r:id="rId5803" xr:uid="{00000000-0004-0000-0100-0000AA160000}"/>
    <hyperlink ref="D5805" r:id="rId5804" xr:uid="{00000000-0004-0000-0100-0000AB160000}"/>
    <hyperlink ref="D5806" r:id="rId5805" xr:uid="{00000000-0004-0000-0100-0000AC160000}"/>
    <hyperlink ref="D5807" r:id="rId5806" xr:uid="{00000000-0004-0000-0100-0000AD160000}"/>
    <hyperlink ref="D5808" r:id="rId5807" xr:uid="{00000000-0004-0000-0100-0000AE160000}"/>
    <hyperlink ref="D5809" r:id="rId5808" xr:uid="{00000000-0004-0000-0100-0000AF160000}"/>
    <hyperlink ref="D5810" r:id="rId5809" xr:uid="{00000000-0004-0000-0100-0000B0160000}"/>
    <hyperlink ref="D5811" r:id="rId5810" xr:uid="{00000000-0004-0000-0100-0000B1160000}"/>
    <hyperlink ref="D5812" r:id="rId5811" xr:uid="{00000000-0004-0000-0100-0000B2160000}"/>
    <hyperlink ref="D5813" r:id="rId5812" xr:uid="{00000000-0004-0000-0100-0000B3160000}"/>
    <hyperlink ref="D5814" r:id="rId5813" xr:uid="{00000000-0004-0000-0100-0000B4160000}"/>
    <hyperlink ref="D5815" r:id="rId5814" xr:uid="{00000000-0004-0000-0100-0000B5160000}"/>
    <hyperlink ref="D5816" r:id="rId5815" xr:uid="{00000000-0004-0000-0100-0000B6160000}"/>
    <hyperlink ref="D5817" r:id="rId5816" xr:uid="{00000000-0004-0000-0100-0000B7160000}"/>
    <hyperlink ref="D5818" r:id="rId5817" xr:uid="{00000000-0004-0000-0100-0000B8160000}"/>
    <hyperlink ref="D5819" r:id="rId5818" xr:uid="{00000000-0004-0000-0100-0000B9160000}"/>
    <hyperlink ref="D5820" r:id="rId5819" xr:uid="{00000000-0004-0000-0100-0000BA160000}"/>
    <hyperlink ref="D5821" r:id="rId5820" xr:uid="{00000000-0004-0000-0100-0000BB160000}"/>
    <hyperlink ref="D5822" r:id="rId5821" xr:uid="{00000000-0004-0000-0100-0000BC160000}"/>
    <hyperlink ref="D5823" r:id="rId5822" xr:uid="{00000000-0004-0000-0100-0000BD160000}"/>
    <hyperlink ref="D5824" r:id="rId5823" xr:uid="{00000000-0004-0000-0100-0000BE160000}"/>
    <hyperlink ref="D5825" r:id="rId5824" xr:uid="{00000000-0004-0000-0100-0000BF160000}"/>
    <hyperlink ref="D5826" r:id="rId5825" xr:uid="{00000000-0004-0000-0100-0000C0160000}"/>
    <hyperlink ref="D5827" r:id="rId5826" xr:uid="{00000000-0004-0000-0100-0000C1160000}"/>
    <hyperlink ref="D5828" r:id="rId5827" xr:uid="{00000000-0004-0000-0100-0000C2160000}"/>
    <hyperlink ref="D5829" r:id="rId5828" xr:uid="{00000000-0004-0000-0100-0000C3160000}"/>
    <hyperlink ref="D5830" r:id="rId5829" xr:uid="{00000000-0004-0000-0100-0000C4160000}"/>
    <hyperlink ref="D5831" r:id="rId5830" xr:uid="{00000000-0004-0000-0100-0000C5160000}"/>
    <hyperlink ref="D5832" r:id="rId5831" xr:uid="{00000000-0004-0000-0100-0000C6160000}"/>
    <hyperlink ref="D5833" r:id="rId5832" xr:uid="{00000000-0004-0000-0100-0000C7160000}"/>
    <hyperlink ref="D5834" r:id="rId5833" xr:uid="{00000000-0004-0000-0100-0000C8160000}"/>
    <hyperlink ref="D5835" r:id="rId5834" xr:uid="{00000000-0004-0000-0100-0000C9160000}"/>
    <hyperlink ref="D5836" r:id="rId5835" xr:uid="{00000000-0004-0000-0100-0000CA160000}"/>
    <hyperlink ref="D5837" r:id="rId5836" xr:uid="{00000000-0004-0000-0100-0000CB160000}"/>
    <hyperlink ref="D5838" r:id="rId5837" xr:uid="{00000000-0004-0000-0100-0000CC160000}"/>
    <hyperlink ref="D5839" r:id="rId5838" xr:uid="{00000000-0004-0000-0100-0000CD160000}"/>
    <hyperlink ref="D5840" r:id="rId5839" xr:uid="{00000000-0004-0000-0100-0000CE160000}"/>
    <hyperlink ref="D5841" r:id="rId5840" xr:uid="{00000000-0004-0000-0100-0000CF160000}"/>
    <hyperlink ref="D5842" r:id="rId5841" xr:uid="{00000000-0004-0000-0100-0000D0160000}"/>
    <hyperlink ref="D5843" r:id="rId5842" xr:uid="{00000000-0004-0000-0100-0000D1160000}"/>
    <hyperlink ref="D5844" r:id="rId5843" xr:uid="{00000000-0004-0000-0100-0000D2160000}"/>
    <hyperlink ref="D5845" r:id="rId5844" xr:uid="{00000000-0004-0000-0100-0000D3160000}"/>
    <hyperlink ref="D5846" r:id="rId5845" xr:uid="{00000000-0004-0000-0100-0000D4160000}"/>
    <hyperlink ref="D5847" r:id="rId5846" xr:uid="{00000000-0004-0000-0100-0000D5160000}"/>
    <hyperlink ref="D5848" r:id="rId5847" xr:uid="{00000000-0004-0000-0100-0000D6160000}"/>
    <hyperlink ref="D5849" r:id="rId5848" xr:uid="{00000000-0004-0000-0100-0000D7160000}"/>
    <hyperlink ref="D5850" r:id="rId5849" xr:uid="{00000000-0004-0000-0100-0000D8160000}"/>
    <hyperlink ref="D5851" r:id="rId5850" xr:uid="{00000000-0004-0000-0100-0000D9160000}"/>
    <hyperlink ref="D5852" r:id="rId5851" xr:uid="{00000000-0004-0000-0100-0000DA160000}"/>
    <hyperlink ref="D5853" r:id="rId5852" xr:uid="{00000000-0004-0000-0100-0000DB160000}"/>
    <hyperlink ref="D5854" r:id="rId5853" xr:uid="{00000000-0004-0000-0100-0000DC160000}"/>
    <hyperlink ref="D5855" r:id="rId5854" xr:uid="{00000000-0004-0000-0100-0000DD160000}"/>
    <hyperlink ref="D5856" r:id="rId5855" xr:uid="{00000000-0004-0000-0100-0000DE160000}"/>
    <hyperlink ref="D5857" r:id="rId5856" xr:uid="{00000000-0004-0000-0100-0000DF160000}"/>
    <hyperlink ref="D5858" r:id="rId5857" xr:uid="{00000000-0004-0000-0100-0000E0160000}"/>
    <hyperlink ref="D5859" r:id="rId5858" xr:uid="{00000000-0004-0000-0100-0000E1160000}"/>
    <hyperlink ref="D5860" r:id="rId5859" xr:uid="{00000000-0004-0000-0100-0000E2160000}"/>
    <hyperlink ref="D5861" r:id="rId5860" xr:uid="{00000000-0004-0000-0100-0000E3160000}"/>
    <hyperlink ref="D5862" r:id="rId5861" xr:uid="{00000000-0004-0000-0100-0000E4160000}"/>
    <hyperlink ref="D5863" r:id="rId5862" xr:uid="{00000000-0004-0000-0100-0000E5160000}"/>
    <hyperlink ref="D5864" r:id="rId5863" xr:uid="{00000000-0004-0000-0100-0000E6160000}"/>
    <hyperlink ref="D5865" r:id="rId5864" xr:uid="{00000000-0004-0000-0100-0000E7160000}"/>
    <hyperlink ref="D5866" r:id="rId5865" xr:uid="{00000000-0004-0000-0100-0000E8160000}"/>
    <hyperlink ref="D5867" r:id="rId5866" xr:uid="{00000000-0004-0000-0100-0000E9160000}"/>
    <hyperlink ref="D5868" r:id="rId5867" xr:uid="{00000000-0004-0000-0100-0000EA160000}"/>
    <hyperlink ref="D5869" r:id="rId5868" xr:uid="{00000000-0004-0000-0100-0000EB160000}"/>
    <hyperlink ref="D5870" r:id="rId5869" xr:uid="{00000000-0004-0000-0100-0000EC160000}"/>
    <hyperlink ref="D5871" r:id="rId5870" xr:uid="{00000000-0004-0000-0100-0000ED160000}"/>
    <hyperlink ref="D5872" r:id="rId5871" xr:uid="{00000000-0004-0000-0100-0000EE160000}"/>
    <hyperlink ref="D5873" r:id="rId5872" xr:uid="{00000000-0004-0000-0100-0000EF160000}"/>
    <hyperlink ref="D5874" r:id="rId5873" xr:uid="{00000000-0004-0000-0100-0000F0160000}"/>
    <hyperlink ref="D5875" r:id="rId5874" xr:uid="{00000000-0004-0000-0100-0000F1160000}"/>
    <hyperlink ref="D5876" r:id="rId5875" xr:uid="{00000000-0004-0000-0100-0000F2160000}"/>
    <hyperlink ref="D5877" r:id="rId5876" xr:uid="{00000000-0004-0000-0100-0000F3160000}"/>
    <hyperlink ref="D5878" r:id="rId5877" xr:uid="{00000000-0004-0000-0100-0000F4160000}"/>
    <hyperlink ref="D5879" r:id="rId5878" xr:uid="{00000000-0004-0000-0100-0000F5160000}"/>
    <hyperlink ref="D5880" r:id="rId5879" xr:uid="{00000000-0004-0000-0100-0000F6160000}"/>
    <hyperlink ref="D5881" r:id="rId5880" xr:uid="{00000000-0004-0000-0100-0000F7160000}"/>
    <hyperlink ref="D5882" r:id="rId5881" xr:uid="{00000000-0004-0000-0100-0000F8160000}"/>
    <hyperlink ref="D5883" r:id="rId5882" xr:uid="{00000000-0004-0000-0100-0000F9160000}"/>
    <hyperlink ref="D5884" r:id="rId5883" xr:uid="{00000000-0004-0000-0100-0000FA160000}"/>
    <hyperlink ref="D5885" r:id="rId5884" xr:uid="{00000000-0004-0000-0100-0000FB160000}"/>
    <hyperlink ref="D5886" r:id="rId5885" xr:uid="{00000000-0004-0000-0100-0000FC160000}"/>
    <hyperlink ref="D5887" r:id="rId5886" xr:uid="{00000000-0004-0000-0100-0000FD160000}"/>
    <hyperlink ref="D5888" r:id="rId5887" xr:uid="{00000000-0004-0000-0100-0000FE160000}"/>
    <hyperlink ref="D5889" r:id="rId5888" xr:uid="{00000000-0004-0000-0100-0000FF160000}"/>
    <hyperlink ref="D5890" r:id="rId5889" xr:uid="{00000000-0004-0000-0100-000000170000}"/>
    <hyperlink ref="D5891" r:id="rId5890" xr:uid="{00000000-0004-0000-0100-000001170000}"/>
    <hyperlink ref="D5892" r:id="rId5891" xr:uid="{00000000-0004-0000-0100-000002170000}"/>
    <hyperlink ref="D5893" r:id="rId5892" xr:uid="{00000000-0004-0000-0100-000003170000}"/>
    <hyperlink ref="D5894" r:id="rId5893" xr:uid="{00000000-0004-0000-0100-000004170000}"/>
    <hyperlink ref="D5895" r:id="rId5894" xr:uid="{00000000-0004-0000-0100-000005170000}"/>
    <hyperlink ref="D5896" r:id="rId5895" xr:uid="{00000000-0004-0000-0100-000006170000}"/>
    <hyperlink ref="D5897" r:id="rId5896" xr:uid="{00000000-0004-0000-0100-000007170000}"/>
    <hyperlink ref="D5898" r:id="rId5897" xr:uid="{00000000-0004-0000-0100-000008170000}"/>
    <hyperlink ref="D5899" r:id="rId5898" xr:uid="{00000000-0004-0000-0100-000009170000}"/>
    <hyperlink ref="D5900" r:id="rId5899" xr:uid="{00000000-0004-0000-0100-00000A170000}"/>
    <hyperlink ref="D5901" r:id="rId5900" xr:uid="{00000000-0004-0000-0100-00000B170000}"/>
    <hyperlink ref="D5902" r:id="rId5901" xr:uid="{00000000-0004-0000-0100-00000C170000}"/>
    <hyperlink ref="D5903" r:id="rId5902" xr:uid="{00000000-0004-0000-0100-00000D170000}"/>
    <hyperlink ref="D5904" r:id="rId5903" xr:uid="{00000000-0004-0000-0100-00000E170000}"/>
    <hyperlink ref="D5905" r:id="rId5904" xr:uid="{00000000-0004-0000-0100-00000F170000}"/>
    <hyperlink ref="D5906" r:id="rId5905" xr:uid="{00000000-0004-0000-0100-000010170000}"/>
    <hyperlink ref="D5907" r:id="rId5906" xr:uid="{00000000-0004-0000-0100-000011170000}"/>
    <hyperlink ref="D5908" r:id="rId5907" xr:uid="{00000000-0004-0000-0100-000012170000}"/>
    <hyperlink ref="D5909" r:id="rId5908" xr:uid="{00000000-0004-0000-0100-000013170000}"/>
    <hyperlink ref="D5910" r:id="rId5909" xr:uid="{00000000-0004-0000-0100-000014170000}"/>
    <hyperlink ref="D5911" r:id="rId5910" xr:uid="{00000000-0004-0000-0100-000015170000}"/>
    <hyperlink ref="D5912" r:id="rId5911" xr:uid="{00000000-0004-0000-0100-000016170000}"/>
    <hyperlink ref="D5913" r:id="rId5912" xr:uid="{00000000-0004-0000-0100-000017170000}"/>
    <hyperlink ref="D5914" r:id="rId5913" xr:uid="{00000000-0004-0000-0100-000018170000}"/>
    <hyperlink ref="D5915" r:id="rId5914" xr:uid="{00000000-0004-0000-0100-000019170000}"/>
    <hyperlink ref="D5916" r:id="rId5915" xr:uid="{00000000-0004-0000-0100-00001A170000}"/>
    <hyperlink ref="D5917" r:id="rId5916" xr:uid="{00000000-0004-0000-0100-00001B170000}"/>
    <hyperlink ref="D5918" r:id="rId5917" xr:uid="{00000000-0004-0000-0100-00001C170000}"/>
    <hyperlink ref="D5919" r:id="rId5918" xr:uid="{00000000-0004-0000-0100-00001D170000}"/>
    <hyperlink ref="D5920" r:id="rId5919" xr:uid="{00000000-0004-0000-0100-00001E170000}"/>
    <hyperlink ref="D5921" r:id="rId5920" xr:uid="{00000000-0004-0000-0100-00001F170000}"/>
    <hyperlink ref="D5922" r:id="rId5921" xr:uid="{00000000-0004-0000-0100-000020170000}"/>
    <hyperlink ref="D5923" r:id="rId5922" xr:uid="{00000000-0004-0000-0100-000021170000}"/>
    <hyperlink ref="D5924" r:id="rId5923" xr:uid="{00000000-0004-0000-0100-000022170000}"/>
    <hyperlink ref="D5925" r:id="rId5924" xr:uid="{00000000-0004-0000-0100-000023170000}"/>
    <hyperlink ref="D5926" r:id="rId5925" xr:uid="{00000000-0004-0000-0100-000024170000}"/>
    <hyperlink ref="D5927" r:id="rId5926" xr:uid="{00000000-0004-0000-0100-000025170000}"/>
    <hyperlink ref="D5928" r:id="rId5927" xr:uid="{00000000-0004-0000-0100-000026170000}"/>
    <hyperlink ref="D5929" r:id="rId5928" xr:uid="{00000000-0004-0000-0100-000027170000}"/>
    <hyperlink ref="D5930" r:id="rId5929" xr:uid="{00000000-0004-0000-0100-000028170000}"/>
    <hyperlink ref="D5931" r:id="rId5930" xr:uid="{00000000-0004-0000-0100-000029170000}"/>
    <hyperlink ref="D5932" r:id="rId5931" xr:uid="{00000000-0004-0000-0100-00002A170000}"/>
    <hyperlink ref="D5933" r:id="rId5932" xr:uid="{00000000-0004-0000-0100-00002B170000}"/>
    <hyperlink ref="D5934" r:id="rId5933" xr:uid="{00000000-0004-0000-0100-00002C170000}"/>
    <hyperlink ref="D5935" r:id="rId5934" xr:uid="{00000000-0004-0000-0100-00002D170000}"/>
    <hyperlink ref="D5936" r:id="rId5935" xr:uid="{00000000-0004-0000-0100-00002E170000}"/>
    <hyperlink ref="D5937" r:id="rId5936" xr:uid="{00000000-0004-0000-0100-00002F170000}"/>
    <hyperlink ref="D5938" r:id="rId5937" xr:uid="{00000000-0004-0000-0100-000030170000}"/>
    <hyperlink ref="D5939" r:id="rId5938" xr:uid="{00000000-0004-0000-0100-000031170000}"/>
    <hyperlink ref="D5940" r:id="rId5939" xr:uid="{00000000-0004-0000-0100-000032170000}"/>
    <hyperlink ref="D5941" r:id="rId5940" xr:uid="{00000000-0004-0000-0100-000033170000}"/>
    <hyperlink ref="D5942" r:id="rId5941" xr:uid="{00000000-0004-0000-0100-000034170000}"/>
    <hyperlink ref="D5943" r:id="rId5942" xr:uid="{00000000-0004-0000-0100-000035170000}"/>
    <hyperlink ref="D5944" r:id="rId5943" xr:uid="{00000000-0004-0000-0100-000036170000}"/>
    <hyperlink ref="D5945" r:id="rId5944" xr:uid="{00000000-0004-0000-0100-000037170000}"/>
    <hyperlink ref="D5946" r:id="rId5945" xr:uid="{00000000-0004-0000-0100-000038170000}"/>
    <hyperlink ref="D5947" r:id="rId5946" xr:uid="{00000000-0004-0000-0100-000039170000}"/>
    <hyperlink ref="D5948" r:id="rId5947" xr:uid="{00000000-0004-0000-0100-00003A170000}"/>
    <hyperlink ref="D5949" r:id="rId5948" xr:uid="{00000000-0004-0000-0100-00003B170000}"/>
    <hyperlink ref="D5950" r:id="rId5949" xr:uid="{00000000-0004-0000-0100-00003C170000}"/>
    <hyperlink ref="D5951" r:id="rId5950" xr:uid="{00000000-0004-0000-0100-00003D170000}"/>
    <hyperlink ref="D5952" r:id="rId5951" xr:uid="{00000000-0004-0000-0100-00003E170000}"/>
    <hyperlink ref="D5953" r:id="rId5952" xr:uid="{00000000-0004-0000-0100-00003F170000}"/>
    <hyperlink ref="D5954" r:id="rId5953" xr:uid="{00000000-0004-0000-0100-000040170000}"/>
    <hyperlink ref="D5955" r:id="rId5954" xr:uid="{00000000-0004-0000-0100-000041170000}"/>
    <hyperlink ref="D5956" r:id="rId5955" xr:uid="{00000000-0004-0000-0100-000042170000}"/>
    <hyperlink ref="D5957" r:id="rId5956" xr:uid="{00000000-0004-0000-0100-000043170000}"/>
    <hyperlink ref="D5958" r:id="rId5957" xr:uid="{00000000-0004-0000-0100-000044170000}"/>
    <hyperlink ref="D5959" r:id="rId5958" xr:uid="{00000000-0004-0000-0100-000045170000}"/>
    <hyperlink ref="D5960" r:id="rId5959" xr:uid="{00000000-0004-0000-0100-000046170000}"/>
    <hyperlink ref="D5961" r:id="rId5960" xr:uid="{00000000-0004-0000-0100-000047170000}"/>
    <hyperlink ref="D5962" r:id="rId5961" xr:uid="{00000000-0004-0000-0100-000048170000}"/>
    <hyperlink ref="D5963" r:id="rId5962" xr:uid="{00000000-0004-0000-0100-000049170000}"/>
    <hyperlink ref="D5964" r:id="rId5963" xr:uid="{00000000-0004-0000-0100-00004A170000}"/>
    <hyperlink ref="D5965" r:id="rId5964" xr:uid="{00000000-0004-0000-0100-00004B170000}"/>
    <hyperlink ref="D5966" r:id="rId5965" xr:uid="{00000000-0004-0000-0100-00004C170000}"/>
    <hyperlink ref="D5967" r:id="rId5966" xr:uid="{00000000-0004-0000-0100-00004D170000}"/>
    <hyperlink ref="D5968" r:id="rId5967" xr:uid="{00000000-0004-0000-0100-00004E170000}"/>
    <hyperlink ref="D5969" r:id="rId5968" xr:uid="{00000000-0004-0000-0100-00004F170000}"/>
    <hyperlink ref="D5970" r:id="rId5969" xr:uid="{00000000-0004-0000-0100-000050170000}"/>
    <hyperlink ref="D5971" r:id="rId5970" xr:uid="{00000000-0004-0000-0100-000051170000}"/>
    <hyperlink ref="D5972" r:id="rId5971" xr:uid="{00000000-0004-0000-0100-000052170000}"/>
    <hyperlink ref="D5973" r:id="rId5972" xr:uid="{00000000-0004-0000-0100-000053170000}"/>
    <hyperlink ref="D5974" r:id="rId5973" xr:uid="{00000000-0004-0000-0100-000054170000}"/>
    <hyperlink ref="D5975" r:id="rId5974" xr:uid="{00000000-0004-0000-0100-000055170000}"/>
    <hyperlink ref="D5976" r:id="rId5975" xr:uid="{00000000-0004-0000-0100-000056170000}"/>
    <hyperlink ref="D5977" r:id="rId5976" xr:uid="{00000000-0004-0000-0100-000057170000}"/>
    <hyperlink ref="D5978" r:id="rId5977" xr:uid="{00000000-0004-0000-0100-000058170000}"/>
    <hyperlink ref="D5979" r:id="rId5978" xr:uid="{00000000-0004-0000-0100-000059170000}"/>
    <hyperlink ref="D5980" r:id="rId5979" xr:uid="{00000000-0004-0000-0100-00005A170000}"/>
    <hyperlink ref="D5981" r:id="rId5980" xr:uid="{00000000-0004-0000-0100-00005B170000}"/>
    <hyperlink ref="D5982" r:id="rId5981" xr:uid="{00000000-0004-0000-0100-00005C170000}"/>
    <hyperlink ref="D5983" r:id="rId5982" xr:uid="{00000000-0004-0000-0100-00005D170000}"/>
    <hyperlink ref="D5984" r:id="rId5983" xr:uid="{00000000-0004-0000-0100-00005E170000}"/>
    <hyperlink ref="D5985" r:id="rId5984" xr:uid="{00000000-0004-0000-0100-00005F170000}"/>
    <hyperlink ref="D5986" r:id="rId5985" xr:uid="{00000000-0004-0000-0100-000060170000}"/>
    <hyperlink ref="D5987" r:id="rId5986" xr:uid="{00000000-0004-0000-0100-000061170000}"/>
    <hyperlink ref="D5988" r:id="rId5987" xr:uid="{00000000-0004-0000-0100-000062170000}"/>
    <hyperlink ref="D5989" r:id="rId5988" xr:uid="{00000000-0004-0000-0100-000063170000}"/>
    <hyperlink ref="D5990" r:id="rId5989" xr:uid="{00000000-0004-0000-0100-000064170000}"/>
    <hyperlink ref="D5991" r:id="rId5990" xr:uid="{00000000-0004-0000-0100-000065170000}"/>
    <hyperlink ref="D5992" r:id="rId5991" xr:uid="{00000000-0004-0000-0100-000066170000}"/>
    <hyperlink ref="D5993" r:id="rId5992" xr:uid="{00000000-0004-0000-0100-000067170000}"/>
    <hyperlink ref="D5994" r:id="rId5993" xr:uid="{00000000-0004-0000-0100-000068170000}"/>
    <hyperlink ref="D5995" r:id="rId5994" xr:uid="{00000000-0004-0000-0100-000069170000}"/>
    <hyperlink ref="D5996" r:id="rId5995" xr:uid="{00000000-0004-0000-0100-00006A170000}"/>
    <hyperlink ref="D5997" r:id="rId5996" xr:uid="{00000000-0004-0000-0100-00006B170000}"/>
    <hyperlink ref="D5998" r:id="rId5997" xr:uid="{00000000-0004-0000-0100-00006C170000}"/>
    <hyperlink ref="D5999" r:id="rId5998" xr:uid="{00000000-0004-0000-0100-00006D170000}"/>
    <hyperlink ref="D6000" r:id="rId5999" xr:uid="{00000000-0004-0000-0100-00006E170000}"/>
    <hyperlink ref="D6001" r:id="rId6000" xr:uid="{00000000-0004-0000-0100-00006F170000}"/>
    <hyperlink ref="D6002" r:id="rId6001" xr:uid="{00000000-0004-0000-0100-000070170000}"/>
    <hyperlink ref="D6003" r:id="rId6002" xr:uid="{00000000-0004-0000-0100-000071170000}"/>
    <hyperlink ref="D6004" r:id="rId6003" xr:uid="{00000000-0004-0000-0100-000072170000}"/>
    <hyperlink ref="D6005" r:id="rId6004" xr:uid="{00000000-0004-0000-0100-000073170000}"/>
    <hyperlink ref="D6006" r:id="rId6005" xr:uid="{00000000-0004-0000-0100-000074170000}"/>
    <hyperlink ref="D6007" r:id="rId6006" xr:uid="{00000000-0004-0000-0100-000075170000}"/>
    <hyperlink ref="D6008" r:id="rId6007" xr:uid="{00000000-0004-0000-0100-000076170000}"/>
    <hyperlink ref="D6009" r:id="rId6008" xr:uid="{00000000-0004-0000-0100-000077170000}"/>
    <hyperlink ref="D6010" r:id="rId6009" xr:uid="{00000000-0004-0000-0100-000078170000}"/>
    <hyperlink ref="D6011" r:id="rId6010" xr:uid="{00000000-0004-0000-0100-000079170000}"/>
    <hyperlink ref="D6012" r:id="rId6011" xr:uid="{00000000-0004-0000-0100-00007A170000}"/>
    <hyperlink ref="D6013" r:id="rId6012" xr:uid="{00000000-0004-0000-0100-00007B170000}"/>
    <hyperlink ref="D6014" r:id="rId6013" xr:uid="{00000000-0004-0000-0100-00007C170000}"/>
    <hyperlink ref="D6015" r:id="rId6014" xr:uid="{00000000-0004-0000-0100-00007D170000}"/>
    <hyperlink ref="D6016" r:id="rId6015" xr:uid="{00000000-0004-0000-0100-00007E170000}"/>
    <hyperlink ref="D6017" r:id="rId6016" xr:uid="{00000000-0004-0000-0100-00007F170000}"/>
    <hyperlink ref="D6018" r:id="rId6017" xr:uid="{00000000-0004-0000-0100-000080170000}"/>
    <hyperlink ref="D6019" r:id="rId6018" xr:uid="{00000000-0004-0000-0100-000081170000}"/>
    <hyperlink ref="D6020" r:id="rId6019" xr:uid="{00000000-0004-0000-0100-000082170000}"/>
    <hyperlink ref="D6021" r:id="rId6020" xr:uid="{00000000-0004-0000-0100-000083170000}"/>
    <hyperlink ref="D6022" r:id="rId6021" xr:uid="{00000000-0004-0000-0100-000084170000}"/>
    <hyperlink ref="D6023" r:id="rId6022" xr:uid="{00000000-0004-0000-0100-000085170000}"/>
    <hyperlink ref="D6024" r:id="rId6023" xr:uid="{00000000-0004-0000-0100-000086170000}"/>
    <hyperlink ref="D6025" r:id="rId6024" xr:uid="{00000000-0004-0000-0100-000087170000}"/>
    <hyperlink ref="D6026" r:id="rId6025" xr:uid="{00000000-0004-0000-0100-000088170000}"/>
    <hyperlink ref="D6027" r:id="rId6026" xr:uid="{00000000-0004-0000-0100-000089170000}"/>
    <hyperlink ref="D6028" r:id="rId6027" xr:uid="{00000000-0004-0000-0100-00008A170000}"/>
    <hyperlink ref="D6029" r:id="rId6028" xr:uid="{00000000-0004-0000-0100-00008B170000}"/>
    <hyperlink ref="D6030" r:id="rId6029" xr:uid="{00000000-0004-0000-0100-00008C170000}"/>
    <hyperlink ref="D6031" r:id="rId6030" xr:uid="{00000000-0004-0000-0100-00008D170000}"/>
    <hyperlink ref="D6032" r:id="rId6031" xr:uid="{00000000-0004-0000-0100-00008E170000}"/>
    <hyperlink ref="D6033" r:id="rId6032" xr:uid="{00000000-0004-0000-0100-00008F170000}"/>
    <hyperlink ref="D6034" r:id="rId6033" xr:uid="{00000000-0004-0000-0100-000090170000}"/>
    <hyperlink ref="D6035" r:id="rId6034" xr:uid="{00000000-0004-0000-0100-000091170000}"/>
    <hyperlink ref="D6036" r:id="rId6035" xr:uid="{00000000-0004-0000-0100-000092170000}"/>
    <hyperlink ref="D6037" r:id="rId6036" xr:uid="{00000000-0004-0000-0100-000093170000}"/>
    <hyperlink ref="D6038" r:id="rId6037" xr:uid="{00000000-0004-0000-0100-000094170000}"/>
    <hyperlink ref="D6039" r:id="rId6038" xr:uid="{00000000-0004-0000-0100-000095170000}"/>
    <hyperlink ref="D6040" r:id="rId6039" xr:uid="{00000000-0004-0000-0100-000096170000}"/>
    <hyperlink ref="D6041" r:id="rId6040" xr:uid="{00000000-0004-0000-0100-000097170000}"/>
    <hyperlink ref="D6042" r:id="rId6041" xr:uid="{00000000-0004-0000-0100-000098170000}"/>
    <hyperlink ref="D6043" r:id="rId6042" xr:uid="{00000000-0004-0000-0100-000099170000}"/>
    <hyperlink ref="D6044" r:id="rId6043" xr:uid="{00000000-0004-0000-0100-00009A170000}"/>
    <hyperlink ref="D6045" r:id="rId6044" xr:uid="{00000000-0004-0000-0100-00009B170000}"/>
    <hyperlink ref="D6046" r:id="rId6045" xr:uid="{00000000-0004-0000-0100-00009C170000}"/>
    <hyperlink ref="D6047" r:id="rId6046" xr:uid="{00000000-0004-0000-0100-00009D170000}"/>
    <hyperlink ref="D6048" r:id="rId6047" xr:uid="{00000000-0004-0000-0100-00009E170000}"/>
    <hyperlink ref="D6049" r:id="rId6048" xr:uid="{00000000-0004-0000-0100-00009F170000}"/>
    <hyperlink ref="D6050" r:id="rId6049" xr:uid="{00000000-0004-0000-0100-0000A0170000}"/>
    <hyperlink ref="D6051" r:id="rId6050" xr:uid="{00000000-0004-0000-0100-0000A1170000}"/>
    <hyperlink ref="D6052" r:id="rId6051" xr:uid="{00000000-0004-0000-0100-0000A2170000}"/>
    <hyperlink ref="D6053" r:id="rId6052" xr:uid="{00000000-0004-0000-0100-0000A3170000}"/>
    <hyperlink ref="D6054" r:id="rId6053" xr:uid="{00000000-0004-0000-0100-0000A4170000}"/>
    <hyperlink ref="D6055" r:id="rId6054" xr:uid="{00000000-0004-0000-0100-0000A5170000}"/>
    <hyperlink ref="D6056" r:id="rId6055" xr:uid="{00000000-0004-0000-0100-0000A6170000}"/>
    <hyperlink ref="D6057" r:id="rId6056" xr:uid="{00000000-0004-0000-0100-0000A7170000}"/>
    <hyperlink ref="D6058" r:id="rId6057" xr:uid="{00000000-0004-0000-0100-0000A8170000}"/>
    <hyperlink ref="D6059" r:id="rId6058" xr:uid="{00000000-0004-0000-0100-0000A9170000}"/>
    <hyperlink ref="D6060" r:id="rId6059" xr:uid="{00000000-0004-0000-0100-0000AA170000}"/>
    <hyperlink ref="D6061" r:id="rId6060" xr:uid="{00000000-0004-0000-0100-0000AB170000}"/>
    <hyperlink ref="D6062" r:id="rId6061" xr:uid="{00000000-0004-0000-0100-0000AC170000}"/>
    <hyperlink ref="D6063" r:id="rId6062" xr:uid="{00000000-0004-0000-0100-0000AD170000}"/>
    <hyperlink ref="D6064" r:id="rId6063" xr:uid="{00000000-0004-0000-0100-0000AE170000}"/>
    <hyperlink ref="D6065" r:id="rId6064" xr:uid="{00000000-0004-0000-0100-0000AF170000}"/>
    <hyperlink ref="D6066" r:id="rId6065" xr:uid="{00000000-0004-0000-0100-0000B0170000}"/>
    <hyperlink ref="D6067" r:id="rId6066" xr:uid="{00000000-0004-0000-0100-0000B1170000}"/>
    <hyperlink ref="D6068" r:id="rId6067" xr:uid="{00000000-0004-0000-0100-0000B2170000}"/>
    <hyperlink ref="D6069" r:id="rId6068" xr:uid="{00000000-0004-0000-0100-0000B3170000}"/>
    <hyperlink ref="D6070" r:id="rId6069" xr:uid="{00000000-0004-0000-0100-0000B4170000}"/>
    <hyperlink ref="D6071" r:id="rId6070" xr:uid="{00000000-0004-0000-0100-0000B5170000}"/>
    <hyperlink ref="D6072" r:id="rId6071" xr:uid="{00000000-0004-0000-0100-0000B6170000}"/>
    <hyperlink ref="D6073" r:id="rId6072" xr:uid="{00000000-0004-0000-0100-0000B7170000}"/>
    <hyperlink ref="D6074" r:id="rId6073" xr:uid="{00000000-0004-0000-0100-0000B8170000}"/>
    <hyperlink ref="D6075" r:id="rId6074" xr:uid="{00000000-0004-0000-0100-0000B9170000}"/>
    <hyperlink ref="D6076" r:id="rId6075" xr:uid="{00000000-0004-0000-0100-0000BA170000}"/>
    <hyperlink ref="D6077" r:id="rId6076" xr:uid="{00000000-0004-0000-0100-0000BB170000}"/>
    <hyperlink ref="D6078" r:id="rId6077" xr:uid="{00000000-0004-0000-0100-0000BC170000}"/>
    <hyperlink ref="D6079" r:id="rId6078" xr:uid="{00000000-0004-0000-0100-0000BD170000}"/>
    <hyperlink ref="D6080" r:id="rId6079" xr:uid="{00000000-0004-0000-0100-0000BE170000}"/>
    <hyperlink ref="D6081" r:id="rId6080" xr:uid="{00000000-0004-0000-0100-0000BF170000}"/>
    <hyperlink ref="D6082" r:id="rId6081" xr:uid="{00000000-0004-0000-0100-0000C0170000}"/>
    <hyperlink ref="D6083" r:id="rId6082" xr:uid="{00000000-0004-0000-0100-0000C1170000}"/>
    <hyperlink ref="D6084" r:id="rId6083" xr:uid="{00000000-0004-0000-0100-0000C2170000}"/>
    <hyperlink ref="D6085" r:id="rId6084" xr:uid="{00000000-0004-0000-0100-0000C3170000}"/>
    <hyperlink ref="D6086" r:id="rId6085" xr:uid="{00000000-0004-0000-0100-0000C4170000}"/>
    <hyperlink ref="D6087" r:id="rId6086" xr:uid="{00000000-0004-0000-0100-0000C5170000}"/>
    <hyperlink ref="D6088" r:id="rId6087" xr:uid="{00000000-0004-0000-0100-0000C6170000}"/>
    <hyperlink ref="D6089" r:id="rId6088" xr:uid="{00000000-0004-0000-0100-0000C7170000}"/>
    <hyperlink ref="D6090" r:id="rId6089" xr:uid="{00000000-0004-0000-0100-0000C8170000}"/>
    <hyperlink ref="D6091" r:id="rId6090" xr:uid="{00000000-0004-0000-0100-0000C9170000}"/>
    <hyperlink ref="D6092" r:id="rId6091" xr:uid="{00000000-0004-0000-0100-0000CA170000}"/>
    <hyperlink ref="D6093" r:id="rId6092" xr:uid="{00000000-0004-0000-0100-0000CB170000}"/>
    <hyperlink ref="D6094" r:id="rId6093" xr:uid="{00000000-0004-0000-0100-0000CC170000}"/>
    <hyperlink ref="D6095" r:id="rId6094" xr:uid="{00000000-0004-0000-0100-0000CD170000}"/>
    <hyperlink ref="D6096" r:id="rId6095" xr:uid="{00000000-0004-0000-0100-0000CE170000}"/>
    <hyperlink ref="D6097" r:id="rId6096" xr:uid="{00000000-0004-0000-0100-0000CF170000}"/>
    <hyperlink ref="D6098" r:id="rId6097" xr:uid="{00000000-0004-0000-0100-0000D0170000}"/>
    <hyperlink ref="D6099" r:id="rId6098" xr:uid="{00000000-0004-0000-0100-0000D1170000}"/>
    <hyperlink ref="D6100" r:id="rId6099" xr:uid="{00000000-0004-0000-0100-0000D2170000}"/>
    <hyperlink ref="D6101" r:id="rId6100" xr:uid="{00000000-0004-0000-0100-0000D3170000}"/>
    <hyperlink ref="D6102" r:id="rId6101" xr:uid="{00000000-0004-0000-0100-0000D4170000}"/>
    <hyperlink ref="D6103" r:id="rId6102" xr:uid="{00000000-0004-0000-0100-0000D5170000}"/>
    <hyperlink ref="D6104" r:id="rId6103" xr:uid="{00000000-0004-0000-0100-0000D6170000}"/>
    <hyperlink ref="D6105" r:id="rId6104" xr:uid="{00000000-0004-0000-0100-0000D7170000}"/>
    <hyperlink ref="D6106" r:id="rId6105" xr:uid="{00000000-0004-0000-0100-0000D8170000}"/>
    <hyperlink ref="D6107" r:id="rId6106" xr:uid="{00000000-0004-0000-0100-0000D9170000}"/>
    <hyperlink ref="D6108" r:id="rId6107" xr:uid="{00000000-0004-0000-0100-0000DA170000}"/>
    <hyperlink ref="D6109" r:id="rId6108" xr:uid="{00000000-0004-0000-0100-0000DB170000}"/>
    <hyperlink ref="D6110" r:id="rId6109" xr:uid="{00000000-0004-0000-0100-0000DC170000}"/>
    <hyperlink ref="D6111" r:id="rId6110" xr:uid="{00000000-0004-0000-0100-0000DD170000}"/>
    <hyperlink ref="D6112" r:id="rId6111" xr:uid="{00000000-0004-0000-0100-0000DE170000}"/>
    <hyperlink ref="D6113" r:id="rId6112" xr:uid="{00000000-0004-0000-0100-0000DF170000}"/>
    <hyperlink ref="D6114" r:id="rId6113" xr:uid="{00000000-0004-0000-0100-0000E0170000}"/>
    <hyperlink ref="D6115" r:id="rId6114" xr:uid="{00000000-0004-0000-0100-0000E1170000}"/>
    <hyperlink ref="D6116" r:id="rId6115" xr:uid="{00000000-0004-0000-0100-0000E2170000}"/>
    <hyperlink ref="D6117" r:id="rId6116" xr:uid="{00000000-0004-0000-0100-0000E3170000}"/>
    <hyperlink ref="D6118" r:id="rId6117" xr:uid="{00000000-0004-0000-0100-0000E4170000}"/>
    <hyperlink ref="D6119" r:id="rId6118" xr:uid="{00000000-0004-0000-0100-0000E5170000}"/>
    <hyperlink ref="D6120" r:id="rId6119" xr:uid="{00000000-0004-0000-0100-0000E6170000}"/>
    <hyperlink ref="D6121" r:id="rId6120" xr:uid="{00000000-0004-0000-0100-0000E7170000}"/>
    <hyperlink ref="D6122" r:id="rId6121" xr:uid="{00000000-0004-0000-0100-0000E8170000}"/>
    <hyperlink ref="D6123" r:id="rId6122" xr:uid="{00000000-0004-0000-0100-0000E9170000}"/>
    <hyperlink ref="D6124" r:id="rId6123" xr:uid="{00000000-0004-0000-0100-0000EA170000}"/>
    <hyperlink ref="D6125" r:id="rId6124" xr:uid="{00000000-0004-0000-0100-0000EB170000}"/>
    <hyperlink ref="D6126" r:id="rId6125" xr:uid="{00000000-0004-0000-0100-0000EC170000}"/>
    <hyperlink ref="D6127" r:id="rId6126" xr:uid="{00000000-0004-0000-0100-0000ED170000}"/>
    <hyperlink ref="D6128" r:id="rId6127" xr:uid="{00000000-0004-0000-0100-0000EE170000}"/>
    <hyperlink ref="D6129" r:id="rId6128" xr:uid="{00000000-0004-0000-0100-0000EF170000}"/>
    <hyperlink ref="D6130" r:id="rId6129" xr:uid="{00000000-0004-0000-0100-0000F0170000}"/>
    <hyperlink ref="D6131" r:id="rId6130" xr:uid="{00000000-0004-0000-0100-0000F1170000}"/>
    <hyperlink ref="D6132" r:id="rId6131" xr:uid="{00000000-0004-0000-0100-0000F2170000}"/>
    <hyperlink ref="D6133" r:id="rId6132" xr:uid="{00000000-0004-0000-0100-0000F3170000}"/>
    <hyperlink ref="D6134" r:id="rId6133" xr:uid="{00000000-0004-0000-0100-0000F4170000}"/>
    <hyperlink ref="D6135" r:id="rId6134" xr:uid="{00000000-0004-0000-0100-0000F5170000}"/>
    <hyperlink ref="D6136" r:id="rId6135" xr:uid="{00000000-0004-0000-0100-0000F6170000}"/>
    <hyperlink ref="D6137" r:id="rId6136" xr:uid="{00000000-0004-0000-0100-0000F7170000}"/>
    <hyperlink ref="D6138" r:id="rId6137" xr:uid="{00000000-0004-0000-0100-0000F8170000}"/>
    <hyperlink ref="D6139" r:id="rId6138" xr:uid="{00000000-0004-0000-0100-0000F9170000}"/>
    <hyperlink ref="D6140" r:id="rId6139" xr:uid="{00000000-0004-0000-0100-0000FA170000}"/>
    <hyperlink ref="D6141" r:id="rId6140" xr:uid="{00000000-0004-0000-0100-0000FB170000}"/>
    <hyperlink ref="D6142" r:id="rId6141" xr:uid="{00000000-0004-0000-0100-0000FC170000}"/>
    <hyperlink ref="D6143" r:id="rId6142" xr:uid="{00000000-0004-0000-0100-0000FD170000}"/>
    <hyperlink ref="D6144" r:id="rId6143" xr:uid="{00000000-0004-0000-0100-0000FE170000}"/>
    <hyperlink ref="D6145" r:id="rId6144" xr:uid="{00000000-0004-0000-0100-0000FF170000}"/>
    <hyperlink ref="D6146" r:id="rId6145" xr:uid="{00000000-0004-0000-0100-000000180000}"/>
    <hyperlink ref="D6147" r:id="rId6146" xr:uid="{00000000-0004-0000-0100-000001180000}"/>
    <hyperlink ref="D6148" r:id="rId6147" xr:uid="{00000000-0004-0000-0100-000002180000}"/>
    <hyperlink ref="D6149" r:id="rId6148" xr:uid="{00000000-0004-0000-0100-000003180000}"/>
    <hyperlink ref="D6150" r:id="rId6149" xr:uid="{00000000-0004-0000-0100-000004180000}"/>
    <hyperlink ref="D6151" r:id="rId6150" xr:uid="{00000000-0004-0000-0100-000005180000}"/>
    <hyperlink ref="D6152" r:id="rId6151" xr:uid="{00000000-0004-0000-0100-000006180000}"/>
    <hyperlink ref="D6153" r:id="rId6152" xr:uid="{00000000-0004-0000-0100-000007180000}"/>
    <hyperlink ref="D6154" r:id="rId6153" xr:uid="{00000000-0004-0000-0100-000008180000}"/>
    <hyperlink ref="D6155" r:id="rId6154" xr:uid="{00000000-0004-0000-0100-000009180000}"/>
    <hyperlink ref="D6156" r:id="rId6155" xr:uid="{00000000-0004-0000-0100-00000A180000}"/>
    <hyperlink ref="D6157" r:id="rId6156" xr:uid="{00000000-0004-0000-0100-00000B180000}"/>
    <hyperlink ref="D6158" r:id="rId6157" xr:uid="{00000000-0004-0000-0100-00000C180000}"/>
    <hyperlink ref="D6159" r:id="rId6158" xr:uid="{00000000-0004-0000-0100-00000D180000}"/>
    <hyperlink ref="D6160" r:id="rId6159" xr:uid="{00000000-0004-0000-0100-00000E180000}"/>
    <hyperlink ref="D6161" r:id="rId6160" xr:uid="{00000000-0004-0000-0100-00000F180000}"/>
    <hyperlink ref="D6162" r:id="rId6161" xr:uid="{00000000-0004-0000-0100-000010180000}"/>
    <hyperlink ref="D6163" r:id="rId6162" xr:uid="{00000000-0004-0000-0100-000011180000}"/>
    <hyperlink ref="D6164" r:id="rId6163" xr:uid="{00000000-0004-0000-0100-000012180000}"/>
    <hyperlink ref="D6165" r:id="rId6164" xr:uid="{00000000-0004-0000-0100-000013180000}"/>
    <hyperlink ref="D6166" r:id="rId6165" xr:uid="{00000000-0004-0000-0100-000014180000}"/>
    <hyperlink ref="D6167" r:id="rId6166" xr:uid="{00000000-0004-0000-0100-000015180000}"/>
    <hyperlink ref="D6168" r:id="rId6167" xr:uid="{00000000-0004-0000-0100-000016180000}"/>
    <hyperlink ref="D6169" r:id="rId6168" xr:uid="{00000000-0004-0000-0100-000017180000}"/>
    <hyperlink ref="D6170" r:id="rId6169" xr:uid="{00000000-0004-0000-0100-000018180000}"/>
    <hyperlink ref="D6171" r:id="rId6170" xr:uid="{00000000-0004-0000-0100-000019180000}"/>
    <hyperlink ref="D6172" r:id="rId6171" xr:uid="{00000000-0004-0000-0100-00001A180000}"/>
    <hyperlink ref="D6173" r:id="rId6172" xr:uid="{00000000-0004-0000-0100-00001B180000}"/>
    <hyperlink ref="D6174" r:id="rId6173" xr:uid="{00000000-0004-0000-0100-00001C180000}"/>
    <hyperlink ref="D6175" r:id="rId6174" xr:uid="{00000000-0004-0000-0100-00001D180000}"/>
    <hyperlink ref="D6176" r:id="rId6175" xr:uid="{00000000-0004-0000-0100-00001E180000}"/>
    <hyperlink ref="D6177" r:id="rId6176" xr:uid="{00000000-0004-0000-0100-00001F180000}"/>
    <hyperlink ref="D6178" r:id="rId6177" xr:uid="{00000000-0004-0000-0100-000020180000}"/>
    <hyperlink ref="D6179" r:id="rId6178" xr:uid="{00000000-0004-0000-0100-000021180000}"/>
    <hyperlink ref="D6180" r:id="rId6179" xr:uid="{00000000-0004-0000-0100-000022180000}"/>
    <hyperlink ref="D6181" r:id="rId6180" xr:uid="{00000000-0004-0000-0100-000023180000}"/>
    <hyperlink ref="D6182" r:id="rId6181" xr:uid="{00000000-0004-0000-0100-000024180000}"/>
    <hyperlink ref="D6183" r:id="rId6182" xr:uid="{00000000-0004-0000-0100-000025180000}"/>
    <hyperlink ref="D6184" r:id="rId6183" xr:uid="{00000000-0004-0000-0100-000026180000}"/>
    <hyperlink ref="D6185" r:id="rId6184" xr:uid="{00000000-0004-0000-0100-000027180000}"/>
    <hyperlink ref="D6186" r:id="rId6185" xr:uid="{00000000-0004-0000-0100-000028180000}"/>
    <hyperlink ref="D6187" r:id="rId6186" xr:uid="{00000000-0004-0000-0100-000029180000}"/>
    <hyperlink ref="D6188" r:id="rId6187" xr:uid="{00000000-0004-0000-0100-00002A180000}"/>
    <hyperlink ref="D6189" r:id="rId6188" xr:uid="{00000000-0004-0000-0100-00002B180000}"/>
    <hyperlink ref="D6190" r:id="rId6189" xr:uid="{00000000-0004-0000-0100-00002C180000}"/>
    <hyperlink ref="D6191" r:id="rId6190" xr:uid="{00000000-0004-0000-0100-00002D180000}"/>
    <hyperlink ref="D6192" r:id="rId6191" xr:uid="{00000000-0004-0000-0100-00002E180000}"/>
    <hyperlink ref="D6193" r:id="rId6192" xr:uid="{00000000-0004-0000-0100-00002F180000}"/>
    <hyperlink ref="D6194" r:id="rId6193" xr:uid="{00000000-0004-0000-0100-000030180000}"/>
    <hyperlink ref="D6195" r:id="rId6194" xr:uid="{00000000-0004-0000-0100-000031180000}"/>
    <hyperlink ref="D6196" r:id="rId6195" xr:uid="{00000000-0004-0000-0100-000032180000}"/>
    <hyperlink ref="D6197" r:id="rId6196" xr:uid="{00000000-0004-0000-0100-000033180000}"/>
    <hyperlink ref="D6198" r:id="rId6197" xr:uid="{00000000-0004-0000-0100-000034180000}"/>
    <hyperlink ref="D6199" r:id="rId6198" xr:uid="{00000000-0004-0000-0100-000035180000}"/>
    <hyperlink ref="D6200" r:id="rId6199" xr:uid="{00000000-0004-0000-0100-000036180000}"/>
    <hyperlink ref="D6201" r:id="rId6200" xr:uid="{00000000-0004-0000-0100-000037180000}"/>
    <hyperlink ref="D6202" r:id="rId6201" xr:uid="{00000000-0004-0000-0100-000038180000}"/>
    <hyperlink ref="D6203" r:id="rId6202" xr:uid="{00000000-0004-0000-0100-000039180000}"/>
    <hyperlink ref="D6204" r:id="rId6203" xr:uid="{00000000-0004-0000-0100-00003A180000}"/>
    <hyperlink ref="D6205" r:id="rId6204" xr:uid="{00000000-0004-0000-0100-00003B18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6884"/>
  <sheetViews>
    <sheetView zoomScale="94" workbookViewId="0">
      <selection activeCell="B5" sqref="B5"/>
    </sheetView>
  </sheetViews>
  <sheetFormatPr defaultColWidth="12.5703125" defaultRowHeight="15.75" customHeight="1"/>
  <cols>
    <col min="2" max="2" width="120.28515625" bestFit="1" customWidth="1"/>
    <col min="3" max="3" width="118.140625" bestFit="1" customWidth="1"/>
  </cols>
  <sheetData>
    <row r="1" spans="1:5">
      <c r="A1" s="10" t="s">
        <v>0</v>
      </c>
      <c r="B1" s="10" t="s">
        <v>3</v>
      </c>
      <c r="C1" s="10" t="s">
        <v>1</v>
      </c>
      <c r="D1" s="11"/>
      <c r="E1" s="11"/>
    </row>
    <row r="2" spans="1:5">
      <c r="A2" s="12" t="s">
        <v>12462</v>
      </c>
      <c r="B2" s="12" t="s">
        <v>12982</v>
      </c>
      <c r="C2" s="13" t="str">
        <f>HYPERLINK("https://audio.iskcondesiretree.com/02_-_ISKCON_Swamis/ISKCON_Swamis_-_R_to_Y/His_Holiness_Radhanath_Swami/Lectures/00_-_Year_wise/Devotional_Nectar_-_1989/1989-001_India_The_Land_Of_Dharma_Lecture_Mumbai_-_Radhanath_Swami_1989-01-13_IDesireTree.mp3", "1989-001_India_The_Land_Of_Dharma_Lecture_Mumbai_-_Radhanath_Swami_1989-01-13_IDesireTree.mp3")</f>
        <v>1989-001_India_The_Land_Of_Dharma_Lecture_Mumbai_-_Radhanath_Swami_1989-01-13_IDesireTree.mp3</v>
      </c>
      <c r="D2" s="11"/>
      <c r="E2" s="11"/>
    </row>
    <row r="3" spans="1:5">
      <c r="A3" s="12" t="s">
        <v>12462</v>
      </c>
      <c r="B3" s="12" t="s">
        <v>12983</v>
      </c>
      <c r="C3" s="13" t="str">
        <f>HYPERLINK("https://audio.iskcondesiretree.com/02_-_ISKCON_Swamis/ISKCON_Swamis_-_R_to_Y/His_Holiness_Radhanath_Swami/Lectures/00_-_Year_wise/Devotional_Nectar_-_1989/1989-002_Constructive_Work_Lecture_Mumbai_-_Radhanath_Swami_1989-01-20_IDesireTree.mp3", "1989-002_Constructive_Work_Lecture_Mumbai_-_Radhanath_Swami_1989-01-20_IDesireTree.mp3")</f>
        <v>1989-002_Constructive_Work_Lecture_Mumbai_-_Radhanath_Swami_1989-01-20_IDesireTree.mp3</v>
      </c>
      <c r="D3" s="11"/>
      <c r="E3" s="11"/>
    </row>
    <row r="4" spans="1:5">
      <c r="A4" s="12" t="s">
        <v>12462</v>
      </c>
      <c r="B4" s="12" t="s">
        <v>12984</v>
      </c>
      <c r="C4" s="13" t="str">
        <f>HYPERLINK("https://audio.iskcondesiretree.com/02_-_ISKCON_Swamis/ISKCON_Swamis_-_R_to_Y/His_Holiness_Radhanath_Swami/Lectures/00_-_Year_wise/Devotional_Nectar_-_1989/1989-003_The_Goal_Of_Life_BG-2_47_Mumbai_-_Radhanath_Swami_1989-02-17_IDesireTree.mp3", "1989-003_The_Goal_Of_Life_BG-2_47_Mumbai_-_Radhanath_Swami_1989-02-17_IDesireTree.mp3")</f>
        <v>1989-003_The_Goal_Of_Life_BG-2_47_Mumbai_-_Radhanath_Swami_1989-02-17_IDesireTree.mp3</v>
      </c>
      <c r="D4" s="11"/>
      <c r="E4" s="11"/>
    </row>
    <row r="5" spans="1:5">
      <c r="A5" s="12" t="s">
        <v>12462</v>
      </c>
      <c r="B5" s="12" t="s">
        <v>12985</v>
      </c>
      <c r="C5" s="13" t="str">
        <f>HYPERLINK("https://audio.iskcondesiretree.com/02_-_ISKCON_Swamis/ISKCON_Swamis_-_R_to_Y/His_Holiness_Radhanath_Swami/Lectures/00_-_Year_wise/Devotional_Nectar_-_1989/1989-004_Unfortunates_Are_Fortunates_SB-07_15_68_Mumbai_-_Radhanath_Swami_1989-03-29_IDesireTree.mp3", "1989-004_Unfortunates_Are_Fortunates_SB-07_15_68_Mumbai_-_Radhanath_Swami_1989-03-29_IDesireTree.mp3")</f>
        <v>1989-004_Unfortunates_Are_Fortunates_SB-07_15_68_Mumbai_-_Radhanath_Swami_1989-03-29_IDesireTree.mp3</v>
      </c>
      <c r="D5" s="11"/>
      <c r="E5" s="11"/>
    </row>
    <row r="6" spans="1:5">
      <c r="A6" s="12" t="s">
        <v>12462</v>
      </c>
      <c r="B6" s="12" t="s">
        <v>12986</v>
      </c>
      <c r="C6" s="13" t="str">
        <f>HYPERLINK("https://audio.iskcondesiretree.com/02_-_ISKCON_Swamis/ISKCON_Swamis_-_R_to_Y/His_Holiness_Radhanath_Swami/Lectures/00_-_Year_wise/Devotional_Nectar_-_1989/1989-005_A_Devotee_Is_Not_Impressed_By_Magician_SB-08_01_01-02_Mumbai_-_18-04-89_IDesireTree.mp3", "1989-005_A_Devotee_Is_Not_Impressed_By_Magician_SB-08_01_01-02_Mumbai_-_18-04-89_IDesireTree.mp3")</f>
        <v>1989-005_A_Devotee_Is_Not_Impressed_By_Magician_SB-08_01_01-02_Mumbai_-_18-04-89_IDesireTree.mp3</v>
      </c>
      <c r="D6" s="11"/>
      <c r="E6" s="11"/>
    </row>
    <row r="7" spans="1:5">
      <c r="A7" s="12" t="s">
        <v>12462</v>
      </c>
      <c r="B7" s="12" t="s">
        <v>12987</v>
      </c>
      <c r="C7" s="13" t="str">
        <f>HYPERLINK("https://audio.iskcondesiretree.com/02_-_ISKCON_Swamis/ISKCON_Swamis_-_R_to_Y/His_Holiness_Radhanath_Swami/Lectures/00_-_Year_wise/Devotional_Nectar_-_1989/1989-006_Hanuman_Lord_Rama%27s_Foremost_Servitor_Lecture_NV_-_27-4-89_IDesireTree.mp3", "1989-006_Hanuman_Lord_Rama%27s_Foremost_Servitor_Lecture_NV_-_27-4-89_IDesireTree.mp3")</f>
        <v>1989-006_Hanuman_Lord_Rama%27s_Foremost_Servitor_Lecture_NV_-_27-4-89_IDesireTree.mp3</v>
      </c>
      <c r="D7" s="11"/>
      <c r="E7" s="11"/>
    </row>
    <row r="8" spans="1:5">
      <c r="A8" s="12" t="s">
        <v>12462</v>
      </c>
      <c r="B8" s="12" t="s">
        <v>12988</v>
      </c>
      <c r="C8" s="13" t="str">
        <f>HYPERLINK("https://audio.iskcondesiretree.com/02_-_ISKCON_Swamis/ISKCON_Swamis_-_R_to_Y/His_Holiness_Radhanath_Swami/Lectures/00_-_Year_wise/Devotional_Nectar_-_1989/1989-007_Krsna_is_Our_Only_Shelter_SB-07_09_40_NV_-_Radhanath_Swami_89_IDesireTree.mp3", "1989-007_Krsna_is_Our_Only_Shelter_SB-07_09_40_NV_-_Radhanath_Swami_89_IDesireTree.mp3")</f>
        <v>1989-007_Krsna_is_Our_Only_Shelter_SB-07_09_40_NV_-_Radhanath_Swami_89_IDesireTree.mp3</v>
      </c>
      <c r="D8" s="11"/>
      <c r="E8" s="11"/>
    </row>
    <row r="9" spans="1:5">
      <c r="A9" s="12" t="s">
        <v>12462</v>
      </c>
      <c r="B9" s="12" t="s">
        <v>12989</v>
      </c>
      <c r="C9" s="13" t="str">
        <f>HYPERLINK("https://audio.iskcondesiretree.com/02_-_ISKCON_Swamis/ISKCON_Swamis_-_R_to_Y/His_Holiness_Radhanath_Swami/Lectures/00_-_Year_wise/Devotional_Nectar_-_1989/1989-008_Proper_Behaviour_of_a_Brahmacari_SB_NV_-_Radhanath_Swami_1989-06-27_IDesireTree.mp3", "1989-008_Proper_Behaviour_of_a_Brahmacari_SB_NV_-_Radhanath_Swami_1989-06-27_IDesireTree.mp3")</f>
        <v>1989-008_Proper_Behaviour_of_a_Brahmacari_SB_NV_-_Radhanath_Swami_1989-06-27_IDesireTree.mp3</v>
      </c>
      <c r="D9" s="11"/>
      <c r="E9" s="11"/>
    </row>
    <row r="10" spans="1:5">
      <c r="A10" s="12" t="s">
        <v>12462</v>
      </c>
      <c r="B10" s="12" t="s">
        <v>12990</v>
      </c>
      <c r="C10" s="13" t="str">
        <f>HYPERLINK("https://audio.iskcondesiretree.com/02_-_ISKCON_Swamis/ISKCON_Swamis_-_R_to_Y/His_Holiness_Radhanath_Swami/Lectures/00_-_Year_wise/Devotional_Nectar_-_1989/1989-009_Roomconversation_-_Family_Life_in_KC_Lecture_-_28-6-89_IDesireTree.mp3", "1989-009_Roomconversation_-_Family_Life_in_KC_Lecture_-_28-6-89_IDesireTree.mp3")</f>
        <v>1989-009_Roomconversation_-_Family_Life_in_KC_Lecture_-_28-6-89_IDesireTree.mp3</v>
      </c>
      <c r="D10" s="11"/>
      <c r="E10" s="11"/>
    </row>
    <row r="11" spans="1:5">
      <c r="A11" s="12" t="s">
        <v>12462</v>
      </c>
      <c r="B11" s="12" t="s">
        <v>12991</v>
      </c>
      <c r="C11" s="13" t="str">
        <f>HYPERLINK("https://audio.iskcondesiretree.com/02_-_ISKCON_Swamis/ISKCON_Swamis_-_R_to_Y/His_Holiness_Radhanath_Swami/Lectures/00_-_Year_wise/Devotional_Nectar_-_1989/1989-010_Overcoming_Lust_Lecture_NV_-_Radhanath_Swami_1989-07-01_IDesireTree.mp3", "1989-010_Overcoming_Lust_Lecture_NV_-_Radhanath_Swami_1989-07-01_IDesireTree.mp3")</f>
        <v>1989-010_Overcoming_Lust_Lecture_NV_-_Radhanath_Swami_1989-07-01_IDesireTree.mp3</v>
      </c>
      <c r="D11" s="11"/>
      <c r="E11" s="11"/>
    </row>
    <row r="12" spans="1:5">
      <c r="A12" s="12" t="s">
        <v>12462</v>
      </c>
      <c r="B12" s="12" t="s">
        <v>12992</v>
      </c>
      <c r="C12" s="13" t="str">
        <f>HYPERLINK("https://audio.iskcondesiretree.com/02_-_ISKCON_Swamis/ISKCON_Swamis_-_R_to_Y/His_Holiness_Radhanath_Swami/Lectures/00_-_Year_wise/Devotional_Nectar_-_1989/1989-011_An_Empty_Husk_Lecture_Mumbai_-_Radhanath_Swami_1989-07-08_IDesireTree.mp3", "1989-011_An_Empty_Husk_Lecture_Mumbai_-_Radhanath_Swami_1989-07-08_IDesireTree.mp3")</f>
        <v>1989-011_An_Empty_Husk_Lecture_Mumbai_-_Radhanath_Swami_1989-07-08_IDesireTree.mp3</v>
      </c>
      <c r="D12" s="11"/>
      <c r="E12" s="11"/>
    </row>
    <row r="13" spans="1:5">
      <c r="A13" s="12" t="s">
        <v>12462</v>
      </c>
      <c r="B13" s="12" t="s">
        <v>12993</v>
      </c>
      <c r="C13" s="13" t="str">
        <f>HYPERLINK("https://audio.iskcondesiretree.com/02_-_ISKCON_Swamis/ISKCON_Swamis_-_R_to_Y/His_Holiness_Radhanath_Swami/Lectures/00_-_Year_wise/Devotional_Nectar_-_1989/1989-012_The_Correct_Anchorage_BG-08_28_Mumbai_-_Radhanath_Swami_1989-07-09_IDesireTree.mp3", "1989-012_The_Correct_Anchorage_BG-08_28_Mumbai_-_Radhanath_Swami_1989-07-09_IDesireTree.mp3")</f>
        <v>1989-012_The_Correct_Anchorage_BG-08_28_Mumbai_-_Radhanath_Swami_1989-07-09_IDesireTree.mp3</v>
      </c>
      <c r="D13" s="11"/>
      <c r="E13" s="11"/>
    </row>
    <row r="14" spans="1:5">
      <c r="A14" s="12" t="s">
        <v>12462</v>
      </c>
      <c r="B14" s="12" t="s">
        <v>12994</v>
      </c>
      <c r="C14" s="13" t="str">
        <f>HYPERLINK("https://audio.iskcondesiretree.com/02_-_ISKCON_Swamis/ISKCON_Swamis_-_R_to_Y/His_Holiness_Radhanath_Swami/Lectures/00_-_Year_wise/Devotional_Nectar_-_1989/1989-013_Charity_BG-15_18_Mumbai_-_Radhanath_Swami_1989-07-16_IDesireTree.mp3", "1989-013_Charity_BG-15_18_Mumbai_-_Radhanath_Swami_1989-07-16_IDesireTree.mp3")</f>
        <v>1989-013_Charity_BG-15_18_Mumbai_-_Radhanath_Swami_1989-07-16_IDesireTree.mp3</v>
      </c>
      <c r="D14" s="11"/>
      <c r="E14" s="11"/>
    </row>
    <row r="15" spans="1:5">
      <c r="A15" s="12" t="s">
        <v>12462</v>
      </c>
      <c r="B15" s="12" t="s">
        <v>12995</v>
      </c>
      <c r="C15" s="13" t="str">
        <f>HYPERLINK("https://audio.iskcondesiretree.com/02_-_ISKCON_Swamis/ISKCON_Swamis_-_R_to_Y/His_Holiness_Radhanath_Swami/Lectures/00_-_Year_wise/Devotional_Nectar_-_1989/1989-014_Marriage_In_Krishna_Consciousness_Lecture_Mumbai_-_16-07-89_IDesireTree.mp3", "1989-014_Marriage_In_Krishna_Consciousness_Lecture_Mumbai_-_16-07-89_IDesireTree.mp3")</f>
        <v>1989-014_Marriage_In_Krishna_Consciousness_Lecture_Mumbai_-_16-07-89_IDesireTree.mp3</v>
      </c>
      <c r="D15" s="11"/>
      <c r="E15" s="11"/>
    </row>
    <row r="16" spans="1:5">
      <c r="A16" s="12" t="s">
        <v>12462</v>
      </c>
      <c r="B16" s="12" t="s">
        <v>12996</v>
      </c>
      <c r="C16" s="13" t="str">
        <f>HYPERLINK("https://audio.iskcondesiretree.com/02_-_ISKCON_Swamis/ISKCON_Swamis_-_R_to_Y/His_Holiness_Radhanath_Swami/Lectures/00_-_Year_wise/Devotional_Nectar_-_1989/1989-015_Headline_In_Newspaper_SB-01_02_08_Mumbai_-_Radhanath_Swami_1989-07-17_IDesireTree.mp3", "1989-015_Headline_In_Newspaper_SB-01_02_08_Mumbai_-_Radhanath_Swami_1989-07-17_IDesireTree.mp3")</f>
        <v>1989-015_Headline_In_Newspaper_SB-01_02_08_Mumbai_-_Radhanath_Swami_1989-07-17_IDesireTree.mp3</v>
      </c>
      <c r="D16" s="11"/>
      <c r="E16" s="11"/>
    </row>
    <row r="17" spans="1:5">
      <c r="A17" s="12" t="s">
        <v>12462</v>
      </c>
      <c r="B17" s="12" t="s">
        <v>12997</v>
      </c>
      <c r="C17" s="13" t="str">
        <f>HYPERLINK("https://audio.iskcondesiretree.com/02_-_ISKCON_Swamis/ISKCON_Swamis_-_R_to_Y/His_Holiness_Radhanath_Swami/Lectures/00_-_Year_wise/Devotional_Nectar_-_1989/1989-016_Sanatan_Goswami_Disappearance_Day_Lecture_Mumbai_-_18-07-89_IDesireTree.mp3", "1989-016_Sanatan_Goswami_Disappearance_Day_Lecture_Mumbai_-_18-07-89_IDesireTree.mp3")</f>
        <v>1989-016_Sanatan_Goswami_Disappearance_Day_Lecture_Mumbai_-_18-07-89_IDesireTree.mp3</v>
      </c>
      <c r="D17" s="11"/>
      <c r="E17" s="11"/>
    </row>
    <row r="18" spans="1:5">
      <c r="A18" s="12" t="s">
        <v>12462</v>
      </c>
      <c r="B18" s="12" t="s">
        <v>12998</v>
      </c>
      <c r="C18" s="13" t="str">
        <f>HYPERLINK("https://audio.iskcondesiretree.com/02_-_ISKCON_Swamis/ISKCON_Swamis_-_R_to_Y/His_Holiness_Radhanath_Swami/Lectures/00_-_Year_wise/Devotional_Nectar_-_1989/1989-017_Take_The_Medicine_BG-05_20_Mumbai_-_Radhanath_Swami_1989-07-20_IDesireTree.mp3", "1989-017_Take_The_Medicine_BG-05_20_Mumbai_-_Radhanath_Swami_1989-07-20_IDesireTree.mp3")</f>
        <v>1989-017_Take_The_Medicine_BG-05_20_Mumbai_-_Radhanath_Swami_1989-07-20_IDesireTree.mp3</v>
      </c>
      <c r="D18" s="11"/>
      <c r="E18" s="11"/>
    </row>
    <row r="19" spans="1:5">
      <c r="A19" s="12" t="s">
        <v>12462</v>
      </c>
      <c r="B19" s="12" t="s">
        <v>12999</v>
      </c>
      <c r="C19" s="13" t="str">
        <f>HYPERLINK("https://audio.iskcondesiretree.com/02_-_ISKCON_Swamis/ISKCON_Swamis_-_R_to_Y/His_Holiness_Radhanath_Swami/Lectures/00_-_Year_wise/Devotional_Nectar_-_1989/1989-018_Story_of_Gajendra_SB-01_13_43_Mumbai_-_Radhanath_Swami_1989-07-21_IDesireTree.mp3", "1989-018_Story_of_Gajendra_SB-01_13_43_Mumbai_-_Radhanath_Swami_1989-07-21_IDesireTree.mp3")</f>
        <v>1989-018_Story_of_Gajendra_SB-01_13_43_Mumbai_-_Radhanath_Swami_1989-07-21_IDesireTree.mp3</v>
      </c>
      <c r="D19" s="11"/>
      <c r="E19" s="11"/>
    </row>
    <row r="20" spans="1:5">
      <c r="A20" s="12" t="s">
        <v>12462</v>
      </c>
      <c r="B20" s="12" t="s">
        <v>13000</v>
      </c>
      <c r="C20" s="13" t="str">
        <f>HYPERLINK("https://audio.iskcondesiretree.com/02_-_ISKCON_Swamis/ISKCON_Swamis_-_R_to_Y/His_Holiness_Radhanath_Swami/Lectures/00_-_Year_wise/Devotional_Nectar_-_1989/1989-019_How_To_Be_Krishna_Consciousness_Q%26A_Mumbai_-_Radhanath_Swami__1989-07-21_IDesireTree.mp3", "1989-019_How_To_Be_Krishna_Consciousness_Q%26A_Mumbai_-_Radhanath_Swami__1989-07-21_IDesireTree.mp3")</f>
        <v>1989-019_How_To_Be_Krishna_Consciousness_Q%26A_Mumbai_-_Radhanath_Swami__1989-07-21_IDesireTree.mp3</v>
      </c>
      <c r="D20" s="11"/>
      <c r="E20" s="11"/>
    </row>
    <row r="21" spans="1:5">
      <c r="A21" s="12" t="s">
        <v>12462</v>
      </c>
      <c r="B21" s="12" t="s">
        <v>13001</v>
      </c>
      <c r="C21" s="13" t="str">
        <f>HYPERLINK("https://audio.iskcondesiretree.com/02_-_ISKCON_Swamis/ISKCON_Swamis_-_R_to_Y/His_Holiness_Radhanath_Swami/Lectures/00_-_Year_wise/Devotional_Nectar_-_1989/1989-020_Punch_Your_Way_Back_Home_Back_To_Godhead_SB-_07_11_16_Mumbai_-_26-9-89_IDesireTree.mp3", "1989-020_Punch_Your_Way_Back_Home_Back_To_Godhead_SB-_07_11_16_Mumbai_-_26-9-89_IDesireTree.mp3")</f>
        <v>1989-020_Punch_Your_Way_Back_Home_Back_To_Godhead_SB-_07_11_16_Mumbai_-_26-9-89_IDesireTree.mp3</v>
      </c>
      <c r="D21" s="11"/>
      <c r="E21" s="11"/>
    </row>
    <row r="22" spans="1:5">
      <c r="A22" s="12" t="s">
        <v>12462</v>
      </c>
      <c r="B22" s="12" t="s">
        <v>13002</v>
      </c>
      <c r="C22" s="13" t="str">
        <f>HYPERLINK("https://audio.iskcondesiretree.com/02_-_ISKCON_Swamis/ISKCON_Swamis_-_R_to_Y/His_Holiness_Radhanath_Swami/Lectures/00_-_Year_wise/Devotional_Nectar_-_1989/1989-021_Honesty_Among_Thieves_Lecture_Mumbai_-_Radhanath_Swami_1989-07-23_IDesireTree.mp3", "1989-021_Honesty_Among_Thieves_Lecture_Mumbai_-_Radhanath_Swami_1989-07-23_IDesireTree.mp3")</f>
        <v>1989-021_Honesty_Among_Thieves_Lecture_Mumbai_-_Radhanath_Swami_1989-07-23_IDesireTree.mp3</v>
      </c>
      <c r="D22" s="11"/>
      <c r="E22" s="11"/>
    </row>
    <row r="23" spans="1:5">
      <c r="A23" s="12" t="s">
        <v>12462</v>
      </c>
      <c r="B23" s="12" t="s">
        <v>13003</v>
      </c>
      <c r="C23" s="13" t="str">
        <f>HYPERLINK("https://audio.iskcondesiretree.com/02_-_ISKCON_Swamis/ISKCON_Swamis_-_R_to_Y/His_Holiness_Radhanath_Swami/Lectures/00_-_Year_wise/Devotional_Nectar_-_1989/1989-022_Why_Is_Krishna_Dancing_With_Gopis_Mumbai_-_Radhanath_Swami_1989-07-23_IDesireTree.mp3", "1989-022_Why_Is_Krishna_Dancing_With_Gopis_Mumbai_-_Radhanath_Swami_1989-07-23_IDesireTree.mp3")</f>
        <v>1989-022_Why_Is_Krishna_Dancing_With_Gopis_Mumbai_-_Radhanath_Swami_1989-07-23_IDesireTree.mp3</v>
      </c>
      <c r="D23" s="11"/>
      <c r="E23" s="11"/>
    </row>
    <row r="24" spans="1:5">
      <c r="A24" s="12" t="s">
        <v>12462</v>
      </c>
      <c r="B24" s="12" t="s">
        <v>13004</v>
      </c>
      <c r="C24" s="13" t="str">
        <f>HYPERLINK("https://audio.iskcondesiretree.com/02_-_ISKCON_Swamis/ISKCON_Swamis_-_R_to_Y/His_Holiness_Radhanath_Swami/Lectures/00_-_Year_wise/Devotional_Nectar_-_1989/1989-023_Krishna_Knows_What_Is_Best_for_You_BG-07_19_Mumbai_-_30-07-89_IDesireTree.mp3", "1989-023_Krishna_Knows_What_Is_Best_for_You_BG-07_19_Mumbai_-_30-07-89_IDesireTree.mp3")</f>
        <v>1989-023_Krishna_Knows_What_Is_Best_for_You_BG-07_19_Mumbai_-_30-07-89_IDesireTree.mp3</v>
      </c>
      <c r="D24" s="11"/>
      <c r="E24" s="11"/>
    </row>
    <row r="25" spans="1:5">
      <c r="A25" s="12" t="s">
        <v>12462</v>
      </c>
      <c r="B25" s="12" t="s">
        <v>13005</v>
      </c>
      <c r="C25" s="13" t="str">
        <f>HYPERLINK("https://audio.iskcondesiretree.com/02_-_ISKCON_Swamis/ISKCON_Swamis_-_R_to_Y/His_Holiness_Radhanath_Swami/Lectures/00_-_Year_wise/Devotional_Nectar_-_1989/1989-024_Responsible_Citizens_Lecture_Mumbai_-_Radhanath_Swami_1989-07-31_IDesireTree.mp3", "1989-024_Responsible_Citizens_Lecture_Mumbai_-_Radhanath_Swami_1989-07-31_IDesireTree.mp3")</f>
        <v>1989-024_Responsible_Citizens_Lecture_Mumbai_-_Radhanath_Swami_1989-07-31_IDesireTree.mp3</v>
      </c>
      <c r="D25" s="11"/>
      <c r="E25" s="11"/>
    </row>
    <row r="26" spans="1:5">
      <c r="A26" s="12" t="s">
        <v>12462</v>
      </c>
      <c r="B26" s="12" t="s">
        <v>13006</v>
      </c>
      <c r="C26" s="13" t="str">
        <f>HYPERLINK("https://audio.iskcondesiretree.com/02_-_ISKCON_Swamis/ISKCON_Swamis_-_R_to_Y/His_Holiness_Radhanath_Swami/Lectures/00_-_Year_wise/Devotional_Nectar_-_1989/1989-025_Humble_And_Tolerant_SB-07_10_5_Mumbai_-_Radhanath_Swami_1989-08-03_IDesireTree.mp3", "1989-025_Humble_And_Tolerant_SB-07_10_5_Mumbai_-_Radhanath_Swami_1989-08-03_IDesireTree.mp3")</f>
        <v>1989-025_Humble_And_Tolerant_SB-07_10_5_Mumbai_-_Radhanath_Swami_1989-08-03_IDesireTree.mp3</v>
      </c>
      <c r="D26" s="11"/>
      <c r="E26" s="11"/>
    </row>
    <row r="27" spans="1:5">
      <c r="A27" s="12" t="s">
        <v>12462</v>
      </c>
      <c r="B27" s="12" t="e">
        <v>#VALUE!</v>
      </c>
      <c r="C27" s="13" t="e">
        <f>HYPERLINK("https://audio.iskcondesiretree.com/02_-_ISKCON_Swamis/ISKCON_Swamis_-_R_to_Y/His_Holiness_Radhanath_Swami/Lectures/00_-_Year_wise/Devotional_Nectar_-_1989/1989-026_I_Preserve_What_You_Have_And_Provide_What_You_Lack_SB-07_10_06_Mumbai_-_06-08-89_IDesireTre"&amp;"e.mp3", "1989-026_I_Preserve_What_You_Have_And_Provide_What_You_Lack_SB-07_10_06_Mumbai_-_06-08-89_IDesireTree.mp3")</f>
        <v>#VALUE!</v>
      </c>
      <c r="D27" s="11"/>
      <c r="E27" s="11"/>
    </row>
    <row r="28" spans="1:5">
      <c r="A28" s="12" t="s">
        <v>12462</v>
      </c>
      <c r="B28" s="12" t="s">
        <v>13007</v>
      </c>
      <c r="C28" s="13" t="str">
        <f>HYPERLINK("https://audio.iskcondesiretree.com/02_-_ISKCON_Swamis/ISKCON_Swamis_-_R_to_Y/His_Holiness_Radhanath_Swami/Lectures/00_-_Year_wise/Devotional_Nectar_-_1989/1989-027_Understand_Your_Position_SB-01_09_30_Mumbai_-_Radhanath_Swami_1989-08-08_IDesireTree.mp3", "1989-027_Understand_Your_Position_SB-01_09_30_Mumbai_-_Radhanath_Swami_1989-08-08_IDesireTree.mp3")</f>
        <v>1989-027_Understand_Your_Position_SB-01_09_30_Mumbai_-_Radhanath_Swami_1989-08-08_IDesireTree.mp3</v>
      </c>
      <c r="D28" s="11"/>
      <c r="E28" s="11"/>
    </row>
    <row r="29" spans="1:5">
      <c r="A29" s="12" t="s">
        <v>12462</v>
      </c>
      <c r="B29" s="12" t="s">
        <v>13008</v>
      </c>
      <c r="C29" s="13" t="str">
        <f>HYPERLINK("https://audio.iskcondesiretree.com/02_-_ISKCON_Swamis/ISKCON_Swamis_-_R_to_Y/His_Holiness_Radhanath_Swami/Lectures/00_-_Year_wise/Devotional_Nectar_-_1989/1989-027_Understand_Your_Position_SB-07_10_07_Mumbai_-_08-08-89_IDesireTree.mp3", "1989-027_Understand_Your_Position_SB-07_10_07_Mumbai_-_08-08-89_IDesireTree.mp3")</f>
        <v>1989-027_Understand_Your_Position_SB-07_10_07_Mumbai_-_08-08-89_IDesireTree.mp3</v>
      </c>
      <c r="D29" s="11"/>
      <c r="E29" s="11"/>
    </row>
    <row r="30" spans="1:5">
      <c r="A30" s="12" t="s">
        <v>12462</v>
      </c>
      <c r="B30" s="12" t="s">
        <v>13009</v>
      </c>
      <c r="C30" s="13" t="str">
        <f>HYPERLINK("https://audio.iskcondesiretree.com/02_-_ISKCON_Swamis/ISKCON_Swamis_-_R_to_Y/His_Holiness_Radhanath_Swami/Lectures/00_-_Year_wise/Devotional_Nectar_-_1989/1989-028_The_Disrobing_Of_Draupadi_BG-04_11_Mumbai_-_Radhanath_Swami_1989-08-20_new_IDesireTree.mp3", "1989-028_The_Disrobing_Of_Draupadi_BG-04_11_Mumbai_-_Radhanath_Swami_1989-08-20_new_IDesireTree.mp3")</f>
        <v>1989-028_The_Disrobing_Of_Draupadi_BG-04_11_Mumbai_-_Radhanath_Swami_1989-08-20_new_IDesireTree.mp3</v>
      </c>
      <c r="D30" s="11"/>
      <c r="E30" s="11"/>
    </row>
    <row r="31" spans="1:5">
      <c r="A31" s="12" t="s">
        <v>12462</v>
      </c>
      <c r="B31" s="12" t="s">
        <v>13010</v>
      </c>
      <c r="C31" s="13" t="str">
        <f>HYPERLINK("https://audio.iskcondesiretree.com/02_-_ISKCON_Swamis/ISKCON_Swamis_-_R_to_Y/His_Holiness_Radhanath_Swami/Lectures/00_-_Year_wise/Devotional_Nectar_-_1989/1989-029_The_Way_To_Ultimate_Happiness_Lecture_At_Ur_Champaks_Res_Mumbai_-_21-08-89_IDesireTree.mp3", "1989-029_The_Way_To_Ultimate_Happiness_Lecture_At_Ur_Champaks_Res_Mumbai_-_21-08-89_IDesireTree.mp3")</f>
        <v>1989-029_The_Way_To_Ultimate_Happiness_Lecture_At_Ur_Champaks_Res_Mumbai_-_21-08-89_IDesireTree.mp3</v>
      </c>
      <c r="D31" s="11"/>
      <c r="E31" s="11"/>
    </row>
    <row r="32" spans="1:5">
      <c r="A32" s="12" t="s">
        <v>12462</v>
      </c>
      <c r="B32" s="12" t="s">
        <v>13011</v>
      </c>
      <c r="C32" s="13" t="str">
        <f>HYPERLINK("https://audio.iskcondesiretree.com/02_-_ISKCON_Swamis/ISKCON_Swamis_-_R_to_Y/His_Holiness_Radhanath_Swami/Lectures/00_-_Year_wise/Devotional_Nectar_-_1989/1989-030_The_Meaning_Of_Religion_BG-04_07-09_Mumbai_-_Radhanath_Swami_1989-08-22_IDesireTree.mp3", "1989-030_The_Meaning_Of_Religion_BG-04_07-09_Mumbai_-_Radhanath_Swami_1989-08-22_IDesireTree.mp3")</f>
        <v>1989-030_The_Meaning_Of_Religion_BG-04_07-09_Mumbai_-_Radhanath_Swami_1989-08-22_IDesireTree.mp3</v>
      </c>
      <c r="D32" s="11"/>
      <c r="E32" s="11"/>
    </row>
    <row r="33" spans="1:5">
      <c r="A33" s="12" t="s">
        <v>12462</v>
      </c>
      <c r="B33" s="12" t="s">
        <v>13012</v>
      </c>
      <c r="C33" s="13" t="str">
        <f>HYPERLINK("https://audio.iskcondesiretree.com/02_-_ISKCON_Swamis/ISKCON_Swamis_-_R_to_Y/His_Holiness_Radhanath_Swami/Lectures/00_-_Year_wise/Devotional_Nectar_-_1989/1989-031_Real_Krishna_Consciousness_SB-07_10_10_Mumbai_-_Radhanath_Swami_1989-08-22_IDesireTree.mp3", "1989-031_Real_Krishna_Consciousness_SB-07_10_10_Mumbai_-_Radhanath_Swami_1989-08-22_IDesireTree.mp3")</f>
        <v>1989-031_Real_Krishna_Consciousness_SB-07_10_10_Mumbai_-_Radhanath_Swami_1989-08-22_IDesireTree.mp3</v>
      </c>
      <c r="D33" s="11"/>
      <c r="E33" s="11"/>
    </row>
    <row r="34" spans="1:5">
      <c r="A34" s="12" t="s">
        <v>12462</v>
      </c>
      <c r="B34" s="12" t="s">
        <v>13013</v>
      </c>
      <c r="C34" s="13" t="str">
        <f>HYPERLINK("https://audio.iskcondesiretree.com/02_-_ISKCON_Swamis/ISKCON_Swamis_-_R_to_Y/His_Holiness_Radhanath_Swami/Lectures/00_-_Year_wise/Devotional_Nectar_-_1989/1989-032_Self_Management_Lecture_Mumbai_-_Radhanath_Swami_1989-08-23_IDesireTree.mp3", "1989-032_Self_Management_Lecture_Mumbai_-_Radhanath_Swami_1989-08-23_IDesireTree.mp3")</f>
        <v>1989-032_Self_Management_Lecture_Mumbai_-_Radhanath_Swami_1989-08-23_IDesireTree.mp3</v>
      </c>
      <c r="D34" s="11"/>
      <c r="E34" s="11"/>
    </row>
    <row r="35" spans="1:5">
      <c r="A35" s="12" t="s">
        <v>12462</v>
      </c>
      <c r="B35" s="12" t="s">
        <v>13014</v>
      </c>
      <c r="C35" s="13" t="str">
        <f>HYPERLINK("https://audio.iskcondesiretree.com/02_-_ISKCON_Swamis/ISKCON_Swamis_-_R_to_Y/His_Holiness_Radhanath_Swami/Lectures/00_-_Year_wise/Devotional_Nectar_-_1989/1989-033_Devotee_Is_Equipoised_SB-07_10_12_Mumbai_-_Radhanath_Swami_1989-08-24_IDesireTree.mp3", "1989-033_Devotee_Is_Equipoised_SB-07_10_12_Mumbai_-_Radhanath_Swami_1989-08-24_IDesireTree.mp3")</f>
        <v>1989-033_Devotee_Is_Equipoised_SB-07_10_12_Mumbai_-_Radhanath_Swami_1989-08-24_IDesireTree.mp3</v>
      </c>
      <c r="D35" s="11"/>
      <c r="E35" s="11"/>
    </row>
    <row r="36" spans="1:5">
      <c r="A36" s="12" t="s">
        <v>12462</v>
      </c>
      <c r="B36" s="12" t="s">
        <v>13015</v>
      </c>
      <c r="C36" s="13" t="str">
        <f>HYPERLINK("https://audio.iskcondesiretree.com/02_-_ISKCON_Swamis/ISKCON_Swamis_-_R_to_Y/His_Holiness_Radhanath_Swami/Lectures/00_-_Year_wise/Devotional_Nectar_-_1989/1989-034_Your%27s_Ever_Well_Wisher_Lecture_Mumbai_-_Radhanath_Swami_1989-08-25_IDesireTree.mp3", "1989-034_Your%27s_Ever_Well_Wisher_Lecture_Mumbai_-_Radhanath_Swami_1989-08-25_IDesireTree.mp3")</f>
        <v>1989-034_Your%27s_Ever_Well_Wisher_Lecture_Mumbai_-_Radhanath_Swami_1989-08-25_IDesireTree.mp3</v>
      </c>
      <c r="D36" s="11"/>
      <c r="E36" s="11"/>
    </row>
    <row r="37" spans="1:5">
      <c r="A37" s="12" t="s">
        <v>12462</v>
      </c>
      <c r="B37" s="12" t="s">
        <v>13016</v>
      </c>
      <c r="C37" s="13" t="str">
        <f>HYPERLINK("https://audio.iskcondesiretree.com/02_-_ISKCON_Swamis/ISKCON_Swamis_-_R_to_Y/His_Holiness_Radhanath_Swami/Lectures/00_-_Year_wise/Devotional_Nectar_-_1989/1989-035_Lord%27s_Inconceivable_Ways_Lecture_Mumbai_-_Radhanath_Swami_1989-08-25_IDesireTree.mp3", "1989-035_Lord%27s_Inconceivable_Ways_Lecture_Mumbai_-_Radhanath_Swami_1989-08-25_IDesireTree.mp3")</f>
        <v>1989-035_Lord%27s_Inconceivable_Ways_Lecture_Mumbai_-_Radhanath_Swami_1989-08-25_IDesireTree.mp3</v>
      </c>
      <c r="D37" s="11"/>
      <c r="E37" s="11"/>
    </row>
    <row r="38" spans="1:5">
      <c r="A38" s="12" t="s">
        <v>12462</v>
      </c>
      <c r="B38" s="12" t="s">
        <v>13017</v>
      </c>
      <c r="C38" s="13" t="str">
        <f>HYPERLINK("https://audio.iskcondesiretree.com/02_-_ISKCON_Swamis/ISKCON_Swamis_-_R_to_Y/His_Holiness_Radhanath_Swami/Lectures/00_-_Year_wise/Devotional_Nectar_-_1989/1989-036_How_To_Please_Krishna_SB-07_10_14_Mumbai_-_Radhanath_Swami_1989-08-28_IDesireTree.mp3", "1989-036_How_To_Please_Krishna_SB-07_10_14_Mumbai_-_Radhanath_Swami_1989-08-28_IDesireTree.mp3")</f>
        <v>1989-036_How_To_Please_Krishna_SB-07_10_14_Mumbai_-_Radhanath_Swami_1989-08-28_IDesireTree.mp3</v>
      </c>
      <c r="D38" s="11"/>
      <c r="E38" s="11"/>
    </row>
    <row r="39" spans="1:5">
      <c r="A39" s="12" t="s">
        <v>12462</v>
      </c>
      <c r="B39" s="12" t="s">
        <v>13018</v>
      </c>
      <c r="C39" s="13" t="str">
        <f>HYPERLINK("https://audio.iskcondesiretree.com/02_-_ISKCON_Swamis/ISKCON_Swamis_-_R_to_Y/His_Holiness_Radhanath_Swami/Lectures/00_-_Year_wise/Devotional_Nectar_-_1989/1989-037_Forgiveness_Lecture_Mumbai_-_Radhanath_Swami_1989-08-29_IDesireTree.mp3", "1989-037_Forgiveness_Lecture_Mumbai_-_Radhanath_Swami_1989-08-29_IDesireTree.mp3")</f>
        <v>1989-037_Forgiveness_Lecture_Mumbai_-_Radhanath_Swami_1989-08-29_IDesireTree.mp3</v>
      </c>
      <c r="D39" s="11"/>
      <c r="E39" s="11"/>
    </row>
    <row r="40" spans="1:5">
      <c r="A40" s="12" t="s">
        <v>12462</v>
      </c>
      <c r="B40" s="12" t="s">
        <v>13019</v>
      </c>
      <c r="C40" s="13" t="str">
        <f>HYPERLINK("https://audio.iskcondesiretree.com/02_-_ISKCON_Swamis/ISKCON_Swamis_-_R_to_Y/His_Holiness_Radhanath_Swami/Lectures/00_-_Year_wise/Devotional_Nectar_-_1989/1989-038_Who_Is_Most_dear_To_Krishna_BG-18_68_Mumbai_-_29-08-89_IDesireTree.mp3", "1989-038_Who_Is_Most_dear_To_Krishna_BG-18_68_Mumbai_-_29-08-89_IDesireTree.mp3")</f>
        <v>1989-038_Who_Is_Most_dear_To_Krishna_BG-18_68_Mumbai_-_29-08-89_IDesireTree.mp3</v>
      </c>
      <c r="D40" s="11"/>
      <c r="E40" s="11"/>
    </row>
    <row r="41" spans="1:5">
      <c r="A41" s="12" t="s">
        <v>12462</v>
      </c>
      <c r="B41" s="12" t="s">
        <v>13020</v>
      </c>
      <c r="C41" s="13" t="str">
        <f>HYPERLINK("https://audio.iskcondesiretree.com/02_-_ISKCON_Swamis/ISKCON_Swamis_-_R_to_Y/His_Holiness_Radhanath_Swami/Lectures/00_-_Year_wise/Devotional_Nectar_-_1989/1989-039_The_Twelve_Steps_Of_Alcoholic_Anonymous_Lecture_Mumbai_-_31-08-89_IDesireTree.mp3", "1989-039_The_Twelve_Steps_Of_Alcoholic_Anonymous_Lecture_Mumbai_-_31-08-89_IDesireTree.mp3")</f>
        <v>1989-039_The_Twelve_Steps_Of_Alcoholic_Anonymous_Lecture_Mumbai_-_31-08-89_IDesireTree.mp3</v>
      </c>
      <c r="D41" s="11"/>
      <c r="E41" s="11"/>
    </row>
    <row r="42" spans="1:5">
      <c r="A42" s="12" t="s">
        <v>12462</v>
      </c>
      <c r="B42" s="12" t="s">
        <v>13021</v>
      </c>
      <c r="C42" s="13" t="str">
        <f>HYPERLINK("https://audio.iskcondesiretree.com/02_-_ISKCON_Swamis/ISKCON_Swamis_-_R_to_Y/His_Holiness_Radhanath_Swami/Lectures/00_-_Year_wise/Devotional_Nectar_-_1989/1989-040_Stop_Trusting_Your_Mind_Lecture_Mumbai_-_Radhanath_Swami_1989-09-01_IDesireTree.mp3", "1989-040_Stop_Trusting_Your_Mind_Lecture_Mumbai_-_Radhanath_Swami_1989-09-01_IDesireTree.mp3")</f>
        <v>1989-040_Stop_Trusting_Your_Mind_Lecture_Mumbai_-_Radhanath_Swami_1989-09-01_IDesireTree.mp3</v>
      </c>
      <c r="D42" s="11"/>
      <c r="E42" s="11"/>
    </row>
    <row r="43" spans="1:5">
      <c r="A43" s="12" t="s">
        <v>12462</v>
      </c>
      <c r="B43" s="12" t="s">
        <v>13022</v>
      </c>
      <c r="C43" s="13" t="str">
        <f>HYPERLINK("https://audio.iskcondesiretree.com/02_-_ISKCON_Swamis/ISKCON_Swamis_-_R_to_Y/His_Holiness_Radhanath_Swami/Lectures/00_-_Year_wise/Devotional_Nectar_-_1989/1989-041_The_Master_Never_Leaves_His_Disciples_Lecture_Mumbai_-_03-09-89_IDesireTree.mp3", "1989-041_The_Master_Never_Leaves_His_Disciples_Lecture_Mumbai_-_03-09-89_IDesireTree.mp3")</f>
        <v>1989-041_The_Master_Never_Leaves_His_Disciples_Lecture_Mumbai_-_03-09-89_IDesireTree.mp3</v>
      </c>
      <c r="D43" s="11"/>
      <c r="E43" s="11"/>
    </row>
    <row r="44" spans="1:5">
      <c r="A44" s="12" t="s">
        <v>12462</v>
      </c>
      <c r="B44" s="12" t="e">
        <v>#VALUE!</v>
      </c>
      <c r="C44" s="13" t="e">
        <f>HYPERLINK("https://audio.iskcondesiretree.com/02_-_ISKCON_Swamis/ISKCON_Swamis_-_R_to_Y/His_Holiness_Radhanath_Swami/Lectures/00_-_Year_wise/Devotional_Nectar_-_1989/1989-042_Parents_Don%27t_Like_Their_Children_To_Mix_With_Sadhus_BG-3_9_Mumbai_-_03-09-89_IDesireTree"&amp;".mp3", "1989-042_Parents_Don%27t_Like_Their_Children_To_Mix_With_Sadhus_BG-3_9_Mumbai_-_03-09-89_IDesireTree.mp3")</f>
        <v>#VALUE!</v>
      </c>
      <c r="D44" s="11"/>
      <c r="E44" s="11"/>
    </row>
    <row r="45" spans="1:5">
      <c r="A45" s="12" t="s">
        <v>12462</v>
      </c>
      <c r="B45" s="12" t="s">
        <v>13023</v>
      </c>
      <c r="C45" s="13" t="str">
        <f>HYPERLINK("https://audio.iskcondesiretree.com/02_-_ISKCON_Swamis/ISKCON_Swamis_-_R_to_Y/His_Holiness_Radhanath_Swami/Lectures/00_-_Year_wise/Devotional_Nectar_-_1989/1989-043_We_Are_Never_Safe_In_Material_World_Lecture_Mumbai_-_07-09-89_IDesireTree.mp3", "1989-043_We_Are_Never_Safe_In_Material_World_Lecture_Mumbai_-_07-09-89_IDesireTree.mp3")</f>
        <v>1989-043_We_Are_Never_Safe_In_Material_World_Lecture_Mumbai_-_07-09-89_IDesireTree.mp3</v>
      </c>
      <c r="D45" s="11"/>
      <c r="E45" s="11"/>
    </row>
    <row r="46" spans="1:5">
      <c r="A46" s="12" t="s">
        <v>12462</v>
      </c>
      <c r="B46" s="12" t="s">
        <v>13024</v>
      </c>
      <c r="C46" s="13" t="str">
        <f>HYPERLINK("https://audio.iskcondesiretree.com/02_-_ISKCON_Swamis/ISKCON_Swamis_-_R_to_Y/His_Holiness_Radhanath_Swami/Lectures/00_-_Year_wise/Devotional_Nectar_-_1989/1989-044_Obey_Your_Spiritual_Master_Q%26A_Mumbai_-_Radhanath_Swami_1989-09-22_IDesireTree.mp3", "1989-044_Obey_Your_Spiritual_Master_Q%26A_Mumbai_-_Radhanath_Swami_1989-09-22_IDesireTree.mp3")</f>
        <v>1989-044_Obey_Your_Spiritual_Master_Q%26A_Mumbai_-_Radhanath_Swami_1989-09-22_IDesireTree.mp3</v>
      </c>
      <c r="D46" s="11"/>
      <c r="E46" s="11"/>
    </row>
    <row r="47" spans="1:5">
      <c r="A47" s="12" t="s">
        <v>12462</v>
      </c>
      <c r="B47" s="12" t="s">
        <v>13025</v>
      </c>
      <c r="C47" s="13" t="str">
        <f>HYPERLINK("https://audio.iskcondesiretree.com/02_-_ISKCON_Swamis/ISKCON_Swamis_-_R_to_Y/His_Holiness_Radhanath_Swami/Lectures/00_-_Year_wise/Devotional_Nectar_-_1989/1989-045_Differance_Between_Devotees_%26_Demigods_SB-7_10_31-35_Mumbai_-_23-09-89_IDesireTree.mp3", "1989-045_Differance_Between_Devotees_%26_Demigods_SB-7_10_31-35_Mumbai_-_23-09-89_IDesireTree.mp3")</f>
        <v>1989-045_Differance_Between_Devotees_%26_Demigods_SB-7_10_31-35_Mumbai_-_23-09-89_IDesireTree.mp3</v>
      </c>
      <c r="D47" s="11"/>
      <c r="E47" s="11"/>
    </row>
    <row r="48" spans="1:5">
      <c r="A48" s="12" t="s">
        <v>12462</v>
      </c>
      <c r="B48" s="12" t="s">
        <v>13026</v>
      </c>
      <c r="C48" s="13" t="str">
        <f>HYPERLINK("https://audio.iskcondesiretree.com/02_-_ISKCON_Swamis/ISKCON_Swamis_-_R_to_Y/His_Holiness_Radhanath_Swami/Lectures/00_-_Year_wise/Devotional_Nectar_-_1989/1989-046_Not_Bad_Not_Mad__But_Sick_Lecture_Mumbai_-_Radhanath_Swami_1989-09-23_IDesireTree.mp3", "1989-046_Not_Bad_Not_Mad__But_Sick_Lecture_Mumbai_-_Radhanath_Swami_1989-09-23_IDesireTree.mp3")</f>
        <v>1989-046_Not_Bad_Not_Mad__But_Sick_Lecture_Mumbai_-_Radhanath_Swami_1989-09-23_IDesireTree.mp3</v>
      </c>
      <c r="D48" s="11"/>
      <c r="E48" s="11"/>
    </row>
    <row r="49" spans="1:5">
      <c r="A49" s="12" t="s">
        <v>12462</v>
      </c>
      <c r="B49" s="12" t="s">
        <v>13027</v>
      </c>
      <c r="C49" s="13" t="str">
        <f>HYPERLINK("https://audio.iskcondesiretree.com/02_-_ISKCON_Swamis/ISKCON_Swamis_-_R_to_Y/His_Holiness_Radhanath_Swami/Lectures/00_-_Year_wise/Devotional_Nectar_-_1989/1989-047_Servant_Of_Krishna_BG-02_44_Mumbai_-_Radhanath_Swami_1989-09-24_IDesireTree.mp3", "1989-047_Servant_Of_Krishna_BG-02_44_Mumbai_-_Radhanath_Swami_1989-09-24_IDesireTree.mp3")</f>
        <v>1989-047_Servant_Of_Krishna_BG-02_44_Mumbai_-_Radhanath_Swami_1989-09-24_IDesireTree.mp3</v>
      </c>
      <c r="D49" s="11"/>
      <c r="E49" s="11"/>
    </row>
    <row r="50" spans="1:5">
      <c r="A50" s="12" t="s">
        <v>12462</v>
      </c>
      <c r="B50" s="12" t="s">
        <v>13028</v>
      </c>
      <c r="C50" s="13" t="str">
        <f>HYPERLINK("https://audio.iskcondesiretree.com/02_-_ISKCON_Swamis/ISKCON_Swamis_-_R_to_Y/His_Holiness_Radhanath_Swami/Lectures/00_-_Year_wise/Devotional_Nectar_-_1989/1989-048_Merciful_Like_Ganga_Jamuna_SB-07_10_36-38_Mumbai_-_Radhanath_Swami_1989-09-_IDesireTree.mp3", "1989-048_Merciful_Like_Ganga_Jamuna_SB-07_10_36-38_Mumbai_-_Radhanath_Swami_1989-09-_IDesireTree.mp3")</f>
        <v>1989-048_Merciful_Like_Ganga_Jamuna_SB-07_10_36-38_Mumbai_-_Radhanath_Swami_1989-09-_IDesireTree.mp3</v>
      </c>
      <c r="D50" s="11"/>
      <c r="E50" s="11"/>
    </row>
    <row r="51" spans="1:5">
      <c r="A51" s="12" t="s">
        <v>12462</v>
      </c>
      <c r="B51" s="12" t="s">
        <v>13029</v>
      </c>
      <c r="C51" s="13" t="str">
        <f>HYPERLINK("https://audio.iskcondesiretree.com/02_-_ISKCON_Swamis/ISKCON_Swamis_-_R_to_Y/His_Holiness_Radhanath_Swami/Lectures/00_-_Year_wise/Devotional_Nectar_-_1989/1989-049_Becoming_Peaceful_SB-08_05_47_Mumbai_-_Radhanath_Swami_1989-09-24_IDesireTree.mp3", "1989-049_Becoming_Peaceful_SB-08_05_47_Mumbai_-_Radhanath_Swami_1989-09-24_IDesireTree.mp3")</f>
        <v>1989-049_Becoming_Peaceful_SB-08_05_47_Mumbai_-_Radhanath_Swami_1989-09-24_IDesireTree.mp3</v>
      </c>
      <c r="D51" s="11"/>
      <c r="E51" s="11"/>
    </row>
    <row r="52" spans="1:5">
      <c r="A52" s="12" t="s">
        <v>12462</v>
      </c>
      <c r="B52" s="12" t="s">
        <v>13030</v>
      </c>
      <c r="C52" s="13" t="str">
        <f>HYPERLINK("https://audio.iskcondesiretree.com/02_-_ISKCON_Swamis/ISKCON_Swamis_-_R_to_Y/His_Holiness_Radhanath_Swami/Lectures/00_-_Year_wise/Devotional_Nectar_-_1989/1989-050_Hare_Krishna_-_Radhanath_Swami_IDesireTree.mp3", "1989-050_Hare_Krishna_-_Radhanath_Swami_IDesireTree.mp3")</f>
        <v>1989-050_Hare_Krishna_-_Radhanath_Swami_IDesireTree.mp3</v>
      </c>
      <c r="D52" s="11"/>
      <c r="E52" s="11"/>
    </row>
    <row r="53" spans="1:5">
      <c r="A53" s="12" t="s">
        <v>12462</v>
      </c>
      <c r="B53" s="12" t="s">
        <v>13031</v>
      </c>
      <c r="C53" s="13" t="str">
        <f>HYPERLINK("https://audio.iskcondesiretree.com/02_-_ISKCON_Swamis/ISKCON_Swamis_-_R_to_Y/His_Holiness_Radhanath_Swami/Lectures/00_-_Year_wise/Devotional_Nectar_-_1989/1989-051_Preparing_For_Death_SB-07_10_39_Mumbai_-_Radhanath_Swami_1989-09-25_IDesireTree.mp3", "1989-051_Preparing_For_Death_SB-07_10_39_Mumbai_-_Radhanath_Swami_1989-09-25_IDesireTree.mp3")</f>
        <v>1989-051_Preparing_For_Death_SB-07_10_39_Mumbai_-_Radhanath_Swami_1989-09-25_IDesireTree.mp3</v>
      </c>
      <c r="D53" s="11"/>
      <c r="E53" s="11"/>
    </row>
    <row r="54" spans="1:5">
      <c r="A54" s="12" t="s">
        <v>12462</v>
      </c>
      <c r="B54" s="12" t="s">
        <v>13032</v>
      </c>
      <c r="C54" s="13" t="str">
        <f>HYPERLINK("https://audio.iskcondesiretree.com/02_-_ISKCON_Swamis/ISKCON_Swamis_-_R_to_Y/His_Holiness_Radhanath_Swami/Lectures/00_-_Year_wise/Devotional_Nectar_-_1989/1989-052_Real_Opulence_Is_Renunciation_SB-07_11_16_Mumbai_-_26-09-89_IDesireTree.mp3", "1989-052_Real_Opulence_Is_Renunciation_SB-07_11_16_Mumbai_-_26-09-89_IDesireTree.mp3")</f>
        <v>1989-052_Real_Opulence_Is_Renunciation_SB-07_11_16_Mumbai_-_26-09-89_IDesireTree.mp3</v>
      </c>
      <c r="D54" s="11"/>
      <c r="E54" s="11"/>
    </row>
    <row r="55" spans="1:5">
      <c r="A55" s="12" t="s">
        <v>12462</v>
      </c>
      <c r="B55" s="12" t="s">
        <v>13033</v>
      </c>
      <c r="C55" s="13" t="str">
        <f>HYPERLINK("https://audio.iskcondesiretree.com/02_-_ISKCON_Swamis/ISKCON_Swamis_-_R_to_Y/His_Holiness_Radhanath_Swami/Lectures/00_-_Year_wise/Devotional_Nectar_-_1989/1989-053_Utter_Dependence_Lecture_Mumbai_-_Radhanath_Swami_1989-09-26_IDesireTree.mp3", "1989-053_Utter_Dependence_Lecture_Mumbai_-_Radhanath_Swami_1989-09-26_IDesireTree.mp3")</f>
        <v>1989-053_Utter_Dependence_Lecture_Mumbai_-_Radhanath_Swami_1989-09-26_IDesireTree.mp3</v>
      </c>
      <c r="D55" s="11"/>
      <c r="E55" s="11"/>
    </row>
    <row r="56" spans="1:5">
      <c r="A56" s="12" t="s">
        <v>12462</v>
      </c>
      <c r="B56" s="12" t="s">
        <v>13034</v>
      </c>
      <c r="C56" s="13" t="str">
        <f>HYPERLINK("https://audio.iskcondesiretree.com/02_-_ISKCON_Swamis/ISKCON_Swamis_-_R_to_Y/His_Holiness_Radhanath_Swami/Lectures/00_-_Year_wise/Devotional_Nectar_-_1989/1989-054_Punch_Your_Way_Back_Home_Back_To_Godhead_SB-07_10_40_Mumbai_-_27-09-89_IDesireTree.mp3", "1989-054_Punch_Your_Way_Back_Home_Back_To_Godhead_SB-07_10_40_Mumbai_-_27-09-89_IDesireTree.mp3")</f>
        <v>1989-054_Punch_Your_Way_Back_Home_Back_To_Godhead_SB-07_10_40_Mumbai_-_27-09-89_IDesireTree.mp3</v>
      </c>
      <c r="D56" s="11"/>
      <c r="E56" s="11"/>
    </row>
    <row r="57" spans="1:5">
      <c r="A57" s="12" t="s">
        <v>12462</v>
      </c>
      <c r="B57" s="12" t="s">
        <v>13035</v>
      </c>
      <c r="C57" s="13" t="str">
        <f>HYPERLINK("https://audio.iskcondesiretree.com/02_-_ISKCON_Swamis/ISKCON_Swamis_-_R_to_Y/His_Holiness_Radhanath_Swami/Lectures/00_-_Year_wise/Devotional_Nectar_-_1989/1989-055_Studying_Bhagavatam_SB-07_10_43-44_Mumbai_-_Radhanath_Swami_1989-09-28_IDesireTree.mp3", "1989-055_Studying_Bhagavatam_SB-07_10_43-44_Mumbai_-_Radhanath_Swami_1989-09-28_IDesireTree.mp3")</f>
        <v>1989-055_Studying_Bhagavatam_SB-07_10_43-44_Mumbai_-_Radhanath_Swami_1989-09-28_IDesireTree.mp3</v>
      </c>
      <c r="D57" s="11"/>
      <c r="E57" s="11"/>
    </row>
    <row r="58" spans="1:5">
      <c r="A58" s="12" t="s">
        <v>12462</v>
      </c>
      <c r="B58" s="12" t="s">
        <v>13036</v>
      </c>
      <c r="C58" s="13" t="str">
        <f>HYPERLINK("https://audio.iskcondesiretree.com/02_-_ISKCON_Swamis/ISKCON_Swamis_-_R_to_Y/His_Holiness_Radhanath_Swami/Lectures/00_-_Year_wise/Devotional_Nectar_-_1989/1989-056_Faith_Lecture_Mumbai_-_Radhanath_Swami_1989-09-29_IDesireTree.mp3", "1989-056_Faith_Lecture_Mumbai_-_Radhanath_Swami_1989-09-29_IDesireTree.mp3")</f>
        <v>1989-056_Faith_Lecture_Mumbai_-_Radhanath_Swami_1989-09-29_IDesireTree.mp3</v>
      </c>
      <c r="D58" s="11"/>
      <c r="E58" s="11"/>
    </row>
    <row r="59" spans="1:5">
      <c r="A59" s="12" t="s">
        <v>12462</v>
      </c>
      <c r="B59" s="12" t="s">
        <v>13037</v>
      </c>
      <c r="C59" s="13" t="str">
        <f>HYPERLINK("https://audio.iskcondesiretree.com/02_-_ISKCON_Swamis/ISKCON_Swamis_-_R_to_Y/His_Holiness_Radhanath_Swami/Lectures/00_-_Year_wise/Devotional_Nectar_-_1989/1989-057_Krishna_Reciprocates_To_Your_Desire_SB-07_01_03_Mumbai_-_29-09-89_IDesireTree.mp3", "1989-057_Krishna_Reciprocates_To_Your_Desire_SB-07_01_03_Mumbai_-_29-09-89_IDesireTree.mp3")</f>
        <v>1989-057_Krishna_Reciprocates_To_Your_Desire_SB-07_01_03_Mumbai_-_29-09-89_IDesireTree.mp3</v>
      </c>
      <c r="D59" s="11"/>
      <c r="E59" s="11"/>
    </row>
    <row r="60" spans="1:5">
      <c r="A60" s="12" t="s">
        <v>12462</v>
      </c>
      <c r="B60" s="12" t="s">
        <v>13038</v>
      </c>
      <c r="C60" s="13" t="str">
        <f>HYPERLINK("https://audio.iskcondesiretree.com/02_-_ISKCON_Swamis/ISKCON_Swamis_-_R_to_Y/His_Holiness_Radhanath_Swami/Lectures/00_-_Year_wise/Devotional_Nectar_-_1989/1989-058_In_Spiritual_World_Everything_Is_Personal_SB-03_21_07_Mumbai_-_29-09-89_IDesireTree.mp3", "1989-058_In_Spiritual_World_Everything_Is_Personal_SB-03_21_07_Mumbai_-_29-09-89_IDesireTree.mp3")</f>
        <v>1989-058_In_Spiritual_World_Everything_Is_Personal_SB-03_21_07_Mumbai_-_29-09-89_IDesireTree.mp3</v>
      </c>
      <c r="D60" s="11"/>
      <c r="E60" s="11"/>
    </row>
    <row r="61" spans="1:5">
      <c r="A61" s="12" t="s">
        <v>12462</v>
      </c>
      <c r="B61" s="12" t="s">
        <v>13039</v>
      </c>
      <c r="C61" s="13" t="str">
        <f>HYPERLINK("https://audio.iskcondesiretree.com/02_-_ISKCON_Swamis/ISKCON_Swamis_-_R_to_Y/His_Holiness_Radhanath_Swami/Lectures/00_-_Year_wise/Devotional_Nectar_-_1989/1989-059_True_Parented_Love_SB-07_10_18_Mumbai_-_Radhanath_Swami_1989-09-30_IDesireTree.mp3", "1989-059_True_Parented_Love_SB-07_10_18_Mumbai_-_Radhanath_Swami_1989-09-30_IDesireTree.mp3")</f>
        <v>1989-059_True_Parented_Love_SB-07_10_18_Mumbai_-_Radhanath_Swami_1989-09-30_IDesireTree.mp3</v>
      </c>
      <c r="D61" s="11"/>
      <c r="E61" s="11"/>
    </row>
    <row r="62" spans="1:5">
      <c r="A62" s="12" t="s">
        <v>12462</v>
      </c>
      <c r="B62" s="12" t="s">
        <v>13040</v>
      </c>
      <c r="C62" s="13" t="str">
        <f>HYPERLINK("https://audio.iskcondesiretree.com/02_-_ISKCON_Swamis/ISKCON_Swamis_-_R_to_Y/His_Holiness_Radhanath_Swami/Lectures/00_-_Year_wise/Devotional_Nectar_-_1989/1989-06-27_SB_07-12-08_-_Radhanath_Swami_New_Vrindavan.mp3", "1989-06-27_SB_07-12-08_-_Radhanath_Swami_New_Vrindavan.mp3")</f>
        <v>1989-06-27_SB_07-12-08_-_Radhanath_Swami_New_Vrindavan.mp3</v>
      </c>
      <c r="D62" s="11"/>
      <c r="E62" s="11"/>
    </row>
    <row r="63" spans="1:5">
      <c r="A63" s="12" t="s">
        <v>12462</v>
      </c>
      <c r="B63" s="12" t="s">
        <v>13041</v>
      </c>
      <c r="C63" s="13" t="str">
        <f>HYPERLINK("https://audio.iskcondesiretree.com/02_-_ISKCON_Swamis/ISKCON_Swamis_-_R_to_Y/His_Holiness_Radhanath_Swami/Lectures/00_-_Year_wise/Devotional_Nectar_-_1989/1989-060_Controlling_The_Mind_BG-06_05_Mumbai_-_Radhanath_Swami_1989-10-01_IDesireTree.mp3", "1989-060_Controlling_The_Mind_BG-06_05_Mumbai_-_Radhanath_Swami_1989-10-01_IDesireTree.mp3")</f>
        <v>1989-060_Controlling_The_Mind_BG-06_05_Mumbai_-_Radhanath_Swami_1989-10-01_IDesireTree.mp3</v>
      </c>
      <c r="D63" s="11"/>
      <c r="E63" s="11"/>
    </row>
    <row r="64" spans="1:5">
      <c r="A64" s="12" t="s">
        <v>12462</v>
      </c>
      <c r="B64" s="12" t="s">
        <v>13042</v>
      </c>
      <c r="C64" s="13" t="str">
        <f>HYPERLINK("https://audio.iskcondesiretree.com/02_-_ISKCON_Swamis/ISKCON_Swamis_-_R_to_Y/His_Holiness_Radhanath_Swami/Lectures/00_-_Year_wise/Devotional_Nectar_-_1989/1989-061_Story_Of_Sri_Sudama_VP-1_19_65_Mumbai_-_Radhanath_Swami_1989-10-01_IDesireTree.mp3", "1989-061_Story_Of_Sri_Sudama_VP-1_19_65_Mumbai_-_Radhanath_Swami_1989-10-01_IDesireTree.mp3")</f>
        <v>1989-061_Story_Of_Sri_Sudama_VP-1_19_65_Mumbai_-_Radhanath_Swami_1989-10-01_IDesireTree.mp3</v>
      </c>
      <c r="D64" s="11"/>
      <c r="E64" s="11"/>
    </row>
    <row r="65" spans="1:5">
      <c r="A65" s="12" t="s">
        <v>12462</v>
      </c>
      <c r="B65" s="12" t="s">
        <v>13043</v>
      </c>
      <c r="C65" s="13" t="str">
        <f>HYPERLINK("https://audio.iskcondesiretree.com/02_-_ISKCON_Swamis/ISKCON_Swamis_-_R_to_Y/His_Holiness_Radhanath_Swami/Lectures/00_-_Year_wise/Devotional_Nectar_-_1989/1989-062_Pride_Lecture_Mumbai_-_Radhanath_Swami_1989-10-05_IDesireTree.mp3", "1989-062_Pride_Lecture_Mumbai_-_Radhanath_Swami_1989-10-05_IDesireTree.mp3")</f>
        <v>1989-062_Pride_Lecture_Mumbai_-_Radhanath_Swami_1989-10-05_IDesireTree.mp3</v>
      </c>
      <c r="D65" s="11"/>
      <c r="E65" s="11"/>
    </row>
    <row r="66" spans="1:5">
      <c r="A66" s="12" t="s">
        <v>12462</v>
      </c>
      <c r="B66" s="12" t="s">
        <v>13044</v>
      </c>
      <c r="C66" s="13" t="str">
        <f>HYPERLINK("https://audio.iskcondesiretree.com/02_-_ISKCON_Swamis/ISKCON_Swamis_-_R_to_Y/His_Holiness_Radhanath_Swami/Lectures/00_-_Year_wise/Devotional_Nectar_-_1989/1989-063_Will_You_Be_A_Kitten_Or_Rat_BG-11_36_Mumbai_-_Radhanath_Swami_1989-10-05_IDesireTree.mp3", "1989-063_Will_You_Be_A_Kitten_Or_Rat_BG-11_36_Mumbai_-_Radhanath_Swami_1989-10-05_IDesireTree.mp3")</f>
        <v>1989-063_Will_You_Be_A_Kitten_Or_Rat_BG-11_36_Mumbai_-_Radhanath_Swami_1989-10-05_IDesireTree.mp3</v>
      </c>
      <c r="D66" s="11"/>
      <c r="E66" s="11"/>
    </row>
    <row r="67" spans="1:5">
      <c r="A67" s="12" t="s">
        <v>12462</v>
      </c>
      <c r="B67" s="12" t="s">
        <v>13045</v>
      </c>
      <c r="C67" s="13" t="str">
        <f>HYPERLINK("https://audio.iskcondesiretree.com/02_-_ISKCON_Swamis/ISKCON_Swamis_-_R_to_Y/His_Holiness_Radhanath_Swami/Lectures/00_-_Year_wise/Devotional_Nectar_-_1989/1989-064_Krishna_Consciousness_For_Everyone_Lecture_Mumbai_-_06-10-89_IDesireTree.mp3", "1989-064_Krishna_Consciousness_For_Everyone_Lecture_Mumbai_-_06-10-89_IDesireTree.mp3")</f>
        <v>1989-064_Krishna_Consciousness_For_Everyone_Lecture_Mumbai_-_06-10-89_IDesireTree.mp3</v>
      </c>
      <c r="D67" s="11"/>
      <c r="E67" s="11"/>
    </row>
    <row r="68" spans="1:5">
      <c r="A68" s="12" t="s">
        <v>12462</v>
      </c>
      <c r="B68" s="12" t="s">
        <v>13046</v>
      </c>
      <c r="C68" s="13" t="str">
        <f>HYPERLINK("https://audio.iskcondesiretree.com/02_-_ISKCON_Swamis/ISKCON_Swamis_-_R_to_Y/His_Holiness_Radhanath_Swami/Lectures/00_-_Year_wise/Devotional_Nectar_-_1989/1989-065_Entering_The_Supreme_Mystery_SB-07_10_50_Mumbai_-_6-10-89_IDesireTree.mp3", "1989-065_Entering_The_Supreme_Mystery_SB-07_10_50_Mumbai_-_6-10-89_IDesireTree.mp3")</f>
        <v>1989-065_Entering_The_Supreme_Mystery_SB-07_10_50_Mumbai_-_6-10-89_IDesireTree.mp3</v>
      </c>
      <c r="D68" s="11"/>
      <c r="E68" s="11"/>
    </row>
    <row r="69" spans="1:5">
      <c r="A69" s="12" t="s">
        <v>12462</v>
      </c>
      <c r="B69" s="12" t="s">
        <v>13047</v>
      </c>
      <c r="C69" s="13" t="str">
        <f>HYPERLINK("https://audio.iskcondesiretree.com/02_-_ISKCON_Swamis/ISKCON_Swamis_-_R_to_Y/His_Holiness_Radhanath_Swami/Lectures/00_-_Year_wise/Devotional_Nectar_-_1989/1989-066_Overcoming_Lust_Lecture_Mumbai_-_Radhanath_Swami_1989-10-07_IDesireTree.mp3", "1989-066_Overcoming_Lust_Lecture_Mumbai_-_Radhanath_Swami_1989-10-07_IDesireTree.mp3")</f>
        <v>1989-066_Overcoming_Lust_Lecture_Mumbai_-_Radhanath_Swami_1989-10-07_IDesireTree.mp3</v>
      </c>
      <c r="D69" s="11"/>
      <c r="E69" s="11"/>
    </row>
    <row r="70" spans="1:5">
      <c r="A70" s="12" t="s">
        <v>12462</v>
      </c>
      <c r="B70" s="12" t="s">
        <v>13048</v>
      </c>
      <c r="C70" s="13" t="str">
        <f>HYPERLINK("https://audio.iskcondesiretree.com/02_-_ISKCON_Swamis/ISKCON_Swamis_-_R_to_Y/His_Holiness_Radhanath_Swami/Lectures/00_-_Year_wise/Devotional_Nectar_-_1989/1989-067_Bhakti-_The_Process_Of_Becoming_Greater_Than_God_Lecture_Mumbai_-_15-10-89_IDesireTree.mp3", "1989-067_Bhakti-_The_Process_Of_Becoming_Greater_Than_God_Lecture_Mumbai_-_15-10-89_IDesireTree.mp3")</f>
        <v>1989-067_Bhakti-_The_Process_Of_Becoming_Greater_Than_God_Lecture_Mumbai_-_15-10-89_IDesireTree.mp3</v>
      </c>
      <c r="D70" s="11"/>
      <c r="E70" s="11"/>
    </row>
    <row r="71" spans="1:5">
      <c r="A71" s="12" t="s">
        <v>12462</v>
      </c>
      <c r="B71" s="12" t="s">
        <v>13049</v>
      </c>
      <c r="C71" s="13" t="str">
        <f>HYPERLINK("https://audio.iskcondesiretree.com/02_-_ISKCON_Swamis/ISKCON_Swamis_-_R_to_Y/His_Holiness_Radhanath_Swami/Lectures/00_-_Year_wise/Devotional_Nectar_-_1989/1989-068_God_Is_Love_Lecture_Mumbai_-_Radhanath_Swami_1989-10-15_IDesireTree.mp3", "1989-068_God_Is_Love_Lecture_Mumbai_-_Radhanath_Swami_1989-10-15_IDesireTree.mp3")</f>
        <v>1989-068_God_Is_Love_Lecture_Mumbai_-_Radhanath_Swami_1989-10-15_IDesireTree.mp3</v>
      </c>
      <c r="D71" s="11"/>
      <c r="E71" s="11"/>
    </row>
    <row r="72" spans="1:5">
      <c r="A72" s="12" t="s">
        <v>12462</v>
      </c>
      <c r="B72" s="12" t="s">
        <v>13050</v>
      </c>
      <c r="C72" s="13" t="str">
        <f>HYPERLINK("https://audio.iskcondesiretree.com/02_-_ISKCON_Swamis/ISKCON_Swamis_-_R_to_Y/His_Holiness_Radhanath_Swami/Lectures/00_-_Year_wise/Devotional_Nectar_-_1989/1989-069_Bhagavad_Gita_Rejects_Piety_BG-02_45_Mumbai_-_Radhanath_Swami_1989-10-18_IDesireTree.mp3", "1989-069_Bhagavad_Gita_Rejects_Piety_BG-02_45_Mumbai_-_Radhanath_Swami_1989-10-18_IDesireTree.mp3")</f>
        <v>1989-069_Bhagavad_Gita_Rejects_Piety_BG-02_45_Mumbai_-_Radhanath_Swami_1989-10-18_IDesireTree.mp3</v>
      </c>
      <c r="D72" s="11"/>
      <c r="E72" s="11"/>
    </row>
    <row r="73" spans="1:5">
      <c r="A73" s="12" t="s">
        <v>12462</v>
      </c>
      <c r="B73" s="12" t="s">
        <v>13051</v>
      </c>
      <c r="C73" s="13" t="str">
        <f>HYPERLINK("https://audio.iskcondesiretree.com/02_-_ISKCON_Swamis/ISKCON_Swamis_-_R_to_Y/His_Holiness_Radhanath_Swami/Lectures/00_-_Year_wise/Devotional_Nectar_-_1989/1989-070_Without_Mercy_Of_Lord_We_Are_Hopeless_BG-08_15_Mumbai_-_19-10-89_IDesireTree.mp3", "1989-070_Without_Mercy_Of_Lord_We_Are_Hopeless_BG-08_15_Mumbai_-_19-10-89_IDesireTree.mp3")</f>
        <v>1989-070_Without_Mercy_Of_Lord_We_Are_Hopeless_BG-08_15_Mumbai_-_19-10-89_IDesireTree.mp3</v>
      </c>
      <c r="D73" s="11"/>
      <c r="E73" s="11"/>
    </row>
    <row r="74" spans="1:5">
      <c r="A74" s="12" t="s">
        <v>12462</v>
      </c>
      <c r="B74" s="12" t="s">
        <v>13052</v>
      </c>
      <c r="C74" s="13" t="str">
        <f>HYPERLINK("https://audio.iskcondesiretree.com/02_-_ISKCON_Swamis/ISKCON_Swamis_-_R_to_Y/His_Holiness_Radhanath_Swami/Lectures/00_-_Year_wise/Devotional_Nectar_-_1989/1989-071_Fake_Godman_CC_-_Radhanath_Swami_IDesireTree.mp3", "1989-071_Fake_Godman_CC_-_Radhanath_Swami_IDesireTree.mp3")</f>
        <v>1989-071_Fake_Godman_CC_-_Radhanath_Swami_IDesireTree.mp3</v>
      </c>
      <c r="D74" s="11"/>
      <c r="E74" s="11"/>
    </row>
    <row r="75" spans="1:5">
      <c r="A75" s="12" t="s">
        <v>12462</v>
      </c>
      <c r="B75" s="12" t="s">
        <v>13053</v>
      </c>
      <c r="C75" s="13" t="str">
        <f>HYPERLINK("https://audio.iskcondesiretree.com/02_-_ISKCON_Swamis/ISKCON_Swamis_-_R_to_Y/His_Holiness_Radhanath_Swami/Lectures/00_-_Year_wise/Devotional_Nectar_-_1989/1989-072_Fool_Number_One_Lecture_Mumbai_-_Radhanath_Swami_1989-10-30_IDesireTree.mp3", "1989-072_Fool_Number_One_Lecture_Mumbai_-_Radhanath_Swami_1989-10-30_IDesireTree.mp3")</f>
        <v>1989-072_Fool_Number_One_Lecture_Mumbai_-_Radhanath_Swami_1989-10-30_IDesireTree.mp3</v>
      </c>
      <c r="D75" s="11"/>
      <c r="E75" s="11"/>
    </row>
    <row r="76" spans="1:5">
      <c r="A76" s="12" t="s">
        <v>12462</v>
      </c>
      <c r="B76" s="12" t="s">
        <v>13054</v>
      </c>
      <c r="C76" s="13" t="str">
        <f>HYPERLINK("https://audio.iskcondesiretree.com/02_-_ISKCON_Swamis/ISKCON_Swamis_-_R_to_Y/His_Holiness_Radhanath_Swami/Lectures/00_-_Year_wise/Devotional_Nectar_-_1989/1989-073_Do_Not_Believe_In_This_World_Lecture_Mumbai_-_Radhanath_Swami_1989-10-21_IDesireTree.mp3", "1989-073_Do_Not_Believe_In_This_World_Lecture_Mumbai_-_Radhanath_Swami_1989-10-21_IDesireTree.mp3")</f>
        <v>1989-073_Do_Not_Believe_In_This_World_Lecture_Mumbai_-_Radhanath_Swami_1989-10-21_IDesireTree.mp3</v>
      </c>
      <c r="D76" s="11"/>
      <c r="E76" s="11"/>
    </row>
    <row r="77" spans="1:5">
      <c r="A77" s="12" t="s">
        <v>12462</v>
      </c>
      <c r="B77" s="12" t="s">
        <v>13055</v>
      </c>
      <c r="C77" s="13" t="str">
        <f>HYPERLINK("https://audio.iskcondesiretree.com/02_-_ISKCON_Swamis/ISKCON_Swamis_-_R_to_Y/His_Holiness_Radhanath_Swami/Lectures/00_-_Year_wise/Devotional_Nectar_-_1989/1989-074_Holyday_not_holiday_Lecture_Mumbai_-_Radhanath_Swami_1989-10-29_IDesireTree.mp3", "1989-074_Holyday_not_holiday_Lecture_Mumbai_-_Radhanath_Swami_1989-10-29_IDesireTree.mp3")</f>
        <v>1989-074_Holyday_not_holiday_Lecture_Mumbai_-_Radhanath_Swami_1989-10-29_IDesireTree.mp3</v>
      </c>
      <c r="D77" s="11"/>
      <c r="E77" s="11"/>
    </row>
    <row r="78" spans="1:5">
      <c r="A78" s="12" t="s">
        <v>12462</v>
      </c>
      <c r="B78" s="12" t="s">
        <v>13056</v>
      </c>
      <c r="C78" s="13" t="str">
        <f>HYPERLINK("https://audio.iskcondesiretree.com/02_-_ISKCON_Swamis/ISKCON_Swamis_-_R_to_Y/His_Holiness_Radhanath_Swami/Lectures/00_-_Year_wise/Devotional_Nectar_-_1989/1989-075_Spiritual_Life_Means_To_Give_Q%26A_Mumbai_-_Radhanath_Swami_1989-10-30_IDesireTree.mp3", "1989-075_Spiritual_Life_Means_To_Give_Q%26A_Mumbai_-_Radhanath_Swami_1989-10-30_IDesireTree.mp3")</f>
        <v>1989-075_Spiritual_Life_Means_To_Give_Q%26A_Mumbai_-_Radhanath_Swami_1989-10-30_IDesireTree.mp3</v>
      </c>
      <c r="D78" s="11"/>
      <c r="E78" s="11"/>
    </row>
    <row r="79" spans="1:5">
      <c r="A79" s="12" t="s">
        <v>12462</v>
      </c>
      <c r="B79" s="12" t="s">
        <v>13057</v>
      </c>
      <c r="C79" s="13" t="str">
        <f>HYPERLINK("https://audio.iskcondesiretree.com/02_-_ISKCON_Swamis/ISKCON_Swamis_-_R_to_Y/His_Holiness_Radhanath_Swami/Lectures/00_-_Year_wise/Devotional_Nectar_-_1989/1989-076_Meditation_On_The_Month_Of_Damodar_BG-04_09_Mumbai_-_22-10-89_IDesireTree.mp3", "1989-076_Meditation_On_The_Month_Of_Damodar_BG-04_09_Mumbai_-_22-10-89_IDesireTree.mp3")</f>
        <v>1989-076_Meditation_On_The_Month_Of_Damodar_BG-04_09_Mumbai_-_22-10-89_IDesireTree.mp3</v>
      </c>
      <c r="D79" s="11"/>
      <c r="E79" s="11"/>
    </row>
    <row r="80" spans="1:5">
      <c r="A80" s="12" t="s">
        <v>12462</v>
      </c>
      <c r="B80" s="12" t="s">
        <v>13058</v>
      </c>
      <c r="C80" s="13" t="str">
        <f>HYPERLINK("https://audio.iskcondesiretree.com/02_-_ISKCON_Swamis/ISKCON_Swamis_-_R_to_Y/His_Holiness_Radhanath_Swami/Lectures/00_-_Year_wise/Devotional_Nectar_-_1989/1989-077_Who_Is_Crazy_SB-05_05_04_Mumbai_-_Radhanath_Swami_1989-10-23_IDesireTree.mp3", "1989-077_Who_Is_Crazy_SB-05_05_04_Mumbai_-_Radhanath_Swami_1989-10-23_IDesireTree.mp3")</f>
        <v>1989-077_Who_Is_Crazy_SB-05_05_04_Mumbai_-_Radhanath_Swami_1989-10-23_IDesireTree.mp3</v>
      </c>
      <c r="D80" s="11"/>
      <c r="E80" s="11"/>
    </row>
    <row r="81" spans="1:5">
      <c r="A81" s="12" t="s">
        <v>12462</v>
      </c>
      <c r="B81" s="12" t="s">
        <v>13059</v>
      </c>
      <c r="C81" s="13" t="str">
        <f>HYPERLINK("https://audio.iskcondesiretree.com/02_-_ISKCON_Swamis/ISKCON_Swamis_-_R_to_Y/His_Holiness_Radhanath_Swami/Lectures/00_-_Year_wise/Devotional_Nectar_-_1989/1989-078_Self_Management_-_BG-06_06_Mumbai_-_Radhanath_Swami_1989-10-25_IDesireTree.mp3", "1989-078_Self_Management_-_BG-06_06_Mumbai_-_Radhanath_Swami_1989-10-25_IDesireTree.mp3")</f>
        <v>1989-078_Self_Management_-_BG-06_06_Mumbai_-_Radhanath_Swami_1989-10-25_IDesireTree.mp3</v>
      </c>
      <c r="D81" s="11"/>
      <c r="E81" s="11"/>
    </row>
    <row r="82" spans="1:5">
      <c r="A82" s="12" t="s">
        <v>12462</v>
      </c>
      <c r="B82" s="12" t="s">
        <v>13060</v>
      </c>
      <c r="C82" s="13" t="str">
        <f>HYPERLINK("https://audio.iskcondesiretree.com/02_-_ISKCON_Swamis/ISKCON_Swamis_-_R_to_Y/His_Holiness_Radhanath_Swami/Lectures/00_-_Year_wise/Devotional_Nectar_-_1989/1989-079_How_To_Be_Krishna_Conscious_Q%26A_Mumbai_-_Radhanath_Swami_1989-10-28_new_IDesireTree.mp3", "1989-079_How_To_Be_Krishna_Conscious_Q%26A_Mumbai_-_Radhanath_Swami_1989-10-28_new_IDesireTree.mp3")</f>
        <v>1989-079_How_To_Be_Krishna_Conscious_Q%26A_Mumbai_-_Radhanath_Swami_1989-10-28_new_IDesireTree.mp3</v>
      </c>
      <c r="D82" s="11"/>
      <c r="E82" s="11"/>
    </row>
    <row r="83" spans="1:5">
      <c r="A83" s="12" t="s">
        <v>12462</v>
      </c>
      <c r="B83" s="12" t="s">
        <v>13061</v>
      </c>
      <c r="C83" s="13" t="str">
        <f>HYPERLINK("https://audio.iskcondesiretree.com/02_-_ISKCON_Swamis/ISKCON_Swamis_-_R_to_Y/His_Holiness_Radhanath_Swami/Lectures/00_-_Year_wise/Devotional_Nectar_-_1989/1989-08-22_SB_07-10-10_-_Radhanath_Swami_Mumbai.mp3", "1989-08-22_SB_07-10-10_-_Radhanath_Swami_Mumbai.mp3")</f>
        <v>1989-08-22_SB_07-10-10_-_Radhanath_Swami_Mumbai.mp3</v>
      </c>
      <c r="D83" s="11"/>
      <c r="E83" s="11"/>
    </row>
    <row r="84" spans="1:5">
      <c r="A84" s="12" t="s">
        <v>12462</v>
      </c>
      <c r="B84" s="12" t="s">
        <v>13062</v>
      </c>
      <c r="C84" s="13" t="str">
        <f>HYPERLINK("https://audio.iskcondesiretree.com/02_-_ISKCON_Swamis/ISKCON_Swamis_-_R_to_Y/His_Holiness_Radhanath_Swami/Lectures/00_-_Year_wise/Devotional_Nectar_-_1989/1989-080_Behaviour_Of_A_Perfect_Person_SB-07_13_11-17_Mumbai_-_23-12-89_IDesireTree.mp3", "1989-080_Behaviour_Of_A_Perfect_Person_SB-07_13_11-17_Mumbai_-_23-12-89_IDesireTree.mp3")</f>
        <v>1989-080_Behaviour_Of_A_Perfect_Person_SB-07_13_11-17_Mumbai_-_23-12-89_IDesireTree.mp3</v>
      </c>
      <c r="D84" s="11"/>
      <c r="E84" s="11"/>
    </row>
    <row r="85" spans="1:5">
      <c r="A85" s="12" t="s">
        <v>12462</v>
      </c>
      <c r="B85" s="12" t="s">
        <v>13063</v>
      </c>
      <c r="C85" s="13" t="str">
        <f>HYPERLINK("https://audio.iskcondesiretree.com/02_-_ISKCON_Swamis/ISKCON_Swamis_-_R_to_Y/His_Holiness_Radhanath_Swami/Lectures/00_-_Year_wise/Devotional_Nectar_-_1989/1989-081_Never_Become_Lazy_SB-07_13_18-21_Mumbai_-_Radhanath_Swami_1989-12-24_IDesireTree.mp3", "1989-081_Never_Become_Lazy_SB-07_13_18-21_Mumbai_-_Radhanath_Swami_1989-12-24_IDesireTree.mp3")</f>
        <v>1989-081_Never_Become_Lazy_SB-07_13_18-21_Mumbai_-_Radhanath_Swami_1989-12-24_IDesireTree.mp3</v>
      </c>
      <c r="D85" s="11"/>
      <c r="E85" s="11"/>
    </row>
    <row r="86" spans="1:5">
      <c r="A86" s="12" t="s">
        <v>12462</v>
      </c>
      <c r="B86" s="12" t="s">
        <v>13064</v>
      </c>
      <c r="C86" s="13" t="str">
        <f>HYPERLINK("https://audio.iskcondesiretree.com/02_-_ISKCON_Swamis/ISKCON_Swamis_-_R_to_Y/His_Holiness_Radhanath_Swami/Lectures/00_-_Year_wise/Devotional_Nectar_-_1989/1989-082_Approach_God_Through_His_Servant_BG-04_19_Mumbai_-_24-12-89_IDesireTree.mp3", "1989-082_Approach_God_Through_His_Servant_BG-04_19_Mumbai_-_24-12-89_IDesireTree.mp3")</f>
        <v>1989-082_Approach_God_Through_His_Servant_BG-04_19_Mumbai_-_24-12-89_IDesireTree.mp3</v>
      </c>
      <c r="D86" s="11"/>
      <c r="E86" s="11"/>
    </row>
    <row r="87" spans="1:5">
      <c r="A87" s="12" t="s">
        <v>12462</v>
      </c>
      <c r="B87" s="12" t="s">
        <v>13065</v>
      </c>
      <c r="C87" s="13" t="str">
        <f>HYPERLINK("https://audio.iskcondesiretree.com/02_-_ISKCON_Swamis/ISKCON_Swamis_-_R_to_Y/His_Holiness_Radhanath_Swami/Lectures/00_-_Year_wise/Devotional_Nectar_-_1989/1989-083_Krishnizing_The_Senses_BG-10_36_Mumbai_-_Radhanath_Swami_1989-12-26_IDesireTree.mp3", "1989-083_Krishnizing_The_Senses_BG-10_36_Mumbai_-_Radhanath_Swami_1989-12-26_IDesireTree.mp3")</f>
        <v>1989-083_Krishnizing_The_Senses_BG-10_36_Mumbai_-_Radhanath_Swami_1989-12-26_IDesireTree.mp3</v>
      </c>
      <c r="D87" s="11"/>
      <c r="E87" s="11"/>
    </row>
    <row r="88" spans="1:5">
      <c r="A88" s="12" t="s">
        <v>12462</v>
      </c>
      <c r="B88" s="12" t="s">
        <v>13066</v>
      </c>
      <c r="C88" s="13" t="str">
        <f>HYPERLINK("https://audio.iskcondesiretree.com/02_-_ISKCON_Swamis/ISKCON_Swamis_-_R_to_Y/His_Holiness_Radhanath_Swami/Lectures/00_-_Year_wise/Devotional_Nectar_-_1989/1989-084_Material_Enjoyment-_Danger_At_Every_Step_SB-07_13_24_Mumbai_-_27-12-89_IDesireTree.mp3", "1989-084_Material_Enjoyment-_Danger_At_Every_Step_SB-07_13_24_Mumbai_-_27-12-89_IDesireTree.mp3")</f>
        <v>1989-084_Material_Enjoyment-_Danger_At_Every_Step_SB-07_13_24_Mumbai_-_27-12-89_IDesireTree.mp3</v>
      </c>
      <c r="D88" s="11"/>
      <c r="E88" s="11"/>
    </row>
    <row r="89" spans="1:5">
      <c r="A89" s="12" t="s">
        <v>12462</v>
      </c>
      <c r="B89" s="12" t="s">
        <v>13067</v>
      </c>
      <c r="C89" s="13" t="str">
        <f>HYPERLINK("https://audio.iskcondesiretree.com/02_-_ISKCON_Swamis/ISKCON_Swamis_-_R_to_Y/His_Holiness_Radhanath_Swami/Lectures/00_-_Year_wise/Devotional_Nectar_-_1989/1989-085_Visit_Holy_Places_To_Purify_Consciousness_Lecture_Mumbai_-_1989-12-27_IDesireTree.mp3", "1989-085_Visit_Holy_Places_To_Purify_Consciousness_Lecture_Mumbai_-_1989-12-27_IDesireTree.mp3")</f>
        <v>1989-085_Visit_Holy_Places_To_Purify_Consciousness_Lecture_Mumbai_-_1989-12-27_IDesireTree.mp3</v>
      </c>
      <c r="D89" s="11"/>
      <c r="E89" s="11"/>
    </row>
    <row r="90" spans="1:5">
      <c r="A90" s="12" t="s">
        <v>12462</v>
      </c>
      <c r="B90" s="12" t="s">
        <v>13068</v>
      </c>
      <c r="C90" s="13" t="str">
        <f>HYPERLINK("https://audio.iskcondesiretree.com/02_-_ISKCON_Swamis/ISKCON_Swamis_-_R_to_Y/His_Holiness_Radhanath_Swami/Lectures/00_-_Year_wise/Devotional_Nectar_-_1989/1989-086_Evolution_SB-07_13_25_Mumbai_-_Radhanath_Swami_1989-12-28_IDesireTree.mp3", "1989-086_Evolution_SB-07_13_25_Mumbai_-_Radhanath_Swami_1989-12-28_IDesireTree.mp3")</f>
        <v>1989-086_Evolution_SB-07_13_25_Mumbai_-_Radhanath_Swami_1989-12-28_IDesireTree.mp3</v>
      </c>
      <c r="D90" s="11"/>
      <c r="E90" s="11"/>
    </row>
    <row r="91" spans="1:5">
      <c r="A91" s="12" t="s">
        <v>12462</v>
      </c>
      <c r="B91" s="12" t="s">
        <v>13069</v>
      </c>
      <c r="C91" s="13" t="str">
        <f>HYPERLINK("https://audio.iskcondesiretree.com/02_-_ISKCON_Swamis/ISKCON_Swamis_-_R_to_Y/His_Holiness_Radhanath_Swami/Lectures/00_-_Year_wise/Devotional_Nectar_-_1989/1989-087_Conquering_The_Enemy_Of_Lust_SB-07_13_26_Mumbai_-_29-12-89_IDesireTree.mp3", "1989-087_Conquering_The_Enemy_Of_Lust_SB-07_13_26_Mumbai_-_29-12-89_IDesireTree.mp3")</f>
        <v>1989-087_Conquering_The_Enemy_Of_Lust_SB-07_13_26_Mumbai_-_29-12-89_IDesireTree.mp3</v>
      </c>
      <c r="D91" s="11"/>
      <c r="E91" s="11"/>
    </row>
    <row r="92" spans="1:5">
      <c r="A92" s="12" t="s">
        <v>12462</v>
      </c>
      <c r="B92" s="12" t="s">
        <v>13070</v>
      </c>
      <c r="C92" s="13" t="str">
        <f>HYPERLINK("https://audio.iskcondesiretree.com/02_-_ISKCON_Swamis/ISKCON_Swamis_-_R_to_Y/His_Holiness_Radhanath_Swami/Lectures/00_-_Year_wise/Devotional_Nectar_-_1989/1989-088_Depending_On_Krishna_SB-07_13_27_Mumbai_-_Radhanath_Swami_1989-12-30_IDesireTree.mp3", "1989-088_Depending_On_Krishna_SB-07_13_27_Mumbai_-_Radhanath_Swami_1989-12-30_IDesireTree.mp3")</f>
        <v>1989-088_Depending_On_Krishna_SB-07_13_27_Mumbai_-_Radhanath_Swami_1989-12-30_IDesireTree.mp3</v>
      </c>
      <c r="D92" s="11"/>
      <c r="E92" s="11"/>
    </row>
    <row r="93" spans="1:5">
      <c r="A93" s="12" t="s">
        <v>12462</v>
      </c>
      <c r="B93" s="12" t="s">
        <v>13071</v>
      </c>
      <c r="C93" s="13" t="str">
        <f>HYPERLINK("https://audio.iskcondesiretree.com/02_-_ISKCON_Swamis/ISKCON_Swamis_-_R_to_Y/His_Holiness_Radhanath_Swami/Lectures/00_-_Year_wise/Devotional_Nectar_-_1989/1989-089_No_Realization_Without_Service_BG-09_14_Mumbai_-_Radhanath_Swami_1989-12-30_IDesireTree.mp3", "1989-089_No_Realization_Without_Service_BG-09_14_Mumbai_-_Radhanath_Swami_1989-12-30_IDesireTree.mp3")</f>
        <v>1989-089_No_Realization_Without_Service_BG-09_14_Mumbai_-_Radhanath_Swami_1989-12-30_IDesireTree.mp3</v>
      </c>
      <c r="D93" s="11"/>
      <c r="E93" s="11"/>
    </row>
    <row r="94" spans="1:5">
      <c r="A94" s="12" t="s">
        <v>12462</v>
      </c>
      <c r="B94" s="12" t="s">
        <v>13072</v>
      </c>
      <c r="C94" s="13" t="str">
        <f>HYPERLINK("https://audio.iskcondesiretree.com/02_-_ISKCON_Swamis/ISKCON_Swamis_-_R_to_Y/His_Holiness_Radhanath_Swami/Lectures/00_-_Year_wise/Devotional_Nectar_-_1989/1989-090_Simply_For_Devotees_Pleasure_BG-12_02_Mumbai_-_Radhanath_Swami_1989-12-31_IDesireTree.mp3", "1989-090_Simply_For_Devotees_Pleasure_BG-12_02_Mumbai_-_Radhanath_Swami_1989-12-31_IDesireTree.mp3")</f>
        <v>1989-090_Simply_For_Devotees_Pleasure_BG-12_02_Mumbai_-_Radhanath_Swami_1989-12-31_IDesireTree.mp3</v>
      </c>
      <c r="D94" s="11"/>
      <c r="E94" s="11"/>
    </row>
    <row r="95" spans="1:5">
      <c r="A95" s="12" t="s">
        <v>12462</v>
      </c>
      <c r="B95" s="12" t="s">
        <v>13073</v>
      </c>
      <c r="C95" s="13" t="str">
        <f>HYPERLINK("https://audio.iskcondesiretree.com/02_-_ISKCON_Swamis/ISKCON_Swamis_-_R_to_Y/His_Holiness_Radhanath_Swami/Lectures/00_-_Year_wise/Devotional_Nectar_-_1989/1989-091_Srila_Jiva_Goswami_Lecture_Mumbai_-_Radhanath_Swami_1989-12-31_IDesireTree.mp3", "1989-091_Srila_Jiva_Goswami_Lecture_Mumbai_-_Radhanath_Swami_1989-12-31_IDesireTree.mp3")</f>
        <v>1989-091_Srila_Jiva_Goswami_Lecture_Mumbai_-_Radhanath_Swami_1989-12-31_IDesireTree.mp3</v>
      </c>
      <c r="D95" s="11"/>
      <c r="E95" s="11"/>
    </row>
    <row r="96" spans="1:5">
      <c r="A96" s="12" t="s">
        <v>12462</v>
      </c>
      <c r="B96" s="12" t="s">
        <v>13074</v>
      </c>
      <c r="C96" s="13" t="str">
        <f>HYPERLINK("https://audio.iskcondesiretree.com/02_-_ISKCON_Swamis/ISKCON_Swamis_-_R_to_Y/His_Holiness_Radhanath_Swami/Lectures/00_-_Year_wise/Devotional_Nectar_-_1990/1990-001_Servant_Of_Servant_Lecture_Mumbai_-_Radhanath_Swami_1990-02-02_IDesireTree.mp3", "1990-001_Servant_Of_Servant_Lecture_Mumbai_-_Radhanath_Swami_1990-02-02_IDesireTree.mp3")</f>
        <v>1990-001_Servant_Of_Servant_Lecture_Mumbai_-_Radhanath_Swami_1990-02-02_IDesireTree.mp3</v>
      </c>
      <c r="D96" s="11"/>
      <c r="E96" s="11"/>
    </row>
    <row r="97" spans="1:5">
      <c r="A97" s="12" t="s">
        <v>12462</v>
      </c>
      <c r="B97" s="12" t="s">
        <v>13075</v>
      </c>
      <c r="C97" s="13" t="str">
        <f>HYPERLINK("https://audio.iskcondesiretree.com/02_-_ISKCON_Swamis/ISKCON_Swamis_-_R_to_Y/His_Holiness_Radhanath_Swami/Lectures/00_-_Year_wise/Devotional_Nectar_-_1990/1990-002_Whatever_Krishna_Does_Is_Perfect_BG-08_IDesireTree.mp3", "1990-002_Whatever_Krishna_Does_Is_Perfect_BG-08_IDesireTree.mp3")</f>
        <v>1990-002_Whatever_Krishna_Does_Is_Perfect_BG-08_IDesireTree.mp3</v>
      </c>
      <c r="D97" s="11"/>
      <c r="E97" s="11"/>
    </row>
    <row r="98" spans="1:5">
      <c r="A98" s="12" t="s">
        <v>12462</v>
      </c>
      <c r="B98" s="12" t="s">
        <v>13076</v>
      </c>
      <c r="C98" s="13" t="str">
        <f>HYPERLINK("https://audio.iskcondesiretree.com/02_-_ISKCON_Swamis/ISKCON_Swamis_-_R_to_Y/His_Holiness_Radhanath_Swami/Lectures/00_-_Year_wise/Devotional_Nectar_-_1990/1990-003_Dont_Be_Like_A_Bumble_Bee_SB-07_13_35-36_Mumbai_-_07-01-90_IDesireTree.mp3", "1990-003_Dont_Be_Like_A_Bumble_Bee_SB-07_13_35-36_Mumbai_-_07-01-90_IDesireTree.mp3")</f>
        <v>1990-003_Dont_Be_Like_A_Bumble_Bee_SB-07_13_35-36_Mumbai_-_07-01-90_IDesireTree.mp3</v>
      </c>
      <c r="D98" s="11"/>
      <c r="E98" s="11"/>
    </row>
    <row r="99" spans="1:5">
      <c r="A99" s="12" t="s">
        <v>12462</v>
      </c>
      <c r="B99" s="12" t="s">
        <v>13077</v>
      </c>
      <c r="C99" s="13" t="str">
        <f>HYPERLINK("https://audio.iskcondesiretree.com/02_-_ISKCON_Swamis/ISKCON_Swamis_-_R_to_Y/His_Holiness_Radhanath_Swami/Lectures/00_-_Year_wise/Devotional_Nectar_-_1990/1990-004_Perfection_Of_Renunciation_BG-18_46_Mumbai_-_Radhanath_Swami_1990-01-07_IDesireTree.mp3", "1990-004_Perfection_Of_Renunciation_BG-18_46_Mumbai_-_Radhanath_Swami_1990-01-07_IDesireTree.mp3")</f>
        <v>1990-004_Perfection_Of_Renunciation_BG-18_46_Mumbai_-_Radhanath_Swami_1990-01-07_IDesireTree.mp3</v>
      </c>
      <c r="D99" s="11"/>
      <c r="E99" s="11"/>
    </row>
    <row r="100" spans="1:5">
      <c r="A100" s="12" t="s">
        <v>12462</v>
      </c>
      <c r="B100" s="12" t="s">
        <v>13078</v>
      </c>
      <c r="C100" s="13" t="str">
        <f>HYPERLINK("https://audio.iskcondesiretree.com/02_-_ISKCON_Swamis/ISKCON_Swamis_-_R_to_Y/His_Holiness_Radhanath_Swami/Lectures/00_-_Year_wise/Devotional_Nectar_-_1990/1990-005_A_Leaf_a_Flower_A_fruit_IDesireTree_-_Radhanath_Swami.mp3", "1990-005_A_Leaf_a_Flower_A_fruit_IDesireTree_-_Radhanath_Swami.mp3")</f>
        <v>1990-005_A_Leaf_a_Flower_A_fruit_IDesireTree_-_Radhanath_Swami.mp3</v>
      </c>
      <c r="D100" s="11"/>
      <c r="E100" s="11"/>
    </row>
    <row r="101" spans="1:5">
      <c r="A101" s="12" t="s">
        <v>12462</v>
      </c>
      <c r="B101" s="12" t="s">
        <v>13079</v>
      </c>
      <c r="C101" s="13" t="str">
        <f>HYPERLINK("https://audio.iskcondesiretree.com/02_-_ISKCON_Swamis/ISKCON_Swamis_-_R_to_Y/His_Holiness_Radhanath_Swami/Lectures/00_-_Year_wise/Devotional_Nectar_-_1990/1990-006_Spiritual_Progress_SB-07_13_45_Mumbai_-_Radhanath_Swami_1990-01-12_IDesireTree.mp3", "1990-006_Spiritual_Progress_SB-07_13_45_Mumbai_-_Radhanath_Swami_1990-01-12_IDesireTree.mp3")</f>
        <v>1990-006_Spiritual_Progress_SB-07_13_45_Mumbai_-_Radhanath_Swami_1990-01-12_IDesireTree.mp3</v>
      </c>
      <c r="D101" s="11"/>
      <c r="E101" s="11"/>
    </row>
    <row r="102" spans="1:5">
      <c r="A102" s="12" t="s">
        <v>12462</v>
      </c>
      <c r="B102" s="12" t="s">
        <v>13080</v>
      </c>
      <c r="C102" s="13" t="str">
        <f>HYPERLINK("https://audio.iskcondesiretree.com/02_-_ISKCON_Swamis/ISKCON_Swamis_-_R_to_Y/His_Holiness_Radhanath_Swami/Lectures/00_-_Year_wise/Devotional_Nectar_-_1990/1990-007_Greatest_charity_to_others_Lecture_Mumbai_-_Radhanath_Swami_1990-01-14_IDesireTree.mp3", "1990-007_Greatest_charity_to_others_Lecture_Mumbai_-_Radhanath_Swami_1990-01-14_IDesireTree.mp3")</f>
        <v>1990-007_Greatest_charity_to_others_Lecture_Mumbai_-_Radhanath_Swami_1990-01-14_IDesireTree.mp3</v>
      </c>
      <c r="D102" s="11"/>
      <c r="E102" s="11"/>
    </row>
    <row r="103" spans="1:5">
      <c r="A103" s="12" t="s">
        <v>12462</v>
      </c>
      <c r="B103" s="12" t="s">
        <v>13081</v>
      </c>
      <c r="C103" s="13" t="str">
        <f>HYPERLINK("https://audio.iskcondesiretree.com/02_-_ISKCON_Swamis/ISKCON_Swamis_-_R_to_Y/His_Holiness_Radhanath_Swami/Lectures/00_-_Year_wise/Devotional_Nectar_-_1990/1990-008_Why_I_Can%27t_Be_Like_That_SB-07_14_02_Mumbai_-_Radhanath_Swami_1990-01-15_IDesireTree.mp3", "1990-008_Why_I_Can%27t_Be_Like_That_SB-07_14_02_Mumbai_-_Radhanath_Swami_1990-01-15_IDesireTree.mp3")</f>
        <v>1990-008_Why_I_Can%27t_Be_Like_That_SB-07_14_02_Mumbai_-_Radhanath_Swami_1990-01-15_IDesireTree.mp3</v>
      </c>
      <c r="D103" s="11"/>
      <c r="E103" s="11"/>
    </row>
    <row r="104" spans="1:5">
      <c r="A104" s="12" t="s">
        <v>12462</v>
      </c>
      <c r="B104" s="12" t="s">
        <v>13082</v>
      </c>
      <c r="C104" s="13" t="str">
        <f>HYPERLINK("https://audio.iskcondesiretree.com/02_-_ISKCON_Swamis/ISKCON_Swamis_-_R_to_Y/His_Holiness_Radhanath_Swami/Lectures/00_-_Year_wise/Devotional_Nectar_-_1990/1990-009_Finding_Peace_in_Chaos_Lecture_Mumbai_-_Radhanath_Swami_1990-01-17_IDesireTree.mp3", "1990-009_Finding_Peace_in_Chaos_Lecture_Mumbai_-_Radhanath_Swami_1990-01-17_IDesireTree.mp3")</f>
        <v>1990-009_Finding_Peace_in_Chaos_Lecture_Mumbai_-_Radhanath_Swami_1990-01-17_IDesireTree.mp3</v>
      </c>
      <c r="D104" s="11"/>
      <c r="E104" s="11"/>
    </row>
    <row r="105" spans="1:5">
      <c r="A105" s="12" t="s">
        <v>12462</v>
      </c>
      <c r="B105" s="12" t="s">
        <v>13083</v>
      </c>
      <c r="C105" s="13" t="str">
        <f>HYPERLINK("https://audio.iskcondesiretree.com/02_-_ISKCON_Swamis/ISKCON_Swamis_-_R_to_Y/His_Holiness_Radhanath_Swami/Lectures/00_-_Year_wise/Devotional_Nectar_-_1990/1990-010_The_Essence_Of_Vedas_BNP-03_08_126_Pune_-_Radhanath_Swami_1990-01-19_IDesireTree.mp3", "1990-010_The_Essence_Of_Vedas_BNP-03_08_126_Pune_-_Radhanath_Swami_1990-01-19_IDesireTree.mp3")</f>
        <v>1990-010_The_Essence_Of_Vedas_BNP-03_08_126_Pune_-_Radhanath_Swami_1990-01-19_IDesireTree.mp3</v>
      </c>
      <c r="D105" s="11"/>
      <c r="E105" s="11"/>
    </row>
    <row r="106" spans="1:5">
      <c r="A106" s="12" t="s">
        <v>12462</v>
      </c>
      <c r="B106" s="12" t="s">
        <v>13084</v>
      </c>
      <c r="C106" s="13" t="str">
        <f>HYPERLINK("https://audio.iskcondesiretree.com/02_-_ISKCON_Swamis/ISKCON_Swamis_-_R_to_Y/His_Holiness_Radhanath_Swami/Lectures/00_-_Year_wise/Devotional_Nectar_-_1990/1990-011_Why_Bhisma_Fought_Against_Pandavas_SB-01_09_16_Pune_-_20-01-90_IDesireTree.mp3", "1990-011_Why_Bhisma_Fought_Against_Pandavas_SB-01_09_16_Pune_-_20-01-90_IDesireTree.mp3")</f>
        <v>1990-011_Why_Bhisma_Fought_Against_Pandavas_SB-01_09_16_Pune_-_20-01-90_IDesireTree.mp3</v>
      </c>
      <c r="D106" s="11"/>
      <c r="E106" s="11"/>
    </row>
    <row r="107" spans="1:5">
      <c r="A107" s="12" t="s">
        <v>12462</v>
      </c>
      <c r="B107" s="12" t="s">
        <v>13085</v>
      </c>
      <c r="C107" s="13" t="str">
        <f>HYPERLINK("https://audio.iskcondesiretree.com/02_-_ISKCON_Swamis/ISKCON_Swamis_-_R_to_Y/His_Holiness_Radhanath_Swami/Lectures/00_-_Year_wise/Devotional_Nectar_-_1990/1990-012_Greatest_Things_Is_To_Become_Servant_BG-06_47_-_Radhanath_Swami_1990-01-28_IDesireTree.mp3", "1990-012_Greatest_Things_Is_To_Become_Servant_BG-06_47_-_Radhanath_Swami_1990-01-28_IDesireTree.mp3")</f>
        <v>1990-012_Greatest_Things_Is_To_Become_Servant_BG-06_47_-_Radhanath_Swami_1990-01-28_IDesireTree.mp3</v>
      </c>
      <c r="D107" s="11"/>
      <c r="E107" s="11"/>
    </row>
    <row r="108" spans="1:5">
      <c r="A108" s="12" t="s">
        <v>12462</v>
      </c>
      <c r="B108" s="12" t="s">
        <v>13086</v>
      </c>
      <c r="C108" s="13" t="str">
        <f>HYPERLINK("https://audio.iskcondesiretree.com/02_-_ISKCON_Swamis/ISKCON_Swamis_-_R_to_Y/His_Holiness_Radhanath_Swami/Lectures/00_-_Year_wise/Devotional_Nectar_-_1990/1990-013_The_Story_Of_Ajamila_Lecture_Mumbai_-_Radhanath_Swami_1990-01-28_IDesireTree.mp3", "1990-013_The_Story_Of_Ajamila_Lecture_Mumbai_-_Radhanath_Swami_1990-01-28_IDesireTree.mp3")</f>
        <v>1990-013_The_Story_Of_Ajamila_Lecture_Mumbai_-_Radhanath_Swami_1990-01-28_IDesireTree.mp3</v>
      </c>
      <c r="D108" s="11"/>
      <c r="E108" s="11"/>
    </row>
    <row r="109" spans="1:5">
      <c r="A109" s="12" t="s">
        <v>12462</v>
      </c>
      <c r="B109" s="12" t="s">
        <v>13087</v>
      </c>
      <c r="C109" s="13" t="str">
        <f>HYPERLINK("https://audio.iskcondesiretree.com/02_-_ISKCON_Swamis/ISKCON_Swamis_-_R_to_Y/His_Holiness_Radhanath_Swami/Lectures/00_-_Year_wise/Devotional_Nectar_-_1990/1990-014_No_Pain_No_Gain_SB-07_14_18_-_Radhanath_Swami_1990-01-29_IDesireTree.mp3", "1990-014_No_Pain_No_Gain_SB-07_14_18_-_Radhanath_Swami_1990-01-29_IDesireTree.mp3")</f>
        <v>1990-014_No_Pain_No_Gain_SB-07_14_18_-_Radhanath_Swami_1990-01-29_IDesireTree.mp3</v>
      </c>
      <c r="D109" s="11"/>
      <c r="E109" s="11"/>
    </row>
    <row r="110" spans="1:5">
      <c r="A110" s="12" t="s">
        <v>12462</v>
      </c>
      <c r="B110" s="12" t="s">
        <v>13088</v>
      </c>
      <c r="C110" s="13" t="str">
        <f>HYPERLINK("https://audio.iskcondesiretree.com/02_-_ISKCON_Swamis/ISKCON_Swamis_-_R_to_Y/His_Holiness_Radhanath_Swami/Lectures/00_-_Year_wise/Devotional_Nectar_-_1990/1990-015_The_Power_Of_Association_Of_Saintly_Persons_SB-07_14_29_Mumbai_-_01-02-90_IDesireTree.mp3", "1990-015_The_Power_Of_Association_Of_Saintly_Persons_SB-07_14_29_Mumbai_-_01-02-90_IDesireTree.mp3")</f>
        <v>1990-015_The_Power_Of_Association_Of_Saintly_Persons_SB-07_14_29_Mumbai_-_01-02-90_IDesireTree.mp3</v>
      </c>
      <c r="D110" s="11"/>
      <c r="E110" s="11"/>
    </row>
    <row r="111" spans="1:5">
      <c r="A111" s="12" t="s">
        <v>12462</v>
      </c>
      <c r="B111" s="12" t="s">
        <v>13089</v>
      </c>
      <c r="C111" s="13" t="str">
        <f>HYPERLINK("https://audio.iskcondesiretree.com/02_-_ISKCON_Swamis/ISKCON_Swamis_-_R_to_Y/His_Holiness_Radhanath_Swami/Lectures/00_-_Year_wise/Devotional_Nectar_-_1990/1990-016_Afraid_To_Worship_Lord_Hari_Lecture_Mumbai_-_Radhanath_Swami_1990-02-03_IDesireTree.mp3", "1990-016_Afraid_To_Worship_Lord_Hari_Lecture_Mumbai_-_Radhanath_Swami_1990-02-03_IDesireTree.mp3")</f>
        <v>1990-016_Afraid_To_Worship_Lord_Hari_Lecture_Mumbai_-_Radhanath_Swami_1990-02-03_IDesireTree.mp3</v>
      </c>
      <c r="D111" s="11"/>
      <c r="E111" s="11"/>
    </row>
    <row r="112" spans="1:5">
      <c r="A112" s="12" t="s">
        <v>12462</v>
      </c>
      <c r="B112" s="12" t="s">
        <v>13090</v>
      </c>
      <c r="C112" s="13" t="str">
        <f>HYPERLINK("https://audio.iskcondesiretree.com/02_-_ISKCON_Swamis/ISKCON_Swamis_-_R_to_Y/His_Holiness_Radhanath_Swami/Lectures/00_-_Year_wise/Devotional_Nectar_-_1990/1990-017_Cat_Dog_Camel_Lecture_Mumbai_-_Radhanath_Swami_1990-02-04_IDesireTree.mp3", "1990-017_Cat_Dog_Camel_Lecture_Mumbai_-_Radhanath_Swami_1990-02-04_IDesireTree.mp3")</f>
        <v>1990-017_Cat_Dog_Camel_Lecture_Mumbai_-_Radhanath_Swami_1990-02-04_IDesireTree.mp3</v>
      </c>
      <c r="D112" s="11"/>
      <c r="E112" s="11"/>
    </row>
    <row r="113" spans="1:5">
      <c r="A113" s="12" t="s">
        <v>12462</v>
      </c>
      <c r="B113" s="12" t="s">
        <v>13091</v>
      </c>
      <c r="C113" s="13" t="str">
        <f>HYPERLINK("https://audio.iskcondesiretree.com/02_-_ISKCON_Swamis/ISKCON_Swamis_-_R_to_Y/His_Holiness_Radhanath_Swami/Lectures/00_-_Year_wise/Devotional_Nectar_-_1990/1990-018_Personalism_vs_Impersonalism_Lecture_Mumbai_-_Radhanath_Swami_1990-02-04_IDesireTree.mp3", "1990-018_Personalism_vs_Impersonalism_Lecture_Mumbai_-_Radhanath_Swami_1990-02-04_IDesireTree.mp3")</f>
        <v>1990-018_Personalism_vs_Impersonalism_Lecture_Mumbai_-_Radhanath_Swami_1990-02-04_IDesireTree.mp3</v>
      </c>
      <c r="D113" s="11"/>
      <c r="E113" s="11"/>
    </row>
    <row r="114" spans="1:5">
      <c r="A114" s="12" t="s">
        <v>12462</v>
      </c>
      <c r="B114" s="12" t="s">
        <v>13092</v>
      </c>
      <c r="C114" s="13" t="str">
        <f>HYPERLINK("https://audio.iskcondesiretree.com/02_-_ISKCON_Swamis/ISKCON_Swamis_-_R_to_Y/His_Holiness_Radhanath_Swami/Lectures/00_-_Year_wise/Devotional_Nectar_-_1990/1990-019_Glories_of_the_Great_King_SB-07_14_35_Mumbai_-_Radhanath_Swami_1990-02-05_IDesireTree.mp3", "1990-019_Glories_of_the_Great_King_SB-07_14_35_Mumbai_-_Radhanath_Swami_1990-02-05_IDesireTree.mp3")</f>
        <v>1990-019_Glories_of_the_Great_King_SB-07_14_35_Mumbai_-_Radhanath_Swami_1990-02-05_IDesireTree.mp3</v>
      </c>
      <c r="D114" s="11"/>
      <c r="E114" s="11"/>
    </row>
    <row r="115" spans="1:5">
      <c r="A115" s="12" t="s">
        <v>12462</v>
      </c>
      <c r="B115" s="12" t="s">
        <v>13093</v>
      </c>
      <c r="C115" s="13" t="str">
        <f>HYPERLINK("https://audio.iskcondesiretree.com/02_-_ISKCON_Swamis/ISKCON_Swamis_-_R_to_Y/His_Holiness_Radhanath_Swami/Lectures/00_-_Year_wise/Devotional_Nectar_-_1990/1990-020_The_Secret_Of_Proper_Chanting_SMSKM-2_Mumbai_-_Radhanath_Swami_1990-02-11_IDesireTree.mp3", "1990-020_The_Secret_Of_Proper_Chanting_SMSKM-2_Mumbai_-_Radhanath_Swami_1990-02-11_IDesireTree.mp3")</f>
        <v>1990-020_The_Secret_Of_Proper_Chanting_SMSKM-2_Mumbai_-_Radhanath_Swami_1990-02-11_IDesireTree.mp3</v>
      </c>
      <c r="D115" s="11"/>
      <c r="E115" s="11"/>
    </row>
    <row r="116" spans="1:5">
      <c r="A116" s="12" t="s">
        <v>12462</v>
      </c>
      <c r="B116" s="12" t="s">
        <v>13094</v>
      </c>
      <c r="C116" s="13" t="str">
        <f>HYPERLINK("https://audio.iskcondesiretree.com/02_-_ISKCON_Swamis/ISKCON_Swamis_-_R_to_Y/His_Holiness_Radhanath_Swami/Lectures/00_-_Year_wise/Devotional_Nectar_-_1990/1990-021_If_You_Are_Looking_For_Krishna_You_Will_Find_Him_SB-10_14_Mumbai_-_17-02-90_IDesireTree.mp3", "1990-021_If_You_Are_Looking_For_Krishna_You_Will_Find_Him_SB-10_14_Mumbai_-_17-02-90_IDesireTree.mp3")</f>
        <v>1990-021_If_You_Are_Looking_For_Krishna_You_Will_Find_Him_SB-10_14_Mumbai_-_17-02-90_IDesireTree.mp3</v>
      </c>
      <c r="D116" s="11"/>
      <c r="E116" s="11"/>
    </row>
    <row r="117" spans="1:5">
      <c r="A117" s="12" t="s">
        <v>12462</v>
      </c>
      <c r="B117" s="12" t="s">
        <v>13095</v>
      </c>
      <c r="C117" s="13" t="str">
        <f>HYPERLINK("https://audio.iskcondesiretree.com/02_-_ISKCON_Swamis/ISKCON_Swamis_-_R_to_Y/His_Holiness_Radhanath_Swami/Lectures/00_-_Year_wise/Devotional_Nectar_-_1990/1990-022_Lord_Nityananda_Appearance_Day_VS-1_1_12_Mumbai_-_17-02-90_IDesireTree.mp3", "1990-022_Lord_Nityananda_Appearance_Day_VS-1_1_12_Mumbai_-_17-02-90_IDesireTree.mp3")</f>
        <v>1990-022_Lord_Nityananda_Appearance_Day_VS-1_1_12_Mumbai_-_17-02-90_IDesireTree.mp3</v>
      </c>
      <c r="D117" s="11"/>
      <c r="E117" s="11"/>
    </row>
    <row r="118" spans="1:5">
      <c r="A118" s="12" t="s">
        <v>12462</v>
      </c>
      <c r="B118" s="12" t="s">
        <v>13096</v>
      </c>
      <c r="C118" s="13" t="str">
        <f>HYPERLINK("https://audio.iskcondesiretree.com/02_-_ISKCON_Swamis/ISKCON_Swamis_-_R_to_Y/His_Holiness_Radhanath_Swami/Lectures/00_-_Year_wise/Devotional_Nectar_-_1990/1990-023_Discipline_BG-02_64_Mumbai_-_Radhanath_Swami_1990-02-19_IDesireTree.mp3", "1990-023_Discipline_BG-02_64_Mumbai_-_Radhanath_Swami_1990-02-19_IDesireTree.mp3")</f>
        <v>1990-023_Discipline_BG-02_64_Mumbai_-_Radhanath_Swami_1990-02-19_IDesireTree.mp3</v>
      </c>
      <c r="D118" s="11"/>
      <c r="E118" s="11"/>
    </row>
    <row r="119" spans="1:5">
      <c r="A119" s="12" t="s">
        <v>12462</v>
      </c>
      <c r="B119" s="12" t="s">
        <v>13097</v>
      </c>
      <c r="C119" s="13" t="str">
        <f>HYPERLINK("https://audio.iskcondesiretree.com/02_-_ISKCON_Swamis/ISKCON_Swamis_-_R_to_Y/His_Holiness_Radhanath_Swami/Lectures/00_-_Year_wise/Devotional_Nectar_-_1990/1990-024_Making_Chicago_Into_Vaikuntha_MT_-_Lecture_Mumbai_-_22-02-90_IDesireTree.mp3", "1990-024_Making_Chicago_Into_Vaikuntha_MT_-_Lecture_Mumbai_-_22-02-90_IDesireTree.mp3")</f>
        <v>1990-024_Making_Chicago_Into_Vaikuntha_MT_-_Lecture_Mumbai_-_22-02-90_IDesireTree.mp3</v>
      </c>
      <c r="D119" s="11"/>
      <c r="E119" s="11"/>
    </row>
    <row r="120" spans="1:5">
      <c r="A120" s="12" t="s">
        <v>12462</v>
      </c>
      <c r="B120" s="12" t="s">
        <v>13098</v>
      </c>
      <c r="C120" s="13" t="str">
        <f>HYPERLINK("https://audio.iskcondesiretree.com/02_-_ISKCON_Swamis/ISKCON_Swamis_-_R_to_Y/His_Holiness_Radhanath_Swami/Lectures/00_-_Year_wise/Devotional_Nectar_-_1990/1990-025_Vyasa_Puja_BVM_1_-_Radhanath_Swami_IDesireTree.mp3", "1990-025_Vyasa_Puja_BVM_1_-_Radhanath_Swami_IDesireTree.mp3")</f>
        <v>1990-025_Vyasa_Puja_BVM_1_-_Radhanath_Swami_IDesireTree.mp3</v>
      </c>
      <c r="D120" s="11"/>
      <c r="E120" s="11"/>
    </row>
    <row r="121" spans="1:5">
      <c r="A121" s="12" t="s">
        <v>12462</v>
      </c>
      <c r="B121" s="12" t="s">
        <v>13099</v>
      </c>
      <c r="C121" s="13" t="str">
        <f>HYPERLINK("https://audio.iskcondesiretree.com/02_-_ISKCON_Swamis/ISKCON_Swamis_-_R_to_Y/His_Holiness_Radhanath_Swami/Lectures/00_-_Year_wise/Devotional_Nectar_-_1990/1990-026_For_His_Pleasure_CC_-_Radhanath_Swami_IDesireTree.mp3", "1990-026_For_His_Pleasure_CC_-_Radhanath_Swami_IDesireTree.mp3")</f>
        <v>1990-026_For_His_Pleasure_CC_-_Radhanath_Swami_IDesireTree.mp3</v>
      </c>
      <c r="D121" s="11"/>
      <c r="E121" s="11"/>
    </row>
    <row r="122" spans="1:5">
      <c r="A122" s="12" t="s">
        <v>12462</v>
      </c>
      <c r="B122" s="12" t="s">
        <v>13100</v>
      </c>
      <c r="C122" s="13" t="str">
        <f>HYPERLINK("https://audio.iskcondesiretree.com/02_-_ISKCON_Swamis/ISKCON_Swamis_-_R_to_Y/His_Holiness_Radhanath_Swami/Lectures/00_-_Year_wise/Devotional_Nectar_-_1990/1990-027_Who_Is_Perfect_Yogi_BG-06_32_Mumbai_-_Radhanath_Swami_1990-03-11_IDesireTree.mp3", "1990-027_Who_Is_Perfect_Yogi_BG-06_32_Mumbai_-_Radhanath_Swami_1990-03-11_IDesireTree.mp3")</f>
        <v>1990-027_Who_Is_Perfect_Yogi_BG-06_32_Mumbai_-_Radhanath_Swami_1990-03-11_IDesireTree.mp3</v>
      </c>
      <c r="D122" s="11"/>
      <c r="E122" s="11"/>
    </row>
    <row r="123" spans="1:5">
      <c r="A123" s="12" t="s">
        <v>12462</v>
      </c>
      <c r="B123" s="12" t="s">
        <v>13101</v>
      </c>
      <c r="C123" s="13" t="str">
        <f>HYPERLINK("https://audio.iskcondesiretree.com/02_-_ISKCON_Swamis/ISKCON_Swamis_-_R_to_Y/His_Holiness_Radhanath_Swami/Lectures/00_-_Year_wise/Devotional_Nectar_-_1990/1990-028_The_Only_Qaulification_Required_Lecture_Mumbai_-_Radhanath_Swami_1990-03-11_IDesireTree.mp3", "1990-028_The_Only_Qaulification_Required_Lecture_Mumbai_-_Radhanath_Swami_1990-03-11_IDesireTree.mp3")</f>
        <v>1990-028_The_Only_Qaulification_Required_Lecture_Mumbai_-_Radhanath_Swami_1990-03-11_IDesireTree.mp3</v>
      </c>
      <c r="D123" s="11"/>
      <c r="E123" s="11"/>
    </row>
    <row r="124" spans="1:5">
      <c r="A124" s="12" t="s">
        <v>12462</v>
      </c>
      <c r="B124" s="12" t="s">
        <v>13102</v>
      </c>
      <c r="C124" s="13" t="str">
        <f>HYPERLINK("https://audio.iskcondesiretree.com/02_-_ISKCON_Swamis/ISKCON_Swamis_-_R_to_Y/His_Holiness_Radhanath_Swami/Lectures/00_-_Year_wise/Devotional_Nectar_-_1990/1990-029_Lord_Chaitanya-_Incarnation_Of_Lord_Sri_Krishna_Lecture_Mumbai_-_11-03-90_IDesireTree.mp3", "1990-029_Lord_Chaitanya-_Incarnation_Of_Lord_Sri_Krishna_Lecture_Mumbai_-_11-03-90_IDesireTree.mp3")</f>
        <v>1990-029_Lord_Chaitanya-_Incarnation_Of_Lord_Sri_Krishna_Lecture_Mumbai_-_11-03-90_IDesireTree.mp3</v>
      </c>
      <c r="D124" s="11"/>
      <c r="E124" s="11"/>
    </row>
    <row r="125" spans="1:5">
      <c r="A125" s="12" t="s">
        <v>12462</v>
      </c>
      <c r="B125" s="12" t="s">
        <v>13103</v>
      </c>
      <c r="C125" s="13" t="str">
        <f>HYPERLINK("https://audio.iskcondesiretree.com/02_-_ISKCON_Swamis/ISKCON_Swamis_-_R_to_Y/His_Holiness_Radhanath_Swami/Lectures/00_-_Year_wise/Devotional_Nectar_-_1990/1990-030_Six_Characteristics_Of_Pure_Devotional_Service_Lecture_Mumbai_-_18-03-90_IDesireTree.mp3", "1990-030_Six_Characteristics_Of_Pure_Devotional_Service_Lecture_Mumbai_-_18-03-90_IDesireTree.mp3")</f>
        <v>1990-030_Six_Characteristics_Of_Pure_Devotional_Service_Lecture_Mumbai_-_18-03-90_IDesireTree.mp3</v>
      </c>
      <c r="D125" s="11"/>
      <c r="E125" s="11"/>
    </row>
    <row r="126" spans="1:5">
      <c r="A126" s="12" t="s">
        <v>12462</v>
      </c>
      <c r="B126" s="12" t="s">
        <v>13104</v>
      </c>
      <c r="C126" s="13" t="str">
        <f>HYPERLINK("https://audio.iskcondesiretree.com/02_-_ISKCON_Swamis/ISKCON_Swamis_-_R_to_Y/His_Holiness_Radhanath_Swami/Lectures/00_-_Year_wise/Devotional_Nectar_-_1990/1990-031_The_Real_Vairagya_SB-07_14_46_Mumbai_-_Radhanath_Swami_1990-03-21_IDesireTree.mp3", "1990-031_The_Real_Vairagya_SB-07_14_46_Mumbai_-_Radhanath_Swami_1990-03-21_IDesireTree.mp3")</f>
        <v>1990-031_The_Real_Vairagya_SB-07_14_46_Mumbai_-_Radhanath_Swami_1990-03-21_IDesireTree.mp3</v>
      </c>
      <c r="D126" s="11"/>
      <c r="E126" s="11"/>
    </row>
    <row r="127" spans="1:5">
      <c r="A127" s="12" t="s">
        <v>12462</v>
      </c>
      <c r="B127" s="12" t="s">
        <v>13105</v>
      </c>
      <c r="C127" s="13" t="str">
        <f>HYPERLINK("https://audio.iskcondesiretree.com/02_-_ISKCON_Swamis/ISKCON_Swamis_-_R_to_Y/His_Holiness_Radhanath_Swami/Lectures/00_-_Year_wise/Devotional_Nectar_-_1990/1990-032_Apparent_Contradiction_In_Scriptures_SB-07_15_47_Mumbai_-_22-03-90_IDesireTree.mp3", "1990-032_Apparent_Contradiction_In_Scriptures_SB-07_15_47_Mumbai_-_22-03-90_IDesireTree.mp3")</f>
        <v>1990-032_Apparent_Contradiction_In_Scriptures_SB-07_15_47_Mumbai_-_22-03-90_IDesireTree.mp3</v>
      </c>
      <c r="D127" s="11"/>
      <c r="E127" s="11"/>
    </row>
    <row r="128" spans="1:5">
      <c r="A128" s="12" t="s">
        <v>12462</v>
      </c>
      <c r="B128" s="12" t="s">
        <v>13106</v>
      </c>
      <c r="C128" s="13" t="str">
        <f>HYPERLINK("https://audio.iskcondesiretree.com/02_-_ISKCON_Swamis/ISKCON_Swamis_-_R_to_Y/His_Holiness_Radhanath_Swami/Lectures/00_-_Year_wise/Devotional_Nectar_-_1990/1990-033_Purification_SB-07_15_52_Mumbai_-_Radhanath_Swami_1990-03-24_IDesireTree.mp3", "1990-033_Purification_SB-07_15_52_Mumbai_-_Radhanath_Swami_1990-03-24_IDesireTree.mp3")</f>
        <v>1990-033_Purification_SB-07_15_52_Mumbai_-_Radhanath_Swami_1990-03-24_IDesireTree.mp3</v>
      </c>
      <c r="D128" s="11"/>
      <c r="E128" s="11"/>
    </row>
    <row r="129" spans="1:5">
      <c r="A129" s="12" t="s">
        <v>12462</v>
      </c>
      <c r="B129" s="12" t="s">
        <v>13107</v>
      </c>
      <c r="C129" s="13" t="str">
        <f>HYPERLINK("https://audio.iskcondesiretree.com/02_-_ISKCON_Swamis/ISKCON_Swamis_-_R_to_Y/His_Holiness_Radhanath_Swami/Lectures/00_-_Year_wise/Devotional_Nectar_-_1990/1990-034_Explaining_Different_Philosophies_SB-07_15_58_Mumbai_-_25-03-90_IDesireTree.mp3", "1990-034_Explaining_Different_Philosophies_SB-07_15_58_Mumbai_-_25-03-90_IDesireTree.mp3")</f>
        <v>1990-034_Explaining_Different_Philosophies_SB-07_15_58_Mumbai_-_25-03-90_IDesireTree.mp3</v>
      </c>
      <c r="D129" s="11"/>
      <c r="E129" s="11"/>
    </row>
    <row r="130" spans="1:5">
      <c r="A130" s="12" t="s">
        <v>12462</v>
      </c>
      <c r="B130" s="12" t="s">
        <v>13108</v>
      </c>
      <c r="C130" s="13" t="str">
        <f>HYPERLINK("https://audio.iskcondesiretree.com/02_-_ISKCON_Swamis/ISKCON_Swamis_-_R_to_Y/His_Holiness_Radhanath_Swami/Lectures/00_-_Year_wise/Devotional_Nectar_-_1990/1990-035_Nourishing_The_Spiritual_Plant_SB-07_15_52_Mumbai_-_25-03-90_IDesireTree.mp3", "1990-035_Nourishing_The_Spiritual_Plant_SB-07_15_52_Mumbai_-_25-03-90_IDesireTree.mp3")</f>
        <v>1990-035_Nourishing_The_Spiritual_Plant_SB-07_15_52_Mumbai_-_25-03-90_IDesireTree.mp3</v>
      </c>
      <c r="D130" s="11"/>
      <c r="E130" s="11"/>
    </row>
    <row r="131" spans="1:5">
      <c r="A131" s="12" t="s">
        <v>12462</v>
      </c>
      <c r="B131" s="12" t="s">
        <v>13109</v>
      </c>
      <c r="C131" s="13" t="str">
        <f>HYPERLINK("https://audio.iskcondesiretree.com/02_-_ISKCON_Swamis/ISKCON_Swamis_-_R_to_Y/His_Holiness_Radhanath_Swami/Lectures/00_-_Year_wise/Devotional_Nectar_-_1990/1990-036_Don%27t_Complain_SB-07_15_72_Mumbai_-_Radhanath_Swami_1990-03-26_IDesireTree.mp3", "1990-036_Don%27t_Complain_SB-07_15_72_Mumbai_-_Radhanath_Swami_1990-03-26_IDesireTree.mp3")</f>
        <v>1990-036_Don%27t_Complain_SB-07_15_72_Mumbai_-_Radhanath_Swami_1990-03-26_IDesireTree.mp3</v>
      </c>
      <c r="D131" s="11"/>
      <c r="E131" s="11"/>
    </row>
    <row r="132" spans="1:5">
      <c r="A132" s="12" t="s">
        <v>12462</v>
      </c>
      <c r="B132" s="12" t="s">
        <v>13110</v>
      </c>
      <c r="C132" s="13" t="str">
        <f>HYPERLINK("https://audio.iskcondesiretree.com/02_-_ISKCON_Swamis/ISKCON_Swamis_-_R_to_Y/His_Holiness_Radhanath_Swami/Lectures/00_-_Year_wise/Devotional_Nectar_-_1990/1990-037_The_Key_To_Success_SB-07_15_58_Mumbai_-_Radhanath_Swami_1990-04-08_IDesireTree.mp3", "1990-037_The_Key_To_Success_SB-07_15_58_Mumbai_-_Radhanath_Swami_1990-04-08_IDesireTree.mp3")</f>
        <v>1990-037_The_Key_To_Success_SB-07_15_58_Mumbai_-_Radhanath_Swami_1990-04-08_IDesireTree.mp3</v>
      </c>
      <c r="D132" s="11"/>
      <c r="E132" s="11"/>
    </row>
    <row r="133" spans="1:5">
      <c r="A133" s="12" t="s">
        <v>12462</v>
      </c>
      <c r="B133" s="12" t="s">
        <v>13111</v>
      </c>
      <c r="C133" s="13" t="str">
        <f>HYPERLINK("https://audio.iskcondesiretree.com/02_-_ISKCON_Swamis/ISKCON_Swamis_-_R_to_Y/His_Holiness_Radhanath_Swami/Lectures/00_-_Year_wise/Devotional_Nectar_-_1990/1990-038_Krishna_Is_The_Doer_Lecture_Mumbai_-_Anil_Bankade%27s_Residence_-_10-04-90_IDesireTree.mp3", "1990-038_Krishna_Is_The_Doer_Lecture_Mumbai_-_Anil_Bankade%27s_Residence_-_10-04-90_IDesireTree.mp3")</f>
        <v>1990-038_Krishna_Is_The_Doer_Lecture_Mumbai_-_Anil_Bankade%27s_Residence_-_10-04-90_IDesireTree.mp3</v>
      </c>
      <c r="D133" s="11"/>
      <c r="E133" s="11"/>
    </row>
    <row r="134" spans="1:5">
      <c r="A134" s="12" t="s">
        <v>12462</v>
      </c>
      <c r="B134" s="12" t="s">
        <v>13112</v>
      </c>
      <c r="C134" s="13" t="str">
        <f>HYPERLINK("https://audio.iskcondesiretree.com/02_-_ISKCON_Swamis/ISKCON_Swamis_-_R_to_Y/His_Holiness_Radhanath_Swami/Lectures/00_-_Year_wise/Devotional_Nectar_-_1990/1990-039_Pleasing_Krishna_And_His_Devotees_SB-07_15_77_Mumbai_-_14-04-90_IDesireTree.mp3", "1990-039_Pleasing_Krishna_And_His_Devotees_SB-07_15_77_Mumbai_-_14-04-90_IDesireTree.mp3")</f>
        <v>1990-039_Pleasing_Krishna_And_His_Devotees_SB-07_15_77_Mumbai_-_14-04-90_IDesireTree.mp3</v>
      </c>
      <c r="D134" s="11"/>
      <c r="E134" s="11"/>
    </row>
    <row r="135" spans="1:5">
      <c r="A135" s="12" t="s">
        <v>12462</v>
      </c>
      <c r="B135" s="12" t="s">
        <v>13113</v>
      </c>
      <c r="C135" s="13" t="str">
        <f>HYPERLINK("https://audio.iskcondesiretree.com/02_-_ISKCON_Swamis/ISKCON_Swamis_-_R_to_Y/His_Holiness_Radhanath_Swami/Lectures/00_-_Year_wise/Devotional_Nectar_-_1990/1990-040_Everything_Is_In_Krishna_BG-02_44_Mumbai_-_Radhanath_Swami_1990-04-14_IDesireTree.mp3", "1990-040_Everything_Is_In_Krishna_BG-02_44_Mumbai_-_Radhanath_Swami_1990-04-14_IDesireTree.mp3")</f>
        <v>1990-040_Everything_Is_In_Krishna_BG-02_44_Mumbai_-_Radhanath_Swami_1990-04-14_IDesireTree.mp3</v>
      </c>
      <c r="D135" s="11"/>
      <c r="E135" s="11"/>
    </row>
    <row r="136" spans="1:5">
      <c r="A136" s="12" t="s">
        <v>12462</v>
      </c>
      <c r="B136" s="12" t="s">
        <v>13114</v>
      </c>
      <c r="C136" s="13" t="str">
        <f>HYPERLINK("https://audio.iskcondesiretree.com/02_-_ISKCON_Swamis/ISKCON_Swamis_-_R_to_Y/His_Holiness_Radhanath_Swami/Lectures/00_-_Year_wise/Devotional_Nectar_-_1990/1990-041_Lord_Rama_BG-04_10_Mumbai_-_Radhanath_Swami_1990-04-18_IDesireTree.mp3", "1990-041_Lord_Rama_BG-04_10_Mumbai_-_Radhanath_Swami_1990-04-18_IDesireTree.mp3")</f>
        <v>1990-041_Lord_Rama_BG-04_10_Mumbai_-_Radhanath_Swami_1990-04-18_IDesireTree.mp3</v>
      </c>
      <c r="D136" s="11"/>
      <c r="E136" s="11"/>
    </row>
    <row r="137" spans="1:5">
      <c r="A137" s="12" t="s">
        <v>12462</v>
      </c>
      <c r="B137" s="12" t="s">
        <v>13115</v>
      </c>
      <c r="C137" s="13" t="str">
        <f>HYPERLINK("https://audio.iskcondesiretree.com/02_-_ISKCON_Swamis/ISKCON_Swamis_-_R_to_Y/His_Holiness_Radhanath_Swami/Lectures/00_-_Year_wise/Devotional_Nectar_-_1990/1990-042_Cultivating_Ignorance_BG-14_19_Mumbai_-_Radhanath_Swami_1990-04-22_IDesireTree.mp3", "1990-042_Cultivating_Ignorance_BG-14_19_Mumbai_-_Radhanath_Swami_1990-04-22_IDesireTree.mp3")</f>
        <v>1990-042_Cultivating_Ignorance_BG-14_19_Mumbai_-_Radhanath_Swami_1990-04-22_IDesireTree.mp3</v>
      </c>
      <c r="D137" s="11"/>
      <c r="E137" s="11"/>
    </row>
    <row r="138" spans="1:5">
      <c r="A138" s="12" t="s">
        <v>12462</v>
      </c>
      <c r="B138" s="12" t="s">
        <v>13116</v>
      </c>
      <c r="C138" s="13" t="str">
        <f>HYPERLINK("https://audio.iskcondesiretree.com/02_-_ISKCON_Swamis/ISKCON_Swamis_-_R_to_Y/His_Holiness_Radhanath_Swami/Lectures/00_-_Year_wise/Devotional_Nectar_-_1990/1990-043_Krishna_Is_Your_Ever_Well_Wisher_SB-08_01_10_Mumbai_-_25-04-90_IDesireTree.mp3", "1990-043_Krishna_Is_Your_Ever_Well_Wisher_SB-08_01_10_Mumbai_-_25-04-90_IDesireTree.mp3")</f>
        <v>1990-043_Krishna_Is_Your_Ever_Well_Wisher_SB-08_01_10_Mumbai_-_25-04-90_IDesireTree.mp3</v>
      </c>
      <c r="D138" s="11"/>
      <c r="E138" s="11"/>
    </row>
    <row r="139" spans="1:5">
      <c r="A139" s="12" t="s">
        <v>12462</v>
      </c>
      <c r="B139" s="12" t="s">
        <v>13117</v>
      </c>
      <c r="C139" s="13" t="str">
        <f>HYPERLINK("https://audio.iskcondesiretree.com/02_-_ISKCON_Swamis/ISKCON_Swamis_-_R_to_Y/His_Holiness_Radhanath_Swami/Lectures/00_-_Year_wise/Devotional_Nectar_-_1990/1990-044_Perceiving_The_Paramatma_SB-08_01_11_Mumbai_-_Radhanath_Swami_1990-04-26_IDesireTree.mp3", "1990-044_Perceiving_The_Paramatma_SB-08_01_11_Mumbai_-_Radhanath_Swami_1990-04-26_IDesireTree.mp3")</f>
        <v>1990-044_Perceiving_The_Paramatma_SB-08_01_11_Mumbai_-_Radhanath_Swami_1990-04-26_IDesireTree.mp3</v>
      </c>
      <c r="D139" s="11"/>
      <c r="E139" s="11"/>
    </row>
    <row r="140" spans="1:5">
      <c r="A140" s="12" t="s">
        <v>12462</v>
      </c>
      <c r="B140" s="12" t="s">
        <v>13118</v>
      </c>
      <c r="C140" s="13" t="str">
        <f>HYPERLINK("https://audio.iskcondesiretree.com/02_-_ISKCON_Swamis/ISKCON_Swamis_-_R_to_Y/His_Holiness_Radhanath_Swami/Lectures/00_-_Year_wise/Devotional_Nectar_-_1990/1990-045_Transcendental_Q%26A_Mumbai_-_Radhanath_Swami_1990-04-26_IDesireTree.mp3", "1990-045_Transcendental_Q%26A_Mumbai_-_Radhanath_Swami_1990-04-26_IDesireTree.mp3")</f>
        <v>1990-045_Transcendental_Q%26A_Mumbai_-_Radhanath_Swami_1990-04-26_IDesireTree.mp3</v>
      </c>
      <c r="D140" s="11"/>
      <c r="E140" s="11"/>
    </row>
    <row r="141" spans="1:5">
      <c r="A141" s="12" t="s">
        <v>12462</v>
      </c>
      <c r="B141" s="12" t="s">
        <v>13119</v>
      </c>
      <c r="C141" s="13" t="str">
        <f>HYPERLINK("https://audio.iskcondesiretree.com/02_-_ISKCON_Swamis/ISKCON_Swamis_-_R_to_Y/His_Holiness_Radhanath_Swami/Lectures/00_-_Year_wise/Devotional_Nectar_-_1990/1990-046_Increasing_Hardshirs_out_Of_Love_SB-08_01_13_Mumbai_-_27-04-90_IDesireTree.mp3", "1990-046_Increasing_Hardshirs_out_Of_Love_SB-08_01_13_Mumbai_-_27-04-90_IDesireTree.mp3")</f>
        <v>1990-046_Increasing_Hardshirs_out_Of_Love_SB-08_01_13_Mumbai_-_27-04-90_IDesireTree.mp3</v>
      </c>
      <c r="D141" s="11"/>
      <c r="E141" s="11"/>
    </row>
    <row r="142" spans="1:5">
      <c r="A142" s="12" t="s">
        <v>12462</v>
      </c>
      <c r="B142" s="12" t="s">
        <v>13120</v>
      </c>
      <c r="C142" s="13" t="str">
        <f>HYPERLINK("https://audio.iskcondesiretree.com/02_-_ISKCON_Swamis/ISKCON_Swamis_-_R_to_Y/His_Holiness_Radhanath_Swami/Lectures/00_-_Year_wise/Devotional_Nectar_-_1990/1990-047_How_To_Begin_Spiritual_Life_Lecture_Mumbai_-_Radhanath_Swami_1990-04-28_IDesireTree.mp3", "1990-047_How_To_Begin_Spiritual_Life_Lecture_Mumbai_-_Radhanath_Swami_1990-04-28_IDesireTree.mp3")</f>
        <v>1990-047_How_To_Begin_Spiritual_Life_Lecture_Mumbai_-_Radhanath_Swami_1990-04-28_IDesireTree.mp3</v>
      </c>
      <c r="D142" s="11"/>
      <c r="E142" s="11"/>
    </row>
    <row r="143" spans="1:5">
      <c r="A143" s="12" t="s">
        <v>12462</v>
      </c>
      <c r="B143" s="12" t="s">
        <v>13121</v>
      </c>
      <c r="C143" s="13" t="str">
        <f>HYPERLINK("https://audio.iskcondesiretree.com/02_-_ISKCON_Swamis/ISKCON_Swamis_-_R_to_Y/His_Holiness_Radhanath_Swami/Lectures/00_-_Year_wise/Devotional_Nectar_-_1990/1990-048_For_his_Pleasure_BG-09_27_Mumbai_-_Radhanath_Swami_1990-04-29_IDesireTree.mp3", "1990-048_For_his_Pleasure_BG-09_27_Mumbai_-_Radhanath_Swami_1990-04-29_IDesireTree.mp3")</f>
        <v>1990-048_For_his_Pleasure_BG-09_27_Mumbai_-_Radhanath_Swami_1990-04-29_IDesireTree.mp3</v>
      </c>
      <c r="D143" s="11"/>
      <c r="E143" s="11"/>
    </row>
    <row r="144" spans="1:5">
      <c r="A144" s="12" t="s">
        <v>12462</v>
      </c>
      <c r="B144" s="12" t="s">
        <v>13122</v>
      </c>
      <c r="C144" s="13" t="str">
        <f>HYPERLINK("https://audio.iskcondesiretree.com/02_-_ISKCON_Swamis/ISKCON_Swamis_-_R_to_Y/His_Holiness_Radhanath_Swami/Lectures/00_-_Year_wise/Devotional_Nectar_-_1990/1990-049_Krsna_Needs_Your_Surrender_SB-08-01-15_Mumbai_-_1990-04-30_IDesireTree.mp3", "1990-049_Krsna_Needs_Your_Surrender_SB-08-01-15_Mumbai_-_1990-04-30_IDesireTree.mp3")</f>
        <v>1990-049_Krsna_Needs_Your_Surrender_SB-08-01-15_Mumbai_-_1990-04-30_IDesireTree.mp3</v>
      </c>
      <c r="D144" s="11"/>
      <c r="E144" s="11"/>
    </row>
    <row r="145" spans="1:5">
      <c r="A145" s="12" t="s">
        <v>12462</v>
      </c>
      <c r="B145" s="12" t="e">
        <v>#VALUE!</v>
      </c>
      <c r="C145" s="13" t="e">
        <f>HYPERLINK("https://audio.iskcondesiretree.com/02_-_ISKCON_Swamis/ISKCON_Swamis_-_R_to_Y/His_Holiness_Radhanath_Swami/Lectures/00_-_Year_wise/Devotional_Nectar_-_1990/1990-050_Controlling_Others-_Greatest_Sense_Gratification_SB-08_01_17-18_Mumbai_-_02-05-90_IDesireTr"&amp;"ee.mp3", "1990-050_Controlling_Others-_Greatest_Sense_Gratification_SB-08_01_17-18_Mumbai_-_02-05-90_IDesireTree.mp3")</f>
        <v>#VALUE!</v>
      </c>
      <c r="D145" s="11"/>
      <c r="E145" s="11"/>
    </row>
    <row r="146" spans="1:5">
      <c r="A146" s="12" t="s">
        <v>12462</v>
      </c>
      <c r="B146" s="12" t="s">
        <v>13123</v>
      </c>
      <c r="C146" s="13" t="str">
        <f>HYPERLINK("https://audio.iskcondesiretree.com/02_-_ISKCON_Swamis/ISKCON_Swamis_-_R_to_Y/His_Holiness_Radhanath_Swami/Lectures/00_-_Year_wise/Devotional_Nectar_-_1990/1990-051_What_Surrender_Means_SB-08_02_31-32_Mumbai_-_Radhanath_Swami_1990-05-20_IDesireTree.mp3", "1990-051_What_Surrender_Means_SB-08_02_31-32_Mumbai_-_Radhanath_Swami_1990-05-20_IDesireTree.mp3")</f>
        <v>1990-051_What_Surrender_Means_SB-08_02_31-32_Mumbai_-_Radhanath_Swami_1990-05-20_IDesireTree.mp3</v>
      </c>
      <c r="D146" s="11"/>
      <c r="E146" s="11"/>
    </row>
    <row r="147" spans="1:5">
      <c r="A147" s="12" t="s">
        <v>12462</v>
      </c>
      <c r="B147" s="12" t="s">
        <v>13124</v>
      </c>
      <c r="C147" s="13" t="str">
        <f>HYPERLINK("https://audio.iskcondesiretree.com/02_-_ISKCON_Swamis/ISKCON_Swamis_-_R_to_Y/His_Holiness_Radhanath_Swami/Lectures/00_-_Year_wise/Devotional_Nectar_-_1990/1990-052_Krishna_Never_Leaves_His_Devotees_BG-09_13_Mumbai_-_20-05-90_IDesireTree.mp3", "1990-052_Krishna_Never_Leaves_His_Devotees_BG-09_13_Mumbai_-_20-05-90_IDesireTree.mp3")</f>
        <v>1990-052_Krishna_Never_Leaves_His_Devotees_BG-09_13_Mumbai_-_20-05-90_IDesireTree.mp3</v>
      </c>
      <c r="D147" s="11"/>
      <c r="E147" s="11"/>
    </row>
    <row r="148" spans="1:5">
      <c r="A148" s="12" t="s">
        <v>12462</v>
      </c>
      <c r="B148" s="12" t="s">
        <v>13125</v>
      </c>
      <c r="C148" s="13" t="str">
        <f>HYPERLINK("https://audio.iskcondesiretree.com/02_-_ISKCON_Swamis/ISKCON_Swamis_-_R_to_Y/His_Holiness_Radhanath_Swami/Lectures/00_-_Year_wise/Devotional_Nectar_-_1990/1990-053_Devotees_Are_Undisturbed_Lecture_Mumbai_-_Radhanath_Swami_1990-05-25_IDesireTree.mp3", "1990-053_Devotees_Are_Undisturbed_Lecture_Mumbai_-_Radhanath_Swami_1990-05-25_IDesireTree.mp3")</f>
        <v>1990-053_Devotees_Are_Undisturbed_Lecture_Mumbai_-_Radhanath_Swami_1990-05-25_IDesireTree.mp3</v>
      </c>
      <c r="D148" s="11"/>
      <c r="E148" s="11"/>
    </row>
    <row r="149" spans="1:5">
      <c r="A149" s="12" t="s">
        <v>12462</v>
      </c>
      <c r="B149" s="12" t="s">
        <v>13126</v>
      </c>
      <c r="C149" s="13" t="str">
        <f>HYPERLINK("https://audio.iskcondesiretree.com/02_-_ISKCON_Swamis/ISKCON_Swamis_-_R_to_Y/His_Holiness_Radhanath_Swami/Lectures/00_-_Year_wise/Devotional_Nectar_-_1990/1990-054_Maya_comes_in_Disguise_SB-NV_-_Radhanath_Swami_1990-06-20_IDesireTree.mp3", "1990-054_Maya_comes_in_Disguise_SB-NV_-_Radhanath_Swami_1990-06-20_IDesireTree.mp3")</f>
        <v>1990-054_Maya_comes_in_Disguise_SB-NV_-_Radhanath_Swami_1990-06-20_IDesireTree.mp3</v>
      </c>
      <c r="D149" s="11"/>
      <c r="E149" s="11"/>
    </row>
    <row r="150" spans="1:5">
      <c r="A150" s="12" t="s">
        <v>12462</v>
      </c>
      <c r="B150" s="12" t="s">
        <v>13127</v>
      </c>
      <c r="C150" s="13" t="str">
        <f>HYPERLINK("https://audio.iskcondesiretree.com/02_-_ISKCON_Swamis/ISKCON_Swamis_-_R_to_Y/His_Holiness_Radhanath_Swami/Lectures/00_-_Year_wise/Devotional_Nectar_-_1990/1990-055_A_Vaishnava_Has_Faith_SB-08_05_47_Mumbai_-_Radhanath_Swami_1990-07-27_IDesireTree.mp3", "1990-055_A_Vaishnava_Has_Faith_SB-08_05_47_Mumbai_-_Radhanath_Swami_1990-07-27_IDesireTree.mp3")</f>
        <v>1990-055_A_Vaishnava_Has_Faith_SB-08_05_47_Mumbai_-_Radhanath_Swami_1990-07-27_IDesireTree.mp3</v>
      </c>
      <c r="D150" s="11"/>
      <c r="E150" s="11"/>
    </row>
    <row r="151" spans="1:5">
      <c r="A151" s="12" t="s">
        <v>12462</v>
      </c>
      <c r="B151" s="12" t="s">
        <v>13128</v>
      </c>
      <c r="C151" s="13" t="str">
        <f>HYPERLINK("https://audio.iskcondesiretree.com/02_-_ISKCON_Swamis/ISKCON_Swamis_-_R_to_Y/His_Holiness_Radhanath_Swami/Lectures/00_-_Year_wise/Devotional_Nectar_-_1990/1990-056_Association_Of_Devotees_BG-10_09_Mumbai_-_Radhanath_Swami_1990-07-27_IDesireTree.mp3", "1990-056_Association_Of_Devotees_BG-10_09_Mumbai_-_Radhanath_Swami_1990-07-27_IDesireTree.mp3")</f>
        <v>1990-056_Association_Of_Devotees_BG-10_09_Mumbai_-_Radhanath_Swami_1990-07-27_IDesireTree.mp3</v>
      </c>
      <c r="D151" s="11"/>
      <c r="E151" s="11"/>
    </row>
    <row r="152" spans="1:5">
      <c r="A152" s="12" t="s">
        <v>12462</v>
      </c>
      <c r="B152" s="12" t="e">
        <v>#VALUE!</v>
      </c>
      <c r="C152" s="13" t="e">
        <f>HYPERLINK("https://audio.iskcondesiretree.com/02_-_ISKCON_Swamis/ISKCON_Swamis_-_R_to_Y/His_Holiness_Radhanath_Swami/Lectures/00_-_Year_wise/Devotional_Nectar_-_1990/1990-057_Irrespective_Of_Desire_Engage_In_Krsna%27s_Service_SB-08_05_48_Mumbai_-_28-07-90_IDesireTre"&amp;"e.mp3", "1990-057_Irrespective_Of_Desire_Engage_In_Krsna%27s_Service_SB-08_05_48_Mumbai_-_28-07-90_IDesireTree.mp3")</f>
        <v>#VALUE!</v>
      </c>
      <c r="D152" s="11"/>
      <c r="E152" s="11"/>
    </row>
    <row r="153" spans="1:5">
      <c r="A153" s="12" t="s">
        <v>12462</v>
      </c>
      <c r="B153" s="12" t="s">
        <v>13129</v>
      </c>
      <c r="C153" s="13" t="str">
        <f>HYPERLINK("https://audio.iskcondesiretree.com/02_-_ISKCON_Swamis/ISKCON_Swamis_-_R_to_Y/His_Holiness_Radhanath_Swami/Lectures/00_-_Year_wise/Devotional_Nectar_-_1990/1990-058_Trust_In_Mercy_Of_God_SB-08_06_14_Mumbai_-_Radhanath_Swami_1990-08-09_IDesireTree.mp3", "1990-058_Trust_In_Mercy_Of_God_SB-08_06_14_Mumbai_-_Radhanath_Swami_1990-08-09_IDesireTree.mp3")</f>
        <v>1990-058_Trust_In_Mercy_Of_God_SB-08_06_14_Mumbai_-_Radhanath_Swami_1990-08-09_IDesireTree.mp3</v>
      </c>
      <c r="D153" s="11"/>
      <c r="E153" s="11"/>
    </row>
    <row r="154" spans="1:5">
      <c r="A154" s="12" t="s">
        <v>12462</v>
      </c>
      <c r="B154" s="12" t="s">
        <v>13130</v>
      </c>
      <c r="C154" s="13" t="str">
        <f>HYPERLINK("https://audio.iskcondesiretree.com/02_-_ISKCON_Swamis/ISKCON_Swamis_-_R_to_Y/His_Holiness_Radhanath_Swami/Lectures/00_-_Year_wise/Devotional_Nectar_-_1990/1990-059_A_friend_indeed_SB-09_04_38_Mumbai_-_Radhanath_Swami_1990-08-10_IDesireTree.mp3", "1990-059_A_friend_indeed_SB-09_04_38_Mumbai_-_Radhanath_Swami_1990-08-10_IDesireTree.mp3")</f>
        <v>1990-059_A_friend_indeed_SB-09_04_38_Mumbai_-_Radhanath_Swami_1990-08-10_IDesireTree.mp3</v>
      </c>
      <c r="D154" s="11"/>
      <c r="E154" s="11"/>
    </row>
    <row r="155" spans="1:5">
      <c r="A155" s="12" t="s">
        <v>12462</v>
      </c>
      <c r="B155" s="12" t="s">
        <v>13131</v>
      </c>
      <c r="C155" s="13" t="str">
        <f>HYPERLINK("https://audio.iskcondesiretree.com/02_-_ISKCON_Swamis/ISKCON_Swamis_-_R_to_Y/His_Holiness_Radhanath_Swami/Lectures/00_-_Year_wise/Devotional_Nectar_-_1990/1990-060_Humility_BG-18_55_Mumbai_-_Radhanath_Swami_1990-08-11_IDesireTree.mp3", "1990-060_Humility_BG-18_55_Mumbai_-_Radhanath_Swami_1990-08-11_IDesireTree.mp3")</f>
        <v>1990-060_Humility_BG-18_55_Mumbai_-_Radhanath_Swami_1990-08-11_IDesireTree.mp3</v>
      </c>
      <c r="D155" s="11"/>
      <c r="E155" s="11"/>
    </row>
    <row r="156" spans="1:5">
      <c r="A156" s="12" t="s">
        <v>12462</v>
      </c>
      <c r="B156" s="12" t="s">
        <v>13132</v>
      </c>
      <c r="C156" s="13" t="str">
        <f>HYPERLINK("https://audio.iskcondesiretree.com/02_-_ISKCON_Swamis/ISKCON_Swamis_-_R_to_Y/His_Holiness_Radhanath_Swami/Lectures/00_-_Year_wise/Devotional_Nectar_-_1990/1990-061_What_Janmashtami_Really_Means_BG-11_53_-_Radhanath_Swami_1990-08-12_IDesireTree.mp3", "1990-061_What_Janmashtami_Really_Means_BG-11_53_-_Radhanath_Swami_1990-08-12_IDesireTree.mp3")</f>
        <v>1990-061_What_Janmashtami_Really_Means_BG-11_53_-_Radhanath_Swami_1990-08-12_IDesireTree.mp3</v>
      </c>
      <c r="D156" s="11"/>
      <c r="E156" s="11"/>
    </row>
    <row r="157" spans="1:5">
      <c r="A157" s="12" t="s">
        <v>12462</v>
      </c>
      <c r="B157" s="12" t="s">
        <v>13133</v>
      </c>
      <c r="C157" s="13" t="str">
        <f>HYPERLINK("https://audio.iskcondesiretree.com/02_-_ISKCON_Swamis/ISKCON_Swamis_-_R_to_Y/His_Holiness_Radhanath_Swami/Lectures/00_-_Year_wise/Devotional_Nectar_-_1990/1990-062_Prabhupad_Lecture_Mumbai_-_Radhanath_Swami_1990-08-15_IDesireTree.mp3", "1990-062_Prabhupad_Lecture_Mumbai_-_Radhanath_Swami_1990-08-15_IDesireTree.mp3")</f>
        <v>1990-062_Prabhupad_Lecture_Mumbai_-_Radhanath_Swami_1990-08-15_IDesireTree.mp3</v>
      </c>
      <c r="D157" s="11"/>
      <c r="E157" s="11"/>
    </row>
    <row r="158" spans="1:5">
      <c r="A158" s="12" t="s">
        <v>12462</v>
      </c>
      <c r="B158" s="12" t="s">
        <v>13134</v>
      </c>
      <c r="C158" s="13" t="str">
        <f>HYPERLINK("https://audio.iskcondesiretree.com/02_-_ISKCON_Swamis/ISKCON_Swamis_-_R_to_Y/His_Holiness_Radhanath_Swami/Lectures/00_-_Year_wise/Devotional_Nectar_-_1990/1990-063_Beg_For_Guru_Maharaj_SB-08_06_26-28_Mumbai_-_Radhanath_Swami_1990-08-16_IDesireTree.mp3", "1990-063_Beg_For_Guru_Maharaj_SB-08_06_26-28_Mumbai_-_Radhanath_Swami_1990-08-16_IDesireTree.mp3")</f>
        <v>1990-063_Beg_For_Guru_Maharaj_SB-08_06_26-28_Mumbai_-_Radhanath_Swami_1990-08-16_IDesireTree.mp3</v>
      </c>
      <c r="D158" s="11"/>
      <c r="E158" s="11"/>
    </row>
    <row r="159" spans="1:5">
      <c r="A159" s="12" t="s">
        <v>12462</v>
      </c>
      <c r="B159" s="12" t="s">
        <v>13135</v>
      </c>
      <c r="C159" s="13" t="str">
        <f>HYPERLINK("https://audio.iskcondesiretree.com/02_-_ISKCON_Swamis/ISKCON_Swamis_-_R_to_Y/His_Holiness_Radhanath_Swami/Lectures/00_-_Year_wise/Devotional_Nectar_-_1990/1990-064_Sense_Enjoyment_Means_Spiritual_Death_SB-08_06_36-37_Mumbai_-_20-08-90_IDesireTree.mp3", "1990-064_Sense_Enjoyment_Means_Spiritual_Death_SB-08_06_36-37_Mumbai_-_20-08-90_IDesireTree.mp3")</f>
        <v>1990-064_Sense_Enjoyment_Means_Spiritual_Death_SB-08_06_36-37_Mumbai_-_20-08-90_IDesireTree.mp3</v>
      </c>
      <c r="D159" s="11"/>
      <c r="E159" s="11"/>
    </row>
    <row r="160" spans="1:5">
      <c r="A160" s="12" t="s">
        <v>12462</v>
      </c>
      <c r="B160" s="12" t="s">
        <v>13136</v>
      </c>
      <c r="C160" s="13" t="str">
        <f>HYPERLINK("https://audio.iskcondesiretree.com/02_-_ISKCON_Swamis/ISKCON_Swamis_-_R_to_Y/His_Holiness_Radhanath_Swami/Lectures/00_-_Year_wise/Devotional_Nectar_-_1990/1990-065_Thy_Will_Be_Done_SB-08_06_39_Mumbai_-_Radhanath_Swami_1990-08-21_IDesireTree.mp3", "1990-065_Thy_Will_Be_Done_SB-08_06_39_Mumbai_-_Radhanath_Swami_1990-08-21_IDesireTree.mp3")</f>
        <v>1990-065_Thy_Will_Be_Done_SB-08_06_39_Mumbai_-_Radhanath_Swami_1990-08-21_IDesireTree.mp3</v>
      </c>
      <c r="D160" s="11"/>
      <c r="E160" s="11"/>
    </row>
    <row r="161" spans="1:5">
      <c r="A161" s="12" t="s">
        <v>12462</v>
      </c>
      <c r="B161" s="12" t="s">
        <v>13137</v>
      </c>
      <c r="C161" s="13" t="str">
        <f>HYPERLINK("https://audio.iskcondesiretree.com/02_-_ISKCON_Swamis/ISKCON_Swamis_-_R_to_Y/His_Holiness_Radhanath_Swami/Lectures/00_-_Year_wise/Devotional_Nectar_-_1990/1990-066_Willing_To_Be_Instrument_Of_God_SB-08_06_39_Mumbai_-_22-08-90_IDesireTree.mp3", "1990-066_Willing_To_Be_Instrument_Of_God_SB-08_06_39_Mumbai_-_22-08-90_IDesireTree.mp3")</f>
        <v>1990-066_Willing_To_Be_Instrument_Of_God_SB-08_06_39_Mumbai_-_22-08-90_IDesireTree.mp3</v>
      </c>
      <c r="D161" s="11"/>
      <c r="E161" s="11"/>
    </row>
    <row r="162" spans="1:5">
      <c r="A162" s="12" t="s">
        <v>12462</v>
      </c>
      <c r="B162" s="12" t="s">
        <v>13138</v>
      </c>
      <c r="C162" s="13" t="str">
        <f>HYPERLINK("https://audio.iskcondesiretree.com/02_-_ISKCON_Swamis/ISKCON_Swamis_-_R_to_Y/His_Holiness_Radhanath_Swami/Lectures/00_-_Year_wise/Devotional_Nectar_-_1990/1990-067_First_take_the_speck_out_of_your_eye_BG-08_07_04_Mumbai_-_23-8-90_IDesireTree.mp3", "1990-067_First_take_the_speck_out_of_your_eye_BG-08_07_04_Mumbai_-_23-8-90_IDesireTree.mp3")</f>
        <v>1990-067_First_take_the_speck_out_of_your_eye_BG-08_07_04_Mumbai_-_23-8-90_IDesireTree.mp3</v>
      </c>
      <c r="D162" s="11"/>
      <c r="E162" s="11"/>
    </row>
    <row r="163" spans="1:5">
      <c r="A163" s="12" t="s">
        <v>12462</v>
      </c>
      <c r="B163" s="12" t="s">
        <v>13139</v>
      </c>
      <c r="C163" s="13" t="str">
        <f>HYPERLINK("https://audio.iskcondesiretree.com/02_-_ISKCON_Swamis/ISKCON_Swamis_-_R_to_Y/His_Holiness_Radhanath_Swami/Lectures/00_-_Year_wise/Devotional_Nectar_-_1990/1990-068_Making_Krishna_Happy_SB-08_07_05-06_Mumbai_-_Radhanath_Swami_1990-08-24_IDesireTree.mp3", "1990-068_Making_Krishna_Happy_SB-08_07_05-06_Mumbai_-_Radhanath_Swami_1990-08-24_IDesireTree.mp3")</f>
        <v>1990-068_Making_Krishna_Happy_SB-08_07_05-06_Mumbai_-_Radhanath_Swami_1990-08-24_IDesireTree.mp3</v>
      </c>
      <c r="D163" s="11"/>
      <c r="E163" s="11"/>
    </row>
    <row r="164" spans="1:5">
      <c r="A164" s="12" t="s">
        <v>12462</v>
      </c>
      <c r="B164" s="12" t="s">
        <v>13140</v>
      </c>
      <c r="C164" s="13" t="str">
        <f>HYPERLINK("https://audio.iskcondesiretree.com/02_-_ISKCON_Swamis/ISKCON_Swamis_-_R_to_Y/His_Holiness_Radhanath_Swami/Lectures/00_-_Year_wise/Devotional_Nectar_-_1990/1990-069_The_Perfect_Worship_Of_Lord_Ganesh_BG-02_45_Mumbai_-_26-08-90_IDesireTree.mp3", "1990-069_The_Perfect_Worship_Of_Lord_Ganesh_BG-02_45_Mumbai_-_26-08-90_IDesireTree.mp3")</f>
        <v>1990-069_The_Perfect_Worship_Of_Lord_Ganesh_BG-02_45_Mumbai_-_26-08-90_IDesireTree.mp3</v>
      </c>
      <c r="D164" s="11"/>
      <c r="E164" s="11"/>
    </row>
    <row r="165" spans="1:5">
      <c r="A165" s="12" t="s">
        <v>12462</v>
      </c>
      <c r="B165" s="12" t="e">
        <v>#VALUE!</v>
      </c>
      <c r="C165" s="13" t="e">
        <f>HYPERLINK("https://audio.iskcondesiretree.com/02_-_ISKCON_Swamis/ISKCON_Swamis_-_R_to_Y/His_Holiness_Radhanath_Swami/Lectures/00_-_Year_wise/Devotional_Nectar_-_1990/1990-070_Cause_Of_Lord%27s_Descent_SB-08_07_09-10_Mumbai_-_Radhanath_Swami_1990-08-26_IDesireTree.mp"&amp;"3", "1990-070_Cause_Of_Lord%27s_Descent_SB-08_07_09-10_Mumbai_-_Radhanath_Swami_1990-08-26_IDesireTree.mp3")</f>
        <v>#VALUE!</v>
      </c>
      <c r="D165" s="11"/>
      <c r="E165" s="11"/>
    </row>
    <row r="166" spans="1:5">
      <c r="A166" s="12" t="s">
        <v>12462</v>
      </c>
      <c r="B166" s="12" t="s">
        <v>13141</v>
      </c>
      <c r="C166" s="13" t="str">
        <f>HYPERLINK("https://audio.iskcondesiretree.com/02_-_ISKCON_Swamis/ISKCON_Swamis_-_R_to_Y/His_Holiness_Radhanath_Swami/Lectures/00_-_Year_wise/Devotional_Nectar_-_1990/1990-071_Humiliation_SB-08_07_12_Mumbai_-_Radhanath_Swami_1990-08-27_IDesireTree.mp3", "1990-071_Humiliation_SB-08_07_12_Mumbai_-_Radhanath_Swami_1990-08-27_IDesireTree.mp3")</f>
        <v>1990-071_Humiliation_SB-08_07_12_Mumbai_-_Radhanath_Swami_1990-08-27_IDesireTree.mp3</v>
      </c>
      <c r="D166" s="11"/>
      <c r="E166" s="11"/>
    </row>
    <row r="167" spans="1:5">
      <c r="A167" s="12" t="s">
        <v>12462</v>
      </c>
      <c r="B167" s="12" t="s">
        <v>13142</v>
      </c>
      <c r="C167" s="13" t="str">
        <f>HYPERLINK("https://audio.iskcondesiretree.com/02_-_ISKCON_Swamis/ISKCON_Swamis_-_R_to_Y/His_Holiness_Radhanath_Swami/Lectures/00_-_Year_wise/Devotional_Nectar_-_1990/1990-072_Offering_To_Radharani_CC_AL-01_04_06_Mumbai_-_Radhanath_Swami_1990-08-28_IDesireTree.mp3", "1990-072_Offering_To_Radharani_CC_AL-01_04_06_Mumbai_-_Radhanath_Swami_1990-08-28_IDesireTree.mp3")</f>
        <v>1990-072_Offering_To_Radharani_CC_AL-01_04_06_Mumbai_-_Radhanath_Swami_1990-08-28_IDesireTree.mp3</v>
      </c>
      <c r="D167" s="11"/>
      <c r="E167" s="11"/>
    </row>
    <row r="168" spans="1:5">
      <c r="A168" s="12" t="s">
        <v>12462</v>
      </c>
      <c r="B168" s="12" t="s">
        <v>13143</v>
      </c>
      <c r="C168" s="13" t="str">
        <f>HYPERLINK("https://audio.iskcondesiretree.com/02_-_ISKCON_Swamis/ISKCON_Swamis_-_R_to_Y/His_Holiness_Radhanath_Swami/Lectures/00_-_Year_wise/Devotional_Nectar_-_1990/1990-073_Understanding_Of_Srimati_Radharani_CC-01_04_06_Mumbai_-_28-08-90_IDesireTree.mp3", "1990-073_Understanding_Of_Srimati_Radharani_CC-01_04_06_Mumbai_-_28-08-90_IDesireTree.mp3")</f>
        <v>1990-073_Understanding_Of_Srimati_Radharani_CC-01_04_06_Mumbai_-_28-08-90_IDesireTree.mp3</v>
      </c>
      <c r="D168" s="11"/>
      <c r="E168" s="11"/>
    </row>
    <row r="169" spans="1:5">
      <c r="A169" s="12" t="s">
        <v>12462</v>
      </c>
      <c r="B169" s="12" t="s">
        <v>13144</v>
      </c>
      <c r="C169" s="13" t="str">
        <f>HYPERLINK("https://audio.iskcondesiretree.com/02_-_ISKCON_Swamis/ISKCON_Swamis_-_R_to_Y/His_Holiness_Radhanath_Swami/Lectures/00_-_Year_wise/Devotional_Nectar_-_1990/1990-074_Perfect_Love_Lecture_Mumbai_-_Radhanath_Swami_1990-08-28_IDesireTree.mp3", "1990-074_Perfect_Love_Lecture_Mumbai_-_Radhanath_Swami_1990-08-28_IDesireTree.mp3")</f>
        <v>1990-074_Perfect_Love_Lecture_Mumbai_-_Radhanath_Swami_1990-08-28_IDesireTree.mp3</v>
      </c>
      <c r="D169" s="11"/>
      <c r="E169" s="11"/>
    </row>
    <row r="170" spans="1:5">
      <c r="A170" s="12" t="s">
        <v>12462</v>
      </c>
      <c r="B170" s="12" t="s">
        <v>13145</v>
      </c>
      <c r="C170" s="13" t="str">
        <f>HYPERLINK("https://audio.iskcondesiretree.com/02_-_ISKCON_Swamis/ISKCON_Swamis_-_R_to_Y/His_Holiness_Radhanath_Swami/Lectures/00_-_Year_wise/Devotional_Nectar_-_1990/1990-075_Spiritual_Life_Means_Warfare_SB-08_07_01-09_Mumbai_-_29-08-90_IDesireTree.mp3", "1990-075_Spiritual_Life_Means_Warfare_SB-08_07_01-09_Mumbai_-_29-08-90_IDesireTree.mp3")</f>
        <v>1990-075_Spiritual_Life_Means_Warfare_SB-08_07_01-09_Mumbai_-_29-08-90_IDesireTree.mp3</v>
      </c>
      <c r="D170" s="11"/>
      <c r="E170" s="11"/>
    </row>
    <row r="171" spans="1:5">
      <c r="A171" s="12" t="s">
        <v>12462</v>
      </c>
      <c r="B171" s="12" t="s">
        <v>13146</v>
      </c>
      <c r="C171" s="13" t="str">
        <f>HYPERLINK("https://audio.iskcondesiretree.com/02_-_ISKCON_Swamis/ISKCON_Swamis_-_R_to_Y/His_Holiness_Radhanath_Swami/Lectures/00_-_Year_wise/Devotional_Nectar_-_1990/1990-076_Krishna_Always_Glorifies_His_Devotees_SB-08_07_21_Mumbai_-_31-08-90_IDesireTree.mp3", "1990-076_Krishna_Always_Glorifies_His_Devotees_SB-08_07_21_Mumbai_-_31-08-90_IDesireTree.mp3")</f>
        <v>1990-076_Krishna_Always_Glorifies_His_Devotees_SB-08_07_21_Mumbai_-_31-08-90_IDesireTree.mp3</v>
      </c>
      <c r="D171" s="11"/>
      <c r="E171" s="11"/>
    </row>
    <row r="172" spans="1:5">
      <c r="A172" s="12" t="s">
        <v>12462</v>
      </c>
      <c r="B172" s="12" t="s">
        <v>13147</v>
      </c>
      <c r="C172" s="13" t="str">
        <f>HYPERLINK("https://audio.iskcondesiretree.com/02_-_ISKCON_Swamis/ISKCON_Swamis_-_R_to_Y/His_Holiness_Radhanath_Swami/Lectures/00_-_Year_wise/Devotional_Nectar_-_1990/1990-077_Surrendering_Everything_Lecture_Mumbai_-_Radhanath_Swami_1990-09-02_IDesireTree.mp3", "1990-077_Surrendering_Everything_Lecture_Mumbai_-_Radhanath_Swami_1990-09-02_IDesireTree.mp3")</f>
        <v>1990-077_Surrendering_Everything_Lecture_Mumbai_-_Radhanath_Swami_1990-09-02_IDesireTree.mp3</v>
      </c>
      <c r="D172" s="11"/>
      <c r="E172" s="11"/>
    </row>
    <row r="173" spans="1:5">
      <c r="A173" s="12" t="s">
        <v>12462</v>
      </c>
      <c r="B173" s="12" t="s">
        <v>13148</v>
      </c>
      <c r="C173" s="13" t="str">
        <f>HYPERLINK("https://audio.iskcondesiretree.com/02_-_ISKCON_Swamis/ISKCON_Swamis_-_R_to_Y/His_Holiness_Radhanath_Swami/Lectures/00_-_Year_wise/Devotional_Nectar_-_1990/1990-078_Gravity_Of_Offence_SB-08_07_22_Mumbai_-_Radhanath_Swami_1990-09-03_IDesireTree.mp3", "1990-078_Gravity_Of_Offence_SB-08_07_22_Mumbai_-_Radhanath_Swami_1990-09-03_IDesireTree.mp3")</f>
        <v>1990-078_Gravity_Of_Offence_SB-08_07_22_Mumbai_-_Radhanath_Swami_1990-09-03_IDesireTree.mp3</v>
      </c>
      <c r="D173" s="11"/>
      <c r="E173" s="11"/>
    </row>
    <row r="174" spans="1:5">
      <c r="A174" s="12" t="s">
        <v>12462</v>
      </c>
      <c r="B174" s="12" t="s">
        <v>13149</v>
      </c>
      <c r="C174" s="13" t="str">
        <f>HYPERLINK("https://audio.iskcondesiretree.com/02_-_ISKCON_Swamis/ISKCON_Swamis_-_R_to_Y/His_Holiness_Radhanath_Swami/Lectures/00_-_Year_wise/Devotional_Nectar_-_1990/1990-079_Comitting_To_This_Great_Mission_SB-08_07_24_Mumbai_-_05-09-90_IDesireTree.mp3", "1990-079_Comitting_To_This_Great_Mission_SB-08_07_24_Mumbai_-_05-09-90_IDesireTree.mp3")</f>
        <v>1990-079_Comitting_To_This_Great_Mission_SB-08_07_24_Mumbai_-_05-09-90_IDesireTree.mp3</v>
      </c>
      <c r="D174" s="11"/>
      <c r="E174" s="11"/>
    </row>
    <row r="175" spans="1:5">
      <c r="A175" s="12" t="s">
        <v>12462</v>
      </c>
      <c r="B175" s="12" t="s">
        <v>13150</v>
      </c>
      <c r="C175" s="13" t="str">
        <f>HYPERLINK("https://audio.iskcondesiretree.com/02_-_ISKCON_Swamis/ISKCON_Swamis_-_R_to_Y/His_Holiness_Radhanath_Swami/Lectures/00_-_Year_wise/Devotional_Nectar_-_1990/1990-080_Vaishnava_Activities-_Incomprehensible_SB-08_07_23_Mumbai_-_06-09-90_IDesireTree.mp3", "1990-080_Vaishnava_Activities-_Incomprehensible_SB-08_07_23_Mumbai_-_06-09-90_IDesireTree.mp3")</f>
        <v>1990-080_Vaishnava_Activities-_Incomprehensible_SB-08_07_23_Mumbai_-_06-09-90_IDesireTree.mp3</v>
      </c>
      <c r="D175" s="11"/>
      <c r="E175" s="11"/>
    </row>
    <row r="176" spans="1:5">
      <c r="A176" s="12" t="s">
        <v>12462</v>
      </c>
      <c r="B176" s="12" t="s">
        <v>13151</v>
      </c>
      <c r="C176" s="13" t="str">
        <f>HYPERLINK("https://audio.iskcondesiretree.com/02_-_ISKCON_Swamis/ISKCON_Swamis_-_R_to_Y/His_Holiness_Radhanath_Swami/Lectures/00_-_Year_wise/Devotional_Nectar_-_1990/1990-081_Seperation_BG-02_66_Mumbai_-_Radhanath_Swami_1990-09-17_IDesireTree.mp3", "1990-081_Seperation_BG-02_66_Mumbai_-_Radhanath_Swami_1990-09-17_IDesireTree.mp3")</f>
        <v>1990-081_Seperation_BG-02_66_Mumbai_-_Radhanath_Swami_1990-09-17_IDesireTree.mp3</v>
      </c>
      <c r="D176" s="11"/>
      <c r="E176" s="11"/>
    </row>
    <row r="177" spans="1:5">
      <c r="A177" s="12" t="s">
        <v>12462</v>
      </c>
      <c r="B177" s="12" t="s">
        <v>13152</v>
      </c>
      <c r="C177" s="13" t="str">
        <f>HYPERLINK("https://audio.iskcondesiretree.com/02_-_ISKCON_Swamis/ISKCON_Swamis_-_R_to_Y/His_Holiness_Radhanath_Swami/Lectures/00_-_Year_wise/Devotional_Nectar_-_1990/1990-082_Nothing_Is_Ours_Lecture_Mumbai_-_Radhanath_Swami_1990-09-29_IDesireTree.mp3", "1990-082_Nothing_Is_Ours_Lecture_Mumbai_-_Radhanath_Swami_1990-09-29_IDesireTree.mp3")</f>
        <v>1990-082_Nothing_Is_Ours_Lecture_Mumbai_-_Radhanath_Swami_1990-09-29_IDesireTree.mp3</v>
      </c>
      <c r="D177" s="11"/>
      <c r="E177" s="11"/>
    </row>
    <row r="178" spans="1:5">
      <c r="A178" s="12" t="s">
        <v>12462</v>
      </c>
      <c r="B178" s="12" t="s">
        <v>13153</v>
      </c>
      <c r="C178" s="13" t="str">
        <f>HYPERLINK("https://audio.iskcondesiretree.com/02_-_ISKCON_Swamis/ISKCON_Swamis_-_R_to_Y/His_Holiness_Radhanath_Swami/Lectures/00_-_Year_wise/Devotional_Nectar_-_1990/1990-083_Opening_Spiritual_Eyes_BG-11_04_Mumbai_-_Radhanath_Swami_1990-02-18_IDesireTree.mp3", "1990-083_Opening_Spiritual_Eyes_BG-11_04_Mumbai_-_Radhanath_Swami_1990-02-18_IDesireTree.mp3")</f>
        <v>1990-083_Opening_Spiritual_Eyes_BG-11_04_Mumbai_-_Radhanath_Swami_1990-02-18_IDesireTree.mp3</v>
      </c>
      <c r="D178" s="11"/>
      <c r="E178" s="11"/>
    </row>
    <row r="179" spans="1:5">
      <c r="A179" s="12" t="s">
        <v>12462</v>
      </c>
      <c r="B179" s="12" t="s">
        <v>13154</v>
      </c>
      <c r="C179" s="13" t="str">
        <f>HYPERLINK("https://audio.iskcondesiretree.com/02_-_ISKCON_Swamis/ISKCON_Swamis_-_R_to_Y/His_Holiness_Radhanath_Swami/Lectures/00_-_Year_wise/Devotional_Nectar_-_1990/1990-084_Rasa_Lila_CC_-_Radhanath_Swami_IDesireTree.mp3", "1990-084_Rasa_Lila_CC_-_Radhanath_Swami_IDesireTree.mp3")</f>
        <v>1990-084_Rasa_Lila_CC_-_Radhanath_Swami_IDesireTree.mp3</v>
      </c>
      <c r="D179" s="11"/>
      <c r="E179" s="11"/>
    </row>
    <row r="180" spans="1:5">
      <c r="A180" s="12" t="s">
        <v>12462</v>
      </c>
      <c r="B180" s="12" t="s">
        <v>13155</v>
      </c>
      <c r="C180" s="13" t="str">
        <f>HYPERLINK("https://audio.iskcondesiretree.com/02_-_ISKCON_Swamis/ISKCON_Swamis_-_R_to_Y/His_Holiness_Radhanath_Swami/Lectures/00_-_Year_wise/Devotional_Nectar_-_1990/1990-085_How_To_Become_Pure_Devotee_Lecture_Mumbai_-_Radhanath_Swami_1990-10-04_IDesireTree.mp3", "1990-085_How_To_Become_Pure_Devotee_Lecture_Mumbai_-_Radhanath_Swami_1990-10-04_IDesireTree.mp3")</f>
        <v>1990-085_How_To_Become_Pure_Devotee_Lecture_Mumbai_-_Radhanath_Swami_1990-10-04_IDesireTree.mp3</v>
      </c>
      <c r="D180" s="11"/>
      <c r="E180" s="11"/>
    </row>
    <row r="181" spans="1:5">
      <c r="A181" s="12" t="s">
        <v>12462</v>
      </c>
      <c r="B181" s="12" t="s">
        <v>13156</v>
      </c>
      <c r="C181" s="13" t="str">
        <f>HYPERLINK("https://audio.iskcondesiretree.com/02_-_ISKCON_Swamis/ISKCON_Swamis_-_R_to_Y/His_Holiness_Radhanath_Swami/Lectures/00_-_Year_wise/Devotional_Nectar_-_1990/1990-086_Determination_BG-02_41_Mumbai_-_Radhanath_Swami_1990-10-05_IDesireTree.mp3", "1990-086_Determination_BG-02_41_Mumbai_-_Radhanath_Swami_1990-10-05_IDesireTree.mp3")</f>
        <v>1990-086_Determination_BG-02_41_Mumbai_-_Radhanath_Swami_1990-10-05_IDesireTree.mp3</v>
      </c>
      <c r="D181" s="11"/>
      <c r="E181" s="11"/>
    </row>
    <row r="182" spans="1:5">
      <c r="A182" s="12" t="s">
        <v>12462</v>
      </c>
      <c r="B182" s="12" t="s">
        <v>13157</v>
      </c>
      <c r="C182" s="13" t="str">
        <f>HYPERLINK("https://audio.iskcondesiretree.com/02_-_ISKCON_Swamis/ISKCON_Swamis_-_R_to_Y/His_Holiness_Radhanath_Swami/Lectures/00_-_Year_wise/Devotional_Nectar_-_1990/1990-087_Be_Fixed_In_Your_Aim_BG-08_27_Mumbai_-_Radhanath_Swami_1990-10-06_IDesireTree.mp3", "1990-087_Be_Fixed_In_Your_Aim_BG-08_27_Mumbai_-_Radhanath_Swami_1990-10-06_IDesireTree.mp3")</f>
        <v>1990-087_Be_Fixed_In_Your_Aim_BG-08_27_Mumbai_-_Radhanath_Swami_1990-10-06_IDesireTree.mp3</v>
      </c>
      <c r="D182" s="11"/>
      <c r="E182" s="11"/>
    </row>
    <row r="183" spans="1:5">
      <c r="A183" s="12" t="s">
        <v>12462</v>
      </c>
      <c r="B183" s="12" t="s">
        <v>13158</v>
      </c>
      <c r="C183" s="13" t="str">
        <f>HYPERLINK("https://audio.iskcondesiretree.com/02_-_ISKCON_Swamis/ISKCON_Swamis_-_R_to_Y/His_Holiness_Radhanath_Swami/Lectures/00_-_Year_wise/Devotional_Nectar_-_1990/1990-088_Be_Enthusiastic_CC_ML-01_02_Mumbai_-_Radhanath_Swami_1990-10-06_new_IDesireTree.mp3", "1990-088_Be_Enthusiastic_CC_ML-01_02_Mumbai_-_Radhanath_Swami_1990-10-06_new_IDesireTree.mp3")</f>
        <v>1990-088_Be_Enthusiastic_CC_ML-01_02_Mumbai_-_Radhanath_Swami_1990-10-06_new_IDesireTree.mp3</v>
      </c>
      <c r="D183" s="11"/>
      <c r="E183" s="11"/>
    </row>
    <row r="184" spans="1:5">
      <c r="A184" s="12" t="s">
        <v>12462</v>
      </c>
      <c r="B184" s="12" t="s">
        <v>13159</v>
      </c>
      <c r="C184" s="13" t="str">
        <f>HYPERLINK("https://audio.iskcondesiretree.com/02_-_ISKCON_Swamis/ISKCON_Swamis_-_R_to_Y/His_Holiness_Radhanath_Swami/Lectures/00_-_Year_wise/Devotional_Nectar_-_1990/1990-089_Uniting_For_The_Pleasure_Of_Krishna_SB-08_07_04-06_Mumbai_-_07-10-90_IDesireTree.mp3", "1990-089_Uniting_For_The_Pleasure_Of_Krishna_SB-08_07_04-06_Mumbai_-_07-10-90_IDesireTree.mp3")</f>
        <v>1990-089_Uniting_For_The_Pleasure_Of_Krishna_SB-08_07_04-06_Mumbai_-_07-10-90_IDesireTree.mp3</v>
      </c>
      <c r="D184" s="11"/>
      <c r="E184" s="11"/>
    </row>
    <row r="185" spans="1:5">
      <c r="A185" s="12" t="s">
        <v>12462</v>
      </c>
      <c r="B185" s="12" t="s">
        <v>13160</v>
      </c>
      <c r="C185" s="13" t="str">
        <f>HYPERLINK("https://audio.iskcondesiretree.com/02_-_ISKCON_Swamis/ISKCON_Swamis_-_R_to_Y/His_Holiness_Radhanath_Swami/Lectures/00_-_Year_wise/Devotional_Nectar_-_1990/1990-090_God_Is_Subordinate_To_His_Devotees_BG-10_10_Mumbai_-_14-10-90_IDesireTree.mp3", "1990-090_God_Is_Subordinate_To_His_Devotees_BG-10_10_Mumbai_-_14-10-90_IDesireTree.mp3")</f>
        <v>1990-090_God_Is_Subordinate_To_His_Devotees_BG-10_10_Mumbai_-_14-10-90_IDesireTree.mp3</v>
      </c>
      <c r="D185" s="11"/>
      <c r="E185" s="11"/>
    </row>
    <row r="186" spans="1:5">
      <c r="A186" s="12" t="s">
        <v>12462</v>
      </c>
      <c r="B186" s="12" t="s">
        <v>13161</v>
      </c>
      <c r="C186" s="13" t="str">
        <f>HYPERLINK("https://audio.iskcondesiretree.com/02_-_ISKCON_Swamis/ISKCON_Swamis_-_R_to_Y/His_Holiness_Radhanath_Swami/Lectures/00_-_Year_wise/Devotional_Nectar_-_1990/1990-091_Transcendental_Lust_SB-08_09_23_Mumbai_-_Radhanath_Swami_1990-10-15_IDesireTree.mp3", "1990-091_Transcendental_Lust_SB-08_09_23_Mumbai_-_Radhanath_Swami_1990-10-15_IDesireTree.mp3")</f>
        <v>1990-091_Transcendental_Lust_SB-08_09_23_Mumbai_-_Radhanath_Swami_1990-10-15_IDesireTree.mp3</v>
      </c>
      <c r="D186" s="11"/>
      <c r="E186" s="11"/>
    </row>
    <row r="187" spans="1:5">
      <c r="A187" s="12" t="s">
        <v>12462</v>
      </c>
      <c r="B187" s="12" t="s">
        <v>13162</v>
      </c>
      <c r="C187" s="13" t="str">
        <f>HYPERLINK("https://audio.iskcondesiretree.com/02_-_ISKCON_Swamis/ISKCON_Swamis_-_R_to_Y/His_Holiness_Radhanath_Swami/Lectures/00_-_Year_wise/Devotional_Nectar_-_1990/1990-092_Transcendental_Nectar_SB-08_09_24-26_Mumbai_-_Radhanath_Swami_1990-10-16_IDesireTree.mp3", "1990-092_Transcendental_Nectar_SB-08_09_24-26_Mumbai_-_Radhanath_Swami_1990-10-16_IDesireTree.mp3")</f>
        <v>1990-092_Transcendental_Nectar_SB-08_09_24-26_Mumbai_-_Radhanath_Swami_1990-10-16_IDesireTree.mp3</v>
      </c>
      <c r="D187" s="11"/>
      <c r="E187" s="11"/>
    </row>
    <row r="188" spans="1:5">
      <c r="A188" s="12" t="s">
        <v>12462</v>
      </c>
      <c r="B188" s="12" t="s">
        <v>13163</v>
      </c>
      <c r="C188" s="13" t="str">
        <f>HYPERLINK("https://audio.iskcondesiretree.com/02_-_ISKCON_Swamis/ISKCON_Swamis_-_R_to_Y/His_Holiness_Radhanath_Swami/Lectures/00_-_Year_wise/Devotional_Nectar_-_1990/1990-093_Govardhan_Lilla_Lecture_Mumbai_-_Radhanath_Swami_1990-10-19_IDesireTree.mp3", "1990-093_Govardhan_Lilla_Lecture_Mumbai_-_Radhanath_Swami_1990-10-19_IDesireTree.mp3")</f>
        <v>1990-093_Govardhan_Lilla_Lecture_Mumbai_-_Radhanath_Swami_1990-10-19_IDesireTree.mp3</v>
      </c>
      <c r="D188" s="11"/>
      <c r="E188" s="11"/>
    </row>
    <row r="189" spans="1:5">
      <c r="A189" s="12" t="s">
        <v>12462</v>
      </c>
      <c r="B189" s="12" t="s">
        <v>13164</v>
      </c>
      <c r="C189" s="13" t="str">
        <f>HYPERLINK("https://audio.iskcondesiretree.com/02_-_ISKCON_Swamis/ISKCON_Swamis_-_R_to_Y/His_Holiness_Radhanath_Swami/Lectures/00_-_Year_wise/Devotional_Nectar_-_1990/1990-094_Questions_And_Answers_Lecture_Mumbai_-_Radhanath_Swami_1990-10-19_IDesireTree.mp3", "1990-094_Questions_And_Answers_Lecture_Mumbai_-_Radhanath_Swami_1990-10-19_IDesireTree.mp3")</f>
        <v>1990-094_Questions_And_Answers_Lecture_Mumbai_-_Radhanath_Swami_1990-10-19_IDesireTree.mp3</v>
      </c>
      <c r="D189" s="11"/>
      <c r="E189" s="11"/>
    </row>
    <row r="190" spans="1:5">
      <c r="A190" s="12" t="s">
        <v>12462</v>
      </c>
      <c r="B190" s="12" t="s">
        <v>13165</v>
      </c>
      <c r="C190" s="13" t="str">
        <f>HYPERLINK("https://audio.iskcondesiretree.com/02_-_ISKCON_Swamis/ISKCON_Swamis_-_R_to_Y/His_Holiness_Radhanath_Swami/Lectures/00_-_Year_wise/Devotional_Nectar_-_1990/1990-095_Spiritual_Life_-_As_It_Is_SB-08_10_01-06_Mumbai_-_20-10-90_IDesireTree.mp3", "1990-095_Spiritual_Life_-_As_It_Is_SB-08_10_01-06_Mumbai_-_20-10-90_IDesireTree.mp3")</f>
        <v>1990-095_Spiritual_Life_-_As_It_Is_SB-08_10_01-06_Mumbai_-_20-10-90_IDesireTree.mp3</v>
      </c>
      <c r="D190" s="11"/>
      <c r="E190" s="11"/>
    </row>
    <row r="191" spans="1:5">
      <c r="A191" s="12" t="s">
        <v>12462</v>
      </c>
      <c r="B191" s="12" t="s">
        <v>13166</v>
      </c>
      <c r="C191" s="13" t="str">
        <f>HYPERLINK("https://audio.iskcondesiretree.com/02_-_ISKCON_Swamis/ISKCON_Swamis_-_R_to_Y/His_Holiness_Radhanath_Swami/Lectures/00_-_Year_wise/Devotional_Nectar_-_1990/1990-096_Aspiring_For_Nothing_But_Service_BG-10_01_Mumbai_-_21-10-90_IDesireTree.mp3", "1990-096_Aspiring_For_Nothing_But_Service_BG-10_01_Mumbai_-_21-10-90_IDesireTree.mp3")</f>
        <v>1990-096_Aspiring_For_Nothing_But_Service_BG-10_01_Mumbai_-_21-10-90_IDesireTree.mp3</v>
      </c>
      <c r="D191" s="11"/>
      <c r="E191" s="11"/>
    </row>
    <row r="192" spans="1:5">
      <c r="A192" s="12" t="s">
        <v>12462</v>
      </c>
      <c r="B192" s="12" t="s">
        <v>13167</v>
      </c>
      <c r="C192" s="13" t="str">
        <f>HYPERLINK("https://audio.iskcondesiretree.com/02_-_ISKCON_Swamis/ISKCON_Swamis_-_R_to_Y/His_Holiness_Radhanath_Swami/Lectures/00_-_Year_wise/Devotional_Nectar_-_1990/1990-097_Krsna_is_the_Property_of_Impoverished_SB-07_13_41-42_Mumbai_-_01-11-90_IDesireTree.mp3", "1990-097_Krsna_is_the_Property_of_Impoverished_SB-07_13_41-42_Mumbai_-_01-11-90_IDesireTree.mp3")</f>
        <v>1990-097_Krsna_is_the_Property_of_Impoverished_SB-07_13_41-42_Mumbai_-_01-11-90_IDesireTree.mp3</v>
      </c>
      <c r="D192" s="11"/>
      <c r="E192" s="11"/>
    </row>
    <row r="193" spans="1:5">
      <c r="A193" s="12" t="s">
        <v>12462</v>
      </c>
      <c r="B193" s="12" t="s">
        <v>13168</v>
      </c>
      <c r="C193" s="13" t="str">
        <f>HYPERLINK("https://audio.iskcondesiretree.com/02_-_ISKCON_Swamis/ISKCON_Swamis_-_R_to_Y/His_Holiness_Radhanath_Swami/Lectures/00_-_Year_wise/Devotional_Nectar_-_1991/1991-001_Worshiping_diety_Lecture_Mumbai_-_Radhanath_Swami_1991-01-10_IDesireTree.mp3", "1991-001_Worshiping_diety_Lecture_Mumbai_-_Radhanath_Swami_1991-01-10_IDesireTree.mp3")</f>
        <v>1991-001_Worshiping_diety_Lecture_Mumbai_-_Radhanath_Swami_1991-01-10_IDesireTree.mp3</v>
      </c>
      <c r="D193" s="11"/>
      <c r="E193" s="11"/>
    </row>
    <row r="194" spans="1:5">
      <c r="A194" s="12" t="s">
        <v>12462</v>
      </c>
      <c r="B194" s="12" t="s">
        <v>13169</v>
      </c>
      <c r="C194" s="13" t="str">
        <f>HYPERLINK("https://audio.iskcondesiretree.com/02_-_ISKCON_Swamis/ISKCON_Swamis_-_R_to_Y/His_Holiness_Radhanath_Swami/Lectures/00_-_Year_wise/Devotional_Nectar_-_1991/1991-002_The_Greatest_Miracle_SB-08_24_54-58_Mumbai_-_Radhanath_Swami_1991-01-24_IDesireTree.mp3", "1991-002_The_Greatest_Miracle_SB-08_24_54-58_Mumbai_-_Radhanath_Swami_1991-01-24_IDesireTree.mp3")</f>
        <v>1991-002_The_Greatest_Miracle_SB-08_24_54-58_Mumbai_-_Radhanath_Swami_1991-01-24_IDesireTree.mp3</v>
      </c>
      <c r="D194" s="11"/>
      <c r="E194" s="11"/>
    </row>
    <row r="195" spans="1:5">
      <c r="A195" s="12" t="s">
        <v>12462</v>
      </c>
      <c r="B195" s="12" t="s">
        <v>13170</v>
      </c>
      <c r="C195" s="13" t="str">
        <f>HYPERLINK("https://audio.iskcondesiretree.com/02_-_ISKCON_Swamis/ISKCON_Swamis_-_R_to_Y/His_Holiness_Radhanath_Swami/Lectures/00_-_Year_wise/Devotional_Nectar_-_1991/1991-003_Perfection_Of_All_Knowledge_SB-08_24_61_Mumbai_-_Radhanath_Swami_1991-01-25_IDesireTree.mp3", "1991-003_Perfection_Of_All_Knowledge_SB-08_24_61_Mumbai_-_Radhanath_Swami_1991-01-25_IDesireTree.mp3")</f>
        <v>1991-003_Perfection_Of_All_Knowledge_SB-08_24_61_Mumbai_-_Radhanath_Swami_1991-01-25_IDesireTree.mp3</v>
      </c>
      <c r="D195" s="11"/>
      <c r="E195" s="11"/>
    </row>
    <row r="196" spans="1:5">
      <c r="A196" s="12" t="s">
        <v>12462</v>
      </c>
      <c r="B196" s="12" t="s">
        <v>13171</v>
      </c>
      <c r="C196" s="13" t="str">
        <f>HYPERLINK("https://audio.iskcondesiretree.com/02_-_ISKCON_Swamis/ISKCON_Swamis_-_R_to_Y/His_Holiness_Radhanath_Swami/Lectures/00_-_Year_wise/Devotional_Nectar_-_1991/1991-004_Pride_Is_Sin_BG-11_55_Mumbai_-_Radhanath_Swami_1991-01-25_IDesireTree.mp3", "1991-004_Pride_Is_Sin_BG-11_55_Mumbai_-_Radhanath_Swami_1991-01-25_IDesireTree.mp3")</f>
        <v>1991-004_Pride_Is_Sin_BG-11_55_Mumbai_-_Radhanath_Swami_1991-01-25_IDesireTree.mp3</v>
      </c>
      <c r="D196" s="11"/>
      <c r="E196" s="11"/>
    </row>
    <row r="197" spans="1:5">
      <c r="A197" s="12" t="s">
        <v>12462</v>
      </c>
      <c r="B197" s="12" t="s">
        <v>13172</v>
      </c>
      <c r="C197" s="13" t="str">
        <f>HYPERLINK("https://audio.iskcondesiretree.com/02_-_ISKCON_Swamis/ISKCON_Swamis_-_R_to_Y/His_Holiness_Radhanath_Swami/Lectures/00_-_Year_wise/Devotional_Nectar_-_1991/1991-005_To_Be_In_The_World_But_Not_Of_It_SB-09_01_01-08_Mumbai_-_26-01-91_IDesireTree.mp3", "1991-005_To_Be_In_The_World_But_Not_Of_It_SB-09_01_01-08_Mumbai_-_26-01-91_IDesireTree.mp3")</f>
        <v>1991-005_To_Be_In_The_World_But_Not_Of_It_SB-09_01_01-08_Mumbai_-_26-01-91_IDesireTree.mp3</v>
      </c>
      <c r="D197" s="11"/>
      <c r="E197" s="11"/>
    </row>
    <row r="198" spans="1:5">
      <c r="A198" s="12" t="s">
        <v>12462</v>
      </c>
      <c r="B198" s="12" t="s">
        <v>13173</v>
      </c>
      <c r="C198" s="13" t="str">
        <f>HYPERLINK("https://audio.iskcondesiretree.com/02_-_ISKCON_Swamis/ISKCON_Swamis_-_R_to_Y/His_Holiness_Radhanath_Swami/Lectures/00_-_Year_wise/Devotional_Nectar_-_1991/1991-006_Drinking_Poison_SB-09_04_13-16_Mumbai_-_Radhanath_Swami_1991-01-27_IDesireTree.mp3", "1991-006_Drinking_Poison_SB-09_04_13-16_Mumbai_-_Radhanath_Swami_1991-01-27_IDesireTree.mp3")</f>
        <v>1991-006_Drinking_Poison_SB-09_04_13-16_Mumbai_-_Radhanath_Swami_1991-01-27_IDesireTree.mp3</v>
      </c>
      <c r="D198" s="11"/>
      <c r="E198" s="11"/>
    </row>
    <row r="199" spans="1:5">
      <c r="A199" s="12" t="s">
        <v>12462</v>
      </c>
      <c r="B199" s="12" t="s">
        <v>13174</v>
      </c>
      <c r="C199" s="13" t="str">
        <f>HYPERLINK("https://audio.iskcondesiretree.com/02_-_ISKCON_Swamis/ISKCON_Swamis_-_R_to_Y/His_Holiness_Radhanath_Swami/Lectures/00_-_Year_wise/Devotional_Nectar_-_1991/1991-007_Smashing_The_Illusion_Of_False_Ego_Lecture_Mumbai_-_27-01-91_IDesireTree.mp3", "1991-007_Smashing_The_Illusion_Of_False_Ego_Lecture_Mumbai_-_27-01-91_IDesireTree.mp3")</f>
        <v>1991-007_Smashing_The_Illusion_Of_False_Ego_Lecture_Mumbai_-_27-01-91_IDesireTree.mp3</v>
      </c>
      <c r="D199" s="11"/>
      <c r="E199" s="11"/>
    </row>
    <row r="200" spans="1:5">
      <c r="A200" s="12" t="s">
        <v>12462</v>
      </c>
      <c r="B200" s="12" t="s">
        <v>13175</v>
      </c>
      <c r="C200" s="13" t="str">
        <f>HYPERLINK("https://audio.iskcondesiretree.com/02_-_ISKCON_Swamis/ISKCON_Swamis_-_R_to_Y/His_Holiness_Radhanath_Swami/Lectures/00_-_Year_wise/Devotional_Nectar_-_1991/1991-008_Lord_Nityananda-_Most_Merciful_SB-09_04_18-20_Mumbai_-_28-01-91_IDesireTree.mp3", "1991-008_Lord_Nityananda-_Most_Merciful_SB-09_04_18-20_Mumbai_-_28-01-91_IDesireTree.mp3")</f>
        <v>1991-008_Lord_Nityananda-_Most_Merciful_SB-09_04_18-20_Mumbai_-_28-01-91_IDesireTree.mp3</v>
      </c>
      <c r="D200" s="11"/>
      <c r="E200" s="11"/>
    </row>
    <row r="201" spans="1:5">
      <c r="A201" s="12" t="s">
        <v>12462</v>
      </c>
      <c r="B201" s="12" t="s">
        <v>13176</v>
      </c>
      <c r="C201" s="13" t="str">
        <f>HYPERLINK("https://audio.iskcondesiretree.com/02_-_ISKCON_Swamis/ISKCON_Swamis_-_R_to_Y/His_Holiness_Radhanath_Swami/Lectures/00_-_Year_wise/Devotional_Nectar_-_1991/1991-009_The_Greatest_Treasure_SB-09_04_18-10_Mumbai_-_29-01-91_IDesireTree.mp3", "1991-009_The_Greatest_Treasure_SB-09_04_18-10_Mumbai_-_29-01-91_IDesireTree.mp3")</f>
        <v>1991-009_The_Greatest_Treasure_SB-09_04_18-10_Mumbai_-_29-01-91_IDesireTree.mp3</v>
      </c>
      <c r="D201" s="11"/>
      <c r="E201" s="11"/>
    </row>
    <row r="202" spans="1:5">
      <c r="A202" s="12" t="s">
        <v>12462</v>
      </c>
      <c r="B202" s="12" t="s">
        <v>13177</v>
      </c>
      <c r="C202" s="13" t="str">
        <f>HYPERLINK("https://audio.iskcondesiretree.com/02_-_ISKCON_Swamis/ISKCON_Swamis_-_R_to_Y/His_Holiness_Radhanath_Swami/Lectures/00_-_Year_wise/Devotional_Nectar_-_1991/1991-010_Age_Of_Quarrel_And_Hypocrisy_SB-09_04_21_Mumbai_-_30-01-91_IDesireTree.mp3", "1991-010_Age_Of_Quarrel_And_Hypocrisy_SB-09_04_21_Mumbai_-_30-01-91_IDesireTree.mp3")</f>
        <v>1991-010_Age_Of_Quarrel_And_Hypocrisy_SB-09_04_21_Mumbai_-_30-01-91_IDesireTree.mp3</v>
      </c>
      <c r="D202" s="11"/>
      <c r="E202" s="11"/>
    </row>
    <row r="203" spans="1:5">
      <c r="A203" s="12" t="s">
        <v>12462</v>
      </c>
      <c r="B203" s="12" t="s">
        <v>13178</v>
      </c>
      <c r="C203" s="13" t="str">
        <f>HYPERLINK("https://audio.iskcondesiretree.com/02_-_ISKCON_Swamis/ISKCON_Swamis_-_R_to_Y/His_Holiness_Radhanath_Swami/Lectures/00_-_Year_wise/Devotional_Nectar_-_1991/1991-011_Being_A_Humble_Servant_SB-09_04_24_Mumbai_-_01-02-91_IDesireTree.mp3", "1991-011_Being_A_Humble_Servant_SB-09_04_24_Mumbai_-_01-02-91_IDesireTree.mp3")</f>
        <v>1991-011_Being_A_Humble_Servant_SB-09_04_24_Mumbai_-_01-02-91_IDesireTree.mp3</v>
      </c>
      <c r="D203" s="11"/>
      <c r="E203" s="11"/>
    </row>
    <row r="204" spans="1:5">
      <c r="A204" s="12" t="s">
        <v>12462</v>
      </c>
      <c r="B204" s="12" t="s">
        <v>13179</v>
      </c>
      <c r="C204" s="13" t="str">
        <f>HYPERLINK("https://audio.iskcondesiretree.com/02_-_ISKCON_Swamis/ISKCON_Swamis_-_R_to_Y/His_Holiness_Radhanath_Swami/Lectures/00_-_Year_wise/Devotional_Nectar_-_1991/1991-011_Being_A_Humble_Servant_SB-09_04_24_Mumbai_-_Radhanath_Swami_1991-02-01_IDesireTree.mp3", "1991-011_Being_A_Humble_Servant_SB-09_04_24_Mumbai_-_Radhanath_Swami_1991-02-01_IDesireTree.mp3")</f>
        <v>1991-011_Being_A_Humble_Servant_SB-09_04_24_Mumbai_-_Radhanath_Swami_1991-02-01_IDesireTree.mp3</v>
      </c>
      <c r="D204" s="11"/>
      <c r="E204" s="11"/>
    </row>
    <row r="205" spans="1:5">
      <c r="A205" s="12" t="s">
        <v>12462</v>
      </c>
      <c r="B205" s="12" t="s">
        <v>13180</v>
      </c>
      <c r="C205" s="13" t="str">
        <f>HYPERLINK("https://audio.iskcondesiretree.com/02_-_ISKCON_Swamis/ISKCON_Swamis_-_R_to_Y/His_Holiness_Radhanath_Swami/Lectures/00_-_Year_wise/Devotional_Nectar_-_1991/1991-012_Spiritual_Sentiments_BG-14_04_Mumbai_-_Radhanath_Swami_1991-02-01_IDesireTree.mp3", "1991-012_Spiritual_Sentiments_BG-14_04_Mumbai_-_Radhanath_Swami_1991-02-01_IDesireTree.mp3")</f>
        <v>1991-012_Spiritual_Sentiments_BG-14_04_Mumbai_-_Radhanath_Swami_1991-02-01_IDesireTree.mp3</v>
      </c>
      <c r="D205" s="11"/>
      <c r="E205" s="11"/>
    </row>
    <row r="206" spans="1:5">
      <c r="A206" s="12" t="s">
        <v>12462</v>
      </c>
      <c r="B206" s="12" t="s">
        <v>13181</v>
      </c>
      <c r="C206" s="13" t="str">
        <f>HYPERLINK("https://audio.iskcondesiretree.com/02_-_ISKCON_Swamis/ISKCON_Swamis_-_R_to_Y/His_Holiness_Radhanath_Swami/Lectures/00_-_Year_wise/Devotional_Nectar_-_1991/1991-013_Perfect_Renunciation_SB-09_04_27_Mumbai_-_Radhanath_Swami_1991-02-05_IDesireTree.mp3", "1991-013_Perfect_Renunciation_SB-09_04_27_Mumbai_-_Radhanath_Swami_1991-02-05_IDesireTree.mp3")</f>
        <v>1991-013_Perfect_Renunciation_SB-09_04_27_Mumbai_-_Radhanath_Swami_1991-02-05_IDesireTree.mp3</v>
      </c>
      <c r="D206" s="11"/>
      <c r="E206" s="11"/>
    </row>
    <row r="207" spans="1:5">
      <c r="A207" s="12" t="s">
        <v>12462</v>
      </c>
      <c r="B207" s="12" t="s">
        <v>13182</v>
      </c>
      <c r="C207" s="13" t="str">
        <f>HYPERLINK("https://audio.iskcondesiretree.com/02_-_ISKCON_Swamis/ISKCON_Swamis_-_R_to_Y/His_Holiness_Radhanath_Swami/Lectures/00_-_Year_wise/Devotional_Nectar_-_1991/1991-014_Who_Is_crazy_SB-09_04_41-45_Mumbai_-_Radhanath_Swami_1991-02-08_IDesireTree.mp3", "1991-014_Who_Is_crazy_SB-09_04_41-45_Mumbai_-_Radhanath_Swami_1991-02-08_IDesireTree.mp3")</f>
        <v>1991-014_Who_Is_crazy_SB-09_04_41-45_Mumbai_-_Radhanath_Swami_1991-02-08_IDesireTree.mp3</v>
      </c>
      <c r="D207" s="11"/>
      <c r="E207" s="11"/>
    </row>
    <row r="208" spans="1:5">
      <c r="A208" s="12" t="s">
        <v>12462</v>
      </c>
      <c r="B208" s="12" t="s">
        <v>13183</v>
      </c>
      <c r="C208" s="13" t="str">
        <f>HYPERLINK("https://audio.iskcondesiretree.com/02_-_ISKCON_Swamis/ISKCON_Swamis_-_R_to_Y/His_Holiness_Radhanath_Swami/Lectures/00_-_Year_wise/Devotional_Nectar_-_1991/1991-015_Eternal_Joy_Of_Soul_SB-09_04_46-47_Mumbai_-_Radhanath_Swami_1991-02-09_IDesireTree.mp3", "1991-015_Eternal_Joy_Of_Soul_SB-09_04_46-47_Mumbai_-_Radhanath_Swami_1991-02-09_IDesireTree.mp3")</f>
        <v>1991-015_Eternal_Joy_Of_Soul_SB-09_04_46-47_Mumbai_-_Radhanath_Swami_1991-02-09_IDesireTree.mp3</v>
      </c>
      <c r="D208" s="11"/>
      <c r="E208" s="11"/>
    </row>
    <row r="209" spans="1:5">
      <c r="A209" s="12" t="s">
        <v>12462</v>
      </c>
      <c r="B209" s="12" t="s">
        <v>13184</v>
      </c>
      <c r="C209" s="13" t="str">
        <f>HYPERLINK("https://audio.iskcondesiretree.com/02_-_ISKCON_Swamis/ISKCON_Swamis_-_R_to_Y/His_Holiness_Radhanath_Swami/Lectures/00_-_Year_wise/Devotional_Nectar_-_1991/1991-017_Never_Dream_Of_Offending_A_Devotee_SB-09_04_55-59_Mumbai_-_12-02-91_IDesireTree.mp3", "1991-017_Never_Dream_Of_Offending_A_Devotee_SB-09_04_55-59_Mumbai_-_12-02-91_IDesireTree.mp3")</f>
        <v>1991-017_Never_Dream_Of_Offending_A_Devotee_SB-09_04_55-59_Mumbai_-_12-02-91_IDesireTree.mp3</v>
      </c>
      <c r="D209" s="11"/>
      <c r="E209" s="11"/>
    </row>
    <row r="210" spans="1:5">
      <c r="A210" s="12" t="s">
        <v>12462</v>
      </c>
      <c r="B210" s="12" t="s">
        <v>13185</v>
      </c>
      <c r="C210" s="13" t="str">
        <f>HYPERLINK("https://audio.iskcondesiretree.com/02_-_ISKCON_Swamis/ISKCON_Swamis_-_R_to_Y/His_Holiness_Radhanath_Swami/Lectures/00_-_Year_wise/Devotional_Nectar_-_1991/1991-018_Glories_Of_Lord_Shiva_BG-05_45_Mumbai_-_Radhanath_Swami_1991-02-12_IDesireTree.mp3", "1991-018_Glories_Of_Lord_Shiva_BG-05_45_Mumbai_-_Radhanath_Swami_1991-02-12_IDesireTree.mp3")</f>
        <v>1991-018_Glories_Of_Lord_Shiva_BG-05_45_Mumbai_-_Radhanath_Swami_1991-02-12_IDesireTree.mp3</v>
      </c>
      <c r="D210" s="11"/>
      <c r="E210" s="11"/>
    </row>
    <row r="211" spans="1:5">
      <c r="A211" s="12" t="s">
        <v>12462</v>
      </c>
      <c r="B211" s="12" t="s">
        <v>13186</v>
      </c>
      <c r="C211" s="13" t="str">
        <f>HYPERLINK("https://audio.iskcondesiretree.com/02_-_ISKCON_Swamis/ISKCON_Swamis_-_R_to_Y/His_Holiness_Radhanath_Swami/Lectures/00_-_Year_wise/Devotional_Nectar_-_1991/1991-019_Being_Pious_BG-07_28_Mumbai_-_Radhanath_Swami_1991-02-13_IDesireTree.mp3", "1991-019_Being_Pious_BG-07_28_Mumbai_-_Radhanath_Swami_1991-02-13_IDesireTree.mp3")</f>
        <v>1991-019_Being_Pious_BG-07_28_Mumbai_-_Radhanath_Swami_1991-02-13_IDesireTree.mp3</v>
      </c>
      <c r="D211" s="11"/>
      <c r="E211" s="11"/>
    </row>
    <row r="212" spans="1:5">
      <c r="A212" s="12" t="s">
        <v>12462</v>
      </c>
      <c r="B212" s="12" t="s">
        <v>13187</v>
      </c>
      <c r="C212" s="13" t="str">
        <f>HYPERLINK("https://audio.iskcondesiretree.com/02_-_ISKCON_Swamis/ISKCON_Swamis_-_R_to_Y/His_Holiness_Radhanath_Swami/Lectures/00_-_Year_wise/Devotional_Nectar_-_1991/1991-021_Punishment_for_a_vaishnava_offence_SB-09_04_68_Mumbai_-_18-2-91_IDesireTree.mp3", "1991-021_Punishment_for_a_vaishnava_offence_SB-09_04_68_Mumbai_-_18-2-91_IDesireTree.mp3")</f>
        <v>1991-021_Punishment_for_a_vaishnava_offence_SB-09_04_68_Mumbai_-_18-2-91_IDesireTree.mp3</v>
      </c>
      <c r="D212" s="11"/>
      <c r="E212" s="11"/>
    </row>
    <row r="213" spans="1:5">
      <c r="A213" s="12" t="s">
        <v>12462</v>
      </c>
      <c r="B213" s="12" t="s">
        <v>13188</v>
      </c>
      <c r="C213" s="13" t="str">
        <f>HYPERLINK("https://audio.iskcondesiretree.com/02_-_ISKCON_Swamis/ISKCON_Swamis_-_R_to_Y/His_Holiness_Radhanath_Swami/Lectures/00_-_Year_wise/Devotional_Nectar_-_1991/1991-022_Pleasing_The_Spiritual_Master_BG-01_29_Mumbai_-_Radhanath_Swami_1991-02-24_IDesireTree.mp3", "1991-022_Pleasing_The_Spiritual_Master_BG-01_29_Mumbai_-_Radhanath_Swami_1991-02-24_IDesireTree.mp3")</f>
        <v>1991-022_Pleasing_The_Spiritual_Master_BG-01_29_Mumbai_-_Radhanath_Swami_1991-02-24_IDesireTree.mp3</v>
      </c>
      <c r="D213" s="11"/>
      <c r="E213" s="11"/>
    </row>
    <row r="214" spans="1:5">
      <c r="A214" s="12" t="s">
        <v>12462</v>
      </c>
      <c r="B214" s="12" t="s">
        <v>13189</v>
      </c>
      <c r="C214" s="13" t="str">
        <f>HYPERLINK("https://audio.iskcondesiretree.com/02_-_ISKCON_Swamis/ISKCON_Swamis_-_R_to_Y/His_Holiness_Radhanath_Swami/Lectures/00_-_Year_wise/Devotional_Nectar_-_1991/1991-023_Surrender_To_His_Love_And_Mercy_Lecture_Mumbai_-_Radhanath_Swami_1991-02-27_IDesireTree.mp3", "1991-023_Surrender_To_His_Love_And_Mercy_Lecture_Mumbai_-_Radhanath_Swami_1991-02-27_IDesireTree.mp3")</f>
        <v>1991-023_Surrender_To_His_Love_And_Mercy_Lecture_Mumbai_-_Radhanath_Swami_1991-02-27_IDesireTree.mp3</v>
      </c>
      <c r="D214" s="11"/>
      <c r="E214" s="11"/>
    </row>
    <row r="215" spans="1:5">
      <c r="A215" s="12" t="s">
        <v>12462</v>
      </c>
      <c r="B215" s="12" t="s">
        <v>13190</v>
      </c>
      <c r="C215" s="13" t="str">
        <f>HYPERLINK("https://audio.iskcondesiretree.com/02_-_ISKCON_Swamis/ISKCON_Swamis_-_R_to_Y/His_Holiness_Radhanath_Swami/Lectures/00_-_Year_wise/Devotional_Nectar_-_1991/1991-024_God_Becomes_Servant_Of_His_Devotees_SB-01_8_20-21_Mumbai_-_27-02-91_IDesireTree.mp3", "1991-024_God_Becomes_Servant_Of_His_Devotees_SB-01_8_20-21_Mumbai_-_27-02-91_IDesireTree.mp3")</f>
        <v>1991-024_God_Becomes_Servant_Of_His_Devotees_SB-01_8_20-21_Mumbai_-_27-02-91_IDesireTree.mp3</v>
      </c>
      <c r="D215" s="11"/>
      <c r="E215" s="11"/>
    </row>
    <row r="216" spans="1:5">
      <c r="A216" s="12" t="s">
        <v>12462</v>
      </c>
      <c r="B216" s="12" t="s">
        <v>13191</v>
      </c>
      <c r="C216" s="13" t="str">
        <f>HYPERLINK("https://audio.iskcondesiretree.com/02_-_ISKCON_Swamis/ISKCON_Swamis_-_R_to_Y/His_Holiness_Radhanath_Swami/Lectures/00_-_Year_wise/Devotional_Nectar_-_1991/1991-025_Chaitanya_Charitamrita_Reading_Lecture_Mumbai_-_Radhanath_Swami_1991-02-28_IDesireTree.mp3", "1991-025_Chaitanya_Charitamrita_Reading_Lecture_Mumbai_-_Radhanath_Swami_1991-02-28_IDesireTree.mp3")</f>
        <v>1991-025_Chaitanya_Charitamrita_Reading_Lecture_Mumbai_-_Radhanath_Swami_1991-02-28_IDesireTree.mp3</v>
      </c>
      <c r="D216" s="11"/>
      <c r="E216" s="11"/>
    </row>
    <row r="217" spans="1:5">
      <c r="A217" s="12" t="s">
        <v>12462</v>
      </c>
      <c r="B217" s="12" t="s">
        <v>13192</v>
      </c>
      <c r="C217" s="13" t="str">
        <f>HYPERLINK("https://audio.iskcondesiretree.com/02_-_ISKCON_Swamis/ISKCON_Swamis_-_R_to_Y/His_Holiness_Radhanath_Swami/Lectures/00_-_Year_wise/Devotional_Nectar_-_1991/1991-026_Beyond_Liberation_CC_AL-01_35_Mumbai_-_Radhanath_Swami_1991-02-28_IDesireTree.mp3", "1991-026_Beyond_Liberation_CC_AL-01_35_Mumbai_-_Radhanath_Swami_1991-02-28_IDesireTree.mp3")</f>
        <v>1991-026_Beyond_Liberation_CC_AL-01_35_Mumbai_-_Radhanath_Swami_1991-02-28_IDesireTree.mp3</v>
      </c>
      <c r="D217" s="11"/>
      <c r="E217" s="11"/>
    </row>
    <row r="218" spans="1:5">
      <c r="A218" s="12" t="s">
        <v>12462</v>
      </c>
      <c r="B218" s="12" t="s">
        <v>13193</v>
      </c>
      <c r="C218" s="13" t="str">
        <f>HYPERLINK("https://audio.iskcondesiretree.com/02_-_ISKCON_Swamis/ISKCON_Swamis_-_R_to_Y/His_Holiness_Radhanath_Swami/Lectures/00_-_Year_wise/Devotional_Nectar_-_1991/1991-027_True_Principles_Of_Religion_Lecture_Mumbai_-_Radhanath_Swami_1991-03-02_IDesireTree.mp3", "1991-027_True_Principles_Of_Religion_Lecture_Mumbai_-_Radhanath_Swami_1991-03-02_IDesireTree.mp3")</f>
        <v>1991-027_True_Principles_Of_Religion_Lecture_Mumbai_-_Radhanath_Swami_1991-03-02_IDesireTree.mp3</v>
      </c>
      <c r="D218" s="11"/>
      <c r="E218" s="11"/>
    </row>
    <row r="219" spans="1:5">
      <c r="A219" s="12" t="s">
        <v>12462</v>
      </c>
      <c r="B219" s="12" t="s">
        <v>13194</v>
      </c>
      <c r="C219" s="13" t="str">
        <f>HYPERLINK("https://audio.iskcondesiretree.com/02_-_ISKCON_Swamis/ISKCON_Swamis_-_R_to_Y/His_Holiness_Radhanath_Swami/Lectures/00_-_Year_wise/Devotional_Nectar_-_1991/1991-028_Questions_And_Answers_Lecture_Pune_-_Radhanath_Swami_1991-03-02_IDesireTree.mp3", "1991-028_Questions_And_Answers_Lecture_Pune_-_Radhanath_Swami_1991-03-02_IDesireTree.mp3")</f>
        <v>1991-028_Questions_And_Answers_Lecture_Pune_-_Radhanath_Swami_1991-03-02_IDesireTree.mp3</v>
      </c>
      <c r="D219" s="11"/>
      <c r="E219" s="11"/>
    </row>
    <row r="220" spans="1:5">
      <c r="A220" s="12" t="s">
        <v>12462</v>
      </c>
      <c r="B220" s="12" t="s">
        <v>13195</v>
      </c>
      <c r="C220" s="13" t="str">
        <f>HYPERLINK("https://audio.iskcondesiretree.com/02_-_ISKCON_Swamis/ISKCON_Swamis_-_R_to_Y/His_Holiness_Radhanath_Swami/Lectures/00_-_Year_wise/Devotional_Nectar_-_1991/1991-029_Liberation_Is_Useless_SB-09_05_25_Mumbai_-_Radhanath_Swami_1991-03-05_IDesireTree.mp3", "1991-029_Liberation_Is_Useless_SB-09_05_25_Mumbai_-_Radhanath_Swami_1991-03-05_IDesireTree.mp3")</f>
        <v>1991-029_Liberation_Is_Useless_SB-09_05_25_Mumbai_-_Radhanath_Swami_1991-03-05_IDesireTree.mp3</v>
      </c>
      <c r="D220" s="11"/>
      <c r="E220" s="11"/>
    </row>
    <row r="221" spans="1:5">
      <c r="A221" s="12" t="s">
        <v>12462</v>
      </c>
      <c r="B221" s="12" t="s">
        <v>13196</v>
      </c>
      <c r="C221" s="13" t="str">
        <f>HYPERLINK("https://audio.iskcondesiretree.com/02_-_ISKCON_Swamis/ISKCON_Swamis_-_R_to_Y/His_Holiness_Radhanath_Swami/Lectures/00_-_Year_wise/Devotional_Nectar_-_1991/1991-030_Renunciation_is_to_give_SB-09_05_26_Mumbai_-_Radhanath_Swami_1991-03-06_IDesireTree.mp3", "1991-030_Renunciation_is_to_give_SB-09_05_26_Mumbai_-_Radhanath_Swami_1991-03-06_IDesireTree.mp3")</f>
        <v>1991-030_Renunciation_is_to_give_SB-09_05_26_Mumbai_-_Radhanath_Swami_1991-03-06_IDesireTree.mp3</v>
      </c>
      <c r="D221" s="11"/>
      <c r="E221" s="11"/>
    </row>
    <row r="222" spans="1:5">
      <c r="A222" s="12" t="s">
        <v>12462</v>
      </c>
      <c r="B222" s="12" t="s">
        <v>13197</v>
      </c>
      <c r="C222" s="13" t="str">
        <f>HYPERLINK("https://audio.iskcondesiretree.com/02_-_ISKCON_Swamis/ISKCON_Swamis_-_R_to_Y/His_Holiness_Radhanath_Swami/Lectures/00_-_Year_wise/Devotional_Nectar_-_1991/1991-031_Surrender_And_Faith_BG-11_30-32_Mumbai_-_Radhanath_Swami_1991-03-08_IDesireTree.mp3", "1991-031_Surrender_And_Faith_BG-11_30-32_Mumbai_-_Radhanath_Swami_1991-03-08_IDesireTree.mp3")</f>
        <v>1991-031_Surrender_And_Faith_BG-11_30-32_Mumbai_-_Radhanath_Swami_1991-03-08_IDesireTree.mp3</v>
      </c>
      <c r="D222" s="11"/>
      <c r="E222" s="11"/>
    </row>
    <row r="223" spans="1:5">
      <c r="A223" s="12" t="s">
        <v>12462</v>
      </c>
      <c r="B223" s="12" t="s">
        <v>13198</v>
      </c>
      <c r="C223" s="13" t="str">
        <f>HYPERLINK("https://audio.iskcondesiretree.com/02_-_ISKCON_Swamis/ISKCON_Swamis_-_R_to_Y/His_Holiness_Radhanath_Swami/Lectures/00_-_Year_wise/Devotional_Nectar_-_1991/1991-032_What_Is_Civilisation_BG-04_09_Mumbai_-_Radhanath_Swami_1991-03-09_IDesireTree.mp3", "1991-032_What_Is_Civilisation_BG-04_09_Mumbai_-_Radhanath_Swami_1991-03-09_IDesireTree.mp3")</f>
        <v>1991-032_What_Is_Civilisation_BG-04_09_Mumbai_-_Radhanath_Swami_1991-03-09_IDesireTree.mp3</v>
      </c>
      <c r="D223" s="11"/>
      <c r="E223" s="11"/>
    </row>
    <row r="224" spans="1:5">
      <c r="A224" s="12" t="s">
        <v>12462</v>
      </c>
      <c r="B224" s="12" t="s">
        <v>13199</v>
      </c>
      <c r="C224" s="13" t="str">
        <f>HYPERLINK("https://audio.iskcondesiretree.com/02_-_ISKCON_Swamis/ISKCON_Swamis_-_R_to_Y/His_Holiness_Radhanath_Swami/Lectures/00_-_Year_wise/Devotional_Nectar_-_1991/1991-033_The_Pitfall_Of_Maya_SB-09_06_39-46_Mumbai_-_Radhanath_Swami_1991-03-09_IDesireTree.mp3", "1991-033_The_Pitfall_Of_Maya_SB-09_06_39-46_Mumbai_-_Radhanath_Swami_1991-03-09_IDesireTree.mp3")</f>
        <v>1991-033_The_Pitfall_Of_Maya_SB-09_06_39-46_Mumbai_-_Radhanath_Swami_1991-03-09_IDesireTree.mp3</v>
      </c>
      <c r="D224" s="11"/>
      <c r="E224" s="11"/>
    </row>
    <row r="225" spans="1:5">
      <c r="A225" s="12" t="s">
        <v>12462</v>
      </c>
      <c r="B225" s="12" t="s">
        <v>13200</v>
      </c>
      <c r="C225" s="13" t="str">
        <f>HYPERLINK("https://audio.iskcondesiretree.com/02_-_ISKCON_Swamis/ISKCON_Swamis_-_R_to_Y/His_Holiness_Radhanath_Swami/Lectures/00_-_Year_wise/Devotional_Nectar_-_1991/1991-034_Everything_Is_Perfect_BG-12_13-14_Mumbai_-_Radhanath_Swami_1991-03-10_IDesireTree.mp3", "1991-034_Everything_Is_Perfect_BG-12_13-14_Mumbai_-_Radhanath_Swami_1991-03-10_IDesireTree.mp3")</f>
        <v>1991-034_Everything_Is_Perfect_BG-12_13-14_Mumbai_-_Radhanath_Swami_1991-03-10_IDesireTree.mp3</v>
      </c>
      <c r="D225" s="11"/>
      <c r="E225" s="11"/>
    </row>
    <row r="226" spans="1:5">
      <c r="A226" s="12" t="s">
        <v>12462</v>
      </c>
      <c r="B226" s="12" t="s">
        <v>13201</v>
      </c>
      <c r="C226" s="13" t="str">
        <f>HYPERLINK("https://audio.iskcondesiretree.com/02_-_ISKCON_Swamis/ISKCON_Swamis_-_R_to_Y/His_Holiness_Radhanath_Swami/Lectures/00_-_Year_wise/Devotional_Nectar_-_1991/1991-035_Miseries_Of_Sex_Attraction_SB-9_10_9-11_Mumbai_-_28-04-91_IDesireTree.mp3", "1991-035_Miseries_Of_Sex_Attraction_SB-9_10_9-11_Mumbai_-_28-04-91_IDesireTree.mp3")</f>
        <v>1991-035_Miseries_Of_Sex_Attraction_SB-9_10_9-11_Mumbai_-_28-04-91_IDesireTree.mp3</v>
      </c>
      <c r="D226" s="11"/>
      <c r="E226" s="11"/>
    </row>
    <row r="227" spans="1:5">
      <c r="A227" s="12" t="s">
        <v>12462</v>
      </c>
      <c r="B227" s="12" t="s">
        <v>13202</v>
      </c>
      <c r="C227" s="13" t="str">
        <f>HYPERLINK("https://audio.iskcondesiretree.com/02_-_ISKCON_Swamis/ISKCON_Swamis_-_R_to_Y/His_Holiness_Radhanath_Swami/Lectures/00_-_Year_wise/Devotional_Nectar_-_1991/1991-036_Krishna_Is_Perfect_BG-06_33-34_Mumbai_-_Radhanath_Swami_1991-04-28_IDesireTree.mp3", "1991-036_Krishna_Is_Perfect_BG-06_33-34_Mumbai_-_Radhanath_Swami_1991-04-28_IDesireTree.mp3")</f>
        <v>1991-036_Krishna_Is_Perfect_BG-06_33-34_Mumbai_-_Radhanath_Swami_1991-04-28_IDesireTree.mp3</v>
      </c>
      <c r="D227" s="11"/>
      <c r="E227" s="11"/>
    </row>
    <row r="228" spans="1:5">
      <c r="A228" s="12" t="s">
        <v>12462</v>
      </c>
      <c r="B228" s="12" t="s">
        <v>13203</v>
      </c>
      <c r="C228" s="13" t="str">
        <f>HYPERLINK("https://audio.iskcondesiretree.com/02_-_ISKCON_Swamis/ISKCON_Swamis_-_R_to_Y/His_Holiness_Radhanath_Swami/Lectures/00_-_Year_wise/Devotional_Nectar_-_1991/1991-037_Why_Vaishnavas_Appear_To_Be_Defeated_SB-09_10_12_Mumbai_-_29-04-91_IDesireTree.mp3", "1991-037_Why_Vaishnavas_Appear_To_Be_Defeated_SB-09_10_12_Mumbai_-_29-04-91_IDesireTree.mp3")</f>
        <v>1991-037_Why_Vaishnavas_Appear_To_Be_Defeated_SB-09_10_12_Mumbai_-_29-04-91_IDesireTree.mp3</v>
      </c>
      <c r="D228" s="11"/>
      <c r="E228" s="11"/>
    </row>
    <row r="229" spans="1:5">
      <c r="A229" s="12" t="s">
        <v>12462</v>
      </c>
      <c r="B229" s="12" t="s">
        <v>13204</v>
      </c>
      <c r="C229" s="13" t="str">
        <f>HYPERLINK("https://audio.iskcondesiretree.com/02_-_ISKCON_Swamis/ISKCON_Swamis_-_R_to_Y/His_Holiness_Radhanath_Swami/Lectures/00_-_Year_wise/Devotional_Nectar_-_1991/1991-038_Abandaning_krsna_is_disasterous_SB-09_10_15_Mumbai_-_01-5-91_IDesireTree.mp3", "1991-038_Abandaning_krsna_is_disasterous_SB-09_10_15_Mumbai_-_01-5-91_IDesireTree.mp3")</f>
        <v>1991-038_Abandaning_krsna_is_disasterous_SB-09_10_15_Mumbai_-_01-5-91_IDesireTree.mp3</v>
      </c>
      <c r="D229" s="11"/>
      <c r="E229" s="11"/>
    </row>
    <row r="230" spans="1:5">
      <c r="A230" s="12" t="s">
        <v>12462</v>
      </c>
      <c r="B230" s="12" t="s">
        <v>13205</v>
      </c>
      <c r="C230" s="13" t="str">
        <f>HYPERLINK("https://audio.iskcondesiretree.com/02_-_ISKCON_Swamis/ISKCON_Swamis_-_R_to_Y/His_Holiness_Radhanath_Swami/Lectures/00_-_Year_wise/Devotional_Nectar_-_1991/1991-039_How_To_Overcome_Material_Energy_BG-07_14_Mumbai_-_02-05-91_IDesireTree.mp3", "1991-039_How_To_Overcome_Material_Energy_BG-07_14_Mumbai_-_02-05-91_IDesireTree.mp3")</f>
        <v>1991-039_How_To_Overcome_Material_Energy_BG-07_14_Mumbai_-_02-05-91_IDesireTree.mp3</v>
      </c>
      <c r="D230" s="11"/>
      <c r="E230" s="11"/>
    </row>
    <row r="231" spans="1:5">
      <c r="A231" s="12" t="s">
        <v>12462</v>
      </c>
      <c r="B231" s="12" t="s">
        <v>13206</v>
      </c>
      <c r="C231" s="13" t="str">
        <f>HYPERLINK("https://audio.iskcondesiretree.com/02_-_ISKCON_Swamis/ISKCON_Swamis_-_R_to_Y/His_Holiness_Radhanath_Swami/Lectures/00_-_Year_wise/Devotional_Nectar_-_1991/1991-040_Krishna%27s_Inconceivable_Potency_SB-09_10_16_Mumbai_-_03-05-91_IDesireTree.mp3", "1991-040_Krishna%27s_Inconceivable_Potency_SB-09_10_16_Mumbai_-_03-05-91_IDesireTree.mp3")</f>
        <v>1991-040_Krishna%27s_Inconceivable_Potency_SB-09_10_16_Mumbai_-_03-05-91_IDesireTree.mp3</v>
      </c>
      <c r="D231" s="11"/>
      <c r="E231" s="11"/>
    </row>
    <row r="232" spans="1:5">
      <c r="A232" s="12" t="s">
        <v>12462</v>
      </c>
      <c r="B232" s="12" t="s">
        <v>13207</v>
      </c>
      <c r="C232" s="13" t="str">
        <f>HYPERLINK("https://audio.iskcondesiretree.com/02_-_ISKCON_Swamis/ISKCON_Swamis_-_R_to_Y/His_Holiness_Radhanath_Swami/Lectures/00_-_Year_wise/Devotional_Nectar_-_1991/1991-041_The_Story_Of_Markandeya_Muni_Lecture_Mumbai_-_Radhanath_Swami_1991-05-03_IDesireTree.mp3", "1991-041_The_Story_Of_Markandeya_Muni_Lecture_Mumbai_-_Radhanath_Swami_1991-05-03_IDesireTree.mp3")</f>
        <v>1991-041_The_Story_Of_Markandeya_Muni_Lecture_Mumbai_-_Radhanath_Swami_1991-05-03_IDesireTree.mp3</v>
      </c>
      <c r="D232" s="11"/>
      <c r="E232" s="11"/>
    </row>
    <row r="233" spans="1:5">
      <c r="A233" s="12" t="s">
        <v>12462</v>
      </c>
      <c r="B233" s="12" t="s">
        <v>13208</v>
      </c>
      <c r="C233" s="13" t="str">
        <f>HYPERLINK("https://audio.iskcondesiretree.com/02_-_ISKCON_Swamis/ISKCON_Swamis_-_R_to_Y/His_Holiness_Radhanath_Swami/Lectures/00_-_Year_wise/Devotional_Nectar_-_1991/1991-042_Raghunath_Das_Goswami_SB-10_36_01_Mumbai_-_Radhanath_Swami_1991-05-04_IDesireTree.mp3", "1991-042_Raghunath_Das_Goswami_SB-10_36_01_Mumbai_-_Radhanath_Swami_1991-05-04_IDesireTree.mp3")</f>
        <v>1991-042_Raghunath_Das_Goswami_SB-10_36_01_Mumbai_-_Radhanath_Swami_1991-05-04_IDesireTree.mp3</v>
      </c>
      <c r="D233" s="11"/>
      <c r="E233" s="11"/>
    </row>
    <row r="234" spans="1:5">
      <c r="A234" s="12" t="s">
        <v>12462</v>
      </c>
      <c r="B234" s="12" t="s">
        <v>13209</v>
      </c>
      <c r="C234" s="13" t="str">
        <f>HYPERLINK("https://audio.iskcondesiretree.com/02_-_ISKCON_Swamis/ISKCON_Swamis_-_R_to_Y/His_Holiness_Radhanath_Swami/Lectures/00_-_Year_wise/Devotional_Nectar_-_1991/1991-043_Lecture_To_College_Students_Lecture_Mumbai_-_Radhanath_Swami_-1991-05-04_IDesireTree.mp3", "1991-043_Lecture_To_College_Students_Lecture_Mumbai_-_Radhanath_Swami_-1991-05-04_IDesireTree.mp3")</f>
        <v>1991-043_Lecture_To_College_Students_Lecture_Mumbai_-_Radhanath_Swami_-1991-05-04_IDesireTree.mp3</v>
      </c>
      <c r="D234" s="11"/>
      <c r="E234" s="11"/>
    </row>
    <row r="235" spans="1:5">
      <c r="A235" s="12" t="s">
        <v>12462</v>
      </c>
      <c r="B235" s="12" t="s">
        <v>13210</v>
      </c>
      <c r="C235" s="13" t="str">
        <f>HYPERLINK("https://audio.iskcondesiretree.com/02_-_ISKCON_Swamis/ISKCON_Swamis_-_R_to_Y/His_Holiness_Radhanath_Swami/Lectures/00_-_Year_wise/Devotional_Nectar_-_1991/1991-044_The_Pastimes_Of_Lord_Ramachandra_SB-09_10_31-38_Mumbai_-_09-05-91_IDesireTree.mp3", "1991-044_The_Pastimes_Of_Lord_Ramachandra_SB-09_10_31-38_Mumbai_-_09-05-91_IDesireTree.mp3")</f>
        <v>1991-044_The_Pastimes_Of_Lord_Ramachandra_SB-09_10_31-38_Mumbai_-_09-05-91_IDesireTree.mp3</v>
      </c>
      <c r="D235" s="11"/>
      <c r="E235" s="11"/>
    </row>
    <row r="236" spans="1:5">
      <c r="A236" s="12" t="s">
        <v>12462</v>
      </c>
      <c r="B236" s="12" t="s">
        <v>13211</v>
      </c>
      <c r="C236" s="13" t="str">
        <f>HYPERLINK("https://audio.iskcondesiretree.com/02_-_ISKCON_Swamis/ISKCON_Swamis_-_R_to_Y/His_Holiness_Radhanath_Swami/Lectures/00_-_Year_wise/Devotional_Nectar_-_1991/1991-045_Being_Pious_BG-07_28_Mumbai_-_Radhanath_Swami_1991-05-10_IDesireTree.mp3", "1991-045_Being_Pious_BG-07_28_Mumbai_-_Radhanath_Swami_1991-05-10_IDesireTree.mp3")</f>
        <v>1991-045_Being_Pious_BG-07_28_Mumbai_-_Radhanath_Swami_1991-05-10_IDesireTree.mp3</v>
      </c>
      <c r="D236" s="11"/>
      <c r="E236" s="11"/>
    </row>
    <row r="237" spans="1:5">
      <c r="A237" s="12" t="s">
        <v>12462</v>
      </c>
      <c r="B237" s="12" t="s">
        <v>13212</v>
      </c>
      <c r="C237" s="13" t="str">
        <f>HYPERLINK("https://audio.iskcondesiretree.com/02_-_ISKCON_Swamis/ISKCON_Swamis_-_R_to_Y/His_Holiness_Radhanath_Swami/Lectures/00_-_Year_wise/Devotional_Nectar_-_1991/1991-046_Advent_Of_Kaliyuga_SB-09_10_51_Mumbai_-_Radhanath_Swami_1991-05-11_IDesireTree.mp3", "1991-046_Advent_Of_Kaliyuga_SB-09_10_51_Mumbai_-_Radhanath_Swami_1991-05-11_IDesireTree.mp3")</f>
        <v>1991-046_Advent_Of_Kaliyuga_SB-09_10_51_Mumbai_-_Radhanath_Swami_1991-05-11_IDesireTree.mp3</v>
      </c>
      <c r="D237" s="11"/>
      <c r="E237" s="11"/>
    </row>
    <row r="238" spans="1:5">
      <c r="A238" s="12" t="s">
        <v>12462</v>
      </c>
      <c r="B238" s="12" t="s">
        <v>13213</v>
      </c>
      <c r="C238" s="13" t="str">
        <f>HYPERLINK("https://audio.iskcondesiretree.com/02_-_ISKCON_Swamis/ISKCON_Swamis_-_R_to_Y/His_Holiness_Radhanath_Swami/Lectures/00_-_Year_wise/Devotional_Nectar_-_1991/1991-047_Bandaged_Society_SB-05_12_02_Mumbai_-_Radhanath_Swami_1991-05-12_IDesireTree.mp3", "1991-047_Bandaged_Society_SB-05_12_02_Mumbai_-_Radhanath_Swami_1991-05-12_IDesireTree.mp3")</f>
        <v>1991-047_Bandaged_Society_SB-05_12_02_Mumbai_-_Radhanath_Swami_1991-05-12_IDesireTree.mp3</v>
      </c>
      <c r="D238" s="11"/>
      <c r="E238" s="11"/>
    </row>
    <row r="239" spans="1:5">
      <c r="A239" s="12" t="s">
        <v>12462</v>
      </c>
      <c r="B239" s="12" t="s">
        <v>13214</v>
      </c>
      <c r="C239" s="13" t="str">
        <f>HYPERLINK("https://audio.iskcondesiretree.com/02_-_ISKCON_Swamis/ISKCON_Swamis_-_R_to_Y/His_Holiness_Radhanath_Swami/Lectures/00_-_Year_wise/Devotional_Nectar_-_1991/1991-048_Life_After_Death_Lecture_Mumbai_-_Radhanath_Swami_1991-05-12_IDesireTree.mp3", "1991-048_Life_After_Death_Lecture_Mumbai_-_Radhanath_Swami_1991-05-12_IDesireTree.mp3")</f>
        <v>1991-048_Life_After_Death_Lecture_Mumbai_-_Radhanath_Swami_1991-05-12_IDesireTree.mp3</v>
      </c>
      <c r="D239" s="11"/>
      <c r="E239" s="11"/>
    </row>
    <row r="240" spans="1:5">
      <c r="A240" s="12" t="s">
        <v>12462</v>
      </c>
      <c r="B240" s="12" t="s">
        <v>13215</v>
      </c>
      <c r="C240" s="13" t="str">
        <f>HYPERLINK("https://audio.iskcondesiretree.com/02_-_ISKCON_Swamis/ISKCON_Swamis_-_R_to_Y/His_Holiness_Radhanath_Swami/Lectures/00_-_Year_wise/Devotional_Nectar_-_1991/1991-049_Pleasing_Two_Is_Impossible_Lecture_Mumbai_-_Radhanath_Swami_1991-05-12_IDesireTree.mp3", "1991-049_Pleasing_Two_Is_Impossible_Lecture_Mumbai_-_Radhanath_Swami_1991-05-12_IDesireTree.mp3")</f>
        <v>1991-049_Pleasing_Two_Is_Impossible_Lecture_Mumbai_-_Radhanath_Swami_1991-05-12_IDesireTree.mp3</v>
      </c>
      <c r="D240" s="11"/>
      <c r="E240" s="11"/>
    </row>
    <row r="241" spans="1:5">
      <c r="A241" s="12" t="s">
        <v>12462</v>
      </c>
      <c r="B241" s="12" t="s">
        <v>13216</v>
      </c>
      <c r="C241" s="13" t="str">
        <f>HYPERLINK("https://audio.iskcondesiretree.com/02_-_ISKCON_Swamis/ISKCON_Swamis_-_R_to_Y/His_Holiness_Radhanath_Swami/Lectures/00_-_Year_wise/Devotional_Nectar_-_1991/1991-050_Real_Vrindavan_SB-09_11_19_Mumbai_-_Radhanath_Swami_1991-05-21_IDesireTree.mp3", "1991-050_Real_Vrindavan_SB-09_11_19_Mumbai_-_Radhanath_Swami_1991-05-21_IDesireTree.mp3")</f>
        <v>1991-050_Real_Vrindavan_SB-09_11_19_Mumbai_-_Radhanath_Swami_1991-05-21_IDesireTree.mp3</v>
      </c>
      <c r="D241" s="11"/>
      <c r="E241" s="11"/>
    </row>
    <row r="242" spans="1:5">
      <c r="A242" s="12" t="s">
        <v>12462</v>
      </c>
      <c r="B242" s="12" t="s">
        <v>13217</v>
      </c>
      <c r="C242" s="13" t="str">
        <f>HYPERLINK("https://audio.iskcondesiretree.com/02_-_ISKCON_Swamis/ISKCON_Swamis_-_R_to_Y/His_Holiness_Radhanath_Swami/Lectures/00_-_Year_wise/Devotional_Nectar_-_1991/1991-051_Atheists_Stand_No_Chance_BG-09_12_Mumbai_-_Radhanath_Swami_1991-05-24_IDesireTree.mp3", "1991-051_Atheists_Stand_No_Chance_BG-09_12_Mumbai_-_Radhanath_Swami_1991-05-24_IDesireTree.mp3")</f>
        <v>1991-051_Atheists_Stand_No_Chance_BG-09_12_Mumbai_-_Radhanath_Swami_1991-05-24_IDesireTree.mp3</v>
      </c>
      <c r="D242" s="11"/>
      <c r="E242" s="11"/>
    </row>
    <row r="243" spans="1:5">
      <c r="A243" s="12" t="s">
        <v>12462</v>
      </c>
      <c r="B243" s="12" t="s">
        <v>13218</v>
      </c>
      <c r="C243" s="13" t="str">
        <f>HYPERLINK("https://audio.iskcondesiretree.com/02_-_ISKCON_Swamis/ISKCON_Swamis_-_R_to_Y/His_Holiness_Radhanath_Swami/Lectures/00_-_Year_wise/Devotional_Nectar_-_1991/1991-052_The_Diesease_Of_Envy_SB-09_11_23_Mumbai_-_Radhanath_Swami_1991-05-24_IDesireTree.mp3", "1991-052_The_Diesease_Of_Envy_SB-09_11_23_Mumbai_-_Radhanath_Swami_1991-05-24_IDesireTree.mp3")</f>
        <v>1991-052_The_Diesease_Of_Envy_SB-09_11_23_Mumbai_-_Radhanath_Swami_1991-05-24_IDesireTree.mp3</v>
      </c>
      <c r="D243" s="11"/>
      <c r="E243" s="11"/>
    </row>
    <row r="244" spans="1:5">
      <c r="A244" s="12" t="s">
        <v>12462</v>
      </c>
      <c r="B244" s="12" t="s">
        <v>13219</v>
      </c>
      <c r="C244" s="13" t="str">
        <f>HYPERLINK("https://audio.iskcondesiretree.com/02_-_ISKCON_Swamis/ISKCON_Swamis_-_R_to_Y/His_Holiness_Radhanath_Swami/Lectures/00_-_Year_wise/Devotional_Nectar_-_1991/1991-053_Story_Of_Prahlad_Maharaj_SB_Mumbai_-_Radhanath_Swami_1991-05-26_IDesireTree.mp3", "1991-053_Story_Of_Prahlad_Maharaj_SB_Mumbai_-_Radhanath_Swami_1991-05-26_IDesireTree.mp3")</f>
        <v>1991-053_Story_Of_Prahlad_Maharaj_SB_Mumbai_-_Radhanath_Swami_1991-05-26_IDesireTree.mp3</v>
      </c>
      <c r="D244" s="11"/>
      <c r="E244" s="11"/>
    </row>
    <row r="245" spans="1:5">
      <c r="A245" s="12" t="s">
        <v>12462</v>
      </c>
      <c r="B245" s="12" t="s">
        <v>13220</v>
      </c>
      <c r="C245" s="13" t="str">
        <f>HYPERLINK("https://audio.iskcondesiretree.com/02_-_ISKCON_Swamis/ISKCON_Swamis_-_R_to_Y/His_Holiness_Radhanath_Swami/Lectures/00_-_Year_wise/Devotional_Nectar_-_1991/1991-054_The_Story_Of_Narasimhadev_Lecture_Mumbai_-_Radhanath_Swami_1991-05-26_IDesireTree.mp3", "1991-054_The_Story_Of_Narasimhadev_Lecture_Mumbai_-_Radhanath_Swami_1991-05-26_IDesireTree.mp3")</f>
        <v>1991-054_The_Story_Of_Narasimhadev_Lecture_Mumbai_-_Radhanath_Swami_1991-05-26_IDesireTree.mp3</v>
      </c>
      <c r="D245" s="11"/>
      <c r="E245" s="11"/>
    </row>
    <row r="246" spans="1:5">
      <c r="A246" s="12" t="s">
        <v>12462</v>
      </c>
      <c r="B246" s="12" t="s">
        <v>13221</v>
      </c>
      <c r="C246" s="13" t="str">
        <f>HYPERLINK("https://audio.iskcondesiretree.com/02_-_ISKCON_Swamis/ISKCON_Swamis_-_R_to_Y/His_Holiness_Radhanath_Swami/Lectures/00_-_Year_wise/Devotional_Nectar_-_1991/1991-055_The_Greatness_Of_devotee_SB_-_Radhanath_Swami_1991-05-27_IDesireTree.mp3", "1991-055_The_Greatness_Of_devotee_SB_-_Radhanath_Swami_1991-05-27_IDesireTree.mp3")</f>
        <v>1991-055_The_Greatness_Of_devotee_SB_-_Radhanath_Swami_1991-05-27_IDesireTree.mp3</v>
      </c>
      <c r="D246" s="11"/>
      <c r="E246" s="11"/>
    </row>
    <row r="247" spans="1:5">
      <c r="A247" s="12" t="s">
        <v>12462</v>
      </c>
      <c r="B247" s="12" t="s">
        <v>13222</v>
      </c>
      <c r="C247" s="13" t="str">
        <f>HYPERLINK("https://audio.iskcondesiretree.com/02_-_ISKCON_Swamis/ISKCON_Swamis_-_R_to_Y/His_Holiness_Radhanath_Swami/Lectures/00_-_Year_wise/Devotional_Nectar_-_1991/1991-056_Within_Our_Heart_Lecture_Mumbai_-_Radhanath_Swami_1991-05-05_IDesireTree.mp3", "1991-056_Within_Our_Heart_Lecture_Mumbai_-_Radhanath_Swami_1991-05-05_IDesireTree.mp3")</f>
        <v>1991-056_Within_Our_Heart_Lecture_Mumbai_-_Radhanath_Swami_1991-05-05_IDesireTree.mp3</v>
      </c>
      <c r="D247" s="11"/>
      <c r="E247" s="11"/>
    </row>
    <row r="248" spans="1:5">
      <c r="A248" s="12" t="s">
        <v>12462</v>
      </c>
      <c r="B248" s="12" t="s">
        <v>13223</v>
      </c>
      <c r="C248" s="13" t="str">
        <f>HYPERLINK("https://audio.iskcondesiretree.com/02_-_ISKCON_Swamis/ISKCON_Swamis_-_R_to_Y/His_Holiness_Radhanath_Swami/Lectures/00_-_Year_wise/Devotional_Nectar_-_1991/1991-057_The_Importance_Of_Chastity_SB-09_10_24-27_Mumbai_-_06-05-91_IDesireTree.mp3", "1991-057_The_Importance_Of_Chastity_SB-09_10_24-27_Mumbai_-_06-05-91_IDesireTree.mp3")</f>
        <v>1991-057_The_Importance_Of_Chastity_SB-09_10_24-27_Mumbai_-_06-05-91_IDesireTree.mp3</v>
      </c>
      <c r="D248" s="11"/>
      <c r="E248" s="11"/>
    </row>
    <row r="249" spans="1:5">
      <c r="A249" s="12" t="s">
        <v>12462</v>
      </c>
      <c r="B249" s="12" t="s">
        <v>13224</v>
      </c>
      <c r="C249" s="13" t="str">
        <f>HYPERLINK("https://audio.iskcondesiretree.com/02_-_ISKCON_Swamis/ISKCON_Swamis_-_R_to_Y/His_Holiness_Radhanath_Swami/Lectures/00_-_Year_wise/Devotional_Nectar_-_1991/1991-058_Demons_Are_Killed_In_The_End_SB-09_10_28_Mumbai_-_07-05-91_IDesireTree.mp3", "1991-058_Demons_Are_Killed_In_The_End_SB-09_10_28_Mumbai_-_07-05-91_IDesireTree.mp3")</f>
        <v>1991-058_Demons_Are_Killed_In_The_End_SB-09_10_28_Mumbai_-_07-05-91_IDesireTree.mp3</v>
      </c>
      <c r="D249" s="11"/>
      <c r="E249" s="11"/>
    </row>
    <row r="250" spans="1:5">
      <c r="A250" s="12" t="s">
        <v>12462</v>
      </c>
      <c r="B250" s="12" t="s">
        <v>13225</v>
      </c>
      <c r="C250" s="13" t="str">
        <f>HYPERLINK("https://audio.iskcondesiretree.com/02_-_ISKCON_Swamis/ISKCON_Swamis_-_R_to_Y/His_Holiness_Radhanath_Swami/Lectures/00_-_Year_wise/Devotional_Nectar_-_1991/1991-059_Haridas_Thakur_Lecture_Mumbai_-_Radhanath_Swami_1991-06-03_IDesireTree.mp3", "1991-059_Haridas_Thakur_Lecture_Mumbai_-_Radhanath_Swami_1991-06-03_IDesireTree.mp3")</f>
        <v>1991-059_Haridas_Thakur_Lecture_Mumbai_-_Radhanath_Swami_1991-06-03_IDesireTree.mp3</v>
      </c>
      <c r="D250" s="11"/>
      <c r="E250" s="11"/>
    </row>
    <row r="251" spans="1:5">
      <c r="A251" s="12" t="s">
        <v>12462</v>
      </c>
      <c r="B251" s="12" t="s">
        <v>13226</v>
      </c>
      <c r="C251" s="13" t="str">
        <f>HYPERLINK("https://audio.iskcondesiretree.com/02_-_ISKCON_Swamis/ISKCON_Swamis_-_R_to_Y/His_Holiness_Radhanath_Swami/Lectures/00_-_Year_wise/Devotional_Nectar_-_1991/1991-060_Dangerous_Road-_Pride_SB-09_14_04-06_Mumbai_-_Radhanath_Swami_1991-06-06_IDesireTree.mp3", "1991-060_Dangerous_Road-_Pride_SB-09_14_04-06_Mumbai_-_Radhanath_Swami_1991-06-06_IDesireTree.mp3")</f>
        <v>1991-060_Dangerous_Road-_Pride_SB-09_14_04-06_Mumbai_-_Radhanath_Swami_1991-06-06_IDesireTree.mp3</v>
      </c>
      <c r="D251" s="11"/>
      <c r="E251" s="11"/>
    </row>
    <row r="252" spans="1:5">
      <c r="A252" s="12" t="s">
        <v>12462</v>
      </c>
      <c r="B252" s="12" t="s">
        <v>13227</v>
      </c>
      <c r="C252" s="13" t="str">
        <f>HYPERLINK("https://audio.iskcondesiretree.com/02_-_ISKCON_Swamis/ISKCON_Swamis_-_R_to_Y/His_Holiness_Radhanath_Swami/Lectures/00_-_Year_wise/Devotional_Nectar_-_1991/1991-061_Are_You_The_Proprietor_SB-09_14_08-09_Mumbai_-_Radhanath_Swami_1991-06-07_IDesireTree.mp3", "1991-061_Are_You_The_Proprietor_SB-09_14_08-09_Mumbai_-_Radhanath_Swami_1991-06-07_IDesireTree.mp3")</f>
        <v>1991-061_Are_You_The_Proprietor_SB-09_14_08-09_Mumbai_-_Radhanath_Swami_1991-06-07_IDesireTree.mp3</v>
      </c>
      <c r="D252" s="11"/>
      <c r="E252" s="11"/>
    </row>
    <row r="253" spans="1:5">
      <c r="A253" s="12" t="s">
        <v>12462</v>
      </c>
      <c r="B253" s="12" t="s">
        <v>13228</v>
      </c>
      <c r="C253" s="13" t="str">
        <f>HYPERLINK("https://audio.iskcondesiretree.com/02_-_ISKCON_Swamis/ISKCON_Swamis_-_R_to_Y/His_Holiness_Radhanath_Swami/Lectures/00_-_Year_wise/Devotional_Nectar_-_1991/1991-062_Aim_Is_One_Inspite_Of_Disagreement_SB-04_30_8-11_Mumbai_-_07-06-91_IDesireTree.mp3", "1991-062_Aim_Is_One_Inspite_Of_Disagreement_SB-04_30_8-11_Mumbai_-_07-06-91_IDesireTree.mp3")</f>
        <v>1991-062_Aim_Is_One_Inspite_Of_Disagreement_SB-04_30_8-11_Mumbai_-_07-06-91_IDesireTree.mp3</v>
      </c>
      <c r="D253" s="11"/>
      <c r="E253" s="11"/>
    </row>
    <row r="254" spans="1:5">
      <c r="A254" s="12" t="s">
        <v>12462</v>
      </c>
      <c r="B254" s="12" t="s">
        <v>13229</v>
      </c>
      <c r="C254" s="13" t="str">
        <f>HYPERLINK("https://audio.iskcondesiretree.com/02_-_ISKCON_Swamis/ISKCON_Swamis_-_R_to_Y/His_Holiness_Radhanath_Swami/Lectures/00_-_Year_wise/Devotional_Nectar_-_1991/1991-063_Obedience_To_Guru_Parampara_CC_AL-01_02_Mumbai_-_Radhanath_Swami_1991-06-08_IDesireTree.mp3", "1991-063_Obedience_To_Guru_Parampara_CC_AL-01_02_Mumbai_-_Radhanath_Swami_1991-06-08_IDesireTree.mp3")</f>
        <v>1991-063_Obedience_To_Guru_Parampara_CC_AL-01_02_Mumbai_-_Radhanath_Swami_1991-06-08_IDesireTree.mp3</v>
      </c>
      <c r="D254" s="11"/>
      <c r="E254" s="11"/>
    </row>
    <row r="255" spans="1:5">
      <c r="A255" s="12" t="s">
        <v>12462</v>
      </c>
      <c r="B255" s="12" t="s">
        <v>13230</v>
      </c>
      <c r="C255" s="13" t="str">
        <f>HYPERLINK("https://audio.iskcondesiretree.com/02_-_ISKCON_Swamis/ISKCON_Swamis_-_R_to_Y/His_Holiness_Radhanath_Swami/Lectures/00_-_Year_wise/Devotional_Nectar_-_1991/1991-064_Questions_And_Answers_Q%26A_Mumbai_-_Radhanath_Swami_1991-06-08_IDesireTree.mp3", "1991-064_Questions_And_Answers_Q%26A_Mumbai_-_Radhanath_Swami_1991-06-08_IDesireTree.mp3")</f>
        <v>1991-064_Questions_And_Answers_Q%26A_Mumbai_-_Radhanath_Swami_1991-06-08_IDesireTree.mp3</v>
      </c>
      <c r="D255" s="11"/>
      <c r="E255" s="11"/>
    </row>
    <row r="256" spans="1:5">
      <c r="A256" s="12" t="s">
        <v>12462</v>
      </c>
      <c r="B256" s="12" t="s">
        <v>13231</v>
      </c>
      <c r="C256" s="13" t="str">
        <f>HYPERLINK("https://audio.iskcondesiretree.com/02_-_ISKCON_Swamis/ISKCON_Swamis_-_R_to_Y/His_Holiness_Radhanath_Swami/Lectures/00_-_Year_wise/Devotional_Nectar_-_1991/1991-065_Spiritual_Life_is_a_Necessity_Rainbow_Lecture_-_Radhanath_Swami_1991-07-01_IDesireTree.mp3", "1991-065_Spiritual_Life_is_a_Necessity_Rainbow_Lecture_-_Radhanath_Swami_1991-07-01_IDesireTree.mp3")</f>
        <v>1991-065_Spiritual_Life_is_a_Necessity_Rainbow_Lecture_-_Radhanath_Swami_1991-07-01_IDesireTree.mp3</v>
      </c>
      <c r="D256" s="11"/>
      <c r="E256" s="11"/>
    </row>
    <row r="257" spans="1:5">
      <c r="A257" s="12" t="s">
        <v>12462</v>
      </c>
      <c r="B257" s="12" t="s">
        <v>13232</v>
      </c>
      <c r="C257" s="13" t="str">
        <f>HYPERLINK("https://audio.iskcondesiretree.com/02_-_ISKCON_Swamis/ISKCON_Swamis_-_R_to_Y/His_Holiness_Radhanath_Swami/Lectures/00_-_Year_wise/Devotional_Nectar_-_1991/1991-066_Devahuti%27s_Enquiries_To_Lord_Kapila_SB-03_25_07_Mumbai_-_01-06-91_IDesireTree.mp3", "1991-066_Devahuti%27s_Enquiries_To_Lord_Kapila_SB-03_25_07_Mumbai_-_01-06-91_IDesireTree.mp3")</f>
        <v>1991-066_Devahuti%27s_Enquiries_To_Lord_Kapila_SB-03_25_07_Mumbai_-_01-06-91_IDesireTree.mp3</v>
      </c>
      <c r="D257" s="11"/>
      <c r="E257" s="11"/>
    </row>
    <row r="258" spans="1:5">
      <c r="A258" s="12" t="s">
        <v>12462</v>
      </c>
      <c r="B258" s="12" t="s">
        <v>13233</v>
      </c>
      <c r="C258" s="13" t="str">
        <f>HYPERLINK("https://audio.iskcondesiretree.com/02_-_ISKCON_Swamis/ISKCON_Swamis_-_R_to_Y/His_Holiness_Radhanath_Swami/Lectures/00_-_Year_wise/Devotional_Nectar_-_1991/1991-067_Man_And_Demigods_SB-09_13_11_Mumbai_-_Radhanath_Swami_1991-06-02_IDesireTree.mp3", "1991-067_Man_And_Demigods_SB-09_13_11_Mumbai_-_Radhanath_Swami_1991-06-02_IDesireTree.mp3")</f>
        <v>1991-067_Man_And_Demigods_SB-09_13_11_Mumbai_-_Radhanath_Swami_1991-06-02_IDesireTree.mp3</v>
      </c>
      <c r="D258" s="11"/>
      <c r="E258" s="11"/>
    </row>
    <row r="259" spans="1:5">
      <c r="A259" s="12" t="s">
        <v>12462</v>
      </c>
      <c r="B259" s="12" t="s">
        <v>13234</v>
      </c>
      <c r="C259" s="13" t="str">
        <f>HYPERLINK("https://audio.iskcondesiretree.com/02_-_ISKCON_Swamis/ISKCON_Swamis_-_R_to_Y/His_Holiness_Radhanath_Swami/Lectures/00_-_Year_wise/Devotional_Nectar_-_1991/1991-068_Inauspicious_To_Auspicious_SB-09_13_12-13_Mumbai_-_03-06-91_IDesireTree.mp3", "1991-068_Inauspicious_To_Auspicious_SB-09_13_12-13_Mumbai_-_03-06-91_IDesireTree.mp3")</f>
        <v>1991-068_Inauspicious_To_Auspicious_SB-09_13_12-13_Mumbai_-_03-06-91_IDesireTree.mp3</v>
      </c>
      <c r="D259" s="11"/>
      <c r="E259" s="11"/>
    </row>
    <row r="260" spans="1:5">
      <c r="A260" s="12" t="s">
        <v>12462</v>
      </c>
      <c r="B260" s="12" t="s">
        <v>13235</v>
      </c>
      <c r="C260" s="13" t="str">
        <f>HYPERLINK("https://audio.iskcondesiretree.com/02_-_ISKCON_Swamis/ISKCON_Swamis_-_R_to_Y/His_Holiness_Radhanath_Swami/Lectures/00_-_Year_wise/Devotional_Nectar_-_1991/1991-069_Blessing_Of_Acharyas_Is_Necessary_Lecture_Mumbai_-_27-05-91_IDesireTree.mp3", "1991-069_Blessing_Of_Acharyas_Is_Necessary_Lecture_Mumbai_-_27-05-91_IDesireTree.mp3")</f>
        <v>1991-069_Blessing_Of_Acharyas_Is_Necessary_Lecture_Mumbai_-_27-05-91_IDesireTree.mp3</v>
      </c>
      <c r="D260" s="11"/>
      <c r="E260" s="11"/>
    </row>
    <row r="261" spans="1:5">
      <c r="A261" s="12" t="s">
        <v>12462</v>
      </c>
      <c r="B261" s="12" t="s">
        <v>13236</v>
      </c>
      <c r="C261" s="13" t="str">
        <f>HYPERLINK("https://audio.iskcondesiretree.com/02_-_ISKCON_Swamis/ISKCON_Swamis_-_R_to_Y/His_Holiness_Radhanath_Swami/Lectures/00_-_Year_wise/Devotional_Nectar_-_1991/1991-070_Srinivas_Acarya_and_his_Associates_Lecture_Mumbai_-_27-05-91_IDesireTree.mp3", "1991-070_Srinivas_Acarya_and_his_Associates_Lecture_Mumbai_-_27-05-91_IDesireTree.mp3")</f>
        <v>1991-070_Srinivas_Acarya_and_his_Associates_Lecture_Mumbai_-_27-05-91_IDesireTree.mp3</v>
      </c>
      <c r="D261" s="11"/>
      <c r="E261" s="11"/>
    </row>
    <row r="262" spans="1:5">
      <c r="A262" s="12" t="s">
        <v>12462</v>
      </c>
      <c r="B262" s="12" t="s">
        <v>13237</v>
      </c>
      <c r="C262" s="13" t="str">
        <f>HYPERLINK("https://audio.iskcondesiretree.com/02_-_ISKCON_Swamis/ISKCON_Swamis_-_R_to_Y/His_Holiness_Radhanath_Swami/Lectures/00_-_Year_wise/Devotional_Nectar_-_1991/1991-071_Unmotivated_Love_For_God_SB-09_13_09_Mumbai_-_Radhanath_Swami_1991-05-30_IDesireTree.mp3", "1991-071_Unmotivated_Love_For_God_SB-09_13_09_Mumbai_-_Radhanath_Swami_1991-05-30_IDesireTree.mp3")</f>
        <v>1991-071_Unmotivated_Love_For_God_SB-09_13_09_Mumbai_-_Radhanath_Swami_1991-05-30_IDesireTree.mp3</v>
      </c>
      <c r="D262" s="11"/>
      <c r="E262" s="11"/>
    </row>
    <row r="263" spans="1:5">
      <c r="A263" s="12" t="s">
        <v>12462</v>
      </c>
      <c r="B263" s="12" t="s">
        <v>13238</v>
      </c>
      <c r="C263" s="13" t="str">
        <f>HYPERLINK("https://audio.iskcondesiretree.com/02_-_ISKCON_Swamis/ISKCON_Swamis_-_R_to_Y/His_Holiness_Radhanath_Swami/Lectures/00_-_Year_wise/Devotional_Nectar_-_1991/1991-072_Like_A_Fish_SB-09_13_10_Mumbai_-_Radhanath_Swami_1991-05-31_IDesireTree.mp3", "1991-072_Like_A_Fish_SB-09_13_10_Mumbai_-_Radhanath_Swami_1991-05-31_IDesireTree.mp3")</f>
        <v>1991-072_Like_A_Fish_SB-09_13_10_Mumbai_-_Radhanath_Swami_1991-05-31_IDesireTree.mp3</v>
      </c>
      <c r="D263" s="11"/>
      <c r="E263" s="11"/>
    </row>
    <row r="264" spans="1:5">
      <c r="A264" s="12" t="s">
        <v>12462</v>
      </c>
      <c r="B264" s="12" t="s">
        <v>13239</v>
      </c>
      <c r="C264" s="13" t="str">
        <f>HYPERLINK("https://audio.iskcondesiretree.com/02_-_ISKCON_Swamis/ISKCON_Swamis_-_R_to_Y/His_Holiness_Radhanath_Swami/Lectures/00_-_Year_wise/Devotional_Nectar_-_1991/1991-073_The_Twelve_Mahajans_Lecture_Mumbai_-_Radhanath_Swami_1991-05-31_IDesireTree.mp3", "1991-073_The_Twelve_Mahajans_Lecture_Mumbai_-_Radhanath_Swami_1991-05-31_IDesireTree.mp3")</f>
        <v>1991-073_The_Twelve_Mahajans_Lecture_Mumbai_-_Radhanath_Swami_1991-05-31_IDesireTree.mp3</v>
      </c>
      <c r="D264" s="11"/>
      <c r="E264" s="11"/>
    </row>
    <row r="265" spans="1:5">
      <c r="A265" s="12" t="s">
        <v>12462</v>
      </c>
      <c r="B265" s="12" t="s">
        <v>13240</v>
      </c>
      <c r="C265" s="13" t="str">
        <f>HYPERLINK("https://audio.iskcondesiretree.com/02_-_ISKCON_Swamis/ISKCON_Swamis_-_R_to_Y/His_Holiness_Radhanath_Swami/Lectures/00_-_Year_wise/Devotional_Nectar_-_1991/1991-074_Hearing_Is_Beginning_SB-10_01_08_Mumbai_-_Radhanath_Swami_1991-10-12_IDesireTree.mp3", "1991-074_Hearing_Is_Beginning_SB-10_01_08_Mumbai_-_Radhanath_Swami_1991-10-12_IDesireTree.mp3")</f>
        <v>1991-074_Hearing_Is_Beginning_SB-10_01_08_Mumbai_-_Radhanath_Swami_1991-10-12_IDesireTree.mp3</v>
      </c>
      <c r="D265" s="11"/>
      <c r="E265" s="11"/>
    </row>
    <row r="266" spans="1:5">
      <c r="A266" s="12" t="s">
        <v>12462</v>
      </c>
      <c r="B266" s="12" t="s">
        <v>13241</v>
      </c>
      <c r="C266" s="13" t="str">
        <f>HYPERLINK("https://audio.iskcondesiretree.com/02_-_ISKCON_Swamis/ISKCON_Swamis_-_R_to_Y/His_Holiness_Radhanath_Swami/Lectures/00_-_Year_wise/Devotional_Nectar_-_1991/1991-075_Refuge_In_Holy_Vibration_Lecture_Mumbai_-_Radhanath_Swami_1991-10-12_IDesireTree.mp3", "1991-075_Refuge_In_Holy_Vibration_Lecture_Mumbai_-_Radhanath_Swami_1991-10-12_IDesireTree.mp3")</f>
        <v>1991-075_Refuge_In_Holy_Vibration_Lecture_Mumbai_-_Radhanath_Swami_1991-10-12_IDesireTree.mp3</v>
      </c>
      <c r="D266" s="11"/>
      <c r="E266" s="11"/>
    </row>
    <row r="267" spans="1:5">
      <c r="A267" s="12" t="s">
        <v>12462</v>
      </c>
      <c r="B267" s="12" t="s">
        <v>13242</v>
      </c>
      <c r="C267" s="13" t="str">
        <f>HYPERLINK("https://audio.iskcondesiretree.com/02_-_ISKCON_Swamis/ISKCON_Swamis_-_R_to_Y/His_Holiness_Radhanath_Swami/Lectures/00_-_Year_wise/Devotional_Nectar_-_1991/1991-076_What_Is_Sadhu_SB-05_01_17_Mumbai_-_Radhanath_Swami_1991-10-13_IDesireTree.mp3", "1991-076_What_Is_Sadhu_SB-05_01_17_Mumbai_-_Radhanath_Swami_1991-10-13_IDesireTree.mp3")</f>
        <v>1991-076_What_Is_Sadhu_SB-05_01_17_Mumbai_-_Radhanath_Swami_1991-10-13_IDesireTree.mp3</v>
      </c>
      <c r="D267" s="11"/>
      <c r="E267" s="11"/>
    </row>
    <row r="268" spans="1:5">
      <c r="A268" s="12" t="s">
        <v>12462</v>
      </c>
      <c r="B268" s="12" t="s">
        <v>13243</v>
      </c>
      <c r="C268" s="13" t="str">
        <f>HYPERLINK("https://audio.iskcondesiretree.com/02_-_ISKCON_Swamis/ISKCON_Swamis_-_R_to_Y/His_Holiness_Radhanath_Swami/Lectures/00_-_Year_wise/Devotional_Nectar_-_1991/1991-077_Brahman_By_Quality_And_Not_By_Birth_SB-10_01_13_Mumbai_-_14-10-91_IDesireTree.mp3", "1991-077_Brahman_By_Quality_And_Not_By_Birth_SB-10_01_13_Mumbai_-_14-10-91_IDesireTree.mp3")</f>
        <v>1991-077_Brahman_By_Quality_And_Not_By_Birth_SB-10_01_13_Mumbai_-_14-10-91_IDesireTree.mp3</v>
      </c>
      <c r="D268" s="11"/>
      <c r="E268" s="11"/>
    </row>
    <row r="269" spans="1:5">
      <c r="A269" s="12" t="s">
        <v>12462</v>
      </c>
      <c r="B269" s="12" t="s">
        <v>13244</v>
      </c>
      <c r="C269" s="13" t="str">
        <f>HYPERLINK("https://audio.iskcondesiretree.com/02_-_ISKCON_Swamis/ISKCON_Swamis_-_R_to_Y/His_Holiness_Radhanath_Swami/Lectures/00_-_Year_wise/Devotional_Nectar_-_1991/1991-078_Perceiving_Vrindavan_Lecture_Mumbai_-_Radhanath_Swami_1991-10-14_IDesireTree.mp3", "1991-078_Perceiving_Vrindavan_Lecture_Mumbai_-_Radhanath_Swami_1991-10-14_IDesireTree.mp3")</f>
        <v>1991-078_Perceiving_Vrindavan_Lecture_Mumbai_-_Radhanath_Swami_1991-10-14_IDesireTree.mp3</v>
      </c>
      <c r="D269" s="11"/>
      <c r="E269" s="11"/>
    </row>
    <row r="270" spans="1:5">
      <c r="A270" s="12" t="s">
        <v>12462</v>
      </c>
      <c r="B270" s="12" t="s">
        <v>13245</v>
      </c>
      <c r="C270" s="13" t="str">
        <f>HYPERLINK("https://audio.iskcondesiretree.com/02_-_ISKCON_Swamis/ISKCON_Swamis_-_R_to_Y/His_Holiness_Radhanath_Swami/Lectures/00_-_Year_wise/Devotional_Nectar_-_1991/1991-079_Pure_Bhagavat_Philosophy_SB-10_01_14_Mumbai_-_Radhanath_Swami_1991-10-15_IDesireTree.mp3", "1991-079_Pure_Bhagavat_Philosophy_SB-10_01_14_Mumbai_-_Radhanath_Swami_1991-10-15_IDesireTree.mp3")</f>
        <v>1991-079_Pure_Bhagavat_Philosophy_SB-10_01_14_Mumbai_-_Radhanath_Swami_1991-10-15_IDesireTree.mp3</v>
      </c>
      <c r="D270" s="11"/>
      <c r="E270" s="11"/>
    </row>
    <row r="271" spans="1:5">
      <c r="A271" s="12" t="s">
        <v>12462</v>
      </c>
      <c r="B271" s="12" t="s">
        <v>13246</v>
      </c>
      <c r="C271" s="13" t="str">
        <f>HYPERLINK("https://audio.iskcondesiretree.com/02_-_ISKCON_Swamis/ISKCON_Swamis_-_R_to_Y/His_Holiness_Radhanath_Swami/Lectures/00_-_Year_wise/Devotional_Nectar_-_1991/1991-080_Importance_Of_Krishna_Katha_SB-10_01_15_Mumbai_-_Radhanath_Swami_1991-10-16_IDesireTree.mp3", "1991-080_Importance_Of_Krishna_Katha_SB-10_01_15_Mumbai_-_Radhanath_Swami_1991-10-16_IDesireTree.mp3")</f>
        <v>1991-080_Importance_Of_Krishna_Katha_SB-10_01_15_Mumbai_-_Radhanath_Swami_1991-10-16_IDesireTree.mp3</v>
      </c>
      <c r="D271" s="11"/>
      <c r="E271" s="11"/>
    </row>
    <row r="272" spans="1:5">
      <c r="A272" s="12" t="s">
        <v>12462</v>
      </c>
      <c r="B272" s="12" t="s">
        <v>13247</v>
      </c>
      <c r="C272" s="13" t="str">
        <f>HYPERLINK("https://audio.iskcondesiretree.com/02_-_ISKCON_Swamis/ISKCON_Swamis_-_R_to_Y/His_Holiness_Radhanath_Swami/Lectures/00_-_Year_wise/Devotional_Nectar_-_1991/1991-081_Ravan_In_Our_Heart_Lecture_Mumbai_-_Radhanath_Swami_1991-10-17_IDesireTree.mp3", "1991-081_Ravan_In_Our_Heart_Lecture_Mumbai_-_Radhanath_Swami_1991-10-17_IDesireTree.mp3")</f>
        <v>1991-081_Ravan_In_Our_Heart_Lecture_Mumbai_-_Radhanath_Swami_1991-10-17_IDesireTree.mp3</v>
      </c>
      <c r="D272" s="11"/>
      <c r="E272" s="11"/>
    </row>
    <row r="273" spans="1:5">
      <c r="A273" s="12" t="s">
        <v>12462</v>
      </c>
      <c r="B273" s="12" t="s">
        <v>13248</v>
      </c>
      <c r="C273" s="13" t="str">
        <f>HYPERLINK("https://audio.iskcondesiretree.com/02_-_ISKCON_Swamis/ISKCON_Swamis_-_R_to_Y/His_Holiness_Radhanath_Swami/Lectures/00_-_Year_wise/Devotional_Nectar_-_1991/1991-082_Story_Of_Ajamila_SB-06_03_22-23_Mumbai_-_Radhanath_Swami_1991-10-18_IDesireTree.mp3", "1991-082_Story_Of_Ajamila_SB-06_03_22-23_Mumbai_-_Radhanath_Swami_1991-10-18_IDesireTree.mp3")</f>
        <v>1991-082_Story_Of_Ajamila_SB-06_03_22-23_Mumbai_-_Radhanath_Swami_1991-10-18_IDesireTree.mp3</v>
      </c>
      <c r="D273" s="11"/>
      <c r="E273" s="11"/>
    </row>
    <row r="274" spans="1:5">
      <c r="A274" s="12" t="s">
        <v>12462</v>
      </c>
      <c r="B274" s="12" t="s">
        <v>13249</v>
      </c>
      <c r="C274" s="13" t="str">
        <f>HYPERLINK("https://audio.iskcondesiretree.com/02_-_ISKCON_Swamis/ISKCON_Swamis_-_R_to_Y/His_Holiness_Radhanath_Swami/Lectures/00_-_Year_wise/Devotional_Nectar_-_1991/1991-083_Remove_The_Obstacle_Of_Ravana_SB-1_3_22_Mumbai_-_17-10-91_IDesireTree.mp3", "1991-083_Remove_The_Obstacle_Of_Ravana_SB-1_3_22_Mumbai_-_17-10-91_IDesireTree.mp3")</f>
        <v>1991-083_Remove_The_Obstacle_Of_Ravana_SB-1_3_22_Mumbai_-_17-10-91_IDesireTree.mp3</v>
      </c>
      <c r="D274" s="11"/>
      <c r="E274" s="11"/>
    </row>
    <row r="275" spans="1:5">
      <c r="A275" s="12" t="s">
        <v>12462</v>
      </c>
      <c r="B275" s="12" t="s">
        <v>13250</v>
      </c>
      <c r="C275" s="13" t="str">
        <f>HYPERLINK("https://audio.iskcondesiretree.com/02_-_ISKCON_Swamis/ISKCON_Swamis_-_R_to_Y/His_Holiness_Radhanath_Swami/Lectures/00_-_Year_wise/Devotional_Nectar_-_1991/1991-084_Rainbow_SB_Class_NV_-_Radhanath_Swami_1991-07-06_IDesireTree.mp3", "1991-084_Rainbow_SB_Class_NV_-_Radhanath_Swami_1991-07-06_IDesireTree.mp3")</f>
        <v>1991-084_Rainbow_SB_Class_NV_-_Radhanath_Swami_1991-07-06_IDesireTree.mp3</v>
      </c>
      <c r="D275" s="11"/>
      <c r="E275" s="11"/>
    </row>
    <row r="276" spans="1:5">
      <c r="A276" s="12" t="s">
        <v>12462</v>
      </c>
      <c r="B276" s="12" t="s">
        <v>13251</v>
      </c>
      <c r="C276" s="13" t="str">
        <f>HYPERLINK("https://audio.iskcondesiretree.com/02_-_ISKCON_Swamis/ISKCON_Swamis_-_R_to_Y/His_Holiness_Radhanath_Swami/Lectures/00_-_Year_wise/Devotional_Nectar_-_1991/1991-085_The_Dangers_of_Vaishnava_Aparadha_Lecture_NV_-_Radhanath_Swami_1991-07-18_IDesireTree.mp3", "1991-085_The_Dangers_of_Vaishnava_Aparadha_Lecture_NV_-_Radhanath_Swami_1991-07-18_IDesireTree.mp3")</f>
        <v>1991-085_The_Dangers_of_Vaishnava_Aparadha_Lecture_NV_-_Radhanath_Swami_1991-07-18_IDesireTree.mp3</v>
      </c>
      <c r="D276" s="11"/>
      <c r="E276" s="11"/>
    </row>
    <row r="277" spans="1:5">
      <c r="A277" s="12" t="s">
        <v>12462</v>
      </c>
      <c r="B277" s="12" t="s">
        <v>13252</v>
      </c>
      <c r="C277" s="13" t="str">
        <f>HYPERLINK("https://audio.iskcondesiretree.com/02_-_ISKCON_Swamis/ISKCON_Swamis_-_R_to_Y/His_Holiness_Radhanath_Swami/Lectures/00_-_Year_wise/Devotional_Nectar_-_1991/1991-086_Death_Is_the_End_Lecture_Mumbai_-_Radhanath_Swami_1991-10-02_IDesireTree.mp3", "1991-086_Death_Is_the_End_Lecture_Mumbai_-_Radhanath_Swami_1991-10-02_IDesireTree.mp3")</f>
        <v>1991-086_Death_Is_the_End_Lecture_Mumbai_-_Radhanath_Swami_1991-10-02_IDesireTree.mp3</v>
      </c>
      <c r="D277" s="11"/>
      <c r="E277" s="11"/>
    </row>
    <row r="278" spans="1:5">
      <c r="A278" s="12" t="s">
        <v>12462</v>
      </c>
      <c r="B278" s="12" t="s">
        <v>13253</v>
      </c>
      <c r="C278" s="13" t="str">
        <f>HYPERLINK("https://audio.iskcondesiretree.com/02_-_ISKCON_Swamis/ISKCON_Swamis_-_R_to_Y/His_Holiness_Radhanath_Swami/Lectures/00_-_Year_wise/Devotional_Nectar_-_1991/1991-087_Path_Of_Perfection_Lecture_Mumbai_-_Radhanath_Swami_1991-10-22_IDesireTree.mp3", "1991-087_Path_Of_Perfection_Lecture_Mumbai_-_Radhanath_Swami_1991-10-22_IDesireTree.mp3")</f>
        <v>1991-087_Path_Of_Perfection_Lecture_Mumbai_-_Radhanath_Swami_1991-10-22_IDesireTree.mp3</v>
      </c>
      <c r="D278" s="11"/>
      <c r="E278" s="11"/>
    </row>
    <row r="279" spans="1:5">
      <c r="A279" s="12" t="s">
        <v>12462</v>
      </c>
      <c r="B279" s="12" t="s">
        <v>13254</v>
      </c>
      <c r="C279" s="13" t="str">
        <f>HYPERLINK("https://audio.iskcondesiretree.com/02_-_ISKCON_Swamis/ISKCON_Swamis_-_R_to_Y/His_Holiness_Radhanath_Swami/Lectures/00_-_Year_wise/Devotional_Nectar_-_1991/1991-088_Need_For_Vaishnava_Blessings_Lecture_Mumbai_-_Radhanath_Swami_1991-10-23_IDesireTree.mp3", "1991-088_Need_For_Vaishnava_Blessings_Lecture_Mumbai_-_Radhanath_Swami_1991-10-23_IDesireTree.mp3")</f>
        <v>1991-088_Need_For_Vaishnava_Blessings_Lecture_Mumbai_-_Radhanath_Swami_1991-10-23_IDesireTree.mp3</v>
      </c>
      <c r="D279" s="11"/>
      <c r="E279" s="11"/>
    </row>
    <row r="280" spans="1:5">
      <c r="A280" s="12" t="s">
        <v>12462</v>
      </c>
      <c r="B280" s="12" t="s">
        <v>13255</v>
      </c>
      <c r="C280" s="13" t="str">
        <f>HYPERLINK("https://audio.iskcondesiretree.com/02_-_ISKCON_Swamis/ISKCON_Swamis_-_R_to_Y/His_Holiness_Radhanath_Swami/Lectures/00_-_Year_wise/Devotional_Nectar_-_1991/1991-089_Krishna%27s_Pastime-_Not_For_Sense_Gratification_Lecture_Mumbai_-_24-10-91_IDesireTree.mp3", "1991-089_Krishna%27s_Pastime-_Not_For_Sense_Gratification_Lecture_Mumbai_-_24-10-91_IDesireTree.mp3")</f>
        <v>1991-089_Krishna%27s_Pastime-_Not_For_Sense_Gratification_Lecture_Mumbai_-_24-10-91_IDesireTree.mp3</v>
      </c>
      <c r="D280" s="11"/>
      <c r="E280" s="11"/>
    </row>
    <row r="281" spans="1:5">
      <c r="A281" s="12" t="s">
        <v>12462</v>
      </c>
      <c r="B281" s="12" t="s">
        <v>13256</v>
      </c>
      <c r="C281" s="13" t="str">
        <f>HYPERLINK("https://audio.iskcondesiretree.com/02_-_ISKCON_Swamis/ISKCON_Swamis_-_R_to_Y/His_Holiness_Radhanath_Swami/Lectures/00_-_Year_wise/Devotional_Nectar_-_1991/1991-090_Sambandha_Abhidaya_Prayojana_Lecture_Mumbai_-_Radhanath_Swami_1991-10-24_IDesireTree.mp3", "1991-090_Sambandha_Abhidaya_Prayojana_Lecture_Mumbai_-_Radhanath_Swami_1991-10-24_IDesireTree.mp3")</f>
        <v>1991-090_Sambandha_Abhidaya_Prayojana_Lecture_Mumbai_-_Radhanath_Swami_1991-10-24_IDesireTree.mp3</v>
      </c>
      <c r="D281" s="11"/>
      <c r="E281" s="11"/>
    </row>
    <row r="282" spans="1:5">
      <c r="A282" s="12" t="s">
        <v>12462</v>
      </c>
      <c r="B282" s="12" t="s">
        <v>13257</v>
      </c>
      <c r="C282" s="13" t="str">
        <f>HYPERLINK("https://audio.iskcondesiretree.com/02_-_ISKCON_Swamis/ISKCON_Swamis_-_R_to_Y/His_Holiness_Radhanath_Swami/Lectures/00_-_Year_wise/Devotional_Nectar_-_1991/1991-091_Harmony_With_Mother_Earth_SB-10_01_17_Mumbai_-_Radhanath_Swami_1991-10-18_IDesireTree.mp3", "1991-091_Harmony_With_Mother_Earth_SB-10_01_17_Mumbai_-_Radhanath_Swami_1991-10-18_IDesireTree.mp3")</f>
        <v>1991-091_Harmony_With_Mother_Earth_SB-10_01_17_Mumbai_-_Radhanath_Swami_1991-10-18_IDesireTree.mp3</v>
      </c>
      <c r="D282" s="11"/>
      <c r="E282" s="11"/>
    </row>
    <row r="283" spans="1:5">
      <c r="A283" s="12" t="s">
        <v>12462</v>
      </c>
      <c r="B283" s="12" t="s">
        <v>13258</v>
      </c>
      <c r="C283" s="13" t="str">
        <f>HYPERLINK("https://audio.iskcondesiretree.com/02_-_ISKCON_Swamis/ISKCON_Swamis_-_R_to_Y/His_Holiness_Radhanath_Swami/Lectures/00_-_Year_wise/Devotional_Nectar_-_1991/1991-092_Quality_Of_A_Mahatma_BG-09_14_Mumbai_-_Radhanath_Swami_1991-10-20_IDesireTree.mp3", "1991-092_Quality_Of_A_Mahatma_BG-09_14_Mumbai_-_Radhanath_Swami_1991-10-20_IDesireTree.mp3")</f>
        <v>1991-092_Quality_Of_A_Mahatma_BG-09_14_Mumbai_-_Radhanath_Swami_1991-10-20_IDesireTree.mp3</v>
      </c>
      <c r="D283" s="11"/>
      <c r="E283" s="11"/>
    </row>
    <row r="284" spans="1:5">
      <c r="A284" s="12" t="s">
        <v>12462</v>
      </c>
      <c r="B284" s="12" t="s">
        <v>13259</v>
      </c>
      <c r="C284" s="13" t="str">
        <f>HYPERLINK("https://audio.iskcondesiretree.com/02_-_ISKCON_Swamis/ISKCON_Swamis_-_R_to_Y/His_Holiness_Radhanath_Swami/Lectures/00_-_Year_wise/Devotional_Nectar_-_1991/1991-093_Calling_With_Helplessness_SB-10_01_20_Mumbai_-_Radhanath_Swami_1991-10-20_IDesireTree.mp3", "1991-093_Calling_With_Helplessness_SB-10_01_20_Mumbai_-_Radhanath_Swami_1991-10-20_IDesireTree.mp3")</f>
        <v>1991-093_Calling_With_Helplessness_SB-10_01_20_Mumbai_-_Radhanath_Swami_1991-10-20_IDesireTree.mp3</v>
      </c>
      <c r="D284" s="11"/>
      <c r="E284" s="11"/>
    </row>
    <row r="285" spans="1:5">
      <c r="A285" s="12" t="s">
        <v>12462</v>
      </c>
      <c r="B285" s="12" t="s">
        <v>13260</v>
      </c>
      <c r="C285" s="13" t="str">
        <f>HYPERLINK("https://audio.iskcondesiretree.com/02_-_ISKCON_Swamis/ISKCON_Swamis_-_R_to_Y/His_Holiness_Radhanath_Swami/Lectures/00_-_Year_wise/Devotional_Nectar_-_1991/1991-094_Krishna-_The_Supreme_SB-10_01_21_Mumbai_-_Radhanath_Swami_1991-10-21_IDesireTree.mp3", "1991-094_Krishna-_The_Supreme_SB-10_01_21_Mumbai_-_Radhanath_Swami_1991-10-21_IDesireTree.mp3")</f>
        <v>1991-094_Krishna-_The_Supreme_SB-10_01_21_Mumbai_-_Radhanath_Swami_1991-10-21_IDesireTree.mp3</v>
      </c>
      <c r="D285" s="11"/>
      <c r="E285" s="11"/>
    </row>
    <row r="286" spans="1:5">
      <c r="A286" s="12" t="s">
        <v>12462</v>
      </c>
      <c r="B286" s="12" t="s">
        <v>13261</v>
      </c>
      <c r="C286" s="13" t="str">
        <f>HYPERLINK("https://audio.iskcondesiretree.com/02_-_ISKCON_Swamis/ISKCON_Swamis_-_R_to_Y/His_Holiness_Radhanath_Swami/Lectures/00_-_Year_wise/Devotional_Nectar_-_1991/1991-095_Spiritual_Science_Lecture_Mumbai_-_Radhanath_Swami_1991-10-21_IDesireTree.mp3", "1991-095_Spiritual_Science_Lecture_Mumbai_-_Radhanath_Swami_1991-10-21_IDesireTree.mp3")</f>
        <v>1991-095_Spiritual_Science_Lecture_Mumbai_-_Radhanath_Swami_1991-10-21_IDesireTree.mp3</v>
      </c>
      <c r="D286" s="11"/>
      <c r="E286" s="11"/>
    </row>
    <row r="287" spans="1:5">
      <c r="A287" s="12" t="s">
        <v>12462</v>
      </c>
      <c r="B287" s="12" t="s">
        <v>13262</v>
      </c>
      <c r="C287" s="13" t="str">
        <f>HYPERLINK("https://audio.iskcondesiretree.com/02_-_ISKCON_Swamis/ISKCON_Swamis_-_R_to_Y/His_Holiness_Radhanath_Swami/Lectures/00_-_Year_wise/Devotional_Nectar_-_1991/1991-096_Introduction_To_Chaitanya_Charitamrita_Lecture_Mumbai_-_22-10-91_IDesireTree.mp3", "1991-096_Introduction_To_Chaitanya_Charitamrita_Lecture_Mumbai_-_22-10-91_IDesireTree.mp3")</f>
        <v>1991-096_Introduction_To_Chaitanya_Charitamrita_Lecture_Mumbai_-_22-10-91_IDesireTree.mp3</v>
      </c>
      <c r="D287" s="11"/>
      <c r="E287" s="11"/>
    </row>
    <row r="288" spans="1:5">
      <c r="A288" s="12" t="s">
        <v>12462</v>
      </c>
      <c r="B288" s="12" t="e">
        <v>#VALUE!</v>
      </c>
      <c r="C288" s="13" t="e">
        <f>HYPERLINK("https://audio.iskcondesiretree.com/02_-_ISKCON_Swamis/ISKCON_Swamis_-_R_to_Y/His_Holiness_Radhanath_Swami/Lectures/00_-_Year_wise/Devotional_Nectar_-_1991/1991-097_Ascendence_Of_The_Personal_World_Of_Krishna_SB-10_01_26-28_Mumbai_-_25-10-91_IDesireTree.mp"&amp;"3", "1991-097_Ascendence_Of_The_Personal_World_Of_Krishna_SB-10_01_26-28_Mumbai_-_25-10-91_IDesireTree.mp3")</f>
        <v>#VALUE!</v>
      </c>
      <c r="D288" s="11"/>
      <c r="E288" s="11"/>
    </row>
    <row r="289" spans="1:5">
      <c r="A289" s="12" t="s">
        <v>12462</v>
      </c>
      <c r="B289" s="12" t="s">
        <v>13263</v>
      </c>
      <c r="C289" s="13" t="str">
        <f>HYPERLINK("https://audio.iskcondesiretree.com/02_-_ISKCON_Swamis/ISKCON_Swamis_-_R_to_Y/His_Holiness_Radhanath_Swami/Lectures/00_-_Year_wise/Devotional_Nectar_-_1991/1991-098_The_Nectarian_Association_Of_Devotees_CC_AL-01_Mumbai_-_26-10-91_IDesireTree.mp3", "1991-098_The_Nectarian_Association_Of_Devotees_CC_AL-01_Mumbai_-_26-10-91_IDesireTree.mp3")</f>
        <v>1991-098_The_Nectarian_Association_Of_Devotees_CC_AL-01_Mumbai_-_26-10-91_IDesireTree.mp3</v>
      </c>
      <c r="D289" s="11"/>
      <c r="E289" s="11"/>
    </row>
    <row r="290" spans="1:5">
      <c r="A290" s="12" t="s">
        <v>12462</v>
      </c>
      <c r="B290" s="12" t="s">
        <v>13264</v>
      </c>
      <c r="C290" s="13" t="str">
        <f>HYPERLINK("https://audio.iskcondesiretree.com/02_-_ISKCON_Swamis/ISKCON_Swamis_-_R_to_Y/His_Holiness_Radhanath_Swami/Lectures/00_-_Year_wise/Devotional_Nectar_-_1991/1991-099_Coming_Out_Of_Illusion_BG-15_07_Mumbai_-_Radhanath_Swami_1991-10-26_IDesireTree.mp3", "1991-099_Coming_Out_Of_Illusion_BG-15_07_Mumbai_-_Radhanath_Swami_1991-10-26_IDesireTree.mp3")</f>
        <v>1991-099_Coming_Out_Of_Illusion_BG-15_07_Mumbai_-_Radhanath_Swami_1991-10-26_IDesireTree.mp3</v>
      </c>
      <c r="D290" s="11"/>
      <c r="E290" s="11"/>
    </row>
    <row r="291" spans="1:5">
      <c r="A291" s="12" t="s">
        <v>12462</v>
      </c>
      <c r="B291" s="12" t="s">
        <v>13265</v>
      </c>
      <c r="C291" s="13" t="str">
        <f>HYPERLINK("https://audio.iskcondesiretree.com/02_-_ISKCON_Swamis/ISKCON_Swamis_-_R_to_Y/His_Holiness_Radhanath_Swami/Lectures/00_-_Year_wise/Devotional_Nectar_-_1991/1991-100_Relish_His_Messages_SB-10_01_48_Mumbai_-_Radhanath_Swami_1991-11-03_IDesireTree.mp3", "1991-100_Relish_His_Messages_SB-10_01_48_Mumbai_-_Radhanath_Swami_1991-11-03_IDesireTree.mp3")</f>
        <v>1991-100_Relish_His_Messages_SB-10_01_48_Mumbai_-_Radhanath_Swami_1991-11-03_IDesireTree.mp3</v>
      </c>
      <c r="D291" s="11"/>
      <c r="E291" s="11"/>
    </row>
    <row r="292" spans="1:5">
      <c r="A292" s="12" t="s">
        <v>12462</v>
      </c>
      <c r="B292" s="12" t="s">
        <v>13266</v>
      </c>
      <c r="C292" s="13" t="str">
        <f>HYPERLINK("https://audio.iskcondesiretree.com/02_-_ISKCON_Swamis/ISKCON_Swamis_-_R_to_Y/His_Holiness_Radhanath_Swami/Lectures/00_-_Year_wise/Devotional_Nectar_-_1991/1991-101_Vamandev_Begs_From_Bali_Maharaj_SB-08_19_21_Mumbai_-_26-10-91_IDesireTree.mp3", "1991-101_Vamandev_Begs_From_Bali_Maharaj_SB-08_19_21_Mumbai_-_26-10-91_IDesireTree.mp3")</f>
        <v>1991-101_Vamandev_Begs_From_Bali_Maharaj_SB-08_19_21_Mumbai_-_26-10-91_IDesireTree.mp3</v>
      </c>
      <c r="D292" s="11"/>
      <c r="E292" s="11"/>
    </row>
    <row r="293" spans="1:5">
      <c r="A293" s="12" t="s">
        <v>12462</v>
      </c>
      <c r="B293" s="12" t="s">
        <v>13267</v>
      </c>
      <c r="C293" s="13" t="str">
        <f>HYPERLINK("https://audio.iskcondesiretree.com/02_-_ISKCON_Swamis/ISKCON_Swamis_-_R_to_Y/His_Holiness_Radhanath_Swami/Lectures/00_-_Year_wise/Devotional_Nectar_-_1991/1991-102_Relationship_Between_Devotees_Lecture_Mumbai_-_Radhanath_Swami_1991-10-27_IDesireTree.mp3", "1991-102_Relationship_Between_Devotees_Lecture_Mumbai_-_Radhanath_Swami_1991-10-27_IDesireTree.mp3")</f>
        <v>1991-102_Relationship_Between_Devotees_Lecture_Mumbai_-_Radhanath_Swami_1991-10-27_IDesireTree.mp3</v>
      </c>
      <c r="D293" s="11"/>
      <c r="E293" s="11"/>
    </row>
    <row r="294" spans="1:5">
      <c r="A294" s="12" t="s">
        <v>12462</v>
      </c>
      <c r="B294" s="12" t="s">
        <v>13268</v>
      </c>
      <c r="C294" s="13" t="str">
        <f>HYPERLINK("https://audio.iskcondesiretree.com/02_-_ISKCON_Swamis/ISKCON_Swamis_-_R_to_Y/His_Holiness_Radhanath_Swami/Lectures/00_-_Year_wise/Devotional_Nectar_-_1991/1991-103_Attachment_For_Sense_Enjoyment_SB-10_01_35_Mumbai_-_28-10-91_IDesireTree.mp3", "1991-103_Attachment_For_Sense_Enjoyment_SB-10_01_35_Mumbai_-_28-10-91_IDesireTree.mp3")</f>
        <v>1991-103_Attachment_For_Sense_Enjoyment_SB-10_01_35_Mumbai_-_28-10-91_IDesireTree.mp3</v>
      </c>
      <c r="D294" s="11"/>
      <c r="E294" s="11"/>
    </row>
    <row r="295" spans="1:5">
      <c r="A295" s="12" t="s">
        <v>12462</v>
      </c>
      <c r="B295" s="12" t="s">
        <v>13269</v>
      </c>
      <c r="C295" s="13" t="str">
        <f>HYPERLINK("https://audio.iskcondesiretree.com/02_-_ISKCON_Swamis/ISKCON_Swamis_-_R_to_Y/His_Holiness_Radhanath_Swami/Lectures/00_-_Year_wise/Devotional_Nectar_-_1991/1991-104_Narottam_Das_Thakur_Disappearance_Day_CC_AL-01_Mumbai_-_28-10-91_IDesireTree.mp3", "1991-104_Narottam_Das_Thakur_Disappearance_Day_CC_AL-01_Mumbai_-_28-10-91_IDesireTree.mp3")</f>
        <v>1991-104_Narottam_Das_Thakur_Disappearance_Day_CC_AL-01_Mumbai_-_28-10-91_IDesireTree.mp3</v>
      </c>
      <c r="D295" s="11"/>
      <c r="E295" s="11"/>
    </row>
    <row r="296" spans="1:5">
      <c r="A296" s="12" t="s">
        <v>12462</v>
      </c>
      <c r="B296" s="12" t="s">
        <v>13270</v>
      </c>
      <c r="C296" s="13" t="str">
        <f>HYPERLINK("https://audio.iskcondesiretree.com/02_-_ISKCON_Swamis/ISKCON_Swamis_-_R_to_Y/His_Holiness_Radhanath_Swami/Lectures/00_-_Year_wise/Devotional_Nectar_-_1991/1991-105_Death_Is_Sure_Sir_SB-10_01_36_Mumbai_-_Radhanath_Swami_1991-10-29_IDesireTree.mp3", "1991-105_Death_Is_Sure_Sir_SB-10_01_36_Mumbai_-_Radhanath_Swami_1991-10-29_IDesireTree.mp3")</f>
        <v>1991-105_Death_Is_Sure_Sir_SB-10_01_36_Mumbai_-_Radhanath_Swami_1991-10-29_IDesireTree.mp3</v>
      </c>
      <c r="D296" s="11"/>
      <c r="E296" s="11"/>
    </row>
    <row r="297" spans="1:5">
      <c r="A297" s="12" t="s">
        <v>12462</v>
      </c>
      <c r="B297" s="12" t="s">
        <v>13271</v>
      </c>
      <c r="C297" s="13" t="str">
        <f>HYPERLINK("https://audio.iskcondesiretree.com/02_-_ISKCON_Swamis/ISKCON_Swamis_-_R_to_Y/His_Holiness_Radhanath_Swami/Lectures/00_-_Year_wise/Devotional_Nectar_-_1991/1991-106_Lord_Chaitanya_%27s_Early_Revelations_Lecture_Mumbai_-_29-10-91_IDesireTree.mp3", "1991-106_Lord_Chaitanya_%27s_Early_Revelations_Lecture_Mumbai_-_29-10-91_IDesireTree.mp3")</f>
        <v>1991-106_Lord_Chaitanya_%27s_Early_Revelations_Lecture_Mumbai_-_29-10-91_IDesireTree.mp3</v>
      </c>
      <c r="D297" s="11"/>
      <c r="E297" s="11"/>
    </row>
    <row r="298" spans="1:5">
      <c r="A298" s="12" t="s">
        <v>12462</v>
      </c>
      <c r="B298" s="12" t="s">
        <v>13272</v>
      </c>
      <c r="C298" s="13" t="str">
        <f>HYPERLINK("https://audio.iskcondesiretree.com/02_-_ISKCON_Swamis/ISKCON_Swamis_-_R_to_Y/His_Holiness_Radhanath_Swami/Lectures/00_-_Year_wise/Devotional_Nectar_-_1991/1991-107_Parikshit%27s_Enquiry_Before_Death_SB-01_19_24_Mumbai_-_29-10-91_IDesireTree.mp3", "1991-107_Parikshit%27s_Enquiry_Before_Death_SB-01_19_24_Mumbai_-_29-10-91_IDesireTree.mp3")</f>
        <v>1991-107_Parikshit%27s_Enquiry_Before_Death_SB-01_19_24_Mumbai_-_29-10-91_IDesireTree.mp3</v>
      </c>
      <c r="D298" s="11"/>
      <c r="E298" s="11"/>
    </row>
    <row r="299" spans="1:5">
      <c r="A299" s="12" t="s">
        <v>12462</v>
      </c>
      <c r="B299" s="12" t="s">
        <v>13273</v>
      </c>
      <c r="C299" s="13" t="str">
        <f>HYPERLINK("https://audio.iskcondesiretree.com/02_-_ISKCON_Swamis/ISKCON_Swamis_-_R_to_Y/His_Holiness_Radhanath_Swami/Lectures/00_-_Year_wise/Devotional_Nectar_-_1991/1991-108_Krishna_Always_Glorifies_His_Devotees_SB-01_09_09_Mumbai_-_30-10-91_IDesireTree.mp3", "1991-108_Krishna_Always_Glorifies_His_Devotees_SB-01_09_09_Mumbai_-_30-10-91_IDesireTree.mp3")</f>
        <v>1991-108_Krishna_Always_Glorifies_His_Devotees_SB-01_09_09_Mumbai_-_30-10-91_IDesireTree.mp3</v>
      </c>
      <c r="D299" s="11"/>
      <c r="E299" s="11"/>
    </row>
    <row r="300" spans="1:5">
      <c r="A300" s="12" t="s">
        <v>12462</v>
      </c>
      <c r="B300" s="12" t="s">
        <v>13274</v>
      </c>
      <c r="C300" s="13" t="str">
        <f>HYPERLINK("https://audio.iskcondesiretree.com/02_-_ISKCON_Swamis/ISKCON_Swamis_-_R_to_Y/His_Holiness_Radhanath_Swami/Lectures/00_-_Year_wise/Devotional_Nectar_-_1991/1991-109_When_Death_Comes_SB-10_01_42_Mumbai_-_Radhanath_Swami_1991-10-30_IDesireTree.mp3", "1991-109_When_Death_Comes_SB-10_01_42_Mumbai_-_Radhanath_Swami_1991-10-30_IDesireTree.mp3")</f>
        <v>1991-109_When_Death_Comes_SB-10_01_42_Mumbai_-_Radhanath_Swami_1991-10-30_IDesireTree.mp3</v>
      </c>
      <c r="D300" s="11"/>
      <c r="E300" s="11"/>
    </row>
    <row r="301" spans="1:5">
      <c r="A301" s="12" t="s">
        <v>12462</v>
      </c>
      <c r="B301" s="12" t="s">
        <v>13275</v>
      </c>
      <c r="C301" s="13" t="str">
        <f>HYPERLINK("https://audio.iskcondesiretree.com/02_-_ISKCON_Swamis/ISKCON_Swamis_-_R_to_Y/His_Holiness_Radhanath_Swami/Lectures/00_-_Year_wise/Devotional_Nectar_-_1991/1991-110_Different_Energies_Of_Krishna_Lecture_Mumbai_-_Radhanath_Swami_1991-10-30_IDesireTree.mp3", "1991-110_Different_Energies_Of_Krishna_Lecture_Mumbai_-_Radhanath_Swami_1991-10-30_IDesireTree.mp3")</f>
        <v>1991-110_Different_Energies_Of_Krishna_Lecture_Mumbai_-_Radhanath_Swami_1991-10-30_IDesireTree.mp3</v>
      </c>
      <c r="D301" s="11"/>
      <c r="E301" s="11"/>
    </row>
    <row r="302" spans="1:5">
      <c r="A302" s="12" t="s">
        <v>12462</v>
      </c>
      <c r="B302" s="12" t="s">
        <v>13276</v>
      </c>
      <c r="C302" s="13" t="str">
        <f>HYPERLINK("https://audio.iskcondesiretree.com/02_-_ISKCON_Swamis/ISKCON_Swamis_-_R_to_Y/His_Holiness_Radhanath_Swami/Lectures/00_-_Year_wise/Devotional_Nectar_-_1991/1991-111_Story_Of_Prostitute_Pingla_SB-11_08_22-27_Mumbai_-_01-11-91_IDesireTree.mp3", "1991-111_Story_Of_Prostitute_Pingla_SB-11_08_22-27_Mumbai_-_01-11-91_IDesireTree.mp3")</f>
        <v>1991-111_Story_Of_Prostitute_Pingla_SB-11_08_22-27_Mumbai_-_01-11-91_IDesireTree.mp3</v>
      </c>
      <c r="D302" s="11"/>
      <c r="E302" s="11"/>
    </row>
    <row r="303" spans="1:5">
      <c r="A303" s="12" t="s">
        <v>12462</v>
      </c>
      <c r="B303" s="12" t="s">
        <v>13277</v>
      </c>
      <c r="C303" s="13" t="str">
        <f>HYPERLINK("https://audio.iskcondesiretree.com/02_-_ISKCON_Swamis/ISKCON_Swamis_-_R_to_Y/His_Holiness_Radhanath_Swami/Lectures/00_-_Year_wise/Devotional_Nectar_-_1991/1991-112_Changing_Our_Consciousness_SB-10_01_42_Mumbai_-_Radhanath_Swami_1991-11-01_IDesireTree.mp3", "1991-112_Changing_Our_Consciousness_SB-10_01_42_Mumbai_-_Radhanath_Swami_1991-11-01_IDesireTree.mp3")</f>
        <v>1991-112_Changing_Our_Consciousness_SB-10_01_42_Mumbai_-_Radhanath_Swami_1991-11-01_IDesireTree.mp3</v>
      </c>
      <c r="D303" s="11"/>
      <c r="E303" s="11"/>
    </row>
    <row r="304" spans="1:5">
      <c r="A304" s="12" t="s">
        <v>12462</v>
      </c>
      <c r="B304" s="12" t="s">
        <v>13278</v>
      </c>
      <c r="C304" s="13" t="str">
        <f>HYPERLINK("https://audio.iskcondesiretree.com/02_-_ISKCON_Swamis/ISKCON_Swamis_-_R_to_Y/His_Holiness_Radhanath_Swami/Lectures/00_-_Year_wise/Devotional_Nectar_-_1991/1991-113_Under_One_Master_Lecture_Mumbai_-_Radhanath_Swami_1991-11-01_IDesireTree.mp3", "1991-113_Under_One_Master_Lecture_Mumbai_-_Radhanath_Swami_1991-11-01_IDesireTree.mp3")</f>
        <v>1991-113_Under_One_Master_Lecture_Mumbai_-_Radhanath_Swami_1991-11-01_IDesireTree.mp3</v>
      </c>
      <c r="D304" s="11"/>
      <c r="E304" s="11"/>
    </row>
    <row r="305" spans="1:5">
      <c r="A305" s="12" t="s">
        <v>12462</v>
      </c>
      <c r="B305" s="12" t="s">
        <v>13279</v>
      </c>
      <c r="C305" s="13" t="str">
        <f>HYPERLINK("https://audio.iskcondesiretree.com/02_-_ISKCON_Swamis/ISKCON_Swamis_-_R_to_Y/His_Holiness_Radhanath_Swami/Lectures/00_-_Year_wise/Devotional_Nectar_-_1991/1991-114_Oneness_In_Guru_Lecture_Mumbai_-_Radhanath_Swami_1991-11-02_IDesireTree.mp3", "1991-114_Oneness_In_Guru_Lecture_Mumbai_-_Radhanath_Swami_1991-11-02_IDesireTree.mp3")</f>
        <v>1991-114_Oneness_In_Guru_Lecture_Mumbai_-_Radhanath_Swami_1991-11-02_IDesireTree.mp3</v>
      </c>
      <c r="D305" s="11"/>
      <c r="E305" s="11"/>
    </row>
    <row r="306" spans="1:5">
      <c r="A306" s="12" t="s">
        <v>12462</v>
      </c>
      <c r="B306" s="12" t="s">
        <v>13280</v>
      </c>
      <c r="C306" s="13" t="str">
        <f>HYPERLINK("https://audio.iskcondesiretree.com/02_-_ISKCON_Swamis/ISKCON_Swamis_-_R_to_Y/His_Holiness_Radhanath_Swami/Lectures/00_-_Year_wise/Devotional_Nectar_-_1991/1991-115_Watch_Those_Thoughts_Of_The_Mind_SB-10_01_47_Mumbai_-_02-11-91_IDesireTree.mp3", "1991-115_Watch_Those_Thoughts_Of_The_Mind_SB-10_01_47_Mumbai_-_02-11-91_IDesireTree.mp3")</f>
        <v>1991-115_Watch_Those_Thoughts_Of_The_Mind_SB-10_01_47_Mumbai_-_02-11-91_IDesireTree.mp3</v>
      </c>
      <c r="D306" s="11"/>
      <c r="E306" s="11"/>
    </row>
    <row r="307" spans="1:5">
      <c r="A307" s="12" t="s">
        <v>12462</v>
      </c>
      <c r="B307" s="12" t="s">
        <v>13281</v>
      </c>
      <c r="C307" s="13" t="str">
        <f>HYPERLINK("https://audio.iskcondesiretree.com/02_-_ISKCON_Swamis/ISKCON_Swamis_-_R_to_Y/His_Holiness_Radhanath_Swami/Lectures/00_-_Year_wise/Devotional_Nectar_-_1991/1991-116_Hearing-_Washes_All_Doubts_BG-04_38-39_Mumbai_-_Radhanath_Swami_1991-11-03_IDesireTree.mp3", "1991-116_Hearing-_Washes_All_Doubts_BG-04_38-39_Mumbai_-_Radhanath_Swami_1991-11-03_IDesireTree.mp3")</f>
        <v>1991-116_Hearing-_Washes_All_Doubts_BG-04_38-39_Mumbai_-_Radhanath_Swami_1991-11-03_IDesireTree.mp3</v>
      </c>
      <c r="D307" s="11"/>
      <c r="E307" s="11"/>
    </row>
    <row r="308" spans="1:5">
      <c r="A308" s="12" t="s">
        <v>12462</v>
      </c>
      <c r="B308" s="12" t="s">
        <v>13282</v>
      </c>
      <c r="C308" s="13" t="str">
        <f>HYPERLINK("https://audio.iskcondesiretree.com/02_-_ISKCON_Swamis/ISKCON_Swamis_-_R_to_Y/His_Holiness_Radhanath_Swami/Lectures/00_-_Year_wise/Devotional_Nectar_-_1991/1991-117_Teaching_From_Govardhan_Lila_Lecture_Mumbai_-_Radhanath_Swami_1991-11-07_IDesireTree.mp3", "1991-117_Teaching_From_Govardhan_Lila_Lecture_Mumbai_-_Radhanath_Swami_1991-11-07_IDesireTree.mp3")</f>
        <v>1991-117_Teaching_From_Govardhan_Lila_Lecture_Mumbai_-_Radhanath_Swami_1991-11-07_IDesireTree.mp3</v>
      </c>
      <c r="D308" s="11"/>
      <c r="E308" s="11"/>
    </row>
    <row r="309" spans="1:5">
      <c r="A309" s="12" t="s">
        <v>12462</v>
      </c>
      <c r="B309" s="12" t="s">
        <v>13283</v>
      </c>
      <c r="C309" s="13" t="str">
        <f>HYPERLINK("https://audio.iskcondesiretree.com/02_-_ISKCON_Swamis/ISKCON_Swamis_-_R_to_Y/His_Holiness_Radhanath_Swami/Lectures/00_-_Year_wise/Devotional_Nectar_-_1991/1991-118_Diaappearance_of_prabhupada_Lecture_Mumbai_-_Radhanath_Swami_1991-11-10_IDesireTree.mp3", "1991-118_Diaappearance_of_prabhupada_Lecture_Mumbai_-_Radhanath_Swami_1991-11-10_IDesireTree.mp3")</f>
        <v>1991-118_Diaappearance_of_prabhupada_Lecture_Mumbai_-_Radhanath_Swami_1991-11-10_IDesireTree.mp3</v>
      </c>
      <c r="D309" s="11"/>
      <c r="E309" s="11"/>
    </row>
    <row r="310" spans="1:5">
      <c r="A310" s="12" t="s">
        <v>12462</v>
      </c>
      <c r="B310" s="12" t="s">
        <v>13284</v>
      </c>
      <c r="C310" s="13" t="str">
        <f>HYPERLINK("https://audio.iskcondesiretree.com/02_-_ISKCON_Swamis/ISKCON_Swamis_-_R_to_Y/His_Holiness_Radhanath_Swami/Lectures/00_-_Year_wise/Devotional_Nectar_-_1991/1991-119_Desire_To_Please_Krishna_BG-02_14_Mumbai_-_Radhanath_Swami_1991-11-20_IDesireTree.mp3", "1991-119_Desire_To_Please_Krishna_BG-02_14_Mumbai_-_Radhanath_Swami_1991-11-20_IDesireTree.mp3")</f>
        <v>1991-119_Desire_To_Please_Krishna_BG-02_14_Mumbai_-_Radhanath_Swami_1991-11-20_IDesireTree.mp3</v>
      </c>
      <c r="D310" s="11"/>
      <c r="E310" s="11"/>
    </row>
    <row r="311" spans="1:5">
      <c r="A311" s="12" t="s">
        <v>12462</v>
      </c>
      <c r="B311" s="12" t="s">
        <v>13285</v>
      </c>
      <c r="C311" s="13" t="str">
        <f>HYPERLINK("https://audio.iskcondesiretree.com/02_-_ISKCON_Swamis/ISKCON_Swamis_-_R_to_Y/His_Holiness_Radhanath_Swami/Lectures/00_-_Year_wise/Devotional_Nectar_-_1991/1991-120_Our_Supreme_Lord_Lecture_Mumbai_-_Radhanath_Swami_1991-11-23_IDesireTree.mp3", "1991-120_Our_Supreme_Lord_Lecture_Mumbai_-_Radhanath_Swami_1991-11-23_IDesireTree.mp3")</f>
        <v>1991-120_Our_Supreme_Lord_Lecture_Mumbai_-_Radhanath_Swami_1991-11-23_IDesireTree.mp3</v>
      </c>
      <c r="D311" s="11"/>
      <c r="E311" s="11"/>
    </row>
    <row r="312" spans="1:5">
      <c r="A312" s="12" t="s">
        <v>12462</v>
      </c>
      <c r="B312" s="12" t="s">
        <v>13286</v>
      </c>
      <c r="C312" s="13" t="str">
        <f>HYPERLINK("https://audio.iskcondesiretree.com/02_-_ISKCON_Swamis/ISKCON_Swamis_-_R_to_Y/His_Holiness_Radhanath_Swami/Lectures/00_-_Year_wise/Devotional_Nectar_-_1991/1991-121_Relative_Truth_Is_Maya_Lecture_Mumbai_-_Radhanath_Swami_1991-11-23_IDesireTree.mp3", "1991-121_Relative_Truth_Is_Maya_Lecture_Mumbai_-_Radhanath_Swami_1991-11-23_IDesireTree.mp3")</f>
        <v>1991-121_Relative_Truth_Is_Maya_Lecture_Mumbai_-_Radhanath_Swami_1991-11-23_IDesireTree.mp3</v>
      </c>
      <c r="D312" s="11"/>
      <c r="E312" s="11"/>
    </row>
    <row r="313" spans="1:5">
      <c r="A313" s="12" t="s">
        <v>12462</v>
      </c>
      <c r="B313" s="12" t="s">
        <v>13287</v>
      </c>
      <c r="C313" s="13" t="str">
        <f>HYPERLINK("https://audio.iskcondesiretree.com/02_-_ISKCON_Swamis/ISKCON_Swamis_-_R_to_Y/His_Holiness_Radhanath_Swami/Lectures/00_-_Year_wise/Devotional_Nectar_-_1991/1991-122_Happy_Birthday_Lecture_Mumbai_-_Radhanath_Swami_1991-11-24_IDesireTree.mp3", "1991-122_Happy_Birthday_Lecture_Mumbai_-_Radhanath_Swami_1991-11-24_IDesireTree.mp3")</f>
        <v>1991-122_Happy_Birthday_Lecture_Mumbai_-_Radhanath_Swami_1991-11-24_IDesireTree.mp3</v>
      </c>
      <c r="D313" s="11"/>
      <c r="E313" s="11"/>
    </row>
    <row r="314" spans="1:5">
      <c r="A314" s="12" t="s">
        <v>12462</v>
      </c>
      <c r="B314" s="12" t="s">
        <v>13288</v>
      </c>
      <c r="C314" s="13" t="str">
        <f>HYPERLINK("https://audio.iskcondesiretree.com/02_-_ISKCON_Swamis/ISKCON_Swamis_-_R_to_Y/His_Holiness_Radhanath_Swami/Lectures/00_-_Year_wise/Devotional_Nectar_-_1991/1991-123_Maya_Redefined_Lecture_Mumbai_-_Radhanath_Swami_1991-11-25_IDesireTree.mp3", "1991-123_Maya_Redefined_Lecture_Mumbai_-_Radhanath_Swami_1991-11-25_IDesireTree.mp3")</f>
        <v>1991-123_Maya_Redefined_Lecture_Mumbai_-_Radhanath_Swami_1991-11-25_IDesireTree.mp3</v>
      </c>
      <c r="D314" s="11"/>
      <c r="E314" s="11"/>
    </row>
    <row r="315" spans="1:5">
      <c r="A315" s="12" t="s">
        <v>12462</v>
      </c>
      <c r="B315" s="12" t="s">
        <v>13289</v>
      </c>
      <c r="C315" s="13" t="str">
        <f>HYPERLINK("https://audio.iskcondesiretree.com/02_-_ISKCON_Swamis/ISKCON_Swamis_-_R_to_Y/His_Holiness_Radhanath_Swami/Lectures/00_-_Year_wise/Devotional_Nectar_-_1991/1991-124_Exalted_Surrender_Of_Lord%27s_Pure_Devotees_SB-10_02_17_Mumbai_-_26-11-91_IDesireTree.mp3", "1991-124_Exalted_Surrender_Of_Lord%27s_Pure_Devotees_SB-10_02_17_Mumbai_-_26-11-91_IDesireTree.mp3")</f>
        <v>1991-124_Exalted_Surrender_Of_Lord%27s_Pure_Devotees_SB-10_02_17_Mumbai_-_26-11-91_IDesireTree.mp3</v>
      </c>
      <c r="D315" s="11"/>
      <c r="E315" s="11"/>
    </row>
    <row r="316" spans="1:5">
      <c r="A316" s="12" t="s">
        <v>12462</v>
      </c>
      <c r="B316" s="12" t="s">
        <v>13290</v>
      </c>
      <c r="C316" s="13" t="str">
        <f>HYPERLINK("https://audio.iskcondesiretree.com/02_-_ISKCON_Swamis/ISKCON_Swamis_-_R_to_Y/His_Holiness_Radhanath_Swami/Lectures/00_-_Year_wise/Devotional_Nectar_-_1991/1991-125_The_Greatness_Of_Krishna_Lecture_Mumbai_-_Radhanath_Swami_1991-11-26_IDesireTree.mp3", "1991-125_The_Greatness_Of_Krishna_Lecture_Mumbai_-_Radhanath_Swami_1991-11-26_IDesireTree.mp3")</f>
        <v>1991-125_The_Greatness_Of_Krishna_Lecture_Mumbai_-_Radhanath_Swami_1991-11-26_IDesireTree.mp3</v>
      </c>
      <c r="D316" s="11"/>
      <c r="E316" s="11"/>
    </row>
    <row r="317" spans="1:5">
      <c r="A317" s="12" t="s">
        <v>12462</v>
      </c>
      <c r="B317" s="12" t="s">
        <v>13291</v>
      </c>
      <c r="C317" s="13" t="str">
        <f>HYPERLINK("https://audio.iskcondesiretree.com/02_-_ISKCON_Swamis/ISKCON_Swamis_-_R_to_Y/His_Holiness_Radhanath_Swami/Lectures/00_-_Year_wise/Devotional_Nectar_-_1991/1991-126_Nectar_Of_Instruction_NOI-01-02_Mumbai_-_Radhanath_Swami_1991-11-27_IDesireTree.mp3", "1991-126_Nectar_Of_Instruction_NOI-01-02_Mumbai_-_Radhanath_Swami_1991-11-27_IDesireTree.mp3")</f>
        <v>1991-126_Nectar_Of_Instruction_NOI-01-02_Mumbai_-_Radhanath_Swami_1991-11-27_IDesireTree.mp3</v>
      </c>
      <c r="D317" s="11"/>
      <c r="E317" s="11"/>
    </row>
    <row r="318" spans="1:5">
      <c r="A318" s="12" t="s">
        <v>12462</v>
      </c>
      <c r="B318" s="12" t="s">
        <v>13292</v>
      </c>
      <c r="C318" s="13" t="str">
        <f>HYPERLINK("https://audio.iskcondesiretree.com/02_-_ISKCON_Swamis/ISKCON_Swamis_-_R_to_Y/His_Holiness_Radhanath_Swami/Lectures/00_-_Year_wise/Devotional_Nectar_-_1991/1991-127_You_Are_The_Greatest_SB-10_01_52-53_Mumbai_-_Radhanath_Swami_1991-11-04_IDesireTree.mp3", "1991-127_You_Are_The_Greatest_SB-10_01_52-53_Mumbai_-_Radhanath_Swami_1991-11-04_IDesireTree.mp3")</f>
        <v>1991-127_You_Are_The_Greatest_SB-10_01_52-53_Mumbai_-_Radhanath_Swami_1991-11-04_IDesireTree.mp3</v>
      </c>
      <c r="D318" s="11"/>
      <c r="E318" s="11"/>
    </row>
    <row r="319" spans="1:5">
      <c r="A319" s="12" t="s">
        <v>12462</v>
      </c>
      <c r="B319" s="12" t="s">
        <v>13293</v>
      </c>
      <c r="C319" s="13" t="str">
        <f>HYPERLINK("https://audio.iskcondesiretree.com/02_-_ISKCON_Swamis/ISKCON_Swamis_-_R_to_Y/His_Holiness_Radhanath_Swami/Lectures/00_-_Year_wise/Devotional_Nectar_-_1991/1991-128_Impersonalism_Lamblasted_Lecture_Mumbai_-_Radhanath_Swami_1991-11-04_IDesireTree.mp3", "1991-128_Impersonalism_Lamblasted_Lecture_Mumbai_-_Radhanath_Swami_1991-11-04_IDesireTree.mp3")</f>
        <v>1991-128_Impersonalism_Lamblasted_Lecture_Mumbai_-_Radhanath_Swami_1991-11-04_IDesireTree.mp3</v>
      </c>
      <c r="D319" s="11"/>
      <c r="E319" s="11"/>
    </row>
    <row r="320" spans="1:5">
      <c r="A320" s="12" t="s">
        <v>12462</v>
      </c>
      <c r="B320" s="12" t="s">
        <v>13294</v>
      </c>
      <c r="C320" s="13" t="str">
        <f>HYPERLINK("https://audio.iskcondesiretree.com/02_-_ISKCON_Swamis/ISKCON_Swamis_-_R_to_Y/His_Holiness_Radhanath_Swami/Lectures/00_-_Year_wise/Devotional_Nectar_-_1991/1991-129_Devotees_Demand_No_Respect_SB-10_01_49-50_Mumbai_-_05-11-91_IDesireTree.mp3", "1991-129_Devotees_Demand_No_Respect_SB-10_01_49-50_Mumbai_-_05-11-91_IDesireTree.mp3")</f>
        <v>1991-129_Devotees_Demand_No_Respect_SB-10_01_49-50_Mumbai_-_05-11-91_IDesireTree.mp3</v>
      </c>
      <c r="D320" s="11"/>
      <c r="E320" s="11"/>
    </row>
    <row r="321" spans="1:5">
      <c r="A321" s="12" t="s">
        <v>12462</v>
      </c>
      <c r="B321" s="12" t="s">
        <v>13295</v>
      </c>
      <c r="C321" s="13" t="str">
        <f>HYPERLINK("https://audio.iskcondesiretree.com/02_-_ISKCON_Swamis/ISKCON_Swamis_-_R_to_Y/His_Holiness_Radhanath_Swami/Lectures/00_-_Year_wise/Devotional_Nectar_-_1991/1991-130_Krishna_Is_Certainly_A_Person_Lecture_Mumbai_-_Radhanath_Swami_1991-11-05_IDesireTree.mp3", "1991-130_Krishna_Is_Certainly_A_Person_Lecture_Mumbai_-_Radhanath_Swami_1991-11-05_IDesireTree.mp3")</f>
        <v>1991-130_Krishna_Is_Certainly_A_Person_Lecture_Mumbai_-_Radhanath_Swami_1991-11-05_IDesireTree.mp3</v>
      </c>
      <c r="D321" s="11"/>
      <c r="E321" s="11"/>
    </row>
    <row r="322" spans="1:5">
      <c r="A322" s="12" t="s">
        <v>12462</v>
      </c>
      <c r="B322" s="12" t="s">
        <v>13296</v>
      </c>
      <c r="C322" s="13" t="str">
        <f>HYPERLINK("https://audio.iskcondesiretree.com/02_-_ISKCON_Swamis/ISKCON_Swamis_-_R_to_Y/His_Holiness_Radhanath_Swami/Lectures/00_-_Year_wise/Devotional_Nectar_-_1991/1991-131_Incarnations_Of_Krishna_Lecture_Mumbai_-_Radhanath_Swami_1991-11-06_IDesireTree.mp3", "1991-131_Incarnations_Of_Krishna_Lecture_Mumbai_-_Radhanath_Swami_1991-11-06_IDesireTree.mp3")</f>
        <v>1991-131_Incarnations_Of_Krishna_Lecture_Mumbai_-_Radhanath_Swami_1991-11-06_IDesireTree.mp3</v>
      </c>
      <c r="D322" s="11"/>
      <c r="E322" s="11"/>
    </row>
    <row r="323" spans="1:5">
      <c r="A323" s="12" t="s">
        <v>12462</v>
      </c>
      <c r="B323" s="12" t="s">
        <v>13297</v>
      </c>
      <c r="C323" s="13" t="str">
        <f>HYPERLINK("https://audio.iskcondesiretree.com/02_-_ISKCON_Swamis/ISKCON_Swamis_-_R_to_Y/His_Holiness_Radhanath_Swami/Lectures/00_-_Year_wise/Devotional_Nectar_-_1991/1991-132_The_Story_Of_Bilwamangal_Thakur_CC_AL-1_Mumbai_-_28-11-91_IDesireTree.mp3", "1991-132_The_Story_Of_Bilwamangal_Thakur_CC_AL-1_Mumbai_-_28-11-91_IDesireTree.mp3")</f>
        <v>1991-132_The_Story_Of_Bilwamangal_Thakur_CC_AL-1_Mumbai_-_28-11-91_IDesireTree.mp3</v>
      </c>
      <c r="D323" s="11"/>
      <c r="E323" s="11"/>
    </row>
    <row r="324" spans="1:5">
      <c r="A324" s="12" t="s">
        <v>12462</v>
      </c>
      <c r="B324" s="12" t="s">
        <v>13298</v>
      </c>
      <c r="C324" s="13" t="str">
        <f>HYPERLINK("https://audio.iskcondesiretree.com/02_-_ISKCON_Swamis/ISKCON_Swamis_-_R_to_Y/His_Holiness_Radhanath_Swami/Lectures/00_-_Year_wise/Devotional_Nectar_-_1991/1991-133_Envious_Of_His_Mercy_SB-10_02_20_Mumbai_-_Radhanath_Swami_1991-11-29_IDesireTree.mp3", "1991-133_Envious_Of_His_Mercy_SB-10_02_20_Mumbai_-_Radhanath_Swami_1991-11-29_IDesireTree.mp3")</f>
        <v>1991-133_Envious_Of_His_Mercy_SB-10_02_20_Mumbai_-_Radhanath_Swami_1991-11-29_IDesireTree.mp3</v>
      </c>
      <c r="D324" s="11"/>
      <c r="E324" s="11"/>
    </row>
    <row r="325" spans="1:5">
      <c r="A325" s="12" t="s">
        <v>12462</v>
      </c>
      <c r="B325" s="12" t="s">
        <v>13299</v>
      </c>
      <c r="C325" s="13" t="str">
        <f>HYPERLINK("https://audio.iskcondesiretree.com/02_-_ISKCON_Swamis/ISKCON_Swamis_-_R_to_Y/His_Holiness_Radhanath_Swami/Lectures/00_-_Year_wise/Devotional_Nectar_-_1991/1991-134_Devotee_On_Red_Alert_CC_AL-01_Mumbai_-_Radhanath_Swami_1991-11-29_IDesireTree.mp3", "1991-134_Devotee_On_Red_Alert_CC_AL-01_Mumbai_-_Radhanath_Swami_1991-11-29_IDesireTree.mp3")</f>
        <v>1991-134_Devotee_On_Red_Alert_CC_AL-01_Mumbai_-_Radhanath_Swami_1991-11-29_IDesireTree.mp3</v>
      </c>
      <c r="D325" s="11"/>
      <c r="E325" s="11"/>
    </row>
    <row r="326" spans="1:5">
      <c r="A326" s="12" t="s">
        <v>12462</v>
      </c>
      <c r="B326" s="12" t="s">
        <v>13300</v>
      </c>
      <c r="C326" s="13" t="str">
        <f>HYPERLINK("https://audio.iskcondesiretree.com/02_-_ISKCON_Swamis/ISKCON_Swamis_-_R_to_Y/His_Holiness_Radhanath_Swami/Lectures/00_-_Year_wise/Devotional_Nectar_-_1991/1991-135_Story_Of_Jada_Bharat_SB-05_11_01_Mumbai_-_Radhanath_Swami_1991-11-29_IDesireTree.mp3", "1991-135_Story_Of_Jada_Bharat_SB-05_11_01_Mumbai_-_Radhanath_Swami_1991-11-29_IDesireTree.mp3")</f>
        <v>1991-135_Story_Of_Jada_Bharat_SB-05_11_01_Mumbai_-_Radhanath_Swami_1991-11-29_IDesireTree.mp3</v>
      </c>
      <c r="D326" s="11"/>
      <c r="E326" s="11"/>
    </row>
    <row r="327" spans="1:5">
      <c r="A327" s="12" t="s">
        <v>12462</v>
      </c>
      <c r="B327" s="12" t="s">
        <v>13301</v>
      </c>
      <c r="C327" s="13" t="str">
        <f>HYPERLINK("https://audio.iskcondesiretree.com/02_-_ISKCON_Swamis/ISKCON_Swamis_-_R_to_Y/His_Holiness_Radhanath_Swami/Lectures/00_-_Year_wise/Devotional_Nectar_-_1991/1991-136_Different_Categories_Of_Devotees_Lecture_Mumbai_-_30-11-91_IDesireTree.mp3", "1991-136_Different_Categories_Of_Devotees_Lecture_Mumbai_-_30-11-91_IDesireTree.mp3")</f>
        <v>1991-136_Different_Categories_Of_Devotees_Lecture_Mumbai_-_30-11-91_IDesireTree.mp3</v>
      </c>
      <c r="D327" s="11"/>
      <c r="E327" s="11"/>
    </row>
    <row r="328" spans="1:5">
      <c r="A328" s="12" t="s">
        <v>12462</v>
      </c>
      <c r="B328" s="12" t="s">
        <v>13302</v>
      </c>
      <c r="C328" s="13" t="str">
        <f>HYPERLINK("https://audio.iskcondesiretree.com/02_-_ISKCON_Swamis/ISKCON_Swamis_-_R_to_Y/His_Holiness_Radhanath_Swami/Lectures/00_-_Year_wise/Devotional_Nectar_-_1991/1991-137_Perfection_Of_Varnashram_Dharma_BG-04_13_Mumbai_-_30-11-91_IDesireTree.mp3", "1991-137_Perfection_Of_Varnashram_Dharma_BG-04_13_Mumbai_-_30-11-91_IDesireTree.mp3")</f>
        <v>1991-137_Perfection_Of_Varnashram_Dharma_BG-04_13_Mumbai_-_30-11-91_IDesireTree.mp3</v>
      </c>
      <c r="D328" s="11"/>
      <c r="E328" s="11"/>
    </row>
    <row r="329" spans="1:5">
      <c r="A329" s="12" t="s">
        <v>12462</v>
      </c>
      <c r="B329" s="12" t="s">
        <v>13303</v>
      </c>
      <c r="C329" s="13" t="str">
        <f>HYPERLINK("https://audio.iskcondesiretree.com/02_-_ISKCON_Swamis/ISKCON_Swamis_-_R_to_Y/His_Holiness_Radhanath_Swami/Lectures/00_-_Year_wise/Devotional_Nectar_-_1991/1991-138_Yamunacharya_BG-05_21_Mumbai_-_Radhanath_Swami_1991-12-01_IDesireTree.mp3", "1991-138_Yamunacharya_BG-05_21_Mumbai_-_Radhanath_Swami_1991-12-01_IDesireTree.mp3")</f>
        <v>1991-138_Yamunacharya_BG-05_21_Mumbai_-_Radhanath_Swami_1991-12-01_IDesireTree.mp3</v>
      </c>
      <c r="D329" s="11"/>
      <c r="E329" s="11"/>
    </row>
    <row r="330" spans="1:5">
      <c r="A330" s="12" t="s">
        <v>12462</v>
      </c>
      <c r="B330" s="12" t="s">
        <v>13304</v>
      </c>
      <c r="C330" s="13" t="str">
        <f>HYPERLINK("https://audio.iskcondesiretree.com/02_-_ISKCON_Swamis/ISKCON_Swamis_-_R_to_Y/His_Holiness_Radhanath_Swami/Lectures/00_-_Year_wise/Devotional_Nectar_-_1991/1991-139_Pondering_About_Dharma_Lecture_Mumbai_-_Radhanath_Swami_1991-12-01_IDesireTree.mp3", "1991-139_Pondering_About_Dharma_Lecture_Mumbai_-_Radhanath_Swami_1991-12-01_IDesireTree.mp3")</f>
        <v>1991-139_Pondering_About_Dharma_Lecture_Mumbai_-_Radhanath_Swami_1991-12-01_IDesireTree.mp3</v>
      </c>
      <c r="D330" s="11"/>
      <c r="E330" s="11"/>
    </row>
    <row r="331" spans="1:5">
      <c r="A331" s="12" t="s">
        <v>12462</v>
      </c>
      <c r="B331" s="12" t="s">
        <v>13305</v>
      </c>
      <c r="C331" s="13" t="str">
        <f>HYPERLINK("https://audio.iskcondesiretree.com/02_-_ISKCON_Swamis/ISKCON_Swamis_-_R_to_Y/His_Holiness_Radhanath_Swami/Lectures/00_-_Year_wise/Devotional_Nectar_-_1991/1991-140_Service_Attitude_Demons_%26_Devotees_SB-10_02_23-24_Mumbai_-_02-12-91_IDesireTree.mp3", "1991-140_Service_Attitude_Demons_%26_Devotees_SB-10_02_23-24_Mumbai_-_02-12-91_IDesireTree.mp3")</f>
        <v>1991-140_Service_Attitude_Demons_%26_Devotees_SB-10_02_23-24_Mumbai_-_02-12-91_IDesireTree.mp3</v>
      </c>
      <c r="D331" s="11"/>
      <c r="E331" s="11"/>
    </row>
    <row r="332" spans="1:5">
      <c r="A332" s="12" t="s">
        <v>12462</v>
      </c>
      <c r="B332" s="12" t="s">
        <v>13306</v>
      </c>
      <c r="C332" s="13" t="str">
        <f>HYPERLINK("https://audio.iskcondesiretree.com/02_-_ISKCON_Swamis/ISKCON_Swamis_-_R_to_Y/His_Holiness_Radhanath_Swami/Lectures/00_-_Year_wise/Devotional_Nectar_-_1991/1991-141_Approaching_The_Guru_Lecture_Mumbai_-_Radhanath_Swami_1991-12-02_IDesireTree.mp3", "1991-141_Approaching_The_Guru_Lecture_Mumbai_-_Radhanath_Swami_1991-12-02_IDesireTree.mp3")</f>
        <v>1991-141_Approaching_The_Guru_Lecture_Mumbai_-_Radhanath_Swami_1991-12-02_IDesireTree.mp3</v>
      </c>
      <c r="D332" s="11"/>
      <c r="E332" s="11"/>
    </row>
    <row r="333" spans="1:5">
      <c r="A333" s="12" t="s">
        <v>12462</v>
      </c>
      <c r="B333" s="12" t="s">
        <v>13307</v>
      </c>
      <c r="C333" s="13" t="str">
        <f>HYPERLINK("https://audio.iskcondesiretree.com/02_-_ISKCON_Swamis/ISKCON_Swamis_-_R_to_Y/His_Holiness_Radhanath_Swami/Lectures/00_-_Year_wise/Devotional_Nectar_-_1991/1991-142_Quadraple_Expansion_Of_Krishna_Lecture_Mumbai_-_Radhanath_Swami_1991-12-03_IDesireTree.mp3", "1991-142_Quadraple_Expansion_Of_Krishna_Lecture_Mumbai_-_Radhanath_Swami_1991-12-03_IDesireTree.mp3")</f>
        <v>1991-142_Quadraple_Expansion_Of_Krishna_Lecture_Mumbai_-_Radhanath_Swami_1991-12-03_IDesireTree.mp3</v>
      </c>
      <c r="D333" s="11"/>
      <c r="E333" s="11"/>
    </row>
    <row r="334" spans="1:5">
      <c r="A334" s="12" t="s">
        <v>12462</v>
      </c>
      <c r="B334" s="12" t="s">
        <v>13308</v>
      </c>
      <c r="C334" s="13" t="str">
        <f>HYPERLINK("https://audio.iskcondesiretree.com/02_-_ISKCON_Swamis/ISKCON_Swamis_-_R_to_Y/His_Holiness_Radhanath_Swami/Lectures/00_-_Year_wise/Devotional_Nectar_-_1991/1991-143_What_Is_Real_Poverty_Lecture_Mumbai_-_Radhanath_Swami_1991-12-03_IDesireTree.mp3", "1991-143_What_Is_Real_Poverty_Lecture_Mumbai_-_Radhanath_Swami_1991-12-03_IDesireTree.mp3")</f>
        <v>1991-143_What_Is_Real_Poverty_Lecture_Mumbai_-_Radhanath_Swami_1991-12-03_IDesireTree.mp3</v>
      </c>
      <c r="D334" s="11"/>
      <c r="E334" s="11"/>
    </row>
    <row r="335" spans="1:5">
      <c r="A335" s="12" t="s">
        <v>12462</v>
      </c>
      <c r="B335" s="12" t="s">
        <v>13309</v>
      </c>
      <c r="C335" s="13" t="str">
        <f>HYPERLINK("https://audio.iskcondesiretree.com/02_-_ISKCON_Swamis/ISKCON_Swamis_-_R_to_Y/His_Holiness_Radhanath_Swami/Lectures/00_-_Year_wise/Devotional_Nectar_-_1991/1991-144_Yamaraj%27s_Teachings_As_A_Vidura_SB-01_13_15_Surat_-_08-12-91_IDesireTree.mp3", "1991-144_Yamaraj%27s_Teachings_As_A_Vidura_SB-01_13_15_Surat_-_08-12-91_IDesireTree.mp3")</f>
        <v>1991-144_Yamaraj%27s_Teachings_As_A_Vidura_SB-01_13_15_Surat_-_08-12-91_IDesireTree.mp3</v>
      </c>
      <c r="D335" s="11"/>
      <c r="E335" s="11"/>
    </row>
    <row r="336" spans="1:5">
      <c r="A336" s="12" t="s">
        <v>12462</v>
      </c>
      <c r="B336" s="12" t="s">
        <v>13310</v>
      </c>
      <c r="C336" s="13" t="str">
        <f>HYPERLINK("https://audio.iskcondesiretree.com/02_-_ISKCON_Swamis/ISKCON_Swamis_-_R_to_Y/His_Holiness_Radhanath_Swami/Lectures/00_-_Year_wise/Devotional_Nectar_-_1991/1991-145_The_Duty_Of_Indians_SB-10_02_19_Mumbai_-_Radhanath_Swami_1991-11-28_IDesireTree.mp3", "1991-145_The_Duty_Of_Indians_SB-10_02_19_Mumbai_-_Radhanath_Swami_1991-11-28_IDesireTree.mp3")</f>
        <v>1991-145_The_Duty_Of_Indians_SB-10_02_19_Mumbai_-_Radhanath_Swami_1991-11-28_IDesireTree.mp3</v>
      </c>
      <c r="D336" s="11"/>
      <c r="E336" s="11"/>
    </row>
    <row r="337" spans="1:5">
      <c r="A337" s="12" t="s">
        <v>12462</v>
      </c>
      <c r="B337" s="12" t="s">
        <v>13311</v>
      </c>
      <c r="C337" s="13" t="str">
        <f>HYPERLINK("https://audio.iskcondesiretree.com/02_-_ISKCON_Swamis/ISKCON_Swamis_-_R_to_Y/His_Holiness_Radhanath_Swami/Lectures/00_-_Year_wise/Devotional_Nectar_-_1991/1991-146_Kaitava_Dharma_Lecture_Mumbai_-_Radhanath_Swami_1991-12-13_IDesireTree.mp3", "1991-146_Kaitava_Dharma_Lecture_Mumbai_-_Radhanath_Swami_1991-12-13_IDesireTree.mp3")</f>
        <v>1991-146_Kaitava_Dharma_Lecture_Mumbai_-_Radhanath_Swami_1991-12-13_IDesireTree.mp3</v>
      </c>
      <c r="D337" s="11"/>
      <c r="E337" s="11"/>
    </row>
    <row r="338" spans="1:5">
      <c r="A338" s="12" t="s">
        <v>12462</v>
      </c>
      <c r="B338" s="12" t="s">
        <v>13312</v>
      </c>
      <c r="C338" s="13" t="str">
        <f>HYPERLINK("https://audio.iskcondesiretree.com/02_-_ISKCON_Swamis/ISKCON_Swamis_-_R_to_Y/His_Holiness_Radhanath_Swami/Lectures/00_-_Year_wise/Devotional_Nectar_-_1991/1991-147_Perfect_Wife_SB-08_22_16_Mumbai_-_Radhanath_Swami_1991-12-13_IDesireTree.mp3", "1991-147_Perfect_Wife_SB-08_22_16_Mumbai_-_Radhanath_Swami_1991-12-13_IDesireTree.mp3")</f>
        <v>1991-147_Perfect_Wife_SB-08_22_16_Mumbai_-_Radhanath_Swami_1991-12-13_IDesireTree.mp3</v>
      </c>
      <c r="D338" s="11"/>
      <c r="E338" s="11"/>
    </row>
    <row r="339" spans="1:5">
      <c r="A339" s="12" t="s">
        <v>12462</v>
      </c>
      <c r="B339" s="12" t="s">
        <v>13313</v>
      </c>
      <c r="C339" s="13" t="str">
        <f>HYPERLINK("https://audio.iskcondesiretree.com/02_-_ISKCON_Swamis/ISKCON_Swamis_-_R_to_Y/His_Holiness_Radhanath_Swami/Lectures/00_-_Year_wise/Devotional_Nectar_-_1991/1991-148_Arjuna%27s_Lamentation_For_Krishna_SB-01_15_20-27_Mumbai_-_14-12-91_IDesireTree.mp3", "1991-148_Arjuna%27s_Lamentation_For_Krishna_SB-01_15_20-27_Mumbai_-_14-12-91_IDesireTree.mp3")</f>
        <v>1991-148_Arjuna%27s_Lamentation_For_Krishna_SB-01_15_20-27_Mumbai_-_14-12-91_IDesireTree.mp3</v>
      </c>
      <c r="D339" s="11"/>
      <c r="E339" s="11"/>
    </row>
    <row r="340" spans="1:5">
      <c r="A340" s="12" t="s">
        <v>12462</v>
      </c>
      <c r="B340" s="12" t="s">
        <v>13314</v>
      </c>
      <c r="C340" s="13" t="str">
        <f>HYPERLINK("https://audio.iskcondesiretree.com/02_-_ISKCON_Swamis/ISKCON_Swamis_-_R_to_Y/His_Holiness_Radhanath_Swami/Lectures/00_-_Year_wise/Devotional_Nectar_-_1991/1991-149_Most_Secret_Of_All_Secrets_SB-10_02_36_Mumbai_-_Radhanath_Swami_1991-12-14_IDesireTree.mp3", "1991-149_Most_Secret_Of_All_Secrets_SB-10_02_36_Mumbai_-_Radhanath_Swami_1991-12-14_IDesireTree.mp3")</f>
        <v>1991-149_Most_Secret_Of_All_Secrets_SB-10_02_36_Mumbai_-_Radhanath_Swami_1991-12-14_IDesireTree.mp3</v>
      </c>
      <c r="D340" s="11"/>
      <c r="E340" s="11"/>
    </row>
    <row r="341" spans="1:5">
      <c r="A341" s="12" t="s">
        <v>12462</v>
      </c>
      <c r="B341" s="12" t="s">
        <v>13315</v>
      </c>
      <c r="C341" s="13" t="str">
        <f>HYPERLINK("https://audio.iskcondesiretree.com/02_-_ISKCON_Swamis/ISKCON_Swamis_-_R_to_Y/His_Holiness_Radhanath_Swami/Lectures/00_-_Year_wise/Devotional_Nectar_-_1991/1991-150_Mind-_Friend_And_Enemy_BG-06_26_Mumbai_-_Radhanath_Swami_1991-12-15_IDesireTree.mp3", "1991-150_Mind-_Friend_And_Enemy_BG-06_26_Mumbai_-_Radhanath_Swami_1991-12-15_IDesireTree.mp3")</f>
        <v>1991-150_Mind-_Friend_And_Enemy_BG-06_26_Mumbai_-_Radhanath_Swami_1991-12-15_IDesireTree.mp3</v>
      </c>
      <c r="D341" s="11"/>
      <c r="E341" s="11"/>
    </row>
    <row r="342" spans="1:5">
      <c r="A342" s="12" t="s">
        <v>12462</v>
      </c>
      <c r="B342" s="12" t="s">
        <v>13316</v>
      </c>
      <c r="C342" s="13" t="str">
        <f>HYPERLINK("https://audio.iskcondesiretree.com/02_-_ISKCON_Swamis/ISKCON_Swamis_-_R_to_Y/His_Holiness_Radhanath_Swami/Lectures/00_-_Year_wise/Devotional_Nectar_-_1991/1991-151_Causeless_Mercy_SB-10_03_15-17_Mumbai_-_Radhanath_Swami_1991-12-26_IDesireTree.mp3", "1991-151_Causeless_Mercy_SB-10_03_15-17_Mumbai_-_Radhanath_Swami_1991-12-26_IDesireTree.mp3")</f>
        <v>1991-151_Causeless_Mercy_SB-10_03_15-17_Mumbai_-_Radhanath_Swami_1991-12-26_IDesireTree.mp3</v>
      </c>
      <c r="D342" s="11"/>
      <c r="E342" s="11"/>
    </row>
    <row r="343" spans="1:5">
      <c r="A343" s="12" t="s">
        <v>12462</v>
      </c>
      <c r="B343" s="12" t="s">
        <v>13317</v>
      </c>
      <c r="C343" s="13" t="str">
        <f>HYPERLINK("https://audio.iskcondesiretree.com/02_-_ISKCON_Swamis/ISKCON_Swamis_-_R_to_Y/His_Holiness_Radhanath_Swami/Lectures/00_-_Year_wise/Devotional_Nectar_-_1991/1991-152_Lord%27s_Sacrifice_Is_Uncomparable_Lecture_Mumbai_-_27-12-91_IDesireTree.mp3", "1991-152_Lord%27s_Sacrifice_Is_Uncomparable_Lecture_Mumbai_-_27-12-91_IDesireTree.mp3")</f>
        <v>1991-152_Lord%27s_Sacrifice_Is_Uncomparable_Lecture_Mumbai_-_27-12-91_IDesireTree.mp3</v>
      </c>
      <c r="D343" s="11"/>
      <c r="E343" s="11"/>
    </row>
    <row r="344" spans="1:5">
      <c r="A344" s="12" t="s">
        <v>12462</v>
      </c>
      <c r="B344" s="12" t="s">
        <v>13318</v>
      </c>
      <c r="C344" s="13" t="str">
        <f>HYPERLINK("https://audio.iskcondesiretree.com/02_-_ISKCON_Swamis/ISKCON_Swamis_-_R_to_Y/His_Holiness_Radhanath_Swami/Lectures/00_-_Year_wise/Devotional_Nectar_-_1991/1991-153_Receiving_Transcendental_Knowledge_BG-04_03_Mumbai_-_29-12-91_IDesireTree.mp3", "1991-153_Receiving_Transcendental_Knowledge_BG-04_03_Mumbai_-_29-12-91_IDesireTree.mp3")</f>
        <v>1991-153_Receiving_Transcendental_Knowledge_BG-04_03_Mumbai_-_29-12-91_IDesireTree.mp3</v>
      </c>
      <c r="D344" s="11"/>
      <c r="E344" s="11"/>
    </row>
    <row r="345" spans="1:5">
      <c r="A345" s="12" t="s">
        <v>12462</v>
      </c>
      <c r="B345" s="12" t="s">
        <v>13319</v>
      </c>
      <c r="C345" s="13" t="str">
        <f>HYPERLINK("https://audio.iskcondesiretree.com/02_-_ISKCON_Swamis/ISKCON_Swamis_-_R_to_Y/His_Holiness_Radhanath_Swami/Lectures/00_-_Year_wise/Devotional_Nectar_-_1991/1991-154_Lord%27s_Merciful_Devotees_CC_AL-01_01_Mumbai_-_Radhanath_Swami_1991-12-12_IDesireTree.mp3", "1991-154_Lord%27s_Merciful_Devotees_CC_AL-01_01_Mumbai_-_Radhanath_Swami_1991-12-12_IDesireTree.mp3")</f>
        <v>1991-154_Lord%27s_Merciful_Devotees_CC_AL-01_01_Mumbai_-_Radhanath_Swami_1991-12-12_IDesireTree.mp3</v>
      </c>
      <c r="D345" s="11"/>
      <c r="E345" s="11"/>
    </row>
    <row r="346" spans="1:5">
      <c r="A346" s="12" t="s">
        <v>12462</v>
      </c>
      <c r="B346" s="12" t="s">
        <v>13320</v>
      </c>
      <c r="C346" s="13" t="str">
        <f>HYPERLINK("https://audio.iskcondesiretree.com/02_-_ISKCON_Swamis/ISKCON_Swamis_-_R_to_Y/His_Holiness_Radhanath_Swami/Lectures/00_-_Year_wise/Devotional_Nectar_-_1991/1991-155_Krishna_Only_SB-10_02_35_Mumbai_-_Radhanath_Swami_1991-12-13_IDesireTree.mp3", "1991-155_Krishna_Only_SB-10_02_35_Mumbai_-_Radhanath_Swami_1991-12-13_IDesireTree.mp3")</f>
        <v>1991-155_Krishna_Only_SB-10_02_35_Mumbai_-_Radhanath_Swami_1991-12-13_IDesireTree.mp3</v>
      </c>
      <c r="D346" s="11"/>
      <c r="E346" s="11"/>
    </row>
    <row r="347" spans="1:5">
      <c r="A347" s="12" t="s">
        <v>12462</v>
      </c>
      <c r="B347" s="12" t="s">
        <v>13321</v>
      </c>
      <c r="C347" s="13" t="str">
        <f>HYPERLINK("https://audio.iskcondesiretree.com/02_-_ISKCON_Swamis/ISKCON_Swamis_-_R_to_Y/His_Holiness_Radhanath_Swami/Lectures/00_-_Year_wise/Devotional_Nectar_-_1991/1991-156_The_Pillar_Of_Faith_SB-01_12_30_Surat_-_Radhanath_Swami_1991-12-09_IDesireTree.mp3", "1991-156_The_Pillar_Of_Faith_SB-01_12_30_Surat_-_Radhanath_Swami_1991-12-09_IDesireTree.mp3")</f>
        <v>1991-156_The_Pillar_Of_Faith_SB-01_12_30_Surat_-_Radhanath_Swami_1991-12-09_IDesireTree.mp3</v>
      </c>
      <c r="D347" s="11"/>
      <c r="E347" s="11"/>
    </row>
    <row r="348" spans="1:5">
      <c r="A348" s="12" t="s">
        <v>12462</v>
      </c>
      <c r="B348" s="12" t="s">
        <v>13322</v>
      </c>
      <c r="C348" s="13" t="str">
        <f>HYPERLINK("https://audio.iskcondesiretree.com/02_-_ISKCON_Swamis/ISKCON_Swamis_-_R_to_Y/His_Holiness_Radhanath_Swami/Lectures/00_-_Year_wise/Devotional_Nectar_-_1991/1991-157_Revealing_The_Greatest_Illusion_SB-10_02_32_Mumbai_-_10-12-91_IDesireTree.mp3", "1991-157_Revealing_The_Greatest_Illusion_SB-10_02_32_Mumbai_-_10-12-91_IDesireTree.mp3")</f>
        <v>1991-157_Revealing_The_Greatest_Illusion_SB-10_02_32_Mumbai_-_10-12-91_IDesireTree.mp3</v>
      </c>
      <c r="D348" s="11"/>
      <c r="E348" s="11"/>
    </row>
    <row r="349" spans="1:5">
      <c r="A349" s="12" t="s">
        <v>12462</v>
      </c>
      <c r="B349" s="12" t="s">
        <v>13323</v>
      </c>
      <c r="C349" s="13" t="str">
        <f>HYPERLINK("https://audio.iskcondesiretree.com/02_-_ISKCON_Swamis/ISKCON_Swamis_-_R_to_Y/His_Holiness_Radhanath_Swami/Lectures/00_-_Year_wise/Devotional_Nectar_-_1991/1991-158_Incarnations_Of_Godhead_Lecture_Mumbai_-_Radhanath_Swami_1991-12-10_IDesireTree.mp3", "1991-158_Incarnations_Of_Godhead_Lecture_Mumbai_-_Radhanath_Swami_1991-12-10_IDesireTree.mp3")</f>
        <v>1991-158_Incarnations_Of_Godhead_Lecture_Mumbai_-_Radhanath_Swami_1991-12-10_IDesireTree.mp3</v>
      </c>
      <c r="D349" s="11"/>
      <c r="E349" s="11"/>
    </row>
    <row r="350" spans="1:5">
      <c r="A350" s="12" t="s">
        <v>12462</v>
      </c>
      <c r="B350" s="12" t="s">
        <v>13324</v>
      </c>
      <c r="C350" s="13" t="str">
        <f>HYPERLINK("https://audio.iskcondesiretree.com/02_-_ISKCON_Swamis/ISKCON_Swamis_-_R_to_Y/His_Holiness_Radhanath_Swami/Lectures/00_-_Year_wise/Devotional_Nectar_-_1991/1991-159_Krishna_Is_Equal_To_All_SB-10_03_21_Mumbai_-_Radhanath_Swami_1991-12-30_IDesireTree.mp3", "1991-159_Krishna_Is_Equal_To_All_SB-10_03_21_Mumbai_-_Radhanath_Swami_1991-12-30_IDesireTree.mp3")</f>
        <v>1991-159_Krishna_Is_Equal_To_All_SB-10_03_21_Mumbai_-_Radhanath_Swami_1991-12-30_IDesireTree.mp3</v>
      </c>
      <c r="D350" s="11"/>
      <c r="E350" s="11"/>
    </row>
    <row r="351" spans="1:5">
      <c r="A351" s="12" t="s">
        <v>12462</v>
      </c>
      <c r="B351" s="12" t="s">
        <v>13325</v>
      </c>
      <c r="C351" s="13" t="str">
        <f>HYPERLINK("https://audio.iskcondesiretree.com/02_-_ISKCON_Swamis/ISKCON_Swamis_-_R_to_Y/His_Holiness_Radhanath_Swami/Lectures/00_-_Year_wise/Devotional_Nectar_-_1991/1991-160_Philosophy_First-_Pastimes_Later_Lecture_Mumbai_-_30-12-91_IDesireTree.mp3", "1991-160_Philosophy_First-_Pastimes_Later_Lecture_Mumbai_-_30-12-91_IDesireTree.mp3")</f>
        <v>1991-160_Philosophy_First-_Pastimes_Later_Lecture_Mumbai_-_30-12-91_IDesireTree.mp3</v>
      </c>
      <c r="D351" s="11"/>
      <c r="E351" s="11"/>
    </row>
    <row r="352" spans="1:5">
      <c r="A352" s="12" t="s">
        <v>12462</v>
      </c>
      <c r="B352" s="12" t="s">
        <v>13326</v>
      </c>
      <c r="C352" s="13" t="str">
        <f>HYPERLINK("https://audio.iskcondesiretree.com/02_-_ISKCON_Swamis/ISKCON_Swamis_-_R_to_Y/His_Holiness_Radhanath_Swami/Lectures/00_-_Year_wise/Devotional_Nectar_-_1991/1991-161_Name_-_Ultimate_purification_BG-02_44_Mumbai_-_Radhanath_Swami_1991-12-30_IDesireTree.mp3", "1991-161_Name_-_Ultimate_purification_BG-02_44_Mumbai_-_Radhanath_Swami_1991-12-30_IDesireTree.mp3")</f>
        <v>1991-161_Name_-_Ultimate_purification_BG-02_44_Mumbai_-_Radhanath_Swami_1991-12-30_IDesireTree.mp3</v>
      </c>
      <c r="D352" s="11"/>
      <c r="E352" s="11"/>
    </row>
    <row r="353" spans="1:5">
      <c r="A353" s="12" t="s">
        <v>12462</v>
      </c>
      <c r="B353" s="12" t="s">
        <v>13327</v>
      </c>
      <c r="C353" s="13" t="str">
        <f>HYPERLINK("https://audio.iskcondesiretree.com/02_-_ISKCON_Swamis/ISKCON_Swamis_-_R_to_Y/His_Holiness_Radhanath_Swami/Lectures/00_-_Year_wise/Devotional_Nectar_-_1991/1991-162_Chaitanya_Mahaprabhu_Is_Krishna_Lecture_Mumbai_-_Radhanath_Swami_1991-12-31_IDesireTree.mp3", "1991-162_Chaitanya_Mahaprabhu_Is_Krishna_Lecture_Mumbai_-_Radhanath_Swami_1991-12-31_IDesireTree.mp3")</f>
        <v>1991-162_Chaitanya_Mahaprabhu_Is_Krishna_Lecture_Mumbai_-_Radhanath_Swami_1991-12-31_IDesireTree.mp3</v>
      </c>
      <c r="D353" s="11"/>
      <c r="E353" s="11"/>
    </row>
    <row r="354" spans="1:5">
      <c r="A354" s="12" t="s">
        <v>12462</v>
      </c>
      <c r="B354" s="12" t="s">
        <v>13328</v>
      </c>
      <c r="C354" s="13" t="str">
        <f>HYPERLINK("https://audio.iskcondesiretree.com/02_-_ISKCON_Swamis/ISKCON_Swamis_-_R_to_Y/His_Holiness_Radhanath_Swami/Lectures/00_-_Year_wise/Devotional_Nectar_-_1992/1992-001_How_To_Overcome_Spiritual_Envyness_SB-04_08_33-34_Mumbai_-_01-01-92_IDesireTree.mp3", "1992-001_How_To_Overcome_Spiritual_Envyness_SB-04_08_33-34_Mumbai_-_01-01-92_IDesireTree.mp3")</f>
        <v>1992-001_How_To_Overcome_Spiritual_Envyness_SB-04_08_33-34_Mumbai_-_01-01-92_IDesireTree.mp3</v>
      </c>
      <c r="D354" s="11"/>
      <c r="E354" s="11"/>
    </row>
    <row r="355" spans="1:5">
      <c r="A355" s="12" t="s">
        <v>12462</v>
      </c>
      <c r="B355" s="12" t="s">
        <v>13329</v>
      </c>
      <c r="C355" s="13" t="str">
        <f>HYPERLINK("https://audio.iskcondesiretree.com/02_-_ISKCON_Swamis/ISKCON_Swamis_-_R_to_Y/His_Holiness_Radhanath_Swami/Lectures/00_-_Year_wise/Devotional_Nectar_-_1992/1992-002_Transcendental_Appearance_SB-10_03_24_Mumbai_-_Radhanath_Swami_1992-01-02_IDesireTree.mp3", "1992-002_Transcendental_Appearance_SB-10_03_24_Mumbai_-_Radhanath_Swami_1992-01-02_IDesireTree.mp3")</f>
        <v>1992-002_Transcendental_Appearance_SB-10_03_24_Mumbai_-_Radhanath_Swami_1992-01-02_IDesireTree.mp3</v>
      </c>
      <c r="D355" s="11"/>
      <c r="E355" s="11"/>
    </row>
    <row r="356" spans="1:5">
      <c r="A356" s="12" t="s">
        <v>12462</v>
      </c>
      <c r="B356" s="12" t="s">
        <v>13330</v>
      </c>
      <c r="C356" s="13" t="str">
        <f>HYPERLINK("https://audio.iskcondesiretree.com/02_-_ISKCON_Swamis/ISKCON_Swamis_-_R_to_Y/His_Holiness_Radhanath_Swami/Lectures/00_-_Year_wise/Devotional_Nectar_-_1992/1992-003_Why_We_Are_At_Pune_Lecture_Pune_-_Radhanath_Swami_1992-01-03_IDesireTree.mp3", "1992-003_Why_We_Are_At_Pune_Lecture_Pune_-_Radhanath_Swami_1992-01-03_IDesireTree.mp3")</f>
        <v>1992-003_Why_We_Are_At_Pune_Lecture_Pune_-_Radhanath_Swami_1992-01-03_IDesireTree.mp3</v>
      </c>
      <c r="D356" s="11"/>
      <c r="E356" s="11"/>
    </row>
    <row r="357" spans="1:5">
      <c r="A357" s="12" t="s">
        <v>12462</v>
      </c>
      <c r="B357" s="12" t="s">
        <v>13331</v>
      </c>
      <c r="C357" s="13" t="str">
        <f>HYPERLINK("https://audio.iskcondesiretree.com/02_-_ISKCON_Swamis/ISKCON_Swamis_-_R_to_Y/His_Holiness_Radhanath_Swami/Lectures/00_-_Year_wise/Devotional_Nectar_-_1992/1992-004_Marriage_In_Mutual_exploitation_SB-05_05_02-03_Mumbai_-_04-01-92_IDesireTree.mp3", "1992-004_Marriage_In_Mutual_exploitation_SB-05_05_02-03_Mumbai_-_04-01-92_IDesireTree.mp3")</f>
        <v>1992-004_Marriage_In_Mutual_exploitation_SB-05_05_02-03_Mumbai_-_04-01-92_IDesireTree.mp3</v>
      </c>
      <c r="D357" s="11"/>
      <c r="E357" s="11"/>
    </row>
    <row r="358" spans="1:5">
      <c r="A358" s="12" t="s">
        <v>12462</v>
      </c>
      <c r="B358" s="12" t="s">
        <v>13332</v>
      </c>
      <c r="C358" s="13" t="str">
        <f>HYPERLINK("https://audio.iskcondesiretree.com/02_-_ISKCON_Swamis/ISKCON_Swamis_-_R_to_Y/His_Holiness_Radhanath_Swami/Lectures/00_-_Year_wise/Devotional_Nectar_-_1992/1992-005_I_Am_Eternally_Grateful_To_You_Lecture_Pune_-_Radhanath_Swami_1992-01-04_IDesireTree.mp3", "1992-005_I_Am_Eternally_Grateful_To_You_Lecture_Pune_-_Radhanath_Swami_1992-01-04_IDesireTree.mp3")</f>
        <v>1992-005_I_Am_Eternally_Grateful_To_You_Lecture_Pune_-_Radhanath_Swami_1992-01-04_IDesireTree.mp3</v>
      </c>
      <c r="D358" s="11"/>
      <c r="E358" s="11"/>
    </row>
    <row r="359" spans="1:5">
      <c r="A359" s="12" t="s">
        <v>12462</v>
      </c>
      <c r="B359" s="12" t="s">
        <v>13333</v>
      </c>
      <c r="C359" s="13" t="str">
        <f>HYPERLINK("https://audio.iskcondesiretree.com/02_-_ISKCON_Swamis/ISKCON_Swamis_-_R_to_Y/His_Holiness_Radhanath_Swami/Lectures/00_-_Year_wise/Devotional_Nectar_-_1992/1992-006_Questions_And_Answers_Q%26A_Pune_-_Radhanath_Swami_1992-01-05_IDesireTree.mp3", "1992-006_Questions_And_Answers_Q%26A_Pune_-_Radhanath_Swami_1992-01-05_IDesireTree.mp3")</f>
        <v>1992-006_Questions_And_Answers_Q%26A_Pune_-_Radhanath_Swami_1992-01-05_IDesireTree.mp3</v>
      </c>
      <c r="D359" s="11"/>
      <c r="E359" s="11"/>
    </row>
    <row r="360" spans="1:5">
      <c r="A360" s="12" t="s">
        <v>12462</v>
      </c>
      <c r="B360" s="12" t="s">
        <v>13334</v>
      </c>
      <c r="C360" s="13" t="str">
        <f>HYPERLINK("https://audio.iskcondesiretree.com/02_-_ISKCON_Swamis/ISKCON_Swamis_-_R_to_Y/His_Holiness_Radhanath_Swami/Lectures/00_-_Year_wise/Devotional_Nectar_-_1992/1992-007_Srila_Jiva_Goswami_CC_AL-02_Mumbai_-_Radhanath_Swami_1992-01-06_IDesireTree.mp3", "1992-007_Srila_Jiva_Goswami_CC_AL-02_Mumbai_-_Radhanath_Swami_1992-01-06_IDesireTree.mp3")</f>
        <v>1992-007_Srila_Jiva_Goswami_CC_AL-02_Mumbai_-_Radhanath_Swami_1992-01-06_IDesireTree.mp3</v>
      </c>
      <c r="D360" s="11"/>
      <c r="E360" s="11"/>
    </row>
    <row r="361" spans="1:5">
      <c r="A361" s="12" t="s">
        <v>12462</v>
      </c>
      <c r="B361" s="12" t="s">
        <v>13335</v>
      </c>
      <c r="C361" s="13" t="str">
        <f>HYPERLINK("https://audio.iskcondesiretree.com/02_-_ISKCON_Swamis/ISKCON_Swamis_-_R_to_Y/His_Holiness_Radhanath_Swami/Lectures/00_-_Year_wise/Devotional_Nectar_-_1992/1992-008_Who_Is_Original_Person_Lecture_Mumbai_-_Radhanath_Swami_1992-01-07_IDesireTree.mp3", "1992-008_Who_Is_Original_Person_Lecture_Mumbai_-_Radhanath_Swami_1992-01-07_IDesireTree.mp3")</f>
        <v>1992-008_Who_Is_Original_Person_Lecture_Mumbai_-_Radhanath_Swami_1992-01-07_IDesireTree.mp3</v>
      </c>
      <c r="D361" s="11"/>
      <c r="E361" s="11"/>
    </row>
    <row r="362" spans="1:5">
      <c r="A362" s="12" t="s">
        <v>12462</v>
      </c>
      <c r="B362" s="12" t="s">
        <v>13336</v>
      </c>
      <c r="C362" s="13" t="str">
        <f>HYPERLINK("https://audio.iskcondesiretree.com/02_-_ISKCON_Swamis/ISKCON_Swamis_-_R_to_Y/His_Holiness_Radhanath_Swami/Lectures/00_-_Year_wise/Devotional_Nectar_-_1992/1992-009_Krsna_Is_Not_Boond_BG-04_14_Mumbai_-_Radhanath_Swami_1992-01-08_IDesireTree.mp3", "1992-009_Krsna_Is_Not_Boond_BG-04_14_Mumbai_-_Radhanath_Swami_1992-01-08_IDesireTree.mp3")</f>
        <v>1992-009_Krsna_Is_Not_Boond_BG-04_14_Mumbai_-_Radhanath_Swami_1992-01-08_IDesireTree.mp3</v>
      </c>
      <c r="D362" s="11"/>
      <c r="E362" s="11"/>
    </row>
    <row r="363" spans="1:5">
      <c r="A363" s="12" t="s">
        <v>12462</v>
      </c>
      <c r="B363" s="12" t="s">
        <v>13337</v>
      </c>
      <c r="C363" s="13" t="str">
        <f>HYPERLINK("https://audio.iskcondesiretree.com/02_-_ISKCON_Swamis/ISKCON_Swamis_-_R_to_Y/His_Holiness_Radhanath_Swami/Lectures/00_-_Year_wise/Devotional_Nectar_-_1992/1992-010_Dispelling_Fear_SB-10_3_23_Mumbai_-_Radhanath_Swami_1992-01-09_IDesireTree.mp3", "1992-010_Dispelling_Fear_SB-10_3_23_Mumbai_-_Radhanath_Swami_1992-01-09_IDesireTree.mp3")</f>
        <v>1992-010_Dispelling_Fear_SB-10_3_23_Mumbai_-_Radhanath_Swami_1992-01-09_IDesireTree.mp3</v>
      </c>
      <c r="D363" s="11"/>
      <c r="E363" s="11"/>
    </row>
    <row r="364" spans="1:5">
      <c r="A364" s="12" t="s">
        <v>12462</v>
      </c>
      <c r="B364" s="12" t="s">
        <v>13338</v>
      </c>
      <c r="C364" s="13" t="str">
        <f>HYPERLINK("https://audio.iskcondesiretree.com/02_-_ISKCON_Swamis/ISKCON_Swamis_-_R_to_Y/His_Holiness_Radhanath_Swami/Lectures/00_-_Year_wise/Devotional_Nectar_-_1992/1992-011_Different_Expansions_Of_Krishna_CC_AL-02_90_Mumbai_-_09-01-92_IDesireTree.mp3", "1992-011_Different_Expansions_Of_Krishna_CC_AL-02_90_Mumbai_-_09-01-92_IDesireTree.mp3")</f>
        <v>1992-011_Different_Expansions_Of_Krishna_CC_AL-02_90_Mumbai_-_09-01-92_IDesireTree.mp3</v>
      </c>
      <c r="D364" s="11"/>
      <c r="E364" s="11"/>
    </row>
    <row r="365" spans="1:5">
      <c r="A365" s="12" t="s">
        <v>12462</v>
      </c>
      <c r="B365" s="12" t="s">
        <v>13339</v>
      </c>
      <c r="C365" s="13" t="str">
        <f>HYPERLINK("https://audio.iskcondesiretree.com/02_-_ISKCON_Swamis/ISKCON_Swamis_-_R_to_Y/His_Holiness_Radhanath_Swami/Lectures/00_-_Year_wise/Devotional_Nectar_-_1992/1992-012_How_To_Defeat_Mayavadis_Lecture_Mumbai_-_Radhanath_Swami_1992-01-10_IDesireTree.mp3", "1992-012_How_To_Defeat_Mayavadis_Lecture_Mumbai_-_Radhanath_Swami_1992-01-10_IDesireTree.mp3")</f>
        <v>1992-012_How_To_Defeat_Mayavadis_Lecture_Mumbai_-_Radhanath_Swami_1992-01-10_IDesireTree.mp3</v>
      </c>
      <c r="D365" s="11"/>
      <c r="E365" s="11"/>
    </row>
    <row r="366" spans="1:5">
      <c r="A366" s="12" t="s">
        <v>12462</v>
      </c>
      <c r="B366" s="12" t="s">
        <v>13340</v>
      </c>
      <c r="C366" s="13" t="str">
        <f>HYPERLINK("https://audio.iskcondesiretree.com/02_-_ISKCON_Swamis/ISKCON_Swamis_-_R_to_Y/His_Holiness_Radhanath_Swami/Lectures/00_-_Year_wise/Devotional_Nectar_-_1992/1992-013_Controlling_Senses_Lectire_Mumbai_-_Radhanath_Swami_1992-01-11_IDesireTree.mp3", "1992-013_Controlling_Senses_Lectire_Mumbai_-_Radhanath_Swami_1992-01-11_IDesireTree.mp3")</f>
        <v>1992-013_Controlling_Senses_Lectire_Mumbai_-_Radhanath_Swami_1992-01-11_IDesireTree.mp3</v>
      </c>
      <c r="D366" s="11"/>
      <c r="E366" s="11"/>
    </row>
    <row r="367" spans="1:5">
      <c r="A367" s="12" t="s">
        <v>12462</v>
      </c>
      <c r="B367" s="12" t="s">
        <v>13341</v>
      </c>
      <c r="C367" s="13" t="str">
        <f>HYPERLINK("https://audio.iskcondesiretree.com/02_-_ISKCON_Swamis/ISKCON_Swamis_-_R_to_Y/His_Holiness_Radhanath_Swami/Lectures/00_-_Year_wise/Devotional_Nectar_-_1992/1992-014_Sarvabhauma_Bhattacharya_SB-03_27_24_Mumbai_-_Radhanath_Swami_1992-01-12_IDesireTree.mp3", "1992-014_Sarvabhauma_Bhattacharya_SB-03_27_24_Mumbai_-_Radhanath_Swami_1992-01-12_IDesireTree.mp3")</f>
        <v>1992-014_Sarvabhauma_Bhattacharya_SB-03_27_24_Mumbai_-_Radhanath_Swami_1992-01-12_IDesireTree.mp3</v>
      </c>
      <c r="D367" s="11"/>
      <c r="E367" s="11"/>
    </row>
    <row r="368" spans="1:5">
      <c r="A368" s="12" t="s">
        <v>12462</v>
      </c>
      <c r="B368" s="12" t="s">
        <v>13342</v>
      </c>
      <c r="C368" s="13" t="str">
        <f>HYPERLINK("https://audio.iskcondesiretree.com/02_-_ISKCON_Swamis/ISKCON_Swamis_-_R_to_Y/His_Holiness_Radhanath_Swami/Lectures/00_-_Year_wise/Devotional_Nectar_-_1992/1992-015_Greatness_Of_Dhruva_Maharaj_BG-18_61_Mumbai_-_Radhanath_Swami_1991-01-12_IDesireTree.mp3", "1992-015_Greatness_Of_Dhruva_Maharaj_BG-18_61_Mumbai_-_Radhanath_Swami_1991-01-12_IDesireTree.mp3")</f>
        <v>1992-015_Greatness_Of_Dhruva_Maharaj_BG-18_61_Mumbai_-_Radhanath_Swami_1991-01-12_IDesireTree.mp3</v>
      </c>
      <c r="D368" s="11"/>
      <c r="E368" s="11"/>
    </row>
    <row r="369" spans="1:5">
      <c r="A369" s="12" t="s">
        <v>12462</v>
      </c>
      <c r="B369" s="12" t="s">
        <v>13343</v>
      </c>
      <c r="C369" s="13" t="str">
        <f>HYPERLINK("https://audio.iskcondesiretree.com/02_-_ISKCON_Swamis/ISKCON_Swamis_-_R_to_Y/His_Holiness_Radhanath_Swami/Lectures/00_-_Year_wise/Devotional_Nectar_-_1992/1992-016_Shun_Attachment_Now_SB-10_04_16-18_Mumbai_-_Radhanath_Swami_1991-01-29_IDesireTree.mp3", "1992-016_Shun_Attachment_Now_SB-10_04_16-18_Mumbai_-_Radhanath_Swami_1991-01-29_IDesireTree.mp3")</f>
        <v>1992-016_Shun_Attachment_Now_SB-10_04_16-18_Mumbai_-_Radhanath_Swami_1991-01-29_IDesireTree.mp3</v>
      </c>
      <c r="D369" s="11"/>
      <c r="E369" s="11"/>
    </row>
    <row r="370" spans="1:5">
      <c r="A370" s="12" t="s">
        <v>12462</v>
      </c>
      <c r="B370" s="12" t="s">
        <v>13344</v>
      </c>
      <c r="C370" s="13" t="str">
        <f>HYPERLINK("https://audio.iskcondesiretree.com/02_-_ISKCON_Swamis/ISKCON_Swamis_-_R_to_Y/His_Holiness_Radhanath_Swami/Lectures/00_-_Year_wise/Devotional_Nectar_-_1992/1992-017_Lord_Krishna-_A_Shastric_Evidence_CC_AL-2_Mumbai_-_29-01-92_IDesireTree.mp3", "1992-017_Lord_Krishna-_A_Shastric_Evidence_CC_AL-2_Mumbai_-_29-01-92_IDesireTree.mp3")</f>
        <v>1992-017_Lord_Krishna-_A_Shastric_Evidence_CC_AL-2_Mumbai_-_29-01-92_IDesireTree.mp3</v>
      </c>
      <c r="D370" s="11"/>
      <c r="E370" s="11"/>
    </row>
    <row r="371" spans="1:5">
      <c r="A371" s="12" t="s">
        <v>12462</v>
      </c>
      <c r="B371" s="12" t="s">
        <v>13345</v>
      </c>
      <c r="C371" s="13" t="str">
        <f>HYPERLINK("https://audio.iskcondesiretree.com/02_-_ISKCON_Swamis/ISKCON_Swamis_-_R_to_Y/His_Holiness_Radhanath_Swami/Lectures/00_-_Year_wise/Devotional_Nectar_-_1992/1992-018_Reading_The_Bhagvatam_SB-10_04_20_Mumbai_-_Radhanath_Swami_1992-01-30_IDesireTree.mp3", "1992-018_Reading_The_Bhagvatam_SB-10_04_20_Mumbai_-_Radhanath_Swami_1992-01-30_IDesireTree.mp3")</f>
        <v>1992-018_Reading_The_Bhagvatam_SB-10_04_20_Mumbai_-_Radhanath_Swami_1992-01-30_IDesireTree.mp3</v>
      </c>
      <c r="D371" s="11"/>
      <c r="E371" s="11"/>
    </row>
    <row r="372" spans="1:5">
      <c r="A372" s="12" t="s">
        <v>12462</v>
      </c>
      <c r="B372" s="12" t="s">
        <v>13346</v>
      </c>
      <c r="C372" s="13" t="str">
        <f>HYPERLINK("https://audio.iskcondesiretree.com/02_-_ISKCON_Swamis/ISKCON_Swamis_-_R_to_Y/His_Holiness_Radhanath_Swami/Lectures/00_-_Year_wise/Devotional_Nectar_-_1992/1992-019_The_Rasas_In_Goloka_CC-01_02_Mumbai_-_Radhanath_Swami_1992-01-30_IDesireTree.mp3", "1992-019_The_Rasas_In_Goloka_CC-01_02_Mumbai_-_Radhanath_Swami_1992-01-30_IDesireTree.mp3")</f>
        <v>1992-019_The_Rasas_In_Goloka_CC-01_02_Mumbai_-_Radhanath_Swami_1992-01-30_IDesireTree.mp3</v>
      </c>
      <c r="D372" s="11"/>
      <c r="E372" s="11"/>
    </row>
    <row r="373" spans="1:5">
      <c r="A373" s="12" t="s">
        <v>12462</v>
      </c>
      <c r="B373" s="12" t="s">
        <v>13347</v>
      </c>
      <c r="C373" s="13" t="str">
        <f>HYPERLINK("https://audio.iskcondesiretree.com/02_-_ISKCON_Swamis/ISKCON_Swamis_-_R_to_Y/His_Holiness_Radhanath_Swami/Lectures/00_-_Year_wise/Devotional_Nectar_-_1992/1992-020_Srila_Bhakti_Siddhanta_Saraswati_Thakur_CC_al-_Mumbai_-_22-02-92_IDesireTree.mp3", "1992-020_Srila_Bhakti_Siddhanta_Saraswati_Thakur_CC_al-_Mumbai_-_22-02-92_IDesireTree.mp3")</f>
        <v>1992-020_Srila_Bhakti_Siddhanta_Saraswati_Thakur_CC_al-_Mumbai_-_22-02-92_IDesireTree.mp3</v>
      </c>
      <c r="D373" s="11"/>
      <c r="E373" s="11"/>
    </row>
    <row r="374" spans="1:5">
      <c r="A374" s="12" t="s">
        <v>12462</v>
      </c>
      <c r="B374" s="12" t="s">
        <v>13348</v>
      </c>
      <c r="C374" s="13" t="str">
        <f>HYPERLINK("https://audio.iskcondesiretree.com/02_-_ISKCON_Swamis/ISKCON_Swamis_-_R_to_Y/His_Holiness_Radhanath_Swami/Lectures/00_-_Year_wise/Devotional_Nectar_-_1992/1992-021_Dhenukasura_Within_Us_BG-03_30_Mumbai_-_Radhanath_Swami_1992-02-03_IDesireTree.mp3", "1992-021_Dhenukasura_Within_Us_BG-03_30_Mumbai_-_Radhanath_Swami_1992-02-03_IDesireTree.mp3")</f>
        <v>1992-021_Dhenukasura_Within_Us_BG-03_30_Mumbai_-_Radhanath_Swami_1992-02-03_IDesireTree.mp3</v>
      </c>
      <c r="D374" s="11"/>
      <c r="E374" s="11"/>
    </row>
    <row r="375" spans="1:5">
      <c r="A375" s="12" t="s">
        <v>12462</v>
      </c>
      <c r="B375" s="12" t="s">
        <v>13349</v>
      </c>
      <c r="C375" s="13" t="str">
        <f>HYPERLINK("https://audio.iskcondesiretree.com/02_-_ISKCON_Swamis/ISKCON_Swamis_-_R_to_Y/His_Holiness_Radhanath_Swami/Lectures/00_-_Year_wise/Devotional_Nectar_-_1992/1992-022_Explaining_The_Material_Elements_CC_AL-02_90_Mumbai_-_08-02-92_IDesireTree.mp3", "1992-022_Explaining_The_Material_Elements_CC_AL-02_90_Mumbai_-_08-02-92_IDesireTree.mp3")</f>
        <v>1992-022_Explaining_The_Material_Elements_CC_AL-02_90_Mumbai_-_08-02-92_IDesireTree.mp3</v>
      </c>
      <c r="D375" s="11"/>
      <c r="E375" s="11"/>
    </row>
    <row r="376" spans="1:5">
      <c r="A376" s="12" t="s">
        <v>12462</v>
      </c>
      <c r="B376" s="12" t="s">
        <v>13350</v>
      </c>
      <c r="C376" s="13" t="str">
        <f>HYPERLINK("https://audio.iskcondesiretree.com/02_-_ISKCON_Swamis/ISKCON_Swamis_-_R_to_Y/His_Holiness_Radhanath_Swami/Lectures/00_-_Year_wise/Devotional_Nectar_-_1992/1992-023_Vaishnavism_%26_Sannyas_CC_AL-02_Mumbai_-_Radhanath_Swami_1992-02-12_IDesireTree.mp3", "1992-023_Vaishnavism_%26_Sannyas_CC_AL-02_Mumbai_-_Radhanath_Swami_1992-02-12_IDesireTree.mp3")</f>
        <v>1992-023_Vaishnavism_%26_Sannyas_CC_AL-02_Mumbai_-_Radhanath_Swami_1992-02-12_IDesireTree.mp3</v>
      </c>
      <c r="D376" s="11"/>
      <c r="E376" s="11"/>
    </row>
    <row r="377" spans="1:5">
      <c r="A377" s="12" t="s">
        <v>12462</v>
      </c>
      <c r="B377" s="12" t="s">
        <v>13351</v>
      </c>
      <c r="C377" s="13" t="str">
        <f>HYPERLINK("https://audio.iskcondesiretree.com/02_-_ISKCON_Swamis/ISKCON_Swamis_-_R_to_Y/His_Holiness_Radhanath_Swami/Lectures/00_-_Year_wise/Devotional_Nectar_-_1992/1992-024_Unified_In_Guru%27s_Service_BG-10_09_Mumbai_-_Radhanath_Swami_1992-02-12_IDesireTree.mp3", "1992-024_Unified_In_Guru%27s_Service_BG-10_09_Mumbai_-_Radhanath_Swami_1992-02-12_IDesireTree.mp3")</f>
        <v>1992-024_Unified_In_Guru%27s_Service_BG-10_09_Mumbai_-_Radhanath_Swami_1992-02-12_IDesireTree.mp3</v>
      </c>
      <c r="D377" s="11"/>
      <c r="E377" s="11"/>
    </row>
    <row r="378" spans="1:5">
      <c r="A378" s="12" t="s">
        <v>12462</v>
      </c>
      <c r="B378" s="12" t="s">
        <v>13352</v>
      </c>
      <c r="C378" s="13" t="str">
        <f>HYPERLINK("https://audio.iskcondesiretree.com/02_-_ISKCON_Swamis/ISKCON_Swamis_-_R_to_Y/His_Holiness_Radhanath_Swami/Lectures/00_-_Year_wise/Devotional_Nectar_-_1992/1992-025_RamanujAcharya_Dissappearence_Day_Lecture_Mumbai_-_13-02-92_IDesireTree.mp3", "1992-025_RamanujAcharya_Dissappearence_Day_Lecture_Mumbai_-_13-02-92_IDesireTree.mp3")</f>
        <v>1992-025_RamanujAcharya_Dissappearence_Day_Lecture_Mumbai_-_13-02-92_IDesireTree.mp3</v>
      </c>
      <c r="D378" s="11"/>
      <c r="E378" s="11"/>
    </row>
    <row r="379" spans="1:5">
      <c r="A379" s="12" t="s">
        <v>12462</v>
      </c>
      <c r="B379" s="12" t="s">
        <v>13353</v>
      </c>
      <c r="C379" s="13" t="str">
        <f>HYPERLINK("https://audio.iskcondesiretree.com/02_-_ISKCON_Swamis/ISKCON_Swamis_-_R_to_Y/His_Holiness_Radhanath_Swami/Lectures/00_-_Year_wise/Devotional_Nectar_-_1992/1992-026_Incarnation_In_Four_Yugas_Lecture_Mumbai_-_Radhanath_Swami_1992-02-13_IDesireTree.mp3", "1992-026_Incarnation_In_Four_Yugas_Lecture_Mumbai_-_Radhanath_Swami_1992-02-13_IDesireTree.mp3")</f>
        <v>1992-026_Incarnation_In_Four_Yugas_Lecture_Mumbai_-_Radhanath_Swami_1992-02-13_IDesireTree.mp3</v>
      </c>
      <c r="D379" s="11"/>
      <c r="E379" s="11"/>
    </row>
    <row r="380" spans="1:5">
      <c r="A380" s="12" t="s">
        <v>12462</v>
      </c>
      <c r="B380" s="12" t="s">
        <v>13354</v>
      </c>
      <c r="C380" s="13" t="str">
        <f>HYPERLINK("https://audio.iskcondesiretree.com/02_-_ISKCON_Swamis/ISKCON_Swamis_-_R_to_Y/His_Holiness_Radhanath_Swami/Lectures/00_-_Year_wise/Devotional_Nectar_-_1992/1992-027_No_Expectation_In_Service_SB-10_05_01-02_Mumbai_-_14-02-92_IDesireTree.mp3", "1992-027_No_Expectation_In_Service_SB-10_05_01-02_Mumbai_-_14-02-92_IDesireTree.mp3")</f>
        <v>1992-027_No_Expectation_In_Service_SB-10_05_01-02_Mumbai_-_14-02-92_IDesireTree.mp3</v>
      </c>
      <c r="D380" s="11"/>
      <c r="E380" s="11"/>
    </row>
    <row r="381" spans="1:5">
      <c r="A381" s="12" t="s">
        <v>12462</v>
      </c>
      <c r="B381" s="12" t="s">
        <v>13355</v>
      </c>
      <c r="C381" s="13" t="str">
        <f>HYPERLINK("https://audio.iskcondesiretree.com/02_-_ISKCON_Swamis/ISKCON_Swamis_-_R_to_Y/His_Holiness_Radhanath_Swami/Lectures/00_-_Year_wise/Devotional_Nectar_-_1992/1992-028_Story_Of_VarahDev_Lecture_Mumbai_-_Radhanath_Swami_1992-02-15_IDesireTree.mp3", "1992-028_Story_Of_VarahDev_Lecture_Mumbai_-_Radhanath_Swami_1992-02-15_IDesireTree.mp3")</f>
        <v>1992-028_Story_Of_VarahDev_Lecture_Mumbai_-_Radhanath_Swami_1992-02-15_IDesireTree.mp3</v>
      </c>
      <c r="D381" s="11"/>
      <c r="E381" s="11"/>
    </row>
    <row r="382" spans="1:5">
      <c r="A382" s="12" t="s">
        <v>12462</v>
      </c>
      <c r="B382" s="12" t="s">
        <v>13356</v>
      </c>
      <c r="C382" s="13" t="str">
        <f>HYPERLINK("https://audio.iskcondesiretree.com/02_-_ISKCON_Swamis/ISKCON_Swamis_-_R_to_Y/His_Holiness_Radhanath_Swami/Lectures/00_-_Year_wise/Devotional_Nectar_-_1992/1992-029_Appearance_Of_Lord_Varahadev_BG-04_08-09_Mumbai_-_15-02-92_IDesireTree.mp3", "1992-029_Appearance_Of_Lord_Varahadev_BG-04_08-09_Mumbai_-_15-02-92_IDesireTree.mp3")</f>
        <v>1992-029_Appearance_Of_Lord_Varahadev_BG-04_08-09_Mumbai_-_15-02-92_IDesireTree.mp3</v>
      </c>
      <c r="D382" s="11"/>
      <c r="E382" s="11"/>
    </row>
    <row r="383" spans="1:5">
      <c r="A383" s="12" t="s">
        <v>12462</v>
      </c>
      <c r="B383" s="12" t="s">
        <v>13357</v>
      </c>
      <c r="C383" s="13" t="str">
        <f>HYPERLINK("https://audio.iskcondesiretree.com/02_-_ISKCON_Swamis/ISKCON_Swamis_-_R_to_Y/His_Holiness_Radhanath_Swami/Lectures/00_-_Year_wise/Devotional_Nectar_-_1992/1992-030_Lord_Nityananda_CC_AL-01_02_Mumbai_-_Radhanath_Swami_1992-02-16_IDesireTree.mp3", "1992-030_Lord_Nityananda_CC_AL-01_02_Mumbai_-_Radhanath_Swami_1992-02-16_IDesireTree.mp3")</f>
        <v>1992-030_Lord_Nityananda_CC_AL-01_02_Mumbai_-_Radhanath_Swami_1992-02-16_IDesireTree.mp3</v>
      </c>
      <c r="D383" s="11"/>
      <c r="E383" s="11"/>
    </row>
    <row r="384" spans="1:5">
      <c r="A384" s="12" t="s">
        <v>12462</v>
      </c>
      <c r="B384" s="12" t="s">
        <v>13358</v>
      </c>
      <c r="C384" s="13" t="str">
        <f>HYPERLINK("https://audio.iskcondesiretree.com/02_-_ISKCON_Swamis/ISKCON_Swamis_-_R_to_Y/His_Holiness_Radhanath_Swami/Lectures/00_-_Year_wise/Devotional_Nectar_-_1992/1992-031_Sacrifice_CC_AL-02_Mumbai_-_Radhanath_Swami_1992-02-17_IDesireTree.mp3", "1992-031_Sacrifice_CC_AL-02_Mumbai_-_Radhanath_Swami_1992-02-17_IDesireTree.mp3")</f>
        <v>1992-031_Sacrifice_CC_AL-02_Mumbai_-_Radhanath_Swami_1992-02-17_IDesireTree.mp3</v>
      </c>
      <c r="D384" s="11"/>
      <c r="E384" s="11"/>
    </row>
    <row r="385" spans="1:5">
      <c r="A385" s="12" t="s">
        <v>12462</v>
      </c>
      <c r="B385" s="12" t="s">
        <v>13359</v>
      </c>
      <c r="C385" s="13" t="str">
        <f>HYPERLINK("https://audio.iskcondesiretree.com/02_-_ISKCON_Swamis/ISKCON_Swamis_-_R_to_Y/His_Holiness_Radhanath_Swami/Lectures/00_-_Year_wise/Devotional_Nectar_-_1992/1992-032_Narottam_Das_Thakur_Lecture_Mumbai_-_Radhanath_Swami_1992-02-18_IDesireTree.mp3", "1992-032_Narottam_Das_Thakur_Lecture_Mumbai_-_Radhanath_Swami_1992-02-18_IDesireTree.mp3")</f>
        <v>1992-032_Narottam_Das_Thakur_Lecture_Mumbai_-_Radhanath_Swami_1992-02-18_IDesireTree.mp3</v>
      </c>
      <c r="D385" s="11"/>
      <c r="E385" s="11"/>
    </row>
    <row r="386" spans="1:5">
      <c r="A386" s="12" t="s">
        <v>12462</v>
      </c>
      <c r="B386" s="12" t="s">
        <v>13360</v>
      </c>
      <c r="C386" s="13" t="str">
        <f>HYPERLINK("https://audio.iskcondesiretree.com/02_-_ISKCON_Swamis/ISKCON_Swamis_-_R_to_Y/His_Holiness_Radhanath_Swami/Lectures/00_-_Year_wise/Devotional_Nectar_-_1992/1992-033_The_Greatest_Boon_In_Kaliyuga_BG-04_03_Mumbai_-_Radhanath_Swami_1992-02-19_IDesireTree.mp3", "1992-033_The_Greatest_Boon_In_Kaliyuga_BG-04_03_Mumbai_-_Radhanath_Swami_1992-02-19_IDesireTree.mp3")</f>
        <v>1992-033_The_Greatest_Boon_In_Kaliyuga_BG-04_03_Mumbai_-_Radhanath_Swami_1992-02-19_IDesireTree.mp3</v>
      </c>
      <c r="D386" s="11"/>
      <c r="E386" s="11"/>
    </row>
    <row r="387" spans="1:5">
      <c r="A387" s="12" t="s">
        <v>12462</v>
      </c>
      <c r="B387" s="12" t="s">
        <v>13361</v>
      </c>
      <c r="C387" s="13" t="str">
        <f>HYPERLINK("https://audio.iskcondesiretree.com/02_-_ISKCON_Swamis/ISKCON_Swamis_-_R_to_Y/His_Holiness_Radhanath_Swami/Lectures/00_-_Year_wise/Devotional_Nectar_-_1992/1992-034_Prayers_By_Advaita_Acharya_CC_AL-02_Mumbai_-_Radhanath_Swami_1992-02-20_IDesireTree.mp3", "1992-034_Prayers_By_Advaita_Acharya_CC_AL-02_Mumbai_-_Radhanath_Swami_1992-02-20_IDesireTree.mp3")</f>
        <v>1992-034_Prayers_By_Advaita_Acharya_CC_AL-02_Mumbai_-_Radhanath_Swami_1992-02-20_IDesireTree.mp3</v>
      </c>
      <c r="D387" s="11"/>
      <c r="E387" s="11"/>
    </row>
    <row r="388" spans="1:5">
      <c r="A388" s="12" t="s">
        <v>12462</v>
      </c>
      <c r="B388" s="12" t="s">
        <v>13362</v>
      </c>
      <c r="C388" s="13" t="str">
        <f>HYPERLINK("https://audio.iskcondesiretree.com/02_-_ISKCON_Swamis/ISKCON_Swamis_-_R_to_Y/His_Holiness_Radhanath_Swami/Lectures/00_-_Year_wise/Devotional_Nectar_-_1992/1992-035_Questions_And_Answer_Q%26A_Mumbai_-_Radhanath_Swami_1992-02-21_IDesireTree.mp3", "1992-035_Questions_And_Answer_Q%26A_Mumbai_-_Radhanath_Swami_1992-02-21_IDesireTree.mp3")</f>
        <v>1992-035_Questions_And_Answer_Q%26A_Mumbai_-_Radhanath_Swami_1992-02-21_IDesireTree.mp3</v>
      </c>
      <c r="D388" s="11"/>
      <c r="E388" s="11"/>
    </row>
    <row r="389" spans="1:5">
      <c r="A389" s="12" t="s">
        <v>12462</v>
      </c>
      <c r="B389" s="12" t="s">
        <v>13363</v>
      </c>
      <c r="C389" s="13" t="str">
        <f>HYPERLINK("https://audio.iskcondesiretree.com/02_-_ISKCON_Swamis/ISKCON_Swamis_-_R_to_Y/His_Holiness_Radhanath_Swami/Lectures/00_-_Year_wise/Devotional_Nectar_-_1992/1992-036_Story_Of_Madhavendra_Puri_Lecture_Mumbai_-_Radhanath_Swami_1992-03-16_IDesireTree.mp3", "1992-036_Story_Of_Madhavendra_Puri_Lecture_Mumbai_-_Radhanath_Swami_1992-03-16_IDesireTree.mp3")</f>
        <v>1992-036_Story_Of_Madhavendra_Puri_Lecture_Mumbai_-_Radhanath_Swami_1992-03-16_IDesireTree.mp3</v>
      </c>
      <c r="D389" s="11"/>
      <c r="E389" s="11"/>
    </row>
    <row r="390" spans="1:5">
      <c r="A390" s="12" t="s">
        <v>12462</v>
      </c>
      <c r="B390" s="12" t="s">
        <v>13364</v>
      </c>
      <c r="C390" s="13" t="str">
        <f>HYPERLINK("https://audio.iskcondesiretree.com/02_-_ISKCON_Swamis/ISKCON_Swamis_-_R_to_Y/His_Holiness_Radhanath_Swami/Lectures/00_-_Year_wise/Devotional_Nectar_-_1992/1992-037_Initiation_Lecture_Lecture_Mumbai_-_Radhanath_Swami_1992-03-18_IDesireTree.mp3", "1992-037_Initiation_Lecture_Lecture_Mumbai_-_Radhanath_Swami_1992-03-18_IDesireTree.mp3")</f>
        <v>1992-037_Initiation_Lecture_Lecture_Mumbai_-_Radhanath_Swami_1992-03-18_IDesireTree.mp3</v>
      </c>
      <c r="D390" s="11"/>
      <c r="E390" s="11"/>
    </row>
    <row r="391" spans="1:5">
      <c r="A391" s="12" t="s">
        <v>12462</v>
      </c>
      <c r="B391" s="12" t="s">
        <v>13365</v>
      </c>
      <c r="C391" s="13" t="str">
        <f>HYPERLINK("https://audio.iskcondesiretree.com/02_-_ISKCON_Swamis/ISKCON_Swamis_-_R_to_Y/His_Holiness_Radhanath_Swami/Lectures/00_-_Year_wise/Devotional_Nectar_-_1992/1992-038_Gaura_Poornima_Lecture_Mumbai_-_Radhanath_Swami_1992-03-18_IDesireTree.mp3", "1992-038_Gaura_Poornima_Lecture_Mumbai_-_Radhanath_Swami_1992-03-18_IDesireTree.mp3")</f>
        <v>1992-038_Gaura_Poornima_Lecture_Mumbai_-_Radhanath_Swami_1992-03-18_IDesireTree.mp3</v>
      </c>
      <c r="D391" s="11"/>
      <c r="E391" s="11"/>
    </row>
    <row r="392" spans="1:5">
      <c r="A392" s="12" t="s">
        <v>12462</v>
      </c>
      <c r="B392" s="12" t="s">
        <v>13366</v>
      </c>
      <c r="C392" s="13" t="str">
        <f>HYPERLINK("https://audio.iskcondesiretree.com/02_-_ISKCON_Swamis/ISKCON_Swamis_-_R_to_Y/His_Holiness_Radhanath_Swami/Lectures/00_-_Year_wise/Devotional_Nectar_-_1992/1992-039_Sucking_The_Poison_SB-10_06_41-42_Mumbai_-_Radhanath_Swami_1992-03-20_IDesireTree.mp3", "1992-039_Sucking_The_Poison_SB-10_06_41-42_Mumbai_-_Radhanath_Swami_1992-03-20_IDesireTree.mp3")</f>
        <v>1992-039_Sucking_The_Poison_SB-10_06_41-42_Mumbai_-_Radhanath_Swami_1992-03-20_IDesireTree.mp3</v>
      </c>
      <c r="D392" s="11"/>
      <c r="E392" s="11"/>
    </row>
    <row r="393" spans="1:5">
      <c r="A393" s="12" t="s">
        <v>12462</v>
      </c>
      <c r="B393" s="12" t="s">
        <v>13367</v>
      </c>
      <c r="C393" s="13" t="str">
        <f>HYPERLINK("https://audio.iskcondesiretree.com/02_-_ISKCON_Swamis/ISKCON_Swamis_-_R_to_Y/His_Holiness_Radhanath_Swami/Lectures/00_-_Year_wise/Devotional_Nectar_-_1992/1992-040_As_Krishna_Discends_CC-01_01_04-06_Mumbai_-_Radhanath_Swami_1992-03-27_IDesireTree.mp3", "1992-040_As_Krishna_Discends_CC-01_01_04-06_Mumbai_-_Radhanath_Swami_1992-03-27_IDesireTree.mp3")</f>
        <v>1992-040_As_Krishna_Discends_CC-01_01_04-06_Mumbai_-_Radhanath_Swami_1992-03-27_IDesireTree.mp3</v>
      </c>
      <c r="D393" s="11"/>
      <c r="E393" s="11"/>
    </row>
    <row r="394" spans="1:5">
      <c r="A394" s="12" t="s">
        <v>12462</v>
      </c>
      <c r="B394" s="12" t="s">
        <v>13368</v>
      </c>
      <c r="C394" s="13" t="str">
        <f>HYPERLINK("https://audio.iskcondesiretree.com/02_-_ISKCON_Swamis/ISKCON_Swamis_-_R_to_Y/His_Holiness_Radhanath_Swami/Lectures/00_-_Year_wise/Devotional_Nectar_-_1992/1992-041_Teachings_Of_BhaktiSiddhanta_Saraswati_SB-12_03_61_Mumbai_-_22-02-92_IDesireTree.mp3", "1992-041_Teachings_Of_BhaktiSiddhanta_Saraswati_SB-12_03_61_Mumbai_-_22-02-92_IDesireTree.mp3")</f>
        <v>1992-041_Teachings_Of_BhaktiSiddhanta_Saraswati_SB-12_03_61_Mumbai_-_22-02-92_IDesireTree.mp3</v>
      </c>
      <c r="D394" s="11"/>
      <c r="E394" s="11"/>
    </row>
    <row r="395" spans="1:5">
      <c r="A395" s="12" t="s">
        <v>12462</v>
      </c>
      <c r="B395" s="12" t="s">
        <v>13369</v>
      </c>
      <c r="C395" s="13" t="str">
        <f>HYPERLINK("https://audio.iskcondesiretree.com/02_-_ISKCON_Swamis/ISKCON_Swamis_-_R_to_Y/His_Holiness_Radhanath_Swami/Lectures/00_-_Year_wise/Devotional_Nectar_-_1992/1992-042_Teachings_Of_Queen_Kunti_SB-01_08_42_Mumbai_-_Radhanath_Swami_1992-02-23_IDesireTree.mp3", "1992-042_Teachings_Of_Queen_Kunti_SB-01_08_42_Mumbai_-_Radhanath_Swami_1992-02-23_IDesireTree.mp3")</f>
        <v>1992-042_Teachings_Of_Queen_Kunti_SB-01_08_42_Mumbai_-_Radhanath_Swami_1992-02-23_IDesireTree.mp3</v>
      </c>
      <c r="D395" s="11"/>
      <c r="E395" s="11"/>
    </row>
    <row r="396" spans="1:5">
      <c r="A396" s="12" t="s">
        <v>12462</v>
      </c>
      <c r="B396" s="12" t="s">
        <v>13370</v>
      </c>
      <c r="C396" s="13" t="str">
        <f>HYPERLINK("https://audio.iskcondesiretree.com/02_-_ISKCON_Swamis/ISKCON_Swamis_-_R_to_Y/His_Holiness_Radhanath_Swami/Lectures/00_-_Year_wise/Devotional_Nectar_-_1992/1992-043_Jagai_And_Madhai_Ht_-_Lecture_Mumbai_-_Radhanath_Swami_1992-02-29_IDesireTree.mp3", "1992-043_Jagai_And_Madhai_Ht_-_Lecture_Mumbai_-_Radhanath_Swami_1992-02-29_IDesireTree.mp3")</f>
        <v>1992-043_Jagai_And_Madhai_Ht_-_Lecture_Mumbai_-_Radhanath_Swami_1992-02-29_IDesireTree.mp3</v>
      </c>
      <c r="D396" s="11"/>
      <c r="E396" s="11"/>
    </row>
    <row r="397" spans="1:5">
      <c r="A397" s="12" t="s">
        <v>12462</v>
      </c>
      <c r="B397" s="12" t="s">
        <v>13371</v>
      </c>
      <c r="C397" s="13" t="str">
        <f>HYPERLINK("https://audio.iskcondesiretree.com/02_-_ISKCON_Swamis/ISKCON_Swamis_-_R_to_Y/His_Holiness_Radhanath_Swami/Lectures/00_-_Year_wise/Devotional_Nectar_-_1992/1992-044_Becoming_Servant_Of_Servant_SB-01_02_16_Mumbai_-_Radhanath_Swami_1992-03-15_IDesireTree.mp3", "1992-044_Becoming_Servant_Of_Servant_SB-01_02_16_Mumbai_-_Radhanath_Swami_1992-03-15_IDesireTree.mp3")</f>
        <v>1992-044_Becoming_Servant_Of_Servant_SB-01_02_16_Mumbai_-_Radhanath_Swami_1992-03-15_IDesireTree.mp3</v>
      </c>
      <c r="D397" s="11"/>
      <c r="E397" s="11"/>
    </row>
    <row r="398" spans="1:5">
      <c r="A398" s="12" t="s">
        <v>12462</v>
      </c>
      <c r="B398" s="12" t="s">
        <v>13372</v>
      </c>
      <c r="C398" s="13" t="str">
        <f>HYPERLINK("https://audio.iskcondesiretree.com/02_-_ISKCON_Swamis/ISKCON_Swamis_-_R_to_Y/His_Holiness_Radhanath_Swami/Lectures/00_-_Year_wise/Devotional_Nectar_-_1992/1992-045_The_True_Path_SB-10_06_37-38_Mumbai_-_Radhanath_Swami_1992-03-16_IDesireTree.mp3", "1992-045_The_True_Path_SB-10_06_37-38_Mumbai_-_Radhanath_Swami_1992-03-16_IDesireTree.mp3")</f>
        <v>1992-045_The_True_Path_SB-10_06_37-38_Mumbai_-_Radhanath_Swami_1992-03-16_IDesireTree.mp3</v>
      </c>
      <c r="D398" s="11"/>
      <c r="E398" s="11"/>
    </row>
    <row r="399" spans="1:5">
      <c r="A399" s="12" t="s">
        <v>12462</v>
      </c>
      <c r="B399" s="12" t="s">
        <v>13373</v>
      </c>
      <c r="C399" s="13" t="str">
        <f>HYPERLINK("https://audio.iskcondesiretree.com/02_-_ISKCON_Swamis/ISKCON_Swamis_-_R_to_Y/His_Holiness_Radhanath_Swami/Lectures/00_-_Year_wise/Devotional_Nectar_-_1992/1992-046_A_Moment%27s_Association_SB-07_13_42_Mumbai_-_Radhanath_Swami_1992-03-27_IDesireTree.mp3", "1992-046_A_Moment%27s_Association_SB-07_13_42_Mumbai_-_Radhanath_Swami_1992-03-27_IDesireTree.mp3")</f>
        <v>1992-046_A_Moment%27s_Association_SB-07_13_42_Mumbai_-_Radhanath_Swami_1992-03-27_IDesireTree.mp3</v>
      </c>
      <c r="D399" s="11"/>
      <c r="E399" s="11"/>
    </row>
    <row r="400" spans="1:5">
      <c r="A400" s="12" t="s">
        <v>12462</v>
      </c>
      <c r="B400" s="12" t="s">
        <v>13374</v>
      </c>
      <c r="C400" s="13" t="str">
        <f>HYPERLINK("https://audio.iskcondesiretree.com/02_-_ISKCON_Swamis/ISKCON_Swamis_-_R_to_Y/His_Holiness_Radhanath_Swami/Lectures/00_-_Year_wise/Devotional_Nectar_-_1992/1992-047_The_Unexpected_Shakatasur_SB-10_07_10-12_Mumbai_-_27-03-92_IDesireTree.mp3", "1992-047_The_Unexpected_Shakatasur_SB-10_07_10-12_Mumbai_-_27-03-92_IDesireTree.mp3")</f>
        <v>1992-047_The_Unexpected_Shakatasur_SB-10_07_10-12_Mumbai_-_27-03-92_IDesireTree.mp3</v>
      </c>
      <c r="D400" s="11"/>
      <c r="E400" s="11"/>
    </row>
    <row r="401" spans="1:5">
      <c r="A401" s="12" t="s">
        <v>12462</v>
      </c>
      <c r="B401" s="12" t="s">
        <v>13375</v>
      </c>
      <c r="C401" s="13" t="str">
        <f>HYPERLINK("https://audio.iskcondesiretree.com/02_-_ISKCON_Swamis/ISKCON_Swamis_-_R_to_Y/His_Holiness_Radhanath_Swami/Lectures/00_-_Year_wise/Devotional_Nectar_-_1992/1992-048_Making_Life_Simple_BG-08_15_Mumbai_-_Radhanath_Swami_1992-03-28_IDesireTree.mp3", "1992-048_Making_Life_Simple_BG-08_15_Mumbai_-_Radhanath_Swami_1992-03-28_IDesireTree.mp3")</f>
        <v>1992-048_Making_Life_Simple_BG-08_15_Mumbai_-_Radhanath_Swami_1992-03-28_IDesireTree.mp3</v>
      </c>
      <c r="D401" s="11"/>
      <c r="E401" s="11"/>
    </row>
    <row r="402" spans="1:5">
      <c r="A402" s="12" t="s">
        <v>12462</v>
      </c>
      <c r="B402" s="12" t="s">
        <v>13376</v>
      </c>
      <c r="C402" s="13" t="str">
        <f>HYPERLINK("https://audio.iskcondesiretree.com/02_-_ISKCON_Swamis/ISKCON_Swamis_-_R_to_Y/His_Holiness_Radhanath_Swami/Lectures/00_-_Year_wise/Devotional_Nectar_-_1992/1992-049_Cutting_The_Material_Roots_SB-17_27-30_Mumbai_-_29-03-92_Verify_Verse_-_IDesireTree.mp3", "1992-049_Cutting_The_Material_Roots_SB-17_27-30_Mumbai_-_29-03-92_Verify_Verse_-_IDesireTree.mp3")</f>
        <v>1992-049_Cutting_The_Material_Roots_SB-17_27-30_Mumbai_-_29-03-92_Verify_Verse_-_IDesireTree.mp3</v>
      </c>
      <c r="D402" s="11"/>
      <c r="E402" s="11"/>
    </row>
    <row r="403" spans="1:5">
      <c r="A403" s="12" t="s">
        <v>12462</v>
      </c>
      <c r="B403" s="12" t="s">
        <v>13377</v>
      </c>
      <c r="C403" s="13" t="str">
        <f>HYPERLINK("https://audio.iskcondesiretree.com/02_-_ISKCON_Swamis/ISKCON_Swamis_-_R_to_Y/His_Holiness_Radhanath_Swami/Lectures/00_-_Year_wise/Devotional_Nectar_-_1992/1992-050_Lord_Chaitanya_Leaves_Vrindavan_CC_ML-19_96_Mumbai_-_03-04-92_IDesireTree.mp3", "1992-050_Lord_Chaitanya_Leaves_Vrindavan_CC_ML-19_96_Mumbai_-_03-04-92_IDesireTree.mp3")</f>
        <v>1992-050_Lord_Chaitanya_Leaves_Vrindavan_CC_ML-19_96_Mumbai_-_03-04-92_IDesireTree.mp3</v>
      </c>
      <c r="D403" s="11"/>
      <c r="E403" s="11"/>
    </row>
    <row r="404" spans="1:5">
      <c r="A404" s="12" t="s">
        <v>12462</v>
      </c>
      <c r="B404" s="12" t="s">
        <v>13378</v>
      </c>
      <c r="C404" s="13" t="str">
        <f>HYPERLINK("https://audio.iskcondesiretree.com/02_-_ISKCON_Swamis/ISKCON_Swamis_-_R_to_Y/His_Holiness_Radhanath_Swami/Lectures/00_-_Year_wise/Devotional_Nectar_-_1992/1992-051_Misdirected_Love_SB-10_07_32_Mumbai_-_Radhanath_Swami_1992-04-04_IDesireTree.mp3", "1992-051_Misdirected_Love_SB-10_07_32_Mumbai_-_Radhanath_Swami_1992-04-04_IDesireTree.mp3")</f>
        <v>1992-051_Misdirected_Love_SB-10_07_32_Mumbai_-_Radhanath_Swami_1992-04-04_IDesireTree.mp3</v>
      </c>
      <c r="D404" s="11"/>
      <c r="E404" s="11"/>
    </row>
    <row r="405" spans="1:5">
      <c r="A405" s="12" t="s">
        <v>12462</v>
      </c>
      <c r="B405" s="12" t="s">
        <v>13379</v>
      </c>
      <c r="C405" s="13" t="str">
        <f>HYPERLINK("https://audio.iskcondesiretree.com/02_-_ISKCON_Swamis/ISKCON_Swamis_-_R_to_Y/His_Holiness_Radhanath_Swami/Lectures/00_-_Year_wise/Devotional_Nectar_-_1992/1992-052_The_Strenght_Of_Krishna%27s_Illusion_SB-10_07_18-19_Mumbai_-_30-03-92_IDesireTree.mp3", "1992-052_The_Strenght_Of_Krishna%27s_Illusion_SB-10_07_18-19_Mumbai_-_30-03-92_IDesireTree.mp3")</f>
        <v>1992-052_The_Strenght_Of_Krishna%27s_Illusion_SB-10_07_18-19_Mumbai_-_30-03-92_IDesireTree.mp3</v>
      </c>
      <c r="D405" s="11"/>
      <c r="E405" s="11"/>
    </row>
    <row r="406" spans="1:5">
      <c r="A406" s="12" t="s">
        <v>12462</v>
      </c>
      <c r="B406" s="12" t="s">
        <v>13380</v>
      </c>
      <c r="C406" s="13" t="str">
        <f>HYPERLINK("https://audio.iskcondesiretree.com/02_-_ISKCON_Swamis/ISKCON_Swamis_-_R_to_Y/His_Holiness_Radhanath_Swami/Lectures/00_-_Year_wise/Devotional_Nectar_-_1992/1992-053_Disloyal_Controvercy_SB-10_07_20-24_Mumbai_-_Radhanath_Swami_1992-03-31_IDesireTree.mp3", "1992-053_Disloyal_Controvercy_SB-10_07_20-24_Mumbai_-_Radhanath_Swami_1992-03-31_IDesireTree.mp3")</f>
        <v>1992-053_Disloyal_Controvercy_SB-10_07_20-24_Mumbai_-_Radhanath_Swami_1992-03-31_IDesireTree.mp3</v>
      </c>
      <c r="D406" s="11"/>
      <c r="E406" s="11"/>
    </row>
    <row r="407" spans="1:5">
      <c r="A407" s="12" t="s">
        <v>12462</v>
      </c>
      <c r="B407" s="12" t="s">
        <v>13381</v>
      </c>
      <c r="C407" s="13" t="str">
        <f>HYPERLINK("https://audio.iskcondesiretree.com/02_-_ISKCON_Swamis/ISKCON_Swamis_-_R_to_Y/His_Holiness_Radhanath_Swami/Lectures/00_-_Year_wise/Devotional_Nectar_-_1992/1992-054_The_Highest_Pastimes_CC-01_01_04_22_Mumbai_-_Radhanath_Swami_1992-03-31_IDesireTree.mp3", "1992-054_The_Highest_Pastimes_CC-01_01_04_22_Mumbai_-_Radhanath_Swami_1992-03-31_IDesireTree.mp3")</f>
        <v>1992-054_The_Highest_Pastimes_CC-01_01_04_22_Mumbai_-_Radhanath_Swami_1992-03-31_IDesireTree.mp3</v>
      </c>
      <c r="D407" s="11"/>
      <c r="E407" s="11"/>
    </row>
    <row r="408" spans="1:5">
      <c r="A408" s="12" t="s">
        <v>12462</v>
      </c>
      <c r="B408" s="12" t="s">
        <v>13382</v>
      </c>
      <c r="C408" s="13" t="str">
        <f>HYPERLINK("https://audio.iskcondesiretree.com/02_-_ISKCON_Swamis/ISKCON_Swamis_-_R_to_Y/His_Holiness_Radhanath_Swami/Lectures/00_-_Year_wise/Devotional_Nectar_-_1992/1992-055_Trinavarta_In_Our_Heart_SB-10_07_25-26_Mumbai_-_Radhanath_Swami_1992-04-01_IDesireTree.mp3", "1992-055_Trinavarta_In_Our_Heart_SB-10_07_25-26_Mumbai_-_Radhanath_Swami_1992-04-01_IDesireTree.mp3")</f>
        <v>1992-055_Trinavarta_In_Our_Heart_SB-10_07_25-26_Mumbai_-_Radhanath_Swami_1992-04-01_IDesireTree.mp3</v>
      </c>
      <c r="D408" s="11"/>
      <c r="E408" s="11"/>
    </row>
    <row r="409" spans="1:5">
      <c r="A409" s="12" t="s">
        <v>12462</v>
      </c>
      <c r="B409" s="12" t="s">
        <v>13383</v>
      </c>
      <c r="C409" s="13" t="str">
        <f>HYPERLINK("https://audio.iskcondesiretree.com/02_-_ISKCON_Swamis/ISKCON_Swamis_-_R_to_Y/His_Holiness_Radhanath_Swami/Lectures/00_-_Year_wise/Devotional_Nectar_-_1992/1992-056_Rooting_Out_The_Trinavarta_SB-10_07_27-29_Mumbai_-_01-04-92_IDesireTree.mp3", "1992-056_Rooting_Out_The_Trinavarta_SB-10_07_27-29_Mumbai_-_01-04-92_IDesireTree.mp3")</f>
        <v>1992-056_Rooting_Out_The_Trinavarta_SB-10_07_27-29_Mumbai_-_01-04-92_IDesireTree.mp3</v>
      </c>
      <c r="D409" s="11"/>
      <c r="E409" s="11"/>
    </row>
    <row r="410" spans="1:5">
      <c r="A410" s="12" t="s">
        <v>12462</v>
      </c>
      <c r="B410" s="12" t="s">
        <v>13384</v>
      </c>
      <c r="C410" s="13" t="str">
        <f>HYPERLINK("https://audio.iskcondesiretree.com/02_-_ISKCON_Swamis/ISKCON_Swamis_-_R_to_Y/His_Holiness_Radhanath_Swami/Lectures/00_-_Year_wise/Devotional_Nectar_-_1992/1992-057_The_Supreme_Perfection_CC_AL-01_Mumbai_-_Radhanath_Swami_1992-04-02_IDesireTree.mp3", "1992-057_The_Supreme_Perfection_CC_AL-01_Mumbai_-_Radhanath_Swami_1992-04-02_IDesireTree.mp3")</f>
        <v>1992-057_The_Supreme_Perfection_CC_AL-01_Mumbai_-_Radhanath_Swami_1992-04-02_IDesireTree.mp3</v>
      </c>
      <c r="D410" s="11"/>
      <c r="E410" s="11"/>
    </row>
    <row r="411" spans="1:5">
      <c r="A411" s="12" t="s">
        <v>12462</v>
      </c>
      <c r="B411" s="12" t="s">
        <v>13385</v>
      </c>
      <c r="C411" s="13" t="str">
        <f>HYPERLINK("https://audio.iskcondesiretree.com/02_-_ISKCON_Swamis/ISKCON_Swamis_-_R_to_Y/His_Holiness_Radhanath_Swami/Lectures/00_-_Year_wise/Devotional_Nectar_-_1992/1992-058_Bhajahu_Re_Mana_Lecture_Mumbai_-_Radhanath_Swami_1992-04-02_IDesireTree.mp3", "1992-058_Bhajahu_Re_Mana_Lecture_Mumbai_-_Radhanath_Swami_1992-04-02_IDesireTree.mp3")</f>
        <v>1992-058_Bhajahu_Re_Mana_Lecture_Mumbai_-_Radhanath_Swami_1992-04-02_IDesireTree.mp3</v>
      </c>
      <c r="D411" s="11"/>
      <c r="E411" s="11"/>
    </row>
    <row r="412" spans="1:5">
      <c r="A412" s="12" t="s">
        <v>12462</v>
      </c>
      <c r="B412" s="12" t="s">
        <v>13386</v>
      </c>
      <c r="C412" s="13" t="str">
        <f>HYPERLINK("https://audio.iskcondesiretree.com/02_-_ISKCON_Swamis/ISKCON_Swamis_-_R_to_Y/His_Holiness_Radhanath_Swami/Lectures/00_-_Year_wise/Devotional_Nectar_-_1992/1992-059_Krsna_Waiting_to_Help_Us_BG-13_16_Mumbai_-_Radhanath_Swami_1992-04-07_IDesireTree.mp3", "1992-059_Krsna_Waiting_to_Help_Us_BG-13_16_Mumbai_-_Radhanath_Swami_1992-04-07_IDesireTree.mp3")</f>
        <v>1992-059_Krsna_Waiting_to_Help_Us_BG-13_16_Mumbai_-_Radhanath_Swami_1992-04-07_IDesireTree.mp3</v>
      </c>
      <c r="D412" s="11"/>
      <c r="E412" s="11"/>
    </row>
    <row r="413" spans="1:5">
      <c r="A413" s="12" t="s">
        <v>12462</v>
      </c>
      <c r="B413" s="12" t="s">
        <v>13387</v>
      </c>
      <c r="C413" s="13" t="str">
        <f>HYPERLINK("https://audio.iskcondesiretree.com/02_-_ISKCON_Swamis/ISKCON_Swamis_-_R_to_Y/His_Holiness_Radhanath_Swami/Lectures/00_-_Year_wise/Devotional_Nectar_-_1992/1992-060_Story_Of_Ramanujacharya_Lecture_Mumbai_-_Radhanath_Swami_1992-04-08_IDesireTree.mp3", "1992-060_Story_Of_Ramanujacharya_Lecture_Mumbai_-_Radhanath_Swami_1992-04-08_IDesireTree.mp3")</f>
        <v>1992-060_Story_Of_Ramanujacharya_Lecture_Mumbai_-_Radhanath_Swami_1992-04-08_IDesireTree.mp3</v>
      </c>
      <c r="D413" s="11"/>
      <c r="E413" s="11"/>
    </row>
    <row r="414" spans="1:5">
      <c r="A414" s="12" t="s">
        <v>12462</v>
      </c>
      <c r="B414" s="12" t="s">
        <v>13388</v>
      </c>
      <c r="C414" s="13" t="str">
        <f>HYPERLINK("https://audio.iskcondesiretree.com/02_-_ISKCON_Swamis/ISKCON_Swamis_-_R_to_Y/His_Holiness_Radhanath_Swami/Lectures/00_-_Year_wise/Devotional_Nectar_-_1992/1992-061_Secret_Of_Detachment_Lecture_Mumbai_-_Radhanath_Swami_1992-04-04_IDesireTree.mp3", "1992-061_Secret_Of_Detachment_Lecture_Mumbai_-_Radhanath_Swami_1992-04-04_IDesireTree.mp3")</f>
        <v>1992-061_Secret_Of_Detachment_Lecture_Mumbai_-_Radhanath_Swami_1992-04-04_IDesireTree.mp3</v>
      </c>
      <c r="D414" s="11"/>
      <c r="E414" s="11"/>
    </row>
    <row r="415" spans="1:5">
      <c r="A415" s="12" t="s">
        <v>12462</v>
      </c>
      <c r="B415" s="12" t="s">
        <v>13389</v>
      </c>
      <c r="C415" s="13" t="str">
        <f>HYPERLINK("https://audio.iskcondesiretree.com/02_-_ISKCON_Swamis/ISKCON_Swamis_-_R_to_Y/His_Holiness_Radhanath_Swami/Lectures/00_-_Year_wise/Devotional_Nectar_-_1992/1992-062_Brahma_Vimohana_Lilla_SB-10_13_01-03_Mumbai_-_Radhanath_Swami_1992-04-05_IDesireTree.mp3", "1992-062_Brahma_Vimohana_Lilla_SB-10_13_01-03_Mumbai_-_Radhanath_Swami_1992-04-05_IDesireTree.mp3")</f>
        <v>1992-062_Brahma_Vimohana_Lilla_SB-10_13_01-03_Mumbai_-_Radhanath_Swami_1992-04-05_IDesireTree.mp3</v>
      </c>
      <c r="D415" s="11"/>
      <c r="E415" s="11"/>
    </row>
    <row r="416" spans="1:5">
      <c r="A416" s="12" t="s">
        <v>12462</v>
      </c>
      <c r="B416" s="12" t="s">
        <v>13390</v>
      </c>
      <c r="C416" s="13" t="str">
        <f>HYPERLINK("https://audio.iskcondesiretree.com/02_-_ISKCON_Swamis/ISKCON_Swamis_-_R_to_Y/His_Holiness_Radhanath_Swami/Lectures/00_-_Year_wise/Devotional_Nectar_-_1992/1992-063_How_To_Be_Real_Grihastha_SB-10_8_01-04_Mumbai_-_Radhanath_Swami_1992-04-07_IDesireTree.mp3", "1992-063_How_To_Be_Real_Grihastha_SB-10_8_01-04_Mumbai_-_Radhanath_Swami_1992-04-07_IDesireTree.mp3")</f>
        <v>1992-063_How_To_Be_Real_Grihastha_SB-10_8_01-04_Mumbai_-_Radhanath_Swami_1992-04-07_IDesireTree.mp3</v>
      </c>
      <c r="D416" s="11"/>
      <c r="E416" s="11"/>
    </row>
    <row r="417" spans="1:5">
      <c r="A417" s="12" t="s">
        <v>12462</v>
      </c>
      <c r="B417" s="12" t="s">
        <v>13391</v>
      </c>
      <c r="C417" s="13" t="str">
        <f>HYPERLINK("https://audio.iskcondesiretree.com/02_-_ISKCON_Swamis/ISKCON_Swamis_-_R_to_Y/His_Holiness_Radhanath_Swami/Lectures/00_-_Year_wise/Devotional_Nectar_-_1992/1992-064_Guru_And_Vaishnava_Blessing_SB-10_08_06_Mumbai_-_Radhanath_Swami_1992-04-09_IDesireTree.mp3", "1992-064_Guru_And_Vaishnava_Blessing_SB-10_08_06_Mumbai_-_Radhanath_Swami_1992-04-09_IDesireTree.mp3")</f>
        <v>1992-064_Guru_And_Vaishnava_Blessing_SB-10_08_06_Mumbai_-_Radhanath_Swami_1992-04-09_IDesireTree.mp3</v>
      </c>
      <c r="D417" s="11"/>
      <c r="E417" s="11"/>
    </row>
    <row r="418" spans="1:5">
      <c r="A418" s="12" t="s">
        <v>12462</v>
      </c>
      <c r="B418" s="12" t="s">
        <v>13392</v>
      </c>
      <c r="C418" s="13" t="str">
        <f>HYPERLINK("https://audio.iskcondesiretree.com/02_-_ISKCON_Swamis/ISKCON_Swamis_-_R_to_Y/His_Holiness_Radhanath_Swami/Lectures/00_-_Year_wise/Devotional_Nectar_-_1992/1992-065_The_Lord%27s_Love_for_His_Devotees_Lecture_Mumbai_-_23-6-92_IDesireTree.mp3", "1992-065_The_Lord%27s_Love_for_His_Devotees_Lecture_Mumbai_-_23-6-92_IDesireTree.mp3")</f>
        <v>1992-065_The_Lord%27s_Love_for_His_Devotees_Lecture_Mumbai_-_23-6-92_IDesireTree.mp3</v>
      </c>
      <c r="D418" s="11"/>
      <c r="E418" s="11"/>
    </row>
    <row r="419" spans="1:5">
      <c r="A419" s="12" t="s">
        <v>12462</v>
      </c>
      <c r="B419" s="12" t="s">
        <v>13393</v>
      </c>
      <c r="C419" s="13" t="str">
        <f>HYPERLINK("https://audio.iskcondesiretree.com/02_-_ISKCON_Swamis/ISKCON_Swamis_-_R_to_Y/His_Holiness_Radhanath_Swami/Lectures/00_-_Year_wise/Devotional_Nectar_-_1992/1992-066_Submissive_Approach_To_Guru_BG-02_45_-_Radhanath_Swami_1992-06-09_IDesireTree.mp3", "1992-066_Submissive_Approach_To_Guru_BG-02_45_-_Radhanath_Swami_1992-06-09_IDesireTree.mp3")</f>
        <v>1992-066_Submissive_Approach_To_Guru_BG-02_45_-_Radhanath_Swami_1992-06-09_IDesireTree.mp3</v>
      </c>
      <c r="D419" s="11"/>
      <c r="E419" s="11"/>
    </row>
    <row r="420" spans="1:5">
      <c r="A420" s="12" t="s">
        <v>12462</v>
      </c>
      <c r="B420" s="12" t="s">
        <v>13394</v>
      </c>
      <c r="C420" s="13" t="str">
        <f>HYPERLINK("https://audio.iskcondesiretree.com/02_-_ISKCON_Swamis/ISKCON_Swamis_-_R_to_Y/His_Holiness_Radhanath_Swami/Lectures/00_-_Year_wise/Devotional_Nectar_-_1992/1992-067_We_have_no_Independance_from_Krsna_SB_-_Radhanath_Swami_1992-07-09_IDesireTree.mp3", "1992-067_We_have_no_Independance_from_Krsna_SB_-_Radhanath_Swami_1992-07-09_IDesireTree.mp3")</f>
        <v>1992-067_We_have_no_Independance_from_Krsna_SB_-_Radhanath_Swami_1992-07-09_IDesireTree.mp3</v>
      </c>
      <c r="D420" s="11"/>
      <c r="E420" s="11"/>
    </row>
    <row r="421" spans="1:5">
      <c r="A421" s="12" t="s">
        <v>12462</v>
      </c>
      <c r="B421" s="12" t="s">
        <v>13395</v>
      </c>
      <c r="C421" s="13" t="str">
        <f>HYPERLINK("https://audio.iskcondesiretree.com/02_-_ISKCON_Swamis/ISKCON_Swamis_-_R_to_Y/His_Holiness_Radhanath_Swami/Lectures/00_-_Year_wise/Devotional_Nectar_-_1992/1992-068_Understanding_Prabhupada%27s_Mission_Lecture_Columbus_-_12-07-92_IDesireTree.mp3", "1992-068_Understanding_Prabhupada%27s_Mission_Lecture_Columbus_-_12-07-92_IDesireTree.mp3")</f>
        <v>1992-068_Understanding_Prabhupada%27s_Mission_Lecture_Columbus_-_12-07-92_IDesireTree.mp3</v>
      </c>
      <c r="D421" s="11"/>
      <c r="E421" s="11"/>
    </row>
    <row r="422" spans="1:5">
      <c r="A422" s="12" t="s">
        <v>12462</v>
      </c>
      <c r="B422" s="12" t="s">
        <v>13396</v>
      </c>
      <c r="C422" s="13" t="str">
        <f>HYPERLINK("https://audio.iskcondesiretree.com/02_-_ISKCON_Swamis/ISKCON_Swamis_-_R_to_Y/His_Holiness_Radhanath_Swami/Lectures/00_-_Year_wise/Devotional_Nectar_-_1992/1992-069_Sri_Caitanya_Lila_Lecture_-_Radhanath_Swami_92_IDesireTree.mp3", "1992-069_Sri_Caitanya_Lila_Lecture_-_Radhanath_Swami_92_IDesireTree.mp3")</f>
        <v>1992-069_Sri_Caitanya_Lila_Lecture_-_Radhanath_Swami_92_IDesireTree.mp3</v>
      </c>
      <c r="D422" s="11"/>
      <c r="E422" s="11"/>
    </row>
    <row r="423" spans="1:5">
      <c r="A423" s="12" t="s">
        <v>12462</v>
      </c>
      <c r="B423" s="12" t="s">
        <v>13397</v>
      </c>
      <c r="C423" s="13" t="str">
        <f>HYPERLINK("https://audio.iskcondesiretree.com/02_-_ISKCON_Swamis/ISKCON_Swamis_-_R_to_Y/His_Holiness_Radhanath_Swami/Lectures/00_-_Year_wise/Devotional_Nectar_-_1992/1992-070_Developing_Humility_Lecture_Mumbai_-_Radhanath_Swami_1992-08-14_IDesireTree.mp3", "1992-070_Developing_Humility_Lecture_Mumbai_-_Radhanath_Swami_1992-08-14_IDesireTree.mp3")</f>
        <v>1992-070_Developing_Humility_Lecture_Mumbai_-_Radhanath_Swami_1992-08-14_IDesireTree.mp3</v>
      </c>
      <c r="D423" s="11"/>
      <c r="E423" s="11"/>
    </row>
    <row r="424" spans="1:5">
      <c r="A424" s="12" t="s">
        <v>12462</v>
      </c>
      <c r="B424" s="12" t="s">
        <v>13398</v>
      </c>
      <c r="C424" s="13" t="str">
        <f>HYPERLINK("https://audio.iskcondesiretree.com/02_-_ISKCON_Swamis/ISKCON_Swamis_-_R_to_Y/His_Holiness_Radhanath_Swami/Lectures/00_-_Year_wise/Devotional_Nectar_-_1992/1992-071_Lord_Balarama_Appearance_Day_Lecture_Mumbai_-_Radhanath_Swami_1992-08-15_IDesireTree.mp3", "1992-071_Lord_Balarama_Appearance_Day_Lecture_Mumbai_-_Radhanath_Swami_1992-08-15_IDesireTree.mp3")</f>
        <v>1992-071_Lord_Balarama_Appearance_Day_Lecture_Mumbai_-_Radhanath_Swami_1992-08-15_IDesireTree.mp3</v>
      </c>
      <c r="D424" s="11"/>
      <c r="E424" s="11"/>
    </row>
    <row r="425" spans="1:5">
      <c r="A425" s="12" t="s">
        <v>12462</v>
      </c>
      <c r="B425" s="12" t="s">
        <v>13399</v>
      </c>
      <c r="C425" s="13" t="str">
        <f>HYPERLINK("https://audio.iskcondesiretree.com/02_-_ISKCON_Swamis/ISKCON_Swamis_-_R_to_Y/His_Holiness_Radhanath_Swami/Lectures/00_-_Year_wise/Devotional_Nectar_-_1992/1992-072_Developing_Affection_SB-10_13_31-32_Mumbai_-_Radhanath_Swami_1992-08-15_IDesireTree.mp3", "1992-072_Developing_Affection_SB-10_13_31-32_Mumbai_-_Radhanath_Swami_1992-08-15_IDesireTree.mp3")</f>
        <v>1992-072_Developing_Affection_SB-10_13_31-32_Mumbai_-_Radhanath_Swami_1992-08-15_IDesireTree.mp3</v>
      </c>
      <c r="D425" s="11"/>
      <c r="E425" s="11"/>
    </row>
    <row r="426" spans="1:5">
      <c r="A426" s="12" t="s">
        <v>12462</v>
      </c>
      <c r="B426" s="12" t="s">
        <v>13400</v>
      </c>
      <c r="C426" s="13" t="str">
        <f>HYPERLINK("https://audio.iskcondesiretree.com/02_-_ISKCON_Swamis/ISKCON_Swamis_-_R_to_Y/His_Holiness_Radhanath_Swami/Lectures/00_-_Year_wise/Devotional_Nectar_-_1992/1992-073_Laziness_And_False_Ego_BG-03_30_Mumbai_-_Radhanath_Swami_1992-08-16_IDesireTree.mp3", "1992-073_Laziness_And_False_Ego_BG-03_30_Mumbai_-_Radhanath_Swami_1992-08-16_IDesireTree.mp3")</f>
        <v>1992-073_Laziness_And_False_Ego_BG-03_30_Mumbai_-_Radhanath_Swami_1992-08-16_IDesireTree.mp3</v>
      </c>
      <c r="D426" s="11"/>
      <c r="E426" s="11"/>
    </row>
    <row r="427" spans="1:5">
      <c r="A427" s="12" t="s">
        <v>12462</v>
      </c>
      <c r="B427" s="12" t="s">
        <v>13401</v>
      </c>
      <c r="C427" s="13" t="str">
        <f>HYPERLINK("https://audio.iskcondesiretree.com/02_-_ISKCON_Swamis/ISKCON_Swamis_-_R_to_Y/His_Holiness_Radhanath_Swami/Lectures/00_-_Year_wise/Devotional_Nectar_-_1992/1992-074_Spiritual_Attachments_SB-10_13_33-34_Mumbai_-_Radhanath_Swami_1992-08-16_IDesireTree.mp3", "1992-074_Spiritual_Attachments_SB-10_13_33-34_Mumbai_-_Radhanath_Swami_1992-08-16_IDesireTree.mp3")</f>
        <v>1992-074_Spiritual_Attachments_SB-10_13_33-34_Mumbai_-_Radhanath_Swami_1992-08-16_IDesireTree.mp3</v>
      </c>
      <c r="D427" s="11"/>
      <c r="E427" s="11"/>
    </row>
    <row r="428" spans="1:5">
      <c r="A428" s="12" t="s">
        <v>12462</v>
      </c>
      <c r="B428" s="12" t="s">
        <v>13402</v>
      </c>
      <c r="C428" s="13" t="str">
        <f>HYPERLINK("https://audio.iskcondesiretree.com/02_-_ISKCON_Swamis/ISKCON_Swamis_-_R_to_Y/His_Holiness_Radhanath_Swami/Lectures/00_-_Year_wise/Devotional_Nectar_-_1992/1992-075_Inconceivable_Lord_Krishna_SB-10_13_35_Mumbai_-_Radhanath_Swami_1992-08-17_IDesireTree.mp3", "1992-075_Inconceivable_Lord_Krishna_SB-10_13_35_Mumbai_-_Radhanath_Swami_1992-08-17_IDesireTree.mp3")</f>
        <v>1992-075_Inconceivable_Lord_Krishna_SB-10_13_35_Mumbai_-_Radhanath_Swami_1992-08-17_IDesireTree.mp3</v>
      </c>
      <c r="D428" s="11"/>
      <c r="E428" s="11"/>
    </row>
    <row r="429" spans="1:5">
      <c r="A429" s="12" t="s">
        <v>12462</v>
      </c>
      <c r="B429" s="12" t="s">
        <v>13403</v>
      </c>
      <c r="C429" s="13" t="str">
        <f>HYPERLINK("https://audio.iskcondesiretree.com/02_-_ISKCON_Swamis/ISKCON_Swamis_-_R_to_Y/His_Holiness_Radhanath_Swami/Lectures/00_-_Year_wise/Devotional_Nectar_-_1992/1992-076_Vaishnava_Is_Selfless_SB-10_08_07-09_Mumbai_-_Radhanath_Swami_1992-04-10_IDesireTree.mp3", "1992-076_Vaishnava_Is_Selfless_SB-10_08_07-09_Mumbai_-_Radhanath_Swami_1992-04-10_IDesireTree.mp3")</f>
        <v>1992-076_Vaishnava_Is_Selfless_SB-10_08_07-09_Mumbai_-_Radhanath_Swami_1992-04-10_IDesireTree.mp3</v>
      </c>
      <c r="D429" s="11"/>
      <c r="E429" s="11"/>
    </row>
    <row r="430" spans="1:5">
      <c r="A430" s="12" t="s">
        <v>12462</v>
      </c>
      <c r="B430" s="12" t="s">
        <v>13404</v>
      </c>
      <c r="C430" s="13" t="str">
        <f>HYPERLINK("https://audio.iskcondesiretree.com/02_-_ISKCON_Swamis/ISKCON_Swamis_-_R_to_Y/His_Holiness_Radhanath_Swami/Lectures/00_-_Year_wise/Devotional_Nectar_-_1992/1992-077_One_Pointed_Determination_BG-02_41_Mumbai_-_Radhanath_Swami_1992-04-10_IDesireTree.mp3", "1992-077_One_Pointed_Determination_BG-02_41_Mumbai_-_Radhanath_Swami_1992-04-10_IDesireTree.mp3")</f>
        <v>1992-077_One_Pointed_Determination_BG-02_41_Mumbai_-_Radhanath_Swami_1992-04-10_IDesireTree.mp3</v>
      </c>
      <c r="D430" s="11"/>
      <c r="E430" s="11"/>
    </row>
    <row r="431" spans="1:5">
      <c r="A431" s="12" t="s">
        <v>12462</v>
      </c>
      <c r="B431" s="12" t="s">
        <v>13405</v>
      </c>
      <c r="C431" s="13" t="str">
        <f>HYPERLINK("https://audio.iskcondesiretree.com/02_-_ISKCON_Swamis/ISKCON_Swamis_-_R_to_Y/His_Holiness_Radhanath_Swami/Lectures/00_-_Year_wise/Devotional_Nectar_-_1992/1992-078_Pastimes_Of_Lord_Ramachandra_Ht_-_SB-09_11_23_Mumbai_-_11-04-92_IDesireTree.mp3", "1992-078_Pastimes_Of_Lord_Ramachandra_Ht_-_SB-09_11_23_Mumbai_-_11-04-92_IDesireTree.mp3")</f>
        <v>1992-078_Pastimes_Of_Lord_Ramachandra_Ht_-_SB-09_11_23_Mumbai_-_11-04-92_IDesireTree.mp3</v>
      </c>
      <c r="D431" s="11"/>
      <c r="E431" s="11"/>
    </row>
    <row r="432" spans="1:5">
      <c r="A432" s="12" t="s">
        <v>12462</v>
      </c>
      <c r="B432" s="12" t="s">
        <v>13406</v>
      </c>
      <c r="C432" s="13" t="str">
        <f>HYPERLINK("https://audio.iskcondesiretree.com/02_-_ISKCON_Swamis/ISKCON_Swamis_-_R_to_Y/His_Holiness_Radhanath_Swami/Lectures/00_-_Year_wise/Devotional_Nectar_-_1992/1992-079_Importance_Of_Tulsi_Maharani_SB-10_13_49_Mumbai_-_28-08-92_IDesireTree.mp3", "1992-079_Importance_Of_Tulsi_Maharani_SB-10_13_49_Mumbai_-_28-08-92_IDesireTree.mp3")</f>
        <v>1992-079_Importance_Of_Tulsi_Maharani_SB-10_13_49_Mumbai_-_28-08-92_IDesireTree.mp3</v>
      </c>
      <c r="D432" s="11"/>
      <c r="E432" s="11"/>
    </row>
    <row r="433" spans="1:5">
      <c r="A433" s="12" t="s">
        <v>12462</v>
      </c>
      <c r="B433" s="12" t="s">
        <v>13407</v>
      </c>
      <c r="C433" s="13" t="str">
        <f>HYPERLINK("https://audio.iskcondesiretree.com/02_-_ISKCON_Swamis/ISKCON_Swamis_-_R_to_Y/His_Holiness_Radhanath_Swami/Lectures/00_-_Year_wise/Devotional_Nectar_-_1992/1992-080_Importance_Of_Serving_Devotees_Lecture_Mumbai_-_Radhanath_Swami_1992-08-30_IDesireTree.mp3", "1992-080_Importance_Of_Serving_Devotees_Lecture_Mumbai_-_Radhanath_Swami_1992-08-30_IDesireTree.mp3")</f>
        <v>1992-080_Importance_Of_Serving_Devotees_Lecture_Mumbai_-_Radhanath_Swami_1992-08-30_IDesireTree.mp3</v>
      </c>
      <c r="D433" s="11"/>
      <c r="E433" s="11"/>
    </row>
    <row r="434" spans="1:5">
      <c r="A434" s="12" t="s">
        <v>12462</v>
      </c>
      <c r="B434" s="12" t="s">
        <v>13408</v>
      </c>
      <c r="C434" s="13" t="str">
        <f>HYPERLINK("https://audio.iskcondesiretree.com/02_-_ISKCON_Swamis/ISKCON_Swamis_-_R_to_Y/His_Holiness_Radhanath_Swami/Lectures/00_-_Year_wise/Devotional_Nectar_-_1992/1992-081_Krishna%27s_Love_For_Us_SB-10_13_36_Mumbai_-_Radhanath_Swami_1992-08-18_IDesireTree.mp3", "1992-081_Krishna%27s_Love_For_Us_SB-10_13_36_Mumbai_-_Radhanath_Swami_1992-08-18_IDesireTree.mp3")</f>
        <v>1992-081_Krishna%27s_Love_For_Us_SB-10_13_36_Mumbai_-_Radhanath_Swami_1992-08-18_IDesireTree.mp3</v>
      </c>
      <c r="D434" s="11"/>
      <c r="E434" s="11"/>
    </row>
    <row r="435" spans="1:5">
      <c r="A435" s="12" t="s">
        <v>12462</v>
      </c>
      <c r="B435" s="12" t="s">
        <v>13409</v>
      </c>
      <c r="C435" s="13" t="str">
        <f>HYPERLINK("https://audio.iskcondesiretree.com/02_-_ISKCON_Swamis/ISKCON_Swamis_-_R_to_Y/His_Holiness_Radhanath_Swami/Lectures/00_-_Year_wise/Devotional_Nectar_-_1992/1992-082_Mysticism_And_Devotion_SB-10_13_37-38_Mumbai_-_Radhanath_Swami_1992-08-19_IDesireTree.mp3", "1992-082_Mysticism_And_Devotion_SB-10_13_37-38_Mumbai_-_Radhanath_Swami_1992-08-19_IDesireTree.mp3")</f>
        <v>1992-082_Mysticism_And_Devotion_SB-10_13_37-38_Mumbai_-_Radhanath_Swami_1992-08-19_IDesireTree.mp3</v>
      </c>
      <c r="D435" s="11"/>
      <c r="E435" s="11"/>
    </row>
    <row r="436" spans="1:5">
      <c r="A436" s="12" t="s">
        <v>12462</v>
      </c>
      <c r="B436" s="12" t="s">
        <v>13410</v>
      </c>
      <c r="C436" s="13" t="str">
        <f>HYPERLINK("https://audio.iskcondesiretree.com/02_-_ISKCON_Swamis/ISKCON_Swamis_-_R_to_Y/His_Holiness_Radhanath_Swami/Lectures/00_-_Year_wise/Devotional_Nectar_-_1992/1992-083_Greatness_Of_Krishna_SB-10_03_39_Mumbai_-_Radhanath_Swami_1992-08-20_IDesireTree.mp3", "1992-083_Greatness_Of_Krishna_SB-10_03_39_Mumbai_-_Radhanath_Swami_1992-08-20_IDesireTree.mp3")</f>
        <v>1992-083_Greatness_Of_Krishna_SB-10_03_39_Mumbai_-_Radhanath_Swami_1992-08-20_IDesireTree.mp3</v>
      </c>
      <c r="D436" s="11"/>
      <c r="E436" s="11"/>
    </row>
    <row r="437" spans="1:5">
      <c r="A437" s="12" t="s">
        <v>12462</v>
      </c>
      <c r="B437" s="12" t="s">
        <v>13411</v>
      </c>
      <c r="C437" s="13" t="str">
        <f>HYPERLINK("https://audio.iskcondesiretree.com/02_-_ISKCON_Swamis/ISKCON_Swamis_-_R_to_Y/His_Holiness_Radhanath_Swami/Lectures/00_-_Year_wise/Devotional_Nectar_-_1992/1992-084_Supreme_Controller_SB-10_13_40_Mumbai_-_Radhanath_Swami_1992-08-21_IDesireTree.mp3", "1992-084_Supreme_Controller_SB-10_13_40_Mumbai_-_Radhanath_Swami_1992-08-21_IDesireTree.mp3")</f>
        <v>1992-084_Supreme_Controller_SB-10_13_40_Mumbai_-_Radhanath_Swami_1992-08-21_IDesireTree.mp3</v>
      </c>
      <c r="D437" s="11"/>
      <c r="E437" s="11"/>
    </row>
    <row r="438" spans="1:5">
      <c r="A438" s="12" t="s">
        <v>12462</v>
      </c>
      <c r="B438" s="12" t="s">
        <v>13412</v>
      </c>
      <c r="C438" s="13" t="str">
        <f>HYPERLINK("https://audio.iskcondesiretree.com/02_-_ISKCON_Swamis/ISKCON_Swamis_-_R_to_Y/His_Holiness_Radhanath_Swami/Lectures/00_-_Year_wise/Devotional_Nectar_-_1992/1992-085_Meaning_Of_Janamashtami_Lecture_Mumbai_-_Radhanath_Swami_1991-08-21_IDesireTree.mp3", "1992-085_Meaning_Of_Janamashtami_Lecture_Mumbai_-_Radhanath_Swami_1991-08-21_IDesireTree.mp3")</f>
        <v>1992-085_Meaning_Of_Janamashtami_Lecture_Mumbai_-_Radhanath_Swami_1991-08-21_IDesireTree.mp3</v>
      </c>
      <c r="D438" s="11"/>
      <c r="E438" s="11"/>
    </row>
    <row r="439" spans="1:5">
      <c r="A439" s="12" t="s">
        <v>12462</v>
      </c>
      <c r="B439" s="12" t="s">
        <v>13413</v>
      </c>
      <c r="C439" s="13" t="str">
        <f>HYPERLINK("https://audio.iskcondesiretree.com/02_-_ISKCON_Swamis/ISKCON_Swamis_-_R_to_Y/His_Holiness_Radhanath_Swami/Lectures/00_-_Year_wise/Devotional_Nectar_-_1992/1992-086_Spiritual_Chastisement_BG-02_11_Mumbai_-_Radhanath_Swami_1992-08-23_IDesireTree.mp3", "1992-086_Spiritual_Chastisement_BG-02_11_Mumbai_-_Radhanath_Swami_1992-08-23_IDesireTree.mp3")</f>
        <v>1992-086_Spiritual_Chastisement_BG-02_11_Mumbai_-_Radhanath_Swami_1992-08-23_IDesireTree.mp3</v>
      </c>
      <c r="D439" s="11"/>
      <c r="E439" s="11"/>
    </row>
    <row r="440" spans="1:5">
      <c r="A440" s="12" t="s">
        <v>12462</v>
      </c>
      <c r="B440" s="12" t="s">
        <v>13414</v>
      </c>
      <c r="C440" s="13" t="str">
        <f>HYPERLINK("https://audio.iskcondesiretree.com/02_-_ISKCON_Swamis/ISKCON_Swamis_-_R_to_Y/His_Holiness_Radhanath_Swami/Lectures/00_-_Year_wise/Devotional_Nectar_-_1992/1992-087_Power_Of_Maya_SB-10_13_42_Mumbai_-_Radhanath_Swami_1992-08-24_IDesireTree.mp3", "1992-087_Power_Of_Maya_SB-10_13_42_Mumbai_-_Radhanath_Swami_1992-08-24_IDesireTree.mp3")</f>
        <v>1992-087_Power_Of_Maya_SB-10_13_42_Mumbai_-_Radhanath_Swami_1992-08-24_IDesireTree.mp3</v>
      </c>
      <c r="D440" s="11"/>
      <c r="E440" s="11"/>
    </row>
    <row r="441" spans="1:5">
      <c r="A441" s="12" t="s">
        <v>12462</v>
      </c>
      <c r="B441" s="12" t="s">
        <v>13415</v>
      </c>
      <c r="C441" s="13" t="str">
        <f>HYPERLINK("https://audio.iskcondesiretree.com/02_-_ISKCON_Swamis/ISKCON_Swamis_-_R_to_Y/His_Holiness_Radhanath_Swami/Lectures/00_-_Year_wise/Devotional_Nectar_-_1992/1992-088_Real_Cause_Of_Suffering_SB-11_23_42-43_Mumbai_-_Radhanath_Swami_1992-08-24_IDesireTree.mp3", "1992-088_Real_Cause_Of_Suffering_SB-11_23_42-43_Mumbai_-_Radhanath_Swami_1992-08-24_IDesireTree.mp3")</f>
        <v>1992-088_Real_Cause_Of_Suffering_SB-11_23_42-43_Mumbai_-_Radhanath_Swami_1992-08-24_IDesireTree.mp3</v>
      </c>
      <c r="D441" s="11"/>
      <c r="E441" s="11"/>
    </row>
    <row r="442" spans="1:5">
      <c r="A442" s="12" t="s">
        <v>12462</v>
      </c>
      <c r="B442" s="12" t="s">
        <v>13416</v>
      </c>
      <c r="C442" s="13" t="str">
        <f>HYPERLINK("https://audio.iskcondesiretree.com/02_-_ISKCON_Swamis/ISKCON_Swamis_-_R_to_Y/His_Holiness_Radhanath_Swami/Lectures/00_-_Year_wise/Devotional_Nectar_-_1992/1992-089_Lord_Pleases_His_Devotees_Lecture_Mumbai_-_Radhanath_Swami_1992-08-25_IDesireTree.mp3", "1992-089_Lord_Pleases_His_Devotees_Lecture_Mumbai_-_Radhanath_Swami_1992-08-25_IDesireTree.mp3")</f>
        <v>1992-089_Lord_Pleases_His_Devotees_Lecture_Mumbai_-_Radhanath_Swami_1992-08-25_IDesireTree.mp3</v>
      </c>
      <c r="D442" s="11"/>
      <c r="E442" s="11"/>
    </row>
    <row r="443" spans="1:5">
      <c r="A443" s="12" t="s">
        <v>12462</v>
      </c>
      <c r="B443" s="12" t="s">
        <v>13417</v>
      </c>
      <c r="C443" s="13" t="str">
        <f>HYPERLINK("https://audio.iskcondesiretree.com/02_-_ISKCON_Swamis/ISKCON_Swamis_-_R_to_Y/His_Holiness_Radhanath_Swami/Lectures/00_-_Year_wise/Devotional_Nectar_-_1992/1992-090_Dicussions_On_Bhagavad_Gita_Q%26A_Mumbai_-_Radhanath_Swami_1992-08-26_IDesireTree.mp3", "1992-090_Dicussions_On_Bhagavad_Gita_Q%26A_Mumbai_-_Radhanath_Swami_1992-08-26_IDesireTree.mp3")</f>
        <v>1992-090_Dicussions_On_Bhagavad_Gita_Q%26A_Mumbai_-_Radhanath_Swami_1992-08-26_IDesireTree.mp3</v>
      </c>
      <c r="D443" s="11"/>
      <c r="E443" s="11"/>
    </row>
    <row r="444" spans="1:5">
      <c r="A444" s="12" t="s">
        <v>12462</v>
      </c>
      <c r="B444" s="12" t="s">
        <v>13418</v>
      </c>
      <c r="C444" s="13" t="str">
        <f>HYPERLINK("https://audio.iskcondesiretree.com/02_-_ISKCON_Swamis/ISKCON_Swamis_-_R_to_Y/His_Holiness_Radhanath_Swami/Lectures/00_-_Year_wise/Devotional_Nectar_-_1992/1992-091_Glory_Of_Krishna_SB-10_13_46-48_Mumbai_-_Radhanath_Swami_1992-08-27_IDesireTree.mp3", "1992-091_Glory_Of_Krishna_SB-10_13_46-48_Mumbai_-_Radhanath_Swami_1992-08-27_IDesireTree.mp3")</f>
        <v>1992-091_Glory_Of_Krishna_SB-10_13_46-48_Mumbai_-_Radhanath_Swami_1992-08-27_IDesireTree.mp3</v>
      </c>
      <c r="D444" s="11"/>
      <c r="E444" s="11"/>
    </row>
    <row r="445" spans="1:5">
      <c r="A445" s="12" t="s">
        <v>12462</v>
      </c>
      <c r="B445" s="12" t="s">
        <v>13419</v>
      </c>
      <c r="C445" s="13" t="str">
        <f>HYPERLINK("https://audio.iskcondesiretree.com/02_-_ISKCON_Swamis/ISKCON_Swamis_-_R_to_Y/His_Holiness_Radhanath_Swami/Lectures/00_-_Year_wise/Devotional_Nectar_-_1992/1992-092_Grihastha_Ashrama_%26_Deity_Worship_BG-07_07_Mumbai_-_27-08-92_IDesireTree.mp3", "1992-092_Grihastha_Ashrama_%26_Deity_Worship_BG-07_07_Mumbai_-_27-08-92_IDesireTree.mp3")</f>
        <v>1992-092_Grihastha_Ashrama_%26_Deity_Worship_BG-07_07_Mumbai_-_27-08-92_IDesireTree.mp3</v>
      </c>
      <c r="D445" s="11"/>
      <c r="E445" s="11"/>
    </row>
    <row r="446" spans="1:5">
      <c r="A446" s="12" t="s">
        <v>12462</v>
      </c>
      <c r="B446" s="12" t="s">
        <v>13420</v>
      </c>
      <c r="C446" s="13" t="str">
        <f>HYPERLINK("https://audio.iskcondesiretree.com/02_-_ISKCON_Swamis/ISKCON_Swamis_-_R_to_Y/His_Holiness_Radhanath_Swami/Lectures/00_-_Year_wise/Devotional_Nectar_-_1992/1992-093_Vaishnava_Etiquette_Lecture_Mumbai_-_Radhanath_Swami_1992-08-27_IDesireTree.mp3", "1992-093_Vaishnava_Etiquette_Lecture_Mumbai_-_Radhanath_Swami_1992-08-27_IDesireTree.mp3")</f>
        <v>1992-093_Vaishnava_Etiquette_Lecture_Mumbai_-_Radhanath_Swami_1992-08-27_IDesireTree.mp3</v>
      </c>
      <c r="D446" s="11"/>
      <c r="E446" s="11"/>
    </row>
    <row r="447" spans="1:5">
      <c r="A447" s="12" t="s">
        <v>12462</v>
      </c>
      <c r="B447" s="12" t="s">
        <v>13421</v>
      </c>
      <c r="C447" s="13" t="str">
        <f>HYPERLINK("https://audio.iskcondesiretree.com/02_-_ISKCON_Swamis/ISKCON_Swamis_-_R_to_Y/His_Holiness_Radhanath_Swami/Lectures/00_-_Year_wise/Devotional_Nectar_-_1992/1992-094_We_have_no_Independance_from_Krsna_SB_-_Radhanath_Swami_1992-09-07_IDesireTree.mp3", "1992-094_We_have_no_Independance_from_Krsna_SB_-_Radhanath_Swami_1992-09-07_IDesireTree.mp3")</f>
        <v>1992-094_We_have_no_Independance_from_Krsna_SB_-_Radhanath_Swami_1992-09-07_IDesireTree.mp3</v>
      </c>
      <c r="D447" s="11"/>
      <c r="E447" s="11"/>
    </row>
    <row r="448" spans="1:5">
      <c r="A448" s="12" t="s">
        <v>12462</v>
      </c>
      <c r="B448" s="12" t="s">
        <v>13422</v>
      </c>
      <c r="C448" s="13" t="str">
        <f>HYPERLINK("https://audio.iskcondesiretree.com/02_-_ISKCON_Swamis/ISKCON_Swamis_-_R_to_Y/His_Holiness_Radhanath_Swami/Lectures/00_-_Year_wise/Devotional_Nectar_-_1992/1992-095_Srila_Jiva_Goswami_LectureMumbai_-_Radhanath_Swami_1992-09-08_IDesireTree.mp3", "1992-095_Srila_Jiva_Goswami_LectureMumbai_-_Radhanath_Swami_1992-09-08_IDesireTree.mp3")</f>
        <v>1992-095_Srila_Jiva_Goswami_LectureMumbai_-_Radhanath_Swami_1992-09-08_IDesireTree.mp3</v>
      </c>
      <c r="D448" s="11"/>
      <c r="E448" s="11"/>
    </row>
    <row r="449" spans="1:5">
      <c r="A449" s="12" t="s">
        <v>12462</v>
      </c>
      <c r="B449" s="12" t="s">
        <v>13423</v>
      </c>
      <c r="C449" s="13" t="str">
        <f>HYPERLINK("https://audio.iskcondesiretree.com/02_-_ISKCON_Swamis/ISKCON_Swamis_-_R_to_Y/His_Holiness_Radhanath_Swami/Lectures/00_-_Year_wise/Devotional_Nectar_-_1992/1992-096_Bhaktivinoda_Thakur_SB-_Mumbai_-_Radhanath_Swami_1992-09-09_IDesireTree.mp3", "1992-096_Bhaktivinoda_Thakur_SB-_Mumbai_-_Radhanath_Swami_1992-09-09_IDesireTree.mp3")</f>
        <v>1992-096_Bhaktivinoda_Thakur_SB-_Mumbai_-_Radhanath_Swami_1992-09-09_IDesireTree.mp3</v>
      </c>
      <c r="D449" s="11"/>
      <c r="E449" s="11"/>
    </row>
    <row r="450" spans="1:5">
      <c r="A450" s="12" t="s">
        <v>12462</v>
      </c>
      <c r="B450" s="12" t="s">
        <v>13424</v>
      </c>
      <c r="C450" s="13" t="str">
        <f>HYPERLINK("https://audio.iskcondesiretree.com/02_-_ISKCON_Swamis/ISKCON_Swamis_-_R_to_Y/His_Holiness_Radhanath_Swami/Lectures/00_-_Year_wise/Devotional_Nectar_-_1992/1992-097_Greatness_Of_bhaktivinode_Thakur_Lecture_Mumbai_-_09-09-92_IDesireTree.mp3", "1992-097_Greatness_Of_bhaktivinode_Thakur_Lecture_Mumbai_-_09-09-92_IDesireTree.mp3")</f>
        <v>1992-097_Greatness_Of_bhaktivinode_Thakur_Lecture_Mumbai_-_09-09-92_IDesireTree.mp3</v>
      </c>
      <c r="D450" s="11"/>
      <c r="E450" s="11"/>
    </row>
    <row r="451" spans="1:5">
      <c r="A451" s="12" t="s">
        <v>12462</v>
      </c>
      <c r="B451" s="12" t="s">
        <v>13425</v>
      </c>
      <c r="C451" s="13" t="str">
        <f>HYPERLINK("https://audio.iskcondesiretree.com/02_-_ISKCON_Swamis/ISKCON_Swamis_-_R_to_Y/His_Holiness_Radhanath_Swami/Lectures/00_-_Year_wise/Devotional_Nectar_-_1992/1992-098_Glories_Of_Lord_Brahma_And_Haridas_Thakur_SB-10_14_01_Mumbai_-_10-09-92_IDesireTree.mp3", "1992-098_Glories_Of_Lord_Brahma_And_Haridas_Thakur_SB-10_14_01_Mumbai_-_10-09-92_IDesireTree.mp3")</f>
        <v>1992-098_Glories_Of_Lord_Brahma_And_Haridas_Thakur_SB-10_14_01_Mumbai_-_10-09-92_IDesireTree.mp3</v>
      </c>
      <c r="D451" s="11"/>
      <c r="E451" s="11"/>
    </row>
    <row r="452" spans="1:5">
      <c r="A452" s="12" t="s">
        <v>12462</v>
      </c>
      <c r="B452" s="12" t="s">
        <v>13426</v>
      </c>
      <c r="C452" s="13" t="str">
        <f>HYPERLINK("https://audio.iskcondesiretree.com/02_-_ISKCON_Swamis/ISKCON_Swamis_-_R_to_Y/His_Holiness_Radhanath_Swami/Lectures/00_-_Year_wise/Devotional_Nectar_-_1992/1992-099_Without_Mercy_Nothing_Is_Possible_SB-10_14_02_Mumbai_-_11-09-92_IDesireTree.mp3", "1992-099_Without_Mercy_Nothing_Is_Possible_SB-10_14_02_Mumbai_-_11-09-92_IDesireTree.mp3")</f>
        <v>1992-099_Without_Mercy_Nothing_Is_Possible_SB-10_14_02_Mumbai_-_11-09-92_IDesireTree.mp3</v>
      </c>
      <c r="D452" s="11"/>
      <c r="E452" s="11"/>
    </row>
    <row r="453" spans="1:5">
      <c r="A453" s="12" t="s">
        <v>12462</v>
      </c>
      <c r="B453" s="12" t="s">
        <v>13427</v>
      </c>
      <c r="C453" s="13" t="str">
        <f>HYPERLINK("https://audio.iskcondesiretree.com/02_-_ISKCON_Swamis/ISKCON_Swamis_-_R_to_Y/His_Holiness_Radhanath_Swami/Lectures/00_-_Year_wise/Devotional_Nectar_-_1992/1992-100_Real_Humility_SB-10_14_28_Mumbai_-_Radhanath_Swami_1992-10-05_IDesireTree.mp3", "1992-100_Real_Humility_SB-10_14_28_Mumbai_-_Radhanath_Swami_1992-10-05_IDesireTree.mp3")</f>
        <v>1992-100_Real_Humility_SB-10_14_28_Mumbai_-_Radhanath_Swami_1992-10-05_IDesireTree.mp3</v>
      </c>
      <c r="D453" s="11"/>
      <c r="E453" s="11"/>
    </row>
    <row r="454" spans="1:5">
      <c r="A454" s="12" t="s">
        <v>12462</v>
      </c>
      <c r="B454" s="12" t="s">
        <v>13428</v>
      </c>
      <c r="C454" s="13" t="str">
        <f>HYPERLINK("https://audio.iskcondesiretree.com/02_-_ISKCON_Swamis/ISKCON_Swamis_-_R_to_Y/His_Holiness_Radhanath_Swami/Lectures/00_-_Year_wise/Devotional_Nectar_-_1992/1992-101_General_Discussion_Lecture_Mumbai_-_Radhanath_Swami_1992-08-28_IDesireTree.mp3", "1992-101_General_Discussion_Lecture_Mumbai_-_Radhanath_Swami_1992-08-28_IDesireTree.mp3")</f>
        <v>1992-101_General_Discussion_Lecture_Mumbai_-_Radhanath_Swami_1992-08-28_IDesireTree.mp3</v>
      </c>
      <c r="D454" s="11"/>
      <c r="E454" s="11"/>
    </row>
    <row r="455" spans="1:5">
      <c r="A455" s="12" t="s">
        <v>12462</v>
      </c>
      <c r="B455" s="12" t="s">
        <v>13429</v>
      </c>
      <c r="C455" s="13" t="str">
        <f>HYPERLINK("https://audio.iskcondesiretree.com/02_-_ISKCON_Swamis/ISKCON_Swamis_-_R_to_Y/His_Holiness_Radhanath_Swami/Lectures/00_-_Year_wise/Devotional_Nectar_-_1992/1992-102_Developing_Love_Lecture_Mumbai_-_Radhanath_Swami_1992-08-29_IDesireTree.mp3", "1992-102_Developing_Love_Lecture_Mumbai_-_Radhanath_Swami_1992-08-29_IDesireTree.mp3")</f>
        <v>1992-102_Developing_Love_Lecture_Mumbai_-_Radhanath_Swami_1992-08-29_IDesireTree.mp3</v>
      </c>
      <c r="D455" s="11"/>
      <c r="E455" s="11"/>
    </row>
    <row r="456" spans="1:5">
      <c r="A456" s="12" t="s">
        <v>12462</v>
      </c>
      <c r="B456" s="12" t="s">
        <v>13430</v>
      </c>
      <c r="C456" s="13" t="str">
        <f>HYPERLINK("https://audio.iskcondesiretree.com/02_-_ISKCON_Swamis/ISKCON_Swamis_-_R_to_Y/His_Holiness_Radhanath_Swami/Lectures/00_-_Year_wise/Devotional_Nectar_-_1992/1992-103_Bhisma%27s_Greatness_SB-01_09_22_Mumbai_-_Radhanath_Swami_1992-08-30_IDesireTree.mp3", "1992-103_Bhisma%27s_Greatness_SB-01_09_22_Mumbai_-_Radhanath_Swami_1992-08-30_IDesireTree.mp3")</f>
        <v>1992-103_Bhisma%27s_Greatness_SB-01_09_22_Mumbai_-_Radhanath_Swami_1992-08-30_IDesireTree.mp3</v>
      </c>
      <c r="D456" s="11"/>
      <c r="E456" s="11"/>
    </row>
    <row r="457" spans="1:5">
      <c r="A457" s="12" t="s">
        <v>12462</v>
      </c>
      <c r="B457" s="12" t="s">
        <v>13431</v>
      </c>
      <c r="C457" s="13" t="str">
        <f>HYPERLINK("https://audio.iskcondesiretree.com/02_-_ISKCON_Swamis/ISKCON_Swamis_-_R_to_Y/His_Holiness_Radhanath_Swami/Lectures/00_-_Year_wise/Devotional_Nectar_-_1992/1992-104_Appearance_Of_Lord_Vamandev_SB-_Mumbai_-_Radhanath_Swami_1992-09-08_IDesireTree.mp3", "1992-104_Appearance_Of_Lord_Vamandev_SB-_Mumbai_-_Radhanath_Swami_1992-09-08_IDesireTree.mp3")</f>
        <v>1992-104_Appearance_Of_Lord_Vamandev_SB-_Mumbai_-_Radhanath_Swami_1992-09-08_IDesireTree.mp3</v>
      </c>
      <c r="D457" s="11"/>
      <c r="E457" s="11"/>
    </row>
    <row r="458" spans="1:5">
      <c r="A458" s="12" t="s">
        <v>12462</v>
      </c>
      <c r="B458" s="12" t="s">
        <v>13432</v>
      </c>
      <c r="C458" s="13" t="str">
        <f>HYPERLINK("https://audio.iskcondesiretree.com/02_-_ISKCON_Swamis/ISKCON_Swamis_-_R_to_Y/His_Holiness_Radhanath_Swami/Lectures/00_-_Year_wise/Devotional_Nectar_-_1992/1992-105_We_Are_Really_Insignificant_SB-10_14_10_Mumbai_-_Radhanath_Swami_1992-09-18_IDesireTree.mp3", "1992-105_We_Are_Really_Insignificant_SB-10_14_10_Mumbai_-_Radhanath_Swami_1992-09-18_IDesireTree.mp3")</f>
        <v>1992-105_We_Are_Really_Insignificant_SB-10_14_10_Mumbai_-_Radhanath_Swami_1992-09-18_IDesireTree.mp3</v>
      </c>
      <c r="D458" s="11"/>
      <c r="E458" s="11"/>
    </row>
    <row r="459" spans="1:5">
      <c r="A459" s="12" t="s">
        <v>12462</v>
      </c>
      <c r="B459" s="12" t="s">
        <v>13433</v>
      </c>
      <c r="C459" s="13" t="str">
        <f>HYPERLINK("https://audio.iskcondesiretree.com/02_-_ISKCON_Swamis/ISKCON_Swamis_-_R_to_Y/His_Holiness_Radhanath_Swami/Lectures/00_-_Year_wise/Devotional_Nectar_-_1992/1992-106_The_Power_Of_Devotion_SB-10_14_11_Mumbai_-_Radhanath_Swami_1992-09-19_IDesireTree.mp3", "1992-106_The_Power_Of_Devotion_SB-10_14_11_Mumbai_-_Radhanath_Swami_1992-09-19_IDesireTree.mp3")</f>
        <v>1992-106_The_Power_Of_Devotion_SB-10_14_11_Mumbai_-_Radhanath_Swami_1992-09-19_IDesireTree.mp3</v>
      </c>
      <c r="D459" s="11"/>
      <c r="E459" s="11"/>
    </row>
    <row r="460" spans="1:5">
      <c r="A460" s="12" t="s">
        <v>12462</v>
      </c>
      <c r="B460" s="12" t="s">
        <v>13434</v>
      </c>
      <c r="C460" s="13" t="str">
        <f>HYPERLINK("https://audio.iskcondesiretree.com/02_-_ISKCON_Swamis/ISKCON_Swamis_-_R_to_Y/His_Holiness_Radhanath_Swami/Lectures/00_-_Year_wise/Devotional_Nectar_-_1992/1992-107_Love_Of_God_Ht_-_Lecture_Palghar_-_Radhanath_Swami_1992-09-22_IDesireTree.mp3", "1992-107_Love_Of_God_Ht_-_Lecture_Palghar_-_Radhanath_Swami_1992-09-22_IDesireTree.mp3")</f>
        <v>1992-107_Love_Of_God_Ht_-_Lecture_Palghar_-_Radhanath_Swami_1992-09-22_IDesireTree.mp3</v>
      </c>
      <c r="D460" s="11"/>
      <c r="E460" s="11"/>
    </row>
    <row r="461" spans="1:5">
      <c r="A461" s="12" t="s">
        <v>12462</v>
      </c>
      <c r="B461" s="12" t="s">
        <v>13435</v>
      </c>
      <c r="C461" s="13" t="str">
        <f>HYPERLINK("https://audio.iskcondesiretree.com/02_-_ISKCON_Swamis/ISKCON_Swamis_-_R_to_Y/His_Holiness_Radhanath_Swami/Lectures/00_-_Year_wise/Devotional_Nectar_-_1992/1992-108_First_Meeting_With_Guru_SB-10_14_15_Mumbai_-_Radhanath_Swami_1992-09-23_IDesireTree.mp3", "1992-108_First_Meeting_With_Guru_SB-10_14_15_Mumbai_-_Radhanath_Swami_1992-09-23_IDesireTree.mp3")</f>
        <v>1992-108_First_Meeting_With_Guru_SB-10_14_15_Mumbai_-_Radhanath_Swami_1992-09-23_IDesireTree.mp3</v>
      </c>
      <c r="D461" s="11"/>
      <c r="E461" s="11"/>
    </row>
    <row r="462" spans="1:5">
      <c r="A462" s="12" t="s">
        <v>12462</v>
      </c>
      <c r="B462" s="12" t="s">
        <v>13436</v>
      </c>
      <c r="C462" s="13" t="str">
        <f>HYPERLINK("https://audio.iskcondesiretree.com/02_-_ISKCON_Swamis/ISKCON_Swamis_-_R_to_Y/His_Holiness_Radhanath_Swami/Lectures/00_-_Year_wise/Devotional_Nectar_-_1992/1992-109_Krishna_Is_Omnipotent_SB-10_14_16_Mumbai_-_Radhanath_Swami_1992-09-24_IDesireTree.mp3", "1992-109_Krishna_Is_Omnipotent_SB-10_14_16_Mumbai_-_Radhanath_Swami_1992-09-24_IDesireTree.mp3")</f>
        <v>1992-109_Krishna_Is_Omnipotent_SB-10_14_16_Mumbai_-_Radhanath_Swami_1992-09-24_IDesireTree.mp3</v>
      </c>
      <c r="D462" s="11"/>
      <c r="E462" s="11"/>
    </row>
    <row r="463" spans="1:5">
      <c r="A463" s="12" t="s">
        <v>12462</v>
      </c>
      <c r="B463" s="12" t="s">
        <v>13437</v>
      </c>
      <c r="C463" s="13" t="str">
        <f>HYPERLINK("https://audio.iskcondesiretree.com/02_-_ISKCON_Swamis/ISKCON_Swamis_-_R_to_Y/His_Holiness_Radhanath_Swami/Lectures/00_-_Year_wise/Devotional_Nectar_-_1992/1992-110_Demigod_Worship_SB-06_03_12_Mumbai_-_Radhanath_Swami_1992-09-11_IDesireTree.mp3", "1992-110_Demigod_Worship_SB-06_03_12_Mumbai_-_Radhanath_Swami_1992-09-11_IDesireTree.mp3")</f>
        <v>1992-110_Demigod_Worship_SB-06_03_12_Mumbai_-_Radhanath_Swami_1992-09-11_IDesireTree.mp3</v>
      </c>
      <c r="D463" s="11"/>
      <c r="E463" s="11"/>
    </row>
    <row r="464" spans="1:5">
      <c r="A464" s="12" t="s">
        <v>12462</v>
      </c>
      <c r="B464" s="12" t="s">
        <v>13438</v>
      </c>
      <c r="C464" s="13" t="str">
        <f>HYPERLINK("https://audio.iskcondesiretree.com/02_-_ISKCON_Swamis/ISKCON_Swamis_-_R_to_Y/His_Holiness_Radhanath_Swami/Lectures/00_-_Year_wise/Devotional_Nectar_-_1992/1992-111_Lecture_On_Accepting_Saffron_Lecture_Mumbai_-_Radhanath_Swami_1992-09-11_IDesireTree.mp3", "1992-111_Lecture_On_Accepting_Saffron_Lecture_Mumbai_-_Radhanath_Swami_1992-09-11_IDesireTree.mp3")</f>
        <v>1992-111_Lecture_On_Accepting_Saffron_Lecture_Mumbai_-_Radhanath_Swami_1992-09-11_IDesireTree.mp3</v>
      </c>
      <c r="D464" s="11"/>
      <c r="E464" s="11"/>
    </row>
    <row r="465" spans="1:5">
      <c r="A465" s="12" t="s">
        <v>12462</v>
      </c>
      <c r="B465" s="12" t="s">
        <v>13439</v>
      </c>
      <c r="C465" s="13" t="str">
        <f>HYPERLINK("https://audio.iskcondesiretree.com/02_-_ISKCON_Swamis/ISKCON_Swamis_-_R_to_Y/His_Holiness_Radhanath_Swami/Lectures/00_-_Year_wise/Devotional_Nectar_-_1992/1992-112_Importance_Of_Austerity_SB-01_03_09_Mumbai_-_Radhanath_Swami_1992-09-132_IDesireTree.mp3", "1992-112_Importance_Of_Austerity_SB-01_03_09_Mumbai_-_Radhanath_Swami_1992-09-132_IDesireTree.mp3")</f>
        <v>1992-112_Importance_Of_Austerity_SB-01_03_09_Mumbai_-_Radhanath_Swami_1992-09-132_IDesireTree.mp3</v>
      </c>
      <c r="D465" s="11"/>
      <c r="E465" s="11"/>
    </row>
    <row r="466" spans="1:5">
      <c r="A466" s="12" t="s">
        <v>12462</v>
      </c>
      <c r="B466" s="12" t="s">
        <v>13440</v>
      </c>
      <c r="C466" s="13" t="str">
        <f>HYPERLINK("https://audio.iskcondesiretree.com/02_-_ISKCON_Swamis/ISKCON_Swamis_-_R_to_Y/His_Holiness_Radhanath_Swami/Lectures/00_-_Year_wise/Devotional_Nectar_-_1992/1992-113_Attachment_To_Krishna_SB-10_14_04_Mumbai_-_Radhanath_Swami_1992-09-13_IDesireTree.mp3", "1992-113_Attachment_To_Krishna_SB-10_14_04_Mumbai_-_Radhanath_Swami_1992-09-13_IDesireTree.mp3")</f>
        <v>1992-113_Attachment_To_Krishna_SB-10_14_04_Mumbai_-_Radhanath_Swami_1992-09-13_IDesireTree.mp3</v>
      </c>
      <c r="D466" s="11"/>
      <c r="E466" s="11"/>
    </row>
    <row r="467" spans="1:5">
      <c r="A467" s="12" t="s">
        <v>12462</v>
      </c>
      <c r="B467" s="12" t="e">
        <v>#VALUE!</v>
      </c>
      <c r="C467" s="13" t="e">
        <f>HYPERLINK("https://audio.iskcondesiretree.com/02_-_ISKCON_Swamis/ISKCON_Swamis_-_R_to_Y/His_Holiness_Radhanath_Swami/Lectures/00_-_Year_wise/Devotional_Nectar_-_1992/1992-114_Krishna%27s_Way_Of_Reciprocation_BG-04_11_Mumbai_-_Radhanath_Swami_1992-09-13_IDesireTree.m"&amp;"p3", "1992-114_Krishna%27s_Way_Of_Reciprocation_BG-04_11_Mumbai_-_Radhanath_Swami_1992-09-13_IDesireTree.mp3")</f>
        <v>#VALUE!</v>
      </c>
      <c r="D467" s="11"/>
      <c r="E467" s="11"/>
    </row>
    <row r="468" spans="1:5">
      <c r="A468" s="12" t="s">
        <v>12462</v>
      </c>
      <c r="B468" s="12" t="s">
        <v>13441</v>
      </c>
      <c r="C468" s="13" t="str">
        <f>HYPERLINK("https://audio.iskcondesiretree.com/02_-_ISKCON_Swamis/ISKCON_Swamis_-_R_to_Y/His_Holiness_Radhanath_Swami/Lectures/00_-_Year_wise/Devotional_Nectar_-_1992/1992-115_Humble_Servant_Attitude_SB-10_14_56_Mumbai_-_Radhanath_Swami_1992-09-14_IDesireTree.mp3", "1992-115_Humble_Servant_Attitude_SB-10_14_56_Mumbai_-_Radhanath_Swami_1992-09-14_IDesireTree.mp3")</f>
        <v>1992-115_Humble_Servant_Attitude_SB-10_14_56_Mumbai_-_Radhanath_Swami_1992-09-14_IDesireTree.mp3</v>
      </c>
      <c r="D468" s="11"/>
      <c r="E468" s="11"/>
    </row>
    <row r="469" spans="1:5">
      <c r="A469" s="12" t="s">
        <v>12462</v>
      </c>
      <c r="B469" s="12" t="s">
        <v>13442</v>
      </c>
      <c r="C469" s="13" t="str">
        <f>HYPERLINK("https://audio.iskcondesiretree.com/02_-_ISKCON_Swamis/ISKCON_Swamis_-_R_to_Y/His_Holiness_Radhanath_Swami/Lectures/00_-_Year_wise/Devotional_Nectar_-_1992/1992-116_Dr_Frog_In_Well_SB-10_14_07_Mumbai_-_Radhanath_Swami_1992-09-15_IDesireTree.mp3", "1992-116_Dr_Frog_In_Well_SB-10_14_07_Mumbai_-_Radhanath_Swami_1992-09-15_IDesireTree.mp3")</f>
        <v>1992-116_Dr_Frog_In_Well_SB-10_14_07_Mumbai_-_Radhanath_Swami_1992-09-15_IDesireTree.mp3</v>
      </c>
      <c r="D469" s="11"/>
      <c r="E469" s="11"/>
    </row>
    <row r="470" spans="1:5">
      <c r="A470" s="12" t="s">
        <v>12462</v>
      </c>
      <c r="B470" s="12" t="s">
        <v>13443</v>
      </c>
      <c r="C470" s="13" t="str">
        <f>HYPERLINK("https://audio.iskcondesiretree.com/02_-_ISKCON_Swamis/ISKCON_Swamis_-_R_to_Y/His_Holiness_Radhanath_Swami/Lectures/00_-_Year_wise/Devotional_Nectar_-_1992/1992-117_Duties_For_Devotees_BG-03_18-19_Mumbai_-_Radhanath_Swami_1992-09-15_IDesireTree.mp3", "1992-117_Duties_For_Devotees_BG-03_18-19_Mumbai_-_Radhanath_Swami_1992-09-15_IDesireTree.mp3")</f>
        <v>1992-117_Duties_For_Devotees_BG-03_18-19_Mumbai_-_Radhanath_Swami_1992-09-15_IDesireTree.mp3</v>
      </c>
      <c r="D470" s="11"/>
      <c r="E470" s="11"/>
    </row>
    <row r="471" spans="1:5">
      <c r="A471" s="12" t="s">
        <v>12462</v>
      </c>
      <c r="B471" s="12" t="s">
        <v>13444</v>
      </c>
      <c r="C471" s="13" t="str">
        <f>HYPERLINK("https://audio.iskcondesiretree.com/02_-_ISKCON_Swamis/ISKCON_Swamis_-_R_to_Y/His_Holiness_Radhanath_Swami/Lectures/00_-_Year_wise/Devotional_Nectar_-_1992/1992-118_Lord%27s_Special_Mercy_SB-10_14_08_Mumbai_-_Radhanath_Swami_1992-09-16_IDesireTree.mp3", "1992-118_Lord%27s_Special_Mercy_SB-10_14_08_Mumbai_-_Radhanath_Swami_1992-09-16_IDesireTree.mp3")</f>
        <v>1992-118_Lord%27s_Special_Mercy_SB-10_14_08_Mumbai_-_Radhanath_Swami_1992-09-16_IDesireTree.mp3</v>
      </c>
      <c r="D471" s="11"/>
      <c r="E471" s="11"/>
    </row>
    <row r="472" spans="1:5">
      <c r="A472" s="12" t="s">
        <v>12462</v>
      </c>
      <c r="B472" s="12" t="s">
        <v>13445</v>
      </c>
      <c r="C472" s="13" t="str">
        <f>HYPERLINK("https://audio.iskcondesiretree.com/02_-_ISKCON_Swamis/ISKCON_Swamis_-_R_to_Y/His_Holiness_Radhanath_Swami/Lectures/00_-_Year_wise/Devotional_Nectar_-_1992/1992-119_Krishna-_The_Master_Of_Mystics_SB-10_14_27_Mumbai_-_04-10-92_IDesireTree.mp3", "1992-119_Krishna-_The_Master_Of_Mystics_SB-10_14_27_Mumbai_-_04-10-92_IDesireTree.mp3")</f>
        <v>1992-119_Krishna-_The_Master_Of_Mystics_SB-10_14_27_Mumbai_-_04-10-92_IDesireTree.mp3</v>
      </c>
      <c r="D472" s="11"/>
      <c r="E472" s="11"/>
    </row>
    <row r="473" spans="1:5">
      <c r="A473" s="12" t="s">
        <v>12462</v>
      </c>
      <c r="B473" s="12" t="s">
        <v>13446</v>
      </c>
      <c r="C473" s="13" t="str">
        <f>HYPERLINK("https://audio.iskcondesiretree.com/02_-_ISKCON_Swamis/ISKCON_Swamis_-_R_to_Y/His_Holiness_Radhanath_Swami/Lectures/00_-_Year_wise/Devotional_Nectar_-_1992/1992-120_How_To_Be_A_Perfect_Servant_Of_Lord_Ganesh_BG-07_20_Mumbai_-_04-10-92_IDesireTree.mp3", "1992-120_How_To_Be_A_Perfect_Servant_Of_Lord_Ganesh_BG-07_20_Mumbai_-_04-10-92_IDesireTree.mp3")</f>
        <v>1992-120_How_To_Be_A_Perfect_Servant_Of_Lord_Ganesh_BG-07_20_Mumbai_-_04-10-92_IDesireTree.mp3</v>
      </c>
      <c r="D473" s="11"/>
      <c r="E473" s="11"/>
    </row>
    <row r="474" spans="1:5">
      <c r="A474" s="12" t="s">
        <v>12462</v>
      </c>
      <c r="B474" s="12" t="s">
        <v>13447</v>
      </c>
      <c r="C474" s="13" t="str">
        <f>HYPERLINK("https://audio.iskcondesiretree.com/02_-_ISKCON_Swamis/ISKCON_Swamis_-_R_to_Y/His_Holiness_Radhanath_Swami/Lectures/00_-_Year_wise/Devotional_Nectar_-_1992/1992-121_Real_Sacrifice_SB-10_40_06-12_Mumbai_-_Radhanath_Swami_1992-10-04_IDesireTree.mp3", "1992-121_Real_Sacrifice_SB-10_40_06-12_Mumbai_-_Radhanath_Swami_1992-10-04_IDesireTree.mp3")</f>
        <v>1992-121_Real_Sacrifice_SB-10_40_06-12_Mumbai_-_Radhanath_Swami_1992-10-04_IDesireTree.mp3</v>
      </c>
      <c r="D474" s="11"/>
      <c r="E474" s="11"/>
    </row>
    <row r="475" spans="1:5">
      <c r="A475" s="12" t="s">
        <v>12462</v>
      </c>
      <c r="B475" s="12" t="s">
        <v>13448</v>
      </c>
      <c r="C475" s="13" t="str">
        <f>HYPERLINK("https://audio.iskcondesiretree.com/02_-_ISKCON_Swamis/ISKCON_Swamis_-_R_to_Y/His_Holiness_Radhanath_Swami/Lectures/00_-_Year_wise/Devotional_Nectar_-_1992/1992-122_Spiritual_Vision_SB-10_16_17-18_Mumbai_-_Radhanath_Swami_1992-11-14_IDesireTree.mp3", "1992-122_Spiritual_Vision_SB-10_16_17-18_Mumbai_-_Radhanath_Swami_1992-11-14_IDesireTree.mp3")</f>
        <v>1992-122_Spiritual_Vision_SB-10_16_17-18_Mumbai_-_Radhanath_Swami_1992-11-14_IDesireTree.mp3</v>
      </c>
      <c r="D475" s="11"/>
      <c r="E475" s="11"/>
    </row>
    <row r="476" spans="1:5">
      <c r="A476" s="12" t="s">
        <v>12462</v>
      </c>
      <c r="B476" s="12" t="s">
        <v>13449</v>
      </c>
      <c r="C476" s="13" t="str">
        <f>HYPERLINK("https://audio.iskcondesiretree.com/02_-_ISKCON_Swamis/ISKCON_Swamis_-_R_to_Y/His_Holiness_Radhanath_Swami/Lectures/00_-_Year_wise/Devotional_Nectar_-_1992/1992-123_Anything_Disconnected_With_Krishna_Is_Maya_BG-12_18-19_Mumbai_-_15-11-92_IDesireTree.mp3", "1992-123_Anything_Disconnected_With_Krishna_Is_Maya_BG-12_18-19_Mumbai_-_15-11-92_IDesireTree.mp3")</f>
        <v>1992-123_Anything_Disconnected_With_Krishna_Is_Maya_BG-12_18-19_Mumbai_-_15-11-92_IDesireTree.mp3</v>
      </c>
      <c r="D476" s="11"/>
      <c r="E476" s="11"/>
    </row>
    <row r="477" spans="1:5">
      <c r="A477" s="12" t="s">
        <v>12462</v>
      </c>
      <c r="B477" s="12" t="s">
        <v>13450</v>
      </c>
      <c r="C477" s="13" t="str">
        <f>HYPERLINK("https://audio.iskcondesiretree.com/02_-_ISKCON_Swamis/ISKCON_Swamis_-_R_to_Y/His_Holiness_Radhanath_Swami/Lectures/00_-_Year_wise/Devotional_Nectar_-_1992/1992-124_The_Gift_Of_Surrendering_BG-18_78_Mumbai_-_Radhanath_Swami_1992-11-21_IDesireTree.mp3", "1992-124_The_Gift_Of_Surrendering_BG-18_78_Mumbai_-_Radhanath_Swami_1992-11-21_IDesireTree.mp3")</f>
        <v>1992-124_The_Gift_Of_Surrendering_BG-18_78_Mumbai_-_Radhanath_Swami_1992-11-21_IDesireTree.mp3</v>
      </c>
      <c r="D477" s="11"/>
      <c r="E477" s="11"/>
    </row>
    <row r="478" spans="1:5">
      <c r="A478" s="12" t="s">
        <v>12462</v>
      </c>
      <c r="B478" s="12" t="s">
        <v>13451</v>
      </c>
      <c r="C478" s="13" t="str">
        <f>HYPERLINK("https://audio.iskcondesiretree.com/02_-_ISKCON_Swamis/ISKCON_Swamis_-_R_to_Y/His_Holiness_Radhanath_Swami/Lectures/00_-_Year_wise/Devotional_Nectar_-_1992/1992-125_Story_Of_Chitraketu_SB-06_11_16-18_Mumbai_-_Radhanath_Swami_1922-11-22_IDesireTree.mp3", "1992-125_Story_Of_Chitraketu_SB-06_11_16-18_Mumbai_-_Radhanath_Swami_1922-11-22_IDesireTree.mp3")</f>
        <v>1992-125_Story_Of_Chitraketu_SB-06_11_16-18_Mumbai_-_Radhanath_Swami_1922-11-22_IDesireTree.mp3</v>
      </c>
      <c r="D478" s="11"/>
      <c r="E478" s="11"/>
    </row>
    <row r="479" spans="1:5">
      <c r="A479" s="12" t="s">
        <v>12462</v>
      </c>
      <c r="B479" s="12" t="s">
        <v>13452</v>
      </c>
      <c r="C479" s="13" t="str">
        <f>HYPERLINK("https://audio.iskcondesiretree.com/02_-_ISKCON_Swamis/ISKCON_Swamis_-_R_to_Y/His_Holiness_Radhanath_Swami/Lectures/00_-_Year_wise/Devotional_Nectar_-_1992/1992-126_Spiritual_Emotion_SB-10_16_16_Mumbai_-_Radhanath_Swami_1992-11-23_IDesireTree.mp3", "1992-126_Spiritual_Emotion_SB-10_16_16_Mumbai_-_Radhanath_Swami_1992-11-23_IDesireTree.mp3")</f>
        <v>1992-126_Spiritual_Emotion_SB-10_16_16_Mumbai_-_Radhanath_Swami_1992-11-23_IDesireTree.mp3</v>
      </c>
      <c r="D479" s="11"/>
      <c r="E479" s="11"/>
    </row>
    <row r="480" spans="1:5">
      <c r="A480" s="12" t="s">
        <v>12462</v>
      </c>
      <c r="B480" s="12" t="s">
        <v>13453</v>
      </c>
      <c r="C480" s="13" t="str">
        <f>HYPERLINK("https://audio.iskcondesiretree.com/02_-_ISKCON_Swamis/ISKCON_Swamis_-_R_to_Y/His_Holiness_Radhanath_Swami/Lectures/00_-_Year_wise/Devotional_Nectar_-_1992/1992-127_To_Be_On_Red_Alert_Lecture_Mumbai_-_Radhanath_Swami_1992-11-23_IDesireTree.mp3", "1992-127_To_Be_On_Red_Alert_Lecture_Mumbai_-_Radhanath_Swami_1992-11-23_IDesireTree.mp3")</f>
        <v>1992-127_To_Be_On_Red_Alert_Lecture_Mumbai_-_Radhanath_Swami_1992-11-23_IDesireTree.mp3</v>
      </c>
      <c r="D480" s="11"/>
      <c r="E480" s="11"/>
    </row>
    <row r="481" spans="1:5">
      <c r="A481" s="12" t="s">
        <v>12462</v>
      </c>
      <c r="B481" s="12" t="s">
        <v>13454</v>
      </c>
      <c r="C481" s="13" t="str">
        <f>HYPERLINK("https://audio.iskcondesiretree.com/02_-_ISKCON_Swamis/ISKCON_Swamis_-_R_to_Y/His_Holiness_Radhanath_Swami/Lectures/00_-_Year_wise/Devotional_Nectar_-_1992/1992-128_Controlling_The_Tongue_Lecture_Mumbai_-_Radhanath_Swami_1992-11-24_IDesireTree.mp3", "1992-128_Controlling_The_Tongue_Lecture_Mumbai_-_Radhanath_Swami_1992-11-24_IDesireTree.mp3")</f>
        <v>1992-128_Controlling_The_Tongue_Lecture_Mumbai_-_Radhanath_Swami_1992-11-24_IDesireTree.mp3</v>
      </c>
      <c r="D481" s="11"/>
      <c r="E481" s="11"/>
    </row>
    <row r="482" spans="1:5">
      <c r="A482" s="12" t="s">
        <v>12462</v>
      </c>
      <c r="B482" s="12" t="s">
        <v>13455</v>
      </c>
      <c r="C482" s="13" t="str">
        <f>HYPERLINK("https://audio.iskcondesiretree.com/02_-_ISKCON_Swamis/ISKCON_Swamis_-_R_to_Y/His_Holiness_Radhanath_Swami/Lectures/00_-_Year_wise/Devotional_Nectar_-_1992/1992-129_Fool%27s_Paradise_vs_Goloka_Vrindavan_SB-10_16_23-26_Mumbai_-_27-11-92_IDesireTree.mp3", "1992-129_Fool%27s_Paradise_vs_Goloka_Vrindavan_SB-10_16_23-26_Mumbai_-_27-11-92_IDesireTree.mp3")</f>
        <v>1992-129_Fool%27s_Paradise_vs_Goloka_Vrindavan_SB-10_16_23-26_Mumbai_-_27-11-92_IDesireTree.mp3</v>
      </c>
      <c r="D482" s="11"/>
      <c r="E482" s="11"/>
    </row>
    <row r="483" spans="1:5">
      <c r="A483" s="12" t="s">
        <v>12462</v>
      </c>
      <c r="B483" s="12" t="s">
        <v>13456</v>
      </c>
      <c r="C483" s="13" t="str">
        <f>HYPERLINK("https://audio.iskcondesiretree.com/02_-_ISKCON_Swamis/ISKCON_Swamis_-_R_to_Y/His_Holiness_Radhanath_Swami/Lectures/00_-_Year_wise/Devotional_Nectar_-_1992/1992-130_Fortune_Of_Kaliyuga_People_SB-11_05_36_Mumbai_-_Radhanath_Swami_1992-11-27_IDesireTree.mp3", "1992-130_Fortune_Of_Kaliyuga_People_SB-11_05_36_Mumbai_-_Radhanath_Swami_1992-11-27_IDesireTree.mp3")</f>
        <v>1992-130_Fortune_Of_Kaliyuga_People_SB-11_05_36_Mumbai_-_Radhanath_Swami_1992-11-27_IDesireTree.mp3</v>
      </c>
      <c r="D483" s="11"/>
      <c r="E483" s="11"/>
    </row>
    <row r="484" spans="1:5">
      <c r="A484" s="12" t="s">
        <v>12462</v>
      </c>
      <c r="B484" s="12" t="s">
        <v>13457</v>
      </c>
      <c r="C484" s="13" t="str">
        <f>HYPERLINK("https://audio.iskcondesiretree.com/02_-_ISKCON_Swamis/ISKCON_Swamis_-_R_to_Y/His_Holiness_Radhanath_Swami/Lectures/00_-_Year_wise/Devotional_Nectar_-_1992/1992-131_Our_Faith_Is_Our_Life_SB-10_16_25-30_Mumbai_-_Radhanath_Swami_1992-11-28_IDesireTree.mp3", "1992-131_Our_Faith_Is_Our_Life_SB-10_16_25-30_Mumbai_-_Radhanath_Swami_1992-11-28_IDesireTree.mp3")</f>
        <v>1992-131_Our_Faith_Is_Our_Life_SB-10_16_25-30_Mumbai_-_Radhanath_Swami_1992-11-28_IDesireTree.mp3</v>
      </c>
      <c r="D484" s="11"/>
      <c r="E484" s="11"/>
    </row>
    <row r="485" spans="1:5">
      <c r="A485" s="12" t="s">
        <v>12462</v>
      </c>
      <c r="B485" s="12" t="s">
        <v>13458</v>
      </c>
      <c r="C485" s="13" t="str">
        <f>HYPERLINK("https://audio.iskcondesiretree.com/02_-_ISKCON_Swamis/ISKCON_Swamis_-_R_to_Y/His_Holiness_Radhanath_Swami/Lectures/00_-_Year_wise/Devotional_Nectar_-_1992/1992-132_Love_And_Compassion_SB-06_10_08-10_Mumbai_-_Radhanath_Swami_1992-11-28_IDesireTree.mp3", "1992-132_Love_And_Compassion_SB-06_10_08-10_Mumbai_-_Radhanath_Swami_1992-11-28_IDesireTree.mp3")</f>
        <v>1992-132_Love_And_Compassion_SB-06_10_08-10_Mumbai_-_Radhanath_Swami_1992-11-28_IDesireTree.mp3</v>
      </c>
      <c r="D485" s="11"/>
      <c r="E485" s="11"/>
    </row>
    <row r="486" spans="1:5">
      <c r="A486" s="12" t="s">
        <v>12462</v>
      </c>
      <c r="B486" s="12" t="s">
        <v>13459</v>
      </c>
      <c r="C486" s="13" t="str">
        <f>HYPERLINK("https://audio.iskcondesiretree.com/02_-_ISKCON_Swamis/ISKCON_Swamis_-_R_to_Y/His_Holiness_Radhanath_Swami/Lectures/00_-_Year_wise/Devotional_Nectar_-_1992/1992-133_The_Proof_Of_The_Process_SB-10_16_36-38_Mumbai_-_Radhanath_Swami_1992-12-02_IDesireTree.mp3", "1992-133_The_Proof_Of_The_Process_SB-10_16_36-38_Mumbai_-_Radhanath_Swami_1992-12-02_IDesireTree.mp3")</f>
        <v>1992-133_The_Proof_Of_The_Process_SB-10_16_36-38_Mumbai_-_Radhanath_Swami_1992-12-02_IDesireTree.mp3</v>
      </c>
      <c r="D486" s="11"/>
      <c r="E486" s="11"/>
    </row>
    <row r="487" spans="1:5">
      <c r="A487" s="12" t="s">
        <v>12462</v>
      </c>
      <c r="B487" s="12" t="s">
        <v>13460</v>
      </c>
      <c r="C487" s="13" t="str">
        <f>HYPERLINK("https://audio.iskcondesiretree.com/02_-_ISKCON_Swamis/ISKCON_Swamis_-_R_to_Y/His_Holiness_Radhanath_Swami/Lectures/00_-_Year_wise/Devotional_Nectar_-_1992/1992-134_Understanding_Prabhupada%27s_Mission_Lecture_Columbus_-_7-12-92_IDesireTree.mp3", "1992-134_Understanding_Prabhupada%27s_Mission_Lecture_Columbus_-_7-12-92_IDesireTree.mp3")</f>
        <v>1992-134_Understanding_Prabhupada%27s_Mission_Lecture_Columbus_-_7-12-92_IDesireTree.mp3</v>
      </c>
      <c r="D487" s="11"/>
      <c r="E487" s="11"/>
    </row>
    <row r="488" spans="1:5">
      <c r="A488" s="12" t="s">
        <v>12462</v>
      </c>
      <c r="B488" s="12" t="s">
        <v>13461</v>
      </c>
      <c r="C488" s="13" t="str">
        <f>HYPERLINK("https://audio.iskcondesiretree.com/02_-_ISKCON_Swamis/ISKCON_Swamis_-_R_to_Y/His_Holiness_Radhanath_Swami/Lectures/00_-_Year_wise/Devotional_Nectar_-_1992/1992-135_Story_Of_Prahlad_Maharaj_SB-07_05_11_Mumbai_-_Radhanath_Swami_1992-12-09_IDesireTree.mp3", "1992-135_Story_Of_Prahlad_Maharaj_SB-07_05_11_Mumbai_-_Radhanath_Swami_1992-12-09_IDesireTree.mp3")</f>
        <v>1992-135_Story_Of_Prahlad_Maharaj_SB-07_05_11_Mumbai_-_Radhanath_Swami_1992-12-09_IDesireTree.mp3</v>
      </c>
      <c r="D488" s="11"/>
      <c r="E488" s="11"/>
    </row>
    <row r="489" spans="1:5">
      <c r="A489" s="12" t="s">
        <v>12462</v>
      </c>
      <c r="B489" s="12" t="s">
        <v>13462</v>
      </c>
      <c r="C489" s="13" t="str">
        <f>HYPERLINK("https://audio.iskcondesiretree.com/02_-_ISKCON_Swamis/ISKCON_Swamis_-_R_to_Y/His_Holiness_Radhanath_Swami/Lectures/00_-_Year_wise/Devotional_Nectar_-_1992/1992-136_Hearing_Means_To_Put_Into_Action_SB-10_16_56-57_Mumbai_-_10-12-92_IDesireTree.mp3", "1992-136_Hearing_Means_To_Put_Into_Action_SB-10_16_56-57_Mumbai_-_10-12-92_IDesireTree.mp3")</f>
        <v>1992-136_Hearing_Means_To_Put_Into_Action_SB-10_16_56-57_Mumbai_-_10-12-92_IDesireTree.mp3</v>
      </c>
      <c r="D489" s="11"/>
      <c r="E489" s="11"/>
    </row>
    <row r="490" spans="1:5">
      <c r="A490" s="12" t="s">
        <v>12462</v>
      </c>
      <c r="B490" s="12" t="s">
        <v>13463</v>
      </c>
      <c r="C490" s="13" t="str">
        <f>HYPERLINK("https://audio.iskcondesiretree.com/02_-_ISKCON_Swamis/ISKCON_Swamis_-_R_to_Y/His_Holiness_Radhanath_Swami/Lectures/00_-_Year_wise/Devotional_Nectar_-_1992/1992-137_Lord_Rama%27s_Pastimes_Lecture_Mumbai_-_Radhanath_Swami_1992-10-05_IDesireTree.mp3", "1992-137_Lord_Rama%27s_Pastimes_Lecture_Mumbai_-_Radhanath_Swami_1992-10-05_IDesireTree.mp3")</f>
        <v>1992-137_Lord_Rama%27s_Pastimes_Lecture_Mumbai_-_Radhanath_Swami_1992-10-05_IDesireTree.mp3</v>
      </c>
      <c r="D490" s="11"/>
      <c r="E490" s="11"/>
    </row>
    <row r="491" spans="1:5">
      <c r="A491" s="12" t="s">
        <v>12462</v>
      </c>
      <c r="B491" s="12" t="s">
        <v>13464</v>
      </c>
      <c r="C491" s="13" t="str">
        <f>HYPERLINK("https://audio.iskcondesiretree.com/02_-_ISKCON_Swamis/ISKCON_Swamis_-_R_to_Y/His_Holiness_Radhanath_Swami/Lectures/00_-_Year_wise/Devotional_Nectar_-_1992/1992-138_Overcoming_Material_Conditioning_SB-10_16_57-59_Mumbai_-_11-12-92_IDesireTree.mp3", "1992-138_Overcoming_Material_Conditioning_SB-10_16_57-59_Mumbai_-_11-12-92_IDesireTree.mp3")</f>
        <v>1992-138_Overcoming_Material_Conditioning_SB-10_16_57-59_Mumbai_-_11-12-92_IDesireTree.mp3</v>
      </c>
      <c r="D491" s="11"/>
      <c r="E491" s="11"/>
    </row>
    <row r="492" spans="1:5">
      <c r="A492" s="12" t="s">
        <v>12462</v>
      </c>
      <c r="B492" s="12" t="s">
        <v>13465</v>
      </c>
      <c r="C492" s="13" t="str">
        <f>HYPERLINK("https://audio.iskcondesiretree.com/02_-_ISKCON_Swamis/ISKCON_Swamis_-_R_to_Y/His_Holiness_Radhanath_Swami/Lectures/00_-_Year_wise/Devotional_Nectar_-_1992/1992-139_Prayers_Of_Vaishnavas_Never_Go_In_Vain_SB-10_16_60-64_Mumbai_-_12-12-92_IDesireTree.mp3", "1992-139_Prayers_Of_Vaishnavas_Never_Go_In_Vain_SB-10_16_60-64_Mumbai_-_12-12-92_IDesireTree.mp3")</f>
        <v>1992-139_Prayers_Of_Vaishnavas_Never_Go_In_Vain_SB-10_16_60-64_Mumbai_-_12-12-92_IDesireTree.mp3</v>
      </c>
      <c r="D492" s="11"/>
      <c r="E492" s="11"/>
    </row>
    <row r="493" spans="1:5">
      <c r="A493" s="12" t="s">
        <v>12462</v>
      </c>
      <c r="B493" s="12" t="s">
        <v>13466</v>
      </c>
      <c r="C493" s="13" t="str">
        <f>HYPERLINK("https://audio.iskcondesiretree.com/02_-_ISKCON_Swamis/ISKCON_Swamis_-_R_to_Y/His_Holiness_Radhanath_Swami/Lectures/00_-_Year_wise/Devotional_Nectar_-_1992/1992-140_Only_Surrender_SB-02_04_21_Mumbai_-_Radhanath_Swami_1992-12-13_IDesireTree.mp3", "1992-140_Only_Surrender_SB-02_04_21_Mumbai_-_Radhanath_Swami_1992-12-13_IDesireTree.mp3")</f>
        <v>1992-140_Only_Surrender_SB-02_04_21_Mumbai_-_Radhanath_Swami_1992-12-13_IDesireTree.mp3</v>
      </c>
      <c r="D493" s="11"/>
      <c r="E493" s="11"/>
    </row>
    <row r="494" spans="1:5">
      <c r="A494" s="12" t="s">
        <v>12462</v>
      </c>
      <c r="B494" s="12" t="s">
        <v>13467</v>
      </c>
      <c r="C494" s="13" t="str">
        <f>HYPERLINK("https://audio.iskcondesiretree.com/02_-_ISKCON_Swamis/ISKCON_Swamis_-_R_to_Y/His_Holiness_Radhanath_Swami/Lectures/00_-_Year_wise/Devotional_Nectar_-_1992/1992-141_What_Do_You_have_To_Renounce_SB-10_16_65-67_Mumbai_-_13-12-92_IDesireTree.mp3", "1992-141_What_Do_You_have_To_Renounce_SB-10_16_65-67_Mumbai_-_13-12-92_IDesireTree.mp3")</f>
        <v>1992-141_What_Do_You_have_To_Renounce_SB-10_16_65-67_Mumbai_-_13-12-92_IDesireTree.mp3</v>
      </c>
      <c r="D494" s="11"/>
      <c r="E494" s="11"/>
    </row>
    <row r="495" spans="1:5">
      <c r="A495" s="12" t="s">
        <v>12462</v>
      </c>
      <c r="B495" s="12" t="s">
        <v>13468</v>
      </c>
      <c r="C495" s="13" t="str">
        <f>HYPERLINK("https://audio.iskcondesiretree.com/02_-_ISKCON_Swamis/ISKCON_Swamis_-_R_to_Y/His_Holiness_Radhanath_Swami/Lectures/00_-_Year_wise/Devotional_Nectar_-_1992/1992-142_Let_Lord_Krishna_Devastate_Our_False_Ego_SB-10_17_1-3_Mumbai_-_15-12-92_IDesireTree.mp3", "1992-142_Let_Lord_Krishna_Devastate_Our_False_Ego_SB-10_17_1-3_Mumbai_-_15-12-92_IDesireTree.mp3")</f>
        <v>1992-142_Let_Lord_Krishna_Devastate_Our_False_Ego_SB-10_17_1-3_Mumbai_-_15-12-92_IDesireTree.mp3</v>
      </c>
      <c r="D495" s="11"/>
      <c r="E495" s="11"/>
    </row>
    <row r="496" spans="1:5">
      <c r="A496" s="12" t="s">
        <v>12462</v>
      </c>
      <c r="B496" s="12" t="s">
        <v>13469</v>
      </c>
      <c r="C496" s="13" t="str">
        <f>HYPERLINK("https://audio.iskcondesiretree.com/02_-_ISKCON_Swamis/ISKCON_Swamis_-_R_to_Y/His_Holiness_Radhanath_Swami/Lectures/00_-_Year_wise/Devotional_Nectar_-_1992/1992-143_Beware_Of_Mad_Elephant_Offence_SB-10_17_12_Mumbai_-_17-12-92_IDesireTree.mp3", "1992-143_Beware_Of_Mad_Elephant_Offence_SB-10_17_12_Mumbai_-_17-12-92_IDesireTree.mp3")</f>
        <v>1992-143_Beware_Of_Mad_Elephant_Offence_SB-10_17_12_Mumbai_-_17-12-92_IDesireTree.mp3</v>
      </c>
      <c r="D496" s="11"/>
      <c r="E496" s="11"/>
    </row>
    <row r="497" spans="1:5">
      <c r="A497" s="12" t="s">
        <v>12462</v>
      </c>
      <c r="B497" s="12" t="s">
        <v>13470</v>
      </c>
      <c r="C497" s="13" t="str">
        <f>HYPERLINK("https://audio.iskcondesiretree.com/02_-_ISKCON_Swamis/ISKCON_Swamis_-_R_to_Y/His_Holiness_Radhanath_Swami/Lectures/00_-_Year_wise/Devotional_Nectar_-_1992/1992-144_Spiritual_Warfare_SB-10_17_21-22_Mumbai_-_Radhanath_Swami_1992-12-18_IDesireTree.mp3", "1992-144_Spiritual_Warfare_SB-10_17_21-22_Mumbai_-_Radhanath_Swami_1992-12-18_IDesireTree.mp3")</f>
        <v>1992-144_Spiritual_Warfare_SB-10_17_21-22_Mumbai_-_Radhanath_Swami_1992-12-18_IDesireTree.mp3</v>
      </c>
      <c r="D497" s="11"/>
      <c r="E497" s="11"/>
    </row>
    <row r="498" spans="1:5">
      <c r="A498" s="12" t="s">
        <v>12462</v>
      </c>
      <c r="B498" s="12" t="s">
        <v>13471</v>
      </c>
      <c r="C498" s="13" t="str">
        <f>HYPERLINK("https://audio.iskcondesiretree.com/02_-_ISKCON_Swamis/ISKCON_Swamis_-_R_to_Y/His_Holiness_Radhanath_Swami/Lectures/00_-_Year_wise/Devotional_Nectar_-_1992/1992-145_Sense_Gratification_And_Bhakti_Go_Ill_Together_SB-05_05_7_Mumbai_-_18-12-92_IDesireTree.mp3", "1992-145_Sense_Gratification_And_Bhakti_Go_Ill_Together_SB-05_05_7_Mumbai_-_18-12-92_IDesireTree.mp3")</f>
        <v>1992-145_Sense_Gratification_And_Bhakti_Go_Ill_Together_SB-05_05_7_Mumbai_-_18-12-92_IDesireTree.mp3</v>
      </c>
      <c r="D498" s="11"/>
      <c r="E498" s="11"/>
    </row>
    <row r="499" spans="1:5">
      <c r="A499" s="12" t="s">
        <v>12462</v>
      </c>
      <c r="B499" s="12" t="s">
        <v>13472</v>
      </c>
      <c r="C499" s="13" t="str">
        <f>HYPERLINK("https://audio.iskcondesiretree.com/02_-_ISKCON_Swamis/ISKCON_Swamis_-_R_to_Y/His_Holiness_Radhanath_Swami/Lectures/00_-_Year_wise/Devotional_Nectar_-_1992/1992-146_Only_One_Reality_SB-01_02_07_Mumbai_-_Radhanath_Swami_1992-12-19_IDesireTree.mp3", "1992-146_Only_One_Reality_SB-01_02_07_Mumbai_-_Radhanath_Swami_1992-12-19_IDesireTree.mp3")</f>
        <v>1992-146_Only_One_Reality_SB-01_02_07_Mumbai_-_Radhanath_Swami_1992-12-19_IDesireTree.mp3</v>
      </c>
      <c r="D499" s="11"/>
      <c r="E499" s="11"/>
    </row>
    <row r="500" spans="1:5">
      <c r="A500" s="12" t="s">
        <v>12462</v>
      </c>
      <c r="B500" s="12" t="s">
        <v>13473</v>
      </c>
      <c r="C500" s="13" t="str">
        <f>HYPERLINK("https://audio.iskcondesiretree.com/02_-_ISKCON_Swamis/ISKCON_Swamis_-_R_to_Y/His_Holiness_Radhanath_Swami/Lectures/00_-_Year_wise/Devotional_Nectar_-_1992/1992-147_Vrajabasi_Spirits_SB-10_18_01-07_Mumbai_-_Radhanath_Swami_1992-12-20_IDesireTree.mp3", "1992-147_Vrajabasi_Spirits_SB-10_18_01-07_Mumbai_-_Radhanath_Swami_1992-12-20_IDesireTree.mp3")</f>
        <v>1992-147_Vrajabasi_Spirits_SB-10_18_01-07_Mumbai_-_Radhanath_Swami_1992-12-20_IDesireTree.mp3</v>
      </c>
      <c r="D500" s="11"/>
      <c r="E500" s="11"/>
    </row>
    <row r="501" spans="1:5">
      <c r="A501" s="12" t="s">
        <v>12462</v>
      </c>
      <c r="B501" s="12" t="s">
        <v>13474</v>
      </c>
      <c r="C501" s="13" t="str">
        <f>HYPERLINK("https://audio.iskcondesiretree.com/02_-_ISKCON_Swamis/ISKCON_Swamis_-_R_to_Y/His_Holiness_Radhanath_Swami/Lectures/00_-_Year_wise/Devotional_Nectar_-_1992/1992-148_Free_Yourself_From_Material_Modes_BG-14_05_Mumbai_-_20-12-92_IDesireTree.mp3", "1992-148_Free_Yourself_From_Material_Modes_BG-14_05_Mumbai_-_20-12-92_IDesireTree.mp3")</f>
        <v>1992-148_Free_Yourself_From_Material_Modes_BG-14_05_Mumbai_-_20-12-92_IDesireTree.mp3</v>
      </c>
      <c r="D501" s="11"/>
      <c r="E501" s="11"/>
    </row>
    <row r="502" spans="1:5">
      <c r="A502" s="12" t="s">
        <v>12462</v>
      </c>
      <c r="B502" s="12" t="s">
        <v>13475</v>
      </c>
      <c r="C502" s="13" t="str">
        <f>HYPERLINK("https://audio.iskcondesiretree.com/02_-_ISKCON_Swamis/ISKCON_Swamis_-_R_to_Y/His_Holiness_Radhanath_Swami/Lectures/00_-_Year_wise/Devotional_Nectar_-_1992/1992-149_Truth_Of_God_Consciousness_SB-03_04_21_Mumbai_-_Radhanath_Swami_1992-12-20_IDesireTree.mp3", "1992-149_Truth_Of_God_Consciousness_SB-03_04_21_Mumbai_-_Radhanath_Swami_1992-12-20_IDesireTree.mp3")</f>
        <v>1992-149_Truth_Of_God_Consciousness_SB-03_04_21_Mumbai_-_Radhanath_Swami_1992-12-20_IDesireTree.mp3</v>
      </c>
      <c r="D502" s="11"/>
      <c r="E502" s="11"/>
    </row>
    <row r="503" spans="1:5">
      <c r="A503" s="12" t="s">
        <v>12462</v>
      </c>
      <c r="B503" s="12" t="s">
        <v>13476</v>
      </c>
      <c r="C503" s="13" t="str">
        <f>HYPERLINK("https://audio.iskcondesiretree.com/02_-_ISKCON_Swamis/ISKCON_Swamis_-_R_to_Y/His_Holiness_Radhanath_Swami/Lectures/00_-_Year_wise/Devotional_Nectar_-_1992/1992-150_Don%27t_Put_Your_Faith_In_This_Material_World_SB-10_18_27_Mumbai_-_24-12-92_IDesireTree.mp3", "1992-150_Don%27t_Put_Your_Faith_In_This_Material_World_SB-10_18_27_Mumbai_-_24-12-92_IDesireTree.mp3")</f>
        <v>1992-150_Don%27t_Put_Your_Faith_In_This_Material_World_SB-10_18_27_Mumbai_-_24-12-92_IDesireTree.mp3</v>
      </c>
      <c r="D503" s="11"/>
      <c r="E503" s="11"/>
    </row>
    <row r="504" spans="1:5">
      <c r="A504" s="12" t="s">
        <v>12462</v>
      </c>
      <c r="B504" s="12" t="s">
        <v>13477</v>
      </c>
      <c r="C504" s="13" t="str">
        <f>HYPERLINK("https://audio.iskcondesiretree.com/02_-_ISKCON_Swamis/ISKCON_Swamis_-_R_to_Y/His_Holiness_Radhanath_Swami/Lectures/00_-_Year_wise/Devotional_Nectar_-_1992/1992-151_Equality_Of_Vision_BG-05_18_Mumbai_-_Radhanath_Swami_1992-12-24_IDesireTree.mp3", "1992-151_Equality_Of_Vision_BG-05_18_Mumbai_-_Radhanath_Swami_1992-12-24_IDesireTree.mp3")</f>
        <v>1992-151_Equality_Of_Vision_BG-05_18_Mumbai_-_Radhanath_Swami_1992-12-24_IDesireTree.mp3</v>
      </c>
      <c r="D504" s="11"/>
      <c r="E504" s="11"/>
    </row>
    <row r="505" spans="1:5">
      <c r="A505" s="12" t="s">
        <v>12462</v>
      </c>
      <c r="B505" s="12" t="s">
        <v>13478</v>
      </c>
      <c r="C505" s="13" t="str">
        <f>HYPERLINK("https://audio.iskcondesiretree.com/02_-_ISKCON_Swamis/ISKCON_Swamis_-_R_to_Y/His_Holiness_Radhanath_Swami/Lectures/00_-_Year_wise/Devotional_Nectar_-_1992/1992-152_Power_Of_Association_SB-03_07_14_Mumbai_-_Radhanath_Swami_1992-12-25_IDesireTree.mp3", "1992-152_Power_Of_Association_SB-03_07_14_Mumbai_-_Radhanath_Swami_1992-12-25_IDesireTree.mp3")</f>
        <v>1992-152_Power_Of_Association_SB-03_07_14_Mumbai_-_Radhanath_Swami_1992-12-25_IDesireTree.mp3</v>
      </c>
      <c r="D505" s="11"/>
      <c r="E505" s="11"/>
    </row>
    <row r="506" spans="1:5">
      <c r="A506" s="12" t="s">
        <v>12462</v>
      </c>
      <c r="B506" s="12" t="s">
        <v>13479</v>
      </c>
      <c r="C506" s="13" t="str">
        <f>HYPERLINK("https://audio.iskcondesiretree.com/02_-_ISKCON_Swamis/ISKCON_Swamis_-_R_to_Y/His_Holiness_Radhanath_Swami/Lectures/00_-_Year_wise/Devotional_Nectar_-_1992/1992-153_Kill_The_Demon_Of_Doubt_SB-10_18_28-32_Mumbai_-_Radhanath_Swami_1992-12-25_IDesireTree.mp3", "1992-153_Kill_The_Demon_Of_Doubt_SB-10_18_28-32_Mumbai_-_Radhanath_Swami_1992-12-25_IDesireTree.mp3")</f>
        <v>1992-153_Kill_The_Demon_Of_Doubt_SB-10_18_28-32_Mumbai_-_Radhanath_Swami_1992-12-25_IDesireTree.mp3</v>
      </c>
      <c r="D506" s="11"/>
      <c r="E506" s="11"/>
    </row>
    <row r="507" spans="1:5">
      <c r="A507" s="12" t="s">
        <v>12462</v>
      </c>
      <c r="B507" s="12" t="s">
        <v>13480</v>
      </c>
      <c r="C507" s="13" t="str">
        <f>HYPERLINK("https://audio.iskcondesiretree.com/02_-_ISKCON_Swamis/ISKCON_Swamis_-_R_to_Y/His_Holiness_Radhanath_Swami/Lectures/00_-_Year_wise/Devotional_Nectar_-_1992/1992-154_Material_Life-_Big_Forest_Fire_SB-10_19_1-12_Mumbai_-_26-12-92_IDesireTree.mp3", "1992-154_Material_Life-_Big_Forest_Fire_SB-10_19_1-12_Mumbai_-_26-12-92_IDesireTree.mp3")</f>
        <v>1992-154_Material_Life-_Big_Forest_Fire_SB-10_19_1-12_Mumbai_-_26-12-92_IDesireTree.mp3</v>
      </c>
      <c r="D507" s="11"/>
      <c r="E507" s="11"/>
    </row>
    <row r="508" spans="1:5">
      <c r="A508" s="12" t="s">
        <v>12462</v>
      </c>
      <c r="B508" s="12" t="s">
        <v>13481</v>
      </c>
      <c r="C508" s="13" t="str">
        <f>HYPERLINK("https://audio.iskcondesiretree.com/02_-_ISKCON_Swamis/ISKCON_Swamis_-_R_to_Y/His_Holiness_Radhanath_Swami/Lectures/00_-_Year_wise/Devotional_Nectar_-_1992/1992-155_Peace_Formula_BG-05-17_Mumbai_-_Radhanath_Swami_1992-12-26_IDesireTree.mp3", "1992-155_Peace_Formula_BG-05-17_Mumbai_-_Radhanath_Swami_1992-12-26_IDesireTree.mp3")</f>
        <v>1992-155_Peace_Formula_BG-05-17_Mumbai_-_Radhanath_Swami_1992-12-26_IDesireTree.mp3</v>
      </c>
      <c r="D508" s="11"/>
      <c r="E508" s="11"/>
    </row>
    <row r="509" spans="1:5">
      <c r="A509" s="12" t="s">
        <v>12462</v>
      </c>
      <c r="B509" s="12" t="s">
        <v>13482</v>
      </c>
      <c r="C509" s="13" t="str">
        <f>HYPERLINK("https://audio.iskcondesiretree.com/02_-_ISKCON_Swamis/ISKCON_Swamis_-_R_to_Y/His_Holiness_Radhanath_Swami/Lectures/00_-_Year_wise/Devotional_Nectar_-_1992/1992-156_Living_In_Harmony_With_Nature_SB-10_20_1-5_Mumbai_-_27-12-92_IDesireTree.mp3", "1992-156_Living_In_Harmony_With_Nature_SB-10_20_1-5_Mumbai_-_27-12-92_IDesireTree.mp3")</f>
        <v>1992-156_Living_In_Harmony_With_Nature_SB-10_20_1-5_Mumbai_-_27-12-92_IDesireTree.mp3</v>
      </c>
      <c r="D509" s="11"/>
      <c r="E509" s="11"/>
    </row>
    <row r="510" spans="1:5">
      <c r="A510" s="12" t="s">
        <v>12462</v>
      </c>
      <c r="B510" s="12" t="s">
        <v>13483</v>
      </c>
      <c r="C510" s="13" t="str">
        <f>HYPERLINK("https://audio.iskcondesiretree.com/02_-_ISKCON_Swamis/ISKCON_Swamis_-_R_to_Y/His_Holiness_Radhanath_Swami/Lectures/00_-_Year_wise/Devotional_Nectar_-_1992/1992-157_Disappearance_Of_Srila_Jiva_Goswami_Lecture_Mumbai_-_27-12-92_IDesireTree.mp3", "1992-157_Disappearance_Of_Srila_Jiva_Goswami_Lecture_Mumbai_-_27-12-92_IDesireTree.mp3")</f>
        <v>1992-157_Disappearance_Of_Srila_Jiva_Goswami_Lecture_Mumbai_-_27-12-92_IDesireTree.mp3</v>
      </c>
      <c r="D510" s="11"/>
      <c r="E510" s="11"/>
    </row>
    <row r="511" spans="1:5">
      <c r="A511" s="12" t="s">
        <v>12462</v>
      </c>
      <c r="B511" s="12" t="s">
        <v>13484</v>
      </c>
      <c r="C511" s="13" t="str">
        <f>HYPERLINK("https://audio.iskcondesiretree.com/02_-_ISKCON_Swamis/ISKCON_Swamis_-_R_to_Y/His_Holiness_Radhanath_Swami/Lectures/00_-_Year_wise/Devotional_Nectar_-_1992/1992-158_Killing_Of_Shishupal_SB-10_87_23_Mumbai_-_Radhanath_Swami_1992-12-27_IDesireTree.mp3", "1992-158_Killing_Of_Shishupal_SB-10_87_23_Mumbai_-_Radhanath_Swami_1992-12-27_IDesireTree.mp3")</f>
        <v>1992-158_Killing_Of_Shishupal_SB-10_87_23_Mumbai_-_Radhanath_Swami_1992-12-27_IDesireTree.mp3</v>
      </c>
      <c r="D511" s="11"/>
      <c r="E511" s="11"/>
    </row>
    <row r="512" spans="1:5">
      <c r="A512" s="12" t="s">
        <v>12462</v>
      </c>
      <c r="B512" s="12" t="s">
        <v>13485</v>
      </c>
      <c r="C512" s="13" t="str">
        <f>HYPERLINK("https://audio.iskcondesiretree.com/02_-_ISKCON_Swamis/ISKCON_Swamis_-_R_to_Y/His_Holiness_Radhanath_Swami/Lectures/00_-_Year_wise/Devotional_Nectar_-_1992/1992-159_Teachings_From_Story_Of_Ajamila_SB-06_02_07_Mumbai_-_28-12-92_IDesireTree.mp3", "1992-159_Teachings_From_Story_Of_Ajamila_SB-06_02_07_Mumbai_-_28-12-92_IDesireTree.mp3")</f>
        <v>1992-159_Teachings_From_Story_Of_Ajamila_SB-06_02_07_Mumbai_-_28-12-92_IDesireTree.mp3</v>
      </c>
      <c r="D512" s="11"/>
      <c r="E512" s="11"/>
    </row>
    <row r="513" spans="1:5">
      <c r="A513" s="12" t="s">
        <v>12462</v>
      </c>
      <c r="B513" s="12" t="s">
        <v>13486</v>
      </c>
      <c r="C513" s="13" t="str">
        <f>HYPERLINK("https://audio.iskcondesiretree.com/02_-_ISKCON_Swamis/ISKCON_Swamis_-_R_to_Y/His_Holiness_Radhanath_Swami/Lectures/00_-_Year_wise/Devotional_Nectar_-_1992/1992-160_Pure_Devotional_Service_Is_Real_Diamond_SB-10_20_8_Mumbai_-_29-12-92_IDesireTree.mp3", "1992-160_Pure_Devotional_Service_Is_Real_Diamond_SB-10_20_8_Mumbai_-_29-12-92_IDesireTree.mp3")</f>
        <v>1992-160_Pure_Devotional_Service_Is_Real_Diamond_SB-10_20_8_Mumbai_-_29-12-92_IDesireTree.mp3</v>
      </c>
      <c r="D513" s="11"/>
      <c r="E513" s="11"/>
    </row>
    <row r="514" spans="1:5">
      <c r="A514" s="12" t="s">
        <v>12462</v>
      </c>
      <c r="B514" s="12" t="s">
        <v>13487</v>
      </c>
      <c r="C514" s="13" t="str">
        <f>HYPERLINK("https://audio.iskcondesiretree.com/02_-_ISKCON_Swamis/ISKCON_Swamis_-_R_to_Y/His_Holiness_Radhanath_Swami/Lectures/00_-_Year_wise/Devotional_Nectar_-_1992/1992-161_Nimai_Pandit%27s_Pastimes_Lecture_Mumbai_-_Radhanath_Swami_1992-12-29_IDesireTree.mp3", "1992-161_Nimai_Pandit%27s_Pastimes_Lecture_Mumbai_-_Radhanath_Swami_1992-12-29_IDesireTree.mp3")</f>
        <v>1992-161_Nimai_Pandit%27s_Pastimes_Lecture_Mumbai_-_Radhanath_Swami_1992-12-29_IDesireTree.mp3</v>
      </c>
      <c r="D514" s="11"/>
      <c r="E514" s="11"/>
    </row>
    <row r="515" spans="1:5">
      <c r="A515" s="12" t="s">
        <v>12462</v>
      </c>
      <c r="B515" s="12" t="s">
        <v>13488</v>
      </c>
      <c r="C515" s="13" t="str">
        <f>HYPERLINK("https://audio.iskcondesiretree.com/02_-_ISKCON_Swamis/ISKCON_Swamis_-_R_to_Y/His_Holiness_Radhanath_Swami/Lectures/00_-_Year_wise/Devotional_Nectar_-_1992/1992-162_Story_Of_King_Parikshit_SB-01_19_07_Mumbai_-_Radhanath_Swami_1992-12-29_IDesireTree.mp3", "1992-162_Story_Of_King_Parikshit_SB-01_19_07_Mumbai_-_Radhanath_Swami_1992-12-29_IDesireTree.mp3")</f>
        <v>1992-162_Story_Of_King_Parikshit_SB-01_19_07_Mumbai_-_Radhanath_Swami_1992-12-29_IDesireTree.mp3</v>
      </c>
      <c r="D515" s="11"/>
      <c r="E515" s="11"/>
    </row>
    <row r="516" spans="1:5">
      <c r="A516" s="12" t="s">
        <v>12462</v>
      </c>
      <c r="B516" s="12" t="s">
        <v>13489</v>
      </c>
      <c r="C516" s="13" t="str">
        <f>HYPERLINK("https://audio.iskcondesiretree.com/02_-_ISKCON_Swamis/ISKCON_Swamis_-_R_to_Y/His_Holiness_Radhanath_Swami/Lectures/00_-_Year_wise/Devotional_Nectar_-_1992/1992-163_Developing_Love_Lecture_Mumbai_-_Radhanath_Swami_1992-12-30_IDesireTree.mp3", "1992-163_Developing_Love_Lecture_Mumbai_-_Radhanath_Swami_1992-12-30_IDesireTree.mp3")</f>
        <v>1992-163_Developing_Love_Lecture_Mumbai_-_Radhanath_Swami_1992-12-30_IDesireTree.mp3</v>
      </c>
      <c r="D516" s="11"/>
      <c r="E516" s="11"/>
    </row>
    <row r="517" spans="1:5">
      <c r="A517" s="12" t="s">
        <v>12462</v>
      </c>
      <c r="B517" s="12" t="s">
        <v>13490</v>
      </c>
      <c r="C517" s="13" t="str">
        <f>HYPERLINK("https://audio.iskcondesiretree.com/02_-_ISKCON_Swamis/ISKCON_Swamis_-_R_to_Y/His_Holiness_Radhanath_Swami/Lectures/00_-_Year_wise/Devotional_Nectar_-_1992/1992-164_Introduction_To_Pune_Yatra_Lecture_Pune_-_Radhanath_Swami_1992-12-31_IDesireTree.mp3", "1992-164_Introduction_To_Pune_Yatra_Lecture_Pune_-_Radhanath_Swami_1992-12-31_IDesireTree.mp3")</f>
        <v>1992-164_Introduction_To_Pune_Yatra_Lecture_Pune_-_Radhanath_Swami_1992-12-31_IDesireTree.mp3</v>
      </c>
      <c r="D517" s="11"/>
      <c r="E517" s="11"/>
    </row>
    <row r="518" spans="1:5">
      <c r="A518" s="12" t="s">
        <v>12462</v>
      </c>
      <c r="B518" s="12" t="s">
        <v>13491</v>
      </c>
      <c r="C518" s="13" t="str">
        <f>HYPERLINK("https://audio.iskcondesiretree.com/02_-_ISKCON_Swamis/ISKCON_Swamis_-_R_to_Y/His_Holiness_Radhanath_Swami/Lectures/00_-_Year_wise/Devotional_Nectar_-_1993/1993-001_No_One_Is_Hopeless_Lecture_Pune_-_Radhanath_Swami_1993-01-01_IDesireTree.mp3", "1993-001_No_One_Is_Hopeless_Lecture_Pune_-_Radhanath_Swami_1993-01-01_IDesireTree.mp3")</f>
        <v>1993-001_No_One_Is_Hopeless_Lecture_Pune_-_Radhanath_Swami_1993-01-01_IDesireTree.mp3</v>
      </c>
      <c r="D518" s="11"/>
      <c r="E518" s="11"/>
    </row>
    <row r="519" spans="1:5">
      <c r="A519" s="12" t="s">
        <v>12462</v>
      </c>
      <c r="B519" s="12" t="s">
        <v>13492</v>
      </c>
      <c r="C519" s="13" t="str">
        <f>HYPERLINK("https://audio.iskcondesiretree.com/02_-_ISKCON_Swamis/ISKCON_Swamis_-_R_to_Y/His_Holiness_Radhanath_Swami/Lectures/00_-_Year_wise/Devotional_Nectar_-_1993/1993-002_What_is_real_satsang_SB-10_20_15_Pune_-_Radhanath_Swami_1993-01-03_IDesireTree.mp3", "1993-002_What_is_real_satsang_SB-10_20_15_Pune_-_Radhanath_Swami_1993-01-03_IDesireTree.mp3")</f>
        <v>1993-002_What_is_real_satsang_SB-10_20_15_Pune_-_Radhanath_Swami_1993-01-03_IDesireTree.mp3</v>
      </c>
      <c r="D519" s="11"/>
      <c r="E519" s="11"/>
    </row>
    <row r="520" spans="1:5">
      <c r="A520" s="12" t="s">
        <v>12462</v>
      </c>
      <c r="B520" s="12" t="s">
        <v>13493</v>
      </c>
      <c r="C520" s="13" t="str">
        <f>HYPERLINK("https://audio.iskcondesiretree.com/02_-_ISKCON_Swamis/ISKCON_Swamis_-_R_to_Y/His_Holiness_Radhanath_Swami/Lectures/00_-_Year_wise/Devotional_Nectar_-_1993/1993-003_Krsna_can_tear_down_the_wall_of_Illusion_SB-10_20_18_-_05-01-93_IDesireTree.mp3", "1993-003_Krsna_can_tear_down_the_wall_of_Illusion_SB-10_20_18_-_05-01-93_IDesireTree.mp3")</f>
        <v>1993-003_Krsna_can_tear_down_the_wall_of_Illusion_SB-10_20_18_-_05-01-93_IDesireTree.mp3</v>
      </c>
      <c r="D520" s="11"/>
      <c r="E520" s="11"/>
    </row>
    <row r="521" spans="1:5">
      <c r="A521" s="12" t="s">
        <v>12462</v>
      </c>
      <c r="B521" s="12" t="s">
        <v>13494</v>
      </c>
      <c r="C521" s="13" t="str">
        <f>HYPERLINK("https://audio.iskcondesiretree.com/02_-_ISKCON_Swamis/ISKCON_Swamis_-_R_to_Y/His_Holiness_Radhanath_Swami/Lectures/00_-_Year_wise/Devotional_Nectar_-_1993/1993-004_Meaning_Of_False_Pride_SB-10_20_19_Mumbai_-_Radhanath_Swami_1993-01-06_IDesireTree.mp3", "1993-004_Meaning_Of_False_Pride_SB-10_20_19_Mumbai_-_Radhanath_Swami_1993-01-06_IDesireTree.mp3")</f>
        <v>1993-004_Meaning_Of_False_Pride_SB-10_20_19_Mumbai_-_Radhanath_Swami_1993-01-06_IDesireTree.mp3</v>
      </c>
      <c r="D521" s="11"/>
      <c r="E521" s="11"/>
    </row>
    <row r="522" spans="1:5">
      <c r="A522" s="12" t="s">
        <v>12462</v>
      </c>
      <c r="B522" s="12" t="s">
        <v>13495</v>
      </c>
      <c r="C522" s="13" t="str">
        <f>HYPERLINK("https://audio.iskcondesiretree.com/02_-_ISKCON_Swamis/ISKCON_Swamis_-_R_to_Y/His_Holiness_Radhanath_Swami/Lectures/00_-_Year_wise/Devotional_Nectar_-_1993/1993-005_Story_Of_Maharaj_Chitraketu_SB-06_15_05-06_Mumbai_-_06-01-93_IDesireTree.mp3", "1993-005_Story_Of_Maharaj_Chitraketu_SB-06_15_05-06_Mumbai_-_06-01-93_IDesireTree.mp3")</f>
        <v>1993-005_Story_Of_Maharaj_Chitraketu_SB-06_15_05-06_Mumbai_-_06-01-93_IDesireTree.mp3</v>
      </c>
      <c r="D522" s="11"/>
      <c r="E522" s="11"/>
    </row>
    <row r="523" spans="1:5">
      <c r="A523" s="12" t="s">
        <v>12462</v>
      </c>
      <c r="B523" s="12" t="s">
        <v>13496</v>
      </c>
      <c r="C523" s="13" t="str">
        <f>HYPERLINK("https://audio.iskcondesiretree.com/02_-_ISKCON_Swamis/ISKCON_Swamis_-_R_to_Y/His_Holiness_Radhanath_Swami/Lectures/00_-_Year_wise/Devotional_Nectar_-_1993/1993-006_We_Are_Like_Puppets_In_The_Hands_Of_Death_SB-12_03_1-8_Mumbai_-_09-01-93_IDesireTree.mp3", "1993-006_We_Are_Like_Puppets_In_The_Hands_Of_Death_SB-12_03_1-8_Mumbai_-_09-01-93_IDesireTree.mp3")</f>
        <v>1993-006_We_Are_Like_Puppets_In_The_Hands_Of_Death_SB-12_03_1-8_Mumbai_-_09-01-93_IDesireTree.mp3</v>
      </c>
      <c r="D523" s="11"/>
      <c r="E523" s="11"/>
    </row>
    <row r="524" spans="1:5">
      <c r="A524" s="12" t="s">
        <v>12462</v>
      </c>
      <c r="B524" s="12" t="s">
        <v>13497</v>
      </c>
      <c r="C524" s="13" t="str">
        <f>HYPERLINK("https://audio.iskcondesiretree.com/02_-_ISKCON_Swamis/ISKCON_Swamis_-_R_to_Y/His_Holiness_Radhanath_Swami/Lectures/00_-_Year_wise/Devotional_Nectar_-_1993/1993-007_Highest_Achievements_SB-12_10_23-25_-_Radhanath_Swami_1993-01-10_IDesireTree.mp3", "1993-007_Highest_Achievements_SB-12_10_23-25_-_Radhanath_Swami_1993-01-10_IDesireTree.mp3")</f>
        <v>1993-007_Highest_Achievements_SB-12_10_23-25_-_Radhanath_Swami_1993-01-10_IDesireTree.mp3</v>
      </c>
      <c r="D524" s="11"/>
      <c r="E524" s="11"/>
    </row>
    <row r="525" spans="1:5">
      <c r="A525" s="12" t="s">
        <v>12462</v>
      </c>
      <c r="B525" s="12" t="s">
        <v>13498</v>
      </c>
      <c r="C525" s="13" t="str">
        <f>HYPERLINK("https://audio.iskcondesiretree.com/02_-_ISKCON_Swamis/ISKCON_Swamis_-_R_to_Y/His_Holiness_Radhanath_Swami/Lectures/00_-_Year_wise/Devotional_Nectar_-_1993/1993-008_Tug_Of_War_SB-10_20_25-29_Mumbai_-_Radhanath_Swami_1993-01-11_IDesireTree.mp3", "1993-008_Tug_Of_War_SB-10_20_25-29_Mumbai_-_Radhanath_Swami_1993-01-11_IDesireTree.mp3")</f>
        <v>1993-008_Tug_Of_War_SB-10_20_25-29_Mumbai_-_Radhanath_Swami_1993-01-11_IDesireTree.mp3</v>
      </c>
      <c r="D525" s="11"/>
      <c r="E525" s="11"/>
    </row>
    <row r="526" spans="1:5">
      <c r="A526" s="12" t="s">
        <v>12462</v>
      </c>
      <c r="B526" s="12" t="s">
        <v>13499</v>
      </c>
      <c r="C526" s="13" t="str">
        <f>HYPERLINK("https://audio.iskcondesiretree.com/02_-_ISKCON_Swamis/ISKCON_Swamis_-_R_to_Y/His_Holiness_Radhanath_Swami/Lectures/00_-_Year_wise/Devotional_Nectar_-_1993/1993-009_Four_Paramparas_Lecture_Mumbai_-_Radhanath_Swami_1993-01-12_IDesireTree.mp3", "1993-009_Four_Paramparas_Lecture_Mumbai_-_Radhanath_Swami_1993-01-12_IDesireTree.mp3")</f>
        <v>1993-009_Four_Paramparas_Lecture_Mumbai_-_Radhanath_Swami_1993-01-12_IDesireTree.mp3</v>
      </c>
      <c r="D526" s="11"/>
      <c r="E526" s="11"/>
    </row>
    <row r="527" spans="1:5">
      <c r="A527" s="12" t="s">
        <v>12462</v>
      </c>
      <c r="B527" s="12" t="s">
        <v>13500</v>
      </c>
      <c r="C527" s="13" t="str">
        <f>HYPERLINK("https://audio.iskcondesiretree.com/02_-_ISKCON_Swamis/ISKCON_Swamis_-_R_to_Y/His_Holiness_Radhanath_Swami/Lectures/00_-_Year_wise/Devotional_Nectar_-_1993/1993-010_No_Compromise_Lecture_Mumbai_-_Radhanath_Swami_1993-01-13_IDesireTree.mp3", "1993-010_No_Compromise_Lecture_Mumbai_-_Radhanath_Swami_1993-01-13_IDesireTree.mp3")</f>
        <v>1993-010_No_Compromise_Lecture_Mumbai_-_Radhanath_Swami_1993-01-13_IDesireTree.mp3</v>
      </c>
      <c r="D527" s="11"/>
      <c r="E527" s="11"/>
    </row>
    <row r="528" spans="1:5">
      <c r="A528" s="12" t="s">
        <v>12462</v>
      </c>
      <c r="B528" s="12" t="e">
        <v>#VALUE!</v>
      </c>
      <c r="C528" s="13" t="e">
        <f>HYPERLINK("https://audio.iskcondesiretree.com/02_-_ISKCON_Swamis/ISKCON_Swamis_-_R_to_Y/His_Holiness_Radhanath_Swami/Lectures/00_-_Year_wise/Devotional_Nectar_-_1993/1993-011_Society%27s_Only_Need-_Krishna_Consciousness_SB-10_20_35-36_Mumbai_-_13-01-93_IDesireTree.m"&amp;"p3", "1993-011_Society%27s_Only_Need-_Krishna_Consciousness_SB-10_20_35-36_Mumbai_-_13-01-93_IDesireTree.mp3")</f>
        <v>#VALUE!</v>
      </c>
      <c r="D528" s="11"/>
      <c r="E528" s="11"/>
    </row>
    <row r="529" spans="1:5">
      <c r="A529" s="12" t="s">
        <v>12462</v>
      </c>
      <c r="B529" s="12" t="e">
        <v>#VALUE!</v>
      </c>
      <c r="C529" s="13" t="e">
        <f>HYPERLINK("https://audio.iskcondesiretree.com/02_-_ISKCON_Swamis/ISKCON_Swamis_-_R_to_Y/His_Holiness_Radhanath_Swami/Lectures/00_-_Year_wise/Devotional_Nectar_-_1993/1993-012_Remainder_Of_Our_Lives_Is_Constantly_Decreasing_SB-10_20_37_Mumbai_-_14-01-93_IDesireTree.m"&amp;"p3", "1993-012_Remainder_Of_Our_Lives_Is_Constantly_Decreasing_SB-10_20_37_Mumbai_-_14-01-93_IDesireTree.mp3")</f>
        <v>#VALUE!</v>
      </c>
      <c r="D529" s="11"/>
      <c r="E529" s="11"/>
    </row>
    <row r="530" spans="1:5">
      <c r="A530" s="12" t="s">
        <v>12462</v>
      </c>
      <c r="B530" s="12" t="s">
        <v>13501</v>
      </c>
      <c r="C530" s="13" t="str">
        <f>HYPERLINK("https://audio.iskcondesiretree.com/02_-_ISKCON_Swamis/ISKCON_Swamis_-_R_to_Y/His_Holiness_Radhanath_Swami/Lectures/00_-_Year_wise/Devotional_Nectar_-_1993/1993-013_Even_Jivas_Can_Expand_By_The_Will_Of_Krishna_Lecture_Mumbai_-_14-01-93_IDesireTree.mp3", "1993-013_Even_Jivas_Can_Expand_By_The_Will_Of_Krishna_Lecture_Mumbai_-_14-01-93_IDesireTree.mp3")</f>
        <v>1993-013_Even_Jivas_Can_Expand_By_The_Will_Of_Krishna_Lecture_Mumbai_-_14-01-93_IDesireTree.mp3</v>
      </c>
      <c r="D530" s="11"/>
      <c r="E530" s="11"/>
    </row>
    <row r="531" spans="1:5">
      <c r="A531" s="12" t="s">
        <v>12462</v>
      </c>
      <c r="B531" s="12" t="s">
        <v>13502</v>
      </c>
      <c r="C531" s="13" t="str">
        <f>HYPERLINK("https://audio.iskcondesiretree.com/02_-_ISKCON_Swamis/ISKCON_Swamis_-_R_to_Y/His_Holiness_Radhanath_Swami/Lectures/00_-_Year_wise/Devotional_Nectar_-_1993/1993-014_To_Have_Innocent_Faith_SB-10_20_42-44_Mumbai_-_Radhanath_Swami_1993-01-16_IDesireTree.mp3", "1993-014_To_Have_Innocent_Faith_SB-10_20_42-44_Mumbai_-_Radhanath_Swami_1993-01-16_IDesireTree.mp3")</f>
        <v>1993-014_To_Have_Innocent_Faith_SB-10_20_42-44_Mumbai_-_Radhanath_Swami_1993-01-16_IDesireTree.mp3</v>
      </c>
      <c r="D531" s="11"/>
      <c r="E531" s="11"/>
    </row>
    <row r="532" spans="1:5">
      <c r="A532" s="12" t="s">
        <v>12462</v>
      </c>
      <c r="B532" s="12" t="s">
        <v>13503</v>
      </c>
      <c r="C532" s="13" t="str">
        <f>HYPERLINK("https://audio.iskcondesiretree.com/02_-_ISKCON_Swamis/ISKCON_Swamis_-_R_to_Y/His_Holiness_Radhanath_Swami/Lectures/00_-_Year_wise/Devotional_Nectar_-_1993/1993-015_Enthusiasm_Patience_And_Faith_SB-10_20_45-46_Mumbai_-_17-01-93_IDesireTree.mp3", "1993-015_Enthusiasm_Patience_And_Faith_SB-10_20_45-46_Mumbai_-_17-01-93_IDesireTree.mp3")</f>
        <v>1993-015_Enthusiasm_Patience_And_Faith_SB-10_20_45-46_Mumbai_-_17-01-93_IDesireTree.mp3</v>
      </c>
      <c r="D532" s="11"/>
      <c r="E532" s="11"/>
    </row>
    <row r="533" spans="1:5">
      <c r="A533" s="12" t="s">
        <v>12462</v>
      </c>
      <c r="B533" s="12" t="s">
        <v>13504</v>
      </c>
      <c r="C533" s="13" t="str">
        <f>HYPERLINK("https://audio.iskcondesiretree.com/02_-_ISKCON_Swamis/ISKCON_Swamis_-_R_to_Y/His_Holiness_Radhanath_Swami/Lectures/00_-_Year_wise/Devotional_Nectar_-_1993/1993-016_Who_Is_Rich_Who_Is_Poor_SB-06_03_31-32_Mumbai_-_Radhanath_Swami_1993-01-17_IDesireTree.mp3", "1993-016_Who_Is_Rich_Who_Is_Poor_SB-06_03_31-32_Mumbai_-_Radhanath_Swami_1993-01-17_IDesireTree.mp3")</f>
        <v>1993-016_Who_Is_Rich_Who_Is_Poor_SB-06_03_31-32_Mumbai_-_Radhanath_Swami_1993-01-17_IDesireTree.mp3</v>
      </c>
      <c r="D533" s="11"/>
      <c r="E533" s="11"/>
    </row>
    <row r="534" spans="1:5">
      <c r="A534" s="12" t="s">
        <v>12462</v>
      </c>
      <c r="B534" s="12" t="s">
        <v>13505</v>
      </c>
      <c r="C534" s="13" t="str">
        <f>HYPERLINK("https://audio.iskcondesiretree.com/02_-_ISKCON_Swamis/ISKCON_Swamis_-_R_to_Y/His_Holiness_Radhanath_Swami/Lectures/00_-_Year_wise/Devotional_Nectar_-_1993/1993-017_To_Purify_Our_Heart_SB-01_02_08_-_Radhanath_Swami_1993-01-17_IDesireTree.mp3", "1993-017_To_Purify_Our_Heart_SB-01_02_08_-_Radhanath_Swami_1993-01-17_IDesireTree.mp3")</f>
        <v>1993-017_To_Purify_Our_Heart_SB-01_02_08_-_Radhanath_Swami_1993-01-17_IDesireTree.mp3</v>
      </c>
      <c r="D534" s="11"/>
      <c r="E534" s="11"/>
    </row>
    <row r="535" spans="1:5">
      <c r="A535" s="12" t="s">
        <v>12462</v>
      </c>
      <c r="B535" s="12" t="s">
        <v>13506</v>
      </c>
      <c r="C535" s="13" t="str">
        <f>HYPERLINK("https://audio.iskcondesiretree.com/02_-_ISKCON_Swamis/ISKCON_Swamis_-_R_to_Y/His_Holiness_Radhanath_Swami/Lectures/00_-_Year_wise/Devotional_Nectar_-_1993/1993-018_Discussions_On_Vaishnava_Etiquettes_Lecture_Mumbai_-_17-01-93_IDesireTree.mp3", "1993-018_Discussions_On_Vaishnava_Etiquettes_Lecture_Mumbai_-_17-01-93_IDesireTree.mp3")</f>
        <v>1993-018_Discussions_On_Vaishnava_Etiquettes_Lecture_Mumbai_-_17-01-93_IDesireTree.mp3</v>
      </c>
      <c r="D535" s="11"/>
      <c r="E535" s="11"/>
    </row>
    <row r="536" spans="1:5">
      <c r="A536" s="12" t="s">
        <v>12462</v>
      </c>
      <c r="B536" s="12" t="s">
        <v>13507</v>
      </c>
      <c r="C536" s="13" t="str">
        <f>HYPERLINK("https://audio.iskcondesiretree.com/02_-_ISKCON_Swamis/ISKCON_Swamis_-_R_to_Y/His_Holiness_Radhanath_Swami/Lectures/00_-_Year_wise/Devotional_Nectar_-_1993/1993-019_Death_Means_Eternal_Life_SB-10_20_47-48_Mumbai_-_Radhanath_Swami_1993-01-18_IDesireTree.mp3", "1993-019_Death_Means_Eternal_Life_SB-10_20_47-48_Mumbai_-_Radhanath_Swami_1993-01-18_IDesireTree.mp3")</f>
        <v>1993-019_Death_Means_Eternal_Life_SB-10_20_47-48_Mumbai_-_Radhanath_Swami_1993-01-18_IDesireTree.mp3</v>
      </c>
      <c r="D536" s="11"/>
      <c r="E536" s="11"/>
    </row>
    <row r="537" spans="1:5">
      <c r="A537" s="12" t="s">
        <v>12462</v>
      </c>
      <c r="B537" s="12" t="s">
        <v>13508</v>
      </c>
      <c r="C537" s="13" t="str">
        <f>HYPERLINK("https://audio.iskcondesiretree.com/02_-_ISKCON_Swamis/ISKCON_Swamis_-_R_to_Y/His_Holiness_Radhanath_Swami/Lectures/00_-_Year_wise/Devotional_Nectar_-_1993/1993-020_Valentines_Day_Lecture_-_Radhanath_Swami_1993-02-14_IDesireTree.mp3", "1993-020_Valentines_Day_Lecture_-_Radhanath_Swami_1993-02-14_IDesireTree.mp3")</f>
        <v>1993-020_Valentines_Day_Lecture_-_Radhanath_Swami_1993-02-14_IDesireTree.mp3</v>
      </c>
      <c r="D537" s="11"/>
      <c r="E537" s="11"/>
    </row>
    <row r="538" spans="1:5">
      <c r="A538" s="12" t="s">
        <v>12462</v>
      </c>
      <c r="B538" s="12" t="s">
        <v>13509</v>
      </c>
      <c r="C538" s="13" t="str">
        <f>HYPERLINK("https://audio.iskcondesiretree.com/02_-_ISKCON_Swamis/ISKCON_Swamis_-_R_to_Y/His_Holiness_Radhanath_Swami/Lectures/00_-_Year_wise/Devotional_Nectar_-_1993/1993-021_Athens_BG-10_07_-_Radhanath_Swami_1993-03-10_IDesireTree.mp3", "1993-021_Athens_BG-10_07_-_Radhanath_Swami_1993-03-10_IDesireTree.mp3")</f>
        <v>1993-021_Athens_BG-10_07_-_Radhanath_Swami_1993-03-10_IDesireTree.mp3</v>
      </c>
      <c r="D538" s="11"/>
      <c r="E538" s="11"/>
    </row>
    <row r="539" spans="1:5">
      <c r="A539" s="12" t="s">
        <v>12462</v>
      </c>
      <c r="B539" s="12" t="s">
        <v>13510</v>
      </c>
      <c r="C539" s="13" t="str">
        <f>HYPERLINK("https://audio.iskcondesiretree.com/02_-_ISKCON_Swamis/ISKCON_Swamis_-_R_to_Y/His_Holiness_Radhanath_Swami/Lectures/00_-_Year_wise/Devotional_Nectar_-_1993/1993-022_Humble_Service_Attitude_SB-03_15_33_Vrindavan_-_Radhanath_Swami_1993-03-19_IDesireTree.mp3", "1993-022_Humble_Service_Attitude_SB-03_15_33_Vrindavan_-_Radhanath_Swami_1993-03-19_IDesireTree.mp3")</f>
        <v>1993-022_Humble_Service_Attitude_SB-03_15_33_Vrindavan_-_Radhanath_Swami_1993-03-19_IDesireTree.mp3</v>
      </c>
      <c r="D539" s="11"/>
      <c r="E539" s="11"/>
    </row>
    <row r="540" spans="1:5">
      <c r="A540" s="12" t="s">
        <v>12462</v>
      </c>
      <c r="B540" s="12" t="s">
        <v>13511</v>
      </c>
      <c r="C540" s="13" t="str">
        <f>HYPERLINK("https://audio.iskcondesiretree.com/02_-_ISKCON_Swamis/ISKCON_Swamis_-_R_to_Y/His_Holiness_Radhanath_Swami/Lectures/00_-_Year_wise/Devotional_Nectar_-_1993/1993-023_True_Glorification_Of_Guru_SB-03_16_01-09_Vrindavan_-_20-03-93_IDesireTree.mp3", "1993-023_True_Glorification_Of_Guru_SB-03_16_01-09_Vrindavan_-_20-03-93_IDesireTree.mp3")</f>
        <v>1993-023_True_Glorification_Of_Guru_SB-03_16_01-09_Vrindavan_-_20-03-93_IDesireTree.mp3</v>
      </c>
      <c r="D540" s="11"/>
      <c r="E540" s="11"/>
    </row>
    <row r="541" spans="1:5">
      <c r="A541" s="12" t="s">
        <v>12462</v>
      </c>
      <c r="B541" s="12" t="s">
        <v>13512</v>
      </c>
      <c r="C541" s="13" t="str">
        <f>HYPERLINK("https://audio.iskcondesiretree.com/02_-_ISKCON_Swamis/ISKCON_Swamis_-_R_to_Y/His_Holiness_Radhanath_Swami/Lectures/00_-_Year_wise/Devotional_Nectar_-_1993/1993-024_Power_Of_Krishna_Consciousness_SB-03_16_31_Barsana_-_22-03-93_IDesireTree.mp3", "1993-024_Power_Of_Krishna_Consciousness_SB-03_16_31_Barsana_-_22-03-93_IDesireTree.mp3")</f>
        <v>1993-024_Power_Of_Krishna_Consciousness_SB-03_16_31_Barsana_-_22-03-93_IDesireTree.mp3</v>
      </c>
      <c r="D541" s="11"/>
      <c r="E541" s="11"/>
    </row>
    <row r="542" spans="1:5">
      <c r="A542" s="12" t="s">
        <v>12462</v>
      </c>
      <c r="B542" s="12" t="s">
        <v>13513</v>
      </c>
      <c r="C542" s="13" t="str">
        <f>HYPERLINK("https://audio.iskcondesiretree.com/02_-_ISKCON_Swamis/ISKCON_Swamis_-_R_to_Y/His_Holiness_Radhanath_Swami/Lectures/00_-_Year_wise/Devotional_Nectar_-_1993/1993-025_Blessed_Age_Of_Kaliyuga_Lecture_Mumbai_-_Radhanath_Swami_1993-03-23_IDesireTree.mp3", "1993-025_Blessed_Age_Of_Kaliyuga_Lecture_Mumbai_-_Radhanath_Swami_1993-03-23_IDesireTree.mp3")</f>
        <v>1993-025_Blessed_Age_Of_Kaliyuga_Lecture_Mumbai_-_Radhanath_Swami_1993-03-23_IDesireTree.mp3</v>
      </c>
      <c r="D542" s="11"/>
      <c r="E542" s="11"/>
    </row>
    <row r="543" spans="1:5">
      <c r="A543" s="12" t="s">
        <v>12462</v>
      </c>
      <c r="B543" s="12" t="s">
        <v>13514</v>
      </c>
      <c r="C543" s="13" t="str">
        <f>HYPERLINK("https://audio.iskcondesiretree.com/02_-_ISKCON_Swamis/ISKCON_Swamis_-_R_to_Y/His_Holiness_Radhanath_Swami/Lectures/00_-_Year_wise/Devotional_Nectar_-_1993/1993-026_When_Ego_Is_Attacked_SB-10_25_01-02_-_Radhanath_Swami_1993-03-24_IDesireTree.mp3", "1993-026_When_Ego_Is_Attacked_SB-10_25_01-02_-_Radhanath_Swami_1993-03-24_IDesireTree.mp3")</f>
        <v>1993-026_When_Ego_Is_Attacked_SB-10_25_01-02_-_Radhanath_Swami_1993-03-24_IDesireTree.mp3</v>
      </c>
      <c r="D543" s="11"/>
      <c r="E543" s="11"/>
    </row>
    <row r="544" spans="1:5">
      <c r="A544" s="12" t="s">
        <v>12462</v>
      </c>
      <c r="B544" s="12" t="s">
        <v>13515</v>
      </c>
      <c r="C544" s="13" t="str">
        <f>HYPERLINK("https://audio.iskcondesiretree.com/02_-_ISKCON_Swamis/ISKCON_Swamis_-_R_to_Y/His_Holiness_Radhanath_Swami/Lectures/00_-_Year_wise/Devotional_Nectar_-_1993/1993-027_A_Prison_House_Without_Walls_SB-10_25_03-05_-_Radhanath_Swami_1993-03-25_IDesireTree.mp3", "1993-027_A_Prison_House_Without_Walls_SB-10_25_03-05_-_Radhanath_Swami_1993-03-25_IDesireTree.mp3")</f>
        <v>1993-027_A_Prison_House_Without_Walls_SB-10_25_03-05_-_Radhanath_Swami_1993-03-25_IDesireTree.mp3</v>
      </c>
      <c r="D544" s="11"/>
      <c r="E544" s="11"/>
    </row>
    <row r="545" spans="1:5">
      <c r="A545" s="12" t="s">
        <v>12462</v>
      </c>
      <c r="B545" s="12" t="s">
        <v>13516</v>
      </c>
      <c r="C545" s="13" t="str">
        <f>HYPERLINK("https://audio.iskcondesiretree.com/02_-_ISKCON_Swamis/ISKCON_Swamis_-_R_to_Y/His_Holiness_Radhanath_Swami/Lectures/00_-_Year_wise/Devotional_Nectar_-_1993/1993-028_Lord_Krsna_Wants_to_Purify_His_Devotee_SB-10_25_07-08_-_26-03-93_IDesireTree.mp3", "1993-028_Lord_Krsna_Wants_to_Purify_His_Devotee_SB-10_25_07-08_-_26-03-93_IDesireTree.mp3")</f>
        <v>1993-028_Lord_Krsna_Wants_to_Purify_His_Devotee_SB-10_25_07-08_-_26-03-93_IDesireTree.mp3</v>
      </c>
      <c r="D545" s="11"/>
      <c r="E545" s="11"/>
    </row>
    <row r="546" spans="1:5">
      <c r="A546" s="12" t="s">
        <v>12462</v>
      </c>
      <c r="B546" s="12" t="s">
        <v>13517</v>
      </c>
      <c r="C546" s="13" t="str">
        <f>HYPERLINK("https://audio.iskcondesiretree.com/02_-_ISKCON_Swamis/ISKCON_Swamis_-_R_to_Y/His_Holiness_Radhanath_Swami/Lectures/00_-_Year_wise/Devotional_Nectar_-_1993/1993-029_Purpose_Of_Creation_SB-02_09_36_-_Radhanath_Swami_1993-03-26_IDesireTree.mp3", "1993-029_Purpose_Of_Creation_SB-02_09_36_-_Radhanath_Swami_1993-03-26_IDesireTree.mp3")</f>
        <v>1993-029_Purpose_Of_Creation_SB-02_09_36_-_Radhanath_Swami_1993-03-26_IDesireTree.mp3</v>
      </c>
      <c r="D546" s="11"/>
      <c r="E546" s="11"/>
    </row>
    <row r="547" spans="1:5">
      <c r="A547" s="12" t="s">
        <v>12462</v>
      </c>
      <c r="B547" s="12" t="s">
        <v>13518</v>
      </c>
      <c r="C547" s="13" t="str">
        <f>HYPERLINK("https://audio.iskcondesiretree.com/02_-_ISKCON_Swamis/ISKCON_Swamis_-_R_to_Y/His_Holiness_Radhanath_Swami/Lectures/00_-_Year_wise/Devotional_Nectar_-_1993/1993-031_Accept_Lord_Krishna%27s_Mercy_SB-10_25_11-13_Mumbai_-_27-03-93_IDesireTree.mp3", "1993-031_Accept_Lord_Krishna%27s_Mercy_SB-10_25_11-13_Mumbai_-_27-03-93_IDesireTree.mp3")</f>
        <v>1993-031_Accept_Lord_Krishna%27s_Mercy_SB-10_25_11-13_Mumbai_-_27-03-93_IDesireTree.mp3</v>
      </c>
      <c r="D547" s="11"/>
      <c r="E547" s="11"/>
    </row>
    <row r="548" spans="1:5">
      <c r="A548" s="12" t="s">
        <v>12462</v>
      </c>
      <c r="B548" s="12" t="s">
        <v>13519</v>
      </c>
      <c r="C548" s="13" t="str">
        <f>HYPERLINK("https://audio.iskcondesiretree.com/02_-_ISKCON_Swamis/ISKCON_Swamis_-_R_to_Y/His_Holiness_Radhanath_Swami/Lectures/00_-_Year_wise/Devotional_Nectar_-_1993/1993-032_Following_In_Their_Footsteps_BG-03_21_Mumbai_-_Radhanath_Swami_1993-03-28_IDesireTree.mp3", "1993-032_Following_In_Their_Footsteps_BG-03_21_Mumbai_-_Radhanath_Swami_1993-03-28_IDesireTree.mp3")</f>
        <v>1993-032_Following_In_Their_Footsteps_BG-03_21_Mumbai_-_Radhanath_Swami_1993-03-28_IDesireTree.mp3</v>
      </c>
      <c r="D548" s="11"/>
      <c r="E548" s="11"/>
    </row>
    <row r="549" spans="1:5">
      <c r="A549" s="12" t="s">
        <v>12462</v>
      </c>
      <c r="B549" s="12" t="s">
        <v>13520</v>
      </c>
      <c r="C549" s="13" t="str">
        <f>HYPERLINK("https://audio.iskcondesiretree.com/02_-_ISKCON_Swamis/ISKCON_Swamis_-_R_to_Y/His_Holiness_Radhanath_Swami/Lectures/00_-_Year_wise/Devotional_Nectar_-_1993/1993-033_Meditation_On_Aarati_Lecture_Mumbai_-_Radhanath_Swami_1993-03-29_IDesireTree.mp3", "1993-033_Meditation_On_Aarati_Lecture_Mumbai_-_Radhanath_Swami_1993-03-29_IDesireTree.mp3")</f>
        <v>1993-033_Meditation_On_Aarati_Lecture_Mumbai_-_Radhanath_Swami_1993-03-29_IDesireTree.mp3</v>
      </c>
      <c r="D549" s="11"/>
      <c r="E549" s="11"/>
    </row>
    <row r="550" spans="1:5">
      <c r="A550" s="12" t="s">
        <v>12462</v>
      </c>
      <c r="B550" s="12" t="s">
        <v>13521</v>
      </c>
      <c r="C550" s="13" t="str">
        <f>HYPERLINK("https://audio.iskcondesiretree.com/02_-_ISKCON_Swamis/ISKCON_Swamis_-_R_to_Y/His_Holiness_Radhanath_Swami/Lectures/00_-_Year_wise/Devotional_Nectar_-_1993/1993-034_We_are_not_Indras_SB-10_25_16_17_Mumbai_-_Radhanath_Swami_1993-03-29_IDesireTree.mp3", "1993-034_We_are_not_Indras_SB-10_25_16_17_Mumbai_-_Radhanath_Swami_1993-03-29_IDesireTree.mp3")</f>
        <v>1993-034_We_are_not_Indras_SB-10_25_16_17_Mumbai_-_Radhanath_Swami_1993-03-29_IDesireTree.mp3</v>
      </c>
      <c r="D550" s="11"/>
      <c r="E550" s="11"/>
    </row>
    <row r="551" spans="1:5">
      <c r="A551" s="12" t="s">
        <v>12462</v>
      </c>
      <c r="B551" s="12" t="s">
        <v>13522</v>
      </c>
      <c r="C551" s="13" t="str">
        <f>HYPERLINK("https://audio.iskcondesiretree.com/02_-_ISKCON_Swamis/ISKCON_Swamis_-_R_to_Y/His_Holiness_Radhanath_Swami/Lectures/00_-_Year_wise/Devotional_Nectar_-_1993/1993-035_Gopi%27s_Exalted_Love_for_Lord_Krsna_SB-10_25_18_Mumbai_-_30-03-93_IDesireTree.mp3", "1993-035_Gopi%27s_Exalted_Love_for_Lord_Krsna_SB-10_25_18_Mumbai_-_30-03-93_IDesireTree.mp3")</f>
        <v>1993-035_Gopi%27s_Exalted_Love_for_Lord_Krsna_SB-10_25_18_Mumbai_-_30-03-93_IDesireTree.mp3</v>
      </c>
      <c r="D551" s="11"/>
      <c r="E551" s="11"/>
    </row>
    <row r="552" spans="1:5">
      <c r="A552" s="12" t="s">
        <v>12462</v>
      </c>
      <c r="B552" s="12" t="s">
        <v>13523</v>
      </c>
      <c r="C552" s="13" t="str">
        <f>HYPERLINK("https://audio.iskcondesiretree.com/02_-_ISKCON_Swamis/ISKCON_Swamis_-_R_to_Y/His_Holiness_Radhanath_Swami/Lectures/00_-_Year_wise/Devotional_Nectar_-_1993/1993-036_Glories_Of_lord_Ramachandra_SB-09_10_04_-_Radhanath_Swami_1993-04-01_IDesireTree.mp3", "1993-036_Glories_Of_lord_Ramachandra_SB-09_10_04_-_Radhanath_Swami_1993-04-01_IDesireTree.mp3")</f>
        <v>1993-036_Glories_Of_lord_Ramachandra_SB-09_10_04_-_Radhanath_Swami_1993-04-01_IDesireTree.mp3</v>
      </c>
      <c r="D552" s="11"/>
      <c r="E552" s="11"/>
    </row>
    <row r="553" spans="1:5">
      <c r="A553" s="12" t="s">
        <v>12462</v>
      </c>
      <c r="B553" s="12" t="s">
        <v>13524</v>
      </c>
      <c r="C553" s="13" t="str">
        <f>HYPERLINK("https://audio.iskcondesiretree.com/02_-_ISKCON_Swamis/ISKCON_Swamis_-_R_to_Y/His_Holiness_Radhanath_Swami/Lectures/00_-_Year_wise/Devotional_Nectar_-_1993/1993-037_Lord_Ramachandra%27s_Devotees_Lecture_Mumbai_-_Radhanath_Swami_1993-04-01_IDesireTree.mp3", "1993-037_Lord_Ramachandra%27s_Devotees_Lecture_Mumbai_-_Radhanath_Swami_1993-04-01_IDesireTree.mp3")</f>
        <v>1993-037_Lord_Ramachandra%27s_Devotees_Lecture_Mumbai_-_Radhanath_Swami_1993-04-01_IDesireTree.mp3</v>
      </c>
      <c r="D553" s="11"/>
      <c r="E553" s="11"/>
    </row>
    <row r="554" spans="1:5">
      <c r="A554" s="12" t="s">
        <v>12462</v>
      </c>
      <c r="B554" s="12" t="s">
        <v>13525</v>
      </c>
      <c r="C554" s="13" t="str">
        <f>HYPERLINK("https://audio.iskcondesiretree.com/02_-_ISKCON_Swamis/ISKCON_Swamis_-_R_to_Y/His_Holiness_Radhanath_Swami/Lectures/00_-_Year_wise/Devotional_Nectar_-_1993/1993-038_The_Art_Of_Living_SB-09_10_08_Mumbai_-_Radhanath_Swami_1993-04-02_IDesireTree.mp3", "1993-038_The_Art_Of_Living_SB-09_10_08_Mumbai_-_Radhanath_Swami_1993-04-02_IDesireTree.mp3")</f>
        <v>1993-038_The_Art_Of_Living_SB-09_10_08_Mumbai_-_Radhanath_Swami_1993-04-02_IDesireTree.mp3</v>
      </c>
      <c r="D554" s="11"/>
      <c r="E554" s="11"/>
    </row>
    <row r="555" spans="1:5">
      <c r="A555" s="12" t="s">
        <v>12462</v>
      </c>
      <c r="B555" s="12" t="s">
        <v>13526</v>
      </c>
      <c r="C555" s="13" t="str">
        <f>HYPERLINK("https://audio.iskcondesiretree.com/02_-_ISKCON_Swamis/ISKCON_Swamis_-_R_to_Y/His_Holiness_Radhanath_Swami/Lectures/00_-_Year_wise/Devotional_Nectar_-_1993/1993-039_Supreme_Protector_SB-10_25_20_-_Radhanath_Swami_1993-04-03_IDesireTree.mp3", "1993-039_Supreme_Protector_SB-10_25_20_-_Radhanath_Swami_1993-04-03_IDesireTree.mp3")</f>
        <v>1993-039_Supreme_Protector_SB-10_25_20_-_Radhanath_Swami_1993-04-03_IDesireTree.mp3</v>
      </c>
      <c r="D555" s="11"/>
      <c r="E555" s="11"/>
    </row>
    <row r="556" spans="1:5">
      <c r="A556" s="12" t="s">
        <v>12462</v>
      </c>
      <c r="B556" s="12" t="s">
        <v>13527</v>
      </c>
      <c r="C556" s="13" t="str">
        <f>HYPERLINK("https://audio.iskcondesiretree.com/02_-_ISKCON_Swamis/ISKCON_Swamis_-_R_to_Y/His_Holiness_Radhanath_Swami/Lectures/00_-_Year_wise/Devotional_Nectar_-_1993/1993-040_Power_Of_Preacher_BG-04_15_Mumbai_-_Radhanath_Swami_1993-04-04_IDesireTree.mp3", "1993-040_Power_Of_Preacher_BG-04_15_Mumbai_-_Radhanath_Swami_1993-04-04_IDesireTree.mp3")</f>
        <v>1993-040_Power_Of_Preacher_BG-04_15_Mumbai_-_Radhanath_Swami_1993-04-04_IDesireTree.mp3</v>
      </c>
      <c r="D556" s="11"/>
      <c r="E556" s="11"/>
    </row>
    <row r="557" spans="1:5">
      <c r="A557" s="12" t="s">
        <v>12462</v>
      </c>
      <c r="B557" s="12" t="e">
        <v>#VALUE!</v>
      </c>
      <c r="C557" s="13" t="e">
        <f>HYPERLINK("https://audio.iskcondesiretree.com/02_-_ISKCON_Swamis/ISKCON_Swamis_-_R_to_Y/His_Holiness_Radhanath_Swami/Lectures/00_-_Year_wise/Devotional_Nectar_-_1993/1993-041_Everything_Is_revealed_By_Krsna%27s_Divine_Grace_SB-10_25_24_Mumbai_-_05-04-93_IDesireTree."&amp;"mp3", "1993-041_Everything_Is_revealed_By_Krsna%27s_Divine_Grace_SB-10_25_24_Mumbai_-_05-04-93_IDesireTree.mp3")</f>
        <v>#VALUE!</v>
      </c>
      <c r="D557" s="11"/>
      <c r="E557" s="11"/>
    </row>
    <row r="558" spans="1:5">
      <c r="A558" s="12" t="s">
        <v>12462</v>
      </c>
      <c r="B558" s="12" t="s">
        <v>13528</v>
      </c>
      <c r="C558" s="13" t="str">
        <f>HYPERLINK("https://audio.iskcondesiretree.com/02_-_ISKCON_Swamis/ISKCON_Swamis_-_R_to_Y/His_Holiness_Radhanath_Swami/Lectures/00_-_Year_wise/Devotional_Nectar_-_1993/1993-042_Pitfalls_on_the_path_Lecture_Mumbai_-_Radhanath_Swami_1993-04-06_IDesireTree.mp3", "1993-042_Pitfalls_on_the_path_Lecture_Mumbai_-_Radhanath_Swami_1993-04-06_IDesireTree.mp3")</f>
        <v>1993-042_Pitfalls_on_the_path_Lecture_Mumbai_-_Radhanath_Swami_1993-04-06_IDesireTree.mp3</v>
      </c>
      <c r="D558" s="11"/>
      <c r="E558" s="11"/>
    </row>
    <row r="559" spans="1:5">
      <c r="A559" s="12" t="s">
        <v>12462</v>
      </c>
      <c r="B559" s="12" t="s">
        <v>13529</v>
      </c>
      <c r="C559" s="13" t="str">
        <f>HYPERLINK("https://audio.iskcondesiretree.com/02_-_ISKCON_Swamis/ISKCON_Swamis_-_R_to_Y/His_Holiness_Radhanath_Swami/Lectures/00_-_Year_wise/Devotional_Nectar_-_1993/1993-043_Wonderful_krsna_SB-10_26_01_Mumbai_-_Radhanath_Swami_1993-04-08_IDesireTree.mp3", "1993-043_Wonderful_krsna_SB-10_26_01_Mumbai_-_Radhanath_Swami_1993-04-08_IDesireTree.mp3")</f>
        <v>1993-043_Wonderful_krsna_SB-10_26_01_Mumbai_-_Radhanath_Swami_1993-04-08_IDesireTree.mp3</v>
      </c>
      <c r="D559" s="11"/>
      <c r="E559" s="11"/>
    </row>
    <row r="560" spans="1:5">
      <c r="A560" s="12" t="s">
        <v>12462</v>
      </c>
      <c r="B560" s="12" t="s">
        <v>13530</v>
      </c>
      <c r="C560" s="13" t="str">
        <f>HYPERLINK("https://audio.iskcondesiretree.com/02_-_ISKCON_Swamis/ISKCON_Swamis_-_R_to_Y/His_Holiness_Radhanath_Swami/Lectures/00_-_Year_wise/Devotional_Nectar_-_1993/1993-044_Setting_An_Example_SB-03_04_18_Mumbai_-_Radhanath_Swami_1994-04-09_IDesireTree.mp3", "1993-044_Setting_An_Example_SB-03_04_18_Mumbai_-_Radhanath_Swami_1994-04-09_IDesireTree.mp3")</f>
        <v>1993-044_Setting_An_Example_SB-03_04_18_Mumbai_-_Radhanath_Swami_1994-04-09_IDesireTree.mp3</v>
      </c>
      <c r="D560" s="11"/>
      <c r="E560" s="11"/>
    </row>
    <row r="561" spans="1:5">
      <c r="A561" s="12" t="s">
        <v>12462</v>
      </c>
      <c r="B561" s="12" t="s">
        <v>13531</v>
      </c>
      <c r="C561" s="13" t="str">
        <f>HYPERLINK("https://audio.iskcondesiretree.com/02_-_ISKCON_Swamis/ISKCON_Swamis_-_R_to_Y/His_Holiness_Radhanath_Swami/Lectures/00_-_Year_wise/Devotional_Nectar_-_1993/1993-045_Kshetra_And_Kshetra-_Jna_BG-13_01-03_Mumbai_-_Radhanath_Swami_1994-04-10_IDesireTree.mp3", "1993-045_Kshetra_And_Kshetra-_Jna_BG-13_01-03_Mumbai_-_Radhanath_Swami_1994-04-10_IDesireTree.mp3")</f>
        <v>1993-045_Kshetra_And_Kshetra-_Jna_BG-13_01-03_Mumbai_-_Radhanath_Swami_1994-04-10_IDesireTree.mp3</v>
      </c>
      <c r="D561" s="11"/>
      <c r="E561" s="11"/>
    </row>
    <row r="562" spans="1:5">
      <c r="A562" s="12" t="s">
        <v>12462</v>
      </c>
      <c r="B562" s="12" t="s">
        <v>13532</v>
      </c>
      <c r="C562" s="13" t="str">
        <f>HYPERLINK("https://audio.iskcondesiretree.com/02_-_ISKCON_Swamis/ISKCON_Swamis_-_R_to_Y/His_Holiness_Radhanath_Swami/Lectures/00_-_Year_wise/Devotional_Nectar_-_1993/1993-046_Lord_Balaram_visit_vrindavan_SB_class_Mumbai_-_Radhanath_Swami_1993-04-10_IDesireTree.mp3", "1993-046_Lord_Balaram_visit_vrindavan_SB_class_Mumbai_-_Radhanath_Swami_1993-04-10_IDesireTree.mp3")</f>
        <v>1993-046_Lord_Balaram_visit_vrindavan_SB_class_Mumbai_-_Radhanath_Swami_1993-04-10_IDesireTree.mp3</v>
      </c>
      <c r="D562" s="11"/>
      <c r="E562" s="11"/>
    </row>
    <row r="563" spans="1:5">
      <c r="A563" s="12" t="s">
        <v>12462</v>
      </c>
      <c r="B563" s="12" t="s">
        <v>13533</v>
      </c>
      <c r="C563" s="13" t="str">
        <f>HYPERLINK("https://audio.iskcondesiretree.com/02_-_ISKCON_Swamis/ISKCON_Swamis_-_R_to_Y/His_Holiness_Radhanath_Swami/Lectures/00_-_Year_wise/Devotional_Nectar_-_1993/1993-047_Harmonious_Life_Of_Brajabasis_SB-10_26_05-06_Mumbai_-_11-04-93_IDesireTree.mp3", "1993-047_Harmonious_Life_Of_Brajabasis_SB-10_26_05-06_Mumbai_-_11-04-93_IDesireTree.mp3")</f>
        <v>1993-047_Harmonious_Life_Of_Brajabasis_SB-10_26_05-06_Mumbai_-_11-04-93_IDesireTree.mp3</v>
      </c>
      <c r="D563" s="11"/>
      <c r="E563" s="11"/>
    </row>
    <row r="564" spans="1:5">
      <c r="A564" s="12" t="s">
        <v>12462</v>
      </c>
      <c r="B564" s="12" t="s">
        <v>13534</v>
      </c>
      <c r="C564" s="13" t="str">
        <f>HYPERLINK("https://audio.iskcondesiretree.com/02_-_ISKCON_Swamis/ISKCON_Swamis_-_R_to_Y/His_Holiness_Radhanath_Swami/Lectures/00_-_Year_wise/Devotional_Nectar_-_1993/1993-048_Inaction_In_Action_Bg-04_17_Mumbai_-_Radhanath_Swami_1993-04-11_IDesireTree.mp3", "1993-048_Inaction_In_Action_Bg-04_17_Mumbai_-_Radhanath_Swami_1993-04-11_IDesireTree.mp3")</f>
        <v>1993-048_Inaction_In_Action_Bg-04_17_Mumbai_-_Radhanath_Swami_1993-04-11_IDesireTree.mp3</v>
      </c>
      <c r="D564" s="11"/>
      <c r="E564" s="11"/>
    </row>
    <row r="565" spans="1:5">
      <c r="A565" s="12" t="s">
        <v>12462</v>
      </c>
      <c r="B565" s="12" t="s">
        <v>13535</v>
      </c>
      <c r="C565" s="13" t="str">
        <f>HYPERLINK("https://audio.iskcondesiretree.com/02_-_ISKCON_Swamis/ISKCON_Swamis_-_R_to_Y/His_Holiness_Radhanath_Swami/Lectures/00_-_Year_wise/Devotional_Nectar_-_1993/1993-049_Between_Senses_And_Soul_BG-13_29_Mumbai_-_Radhanath_Swami_1993-04-11_IDesireTree.mp3", "1993-049_Between_Senses_And_Soul_BG-13_29_Mumbai_-_Radhanath_Swami_1993-04-11_IDesireTree.mp3")</f>
        <v>1993-049_Between_Senses_And_Soul_BG-13_29_Mumbai_-_Radhanath_Swami_1993-04-11_IDesireTree.mp3</v>
      </c>
      <c r="D565" s="11"/>
      <c r="E565" s="11"/>
    </row>
    <row r="566" spans="1:5">
      <c r="A566" s="12" t="s">
        <v>12462</v>
      </c>
      <c r="B566" s="12" t="s">
        <v>13536</v>
      </c>
      <c r="C566" s="13" t="str">
        <f>HYPERLINK("https://audio.iskcondesiretree.com/02_-_ISKCON_Swamis/ISKCON_Swamis_-_R_to_Y/His_Holiness_Radhanath_Swami/Lectures/00_-_Year_wise/Devotional_Nectar_-_1993/1993-050_Time_And_Tide_Wait_For_None_Lecture_Mumbai_-_Radhanath_Swami_1993-04-13_new_IDesireTree.mp3", "1993-050_Time_And_Tide_Wait_For_None_Lecture_Mumbai_-_Radhanath_Swami_1993-04-13_new_IDesireTree.mp3")</f>
        <v>1993-050_Time_And_Tide_Wait_For_None_Lecture_Mumbai_-_Radhanath_Swami_1993-04-13_new_IDesireTree.mp3</v>
      </c>
      <c r="D566" s="11"/>
      <c r="E566" s="11"/>
    </row>
    <row r="567" spans="1:5">
      <c r="A567" s="12" t="s">
        <v>12462</v>
      </c>
      <c r="B567" s="12" t="s">
        <v>13537</v>
      </c>
      <c r="C567" s="13" t="str">
        <f>HYPERLINK("https://audio.iskcondesiretree.com/02_-_ISKCON_Swamis/ISKCON_Swamis_-_R_to_Y/His_Holiness_Radhanath_Swami/Lectures/00_-_Year_wise/Devotional_Nectar_-_1993/1993-051_Purification_Means_SB-10_26_13_-_Radhanath_Swami_1993-04-13_IDesireTree.mp3", "1993-051_Purification_Means_SB-10_26_13_-_Radhanath_Swami_1993-04-13_IDesireTree.mp3")</f>
        <v>1993-051_Purification_Means_SB-10_26_13_-_Radhanath_Swami_1993-04-13_IDesireTree.mp3</v>
      </c>
      <c r="D567" s="11"/>
      <c r="E567" s="11"/>
    </row>
    <row r="568" spans="1:5">
      <c r="A568" s="12" t="s">
        <v>12462</v>
      </c>
      <c r="B568" s="12" t="s">
        <v>13538</v>
      </c>
      <c r="C568" s="13" t="str">
        <f>HYPERLINK("https://audio.iskcondesiretree.com/02_-_ISKCON_Swamis/ISKCON_Swamis_-_R_to_Y/His_Holiness_Radhanath_Swami/Lectures/00_-_Year_wise/Devotional_Nectar_-_1993/1993-052_Unmotivated_Unconditional_Love_SB-10_26_14-15_Mumbai_-_14-04-93_IDesireTree.mp3", "1993-052_Unmotivated_Unconditional_Love_SB-10_26_14-15_Mumbai_-_14-04-93_IDesireTree.mp3")</f>
        <v>1993-052_Unmotivated_Unconditional_Love_SB-10_26_14-15_Mumbai_-_14-04-93_IDesireTree.mp3</v>
      </c>
      <c r="D568" s="11"/>
      <c r="E568" s="11"/>
    </row>
    <row r="569" spans="1:5">
      <c r="A569" s="12" t="s">
        <v>12462</v>
      </c>
      <c r="B569" s="12" t="s">
        <v>13539</v>
      </c>
      <c r="C569" s="13" t="str">
        <f>HYPERLINK("https://audio.iskcondesiretree.com/02_-_ISKCON_Swamis/ISKCON_Swamis_-_R_to_Y/His_Holiness_Radhanath_Swami/Lectures/00_-_Year_wise/Devotional_Nectar_-_1993/1993-053_Need_To_Change_Consciousness_BG-07_05_Mumbai_-_Radhanath_Swami_1993-04-14_IDesireTree.mp3", "1993-053_Need_To_Change_Consciousness_BG-07_05_Mumbai_-_Radhanath_Swami_1993-04-14_IDesireTree.mp3")</f>
        <v>1993-053_Need_To_Change_Consciousness_BG-07_05_Mumbai_-_Radhanath_Swami_1993-04-14_IDesireTree.mp3</v>
      </c>
      <c r="D569" s="11"/>
      <c r="E569" s="11"/>
    </row>
    <row r="570" spans="1:5">
      <c r="A570" s="12" t="s">
        <v>12462</v>
      </c>
      <c r="B570" s="12" t="s">
        <v>13540</v>
      </c>
      <c r="C570" s="13" t="str">
        <f>HYPERLINK("https://audio.iskcondesiretree.com/02_-_ISKCON_Swamis/ISKCON_Swamis_-_R_to_Y/His_Holiness_Radhanath_Swami/Lectures/00_-_Year_wise/Devotional_Nectar_-_1993/1993-054_Incarnation_Foretold_SB-10_26_16-21_Mumbai_-_Radhanath_Swami_1993-04-15_IDesireTree.mp3", "1993-054_Incarnation_Foretold_SB-10_26_16-21_Mumbai_-_Radhanath_Swami_1993-04-15_IDesireTree.mp3")</f>
        <v>1993-054_Incarnation_Foretold_SB-10_26_16-21_Mumbai_-_Radhanath_Swami_1993-04-15_IDesireTree.mp3</v>
      </c>
      <c r="D570" s="11"/>
      <c r="E570" s="11"/>
    </row>
    <row r="571" spans="1:5">
      <c r="A571" s="12" t="s">
        <v>12462</v>
      </c>
      <c r="B571" s="12" t="e">
        <v>#VALUE!</v>
      </c>
      <c r="C571" s="13" t="e">
        <f>HYPERLINK("https://audio.iskcondesiretree.com/02_-_ISKCON_Swamis/ISKCON_Swamis_-_R_to_Y/His_Holiness_Radhanath_Swami/Lectures/00_-_Year_wise/Devotional_Nectar_-_1993/1993-055_Bhaktivinod_Thakur%27s_Life_Story_Lecture_Mumbai_-_Radhanath_Swami_1993-04-16_IDesireTree.m"&amp;"p3", "1993-055_Bhaktivinod_Thakur%27s_Life_Story_Lecture_Mumbai_-_Radhanath_Swami_1993-04-16_IDesireTree.mp3")</f>
        <v>#VALUE!</v>
      </c>
      <c r="D571" s="11"/>
      <c r="E571" s="11"/>
    </row>
    <row r="572" spans="1:5">
      <c r="A572" s="12" t="s">
        <v>12462</v>
      </c>
      <c r="B572" s="12" t="s">
        <v>13541</v>
      </c>
      <c r="C572" s="13" t="str">
        <f>HYPERLINK("https://audio.iskcondesiretree.com/02_-_ISKCON_Swamis/ISKCON_Swamis_-_R_to_Y/His_Holiness_Radhanath_Swami/Lectures/00_-_Year_wise/Devotional_Nectar_-_1993/1993-056_Talk_With_Chinmaya_Mission_Boys_Lecture_Mumbai_-_Radhanath_Swami_1993-04-17_IDesireTree.mp3", "1993-056_Talk_With_Chinmaya_Mission_Boys_Lecture_Mumbai_-_Radhanath_Swami_1993-04-17_IDesireTree.mp3")</f>
        <v>1993-056_Talk_With_Chinmaya_Mission_Boys_Lecture_Mumbai_-_Radhanath_Swami_1993-04-17_IDesireTree.mp3</v>
      </c>
      <c r="D572" s="11"/>
      <c r="E572" s="11"/>
    </row>
    <row r="573" spans="1:5">
      <c r="A573" s="12" t="s">
        <v>12462</v>
      </c>
      <c r="B573" s="12" t="s">
        <v>13542</v>
      </c>
      <c r="C573" s="13" t="str">
        <f>HYPERLINK("https://audio.iskcondesiretree.com/02_-_ISKCON_Swamis/ISKCON_Swamis_-_R_to_Y/His_Holiness_Radhanath_Swami/Lectures/00_-_Year_wise/Devotional_Nectar_-_1993/1993-057_To_Be_Detached_SB-03_29_70-11_Mumbai_-_Radhanath_Swami_1993-04-17_IDesireTree.mp3", "1993-057_To_Be_Detached_SB-03_29_70-11_Mumbai_-_Radhanath_Swami_1993-04-17_IDesireTree.mp3")</f>
        <v>1993-057_To_Be_Detached_SB-03_29_70-11_Mumbai_-_Radhanath_Swami_1993-04-17_IDesireTree.mp3</v>
      </c>
      <c r="D573" s="11"/>
      <c r="E573" s="11"/>
    </row>
    <row r="574" spans="1:5">
      <c r="A574" s="12" t="s">
        <v>12462</v>
      </c>
      <c r="B574" s="12" t="s">
        <v>13543</v>
      </c>
      <c r="C574" s="13" t="str">
        <f>HYPERLINK("https://audio.iskcondesiretree.com/02_-_ISKCON_Swamis/ISKCON_Swamis_-_R_to_Y/His_Holiness_Radhanath_Swami/Lectures/00_-_Year_wise/Devotional_Nectar_-_1993/1993-058_The_Only_Safe_Place_SB-10_26_21_Mumbai_-_Radhanath_Swami_1993-04-17_IDesireTree.mp3", "1993-058_The_Only_Safe_Place_SB-10_26_21_Mumbai_-_Radhanath_Swami_1993-04-17_IDesireTree.mp3")</f>
        <v>1993-058_The_Only_Safe_Place_SB-10_26_21_Mumbai_-_Radhanath_Swami_1993-04-17_IDesireTree.mp3</v>
      </c>
      <c r="D574" s="11"/>
      <c r="E574" s="11"/>
    </row>
    <row r="575" spans="1:5">
      <c r="A575" s="12" t="s">
        <v>12462</v>
      </c>
      <c r="B575" s="12" t="s">
        <v>13544</v>
      </c>
      <c r="C575" s="13" t="str">
        <f>HYPERLINK("https://audio.iskcondesiretree.com/02_-_ISKCON_Swamis/ISKCON_Swamis_-_R_to_Y/His_Holiness_Radhanath_Swami/Lectures/00_-_Year_wise/Devotional_Nectar_-_1993/1993-059_Secret_Of_Success_BG-18_66_Mumbai_-_Radhanath_Swami_1993-04-18_IDesireTree.mp3", "1993-059_Secret_Of_Success_BG-18_66_Mumbai_-_Radhanath_Swami_1993-04-18_IDesireTree.mp3")</f>
        <v>1993-059_Secret_Of_Success_BG-18_66_Mumbai_-_Radhanath_Swami_1993-04-18_IDesireTree.mp3</v>
      </c>
      <c r="D575" s="11"/>
      <c r="E575" s="11"/>
    </row>
    <row r="576" spans="1:5">
      <c r="A576" s="12" t="s">
        <v>12462</v>
      </c>
      <c r="B576" s="12" t="s">
        <v>13545</v>
      </c>
      <c r="C576" s="13" t="str">
        <f>HYPERLINK("https://audio.iskcondesiretree.com/02_-_ISKCON_Swamis/ISKCON_Swamis_-_R_to_Y/His_Holiness_Radhanath_Swami/Lectures/00_-_Year_wise/Devotional_Nectar_-_1993/1993-060_Hearing_And_Absorbing_BG-07_01-03_Mumbai_-_Radhanath_Swami_1993-04-18_IDesireTree.mp3", "1993-060_Hearing_And_Absorbing_BG-07_01-03_Mumbai_-_Radhanath_Swami_1993-04-18_IDesireTree.mp3")</f>
        <v>1993-060_Hearing_And_Absorbing_BG-07_01-03_Mumbai_-_Radhanath_Swami_1993-04-18_IDesireTree.mp3</v>
      </c>
      <c r="D576" s="11"/>
      <c r="E576" s="11"/>
    </row>
    <row r="577" spans="1:5">
      <c r="A577" s="12" t="s">
        <v>12462</v>
      </c>
      <c r="B577" s="12" t="s">
        <v>13546</v>
      </c>
      <c r="C577" s="13" t="str">
        <f>HYPERLINK("https://audio.iskcondesiretree.com/02_-_ISKCON_Swamis/ISKCON_Swamis_-_R_to_Y/His_Holiness_Radhanath_Swami/Lectures/00_-_Year_wise/Devotional_Nectar_-_1993/1993-061_The_Power_Of_Holyname_Ht_-_BG-05_18_Mumbai_-_Radhanath_Swami_1993-04-19_IDesireTree.mp3", "1993-061_The_Power_Of_Holyname_Ht_-_BG-05_18_Mumbai_-_Radhanath_Swami_1993-04-19_IDesireTree.mp3")</f>
        <v>1993-061_The_Power_Of_Holyname_Ht_-_BG-05_18_Mumbai_-_Radhanath_Swami_1993-04-19_IDesireTree.mp3</v>
      </c>
      <c r="D577" s="11"/>
      <c r="E577" s="11"/>
    </row>
    <row r="578" spans="1:5">
      <c r="A578" s="12" t="s">
        <v>12462</v>
      </c>
      <c r="B578" s="12" t="s">
        <v>13547</v>
      </c>
      <c r="C578" s="13" t="str">
        <f>HYPERLINK("https://audio.iskcondesiretree.com/02_-_ISKCON_Swamis/ISKCON_Swamis_-_R_to_Y/His_Holiness_Radhanath_Swami/Lectures/00_-_Year_wise/Devotional_Nectar_-_1993/1993-062_Prestige_To_Be_Purified_SB-10_27_01_Mumbai_-_Radhanath_Swami_1993-04-20_IDesireTree.mp3", "1993-062_Prestige_To_Be_Purified_SB-10_27_01_Mumbai_-_Radhanath_Swami_1993-04-20_IDesireTree.mp3")</f>
        <v>1993-062_Prestige_To_Be_Purified_SB-10_27_01_Mumbai_-_Radhanath_Swami_1993-04-20_IDesireTree.mp3</v>
      </c>
      <c r="D578" s="11"/>
      <c r="E578" s="11"/>
    </row>
    <row r="579" spans="1:5">
      <c r="A579" s="12" t="s">
        <v>12462</v>
      </c>
      <c r="B579" s="12" t="s">
        <v>13548</v>
      </c>
      <c r="C579" s="13" t="str">
        <f>HYPERLINK("https://audio.iskcondesiretree.com/02_-_ISKCON_Swamis/ISKCON_Swamis_-_R_to_Y/His_Holiness_Radhanath_Swami/Lectures/00_-_Year_wise/Devotional_Nectar_-_1993/1993-063_The_Perfection_Of_Life_Ht_-_BG-06_18-19_Mumbai_-_Radhanath_Swami_1993-04-20_IDesireTree.mp3", "1993-063_The_Perfection_Of_Life_Ht_-_BG-06_18-19_Mumbai_-_Radhanath_Swami_1993-04-20_IDesireTree.mp3")</f>
        <v>1993-063_The_Perfection_Of_Life_Ht_-_BG-06_18-19_Mumbai_-_Radhanath_Swami_1993-04-20_IDesireTree.mp3</v>
      </c>
      <c r="D579" s="11"/>
      <c r="E579" s="11"/>
    </row>
    <row r="580" spans="1:5">
      <c r="A580" s="12" t="s">
        <v>12462</v>
      </c>
      <c r="B580" s="12" t="s">
        <v>13549</v>
      </c>
      <c r="C580" s="13" t="str">
        <f>HYPERLINK("https://audio.iskcondesiretree.com/02_-_ISKCON_Swamis/ISKCON_Swamis_-_R_to_Y/His_Holiness_Radhanath_Swami/Lectures/00_-_Year_wise/Devotional_Nectar_-_1993/1993-064_Three_Gates_To_Hell_BG-16_21-24_Mumbai_-_Radhanath_Swami_1993-04-23_IDesireTree.mp3", "1993-064_Three_Gates_To_Hell_BG-16_21-24_Mumbai_-_Radhanath_Swami_1993-04-23_IDesireTree.mp3")</f>
        <v>1993-064_Three_Gates_To_Hell_BG-16_21-24_Mumbai_-_Radhanath_Swami_1993-04-23_IDesireTree.mp3</v>
      </c>
      <c r="D580" s="11"/>
      <c r="E580" s="11"/>
    </row>
    <row r="581" spans="1:5">
      <c r="A581" s="12" t="s">
        <v>12462</v>
      </c>
      <c r="B581" s="12" t="s">
        <v>13550</v>
      </c>
      <c r="C581" s="13" t="str">
        <f>HYPERLINK("https://audio.iskcondesiretree.com/02_-_ISKCON_Swamis/ISKCON_Swamis_-_R_to_Y/His_Holiness_Radhanath_Swami/Lectures/00_-_Year_wise/Devotional_Nectar_-_1993/1993-065_Purifying_Ourselves_Lecture_Mumbai_-_Radhanath_Swami_1993-04-23_IDesireTree.mp3", "1993-065_Purifying_Ourselves_Lecture_Mumbai_-_Radhanath_Swami_1993-04-23_IDesireTree.mp3")</f>
        <v>1993-065_Purifying_Ourselves_Lecture_Mumbai_-_Radhanath_Swami_1993-04-23_IDesireTree.mp3</v>
      </c>
      <c r="D581" s="11"/>
      <c r="E581" s="11"/>
    </row>
    <row r="582" spans="1:5">
      <c r="A582" s="12" t="s">
        <v>12462</v>
      </c>
      <c r="B582" s="12" t="s">
        <v>13551</v>
      </c>
      <c r="C582" s="13" t="str">
        <f>HYPERLINK("https://audio.iskcondesiretree.com/02_-_ISKCON_Swamis/ISKCON_Swamis_-_R_to_Y/His_Holiness_Radhanath_Swami/Lectures/00_-_Year_wise/Devotional_Nectar_-_1993/1993-066_Transcendental_Words_Of_Gita_BG-10_19_Mumbai_-_Radhanath_Swami_1993-04-24_IDesireTree.mp3", "1993-066_Transcendental_Words_Of_Gita_BG-10_19_Mumbai_-_Radhanath_Swami_1993-04-24_IDesireTree.mp3")</f>
        <v>1993-066_Transcendental_Words_Of_Gita_BG-10_19_Mumbai_-_Radhanath_Swami_1993-04-24_IDesireTree.mp3</v>
      </c>
      <c r="D582" s="11"/>
      <c r="E582" s="11"/>
    </row>
    <row r="583" spans="1:5">
      <c r="A583" s="12" t="s">
        <v>12462</v>
      </c>
      <c r="B583" s="12" t="s">
        <v>13552</v>
      </c>
      <c r="C583" s="13" t="str">
        <f>HYPERLINK("https://audio.iskcondesiretree.com/02_-_ISKCON_Swamis/ISKCON_Swamis_-_R_to_Y/His_Holiness_Radhanath_Swami/Lectures/00_-_Year_wise/Devotional_Nectar_-_1993/1993-067_Death_Is_Knocking_At_The_Door_SB-01_15_21_Mumbai_-_25-04-93_Verify_Verse_-_IDesireTree.mp3", "1993-067_Death_Is_Knocking_At_The_Door_SB-01_15_21_Mumbai_-_25-04-93_Verify_Verse_-_IDesireTree.mp3")</f>
        <v>1993-067_Death_Is_Knocking_At_The_Door_SB-01_15_21_Mumbai_-_25-04-93_Verify_Verse_-_IDesireTree.mp3</v>
      </c>
      <c r="D583" s="11"/>
      <c r="E583" s="11"/>
    </row>
    <row r="584" spans="1:5">
      <c r="A584" s="12" t="s">
        <v>12462</v>
      </c>
      <c r="B584" s="12" t="s">
        <v>13553</v>
      </c>
      <c r="C584" s="13" t="str">
        <f>HYPERLINK("https://audio.iskcondesiretree.com/02_-_ISKCON_Swamis/ISKCON_Swamis_-_R_to_Y/His_Holiness_Radhanath_Swami/Lectures/00_-_Year_wise/Devotional_Nectar_-_1993/1993-068_Everything_Emanates_From_Me_BG-10_08_Mumbai_-_Radhanath_Swami_1993-04-25_IDesireTree.mp3", "1993-068_Everything_Emanates_From_Me_BG-10_08_Mumbai_-_Radhanath_Swami_1993-04-25_IDesireTree.mp3")</f>
        <v>1993-068_Everything_Emanates_From_Me_BG-10_08_Mumbai_-_Radhanath_Swami_1993-04-25_IDesireTree.mp3</v>
      </c>
      <c r="D584" s="11"/>
      <c r="E584" s="11"/>
    </row>
    <row r="585" spans="1:5">
      <c r="A585" s="12" t="s">
        <v>12462</v>
      </c>
      <c r="B585" s="12" t="s">
        <v>13554</v>
      </c>
      <c r="C585" s="13" t="str">
        <f>HYPERLINK("https://audio.iskcondesiretree.com/02_-_ISKCON_Swamis/ISKCON_Swamis_-_R_to_Y/His_Holiness_Radhanath_Swami/Lectures/00_-_Year_wise/Devotional_Nectar_-_1993/1993-069_Attracting_Our_Youth_Lecture_Mumbai_-_Radhanath_Swami_1993-04-29_IDesireTree.mp3", "1993-069_Attracting_Our_Youth_Lecture_Mumbai_-_Radhanath_Swami_1993-04-29_IDesireTree.mp3")</f>
        <v>1993-069_Attracting_Our_Youth_Lecture_Mumbai_-_Radhanath_Swami_1993-04-29_IDesireTree.mp3</v>
      </c>
      <c r="D585" s="11"/>
      <c r="E585" s="11"/>
    </row>
    <row r="586" spans="1:5">
      <c r="A586" s="12" t="s">
        <v>12462</v>
      </c>
      <c r="B586" s="12" t="s">
        <v>13555</v>
      </c>
      <c r="C586" s="13" t="str">
        <f>HYPERLINK("https://audio.iskcondesiretree.com/02_-_ISKCON_Swamis/ISKCON_Swamis_-_R_to_Y/His_Holiness_Radhanath_Swami/Lectures/00_-_Year_wise/Devotional_Nectar_-_1993/1993-070_What_It_Means_To_Be_A_Pure_Devotee_SB-09_10_03_Mumbai_-_1993-04-30_IDesireTree.mp3", "1993-070_What_It_Means_To_Be_A_Pure_Devotee_SB-09_10_03_Mumbai_-_1993-04-30_IDesireTree.mp3")</f>
        <v>1993-070_What_It_Means_To_Be_A_Pure_Devotee_SB-09_10_03_Mumbai_-_1993-04-30_IDesireTree.mp3</v>
      </c>
      <c r="D586" s="11"/>
      <c r="E586" s="11"/>
    </row>
    <row r="587" spans="1:5">
      <c r="A587" s="12" t="s">
        <v>12462</v>
      </c>
      <c r="B587" s="12" t="s">
        <v>13556</v>
      </c>
      <c r="C587" s="13" t="str">
        <f>HYPERLINK("https://audio.iskcondesiretree.com/02_-_ISKCON_Swamis/ISKCON_Swamis_-_R_to_Y/His_Holiness_Radhanath_Swami/Lectures/00_-_Year_wise/Devotional_Nectar_-_1993/1993-071_Ego_Purification_SB-10_27_12_14_Mumbai_-_Radhanath_Swami_1993-04-30_IDesireTree.mp3", "1993-071_Ego_Purification_SB-10_27_12_14_Mumbai_-_Radhanath_Swami_1993-04-30_IDesireTree.mp3")</f>
        <v>1993-071_Ego_Purification_SB-10_27_12_14_Mumbai_-_Radhanath_Swami_1993-04-30_IDesireTree.mp3</v>
      </c>
      <c r="D587" s="11"/>
      <c r="E587" s="11"/>
    </row>
    <row r="588" spans="1:5">
      <c r="A588" s="12" t="s">
        <v>12462</v>
      </c>
      <c r="B588" s="12" t="s">
        <v>13557</v>
      </c>
      <c r="C588" s="13" t="str">
        <f>HYPERLINK("https://audio.iskcondesiretree.com/02_-_ISKCON_Swamis/ISKCON_Swamis_-_R_to_Y/His_Holiness_Radhanath_Swami/Lectures/00_-_Year_wise/Devotional_Nectar_-_1993/1993-072_Greatness_Of_Jahanava_Devi_Lecture_Mumbai_-_Radhanath_Swami_1993-05-01_IDesireTree.mp3", "1993-072_Greatness_Of_Jahanava_Devi_Lecture_Mumbai_-_Radhanath_Swami_1993-05-01_IDesireTree.mp3")</f>
        <v>1993-072_Greatness_Of_Jahanava_Devi_Lecture_Mumbai_-_Radhanath_Swami_1993-05-01_IDesireTree.mp3</v>
      </c>
      <c r="D588" s="11"/>
      <c r="E588" s="11"/>
    </row>
    <row r="589" spans="1:5">
      <c r="A589" s="12" t="s">
        <v>12462</v>
      </c>
      <c r="B589" s="12" t="s">
        <v>13558</v>
      </c>
      <c r="C589" s="13" t="str">
        <f>HYPERLINK("https://audio.iskcondesiretree.com/02_-_ISKCON_Swamis/ISKCON_Swamis_-_R_to_Y/His_Holiness_Radhanath_Swami/Lectures/00_-_Year_wise/Devotional_Nectar_-_1993/1993-073_Devotee_Making_Mistakes_SB-10_27_18-20_Mumbai_-_Radhanath_Swami_1993-05-02_IDesireTree.mp3", "1993-073_Devotee_Making_Mistakes_SB-10_27_18-20_Mumbai_-_Radhanath_Swami_1993-05-02_IDesireTree.mp3")</f>
        <v>1993-073_Devotee_Making_Mistakes_SB-10_27_18-20_Mumbai_-_Radhanath_Swami_1993-05-02_IDesireTree.mp3</v>
      </c>
      <c r="D589" s="11"/>
      <c r="E589" s="11"/>
    </row>
    <row r="590" spans="1:5">
      <c r="A590" s="12" t="s">
        <v>12462</v>
      </c>
      <c r="B590" s="12" t="s">
        <v>13559</v>
      </c>
      <c r="C590" s="13" t="str">
        <f>HYPERLINK("https://audio.iskcondesiretree.com/02_-_ISKCON_Swamis/ISKCON_Swamis_-_R_to_Y/His_Holiness_Radhanath_Swami/Lectures/00_-_Year_wise/Devotional_Nectar_-_1993/1993-074_Attaining_Peace_By_Spiritual_Quest_BG-03_12_Mumbai_-_02-05-93_IDesireTree.mp3", "1993-074_Attaining_Peace_By_Spiritual_Quest_BG-03_12_Mumbai_-_02-05-93_IDesireTree.mp3")</f>
        <v>1993-074_Attaining_Peace_By_Spiritual_Quest_BG-03_12_Mumbai_-_02-05-93_IDesireTree.mp3</v>
      </c>
      <c r="D590" s="11"/>
      <c r="E590" s="11"/>
    </row>
    <row r="591" spans="1:5">
      <c r="A591" s="12" t="s">
        <v>12462</v>
      </c>
      <c r="B591" s="12" t="s">
        <v>13560</v>
      </c>
      <c r="C591" s="13" t="str">
        <f>HYPERLINK("https://audio.iskcondesiretree.com/02_-_ISKCON_Swamis/ISKCON_Swamis_-_R_to_Y/His_Holiness_Radhanath_Swami/Lectures/00_-_Year_wise/Devotional_Nectar_-_1993/1993-075_Science_Of_Bhakti_BG-12_16_Mumbai_-_Radhanath_Swami_1993-05-02_IDesireTree.mp3", "1993-075_Science_Of_Bhakti_BG-12_16_Mumbai_-_Radhanath_Swami_1993-05-02_IDesireTree.mp3")</f>
        <v>1993-075_Science_Of_Bhakti_BG-12_16_Mumbai_-_Radhanath_Swami_1993-05-02_IDesireTree.mp3</v>
      </c>
      <c r="D591" s="11"/>
      <c r="E591" s="11"/>
    </row>
    <row r="592" spans="1:5">
      <c r="A592" s="12" t="s">
        <v>12462</v>
      </c>
      <c r="B592" s="12" t="s">
        <v>13561</v>
      </c>
      <c r="C592" s="13" t="str">
        <f>HYPERLINK("https://audio.iskcondesiretree.com/02_-_ISKCON_Swamis/ISKCON_Swamis_-_R_to_Y/His_Holiness_Radhanath_Swami/Lectures/00_-_Year_wise/Devotional_Nectar_-_1993/1993-076_Chaitanya_Mahaprabhu_And_Iswarpuri_SB-07_06_28_Mumbai_-_04-05-93_IDesireTree.mp3", "1993-076_Chaitanya_Mahaprabhu_And_Iswarpuri_SB-07_06_28_Mumbai_-_04-05-93_IDesireTree.mp3")</f>
        <v>1993-076_Chaitanya_Mahaprabhu_And_Iswarpuri_SB-07_06_28_Mumbai_-_04-05-93_IDesireTree.mp3</v>
      </c>
      <c r="D592" s="11"/>
      <c r="E592" s="11"/>
    </row>
    <row r="593" spans="1:5">
      <c r="A593" s="12" t="s">
        <v>12462</v>
      </c>
      <c r="B593" s="12" t="s">
        <v>13562</v>
      </c>
      <c r="C593" s="13" t="str">
        <f>HYPERLINK("https://audio.iskcondesiretree.com/02_-_ISKCON_Swamis/ISKCON_Swamis_-_R_to_Y/His_Holiness_Radhanath_Swami/Lectures/00_-_Year_wise/Devotional_Nectar_-_1993/1993-077_Tricks_of_Maya_SB-10_27_21-23_Mumbai_-_Radhanath_Swami_1993-05-04_IDesireTree.mp3", "1993-077_Tricks_of_Maya_SB-10_27_21-23_Mumbai_-_Radhanath_Swami_1993-05-04_IDesireTree.mp3")</f>
        <v>1993-077_Tricks_of_Maya_SB-10_27_21-23_Mumbai_-_Radhanath_Swami_1993-05-04_IDesireTree.mp3</v>
      </c>
      <c r="D593" s="11"/>
      <c r="E593" s="11"/>
    </row>
    <row r="594" spans="1:5">
      <c r="A594" s="12" t="s">
        <v>12462</v>
      </c>
      <c r="B594" s="12" t="s">
        <v>13563</v>
      </c>
      <c r="C594" s="13" t="str">
        <f>HYPERLINK("https://audio.iskcondesiretree.com/02_-_ISKCON_Swamis/ISKCON_Swamis_-_R_to_Y/His_Holiness_Radhanath_Swami/Lectures/00_-_Year_wise/Devotional_Nectar_-_1993/1993-078_Introduction_About_Initiation_Lecture_Mumbai_-_Radhanath_Swami_1993-05-04_IDesireTree.mp3", "1993-078_Introduction_About_Initiation_Lecture_Mumbai_-_Radhanath_Swami_1993-05-04_IDesireTree.mp3")</f>
        <v>1993-078_Introduction_About_Initiation_Lecture_Mumbai_-_Radhanath_Swami_1993-05-04_IDesireTree.mp3</v>
      </c>
      <c r="D594" s="11"/>
      <c r="E594" s="11"/>
    </row>
    <row r="595" spans="1:5">
      <c r="A595" s="12" t="s">
        <v>12462</v>
      </c>
      <c r="B595" s="12" t="s">
        <v>13564</v>
      </c>
      <c r="C595" s="13" t="str">
        <f>HYPERLINK("https://audio.iskcondesiretree.com/02_-_ISKCON_Swamis/ISKCON_Swamis_-_R_to_Y/His_Holiness_Radhanath_Swami/Lectures/00_-_Year_wise/Devotional_Nectar_-_1993/1993-079_Learning_To_Take_Shelter_SB-07_09_03-05_Mumbai_-_Radhanath_Swami_1993-05-05_IDesireTree.mp3", "1993-079_Learning_To_Take_Shelter_SB-07_09_03-05_Mumbai_-_Radhanath_Swami_1993-05-05_IDesireTree.mp3")</f>
        <v>1993-079_Learning_To_Take_Shelter_SB-07_09_03-05_Mumbai_-_Radhanath_Swami_1993-05-05_IDesireTree.mp3</v>
      </c>
      <c r="D595" s="11"/>
      <c r="E595" s="11"/>
    </row>
    <row r="596" spans="1:5">
      <c r="A596" s="12" t="s">
        <v>12462</v>
      </c>
      <c r="B596" s="12" t="s">
        <v>13565</v>
      </c>
      <c r="C596" s="13" t="str">
        <f>HYPERLINK("https://audio.iskcondesiretree.com/02_-_ISKCON_Swamis/ISKCON_Swamis_-_R_to_Y/His_Holiness_Radhanath_Swami/Lectures/00_-_Year_wise/Devotional_Nectar_-_1993/1993-080_Initiation_Lecture_Lecture_Mumbai_-_Radhanath_Swami_1993-05-05_IDesireTree.mp3", "1993-080_Initiation_Lecture_Lecture_Mumbai_-_Radhanath_Swami_1993-05-05_IDesireTree.mp3")</f>
        <v>1993-080_Initiation_Lecture_Lecture_Mumbai_-_Radhanath_Swami_1993-05-05_IDesireTree.mp3</v>
      </c>
      <c r="D596" s="11"/>
      <c r="E596" s="11"/>
    </row>
    <row r="597" spans="1:5">
      <c r="A597" s="12" t="s">
        <v>12462</v>
      </c>
      <c r="B597" s="12" t="s">
        <v>13566</v>
      </c>
      <c r="C597" s="13" t="str">
        <f>HYPERLINK("https://audio.iskcondesiretree.com/02_-_ISKCON_Swamis/ISKCON_Swamis_-_R_to_Y/His_Holiness_Radhanath_Swami/Lectures/00_-_Year_wise/Devotional_Nectar_-_1993/1993-081_Glories_Of_Prahlad_Maharaj_SB-03_27_21_Mumbai_-_Radhanath_Swami_1993-05-05_IDesireTree.mp3", "1993-081_Glories_Of_Prahlad_Maharaj_SB-03_27_21_Mumbai_-_Radhanath_Swami_1993-05-05_IDesireTree.mp3")</f>
        <v>1993-081_Glories_Of_Prahlad_Maharaj_SB-03_27_21_Mumbai_-_Radhanath_Swami_1993-05-05_IDesireTree.mp3</v>
      </c>
      <c r="D597" s="11"/>
      <c r="E597" s="11"/>
    </row>
    <row r="598" spans="1:5">
      <c r="A598" s="12" t="s">
        <v>12462</v>
      </c>
      <c r="B598" s="12" t="s">
        <v>13567</v>
      </c>
      <c r="C598" s="13" t="str">
        <f>HYPERLINK("https://audio.iskcondesiretree.com/02_-_ISKCON_Swamis/ISKCON_Swamis_-_R_to_Y/His_Holiness_Radhanath_Swami/Lectures/00_-_Year_wise/Devotional_Nectar_-_1993/1993-082_Lord_Buddha_BG-09_29-05-22_-_Radhanath_Swami_1993-05-06_IDesireTree.mp3", "1993-082_Lord_Buddha_BG-09_29-05-22_-_Radhanath_Swami_1993-05-06_IDesireTree.mp3")</f>
        <v>1993-082_Lord_Buddha_BG-09_29-05-22_-_Radhanath_Swami_1993-05-06_IDesireTree.mp3</v>
      </c>
      <c r="D598" s="11"/>
      <c r="E598" s="11"/>
    </row>
    <row r="599" spans="1:5">
      <c r="A599" s="12" t="s">
        <v>12462</v>
      </c>
      <c r="B599" s="12" t="s">
        <v>13568</v>
      </c>
      <c r="C599" s="13" t="str">
        <f>HYPERLINK("https://audio.iskcondesiretree.com/02_-_ISKCON_Swamis/ISKCON_Swamis_-_R_to_Y/His_Holiness_Radhanath_Swami/Lectures/00_-_Year_wise/Devotional_Nectar_-_1993/1993-083_How_To_Attain_Love_Of_God_SB-03_01_04_Mumbai_-_Radhanath_Swami_1993-05-07_IDesireTree.mp3", "1993-083_How_To_Attain_Love_Of_God_SB-03_01_04_Mumbai_-_Radhanath_Swami_1993-05-07_IDesireTree.mp3")</f>
        <v>1993-083_How_To_Attain_Love_Of_God_SB-03_01_04_Mumbai_-_Radhanath_Swami_1993-05-07_IDesireTree.mp3</v>
      </c>
      <c r="D599" s="11"/>
      <c r="E599" s="11"/>
    </row>
    <row r="600" spans="1:5">
      <c r="A600" s="12" t="s">
        <v>12462</v>
      </c>
      <c r="B600" s="12" t="s">
        <v>13569</v>
      </c>
      <c r="C600" s="13" t="str">
        <f>HYPERLINK("https://audio.iskcondesiretree.com/02_-_ISKCON_Swamis/ISKCON_Swamis_-_R_to_Y/His_Holiness_Radhanath_Swami/Lectures/00_-_Year_wise/Devotional_Nectar_-_1993/1993-084_Putting_Krishna_In_The_Center_SB-01_02_09_Mumbai_-_08-05-93_IDesireTree.mp3", "1993-084_Putting_Krishna_In_The_Center_SB-01_02_09_Mumbai_-_08-05-93_IDesireTree.mp3")</f>
        <v>1993-084_Putting_Krishna_In_The_Center_SB-01_02_09_Mumbai_-_08-05-93_IDesireTree.mp3</v>
      </c>
      <c r="D600" s="11"/>
      <c r="E600" s="11"/>
    </row>
    <row r="601" spans="1:5">
      <c r="A601" s="12" t="s">
        <v>12462</v>
      </c>
      <c r="B601" s="12" t="s">
        <v>13570</v>
      </c>
      <c r="C601" s="13" t="str">
        <f>HYPERLINK("https://audio.iskcondesiretree.com/02_-_ISKCON_Swamis/ISKCON_Swamis_-_R_to_Y/His_Holiness_Radhanath_Swami/Lectures/00_-_Year_wise/Devotional_Nectar_-_1993/1993-085_Supreme_Benediction_SB-10_51_55_Mumbai_-_Radhanath_Swami_1993-05-093_IDesireTree.mp3", "1993-085_Supreme_Benediction_SB-10_51_55_Mumbai_-_Radhanath_Swami_1993-05-093_IDesireTree.mp3")</f>
        <v>1993-085_Supreme_Benediction_SB-10_51_55_Mumbai_-_Radhanath_Swami_1993-05-093_IDesireTree.mp3</v>
      </c>
      <c r="D601" s="11"/>
      <c r="E601" s="11"/>
    </row>
    <row r="602" spans="1:5">
      <c r="A602" s="12" t="s">
        <v>12462</v>
      </c>
      <c r="B602" s="12" t="s">
        <v>13571</v>
      </c>
      <c r="C602" s="13" t="str">
        <f>HYPERLINK("https://audio.iskcondesiretree.com/02_-_ISKCON_Swamis/ISKCON_Swamis_-_R_to_Y/His_Holiness_Radhanath_Swami/Lectures/00_-_Year_wise/Devotional_Nectar_-_1993/1993-086_Crazy_Human_Society_SB-01_03_39_Mumbai_-_Radhanath_Swami_1993-05-09_IDesireTree.mp3", "1993-086_Crazy_Human_Society_SB-01_03_39_Mumbai_-_Radhanath_Swami_1993-05-09_IDesireTree.mp3")</f>
        <v>1993-086_Crazy_Human_Society_SB-01_03_39_Mumbai_-_Radhanath_Swami_1993-05-09_IDesireTree.mp3</v>
      </c>
      <c r="D602" s="11"/>
      <c r="E602" s="11"/>
    </row>
    <row r="603" spans="1:5">
      <c r="A603" s="12" t="s">
        <v>12462</v>
      </c>
      <c r="B603" s="12" t="s">
        <v>13572</v>
      </c>
      <c r="C603" s="13" t="str">
        <f>HYPERLINK("https://audio.iskcondesiretree.com/02_-_ISKCON_Swamis/ISKCON_Swamis_-_R_to_Y/His_Holiness_Radhanath_Swami/Lectures/00_-_Year_wise/Devotional_Nectar_-_1993/1993-087_Lord_Krishna%27s_Blessing_On_His_Devotees_SB-10_28_17_Mumbai_-_18-05-93_IDesireTree.mp3", "1993-087_Lord_Krishna%27s_Blessing_On_His_Devotees_SB-10_28_17_Mumbai_-_18-05-93_IDesireTree.mp3")</f>
        <v>1993-087_Lord_Krishna%27s_Blessing_On_His_Devotees_SB-10_28_17_Mumbai_-_18-05-93_IDesireTree.mp3</v>
      </c>
      <c r="D603" s="11"/>
      <c r="E603" s="11"/>
    </row>
    <row r="604" spans="1:5">
      <c r="A604" s="12" t="s">
        <v>12462</v>
      </c>
      <c r="B604" s="12" t="s">
        <v>13573</v>
      </c>
      <c r="C604" s="13" t="str">
        <f>HYPERLINK("https://audio.iskcondesiretree.com/02_-_ISKCON_Swamis/ISKCON_Swamis_-_R_to_Y/His_Holiness_Radhanath_Swami/Lectures/00_-_Year_wise/Devotional_Nectar_-_1993/1993-088_Preparing_For_Final_Test_SB-01_19_15_-_Radhanath_Swami_1993-05-19_IDesireTree.mp3", "1993-088_Preparing_For_Final_Test_SB-01_19_15_-_Radhanath_Swami_1993-05-19_IDesireTree.mp3")</f>
        <v>1993-088_Preparing_For_Final_Test_SB-01_19_15_-_Radhanath_Swami_1993-05-19_IDesireTree.mp3</v>
      </c>
      <c r="D604" s="11"/>
      <c r="E604" s="11"/>
    </row>
    <row r="605" spans="1:5">
      <c r="A605" s="12" t="s">
        <v>12462</v>
      </c>
      <c r="B605" s="12" t="e">
        <v>#VALUE!</v>
      </c>
      <c r="C605" s="13" t="e">
        <f>HYPERLINK("https://audio.iskcondesiretree.com/02_-_ISKCON_Swamis/ISKCON_Swamis_-_R_to_Y/His_Holiness_Radhanath_Swami/Lectures/00_-_Year_wise/Devotional_Nectar_-_1993/1993-089_Understanding_Rasa_Lilla_According_To_Parampara_SB-10_29_01_Mumbai_-_19-05-93_IDesireTree.m"&amp;"p3", "1993-089_Understanding_Rasa_Lilla_According_To_Parampara_SB-10_29_01_Mumbai_-_19-05-93_IDesireTree.mp3")</f>
        <v>#VALUE!</v>
      </c>
      <c r="D605" s="11"/>
      <c r="E605" s="11"/>
    </row>
    <row r="606" spans="1:5">
      <c r="A606" s="12" t="s">
        <v>12462</v>
      </c>
      <c r="B606" s="12" t="s">
        <v>13574</v>
      </c>
      <c r="C606" s="13" t="str">
        <f>HYPERLINK("https://audio.iskcondesiretree.com/02_-_ISKCON_Swamis/ISKCON_Swamis_-_R_to_Y/His_Holiness_Radhanath_Swami/Lectures/00_-_Year_wise/Devotional_Nectar_-_1993/1993-09-24_SB_10-45-42-43_-_Radhanath_Swami_Mumbai.mp3", "1993-09-24_SB_10-45-42-43_-_Radhanath_Swami_Mumbai.mp3")</f>
        <v>1993-09-24_SB_10-45-42-43_-_Radhanath_Swami_Mumbai.mp3</v>
      </c>
      <c r="D606" s="11"/>
      <c r="E606" s="11"/>
    </row>
    <row r="607" spans="1:5">
      <c r="A607" s="12" t="s">
        <v>12462</v>
      </c>
      <c r="B607" s="12" t="s">
        <v>13575</v>
      </c>
      <c r="C607" s="13" t="str">
        <f>HYPERLINK("https://audio.iskcondesiretree.com/02_-_ISKCON_Swamis/ISKCON_Swamis_-_R_to_Y/His_Holiness_Radhanath_Swami/Lectures/00_-_Year_wise/Devotional_Nectar_-_1993/1993-090_A_Moment%27s_Mistake_SB-01_03_29_Mumbai_-_Radhanath_Swami_1993-05-20_IDesireTree.mp3", "1993-090_A_Moment%27s_Mistake_SB-01_03_29_Mumbai_-_Radhanath_Swami_1993-05-20_IDesireTree.mp3")</f>
        <v>1993-090_A_Moment%27s_Mistake_SB-01_03_29_Mumbai_-_Radhanath_Swami_1993-05-20_IDesireTree.mp3</v>
      </c>
      <c r="D607" s="11"/>
      <c r="E607" s="11"/>
    </row>
    <row r="608" spans="1:5">
      <c r="A608" s="12" t="s">
        <v>12462</v>
      </c>
      <c r="B608" s="12" t="s">
        <v>13576</v>
      </c>
      <c r="C608" s="13" t="str">
        <f>HYPERLINK("https://audio.iskcondesiretree.com/02_-_ISKCON_Swamis/ISKCON_Swamis_-_R_to_Y/His_Holiness_Radhanath_Swami/Lectures/00_-_Year_wise/Devotional_Nectar_-_1993/1993-091_Knowledge_And_Renunciation_SB-03_27_21_Mumbai_-_Radhanath_Swami_1993-05-21_IDesireTree.mp3", "1993-091_Knowledge_And_Renunciation_SB-03_27_21_Mumbai_-_Radhanath_Swami_1993-05-21_IDesireTree.mp3")</f>
        <v>1993-091_Knowledge_And_Renunciation_SB-03_27_21_Mumbai_-_Radhanath_Swami_1993-05-21_IDesireTree.mp3</v>
      </c>
      <c r="D608" s="11"/>
      <c r="E608" s="11"/>
    </row>
    <row r="609" spans="1:5">
      <c r="A609" s="12" t="s">
        <v>12462</v>
      </c>
      <c r="B609" s="12" t="s">
        <v>13577</v>
      </c>
      <c r="C609" s="13" t="str">
        <f>HYPERLINK("https://audio.iskcondesiretree.com/02_-_ISKCON_Swamis/ISKCON_Swamis_-_R_to_Y/His_Holiness_Radhanath_Swami/Lectures/00_-_Year_wise/Devotional_Nectar_-_1993/1993-092_Gopis_Highest_Form_Of_Detachment_SB-10_29_04-08_Mumbai_-_22-05-93_IDesireTree.mp3", "1993-092_Gopis_Highest_Form_Of_Detachment_SB-10_29_04-08_Mumbai_-_22-05-93_IDesireTree.mp3")</f>
        <v>1993-092_Gopis_Highest_Form_Of_Detachment_SB-10_29_04-08_Mumbai_-_22-05-93_IDesireTree.mp3</v>
      </c>
      <c r="D609" s="11"/>
      <c r="E609" s="11"/>
    </row>
    <row r="610" spans="1:5">
      <c r="A610" s="12" t="s">
        <v>12462</v>
      </c>
      <c r="B610" s="12" t="s">
        <v>13578</v>
      </c>
      <c r="C610" s="13" t="str">
        <f>HYPERLINK("https://audio.iskcondesiretree.com/02_-_ISKCON_Swamis/ISKCON_Swamis_-_R_to_Y/His_Holiness_Radhanath_Swami/Lectures/00_-_Year_wise/Devotional_Nectar_-_1993/1993-093_How_To_Achieve_Satisfaction_Of_The_Self_SB-01_02_05_Mumbai_-_22-05-93_IDesireTree.mp3", "1993-093_How_To_Achieve_Satisfaction_Of_The_Self_SB-01_02_05_Mumbai_-_22-05-93_IDesireTree.mp3")</f>
        <v>1993-093_How_To_Achieve_Satisfaction_Of_The_Self_SB-01_02_05_Mumbai_-_22-05-93_IDesireTree.mp3</v>
      </c>
      <c r="D610" s="11"/>
      <c r="E610" s="11"/>
    </row>
    <row r="611" spans="1:5">
      <c r="A611" s="12" t="s">
        <v>12462</v>
      </c>
      <c r="B611" s="12" t="s">
        <v>13579</v>
      </c>
      <c r="C611" s="13" t="str">
        <f>HYPERLINK("https://audio.iskcondesiretree.com/02_-_ISKCON_Swamis/ISKCON_Swamis_-_R_to_Y/His_Holiness_Radhanath_Swami/Lectures/00_-_Year_wise/Devotional_Nectar_-_1993/1993-094_The_Exalted_Position_Of_Gopis_SB-10_29_09-11_Mumbai_-_23-05-93_IDesireTree.mp3", "1993-094_The_Exalted_Position_Of_Gopis_SB-10_29_09-11_Mumbai_-_23-05-93_IDesireTree.mp3")</f>
        <v>1993-094_The_Exalted_Position_Of_Gopis_SB-10_29_09-11_Mumbai_-_23-05-93_IDesireTree.mp3</v>
      </c>
      <c r="D611" s="11"/>
      <c r="E611" s="11"/>
    </row>
    <row r="612" spans="1:5">
      <c r="A612" s="12" t="s">
        <v>12462</v>
      </c>
      <c r="B612" s="12" t="s">
        <v>13580</v>
      </c>
      <c r="C612" s="13" t="str">
        <f>HYPERLINK("https://audio.iskcondesiretree.com/02_-_ISKCON_Swamis/ISKCON_Swamis_-_R_to_Y/His_Holiness_Radhanath_Swami/Lectures/00_-_Year_wise/Devotional_Nectar_-_1993/1993-095_Lord_Krishna%27s_Love_For_His_Devotees_SB-01_08_36_Mumbai_-_23-05-93_IDesireTree.mp3", "1993-095_Lord_Krishna%27s_Love_For_His_Devotees_SB-01_08_36_Mumbai_-_23-05-93_IDesireTree.mp3")</f>
        <v>1993-095_Lord_Krishna%27s_Love_For_His_Devotees_SB-01_08_36_Mumbai_-_23-05-93_IDesireTree.mp3</v>
      </c>
      <c r="D612" s="11"/>
      <c r="E612" s="11"/>
    </row>
    <row r="613" spans="1:5">
      <c r="A613" s="12" t="s">
        <v>12462</v>
      </c>
      <c r="B613" s="12" t="s">
        <v>13581</v>
      </c>
      <c r="C613" s="13" t="str">
        <f>HYPERLINK("https://audio.iskcondesiretree.com/02_-_ISKCON_Swamis/ISKCON_Swamis_-_R_to_Y/His_Holiness_Radhanath_Swami/Lectures/00_-_Year_wise/Devotional_Nectar_-_1993/1993-096_Worst_Prison_House_SB-02_01_09_Mumbai_-_Radhanath_Swami_1993-05-24_IDesireTree.mp3", "1993-096_Worst_Prison_House_SB-02_01_09_Mumbai_-_Radhanath_Swami_1993-05-24_IDesireTree.mp3")</f>
        <v>1993-096_Worst_Prison_House_SB-02_01_09_Mumbai_-_Radhanath_Swami_1993-05-24_IDesireTree.mp3</v>
      </c>
      <c r="D613" s="11"/>
      <c r="E613" s="11"/>
    </row>
    <row r="614" spans="1:5">
      <c r="A614" s="12" t="s">
        <v>12462</v>
      </c>
      <c r="B614" s="12" t="s">
        <v>13582</v>
      </c>
      <c r="C614" s="13" t="str">
        <f>HYPERLINK("https://audio.iskcondesiretree.com/02_-_ISKCON_Swamis/ISKCON_Swamis_-_R_to_Y/His_Holiness_Radhanath_Swami/Lectures/00_-_Year_wise/Devotional_Nectar_-_1993/1993-097_Selfless_Love_For_Others_SB-10_33_26-27_Mumbai_-_Radhanath_Swami_1993-05-24_IDesireTree.mp3", "1993-097_Selfless_Love_For_Others_SB-10_33_26-27_Mumbai_-_Radhanath_Swami_1993-05-24_IDesireTree.mp3")</f>
        <v>1993-097_Selfless_Love_For_Others_SB-10_33_26-27_Mumbai_-_Radhanath_Swami_1993-05-24_IDesireTree.mp3</v>
      </c>
      <c r="D614" s="11"/>
      <c r="E614" s="11"/>
    </row>
    <row r="615" spans="1:5">
      <c r="A615" s="12" t="s">
        <v>12462</v>
      </c>
      <c r="B615" s="12" t="s">
        <v>13583</v>
      </c>
      <c r="C615" s="13" t="str">
        <f>HYPERLINK("https://audio.iskcondesiretree.com/02_-_ISKCON_Swamis/ISKCON_Swamis_-_R_to_Y/His_Holiness_Radhanath_Swami/Lectures/00_-_Year_wise/Devotional_Nectar_-_1993/1993-098_Nothing_Is_Ours_BG-02_24_Mumbai_-_Radhanath_Swami_1993-05-25_IDesireTree.mp3", "1993-098_Nothing_Is_Ours_BG-02_24_Mumbai_-_Radhanath_Swami_1993-05-25_IDesireTree.mp3")</f>
        <v>1993-098_Nothing_Is_Ours_BG-02_24_Mumbai_-_Radhanath_Swami_1993-05-25_IDesireTree.mp3</v>
      </c>
      <c r="D615" s="11"/>
      <c r="E615" s="11"/>
    </row>
    <row r="616" spans="1:5">
      <c r="A616" s="12" t="s">
        <v>12462</v>
      </c>
      <c r="B616" s="12" t="s">
        <v>13584</v>
      </c>
      <c r="C616" s="13" t="str">
        <f>HYPERLINK("https://audio.iskcondesiretree.com/02_-_ISKCON_Swamis/ISKCON_Swamis_-_R_to_Y/His_Holiness_Radhanath_Swami/Lectures/00_-_Year_wise/Devotional_Nectar_-_1993/1993-099_The_Wealth_Of_Indian_Culture_SB-05_05_05_Mumbai_-_27-05-93_IDesireTree.mp3", "1993-099_The_Wealth_Of_Indian_Culture_SB-05_05_05_Mumbai_-_27-05-93_IDesireTree.mp3")</f>
        <v>1993-099_The_Wealth_Of_Indian_Culture_SB-05_05_05_Mumbai_-_27-05-93_IDesireTree.mp3</v>
      </c>
      <c r="D616" s="11"/>
      <c r="E616" s="11"/>
    </row>
    <row r="617" spans="1:5">
      <c r="A617" s="12" t="s">
        <v>12462</v>
      </c>
      <c r="B617" s="12" t="s">
        <v>13585</v>
      </c>
      <c r="C617" s="13" t="str">
        <f>HYPERLINK("https://audio.iskcondesiretree.com/02_-_ISKCON_Swamis/ISKCON_Swamis_-_R_to_Y/His_Holiness_Radhanath_Swami/Lectures/00_-_Year_wise/Devotional_Nectar_-_1993/1993-100_Highest_Form_Of_Renunciation_SB-10_29_14_Mumbai_-_27-05-93_IDesireTree.mp3", "1993-100_Highest_Form_Of_Renunciation_SB-10_29_14_Mumbai_-_27-05-93_IDesireTree.mp3")</f>
        <v>1993-100_Highest_Form_Of_Renunciation_SB-10_29_14_Mumbai_-_27-05-93_IDesireTree.mp3</v>
      </c>
      <c r="D617" s="11"/>
      <c r="E617" s="11"/>
    </row>
    <row r="618" spans="1:5">
      <c r="A618" s="12" t="s">
        <v>12462</v>
      </c>
      <c r="B618" s="12" t="s">
        <v>13586</v>
      </c>
      <c r="C618" s="13" t="str">
        <f>HYPERLINK("https://audio.iskcondesiretree.com/02_-_ISKCON_Swamis/ISKCON_Swamis_-_R_to_Y/His_Holiness_Radhanath_Swami/Lectures/00_-_Year_wise/Devotional_Nectar_-_1993/1993-101_Story_Of_Shyamantaka_Jewel_BG-02_44_Mumbai_-_Radhanath_Swami_1993-05-28_IDesireTree.mp3", "1993-101_Story_Of_Shyamantaka_Jewel_BG-02_44_Mumbai_-_Radhanath_Swami_1993-05-28_IDesireTree.mp3")</f>
        <v>1993-101_Story_Of_Shyamantaka_Jewel_BG-02_44_Mumbai_-_Radhanath_Swami_1993-05-28_IDesireTree.mp3</v>
      </c>
      <c r="D618" s="11"/>
      <c r="E618" s="11"/>
    </row>
    <row r="619" spans="1:5">
      <c r="A619" s="12" t="s">
        <v>12462</v>
      </c>
      <c r="B619" s="12" t="s">
        <v>13587</v>
      </c>
      <c r="C619" s="13" t="str">
        <f>HYPERLINK("https://audio.iskcondesiretree.com/02_-_ISKCON_Swamis/ISKCON_Swamis_-_R_to_Y/His_Holiness_Radhanath_Swami/Lectures/00_-_Year_wise/Devotional_Nectar_-_1993/1993-102_Marriage_Ceremony_Lecture_Lecture_Mumbai_-_Radhanath_Swami_1993-05-28_IDesireTree.mp3", "1993-102_Marriage_Ceremony_Lecture_Lecture_Mumbai_-_Radhanath_Swami_1993-05-28_IDesireTree.mp3")</f>
        <v>1993-102_Marriage_Ceremony_Lecture_Lecture_Mumbai_-_Radhanath_Swami_1993-05-28_IDesireTree.mp3</v>
      </c>
      <c r="D619" s="11"/>
      <c r="E619" s="11"/>
    </row>
    <row r="620" spans="1:5">
      <c r="A620" s="12" t="s">
        <v>12462</v>
      </c>
      <c r="B620" s="12" t="s">
        <v>13588</v>
      </c>
      <c r="C620" s="13" t="str">
        <f>HYPERLINK("https://audio.iskcondesiretree.com/02_-_ISKCON_Swamis/ISKCON_Swamis_-_R_to_Y/His_Holiness_Radhanath_Swami/Lectures/00_-_Year_wise/Devotional_Nectar_-_1993/1993-103_Knowing_Vedic_Principle_Mt_-_Lecture_Palghar_-_29-05-93_IDesireTree.mp3", "1993-103_Knowing_Vedic_Principle_Mt_-_Lecture_Palghar_-_29-05-93_IDesireTree.mp3")</f>
        <v>1993-103_Knowing_Vedic_Principle_Mt_-_Lecture_Palghar_-_29-05-93_IDesireTree.mp3</v>
      </c>
      <c r="D620" s="11"/>
      <c r="E620" s="11"/>
    </row>
    <row r="621" spans="1:5">
      <c r="A621" s="12" t="s">
        <v>12462</v>
      </c>
      <c r="B621" s="12" t="s">
        <v>13589</v>
      </c>
      <c r="C621" s="13" t="str">
        <f>HYPERLINK("https://audio.iskcondesiretree.com/02_-_ISKCON_Swamis/ISKCON_Swamis_-_R_to_Y/His_Holiness_Radhanath_Swami/Lectures/00_-_Year_wise/Devotional_Nectar_-_1993/1993-103_Knowing_Vedic_Principle_Mt_-_Lecture_Palghar_-_Radhanath_Swami_1993-05-29_IDesireTree.mp3", "1993-103_Knowing_Vedic_Principle_Mt_-_Lecture_Palghar_-_Radhanath_Swami_1993-05-29_IDesireTree.mp3")</f>
        <v>1993-103_Knowing_Vedic_Principle_Mt_-_Lecture_Palghar_-_Radhanath_Swami_1993-05-29_IDesireTree.mp3</v>
      </c>
      <c r="D621" s="11"/>
      <c r="E621" s="11"/>
    </row>
    <row r="622" spans="1:5">
      <c r="A622" s="12" t="s">
        <v>12462</v>
      </c>
      <c r="B622" s="12" t="s">
        <v>13590</v>
      </c>
      <c r="C622" s="13" t="str">
        <f>HYPERLINK("https://audio.iskcondesiretree.com/02_-_ISKCON_Swamis/ISKCON_Swamis_-_R_to_Y/His_Holiness_Radhanath_Swami/Lectures/00_-_Year_wise/Devotional_Nectar_-_1993/1993-104_The_Holy_Name_Is_all_auspicious_Lecture_-_Radhanath_Swami_1993-06-04_IDesireTree.mp3", "1993-104_The_Holy_Name_Is_all_auspicious_Lecture_-_Radhanath_Swami_1993-06-04_IDesireTree.mp3")</f>
        <v>1993-104_The_Holy_Name_Is_all_auspicious_Lecture_-_Radhanath_Swami_1993-06-04_IDesireTree.mp3</v>
      </c>
      <c r="D622" s="11"/>
      <c r="E622" s="11"/>
    </row>
    <row r="623" spans="1:5">
      <c r="A623" s="12" t="s">
        <v>12462</v>
      </c>
      <c r="B623" s="12" t="s">
        <v>13591</v>
      </c>
      <c r="C623" s="13" t="str">
        <f>HYPERLINK("https://audio.iskcondesiretree.com/02_-_ISKCON_Swamis/ISKCON_Swamis_-_R_to_Y/His_Holiness_Radhanath_Swami/Lectures/00_-_Year_wise/Devotional_Nectar_-_1993/1993-105_Attachment_To_Devotees_SB-03_25_24_Mumbai_-_Radhanath_Swami_1993-06-05_IDesireTree.mp3", "1993-105_Attachment_To_Devotees_SB-03_25_24_Mumbai_-_Radhanath_Swami_1993-06-05_IDesireTree.mp3")</f>
        <v>1993-105_Attachment_To_Devotees_SB-03_25_24_Mumbai_-_Radhanath_Swami_1993-06-05_IDesireTree.mp3</v>
      </c>
      <c r="D623" s="11"/>
      <c r="E623" s="11"/>
    </row>
    <row r="624" spans="1:5">
      <c r="A624" s="12" t="s">
        <v>12462</v>
      </c>
      <c r="B624" s="12" t="s">
        <v>13592</v>
      </c>
      <c r="C624" s="13" t="str">
        <f>HYPERLINK("https://audio.iskcondesiretree.com/02_-_ISKCON_Swamis/ISKCON_Swamis_-_R_to_Y/His_Holiness_Radhanath_Swami/Lectures/00_-_Year_wise/Devotional_Nectar_-_1993/1993-106_Dust_Of_Lotus_Feet_SB-10_29_36_37_Mumbai_-_Radhanath_Swami_1993-06-06_IDesireTree.mp3", "1993-106_Dust_Of_Lotus_Feet_SB-10_29_36_37_Mumbai_-_Radhanath_Swami_1993-06-06_IDesireTree.mp3")</f>
        <v>1993-106_Dust_Of_Lotus_Feet_SB-10_29_36_37_Mumbai_-_Radhanath_Swami_1993-06-06_IDesireTree.mp3</v>
      </c>
      <c r="D624" s="11"/>
      <c r="E624" s="11"/>
    </row>
    <row r="625" spans="1:5">
      <c r="A625" s="12" t="s">
        <v>12462</v>
      </c>
      <c r="B625" s="12" t="s">
        <v>13593</v>
      </c>
      <c r="C625" s="13" t="str">
        <f>HYPERLINK("https://audio.iskcondesiretree.com/02_-_ISKCON_Swamis/ISKCON_Swamis_-_R_to_Y/His_Holiness_Radhanath_Swami/Lectures/00_-_Year_wise/Devotional_Nectar_-_1993/1993-107_Story_Of_Lord_Jagannath_BG-13_17_Mumbai_-_Radhanath_Swami_1993-06-06_IDesireTree.mp3", "1993-107_Story_Of_Lord_Jagannath_BG-13_17_Mumbai_-_Radhanath_Swami_1993-06-06_IDesireTree.mp3")</f>
        <v>1993-107_Story_Of_Lord_Jagannath_BG-13_17_Mumbai_-_Radhanath_Swami_1993-06-06_IDesireTree.mp3</v>
      </c>
      <c r="D625" s="11"/>
      <c r="E625" s="11"/>
    </row>
    <row r="626" spans="1:5">
      <c r="A626" s="12" t="s">
        <v>12462</v>
      </c>
      <c r="B626" s="12" t="s">
        <v>13594</v>
      </c>
      <c r="C626" s="13" t="str">
        <f>HYPERLINK("https://audio.iskcondesiretree.com/02_-_ISKCON_Swamis/ISKCON_Swamis_-_R_to_Y/His_Holiness_Radhanath_Swami/Lectures/00_-_Year_wise/Devotional_Nectar_-_1993/1993-108_Greatness_Of_Vedic_Culture_SB-01_02_25_Mumbai_-_Radhanath_Swami_1993-06-06_IDesireTree.mp3", "1993-108_Greatness_Of_Vedic_Culture_SB-01_02_25_Mumbai_-_Radhanath_Swami_1993-06-06_IDesireTree.mp3")</f>
        <v>1993-108_Greatness_Of_Vedic_Culture_SB-01_02_25_Mumbai_-_Radhanath_Swami_1993-06-06_IDesireTree.mp3</v>
      </c>
      <c r="D626" s="11"/>
      <c r="E626" s="11"/>
    </row>
    <row r="627" spans="1:5">
      <c r="A627" s="12" t="s">
        <v>12462</v>
      </c>
      <c r="B627" s="12" t="s">
        <v>13595</v>
      </c>
      <c r="C627" s="13" t="str">
        <f>HYPERLINK("https://audio.iskcondesiretree.com/02_-_ISKCON_Swamis/ISKCON_Swamis_-_R_to_Y/His_Holiness_Radhanath_Swami/Lectures/00_-_Year_wise/Devotional_Nectar_-_1993/1993-109_Each_Test_Is_Important_BG-04_39_Mumbai_-_Radhanath_Swami_1993-06-07_IDesireTree.mp3", "1993-109_Each_Test_Is_Important_BG-04_39_Mumbai_-_Radhanath_Swami_1993-06-07_IDesireTree.mp3")</f>
        <v>1993-109_Each_Test_Is_Important_BG-04_39_Mumbai_-_Radhanath_Swami_1993-06-07_IDesireTree.mp3</v>
      </c>
      <c r="D627" s="11"/>
      <c r="E627" s="11"/>
    </row>
    <row r="628" spans="1:5">
      <c r="A628" s="12" t="s">
        <v>12462</v>
      </c>
      <c r="B628" s="12" t="s">
        <v>13596</v>
      </c>
      <c r="C628" s="13" t="str">
        <f>HYPERLINK("https://audio.iskcondesiretree.com/02_-_ISKCON_Swamis/ISKCON_Swamis_-_R_to_Y/His_Holiness_Radhanath_Swami/Lectures/00_-_Year_wise/Devotional_Nectar_-_1993/1993-110_To_Be_Greedy_For_Krishna_SB-10_29_39_Mumbai_-_Radhanath_Swami_1993-06-08_IDesireTree.mp3", "1993-110_To_Be_Greedy_For_Krishna_SB-10_29_39_Mumbai_-_Radhanath_Swami_1993-06-08_IDesireTree.mp3")</f>
        <v>1993-110_To_Be_Greedy_For_Krishna_SB-10_29_39_Mumbai_-_Radhanath_Swami_1993-06-08_IDesireTree.mp3</v>
      </c>
      <c r="D628" s="11"/>
      <c r="E628" s="11"/>
    </row>
    <row r="629" spans="1:5">
      <c r="A629" s="12" t="s">
        <v>12462</v>
      </c>
      <c r="B629" s="12" t="s">
        <v>13597</v>
      </c>
      <c r="C629" s="13" t="str">
        <f>HYPERLINK("https://audio.iskcondesiretree.com/02_-_ISKCON_Swamis/ISKCON_Swamis_-_R_to_Y/His_Holiness_Radhanath_Swami/Lectures/00_-_Year_wise/Devotional_Nectar_-_1993/1993-111_Utilising_Free_Will_In_Service_Of_Krishna_SB-02_09_34_Mumbai_-_08-06-93_IDesireTree.mp3", "1993-111_Utilising_Free_Will_In_Service_Of_Krishna_SB-02_09_34_Mumbai_-_08-06-93_IDesireTree.mp3")</f>
        <v>1993-111_Utilising_Free_Will_In_Service_Of_Krishna_SB-02_09_34_Mumbai_-_08-06-93_IDesireTree.mp3</v>
      </c>
      <c r="D629" s="11"/>
      <c r="E629" s="11"/>
    </row>
    <row r="630" spans="1:5">
      <c r="A630" s="12" t="s">
        <v>12462</v>
      </c>
      <c r="B630" s="12" t="s">
        <v>13598</v>
      </c>
      <c r="C630" s="13" t="str">
        <f>HYPERLINK("https://audio.iskcondesiretree.com/02_-_ISKCON_Swamis/ISKCON_Swamis_-_R_to_Y/His_Holiness_Radhanath_Swami/Lectures/00_-_Year_wise/Devotional_Nectar_-_1993/1993-112_Ideal_Leadership_SB-05_01_07_MUmbai_-_Radhanath_Swami_1993-06-09_IDesireTree.mp3", "1993-112_Ideal_Leadership_SB-05_01_07_MUmbai_-_Radhanath_Swami_1993-06-09_IDesireTree.mp3")</f>
        <v>1993-112_Ideal_Leadership_SB-05_01_07_MUmbai_-_Radhanath_Swami_1993-06-09_IDesireTree.mp3</v>
      </c>
      <c r="D630" s="11"/>
      <c r="E630" s="11"/>
    </row>
    <row r="631" spans="1:5">
      <c r="A631" s="12" t="s">
        <v>12462</v>
      </c>
      <c r="B631" s="12" t="s">
        <v>13599</v>
      </c>
      <c r="C631" s="13" t="str">
        <f>HYPERLINK("https://audio.iskcondesiretree.com/02_-_ISKCON_Swamis/ISKCON_Swamis_-_R_to_Y/His_Holiness_Radhanath_Swami/Lectures/00_-_Year_wise/Devotional_Nectar_-_1993/1993-113_Story_of_Narada_Muni_SB-01_05_29_Mumbai_-_Radhanath_Swami_1993-06-10_IDesireTree.mp3", "1993-113_Story_of_Narada_Muni_SB-01_05_29_Mumbai_-_Radhanath_Swami_1993-06-10_IDesireTree.mp3")</f>
        <v>1993-113_Story_of_Narada_Muni_SB-01_05_29_Mumbai_-_Radhanath_Swami_1993-06-10_IDesireTree.mp3</v>
      </c>
      <c r="D631" s="11"/>
      <c r="E631" s="11"/>
    </row>
    <row r="632" spans="1:5">
      <c r="A632" s="12" t="s">
        <v>12462</v>
      </c>
      <c r="B632" s="12" t="s">
        <v>13600</v>
      </c>
      <c r="C632" s="13" t="str">
        <f>HYPERLINK("https://audio.iskcondesiretree.com/02_-_ISKCON_Swamis/ISKCON_Swamis_-_R_to_Y/His_Holiness_Radhanath_Swami/Lectures/00_-_Year_wise/Devotional_Nectar_-_1993/1993-114_Question_%26_Answers_Q%26A_Maumbai_-_Radhanath_Swami_1993-06-11_IDesireTree.mp3", "1993-114_Question_%26_Answers_Q%26A_Maumbai_-_Radhanath_Swami_1993-06-11_IDesireTree.mp3")</f>
        <v>1993-114_Question_%26_Answers_Q%26A_Maumbai_-_Radhanath_Swami_1993-06-11_IDesireTree.mp3</v>
      </c>
      <c r="D632" s="11"/>
      <c r="E632" s="11"/>
    </row>
    <row r="633" spans="1:5">
      <c r="A633" s="12" t="s">
        <v>12462</v>
      </c>
      <c r="B633" s="12" t="s">
        <v>13601</v>
      </c>
      <c r="C633" s="13" t="str">
        <f>HYPERLINK("https://audio.iskcondesiretree.com/02_-_ISKCON_Swamis/ISKCON_Swamis_-_R_to_Y/His_Holiness_Radhanath_Swami/Lectures/00_-_Year_wise/Devotional_Nectar_-_1993/1993-115_Thank_for_Lord_Krsna%27s_Mercy_SB-01_08_38-39_-_Radhanath_Swami_1993-06-12IDesireTree.mp3", "1993-115_Thank_for_Lord_Krsna%27s_Mercy_SB-01_08_38-39_-_Radhanath_Swami_1993-06-12IDesireTree.mp3")</f>
        <v>1993-115_Thank_for_Lord_Krsna%27s_Mercy_SB-01_08_38-39_-_Radhanath_Swami_1993-06-12IDesireTree.mp3</v>
      </c>
      <c r="D633" s="11"/>
      <c r="E633" s="11"/>
    </row>
    <row r="634" spans="1:5">
      <c r="A634" s="12" t="s">
        <v>12462</v>
      </c>
      <c r="B634" s="12" t="s">
        <v>13602</v>
      </c>
      <c r="C634" s="13" t="str">
        <f>HYPERLINK("https://audio.iskcondesiretree.com/02_-_ISKCON_Swamis/ISKCON_Swamis_-_R_to_Y/His_Holiness_Radhanath_Swami/Lectures/00_-_Year_wise/Devotional_Nectar_-_1993/1993-116_Thinking_Oneself_Lowly_SB-10_33_31-35_-_Radhanath_Swami_1993-06-12_IDesireTree.mp3", "1993-116_Thinking_Oneself_Lowly_SB-10_33_31-35_-_Radhanath_Swami_1993-06-12_IDesireTree.mp3")</f>
        <v>1993-116_Thinking_Oneself_Lowly_SB-10_33_31-35_-_Radhanath_Swami_1993-06-12_IDesireTree.mp3</v>
      </c>
      <c r="D634" s="11"/>
      <c r="E634" s="11"/>
    </row>
    <row r="635" spans="1:5">
      <c r="A635" s="12" t="s">
        <v>12462</v>
      </c>
      <c r="B635" s="12" t="s">
        <v>13603</v>
      </c>
      <c r="C635" s="13" t="str">
        <f>HYPERLINK("https://audio.iskcondesiretree.com/02_-_ISKCON_Swamis/ISKCON_Swamis_-_R_to_Y/His_Holiness_Radhanath_Swami/Lectures/00_-_Year_wise/Devotional_Nectar_-_1993/1993-117_Ideal_Household_Life_BG-09_27_Mumbai_-_Radhanath_Swami_1993-06-13_IDesireTree.mp3", "1993-117_Ideal_Household_Life_BG-09_27_Mumbai_-_Radhanath_Swami_1993-06-13_IDesireTree.mp3")</f>
        <v>1993-117_Ideal_Household_Life_BG-09_27_Mumbai_-_Radhanath_Swami_1993-06-13_IDesireTree.mp3</v>
      </c>
      <c r="D635" s="11"/>
      <c r="E635" s="11"/>
    </row>
    <row r="636" spans="1:5">
      <c r="A636" s="12" t="s">
        <v>12462</v>
      </c>
      <c r="B636" s="12" t="e">
        <v>#VALUE!</v>
      </c>
      <c r="C636" s="13" t="e">
        <f>HYPERLINK("https://audio.iskcondesiretree.com/02_-_ISKCON_Swamis/ISKCON_Swamis_-_R_to_Y/His_Holiness_Radhanath_Swami/Lectures/00_-_Year_wise/Devotional_Nectar_-_1993/1993-118_Engaging_The_Mind_And_Senses_In_Devotional_Service_BG-05_07_Mumbai_-_13-06-93_IDesireTree.m"&amp;"p3", "1993-118_Engaging_The_Mind_And_Senses_In_Devotional_Service_BG-05_07_Mumbai_-_13-06-93_IDesireTree.mp3")</f>
        <v>#VALUE!</v>
      </c>
      <c r="D636" s="11"/>
      <c r="E636" s="11"/>
    </row>
    <row r="637" spans="1:5">
      <c r="A637" s="12" t="s">
        <v>12462</v>
      </c>
      <c r="B637" s="12" t="e">
        <v>#VALUE!</v>
      </c>
      <c r="C637" s="13" t="e">
        <f>HYPERLINK("https://audio.iskcondesiretree.com/02_-_ISKCON_Swamis/ISKCON_Swamis_-_R_to_Y/His_Holiness_Radhanath_Swami/Lectures/00_-_Year_wise/Devotional_Nectar_-_1993/1993-119_Lord_Krsna%27s_Unlimited_Potency_SB-10_33_35-37_-_Radhanath_Swami_1993-06-14_IDesireTree.mp"&amp;"3", "1993-119_Lord_Krsna%27s_Unlimited_Potency_SB-10_33_35-37_-_Radhanath_Swami_1993-06-14_IDesireTree.mp3")</f>
        <v>#VALUE!</v>
      </c>
      <c r="D637" s="11"/>
      <c r="E637" s="11"/>
    </row>
    <row r="638" spans="1:5">
      <c r="A638" s="12" t="s">
        <v>12462</v>
      </c>
      <c r="B638" s="12" t="s">
        <v>13604</v>
      </c>
      <c r="C638" s="13" t="str">
        <f>HYPERLINK("https://audio.iskcondesiretree.com/02_-_ISKCON_Swamis/ISKCON_Swamis_-_R_to_Y/His_Holiness_Radhanath_Swami/Lectures/00_-_Year_wise/Devotional_Nectar_-_1993/1993-120_Lord_Krsna_Our_supreme_Saviour_SB-01_03_33_-_Radhanath_Swami_1993-06-18_IDesireTree.mp3", "1993-120_Lord_Krsna_Our_supreme_Saviour_SB-01_03_33_-_Radhanath_Swami_1993-06-18_IDesireTree.mp3")</f>
        <v>1993-120_Lord_Krsna_Our_supreme_Saviour_SB-01_03_33_-_Radhanath_Swami_1993-06-18_IDesireTree.mp3</v>
      </c>
      <c r="D638" s="11"/>
      <c r="E638" s="11"/>
    </row>
    <row r="639" spans="1:5">
      <c r="A639" s="12" t="s">
        <v>12462</v>
      </c>
      <c r="B639" s="12" t="s">
        <v>13605</v>
      </c>
      <c r="C639" s="13" t="str">
        <f>HYPERLINK("https://audio.iskcondesiretree.com/02_-_ISKCON_Swamis/ISKCON_Swamis_-_R_to_Y/His_Holiness_Radhanath_Swami/Lectures/00_-_Year_wise/Devotional_Nectar_-_1993/1993-121_Bhishma_the_Apistole_Of_Surrender_SB-01_09_30_Mumbai_-_19-06-93_IDesireTree.mp3", "1993-121_Bhishma_the_Apistole_Of_Surrender_SB-01_09_30_Mumbai_-_19-06-93_IDesireTree.mp3")</f>
        <v>1993-121_Bhishma_the_Apistole_Of_Surrender_SB-01_09_30_Mumbai_-_19-06-93_IDesireTree.mp3</v>
      </c>
      <c r="D639" s="11"/>
      <c r="E639" s="11"/>
    </row>
    <row r="640" spans="1:5">
      <c r="A640" s="12" t="s">
        <v>12462</v>
      </c>
      <c r="B640" s="12" t="s">
        <v>13606</v>
      </c>
      <c r="C640" s="13" t="str">
        <f>HYPERLINK("https://audio.iskcondesiretree.com/02_-_ISKCON_Swamis/ISKCON_Swamis_-_R_to_Y/His_Holiness_Radhanath_Swami/Lectures/00_-_Year_wise/Devotional_Nectar_-_1993/1993-122_Respecting_Demigods_SB-10_34_10-15_-_Radhanath_Swami_1993-06-19_IDesireTree.mp3", "1993-122_Respecting_Demigods_SB-10_34_10-15_-_Radhanath_Swami_1993-06-19_IDesireTree.mp3")</f>
        <v>1993-122_Respecting_Demigods_SB-10_34_10-15_-_Radhanath_Swami_1993-06-19_IDesireTree.mp3</v>
      </c>
      <c r="D640" s="11"/>
      <c r="E640" s="11"/>
    </row>
    <row r="641" spans="1:5">
      <c r="A641" s="12" t="s">
        <v>12462</v>
      </c>
      <c r="B641" s="12" t="s">
        <v>13607</v>
      </c>
      <c r="C641" s="13" t="str">
        <f>HYPERLINK("https://audio.iskcondesiretree.com/02_-_ISKCON_Swamis/ISKCON_Swamis_-_R_to_Y/His_Holiness_Radhanath_Swami/Lectures/00_-_Year_wise/Devotional_Nectar_-_1993/1993-123_Disappearance_-_Radhanath_Swami_IDesireTree.mp3", "1993-123_Disappearance_-_Radhanath_Swami_IDesireTree.mp3")</f>
        <v>1993-123_Disappearance_-_Radhanath_Swami_IDesireTree.mp3</v>
      </c>
      <c r="D641" s="11"/>
      <c r="E641" s="11"/>
    </row>
    <row r="642" spans="1:5">
      <c r="A642" s="12" t="s">
        <v>12462</v>
      </c>
      <c r="B642" s="12" t="s">
        <v>13608</v>
      </c>
      <c r="C642" s="13" t="str">
        <f>HYPERLINK("https://audio.iskcondesiretree.com/02_-_ISKCON_Swamis/ISKCON_Swamis_-_R_to_Y/His_Holiness_Radhanath_Swami/Lectures/00_-_Year_wise/Devotional_Nectar_-_1993/1993-124_Showing_Love_For_Each_Other_Lecture_Mumbai_-_Radhanath_Swami_1993-06-20_IDesireTree.mp3", "1993-124_Showing_Love_For_Each_Other_Lecture_Mumbai_-_Radhanath_Swami_1993-06-20_IDesireTree.mp3")</f>
        <v>1993-124_Showing_Love_For_Each_Other_Lecture_Mumbai_-_Radhanath_Swami_1993-06-20_IDesireTree.mp3</v>
      </c>
      <c r="D642" s="11"/>
      <c r="E642" s="11"/>
    </row>
    <row r="643" spans="1:5">
      <c r="A643" s="12" t="s">
        <v>12462</v>
      </c>
      <c r="B643" s="12" t="s">
        <v>13609</v>
      </c>
      <c r="C643" s="13" t="str">
        <f>HYPERLINK("https://audio.iskcondesiretree.com/02_-_ISKCON_Swamis/ISKCON_Swamis_-_R_to_Y/His_Holiness_Radhanath_Swami/Lectures/00_-_Year_wise/Devotional_Nectar_-_1993/1993-125_The_Supreme_Wealth_SB-10_45_35-37_-_Radhanath_Swami_1993-06-20_IDesireTree.mp3", "1993-125_The_Supreme_Wealth_SB-10_45_35-37_-_Radhanath_Swami_1993-06-20_IDesireTree.mp3")</f>
        <v>1993-125_The_Supreme_Wealth_SB-10_45_35-37_-_Radhanath_Swami_1993-06-20_IDesireTree.mp3</v>
      </c>
      <c r="D643" s="11"/>
      <c r="E643" s="11"/>
    </row>
    <row r="644" spans="1:5">
      <c r="A644" s="12" t="s">
        <v>12462</v>
      </c>
      <c r="B644" s="12" t="s">
        <v>13610</v>
      </c>
      <c r="C644" s="13" t="str">
        <f>HYPERLINK("https://audio.iskcondesiretree.com/02_-_ISKCON_Swamis/ISKCON_Swamis_-_R_to_Y/His_Holiness_Radhanath_Swami/Lectures/00_-_Year_wise/Devotional_Nectar_-_1993/1993-126_Everything_Is_controlled_SB-10_45_38_-_Radhanath_Swami_1993-09-21_IDesireTree.mp3", "1993-126_Everything_Is_controlled_SB-10_45_38_-_Radhanath_Swami_1993-09-21_IDesireTree.mp3")</f>
        <v>1993-126_Everything_Is_controlled_SB-10_45_38_-_Radhanath_Swami_1993-09-21_IDesireTree.mp3</v>
      </c>
      <c r="D644" s="11"/>
      <c r="E644" s="11"/>
    </row>
    <row r="645" spans="1:5">
      <c r="A645" s="12" t="s">
        <v>12462</v>
      </c>
      <c r="B645" s="12" t="s">
        <v>13611</v>
      </c>
      <c r="C645" s="13" t="str">
        <f>HYPERLINK("https://audio.iskcondesiretree.com/02_-_ISKCON_Swamis/ISKCON_Swamis_-_R_to_Y/His_Holiness_Radhanath_Swami/Lectures/00_-_Year_wise/Devotional_Nectar_-_1993/1993-127_Srimati_Radharani_the_Supreme_Love_SB-10_36_26_-_Radhanath_Swami_1993-09-23_IDesireTree.mp3", "1993-127_Srimati_Radharani_the_Supreme_Love_SB-10_36_26_-_Radhanath_Swami_1993-09-23_IDesireTree.mp3")</f>
        <v>1993-127_Srimati_Radharani_the_Supreme_Love_SB-10_36_26_-_Radhanath_Swami_1993-09-23_IDesireTree.mp3</v>
      </c>
      <c r="D645" s="11"/>
      <c r="E645" s="11"/>
    </row>
    <row r="646" spans="1:5">
      <c r="A646" s="12" t="s">
        <v>12462</v>
      </c>
      <c r="B646" s="12" t="s">
        <v>13612</v>
      </c>
      <c r="C646" s="13" t="str">
        <f>HYPERLINK("https://audio.iskcondesiretree.com/02_-_ISKCON_Swamis/ISKCON_Swamis_-_R_to_Y/His_Holiness_Radhanath_Swami/Lectures/00_-_Year_wise/Devotional_Nectar_-_1993/1993-128_The_gift_of_srimati_Radharani_Lecture_-_Radhanath_Swami_1993-09-23_IDesireTree.mp3", "1993-128_The_gift_of_srimati_Radharani_Lecture_-_Radhanath_Swami_1993-09-23_IDesireTree.mp3")</f>
        <v>1993-128_The_gift_of_srimati_Radharani_Lecture_-_Radhanath_Swami_1993-09-23_IDesireTree.mp3</v>
      </c>
      <c r="D646" s="11"/>
      <c r="E646" s="11"/>
    </row>
    <row r="647" spans="1:5">
      <c r="A647" s="12" t="s">
        <v>12462</v>
      </c>
      <c r="B647" s="12" t="s">
        <v>13613</v>
      </c>
      <c r="C647" s="13" t="str">
        <f>HYPERLINK("https://audio.iskcondesiretree.com/02_-_ISKCON_Swamis/ISKCON_Swamis_-_R_to_Y/His_Holiness_Radhanath_Swami/Lectures/00_-_Year_wise/Devotional_Nectar_-_1993/1993-129_Responsibility_Of_Human_Life_SB-03_25_13_-_Radhanath_Swami_1993-09-24_IDesireTree.mp3", "1993-129_Responsibility_Of_Human_Life_SB-03_25_13_-_Radhanath_Swami_1993-09-24_IDesireTree.mp3")</f>
        <v>1993-129_Responsibility_Of_Human_Life_SB-03_25_13_-_Radhanath_Swami_1993-09-24_IDesireTree.mp3</v>
      </c>
      <c r="D647" s="11"/>
      <c r="E647" s="11"/>
    </row>
    <row r="648" spans="1:5">
      <c r="A648" s="12" t="s">
        <v>12462</v>
      </c>
      <c r="B648" s="12" t="s">
        <v>13614</v>
      </c>
      <c r="C648" s="13" t="str">
        <f>HYPERLINK("https://audio.iskcondesiretree.com/02_-_ISKCON_Swamis/ISKCON_Swamis_-_R_to_Y/His_Holiness_Radhanath_Swami/Lectures/00_-_Year_wise/Devotional_Nectar_-_1993/1993-130_Value_Of_Association_Of_Devotees_SB-10_45_42-44_Mumbai_-_24-09-93_IDesireTree.mp3", "1993-130_Value_Of_Association_Of_Devotees_SB-10_45_42-44_Mumbai_-_24-09-93_IDesireTree.mp3")</f>
        <v>1993-130_Value_Of_Association_Of_Devotees_SB-10_45_42-44_Mumbai_-_24-09-93_IDesireTree.mp3</v>
      </c>
      <c r="D648" s="11"/>
      <c r="E648" s="11"/>
    </row>
    <row r="649" spans="1:5">
      <c r="A649" s="12" t="s">
        <v>12462</v>
      </c>
      <c r="B649" s="12" t="s">
        <v>13615</v>
      </c>
      <c r="C649" s="13" t="str">
        <f>HYPERLINK("https://audio.iskcondesiretree.com/02_-_ISKCON_Swamis/ISKCON_Swamis_-_R_to_Y/His_Holiness_Radhanath_Swami/Lectures/00_-_Year_wise/Devotional_Nectar_-_1993/1993-131_Lord_Krsna_In_the_Form_of_Death_SB-10_45_45-50_Mumbai_-_25-9-93_IDesireTree.mp3", "1993-131_Lord_Krsna_In_the_Form_of_Death_SB-10_45_45-50_Mumbai_-_25-9-93_IDesireTree.mp3")</f>
        <v>1993-131_Lord_Krsna_In_the_Form_of_Death_SB-10_45_45-50_Mumbai_-_25-9-93_IDesireTree.mp3</v>
      </c>
      <c r="D649" s="11"/>
      <c r="E649" s="11"/>
    </row>
    <row r="650" spans="1:5">
      <c r="A650" s="12" t="s">
        <v>12462</v>
      </c>
      <c r="B650" s="12" t="s">
        <v>13616</v>
      </c>
      <c r="C650" s="13" t="str">
        <f>HYPERLINK("https://audio.iskcondesiretree.com/02_-_ISKCON_Swamis/ISKCON_Swamis_-_R_to_Y/His_Holiness_Radhanath_Swami/Lectures/00_-_Year_wise/Devotional_Nectar_-_1993/1993-132_Sweetness_Of_Bhakti_SB-04_24_55_Mumbai_-_Radhanath_Swami_1993-09-26_IDesireTree.mp3", "1993-132_Sweetness_Of_Bhakti_SB-04_24_55_Mumbai_-_Radhanath_Swami_1993-09-26_IDesireTree.mp3")</f>
        <v>1993-132_Sweetness_Of_Bhakti_SB-04_24_55_Mumbai_-_Radhanath_Swami_1993-09-26_IDesireTree.mp3</v>
      </c>
      <c r="D650" s="11"/>
      <c r="E650" s="11"/>
    </row>
    <row r="651" spans="1:5">
      <c r="A651" s="12" t="s">
        <v>12462</v>
      </c>
      <c r="B651" s="12" t="s">
        <v>13617</v>
      </c>
      <c r="C651" s="13" t="str">
        <f>HYPERLINK("https://audio.iskcondesiretree.com/02_-_ISKCON_Swamis/ISKCON_Swamis_-_R_to_Y/His_Holiness_Radhanath_Swami/Lectures/00_-_Year_wise/Devotional_Nectar_-_1993/1993-133_Srila_Jiva_Goswami_Lecture_Mumbai_-_Radhanath_Swami_1993-09-27_IDesireTree.mp3", "1993-133_Srila_Jiva_Goswami_Lecture_Mumbai_-_Radhanath_Swami_1993-09-27_IDesireTree.mp3")</f>
        <v>1993-133_Srila_Jiva_Goswami_Lecture_Mumbai_-_Radhanath_Swami_1993-09-27_IDesireTree.mp3</v>
      </c>
      <c r="D651" s="11"/>
      <c r="E651" s="11"/>
    </row>
    <row r="652" spans="1:5">
      <c r="A652" s="12" t="s">
        <v>12462</v>
      </c>
      <c r="B652" s="12" t="s">
        <v>13618</v>
      </c>
      <c r="C652" s="13" t="str">
        <f>HYPERLINK("https://audio.iskcondesiretree.com/02_-_ISKCON_Swamis/ISKCON_Swamis_-_R_to_Y/His_Holiness_Radhanath_Swami/Lectures/00_-_Year_wise/Devotional_Nectar_-_1993/1993-134_Lord_Varahadev_SB-08_21_01-04_Mumbai_-_Radhanath_Swami_1993-09-27_IDesireTree.mp3", "1993-134_Lord_Varahadev_SB-08_21_01-04_Mumbai_-_Radhanath_Swami_1993-09-27_IDesireTree.mp3")</f>
        <v>1993-134_Lord_Varahadev_SB-08_21_01-04_Mumbai_-_Radhanath_Swami_1993-09-27_IDesireTree.mp3</v>
      </c>
      <c r="D652" s="11"/>
      <c r="E652" s="11"/>
    </row>
    <row r="653" spans="1:5">
      <c r="A653" s="12" t="s">
        <v>12462</v>
      </c>
      <c r="B653" s="12" t="s">
        <v>13619</v>
      </c>
      <c r="C653" s="13" t="str">
        <f>HYPERLINK("https://audio.iskcondesiretree.com/02_-_ISKCON_Swamis/ISKCON_Swamis_-_R_to_Y/His_Holiness_Radhanath_Swami/Lectures/00_-_Year_wise/Devotional_Nectar_-_1993/1993-135_Srila_Bhaktivinoda_Thakur%27s_Dream_SB_Mumbai_-_Radhanath_Swami_1993-09-28_IDesireTree.mp3", "1993-135_Srila_Bhaktivinoda_Thakur%27s_Dream_SB_Mumbai_-_Radhanath_Swami_1993-09-28_IDesireTree.mp3")</f>
        <v>1993-135_Srila_Bhaktivinoda_Thakur%27s_Dream_SB_Mumbai_-_Radhanath_Swami_1993-09-28_IDesireTree.mp3</v>
      </c>
      <c r="D653" s="11"/>
      <c r="E653" s="11"/>
    </row>
    <row r="654" spans="1:5">
      <c r="A654" s="12" t="s">
        <v>12462</v>
      </c>
      <c r="B654" s="12" t="s">
        <v>13620</v>
      </c>
      <c r="C654" s="13" t="str">
        <f>HYPERLINK("https://audio.iskcondesiretree.com/02_-_ISKCON_Swamis/ISKCON_Swamis_-_R_to_Y/His_Holiness_Radhanath_Swami/Lectures/00_-_Year_wise/Devotional_Nectar_-_1993/1993-136_Haridas_Thakur-_The_Crown_Jewel_CC_anty-11_1-7_Mumbai_-_29-09-93_IDesireTree.mp3", "1993-136_Haridas_Thakur-_The_Crown_Jewel_CC_anty-11_1-7_Mumbai_-_29-09-93_IDesireTree.mp3")</f>
        <v>1993-136_Haridas_Thakur-_The_Crown_Jewel_CC_anty-11_1-7_Mumbai_-_29-09-93_IDesireTree.mp3</v>
      </c>
      <c r="D654" s="11"/>
      <c r="E654" s="11"/>
    </row>
    <row r="655" spans="1:5">
      <c r="A655" s="12" t="s">
        <v>12462</v>
      </c>
      <c r="B655" s="12" t="s">
        <v>13621</v>
      </c>
      <c r="C655" s="13" t="str">
        <f>HYPERLINK("https://audio.iskcondesiretree.com/02_-_ISKCON_Swamis/ISKCON_Swamis_-_R_to_Y/His_Holiness_Radhanath_Swami/Lectures/00_-_Year_wise/Devotional_Nectar_-_1993/1993-137_Power_Of_Forgiveness_Lecture_Mumbai_-_Radhanath_Swami_1993-09-29_IDesireTree.mp3", "1993-137_Power_Of_Forgiveness_Lecture_Mumbai_-_Radhanath_Swami_1993-09-29_IDesireTree.mp3")</f>
        <v>1993-137_Power_Of_Forgiveness_Lecture_Mumbai_-_Radhanath_Swami_1993-09-29_IDesireTree.mp3</v>
      </c>
      <c r="D655" s="11"/>
      <c r="E655" s="11"/>
    </row>
    <row r="656" spans="1:5">
      <c r="A656" s="12" t="s">
        <v>12462</v>
      </c>
      <c r="B656" s="12" t="s">
        <v>13622</v>
      </c>
      <c r="C656" s="13" t="str">
        <f>HYPERLINK("https://audio.iskcondesiretree.com/02_-_ISKCON_Swamis/ISKCON_Swamis_-_R_to_Y/His_Holiness_Radhanath_Swami/Lectures/00_-_Year_wise/Devotional_Nectar_-_1993/1993-138_Mother_Earth_Giving_Alaram_Lecture_Mumbai_-_Radhanath_Swami_1993-09-30_IDesireTree.mp3", "1993-138_Mother_Earth_Giving_Alaram_Lecture_Mumbai_-_Radhanath_Swami_1993-09-30_IDesireTree.mp3")</f>
        <v>1993-138_Mother_Earth_Giving_Alaram_Lecture_Mumbai_-_Radhanath_Swami_1993-09-30_IDesireTree.mp3</v>
      </c>
      <c r="D656" s="11"/>
      <c r="E656" s="11"/>
    </row>
    <row r="657" spans="1:5">
      <c r="A657" s="12" t="s">
        <v>12462</v>
      </c>
      <c r="B657" s="12" t="s">
        <v>13623</v>
      </c>
      <c r="C657" s="13" t="str">
        <f>HYPERLINK("https://audio.iskcondesiretree.com/02_-_ISKCON_Swamis/ISKCON_Swamis_-_R_to_Y/His_Holiness_Radhanath_Swami/Lectures/00_-_Year_wise/Devotional_Nectar_-_1993/1993-139_Understanding_The_Truth_Of_Material_Nature_SB-06_04_31_Mumbai_-_01-10-93_IDesireTree.mp3", "1993-139_Understanding_The_Truth_Of_Material_Nature_SB-06_04_31_Mumbai_-_01-10-93_IDesireTree.mp3")</f>
        <v>1993-139_Understanding_The_Truth_Of_Material_Nature_SB-06_04_31_Mumbai_-_01-10-93_IDesireTree.mp3</v>
      </c>
      <c r="D657" s="11"/>
      <c r="E657" s="11"/>
    </row>
    <row r="658" spans="1:5">
      <c r="A658" s="12" t="s">
        <v>12462</v>
      </c>
      <c r="B658" s="12" t="s">
        <v>13624</v>
      </c>
      <c r="C658" s="13" t="str">
        <f>HYPERLINK("https://audio.iskcondesiretree.com/02_-_ISKCON_Swamis/ISKCON_Swamis_-_R_to_Y/His_Holiness_Radhanath_Swami/Lectures/00_-_Year_wise/Devotional_Nectar_-_1993/1993-140_This_Is_The_Time_SB-01_06_35_Mumbai_-_Radhanath_Swami_1993-10-02_IDesireTree.mp3", "1993-140_This_Is_The_Time_SB-01_06_35_Mumbai_-_Radhanath_Swami_1993-10-02_IDesireTree.mp3")</f>
        <v>1993-140_This_Is_The_Time_SB-01_06_35_Mumbai_-_Radhanath_Swami_1993-10-02_IDesireTree.mp3</v>
      </c>
      <c r="D658" s="11"/>
      <c r="E658" s="11"/>
    </row>
    <row r="659" spans="1:5">
      <c r="A659" s="12" t="s">
        <v>12462</v>
      </c>
      <c r="B659" s="12" t="s">
        <v>13625</v>
      </c>
      <c r="C659" s="13" t="str">
        <f>HYPERLINK("https://audio.iskcondesiretree.com/02_-_ISKCON_Swamis/ISKCON_Swamis_-_R_to_Y/His_Holiness_Radhanath_Swami/Lectures/00_-_Year_wise/Devotional_Nectar_-_1993/1993-141_Need_For_Association_BG-10_09_Mumbai_-_Radhanath_Swami_1993-10-03_IDesireTree.mp3", "1993-141_Need_For_Association_BG-10_09_Mumbai_-_Radhanath_Swami_1993-10-03_IDesireTree.mp3")</f>
        <v>1993-141_Need_For_Association_BG-10_09_Mumbai_-_Radhanath_Swami_1993-10-03_IDesireTree.mp3</v>
      </c>
      <c r="D659" s="11"/>
      <c r="E659" s="11"/>
    </row>
    <row r="660" spans="1:5">
      <c r="A660" s="12" t="s">
        <v>12462</v>
      </c>
      <c r="B660" s="12" t="s">
        <v>13626</v>
      </c>
      <c r="C660" s="13" t="str">
        <f>HYPERLINK("https://audio.iskcondesiretree.com/02_-_ISKCON_Swamis/ISKCON_Swamis_-_R_to_Y/His_Holiness_Radhanath_Swami/Lectures/00_-_Year_wise/Devotional_Nectar_-_1993/1993-142_The_Safe_Place_Ht_-_SB-01_03_15_Mumbai_-_Radhanath_Swami_1993-10-04_IDesireTree.mp3", "1993-142_The_Safe_Place_Ht_-_SB-01_03_15_Mumbai_-_Radhanath_Swami_1993-10-04_IDesireTree.mp3")</f>
        <v>1993-142_The_Safe_Place_Ht_-_SB-01_03_15_Mumbai_-_Radhanath_Swami_1993-10-04_IDesireTree.mp3</v>
      </c>
      <c r="D660" s="11"/>
      <c r="E660" s="11"/>
    </row>
    <row r="661" spans="1:5">
      <c r="A661" s="12" t="s">
        <v>12462</v>
      </c>
      <c r="B661" s="12" t="s">
        <v>13627</v>
      </c>
      <c r="C661" s="13" t="str">
        <f>HYPERLINK("https://audio.iskcondesiretree.com/02_-_ISKCON_Swamis/ISKCON_Swamis_-_R_to_Y/His_Holiness_Radhanath_Swami/Lectures/00_-_Year_wise/Devotional_Nectar_-_1993/1993-143_Empowerment_Through_Mercy_SB-10_46_16_Mumbai_-_Radhanath_Swami_1993-10-05_IDesireTree.mp3", "1993-143_Empowerment_Through_Mercy_SB-10_46_16_Mumbai_-_Radhanath_Swami_1993-10-05_IDesireTree.mp3")</f>
        <v>1993-143_Empowerment_Through_Mercy_SB-10_46_16_Mumbai_-_Radhanath_Swami_1993-10-05_IDesireTree.mp3</v>
      </c>
      <c r="D661" s="11"/>
      <c r="E661" s="11"/>
    </row>
    <row r="662" spans="1:5">
      <c r="A662" s="12" t="s">
        <v>12462</v>
      </c>
      <c r="B662" s="12" t="s">
        <v>13628</v>
      </c>
      <c r="C662" s="13" t="str">
        <f>HYPERLINK("https://audio.iskcondesiretree.com/02_-_ISKCON_Swamis/ISKCON_Swamis_-_R_to_Y/His_Holiness_Radhanath_Swami/Lectures/00_-_Year_wise/Devotional_Nectar_-_1993/1993-144_Scriptures_Are_The_Eternal_Absolute_Truth_SB-10_08_47_Mumbai_-_08-10-93_IDesireTree.mp3", "1993-144_Scriptures_Are_The_Eternal_Absolute_Truth_SB-10_08_47_Mumbai_-_08-10-93_IDesireTree.mp3")</f>
        <v>1993-144_Scriptures_Are_The_Eternal_Absolute_Truth_SB-10_08_47_Mumbai_-_08-10-93_IDesireTree.mp3</v>
      </c>
      <c r="D662" s="11"/>
      <c r="E662" s="11"/>
    </row>
    <row r="663" spans="1:5">
      <c r="A663" s="12" t="s">
        <v>12462</v>
      </c>
      <c r="B663" s="12" t="s">
        <v>13629</v>
      </c>
      <c r="C663" s="13" t="str">
        <f>HYPERLINK("https://audio.iskcondesiretree.com/02_-_ISKCON_Swamis/ISKCON_Swamis_-_R_to_Y/His_Holiness_Radhanath_Swami/Lectures/00_-_Year_wise/Devotional_Nectar_-_1993/1993-145_Truth_And_Illusion_BG-03_27_Mumbai_-_Radhanath_Swami_1993-10-09_IDesireTree.mp3", "1993-145_Truth_And_Illusion_BG-03_27_Mumbai_-_Radhanath_Swami_1993-10-09_IDesireTree.mp3")</f>
        <v>1993-145_Truth_And_Illusion_BG-03_27_Mumbai_-_Radhanath_Swami_1993-10-09_IDesireTree.mp3</v>
      </c>
      <c r="D663" s="11"/>
      <c r="E663" s="11"/>
    </row>
    <row r="664" spans="1:5">
      <c r="A664" s="12" t="s">
        <v>12462</v>
      </c>
      <c r="B664" s="12" t="s">
        <v>13630</v>
      </c>
      <c r="C664" s="13" t="str">
        <f>HYPERLINK("https://audio.iskcondesiretree.com/02_-_ISKCON_Swamis/ISKCON_Swamis_-_R_to_Y/His_Holiness_Radhanath_Swami/Lectures/00_-_Year_wise/Devotional_Nectar_-_1993/1993-146_Krishna_Consciousness_Is_Truth_SB-04_30_08_Mumbai_-_10-10-93_IDesireTree.mp3", "1993-146_Krishna_Consciousness_Is_Truth_SB-04_30_08_Mumbai_-_10-10-93_IDesireTree.mp3")</f>
        <v>1993-146_Krishna_Consciousness_Is_Truth_SB-04_30_08_Mumbai_-_10-10-93_IDesireTree.mp3</v>
      </c>
      <c r="D664" s="11"/>
      <c r="E664" s="11"/>
    </row>
    <row r="665" spans="1:5">
      <c r="A665" s="12" t="s">
        <v>12462</v>
      </c>
      <c r="B665" s="12" t="s">
        <v>13631</v>
      </c>
      <c r="C665" s="13" t="str">
        <f>HYPERLINK("https://audio.iskcondesiretree.com/02_-_ISKCON_Swamis/ISKCON_Swamis_-_R_to_Y/His_Holiness_Radhanath_Swami/Lectures/00_-_Year_wise/Devotional_Nectar_-_1993/1993-147_Controlling_Senses_Through_Service_SB-10_46_30-31_Mumbai_-_11-10-93_IDesireTree.mp3", "1993-147_Controlling_Senses_Through_Service_SB-10_46_30-31_Mumbai_-_11-10-93_IDesireTree.mp3")</f>
        <v>1993-147_Controlling_Senses_Through_Service_SB-10_46_30-31_Mumbai_-_11-10-93_IDesireTree.mp3</v>
      </c>
      <c r="D665" s="11"/>
      <c r="E665" s="11"/>
    </row>
    <row r="666" spans="1:5">
      <c r="A666" s="12" t="s">
        <v>12462</v>
      </c>
      <c r="B666" s="12" t="s">
        <v>13632</v>
      </c>
      <c r="C666" s="13" t="str">
        <f>HYPERLINK("https://audio.iskcondesiretree.com/02_-_ISKCON_Swamis/ISKCON_Swamis_-_R_to_Y/His_Holiness_Radhanath_Swami/Lectures/00_-_Year_wise/Devotional_Nectar_-_1993/1993-148_Transcending_Heavenly_Planets_SB-10_47_01-03_Mumbai_-_16-10-93_IDesireTree.mp3", "1993-148_Transcending_Heavenly_Planets_SB-10_47_01-03_Mumbai_-_16-10-93_IDesireTree.mp3")</f>
        <v>1993-148_Transcending_Heavenly_Planets_SB-10_47_01-03_Mumbai_-_16-10-93_IDesireTree.mp3</v>
      </c>
      <c r="D666" s="11"/>
      <c r="E666" s="11"/>
    </row>
    <row r="667" spans="1:5">
      <c r="A667" s="12" t="s">
        <v>12462</v>
      </c>
      <c r="B667" s="12" t="s">
        <v>13633</v>
      </c>
      <c r="C667" s="13" t="str">
        <f>HYPERLINK("https://audio.iskcondesiretree.com/02_-_ISKCON_Swamis/ISKCON_Swamis_-_R_to_Y/His_Holiness_Radhanath_Swami/Lectures/00_-_Year_wise/Devotional_Nectar_-_1993/1993-149_Crisis_As_Stepping_Stone_SB-01_16_04_Mumbai_-_Radhanath_Swami_1993-10-16_IDesireTree.mp3", "1993-149_Crisis_As_Stepping_Stone_SB-01_16_04_Mumbai_-_Radhanath_Swami_1993-10-16_IDesireTree.mp3")</f>
        <v>1993-149_Crisis_As_Stepping_Stone_SB-01_16_04_Mumbai_-_Radhanath_Swami_1993-10-16_IDesireTree.mp3</v>
      </c>
      <c r="D667" s="11"/>
      <c r="E667" s="11"/>
    </row>
    <row r="668" spans="1:5">
      <c r="A668" s="12" t="s">
        <v>12462</v>
      </c>
      <c r="B668" s="12" t="s">
        <v>13634</v>
      </c>
      <c r="C668" s="13" t="str">
        <f>HYPERLINK("https://audio.iskcondesiretree.com/02_-_ISKCON_Swamis/ISKCON_Swamis_-_R_to_Y/His_Holiness_Radhanath_Swami/Lectures/00_-_Year_wise/Devotional_Nectar_-_1993/1993-150_Supreme_Morality_Of_Gopis_SB-10_46_04-06_Mumbai_-_17-10-93_IDesireTree.mp3", "1993-150_Supreme_Morality_Of_Gopis_SB-10_46_04-06_Mumbai_-_17-10-93_IDesireTree.mp3")</f>
        <v>1993-150_Supreme_Morality_Of_Gopis_SB-10_46_04-06_Mumbai_-_17-10-93_IDesireTree.mp3</v>
      </c>
      <c r="D668" s="11"/>
      <c r="E668" s="11"/>
    </row>
    <row r="669" spans="1:5">
      <c r="A669" s="12" t="s">
        <v>12462</v>
      </c>
      <c r="B669" s="12" t="s">
        <v>13635</v>
      </c>
      <c r="C669" s="13" t="str">
        <f>HYPERLINK("https://audio.iskcondesiretree.com/02_-_ISKCON_Swamis/ISKCON_Swamis_-_R_to_Y/His_Holiness_Radhanath_Swami/Lectures/00_-_Year_wise/Devotional_Nectar_-_1993/1993-151_Story_Of_Dhruv_Maharaj_SB-04_08_10_Mumbai_-_Radhanath_Swami_1993-10-17_IDesireTree.mp3", "1993-151_Story_Of_Dhruv_Maharaj_SB-04_08_10_Mumbai_-_Radhanath_Swami_1993-10-17_IDesireTree.mp3")</f>
        <v>1993-151_Story_Of_Dhruv_Maharaj_SB-04_08_10_Mumbai_-_Radhanath_Swami_1993-10-17_IDesireTree.mp3</v>
      </c>
      <c r="D669" s="11"/>
      <c r="E669" s="11"/>
    </row>
    <row r="670" spans="1:5">
      <c r="A670" s="12" t="s">
        <v>12462</v>
      </c>
      <c r="B670" s="12" t="s">
        <v>13636</v>
      </c>
      <c r="C670" s="13" t="str">
        <f>HYPERLINK("https://audio.iskcondesiretree.com/02_-_ISKCON_Swamis/ISKCON_Swamis_-_R_to_Y/His_Holiness_Radhanath_Swami/Lectures/00_-_Year_wise/Devotional_Nectar_-_1993/1993-152_Dutiful_People_BG-03_22_Mumbai_-_Radhanath_Swami_1993-10-18_IDesireTree.mp3", "1993-152_Dutiful_People_BG-03_22_Mumbai_-_Radhanath_Swami_1993-10-18_IDesireTree.mp3")</f>
        <v>1993-152_Dutiful_People_BG-03_22_Mumbai_-_Radhanath_Swami_1993-10-18_IDesireTree.mp3</v>
      </c>
      <c r="D670" s="11"/>
      <c r="E670" s="11"/>
    </row>
    <row r="671" spans="1:5">
      <c r="A671" s="12" t="s">
        <v>12462</v>
      </c>
      <c r="B671" s="12" t="s">
        <v>13637</v>
      </c>
      <c r="C671" s="13" t="str">
        <f>HYPERLINK("https://audio.iskcondesiretree.com/02_-_ISKCON_Swamis/ISKCON_Swamis_-_R_to_Y/His_Holiness_Radhanath_Swami/Lectures/00_-_Year_wise/Devotional_Nectar_-_1993/1993-153_We_Are_Homeless_Creature_SB-10_47_04_Mumbai_-_Radhanath_Swami_1993-10-21_IDesireTree.mp3", "1993-153_We_Are_Homeless_Creature_SB-10_47_04_Mumbai_-_Radhanath_Swami_1993-10-21_IDesireTree.mp3")</f>
        <v>1993-153_We_Are_Homeless_Creature_SB-10_47_04_Mumbai_-_Radhanath_Swami_1993-10-21_IDesireTree.mp3</v>
      </c>
      <c r="D671" s="11"/>
      <c r="E671" s="11"/>
    </row>
    <row r="672" spans="1:5">
      <c r="A672" s="12" t="s">
        <v>12462</v>
      </c>
      <c r="B672" s="12" t="s">
        <v>13638</v>
      </c>
      <c r="C672" s="13" t="str">
        <f>HYPERLINK("https://audio.iskcondesiretree.com/02_-_ISKCON_Swamis/ISKCON_Swamis_-_R_to_Y/His_Holiness_Radhanath_Swami/Lectures/00_-_Year_wise/Devotional_Nectar_-_1993/1993-154_Story_Of_Sakshi_Gopal_CC_ML-05_76_Mumbai_-_Radhanath_Swami_1993-10-22_IDesireTree.mp3", "1993-154_Story_Of_Sakshi_Gopal_CC_ML-05_76_Mumbai_-_Radhanath_Swami_1993-10-22_IDesireTree.mp3")</f>
        <v>1993-154_Story_Of_Sakshi_Gopal_CC_ML-05_76_Mumbai_-_Radhanath_Swami_1993-10-22_IDesireTree.mp3</v>
      </c>
      <c r="D672" s="11"/>
      <c r="E672" s="11"/>
    </row>
    <row r="673" spans="1:5">
      <c r="A673" s="12" t="s">
        <v>12462</v>
      </c>
      <c r="B673" s="12" t="s">
        <v>13639</v>
      </c>
      <c r="C673" s="13" t="str">
        <f>HYPERLINK("https://audio.iskcondesiretree.com/02_-_ISKCON_Swamis/ISKCON_Swamis_-_R_to_Y/His_Holiness_Radhanath_Swami/Lectures/00_-_Year_wise/Devotional_Nectar_-_1993/1993-155_Krishna_Cheats_To_Give_Something_Higher_SB-10_47_16_Mumbai_-_23-10-93_IDesireTree.mp3", "1993-155_Krishna_Cheats_To_Give_Something_Higher_SB-10_47_16_Mumbai_-_23-10-93_IDesireTree.mp3")</f>
        <v>1993-155_Krishna_Cheats_To_Give_Something_Higher_SB-10_47_16_Mumbai_-_23-10-93_IDesireTree.mp3</v>
      </c>
      <c r="D673" s="11"/>
      <c r="E673" s="11"/>
    </row>
    <row r="674" spans="1:5">
      <c r="A674" s="12" t="s">
        <v>12462</v>
      </c>
      <c r="B674" s="12" t="s">
        <v>13640</v>
      </c>
      <c r="C674" s="13" t="str">
        <f>HYPERLINK("https://audio.iskcondesiretree.com/02_-_ISKCON_Swamis/ISKCON_Swamis_-_R_to_Y/His_Holiness_Radhanath_Swami/Lectures/00_-_Year_wise/Devotional_Nectar_-_1993/1993-156_Sinking_In_Material_Ocean_SB-01_03_22_Mumbai_-_Radhanath_Swami_1993-10-23_IDesireTree.mp3", "1993-156_Sinking_In_Material_Ocean_SB-01_03_22_Mumbai_-_Radhanath_Swami_1993-10-23_IDesireTree.mp3")</f>
        <v>1993-156_Sinking_In_Material_Ocean_SB-01_03_22_Mumbai_-_Radhanath_Swami_1993-10-23_IDesireTree.mp3</v>
      </c>
      <c r="D674" s="11"/>
      <c r="E674" s="11"/>
    </row>
    <row r="675" spans="1:5">
      <c r="A675" s="12" t="s">
        <v>12462</v>
      </c>
      <c r="B675" s="12" t="s">
        <v>13641</v>
      </c>
      <c r="C675" s="13" t="str">
        <f>HYPERLINK("https://audio.iskcondesiretree.com/02_-_ISKCON_Swamis/ISKCON_Swamis_-_R_to_Y/His_Holiness_Radhanath_Swami/Lectures/00_-_Year_wise/Devotional_Nectar_-_1993/1993-157_Srila_Madhavacharya_CC_ML-09_245-24_Mumbai_-_Radhanath_Swami_1993-10-24_IDesireTree.mp3", "1993-157_Srila_Madhavacharya_CC_ML-09_245-24_Mumbai_-_Radhanath_Swami_1993-10-24_IDesireTree.mp3")</f>
        <v>1993-157_Srila_Madhavacharya_CC_ML-09_245-24_Mumbai_-_Radhanath_Swami_1993-10-24_IDesireTree.mp3</v>
      </c>
      <c r="D675" s="11"/>
      <c r="E675" s="11"/>
    </row>
    <row r="676" spans="1:5">
      <c r="A676" s="12" t="s">
        <v>12462</v>
      </c>
      <c r="B676" s="12" t="s">
        <v>13642</v>
      </c>
      <c r="C676" s="13" t="str">
        <f>HYPERLINK("https://audio.iskcondesiretree.com/02_-_ISKCON_Swamis/ISKCON_Swamis_-_R_to_Y/His_Holiness_Radhanath_Swami/Lectures/00_-_Year_wise/Devotional_Nectar_-_1993/1993-158_Lord_Rama%27s_Pastimes_SB-09_11_20_Mumbai_-_Radhanath_Swami_1993-10-24_IDesireTree.mp3", "1993-158_Lord_Rama%27s_Pastimes_SB-09_11_20_Mumbai_-_Radhanath_Swami_1993-10-24_IDesireTree.mp3")</f>
        <v>1993-158_Lord_Rama%27s_Pastimes_SB-09_11_20_Mumbai_-_Radhanath_Swami_1993-10-24_IDesireTree.mp3</v>
      </c>
      <c r="D676" s="11"/>
      <c r="E676" s="11"/>
    </row>
    <row r="677" spans="1:5">
      <c r="A677" s="12" t="s">
        <v>12462</v>
      </c>
      <c r="B677" s="12" t="s">
        <v>13643</v>
      </c>
      <c r="C677" s="13" t="str">
        <f>HYPERLINK("https://audio.iskcondesiretree.com/02_-_ISKCON_Swamis/ISKCON_Swamis_-_R_to_Y/His_Holiness_Radhanath_Swami/Lectures/00_-_Year_wise/Devotional_Nectar_-_1993/1993-159_The_Greatest_Preaching_Lecture_Mumbai_-_Radhanath_Swami_1993-10-25_IDesireTree.mp3", "1993-159_The_Greatest_Preaching_Lecture_Mumbai_-_Radhanath_Swami_1993-10-25_IDesireTree.mp3")</f>
        <v>1993-159_The_Greatest_Preaching_Lecture_Mumbai_-_Radhanath_Swami_1993-10-25_IDesireTree.mp3</v>
      </c>
      <c r="D677" s="11"/>
      <c r="E677" s="11"/>
    </row>
    <row r="678" spans="1:5">
      <c r="A678" s="12" t="s">
        <v>12462</v>
      </c>
      <c r="B678" s="12" t="s">
        <v>13644</v>
      </c>
      <c r="C678" s="13" t="str">
        <f>HYPERLINK("https://audio.iskcondesiretree.com/02_-_ISKCON_Swamis/ISKCON_Swamis_-_R_to_Y/His_Holiness_Radhanath_Swami/Lectures/00_-_Year_wise/Devotional_Nectar_-_1993/1993-160_Krishnadas_Kaviraj_Goswami_CC-Adi-08_01_02_Mumbai_-_26-10-93_IDesireTree.mp3", "1993-160_Krishnadas_Kaviraj_Goswami_CC-Adi-08_01_02_Mumbai_-_26-10-93_IDesireTree.mp3")</f>
        <v>1993-160_Krishnadas_Kaviraj_Goswami_CC-Adi-08_01_02_Mumbai_-_26-10-93_IDesireTree.mp3</v>
      </c>
      <c r="D678" s="11"/>
      <c r="E678" s="11"/>
    </row>
    <row r="679" spans="1:5">
      <c r="A679" s="12" t="s">
        <v>12462</v>
      </c>
      <c r="B679" s="12" t="s">
        <v>13645</v>
      </c>
      <c r="C679" s="13" t="str">
        <f>HYPERLINK("https://audio.iskcondesiretree.com/02_-_ISKCON_Swamis/ISKCON_Swamis_-_R_to_Y/His_Holiness_Radhanath_Swami/Lectures/00_-_Year_wise/Devotional_Nectar_-_1993/1993-161_Raghunath_Bhatta_Goswami_BG-07_18_Mumbai_-_Radhanath_Swami_1993-10-27_IDesireTree.mp3", "1993-161_Raghunath_Bhatta_Goswami_BG-07_18_Mumbai_-_Radhanath_Swami_1993-10-27_IDesireTree.mp3")</f>
        <v>1993-161_Raghunath_Bhatta_Goswami_BG-07_18_Mumbai_-_Radhanath_Swami_1993-10-27_IDesireTree.mp3</v>
      </c>
      <c r="D679" s="11"/>
      <c r="E679" s="11"/>
    </row>
    <row r="680" spans="1:5">
      <c r="A680" s="12" t="s">
        <v>12462</v>
      </c>
      <c r="B680" s="12" t="s">
        <v>13646</v>
      </c>
      <c r="C680" s="13" t="str">
        <f>HYPERLINK("https://audio.iskcondesiretree.com/02_-_ISKCON_Swamis/ISKCON_Swamis_-_R_to_Y/His_Holiness_Radhanath_Swami/Lectures/00_-_Year_wise/Devotional_Nectar_-_1993/1993-162_Defeating_Impersonalism_CC-ML-01_Mumbai_-_Radhanath_Swami_1993-10-29_IDesireTree.mp3", "1993-162_Defeating_Impersonalism_CC-ML-01_Mumbai_-_Radhanath_Swami_1993-10-29_IDesireTree.mp3")</f>
        <v>1993-162_Defeating_Impersonalism_CC-ML-01_Mumbai_-_Radhanath_Swami_1993-10-29_IDesireTree.mp3</v>
      </c>
      <c r="D680" s="11"/>
      <c r="E680" s="11"/>
    </row>
    <row r="681" spans="1:5">
      <c r="A681" s="12" t="s">
        <v>12462</v>
      </c>
      <c r="B681" s="12" t="s">
        <v>13647</v>
      </c>
      <c r="C681" s="13" t="str">
        <f>HYPERLINK("https://audio.iskcondesiretree.com/02_-_ISKCON_Swamis/ISKCON_Swamis_-_R_to_Y/His_Holiness_Radhanath_Swami/Lectures/00_-_Year_wise/Devotional_Nectar_-_1993/1993-163_Uddavas_Humility_SB-10_49_22-25_Mumbai_-_Radhanath_Swami_1993-10-29_IDesireTree.mp3", "1993-163_Uddavas_Humility_SB-10_49_22-25_Mumbai_-_Radhanath_Swami_1993-10-29_IDesireTree.mp3")</f>
        <v>1993-163_Uddavas_Humility_SB-10_49_22-25_Mumbai_-_Radhanath_Swami_1993-10-29_IDesireTree.mp3</v>
      </c>
      <c r="D681" s="11"/>
      <c r="E681" s="11"/>
    </row>
    <row r="682" spans="1:5">
      <c r="A682" s="12" t="s">
        <v>12462</v>
      </c>
      <c r="B682" s="12" t="s">
        <v>13648</v>
      </c>
      <c r="C682" s="13" t="str">
        <f>HYPERLINK("https://audio.iskcondesiretree.com/02_-_ISKCON_Swamis/ISKCON_Swamis_-_R_to_Y/His_Holiness_Radhanath_Swami/Lectures/00_-_Year_wise/Devotional_Nectar_-_1993/1993-164_Renunciation_Of_The_Gopies_Lecture_Mumbai_-_Radhanath_Swami_1993-10-30_IDesireTree.mp3", "1993-164_Renunciation_Of_The_Gopies_Lecture_Mumbai_-_Radhanath_Swami_1993-10-30_IDesireTree.mp3")</f>
        <v>1993-164_Renunciation_Of_The_Gopies_Lecture_Mumbai_-_Radhanath_Swami_1993-10-30_IDesireTree.mp3</v>
      </c>
      <c r="D682" s="11"/>
      <c r="E682" s="11"/>
    </row>
    <row r="683" spans="1:5">
      <c r="A683" s="12" t="s">
        <v>12462</v>
      </c>
      <c r="B683" s="12" t="s">
        <v>13649</v>
      </c>
      <c r="C683" s="13" t="str">
        <f>HYPERLINK("https://audio.iskcondesiretree.com/02_-_ISKCON_Swamis/ISKCON_Swamis_-_R_to_Y/His_Holiness_Radhanath_Swami/Lectures/00_-_Year_wise/Devotional_Nectar_-_1993/1993-165_We_Are_Spoilt_Brats_SB-02_02_05_Mumbai_-_Radhanath_Swami_1993-10-30_IDesireTree.mp3", "1993-165_We_Are_Spoilt_Brats_SB-02_02_05_Mumbai_-_Radhanath_Swami_1993-10-30_IDesireTree.mp3")</f>
        <v>1993-165_We_Are_Spoilt_Brats_SB-02_02_05_Mumbai_-_Radhanath_Swami_1993-10-30_IDesireTree.mp3</v>
      </c>
      <c r="D683" s="11"/>
      <c r="E683" s="11"/>
    </row>
    <row r="684" spans="1:5">
      <c r="A684" s="12" t="s">
        <v>12462</v>
      </c>
      <c r="B684" s="12" t="s">
        <v>13650</v>
      </c>
      <c r="C684" s="13" t="str">
        <f>HYPERLINK("https://audio.iskcondesiretree.com/02_-_ISKCON_Swamis/ISKCON_Swamis_-_R_to_Y/His_Holiness_Radhanath_Swami/Lectures/00_-_Year_wise/Devotional_Nectar_-_1993/1993-166_Learning_Through_The_Gopies_SB-10_47_38-39_Mumbai_-_31-10-93_IDesireTree.mp3", "1993-166_Learning_Through_The_Gopies_SB-10_47_38-39_Mumbai_-_31-10-93_IDesireTree.mp3")</f>
        <v>1993-166_Learning_Through_The_Gopies_SB-10_47_38-39_Mumbai_-_31-10-93_IDesireTree.mp3</v>
      </c>
      <c r="D684" s="11"/>
      <c r="E684" s="11"/>
    </row>
    <row r="685" spans="1:5">
      <c r="A685" s="12" t="s">
        <v>12462</v>
      </c>
      <c r="B685" s="12" t="s">
        <v>13651</v>
      </c>
      <c r="C685" s="13" t="str">
        <f>HYPERLINK("https://audio.iskcondesiretree.com/02_-_ISKCON_Swamis/ISKCON_Swamis_-_R_to_Y/His_Holiness_Radhanath_Swami/Lectures/00_-_Year_wise/Devotional_Nectar_-_1993/1993-167_Story_Of_Murari_Gupta_SB-01_04_12_Mumbai_-_Radhanath_Swami_1993-10-31_IDesireTree.mp3", "1993-167_Story_Of_Murari_Gupta_SB-01_04_12_Mumbai_-_Radhanath_Swami_1993-10-31_IDesireTree.mp3")</f>
        <v>1993-167_Story_Of_Murari_Gupta_SB-01_04_12_Mumbai_-_Radhanath_Swami_1993-10-31_IDesireTree.mp3</v>
      </c>
      <c r="D685" s="11"/>
      <c r="E685" s="11"/>
    </row>
    <row r="686" spans="1:5">
      <c r="A686" s="12" t="s">
        <v>12462</v>
      </c>
      <c r="B686" s="12" t="s">
        <v>13652</v>
      </c>
      <c r="C686" s="13" t="str">
        <f>HYPERLINK("https://audio.iskcondesiretree.com/02_-_ISKCON_Swamis/ISKCON_Swamis_-_R_to_Y/His_Holiness_Radhanath_Swami/Lectures/00_-_Year_wise/Devotional_Nectar_-_1993/1993-168_Serving_Vaishnavas_With_Life_And_Soul_SB-10_47_54-56_Mumbai_-_12-11-93_IDesireTree.mp3", "1993-168_Serving_Vaishnavas_With_Life_And_Soul_SB-10_47_54-56_Mumbai_-_12-11-93_IDesireTree.mp3")</f>
        <v>1993-168_Serving_Vaishnavas_With_Life_And_Soul_SB-10_47_54-56_Mumbai_-_12-11-93_IDesireTree.mp3</v>
      </c>
      <c r="D686" s="11"/>
      <c r="E686" s="11"/>
    </row>
    <row r="687" spans="1:5">
      <c r="A687" s="12" t="s">
        <v>12462</v>
      </c>
      <c r="B687" s="12" t="s">
        <v>13653</v>
      </c>
      <c r="C687" s="13" t="str">
        <f>HYPERLINK("https://audio.iskcondesiretree.com/02_-_ISKCON_Swamis/ISKCON_Swamis_-_R_to_Y/His_Holiness_Radhanath_Swami/Lectures/00_-_Year_wise/Devotional_Nectar_-_1993/1993-169_Govardhan_Puja_SB-10_25_13_Mumbai_-_Radhanath_Swami_1993-11-15_IDesireTree.mp3", "1993-169_Govardhan_Puja_SB-10_25_13_Mumbai_-_Radhanath_Swami_1993-11-15_IDesireTree.mp3")</f>
        <v>1993-169_Govardhan_Puja_SB-10_25_13_Mumbai_-_Radhanath_Swami_1993-11-15_IDesireTree.mp3</v>
      </c>
      <c r="D687" s="11"/>
      <c r="E687" s="11"/>
    </row>
    <row r="688" spans="1:5">
      <c r="A688" s="12" t="s">
        <v>12462</v>
      </c>
      <c r="B688" s="12" t="s">
        <v>13654</v>
      </c>
      <c r="C688" s="13" t="str">
        <f>HYPERLINK("https://audio.iskcondesiretree.com/02_-_ISKCON_Swamis/ISKCON_Swamis_-_R_to_Y/His_Holiness_Radhanath_Swami/Lectures/00_-_Year_wise/Devotional_Nectar_-_1993/1993-170_Uddava_Realies_True_Humility_SB-10_47_53_Mumbai_-_16-11-93_IDesireTree.mp3", "1993-170_Uddava_Realies_True_Humility_SB-10_47_53_Mumbai_-_16-11-93_IDesireTree.mp3")</f>
        <v>1993-170_Uddava_Realies_True_Humility_SB-10_47_53_Mumbai_-_16-11-93_IDesireTree.mp3</v>
      </c>
      <c r="D688" s="11"/>
      <c r="E688" s="11"/>
    </row>
    <row r="689" spans="1:5">
      <c r="A689" s="12" t="s">
        <v>12462</v>
      </c>
      <c r="B689" s="12" t="s">
        <v>13655</v>
      </c>
      <c r="C689" s="13" t="str">
        <f>HYPERLINK("https://audio.iskcondesiretree.com/02_-_ISKCON_Swamis/ISKCON_Swamis_-_R_to_Y/His_Holiness_Radhanath_Swami/Lectures/00_-_Year_wise/Devotional_Nectar_-_1993/1993-171_Question_And_Answer_Q%26A_-_Radhanath_Swami_1993-12-02_IDesireTree.mp3", "1993-171_Question_And_Answer_Q%26A_-_Radhanath_Swami_1993-12-02_IDesireTree.mp3")</f>
        <v>1993-171_Question_And_Answer_Q%26A_-_Radhanath_Swami_1993-12-02_IDesireTree.mp3</v>
      </c>
      <c r="D689" s="11"/>
      <c r="E689" s="11"/>
    </row>
    <row r="690" spans="1:5">
      <c r="A690" s="12" t="s">
        <v>12462</v>
      </c>
      <c r="B690" s="12" t="s">
        <v>13656</v>
      </c>
      <c r="C690" s="13" t="str">
        <f>HYPERLINK("https://audio.iskcondesiretree.com/02_-_ISKCON_Swamis/ISKCON_Swamis_-_R_to_Y/His_Holiness_Radhanath_Swami/Lectures/00_-_Year_wise/Devotional_Nectar_-_1993/1993-172_Harmony_Amongst_Various_Varnas_And_Ashramas_SB-01_02_13_Mumbai_-_05-12-93_IDesireTree.mp3", "1993-172_Harmony_Amongst_Various_Varnas_And_Ashramas_SB-01_02_13_Mumbai_-_05-12-93_IDesireTree.mp3")</f>
        <v>1993-172_Harmony_Amongst_Various_Varnas_And_Ashramas_SB-01_02_13_Mumbai_-_05-12-93_IDesireTree.mp3</v>
      </c>
      <c r="D690" s="11"/>
      <c r="E690" s="11"/>
    </row>
    <row r="691" spans="1:5">
      <c r="A691" s="12" t="s">
        <v>12462</v>
      </c>
      <c r="B691" s="12" t="s">
        <v>13657</v>
      </c>
      <c r="C691" s="13" t="str">
        <f>HYPERLINK("https://audio.iskcondesiretree.com/02_-_ISKCON_Swamis/ISKCON_Swamis_-_R_to_Y/His_Holiness_Radhanath_Swami/Lectures/00_-_Year_wise/Devotional_Nectar_-_1993/1993-173_Spiritual_Master_Serving_His_Disciples_BG-12_08_Mumbai_-_07-12-93_IDesireTree.mp3", "1993-173_Spiritual_Master_Serving_His_Disciples_BG-12_08_Mumbai_-_07-12-93_IDesireTree.mp3")</f>
        <v>1993-173_Spiritual_Master_Serving_His_Disciples_BG-12_08_Mumbai_-_07-12-93_IDesireTree.mp3</v>
      </c>
      <c r="D691" s="11"/>
      <c r="E691" s="11"/>
    </row>
    <row r="692" spans="1:5">
      <c r="A692" s="12" t="s">
        <v>12462</v>
      </c>
      <c r="B692" s="12" t="s">
        <v>13658</v>
      </c>
      <c r="C692" s="13" t="str">
        <f>HYPERLINK("https://audio.iskcondesiretree.com/02_-_ISKCON_Swamis/ISKCON_Swamis_-_R_to_Y/His_Holiness_Radhanath_Swami/Lectures/00_-_Year_wise/Devotional_Nectar_-_1993/1993-174_Narahari_Sarkar_Disappearance_SB-10_49_12-19_Mumbai_-_09-12-93_IDesireTree.mp3", "1993-174_Narahari_Sarkar_Disappearance_SB-10_49_12-19_Mumbai_-_09-12-93_IDesireTree.mp3")</f>
        <v>1993-174_Narahari_Sarkar_Disappearance_SB-10_49_12-19_Mumbai_-_09-12-93_IDesireTree.mp3</v>
      </c>
      <c r="D692" s="11"/>
      <c r="E692" s="11"/>
    </row>
    <row r="693" spans="1:5">
      <c r="A693" s="12" t="s">
        <v>12462</v>
      </c>
      <c r="B693" s="12" t="s">
        <v>13659</v>
      </c>
      <c r="C693" s="13" t="str">
        <f>HYPERLINK("https://audio.iskcondesiretree.com/02_-_ISKCON_Swamis/ISKCON_Swamis_-_R_to_Y/His_Holiness_Radhanath_Swami/Lectures/00_-_Year_wise/Devotional_Nectar_-_1993/1993-175_Being_Eager_And_Greedy_For_Krishna_BG-10_31_Mumbai_-_09-12-93_IDesireTree.mp3", "1993-175_Being_Eager_And_Greedy_For_Krishna_BG-10_31_Mumbai_-_09-12-93_IDesireTree.mp3")</f>
        <v>1993-175_Being_Eager_And_Greedy_For_Krishna_BG-10_31_Mumbai_-_09-12-93_IDesireTree.mp3</v>
      </c>
      <c r="D693" s="11"/>
      <c r="E693" s="11"/>
    </row>
    <row r="694" spans="1:5">
      <c r="A694" s="12" t="s">
        <v>12462</v>
      </c>
      <c r="B694" s="12" t="s">
        <v>13660</v>
      </c>
      <c r="C694" s="13" t="str">
        <f>HYPERLINK("https://audio.iskcondesiretree.com/02_-_ISKCON_Swamis/ISKCON_Swamis_-_R_to_Y/His_Holiness_Radhanath_Swami/Lectures/00_-_Year_wise/Devotional_Nectar_-_1993/1993-176_Envy-_The_Greatest_Impediment_SB-10_43_7-11_Mumbai_-_11-12-93_IDesireTree.mp3", "1993-176_Envy-_The_Greatest_Impediment_SB-10_43_7-11_Mumbai_-_11-12-93_IDesireTree.mp3")</f>
        <v>1993-176_Envy-_The_Greatest_Impediment_SB-10_43_7-11_Mumbai_-_11-12-93_IDesireTree.mp3</v>
      </c>
      <c r="D694" s="11"/>
      <c r="E694" s="11"/>
    </row>
    <row r="695" spans="1:5">
      <c r="A695" s="12" t="s">
        <v>12462</v>
      </c>
      <c r="B695" s="12" t="s">
        <v>13661</v>
      </c>
      <c r="C695" s="13" t="str">
        <f>HYPERLINK("https://audio.iskcondesiretree.com/02_-_ISKCON_Swamis/ISKCON_Swamis_-_R_to_Y/His_Holiness_Radhanath_Swami/Lectures/00_-_Year_wise/Devotional_Nectar_-_1993/1993-177_Chanting_Outweighs_Everything_Lecture_Mumbai_-_Radhanath_Swami_1993-12-11_IDesireTree.mp3", "1993-177_Chanting_Outweighs_Everything_Lecture_Mumbai_-_Radhanath_Swami_1993-12-11_IDesireTree.mp3")</f>
        <v>1993-177_Chanting_Outweighs_Everything_Lecture_Mumbai_-_Radhanath_Swami_1993-12-11_IDesireTree.mp3</v>
      </c>
      <c r="D695" s="11"/>
      <c r="E695" s="11"/>
    </row>
    <row r="696" spans="1:5">
      <c r="A696" s="12" t="s">
        <v>12462</v>
      </c>
      <c r="B696" s="12" t="s">
        <v>13662</v>
      </c>
      <c r="C696" s="13" t="str">
        <f>HYPERLINK("https://audio.iskcondesiretree.com/02_-_ISKCON_Swamis/ISKCON_Swamis_-_R_to_Y/His_Holiness_Radhanath_Swami/Lectures/00_-_Year_wise/Devotional_Nectar_-_1993/1993-178_Devotees_Helplessness_SB-10_49_01-04_Mumbai_-_Radhanath_Swami_1993-12-12_IDesireTree.mp3", "1993-178_Devotees_Helplessness_SB-10_49_01-04_Mumbai_-_Radhanath_Swami_1993-12-12_IDesireTree.mp3")</f>
        <v>1993-178_Devotees_Helplessness_SB-10_49_01-04_Mumbai_-_Radhanath_Swami_1993-12-12_IDesireTree.mp3</v>
      </c>
      <c r="D696" s="11"/>
      <c r="E696" s="11"/>
    </row>
    <row r="697" spans="1:5">
      <c r="A697" s="12" t="s">
        <v>12462</v>
      </c>
      <c r="B697" s="12" t="s">
        <v>13663</v>
      </c>
      <c r="C697" s="13" t="str">
        <f>HYPERLINK("https://audio.iskcondesiretree.com/02_-_ISKCON_Swamis/ISKCON_Swamis_-_R_to_Y/His_Holiness_Radhanath_Swami/Lectures/00_-_Year_wise/Devotional_Nectar_-_1993/1993-179_Greatest_Benediction_In_Kaliyuga_SB-11_05_37_Mumbai_-_12-12-93_IDesireTree.mp3", "1993-179_Greatest_Benediction_In_Kaliyuga_SB-11_05_37_Mumbai_-_12-12-93_IDesireTree.mp3")</f>
        <v>1993-179_Greatest_Benediction_In_Kaliyuga_SB-11_05_37_Mumbai_-_12-12-93_IDesireTree.mp3</v>
      </c>
      <c r="D697" s="11"/>
      <c r="E697" s="11"/>
    </row>
    <row r="698" spans="1:5">
      <c r="A698" s="12" t="s">
        <v>12462</v>
      </c>
      <c r="B698" s="12" t="s">
        <v>13664</v>
      </c>
      <c r="C698" s="13" t="str">
        <f>HYPERLINK("https://audio.iskcondesiretree.com/02_-_ISKCON_Swamis/ISKCON_Swamis_-_R_to_Y/His_Holiness_Radhanath_Swami/Lectures/00_-_Year_wise/Devotional_Nectar_-_1993/1993-180_Most_Of_Us_Are_Uncivilized_SB-01_05_12_Mumbai_-_Radhanath_Swami_1993-12-12_IDesireTree.mp3", "1993-180_Most_Of_Us_Are_Uncivilized_SB-01_05_12_Mumbai_-_Radhanath_Swami_1993-12-12_IDesireTree.mp3")</f>
        <v>1993-180_Most_Of_Us_Are_Uncivilized_SB-01_05_12_Mumbai_-_Radhanath_Swami_1993-12-12_IDesireTree.mp3</v>
      </c>
      <c r="D698" s="11"/>
      <c r="E698" s="11"/>
    </row>
    <row r="699" spans="1:5">
      <c r="A699" s="12" t="s">
        <v>12462</v>
      </c>
      <c r="B699" s="12" t="s">
        <v>13665</v>
      </c>
      <c r="C699" s="13" t="str">
        <f>HYPERLINK("https://audio.iskcondesiretree.com/02_-_ISKCON_Swamis/ISKCON_Swamis_-_R_to_Y/His_Holiness_Radhanath_Swami/Lectures/00_-_Year_wise/Devotional_Nectar_-_1993/1993-181_Glories_Of_Queen_Kunti_SB-10_49_14-15_Mumbai_-_Radhanath_Swami_1993-12-13_IDesireTree.mp3", "1993-181_Glories_Of_Queen_Kunti_SB-10_49_14-15_Mumbai_-_Radhanath_Swami_1993-12-13_IDesireTree.mp3")</f>
        <v>1993-181_Glories_Of_Queen_Kunti_SB-10_49_14-15_Mumbai_-_Radhanath_Swami_1993-12-13_IDesireTree.mp3</v>
      </c>
      <c r="D699" s="11"/>
      <c r="E699" s="11"/>
    </row>
    <row r="700" spans="1:5">
      <c r="A700" s="12" t="s">
        <v>12462</v>
      </c>
      <c r="B700" s="12" t="s">
        <v>13666</v>
      </c>
      <c r="C700" s="13" t="str">
        <f>HYPERLINK("https://audio.iskcondesiretree.com/02_-_ISKCON_Swamis/ISKCON_Swamis_-_R_to_Y/His_Holiness_Radhanath_Swami/Lectures/00_-_Year_wise/Devotional_Nectar_-_1993/1993-182_Five_Principles_Of_Spiritual_Advancement_SB-01_01_15_Mumbai_-_14-12-93_IDesireTree.mp3", "1993-182_Five_Principles_Of_Spiritual_Advancement_SB-01_01_15_Mumbai_-_14-12-93_IDesireTree.mp3")</f>
        <v>1993-182_Five_Principles_Of_Spiritual_Advancement_SB-01_01_15_Mumbai_-_14-12-93_IDesireTree.mp3</v>
      </c>
      <c r="D700" s="11"/>
      <c r="E700" s="11"/>
    </row>
    <row r="701" spans="1:5">
      <c r="A701" s="12" t="s">
        <v>12462</v>
      </c>
      <c r="B701" s="12" t="s">
        <v>13667</v>
      </c>
      <c r="C701" s="13" t="str">
        <f>HYPERLINK("https://audio.iskcondesiretree.com/02_-_ISKCON_Swamis/ISKCON_Swamis_-_R_to_Y/His_Holiness_Radhanath_Swami/Lectures/00_-_Year_wise/Devotional_Nectar_-_1993/1993-183_The_Supreme_Yajna_BG-03_14_Mumbai_-_Radhanath_Swami_1993-12-15_IDesireTree.mp3", "1993-183_The_Supreme_Yajna_BG-03_14_Mumbai_-_Radhanath_Swami_1993-12-15_IDesireTree.mp3")</f>
        <v>1993-183_The_Supreme_Yajna_BG-03_14_Mumbai_-_Radhanath_Swami_1993-12-15_IDesireTree.mp3</v>
      </c>
      <c r="D701" s="11"/>
      <c r="E701" s="11"/>
    </row>
    <row r="702" spans="1:5">
      <c r="A702" s="12" t="s">
        <v>12462</v>
      </c>
      <c r="B702" s="12" t="s">
        <v>13668</v>
      </c>
      <c r="C702" s="13" t="str">
        <f>HYPERLINK("https://audio.iskcondesiretree.com/02_-_ISKCON_Swamis/ISKCON_Swamis_-_R_to_Y/His_Holiness_Radhanath_Swami/Lectures/00_-_Year_wise/Devotional_Nectar_-_1993/1993-184_Disguised_Duryodhanas_SB-10_49_22_Mumbai_-_Radhanath_Swami_1993-12-17_IDesireTree.mp3", "1993-184_Disguised_Duryodhanas_SB-10_49_22_Mumbai_-_Radhanath_Swami_1993-12-17_IDesireTree.mp3")</f>
        <v>1993-184_Disguised_Duryodhanas_SB-10_49_22_Mumbai_-_Radhanath_Swami_1993-12-17_IDesireTree.mp3</v>
      </c>
      <c r="D702" s="11"/>
      <c r="E702" s="11"/>
    </row>
    <row r="703" spans="1:5">
      <c r="A703" s="12" t="s">
        <v>12462</v>
      </c>
      <c r="B703" s="12" t="s">
        <v>13669</v>
      </c>
      <c r="C703" s="13" t="str">
        <f>HYPERLINK("https://audio.iskcondesiretree.com/02_-_ISKCON_Swamis/ISKCON_Swamis_-_R_to_Y/His_Holiness_Radhanath_Swami/Lectures/00_-_Year_wise/Devotional_Nectar_-_1993/1993-185_Only_By_Realising_The_Goal_Of_Life_CC-adi_08_63_Mumbai_-_17-12-93_IDesireTree.mp3", "1993-185_Only_By_Realising_The_Goal_Of_Life_CC-adi_08_63_Mumbai_-_17-12-93_IDesireTree.mp3")</f>
        <v>1993-185_Only_By_Realising_The_Goal_Of_Life_CC-adi_08_63_Mumbai_-_17-12-93_IDesireTree.mp3</v>
      </c>
      <c r="D703" s="11"/>
      <c r="E703" s="11"/>
    </row>
    <row r="704" spans="1:5">
      <c r="A704" s="12" t="s">
        <v>12462</v>
      </c>
      <c r="B704" s="12" t="s">
        <v>13670</v>
      </c>
      <c r="C704" s="13" t="str">
        <f>HYPERLINK("https://audio.iskcondesiretree.com/02_-_ISKCON_Swamis/ISKCON_Swamis_-_R_to_Y/His_Holiness_Radhanath_Swami/Lectures/00_-_Year_wise/Devotional_Nectar_-_1993/1993-186_Dhritarshtra_Within_Us_SB-10_49_23-25_Mumbai_-_Radhanath_Swami_1993-12-18_IDesireTree.mp3", "1993-186_Dhritarshtra_Within_Us_SB-10_49_23-25_Mumbai_-_Radhanath_Swami_1993-12-18_IDesireTree.mp3")</f>
        <v>1993-186_Dhritarshtra_Within_Us_SB-10_49_23-25_Mumbai_-_Radhanath_Swami_1993-12-18_IDesireTree.mp3</v>
      </c>
      <c r="D704" s="11"/>
      <c r="E704" s="11"/>
    </row>
    <row r="705" spans="1:5">
      <c r="A705" s="12" t="s">
        <v>12462</v>
      </c>
      <c r="B705" s="12" t="s">
        <v>13671</v>
      </c>
      <c r="C705" s="13" t="str">
        <f>HYPERLINK("https://audio.iskcondesiretree.com/02_-_ISKCON_Swamis/ISKCON_Swamis_-_R_to_Y/His_Holiness_Radhanath_Swami/Lectures/00_-_Year_wise/Devotional_Nectar_-_1993/1993-187_Beware_Of_Plunderers_SB-10_49_26-28_Mumbai_-_Radhanath_Swami_1993-12-19_IDesireTree.mp3", "1993-187_Beware_Of_Plunderers_SB-10_49_26-28_Mumbai_-_Radhanath_Swami_1993-12-19_IDesireTree.mp3")</f>
        <v>1993-187_Beware_Of_Plunderers_SB-10_49_26-28_Mumbai_-_Radhanath_Swami_1993-12-19_IDesireTree.mp3</v>
      </c>
      <c r="D705" s="11"/>
      <c r="E705" s="11"/>
    </row>
    <row r="706" spans="1:5">
      <c r="A706" s="12" t="s">
        <v>12462</v>
      </c>
      <c r="B706" s="12" t="s">
        <v>13672</v>
      </c>
      <c r="C706" s="13" t="str">
        <f>HYPERLINK("https://audio.iskcondesiretree.com/02_-_ISKCON_Swamis/ISKCON_Swamis_-_R_to_Y/His_Holiness_Radhanath_Swami/Lectures/00_-_Year_wise/Devotional_Nectar_-_1993/1993-188_Fire_Of_Harinaam_BG-03_10_Mumbai_-_Radhanath_Swami_1993-12-19_IDesireTree.mp3", "1993-188_Fire_Of_Harinaam_BG-03_10_Mumbai_-_Radhanath_Swami_1993-12-19_IDesireTree.mp3")</f>
        <v>1993-188_Fire_Of_Harinaam_BG-03_10_Mumbai_-_Radhanath_Swami_1993-12-19_IDesireTree.mp3</v>
      </c>
      <c r="D706" s="11"/>
      <c r="E706" s="11"/>
    </row>
    <row r="707" spans="1:5">
      <c r="A707" s="12" t="s">
        <v>12462</v>
      </c>
      <c r="B707" s="12" t="s">
        <v>13673</v>
      </c>
      <c r="C707" s="13" t="str">
        <f>HYPERLINK("https://audio.iskcondesiretree.com/02_-_ISKCON_Swamis/ISKCON_Swamis_-_R_to_Y/His_Holiness_Radhanath_Swami/Lectures/00_-_Year_wise/Devotional_Nectar_-_1993/1993-189_To_Have_Determination_SB-01_06_22_Mumbai_-_Radhanath_Swami_1993-12-19_IDesireTree.mp3", "1993-189_To_Have_Determination_SB-01_06_22_Mumbai_-_Radhanath_Swami_1993-12-19_IDesireTree.mp3")</f>
        <v>1993-189_To_Have_Determination_SB-01_06_22_Mumbai_-_Radhanath_Swami_1993-12-19_IDesireTree.mp3</v>
      </c>
      <c r="D707" s="11"/>
      <c r="E707" s="11"/>
    </row>
    <row r="708" spans="1:5">
      <c r="A708" s="12" t="s">
        <v>12462</v>
      </c>
      <c r="B708" s="12" t="s">
        <v>13674</v>
      </c>
      <c r="C708" s="13" t="str">
        <f>HYPERLINK("https://audio.iskcondesiretree.com/02_-_ISKCON_Swamis/ISKCON_Swamis_-_R_to_Y/His_Holiness_Radhanath_Swami/Lectures/00_-_Year_wise/Devotional_Nectar_-_1993/1993-190_Dhritarashtra_Surrenders_SB-10_49_29-31_Mumbai_-_Radhanath_Swami_1993-12-20_IDesireTree.mp3", "1993-190_Dhritarashtra_Surrenders_SB-10_49_29-31_Mumbai_-_Radhanath_Swami_1993-12-20_IDesireTree.mp3")</f>
        <v>1993-190_Dhritarashtra_Surrenders_SB-10_49_29-31_Mumbai_-_Radhanath_Swami_1993-12-20_IDesireTree.mp3</v>
      </c>
      <c r="D708" s="11"/>
      <c r="E708" s="11"/>
    </row>
    <row r="709" spans="1:5">
      <c r="A709" s="12" t="s">
        <v>12462</v>
      </c>
      <c r="B709" s="12" t="s">
        <v>13675</v>
      </c>
      <c r="C709" s="13" t="str">
        <f>HYPERLINK("https://audio.iskcondesiretree.com/02_-_ISKCON_Swamis/ISKCON_Swamis_-_R_to_Y/His_Holiness_Radhanath_Swami/Lectures/00_-_Year_wise/Devotional_Nectar_-_1993/1993-191_Jesus_Christ_SB-10_50_19_Mumbai_-_Radhanath_Swami_1993-12-25_IDesireTree.mp3", "1993-191_Jesus_Christ_SB-10_50_19_Mumbai_-_Radhanath_Swami_1993-12-25_IDesireTree.mp3")</f>
        <v>1993-191_Jesus_Christ_SB-10_50_19_Mumbai_-_Radhanath_Swami_1993-12-25_IDesireTree.mp3</v>
      </c>
      <c r="D709" s="11"/>
      <c r="E709" s="11"/>
    </row>
    <row r="710" spans="1:5">
      <c r="A710" s="12" t="s">
        <v>12462</v>
      </c>
      <c r="B710" s="12" t="s">
        <v>13676</v>
      </c>
      <c r="C710" s="13" t="str">
        <f>HYPERLINK("https://audio.iskcondesiretree.com/02_-_ISKCON_Swamis/ISKCON_Swamis_-_R_to_Y/His_Holiness_Radhanath_Swami/Lectures/00_-_Year_wise/Devotional_Nectar_-_1993/1993-192_Inconceivable_Weapon_SB-10_50_20_Mumbai_-_Radhanath_Swami_1993-12-26_IDesireTree.mp3", "1993-192_Inconceivable_Weapon_SB-10_50_20_Mumbai_-_Radhanath_Swami_1993-12-26_IDesireTree.mp3")</f>
        <v>1993-192_Inconceivable_Weapon_SB-10_50_20_Mumbai_-_Radhanath_Swami_1993-12-26_IDesireTree.mp3</v>
      </c>
      <c r="D710" s="11"/>
      <c r="E710" s="11"/>
    </row>
    <row r="711" spans="1:5">
      <c r="A711" s="12" t="s">
        <v>12462</v>
      </c>
      <c r="B711" s="12" t="s">
        <v>13677</v>
      </c>
      <c r="C711" s="13" t="str">
        <f>HYPERLINK("https://audio.iskcondesiretree.com/02_-_ISKCON_Swamis/ISKCON_Swamis_-_R_to_Y/His_Holiness_Radhanath_Swami/Lectures/00_-_Year_wise/Devotional_Nectar_-_1993/1993-193_Essence_Of_True_Renunciation_BG-18_01_Mayapur_-_Radhanath_Swami_1993-12-28_IDesireTree.mp3", "1993-193_Essence_Of_True_Renunciation_BG-18_01_Mayapur_-_Radhanath_Swami_1993-12-28_IDesireTree.mp3")</f>
        <v>1993-193_Essence_Of_True_Renunciation_BG-18_01_Mayapur_-_Radhanath_Swami_1993-12-28_IDesireTree.mp3</v>
      </c>
      <c r="D711" s="11"/>
      <c r="E711" s="11"/>
    </row>
    <row r="712" spans="1:5">
      <c r="A712" s="12" t="s">
        <v>12462</v>
      </c>
      <c r="B712" s="12" t="s">
        <v>13678</v>
      </c>
      <c r="C712" s="13" t="str">
        <f>HYPERLINK("https://audio.iskcondesiretree.com/02_-_ISKCON_Swamis/ISKCON_Swamis_-_R_to_Y/His_Holiness_Radhanath_Swami/Lectures/00_-_Year_wise/Devotional_Nectar_-_1993/1993-194_Jada_Bharat_Instructing_King_Rahuguna_SB-05_10_13_Rainbow_Lecture_-_93_IDesireTree.mp3", "1993-194_Jada_Bharat_Instructing_King_Rahuguna_SB-05_10_13_Rainbow_Lecture_-_93_IDesireTree.mp3")</f>
        <v>1993-194_Jada_Bharat_Instructing_King_Rahuguna_SB-05_10_13_Rainbow_Lecture_-_93_IDesireTree.mp3</v>
      </c>
      <c r="D712" s="11"/>
      <c r="E712" s="11"/>
    </row>
    <row r="713" spans="1:5">
      <c r="A713" s="12" t="s">
        <v>12462</v>
      </c>
      <c r="B713" s="12" t="s">
        <v>13679</v>
      </c>
      <c r="C713" s="13" t="str">
        <f>HYPERLINK("https://audio.iskcondesiretree.com/02_-_ISKCON_Swamis/ISKCON_Swamis_-_R_to_Y/His_Holiness_Radhanath_Swami/Lectures/00_-_Year_wise/Devotional_Nectar_-_1993/1993-195_Man_Hanging_from_Cliff_Lecture_Rainbow_Festival_-_Radhanath_Swami_IDesireTree.mp3", "1993-195_Man_Hanging_from_Cliff_Lecture_Rainbow_Festival_-_Radhanath_Swami_IDesireTree.mp3")</f>
        <v>1993-195_Man_Hanging_from_Cliff_Lecture_Rainbow_Festival_-_Radhanath_Swami_IDesireTree.mp3</v>
      </c>
      <c r="D713" s="11"/>
      <c r="E713" s="11"/>
    </row>
    <row r="714" spans="1:5">
      <c r="A714" s="12" t="s">
        <v>12462</v>
      </c>
      <c r="B714" s="12" t="s">
        <v>13680</v>
      </c>
      <c r="C714" s="13" t="str">
        <f>HYPERLINK("https://audio.iskcondesiretree.com/02_-_ISKCON_Swamis/ISKCON_Swamis_-_R_to_Y/His_Holiness_Radhanath_Swami/Lectures/00_-_Year_wise/Devotional_Nectar_-_1993/1993-196_Story_Of_Jada_Bharata_SB-05_10_13_Rainbow_-_Radhanath_Swami_1993_IDesireTree.mp3", "1993-196_Story_Of_Jada_Bharata_SB-05_10_13_Rainbow_-_Radhanath_Swami_1993_IDesireTree.mp3")</f>
        <v>1993-196_Story_Of_Jada_Bharata_SB-05_10_13_Rainbow_-_Radhanath_Swami_1993_IDesireTree.mp3</v>
      </c>
      <c r="D714" s="11"/>
      <c r="E714" s="11"/>
    </row>
    <row r="715" spans="1:5">
      <c r="A715" s="12" t="s">
        <v>12462</v>
      </c>
      <c r="B715" s="12" t="s">
        <v>13681</v>
      </c>
      <c r="C715" s="13" t="str">
        <f>HYPERLINK("https://audio.iskcondesiretree.com/02_-_ISKCON_Swamis/ISKCON_Swamis_-_R_to_Y/His_Holiness_Radhanath_Swami/Lectures/00_-_Year_wise/Devotional_Nectar_-_1994/1994-001_Unalloyed_Devotional_Service_SB-03_29_10_Mayapur_-_02-01-94_IDesireTree.mp3", "1994-001_Unalloyed_Devotional_Service_SB-03_29_10_Mayapur_-_02-01-94_IDesireTree.mp3")</f>
        <v>1994-001_Unalloyed_Devotional_Service_SB-03_29_10_Mayapur_-_02-01-94_IDesireTree.mp3</v>
      </c>
      <c r="D715" s="11"/>
      <c r="E715" s="11"/>
    </row>
    <row r="716" spans="1:5">
      <c r="A716" s="12" t="s">
        <v>12462</v>
      </c>
      <c r="B716" s="12" t="s">
        <v>13682</v>
      </c>
      <c r="C716" s="13" t="str">
        <f>HYPERLINK("https://audio.iskcondesiretree.com/02_-_ISKCON_Swamis/ISKCON_Swamis_-_R_to_Y/His_Holiness_Radhanath_Swami/Lectures/00_-_Year_wise/Devotional_Nectar_-_1994/1994-002_Question_And_Answer_Q%26A_Mayapur_-_Radhanath_Swami_1994-01-02_IDesireTree.mp3", "1994-002_Question_And_Answer_Q%26A_Mayapur_-_Radhanath_Swami_1994-01-02_IDesireTree.mp3")</f>
        <v>1994-002_Question_And_Answer_Q%26A_Mayapur_-_Radhanath_Swami_1994-01-02_IDesireTree.mp3</v>
      </c>
      <c r="D716" s="11"/>
      <c r="E716" s="11"/>
    </row>
    <row r="717" spans="1:5">
      <c r="A717" s="12" t="s">
        <v>12462</v>
      </c>
      <c r="B717" s="12" t="s">
        <v>13683</v>
      </c>
      <c r="C717" s="13" t="str">
        <f>HYPERLINK("https://audio.iskcondesiretree.com/02_-_ISKCON_Swamis/ISKCON_Swamis_-_R_to_Y/His_Holiness_Radhanath_Swami/Lectures/00_-_Year_wise/Devotional_Nectar_-_1994/1994-003_Lord_Krishna-_The_Only_Controller_SB-01_15_29_Mumbai_-_09-01-94_IDesireTree.mp3", "1994-003_Lord_Krishna-_The_Only_Controller_SB-01_15_29_Mumbai_-_09-01-94_IDesireTree.mp3")</f>
        <v>1994-003_Lord_Krishna-_The_Only_Controller_SB-01_15_29_Mumbai_-_09-01-94_IDesireTree.mp3</v>
      </c>
      <c r="D717" s="11"/>
      <c r="E717" s="11"/>
    </row>
    <row r="718" spans="1:5">
      <c r="A718" s="12" t="s">
        <v>12462</v>
      </c>
      <c r="B718" s="12" t="s">
        <v>13684</v>
      </c>
      <c r="C718" s="13" t="str">
        <f>HYPERLINK("https://audio.iskcondesiretree.com/02_-_ISKCON_Swamis/ISKCON_Swamis_-_R_to_Y/His_Holiness_Radhanath_Swami/Lectures/00_-_Year_wise/Devotional_Nectar_-_1994/1994-004_Who_Is_Our_Real_Friend_SB-10_51_01-06_Mumbai_-_Radhanath_Swami_1994-01-11_IDesireTree.mp3", "1994-004_Who_Is_Our_Real_Friend_SB-10_51_01-06_Mumbai_-_Radhanath_Swami_1994-01-11_IDesireTree.mp3")</f>
        <v>1994-004_Who_Is_Our_Real_Friend_SB-10_51_01-06_Mumbai_-_Radhanath_Swami_1994-01-11_IDesireTree.mp3</v>
      </c>
      <c r="D718" s="11"/>
      <c r="E718" s="11"/>
    </row>
    <row r="719" spans="1:5">
      <c r="A719" s="12" t="s">
        <v>12462</v>
      </c>
      <c r="B719" s="12" t="s">
        <v>13685</v>
      </c>
      <c r="C719" s="13" t="str">
        <f>HYPERLINK("https://audio.iskcondesiretree.com/02_-_ISKCON_Swamis/ISKCON_Swamis_-_R_to_Y/His_Holiness_Radhanath_Swami/Lectures/00_-_Year_wise/Devotional_Nectar_-_1994/1994-005_Teachings_Of_Bhagavad_Gita_BG-07_02_Mumbai_-_Radhanath_Swami_1994-01-11_IDesireTree.mp3", "1994-005_Teachings_Of_Bhagavad_Gita_BG-07_02_Mumbai_-_Radhanath_Swami_1994-01-11_IDesireTree.mp3")</f>
        <v>1994-005_Teachings_Of_Bhagavad_Gita_BG-07_02_Mumbai_-_Radhanath_Swami_1994-01-11_IDesireTree.mp3</v>
      </c>
      <c r="D719" s="11"/>
      <c r="E719" s="11"/>
    </row>
    <row r="720" spans="1:5">
      <c r="A720" s="12" t="s">
        <v>12462</v>
      </c>
      <c r="B720" s="12" t="s">
        <v>13686</v>
      </c>
      <c r="C720" s="13" t="str">
        <f>HYPERLINK("https://audio.iskcondesiretree.com/02_-_ISKCON_Swamis/ISKCON_Swamis_-_R_to_Y/His_Holiness_Radhanath_Swami/Lectures/00_-_Year_wise/Devotional_Nectar_-_1994/1994-006_Humbling_Ourselves_SB-01_02_19_Mumbai_-_Radhanath_Swami_1994-01-13_IDesireTree.mp3", "1994-006_Humbling_Ourselves_SB-01_02_19_Mumbai_-_Radhanath_Swami_1994-01-13_IDesireTree.mp3")</f>
        <v>1994-006_Humbling_Ourselves_SB-01_02_19_Mumbai_-_Radhanath_Swami_1994-01-13_IDesireTree.mp3</v>
      </c>
      <c r="D720" s="11"/>
      <c r="E720" s="11"/>
    </row>
    <row r="721" spans="1:5">
      <c r="A721" s="12" t="s">
        <v>12462</v>
      </c>
      <c r="B721" s="12" t="s">
        <v>13687</v>
      </c>
      <c r="C721" s="13" t="str">
        <f>HYPERLINK("https://audio.iskcondesiretree.com/02_-_ISKCON_Swamis/ISKCON_Swamis_-_R_to_Y/His_Holiness_Radhanath_Swami/Lectures/00_-_Year_wise/Devotional_Nectar_-_1994/1994-007_Disappearance_Of_Srila_Jiva_Goswami_SB-10_51_13_Mumbai_-_14-01-94_IDesireTree.mp3", "1994-007_Disappearance_Of_Srila_Jiva_Goswami_SB-10_51_13_Mumbai_-_14-01-94_IDesireTree.mp3")</f>
        <v>1994-007_Disappearance_Of_Srila_Jiva_Goswami_SB-10_51_13_Mumbai_-_14-01-94_IDesireTree.mp3</v>
      </c>
      <c r="D721" s="11"/>
      <c r="E721" s="11"/>
    </row>
    <row r="722" spans="1:5">
      <c r="A722" s="12" t="s">
        <v>12462</v>
      </c>
      <c r="B722" s="12" t="s">
        <v>13688</v>
      </c>
      <c r="C722" s="13" t="str">
        <f>HYPERLINK("https://audio.iskcondesiretree.com/02_-_ISKCON_Swamis/ISKCON_Swamis_-_R_to_Y/His_Holiness_Radhanath_Swami/Lectures/00_-_Year_wise/Devotional_Nectar_-_1994/1994-008_Value_Of_the_Holy_Name_Lecture_Mumbai_-_Radhanath_Swami_1994-01-15_IDesireTree.mp3", "1994-008_Value_Of_the_Holy_Name_Lecture_Mumbai_-_Radhanath_Swami_1994-01-15_IDesireTree.mp3")</f>
        <v>1994-008_Value_Of_the_Holy_Name_Lecture_Mumbai_-_Radhanath_Swami_1994-01-15_IDesireTree.mp3</v>
      </c>
      <c r="D722" s="11"/>
      <c r="E722" s="11"/>
    </row>
    <row r="723" spans="1:5">
      <c r="A723" s="12" t="s">
        <v>12462</v>
      </c>
      <c r="B723" s="12" t="s">
        <v>13689</v>
      </c>
      <c r="C723" s="13" t="str">
        <f>HYPERLINK("https://audio.iskcondesiretree.com/02_-_ISKCON_Swamis/ISKCON_Swamis_-_R_to_Y/His_Holiness_Radhanath_Swami/Lectures/00_-_Year_wise/Devotional_Nectar_-_1994/1994-009_We_Should_Wake_Up_SB-10_51_27_Mumbai_-_Radhanath_Swami_1994-01-16_IDesireTree.mp3", "1994-009_We_Should_Wake_Up_SB-10_51_27_Mumbai_-_Radhanath_Swami_1994-01-16_IDesireTree.mp3")</f>
        <v>1994-009_We_Should_Wake_Up_SB-10_51_27_Mumbai_-_Radhanath_Swami_1994-01-16_IDesireTree.mp3</v>
      </c>
      <c r="D723" s="11"/>
      <c r="E723" s="11"/>
    </row>
    <row r="724" spans="1:5">
      <c r="A724" s="12" t="s">
        <v>12462</v>
      </c>
      <c r="B724" s="12" t="s">
        <v>13690</v>
      </c>
      <c r="C724" s="13" t="str">
        <f>HYPERLINK("https://audio.iskcondesiretree.com/02_-_ISKCON_Swamis/ISKCON_Swamis_-_R_to_Y/His_Holiness_Radhanath_Swami/Lectures/00_-_Year_wise/Devotional_Nectar_-_1994/1994-010_Question_And_Answer_Q%26A_Mumbai_-_Radhanath_Swami_1994-01-16_IDesireTree.mp3", "1994-010_Question_And_Answer_Q%26A_Mumbai_-_Radhanath_Swami_1994-01-16_IDesireTree.mp3")</f>
        <v>1994-010_Question_And_Answer_Q%26A_Mumbai_-_Radhanath_Swami_1994-01-16_IDesireTree.mp3</v>
      </c>
      <c r="D724" s="11"/>
      <c r="E724" s="11"/>
    </row>
    <row r="725" spans="1:5">
      <c r="A725" s="12" t="s">
        <v>12462</v>
      </c>
      <c r="B725" s="12" t="s">
        <v>13691</v>
      </c>
      <c r="C725" s="13" t="str">
        <f>HYPERLINK("https://audio.iskcondesiretree.com/02_-_ISKCON_Swamis/ISKCON_Swamis_-_R_to_Y/His_Holiness_Radhanath_Swami/Lectures/00_-_Year_wise/Devotional_Nectar_-_1994/1994-011_Path_of_Pure_devotional_service_I_SB-02_03_24_Pune_-_22-01-94_IDesireTree.mp3", "1994-011_Path_of_Pure_devotional_service_I_SB-02_03_24_Pune_-_22-01-94_IDesireTree.mp3")</f>
        <v>1994-011_Path_of_Pure_devotional_service_I_SB-02_03_24_Pune_-_22-01-94_IDesireTree.mp3</v>
      </c>
      <c r="D725" s="11"/>
      <c r="E725" s="11"/>
    </row>
    <row r="726" spans="1:5">
      <c r="A726" s="12" t="s">
        <v>12462</v>
      </c>
      <c r="B726" s="12" t="s">
        <v>13692</v>
      </c>
      <c r="C726" s="13" t="str">
        <f>HYPERLINK("https://audio.iskcondesiretree.com/02_-_ISKCON_Swamis/ISKCON_Swamis_-_R_to_Y/His_Holiness_Radhanath_Swami/Lectures/00_-_Year_wise/Devotional_Nectar_-_1994/1994-012_Accepting_Mercy_with_Humility-I_SB-02_03_21_Pune_-_23-01-94_IDesireTree.mp3", "1994-012_Accepting_Mercy_with_Humility-I_SB-02_03_21_Pune_-_23-01-94_IDesireTree.mp3")</f>
        <v>1994-012_Accepting_Mercy_with_Humility-I_SB-02_03_21_Pune_-_23-01-94_IDesireTree.mp3</v>
      </c>
      <c r="D726" s="11"/>
      <c r="E726" s="11"/>
    </row>
    <row r="727" spans="1:5">
      <c r="A727" s="12" t="s">
        <v>12462</v>
      </c>
      <c r="B727" s="12" t="s">
        <v>13693</v>
      </c>
      <c r="C727" s="13" t="str">
        <f>HYPERLINK("https://audio.iskcondesiretree.com/02_-_ISKCON_Swamis/ISKCON_Swamis_-_R_to_Y/His_Holiness_Radhanath_Swami/Lectures/00_-_Year_wise/Devotional_Nectar_-_1994/1994-013_Accepting_Mercy_with_Humility-II_Lecture_Pune_-_Radhanath_Swami_1994-01-23_IDesireTree.mp3", "1994-013_Accepting_Mercy_with_Humility-II_Lecture_Pune_-_Radhanath_Swami_1994-01-23_IDesireTree.mp3")</f>
        <v>1994-013_Accepting_Mercy_with_Humility-II_Lecture_Pune_-_Radhanath_Swami_1994-01-23_IDesireTree.mp3</v>
      </c>
      <c r="D727" s="11"/>
      <c r="E727" s="11"/>
    </row>
    <row r="728" spans="1:5">
      <c r="A728" s="12" t="s">
        <v>12462</v>
      </c>
      <c r="B728" s="12" t="s">
        <v>13694</v>
      </c>
      <c r="C728" s="13" t="str">
        <f>HYPERLINK("https://audio.iskcondesiretree.com/02_-_ISKCON_Swamis/ISKCON_Swamis_-_R_to_Y/His_Holiness_Radhanath_Swami/Lectures/00_-_Year_wise/Devotional_Nectar_-_1994/1994-014_Sense_gratification_result_in_suffering_SB-10_51-55_-_31-01-94_IDesireTree.mp3", "1994-014_Sense_gratification_result_in_suffering_SB-10_51-55_-_31-01-94_IDesireTree.mp3")</f>
        <v>1994-014_Sense_gratification_result_in_suffering_SB-10_51-55_-_31-01-94_IDesireTree.mp3</v>
      </c>
      <c r="D728" s="11"/>
      <c r="E728" s="11"/>
    </row>
    <row r="729" spans="1:5">
      <c r="A729" s="12" t="s">
        <v>12462</v>
      </c>
      <c r="B729" s="12" t="s">
        <v>13695</v>
      </c>
      <c r="C729" s="13" t="str">
        <f>HYPERLINK("https://audio.iskcondesiretree.com/02_-_ISKCON_Swamis/ISKCON_Swamis_-_R_to_Y/His_Holiness_Radhanath_Swami/Lectures/00_-_Year_wise/Devotional_Nectar_-_1994/1994-015_How_To_Know_God_SB-02_06_34-35_Mumbai_-_Radhanath_Swami_1994-01-18_IDesireTree.mp3", "1994-015_How_To_Know_God_SB-02_06_34-35_Mumbai_-_Radhanath_Swami_1994-01-18_IDesireTree.mp3")</f>
        <v>1994-015_How_To_Know_God_SB-02_06_34-35_Mumbai_-_Radhanath_Swami_1994-01-18_IDesireTree.mp3</v>
      </c>
      <c r="D729" s="11"/>
      <c r="E729" s="11"/>
    </row>
    <row r="730" spans="1:5">
      <c r="A730" s="12" t="s">
        <v>12462</v>
      </c>
      <c r="B730" s="12" t="s">
        <v>13696</v>
      </c>
      <c r="C730" s="13" t="str">
        <f>HYPERLINK("https://audio.iskcondesiretree.com/02_-_ISKCON_Swamis/ISKCON_Swamis_-_R_to_Y/His_Holiness_Radhanath_Swami/Lectures/00_-_Year_wise/Devotional_Nectar_-_1994/1994-016_Krishna_Will_Not_Abandon_His_Devotees_SB-10_51_34_Mumbai_-_19-01-94_IDesireTree.mp3", "1994-016_Krishna_Will_Not_Abandon_His_Devotees_SB-10_51_34_Mumbai_-_19-01-94_IDesireTree.mp3")</f>
        <v>1994-016_Krishna_Will_Not_Abandon_His_Devotees_SB-10_51_34_Mumbai_-_19-01-94_IDesireTree.mp3</v>
      </c>
      <c r="D730" s="11"/>
      <c r="E730" s="11"/>
    </row>
    <row r="731" spans="1:5">
      <c r="A731" s="12" t="s">
        <v>12462</v>
      </c>
      <c r="B731" s="12" t="s">
        <v>13697</v>
      </c>
      <c r="C731" s="13" t="str">
        <f>HYPERLINK("https://audio.iskcondesiretree.com/02_-_ISKCON_Swamis/ISKCON_Swamis_-_R_to_Y/His_Holiness_Radhanath_Swami/Lectures/00_-_Year_wise/Devotional_Nectar_-_1994/1994-017_Sacred_Moments_BG-10_09_Pune_-_Radhanath_Swami_1994-01-20_IDesireTree.mp3", "1994-017_Sacred_Moments_BG-10_09_Pune_-_Radhanath_Swami_1994-01-20_IDesireTree.mp3")</f>
        <v>1994-017_Sacred_Moments_BG-10_09_Pune_-_Radhanath_Swami_1994-01-20_IDesireTree.mp3</v>
      </c>
      <c r="D731" s="11"/>
      <c r="E731" s="11"/>
    </row>
    <row r="732" spans="1:5">
      <c r="A732" s="12" t="s">
        <v>12462</v>
      </c>
      <c r="B732" s="12" t="s">
        <v>13698</v>
      </c>
      <c r="C732" s="13" t="str">
        <f>HYPERLINK("https://audio.iskcondesiretree.com/02_-_ISKCON_Swamis/ISKCON_Swamis_-_R_to_Y/His_Holiness_Radhanath_Swami/Lectures/00_-_Year_wise/Devotional_Nectar_-_1994/1994-018_Questions_And_Answers_Q%26A_Pune_-_Radhanath_Swami_1994-01-21_IDesireTree.mp3", "1994-018_Questions_And_Answers_Q%26A_Pune_-_Radhanath_Swami_1994-01-21_IDesireTree.mp3")</f>
        <v>1994-018_Questions_And_Answers_Q%26A_Pune_-_Radhanath_Swami_1994-01-21_IDesireTree.mp3</v>
      </c>
      <c r="D732" s="11"/>
      <c r="E732" s="11"/>
    </row>
    <row r="733" spans="1:5">
      <c r="A733" s="12" t="s">
        <v>12462</v>
      </c>
      <c r="B733" s="12" t="s">
        <v>13699</v>
      </c>
      <c r="C733" s="13" t="str">
        <f>HYPERLINK("https://audio.iskcondesiretree.com/02_-_ISKCON_Swamis/ISKCON_Swamis_-_R_to_Y/His_Holiness_Radhanath_Swami/Lectures/00_-_Year_wise/Devotional_Nectar_-_1994/1994-019_Fools_Are_Attached_To_Result_SB-06_12_07_Mumbai_-_25-01-94_IDesireTree.mp3", "1994-019_Fools_Are_Attached_To_Result_SB-06_12_07_Mumbai_-_25-01-94_IDesireTree.mp3")</f>
        <v>1994-019_Fools_Are_Attached_To_Result_SB-06_12_07_Mumbai_-_25-01-94_IDesireTree.mp3</v>
      </c>
      <c r="D733" s="11"/>
      <c r="E733" s="11"/>
    </row>
    <row r="734" spans="1:5">
      <c r="A734" s="12" t="s">
        <v>12462</v>
      </c>
      <c r="B734" s="12" t="s">
        <v>13700</v>
      </c>
      <c r="C734" s="13" t="str">
        <f>HYPERLINK("https://audio.iskcondesiretree.com/02_-_ISKCON_Swamis/ISKCON_Swamis_-_R_to_Y/His_Holiness_Radhanath_Swami/Lectures/00_-_Year_wise/Devotional_Nectar_-_1994/1994-020_Even_Krishna_Aspires_To_Be_Servant_Lecture_Mumbai_-_30-01-94_IDesireTree.mp3", "1994-020_Even_Krishna_Aspires_To_Be_Servant_Lecture_Mumbai_-_30-01-94_IDesireTree.mp3")</f>
        <v>1994-020_Even_Krishna_Aspires_To_Be_Servant_Lecture_Mumbai_-_30-01-94_IDesireTree.mp3</v>
      </c>
      <c r="D734" s="11"/>
      <c r="E734" s="11"/>
    </row>
    <row r="735" spans="1:5">
      <c r="A735" s="12" t="s">
        <v>12462</v>
      </c>
      <c r="B735" s="12" t="s">
        <v>13701</v>
      </c>
      <c r="C735" s="13" t="str">
        <f>HYPERLINK("https://audio.iskcondesiretree.com/02_-_ISKCON_Swamis/ISKCON_Swamis_-_R_to_Y/His_Holiness_Radhanath_Swami/Lectures/00_-_Year_wise/Devotional_Nectar_-_1994/1994-021_Material_World-_Place_Of_Suffering_Ht_-_BG-14_01_Kurukshetra_-_07-02-94_IDesireTree.mp3", "1994-021_Material_World-_Place_Of_Suffering_Ht_-_BG-14_01_Kurukshetra_-_07-02-94_IDesireTree.mp3")</f>
        <v>1994-021_Material_World-_Place_Of_Suffering_Ht_-_BG-14_01_Kurukshetra_-_07-02-94_IDesireTree.mp3</v>
      </c>
      <c r="D735" s="11"/>
      <c r="E735" s="11"/>
    </row>
    <row r="736" spans="1:5">
      <c r="A736" s="12" t="s">
        <v>12462</v>
      </c>
      <c r="B736" s="12" t="s">
        <v>13702</v>
      </c>
      <c r="C736" s="13" t="str">
        <f>HYPERLINK("https://audio.iskcondesiretree.com/02_-_ISKCON_Swamis/ISKCON_Swamis_-_R_to_Y/His_Holiness_Radhanath_Swami/Lectures/00_-_Year_wise/Devotional_Nectar_-_1994/1994-022_Krishna_Protects_Those_Who_Surrender_BG-09_22_Kurukshetra_-_08-02-94_IDesireTree.mp3", "1994-022_Krishna_Protects_Those_Who_Surrender_BG-09_22_Kurukshetra_-_08-02-94_IDesireTree.mp3")</f>
        <v>1994-022_Krishna_Protects_Those_Who_Surrender_BG-09_22_Kurukshetra_-_08-02-94_IDesireTree.mp3</v>
      </c>
      <c r="D736" s="11"/>
      <c r="E736" s="11"/>
    </row>
    <row r="737" spans="1:5">
      <c r="A737" s="12" t="s">
        <v>12462</v>
      </c>
      <c r="B737" s="12" t="s">
        <v>13703</v>
      </c>
      <c r="C737" s="13" t="str">
        <f>HYPERLINK("https://audio.iskcondesiretree.com/02_-_ISKCON_Swamis/ISKCON_Swamis_-_R_to_Y/His_Holiness_Radhanath_Swami/Lectures/00_-_Year_wise/Devotional_Nectar_-_1994/1994-023_Real_touchstone_Holy_name_BG-07_28_Mumbai_-_Radhanath_Swami_1994-02-09_IDesireTree.mp3", "1994-023_Real_touchstone_Holy_name_BG-07_28_Mumbai_-_Radhanath_Swami_1994-02-09_IDesireTree.mp3")</f>
        <v>1994-023_Real_touchstone_Holy_name_BG-07_28_Mumbai_-_Radhanath_Swami_1994-02-09_IDesireTree.mp3</v>
      </c>
      <c r="D737" s="11"/>
      <c r="E737" s="11"/>
    </row>
    <row r="738" spans="1:5">
      <c r="A738" s="12" t="s">
        <v>12462</v>
      </c>
      <c r="B738" s="12" t="e">
        <v>#VALUE!</v>
      </c>
      <c r="C738" s="13" t="e">
        <f>HYPERLINK("https://audio.iskcondesiretree.com/02_-_ISKCON_Swamis/ISKCON_Swamis_-_R_to_Y/His_Holiness_Radhanath_Swami/Lectures/00_-_Year_wise/Devotional_Nectar_-_1994/1994-024_Whatever_You_Do_Centre_Should_Be_Krishna_Ht_-_BG-05_10_Kurukshetra_-_10-02-94_IDesireTree.m"&amp;"p3", "1994-024_Whatever_You_Do_Centre_Should_Be_Krishna_Ht_-_BG-05_10_Kurukshetra_-_10-02-94_IDesireTree.mp3")</f>
        <v>#VALUE!</v>
      </c>
      <c r="D738" s="11"/>
      <c r="E738" s="11"/>
    </row>
    <row r="739" spans="1:5">
      <c r="A739" s="12" t="s">
        <v>12462</v>
      </c>
      <c r="B739" s="12" t="s">
        <v>13704</v>
      </c>
      <c r="C739" s="13" t="str">
        <f>HYPERLINK("https://audio.iskcondesiretree.com/02_-_ISKCON_Swamis/ISKCON_Swamis_-_R_to_Y/His_Holiness_Radhanath_Swami/Lectures/00_-_Year_wise/Devotional_Nectar_-_1994/1994-025_Vishnupriya_Devi_Appearance_Day_SB-10_52_37_Mumbai_-_15-02-94_IDesireTree.mp3", "1994-025_Vishnupriya_Devi_Appearance_Day_SB-10_52_37_Mumbai_-_15-02-94_IDesireTree.mp3")</f>
        <v>1994-025_Vishnupriya_Devi_Appearance_Day_SB-10_52_37_Mumbai_-_15-02-94_IDesireTree.mp3</v>
      </c>
      <c r="D739" s="11"/>
      <c r="E739" s="11"/>
    </row>
    <row r="740" spans="1:5">
      <c r="A740" s="12" t="s">
        <v>12462</v>
      </c>
      <c r="B740" s="12" t="s">
        <v>13705</v>
      </c>
      <c r="C740" s="13" t="str">
        <f>HYPERLINK("https://audio.iskcondesiretree.com/02_-_ISKCON_Swamis/ISKCON_Swamis_-_R_to_Y/His_Holiness_Radhanath_Swami/Lectures/00_-_Year_wise/Devotional_Nectar_-_1994/1994-027_Story_Of_Vasant_Panchami_Lecture_Mumbai_-_Radhanath_Swami_1994-02-15_IDesireTree.mp3", "1994-027_Story_Of_Vasant_Panchami_Lecture_Mumbai_-_Radhanath_Swami_1994-02-15_IDesireTree.mp3")</f>
        <v>1994-027_Story_Of_Vasant_Panchami_Lecture_Mumbai_-_Radhanath_Swami_1994-02-15_IDesireTree.mp3</v>
      </c>
      <c r="D740" s="11"/>
      <c r="E740" s="11"/>
    </row>
    <row r="741" spans="1:5">
      <c r="A741" s="12" t="s">
        <v>12462</v>
      </c>
      <c r="B741" s="12" t="s">
        <v>13706</v>
      </c>
      <c r="C741" s="13" t="str">
        <f>HYPERLINK("https://audio.iskcondesiretree.com/02_-_ISKCON_Swamis/ISKCON_Swamis_-_R_to_Y/His_Holiness_Radhanath_Swami/Lectures/00_-_Year_wise/Devotional_Nectar_-_1994/1994-031_Lord_Krishna_The_Supreme_Well_Wisher_BG-09_22_Mumbai_-_18-02-94_IDesireTree.mp3", "1994-031_Lord_Krishna_The_Supreme_Well_Wisher_BG-09_22_Mumbai_-_18-02-94_IDesireTree.mp3")</f>
        <v>1994-031_Lord_Krishna_The_Supreme_Well_Wisher_BG-09_22_Mumbai_-_18-02-94_IDesireTree.mp3</v>
      </c>
      <c r="D741" s="11"/>
      <c r="E741" s="11"/>
    </row>
    <row r="742" spans="1:5">
      <c r="A742" s="12" t="s">
        <v>12462</v>
      </c>
      <c r="B742" s="12" t="s">
        <v>13707</v>
      </c>
      <c r="C742" s="13" t="str">
        <f>HYPERLINK("https://audio.iskcondesiretree.com/02_-_ISKCON_Swamis/ISKCON_Swamis_-_R_to_Y/His_Holiness_Radhanath_Swami/Lectures/00_-_Year_wise/Devotional_Nectar_-_1994/1994-032_Rukmis_Disguised_SB-10_52_41_Mumbai_-_Radhanath_Swami_1994-02-17_IDesireTree.mp3", "1994-032_Rukmis_Disguised_SB-10_52_41_Mumbai_-_Radhanath_Swami_1994-02-17_IDesireTree.mp3")</f>
        <v>1994-032_Rukmis_Disguised_SB-10_52_41_Mumbai_-_Radhanath_Swami_1994-02-17_IDesireTree.mp3</v>
      </c>
      <c r="D742" s="11"/>
      <c r="E742" s="11"/>
    </row>
    <row r="743" spans="1:5">
      <c r="A743" s="12" t="s">
        <v>12462</v>
      </c>
      <c r="B743" s="12" t="s">
        <v>13708</v>
      </c>
      <c r="C743" s="13" t="str">
        <f>HYPERLINK("https://audio.iskcondesiretree.com/02_-_ISKCON_Swamis/ISKCON_Swamis_-_R_to_Y/His_Holiness_Radhanath_Swami/Lectures/00_-_Year_wise/Devotional_Nectar_-_1994/1994-034_Call_Of_Pure_Of_Devotees_CC_AL-06_10_Mumbai_-_Radhanath_Swami_1994-02-18_IDesireTree.mp3", "1994-034_Call_Of_Pure_Of_Devotees_CC_AL-06_10_Mumbai_-_Radhanath_Swami_1994-02-18_IDesireTree.mp3")</f>
        <v>1994-034_Call_Of_Pure_Of_Devotees_CC_AL-06_10_Mumbai_-_Radhanath_Swami_1994-02-18_IDesireTree.mp3</v>
      </c>
      <c r="D743" s="11"/>
      <c r="E743" s="11"/>
    </row>
    <row r="744" spans="1:5">
      <c r="A744" s="12" t="s">
        <v>12462</v>
      </c>
      <c r="B744" s="12" t="s">
        <v>13709</v>
      </c>
      <c r="C744" s="13" t="str">
        <f>HYPERLINK("https://audio.iskcondesiretree.com/02_-_ISKCON_Swamis/ISKCON_Swamis_-_R_to_Y/His_Holiness_Radhanath_Swami/Lectures/00_-_Year_wise/Devotional_Nectar_-_1994/1994-035_Story_Of_Srila_Advaita_Acharya_Lecture_Mumbai_-_Radhanath_Swami_1994-02-18_IDesireTree.mp3", "1994-035_Story_Of_Srila_Advaita_Acharya_Lecture_Mumbai_-_Radhanath_Swami_1994-02-18_IDesireTree.mp3")</f>
        <v>1994-035_Story_Of_Srila_Advaita_Acharya_Lecture_Mumbai_-_Radhanath_Swami_1994-02-18_IDesireTree.mp3</v>
      </c>
      <c r="D744" s="11"/>
      <c r="E744" s="11"/>
    </row>
    <row r="745" spans="1:5">
      <c r="A745" s="12" t="s">
        <v>12462</v>
      </c>
      <c r="B745" s="12" t="s">
        <v>13710</v>
      </c>
      <c r="C745" s="13" t="str">
        <f>HYPERLINK("https://audio.iskcondesiretree.com/02_-_ISKCON_Swamis/ISKCON_Swamis_-_R_to_Y/His_Holiness_Radhanath_Swami/Lectures/00_-_Year_wise/Devotional_Nectar_-_1994/1994-036_Our_Desperate_Need_SB-10_52_43-44Mumbai_-_Radhanath_Swami_1994-02-19_IDesireTree.mp3", "1994-036_Our_Desperate_Need_SB-10_52_43-44Mumbai_-_Radhanath_Swami_1994-02-19_IDesireTree.mp3")</f>
        <v>1994-036_Our_Desperate_Need_SB-10_52_43-44Mumbai_-_Radhanath_Swami_1994-02-19_IDesireTree.mp3</v>
      </c>
      <c r="D745" s="11"/>
      <c r="E745" s="11"/>
    </row>
    <row r="746" spans="1:5">
      <c r="A746" s="12" t="s">
        <v>12462</v>
      </c>
      <c r="B746" s="12" t="s">
        <v>13711</v>
      </c>
      <c r="C746" s="13" t="str">
        <f>HYPERLINK("https://audio.iskcondesiretree.com/02_-_ISKCON_Swamis/ISKCON_Swamis_-_R_to_Y/His_Holiness_Radhanath_Swami/Lectures/00_-_Year_wise/Devotional_Nectar_-_1994/1994-037_Defeating_Impersonalism_SB-10_53_01-03_Mumbai_-_Radhanath_Swami_1994-02-20_IDesireTree.mp3", "1994-037_Defeating_Impersonalism_SB-10_53_01-03_Mumbai_-_Radhanath_Swami_1994-02-20_IDesireTree.mp3")</f>
        <v>1994-037_Defeating_Impersonalism_SB-10_53_01-03_Mumbai_-_Radhanath_Swami_1994-02-20_IDesireTree.mp3</v>
      </c>
      <c r="D746" s="11"/>
      <c r="E746" s="11"/>
    </row>
    <row r="747" spans="1:5">
      <c r="A747" s="12" t="s">
        <v>12462</v>
      </c>
      <c r="B747" s="12" t="s">
        <v>13712</v>
      </c>
      <c r="C747" s="13" t="str">
        <f>HYPERLINK("https://audio.iskcondesiretree.com/02_-_ISKCON_Swamis/ISKCON_Swamis_-_R_to_Y/His_Holiness_Radhanath_Swami/Lectures/00_-_Year_wise/Devotional_Nectar_-_1994/1994-038_Srila_Madhavacharya_Disappearance_Day_Lecture_Mumbai_-_20-02-94_IDesireTree.mp3", "1994-038_Srila_Madhavacharya_Disappearance_Day_Lecture_Mumbai_-_20-02-94_IDesireTree.mp3")</f>
        <v>1994-038_Srila_Madhavacharya_Disappearance_Day_Lecture_Mumbai_-_20-02-94_IDesireTree.mp3</v>
      </c>
      <c r="D747" s="11"/>
      <c r="E747" s="11"/>
    </row>
    <row r="748" spans="1:5">
      <c r="A748" s="12" t="s">
        <v>12462</v>
      </c>
      <c r="B748" s="12" t="s">
        <v>13713</v>
      </c>
      <c r="C748" s="13" t="str">
        <f>HYPERLINK("https://audio.iskcondesiretree.com/02_-_ISKCON_Swamis/ISKCON_Swamis_-_R_to_Y/His_Holiness_Radhanath_Swami/Lectures/00_-_Year_wise/Devotional_Nectar_-_1994/1994-039_Surrender-_By_Realisation_Lecture_Mumbai_-_Radhanath_Swami_1994-02-21_IDesireTree.mp3", "1994-039_Surrender-_By_Realisation_Lecture_Mumbai_-_Radhanath_Swami_1994-02-21_IDesireTree.mp3")</f>
        <v>1994-039_Surrender-_By_Realisation_Lecture_Mumbai_-_Radhanath_Swami_1994-02-21_IDesireTree.mp3</v>
      </c>
      <c r="D748" s="11"/>
      <c r="E748" s="11"/>
    </row>
    <row r="749" spans="1:5">
      <c r="A749" s="12" t="s">
        <v>12462</v>
      </c>
      <c r="B749" s="12" t="s">
        <v>13714</v>
      </c>
      <c r="C749" s="13" t="str">
        <f>HYPERLINK("https://audio.iskcondesiretree.com/02_-_ISKCON_Swamis/ISKCON_Swamis_-_R_to_Y/His_Holiness_Radhanath_Swami/Lectures/00_-_Year_wise/Devotional_Nectar_-_1994/1994-040_Story_Of_RamanujAcharya_Ht_-_Lecture_Mumbai_-_Radhanath_Swami_1994-02-21_IDesireTree.mp3", "1994-040_Story_Of_RamanujAcharya_Ht_-_Lecture_Mumbai_-_Radhanath_Swami_1994-02-21_IDesireTree.mp3")</f>
        <v>1994-040_Story_Of_RamanujAcharya_Ht_-_Lecture_Mumbai_-_Radhanath_Swami_1994-02-21_IDesireTree.mp3</v>
      </c>
      <c r="D749" s="11"/>
      <c r="E749" s="11"/>
    </row>
    <row r="750" spans="1:5">
      <c r="A750" s="12" t="s">
        <v>12462</v>
      </c>
      <c r="B750" s="12" t="s">
        <v>13715</v>
      </c>
      <c r="C750" s="13" t="str">
        <f>HYPERLINK("https://audio.iskcondesiretree.com/02_-_ISKCON_Swamis/ISKCON_Swamis_-_R_to_Y/His_Holiness_Radhanath_Swami/Lectures/00_-_Year_wise/Devotional_Nectar_-_1994/1994-041_Pleasing_Guru_By_Sacrifice_SB-03_28_17_Mumbai_-_Radhanath_Swami_1994-02-22_IDesireTree.mp3", "1994-041_Pleasing_Guru_By_Sacrifice_SB-03_28_17_Mumbai_-_Radhanath_Swami_1994-02-22_IDesireTree.mp3")</f>
        <v>1994-041_Pleasing_Guru_By_Sacrifice_SB-03_28_17_Mumbai_-_Radhanath_Swami_1994-02-22_IDesireTree.mp3</v>
      </c>
      <c r="D750" s="11"/>
      <c r="E750" s="11"/>
    </row>
    <row r="751" spans="1:5">
      <c r="A751" s="12" t="s">
        <v>12462</v>
      </c>
      <c r="B751" s="12" t="s">
        <v>13716</v>
      </c>
      <c r="C751" s="13" t="str">
        <f>HYPERLINK("https://audio.iskcondesiretree.com/02_-_ISKCON_Swamis/ISKCON_Swamis_-_R_to_Y/His_Holiness_Radhanath_Swami/Lectures/00_-_Year_wise/Devotional_Nectar_-_1994/1994-042_Lord_Nityananda_Prabhu%27s_Pastimes_CC_AL-01_07-11_Mumbai_-_24-02-94_IDesireTree.mp3", "1994-042_Lord_Nityananda_Prabhu%27s_Pastimes_CC_AL-01_07-11_Mumbai_-_24-02-94_IDesireTree.mp3")</f>
        <v>1994-042_Lord_Nityananda_Prabhu%27s_Pastimes_CC_AL-01_07-11_Mumbai_-_24-02-94_IDesireTree.mp3</v>
      </c>
      <c r="D751" s="11"/>
      <c r="E751" s="11"/>
    </row>
    <row r="752" spans="1:5">
      <c r="A752" s="12" t="s">
        <v>12462</v>
      </c>
      <c r="B752" s="12" t="s">
        <v>13717</v>
      </c>
      <c r="C752" s="13" t="str">
        <f>HYPERLINK("https://audio.iskcondesiretree.com/02_-_ISKCON_Swamis/ISKCON_Swamis_-_R_to_Y/His_Holiness_Radhanath_Swami/Lectures/00_-_Year_wise/Devotional_Nectar_-_1994/1994-043_Lord_Varahadev_Lecture_Mumbai_-_Radhanath_Swami_1994-02-23_IDesireTree.mp3", "1994-043_Lord_Varahadev_Lecture_Mumbai_-_Radhanath_Swami_1994-02-23_IDesireTree.mp3")</f>
        <v>1994-043_Lord_Varahadev_Lecture_Mumbai_-_Radhanath_Swami_1994-02-23_IDesireTree.mp3</v>
      </c>
      <c r="D752" s="11"/>
      <c r="E752" s="11"/>
    </row>
    <row r="753" spans="1:5">
      <c r="A753" s="12" t="s">
        <v>12462</v>
      </c>
      <c r="B753" s="12" t="e">
        <v>#VALUE!</v>
      </c>
      <c r="C753" s="13" t="e">
        <f>HYPERLINK("https://audio.iskcondesiretree.com/02_-_ISKCON_Swamis/ISKCON_Swamis_-_R_to_Y/His_Holiness_Radhanath_Swami/Lectures/00_-_Year_wise/Devotional_Nectar_-_1994/1994-045_Lord_Nityananda_Prabhu%27s_Mercy_Lecture_Mumbai_-_Radhanath_Swami_1994-02-24_IDesireTree.mp"&amp;"3", "1994-045_Lord_Nityananda_Prabhu%27s_Mercy_Lecture_Mumbai_-_Radhanath_Swami_1994-02-24_IDesireTree.mp3")</f>
        <v>#VALUE!</v>
      </c>
      <c r="D753" s="11"/>
      <c r="E753" s="11"/>
    </row>
    <row r="754" spans="1:5">
      <c r="A754" s="12" t="s">
        <v>12462</v>
      </c>
      <c r="B754" s="12" t="s">
        <v>13718</v>
      </c>
      <c r="C754" s="13" t="str">
        <f>HYPERLINK("https://audio.iskcondesiretree.com/02_-_ISKCON_Swamis/ISKCON_Swamis_-_R_to_Y/His_Holiness_Radhanath_Swami/Lectures/00_-_Year_wise/Devotional_Nectar_-_1994/1994-045_Question_And_Answer_Q%26A_Mumbai_-_Radhanath_Swami_1994-02-25_IDesireTree.mp3", "1994-045_Question_And_Answer_Q%26A_Mumbai_-_Radhanath_Swami_1994-02-25_IDesireTree.mp3")</f>
        <v>1994-045_Question_And_Answer_Q%26A_Mumbai_-_Radhanath_Swami_1994-02-25_IDesireTree.mp3</v>
      </c>
      <c r="D754" s="11"/>
      <c r="E754" s="11"/>
    </row>
    <row r="755" spans="1:5">
      <c r="A755" s="12" t="s">
        <v>12462</v>
      </c>
      <c r="B755" s="12" t="s">
        <v>13719</v>
      </c>
      <c r="C755" s="13" t="str">
        <f>HYPERLINK("https://audio.iskcondesiretree.com/02_-_ISKCON_Swamis/ISKCON_Swamis_-_R_to_Y/His_Holiness_Radhanath_Swami/Lectures/00_-_Year_wise/Devotional_Nectar_-_1994/1994-046_Qualification_For_Receiving_Truth_SB-07_01_04-05_Mumbai_-_26-02-94_IDesireTree.mp3", "1994-046_Qualification_For_Receiving_Truth_SB-07_01_04-05_Mumbai_-_26-02-94_IDesireTree.mp3")</f>
        <v>1994-046_Qualification_For_Receiving_Truth_SB-07_01_04-05_Mumbai_-_26-02-94_IDesireTree.mp3</v>
      </c>
      <c r="D755" s="11"/>
      <c r="E755" s="11"/>
    </row>
    <row r="756" spans="1:5">
      <c r="A756" s="12" t="s">
        <v>12462</v>
      </c>
      <c r="B756" s="12" t="s">
        <v>13720</v>
      </c>
      <c r="C756" s="13" t="str">
        <f>HYPERLINK("https://audio.iskcondesiretree.com/02_-_ISKCON_Swamis/ISKCON_Swamis_-_R_to_Y/His_Holiness_Radhanath_Swami/Lectures/00_-_Year_wise/Devotional_Nectar_-_1994/1994-047_No_Happiness_In_This_Material_World_SB-10_53_24_Mumbai_-_27-02-94_IDesireTree.mp3", "1994-047_No_Happiness_In_This_Material_World_SB-10_53_24_Mumbai_-_27-02-94_IDesireTree.mp3")</f>
        <v>1994-047_No_Happiness_In_This_Material_World_SB-10_53_24_Mumbai_-_27-02-94_IDesireTree.mp3</v>
      </c>
      <c r="D756" s="11"/>
      <c r="E756" s="11"/>
    </row>
    <row r="757" spans="1:5">
      <c r="A757" s="12" t="s">
        <v>12462</v>
      </c>
      <c r="B757" s="12" t="s">
        <v>13721</v>
      </c>
      <c r="C757" s="13" t="str">
        <f>HYPERLINK("https://audio.iskcondesiretree.com/02_-_ISKCON_Swamis/ISKCON_Swamis_-_R_to_Y/His_Holiness_Radhanath_Swami/Lectures/00_-_Year_wise/Devotional_Nectar_-_1994/1994-048_Narottam_Das_Thakur_Appearance_Lecture_Mumbai_-_Radhanath_Swami_1994-02-27_IDesireTree.mp3", "1994-048_Narottam_Das_Thakur_Appearance_Lecture_Mumbai_-_Radhanath_Swami_1994-02-27_IDesireTree.mp3")</f>
        <v>1994-048_Narottam_Das_Thakur_Appearance_Lecture_Mumbai_-_Radhanath_Swami_1994-02-27_IDesireTree.mp3</v>
      </c>
      <c r="D757" s="11"/>
      <c r="E757" s="11"/>
    </row>
    <row r="758" spans="1:5">
      <c r="A758" s="12" t="s">
        <v>12462</v>
      </c>
      <c r="B758" s="12" t="e">
        <v>#VALUE!</v>
      </c>
      <c r="C758" s="13" t="e">
        <f>HYPERLINK("https://audio.iskcondesiretree.com/02_-_ISKCON_Swamis/ISKCON_Swamis_-_R_to_Y/His_Holiness_Radhanath_Swami/Lectures/00_-_Year_wise/Devotional_Nectar_-_1994/1994-049_To_Please_Guru_And_Krishna-_By_Surrendering_SB-05_01_18_Vrindavan_-_02-03-94_IDesireTree.mp"&amp;"3", "1994-049_To_Please_Guru_And_Krishna-_By_Surrendering_SB-05_01_18_Vrindavan_-_02-03-94_IDesireTree.mp3")</f>
        <v>#VALUE!</v>
      </c>
      <c r="D758" s="11"/>
      <c r="E758" s="11"/>
    </row>
    <row r="759" spans="1:5">
      <c r="A759" s="12" t="s">
        <v>12462</v>
      </c>
      <c r="B759" s="12" t="s">
        <v>13722</v>
      </c>
      <c r="C759" s="13" t="str">
        <f>HYPERLINK("https://audio.iskcondesiretree.com/02_-_ISKCON_Swamis/ISKCON_Swamis_-_R_to_Y/His_Holiness_Radhanath_Swami/Lectures/00_-_Year_wise/Devotional_Nectar_-_1994/1994-050_What_Does_Bhakti_Means_SB-01_05_12_Mumbai_-_Radhanath_Swami_1994-03-13_IDesireTree.mp3", "1994-050_What_Does_Bhakti_Means_SB-01_05_12_Mumbai_-_Radhanath_Swami_1994-03-13_IDesireTree.mp3")</f>
        <v>1994-050_What_Does_Bhakti_Means_SB-01_05_12_Mumbai_-_Radhanath_Swami_1994-03-13_IDesireTree.mp3</v>
      </c>
      <c r="D759" s="11"/>
      <c r="E759" s="11"/>
    </row>
    <row r="760" spans="1:5">
      <c r="A760" s="12" t="s">
        <v>12462</v>
      </c>
      <c r="B760" s="12" t="s">
        <v>13723</v>
      </c>
      <c r="C760" s="13" t="str">
        <f>HYPERLINK("https://audio.iskcondesiretree.com/02_-_ISKCON_Swamis/ISKCON_Swamis_-_R_to_Y/His_Holiness_Radhanath_Swami/Lectures/00_-_Year_wise/Devotional_Nectar_-_1994/1994-051_Story_Of_King_Prataprudra_SB-10_31_09_Mumbai_-_Radhanath_Swami_1994-03-20_IDesireTree.mp3", "1994-051_Story_Of_King_Prataprudra_SB-10_31_09_Mumbai_-_Radhanath_Swami_1994-03-20_IDesireTree.mp3")</f>
        <v>1994-051_Story_Of_King_Prataprudra_SB-10_31_09_Mumbai_-_Radhanath_Swami_1994-03-20_IDesireTree.mp3</v>
      </c>
      <c r="D760" s="11"/>
      <c r="E760" s="11"/>
    </row>
    <row r="761" spans="1:5">
      <c r="A761" s="12" t="s">
        <v>12462</v>
      </c>
      <c r="B761" s="12" t="s">
        <v>13724</v>
      </c>
      <c r="C761" s="13" t="str">
        <f>HYPERLINK("https://audio.iskcondesiretree.com/02_-_ISKCON_Swamis/ISKCON_Swamis_-_R_to_Y/His_Holiness_Radhanath_Swami/Lectures/00_-_Year_wise/Devotional_Nectar_-_1994/1994-052_Curing_The_Disease_Of_Envy_SB-10_54_26_Mumbai_-_Radhanath_Swami_1994-03-23_IDesireTree.mp3", "1994-052_Curing_The_Disease_Of_Envy_SB-10_54_26_Mumbai_-_Radhanath_Swami_1994-03-23_IDesireTree.mp3")</f>
        <v>1994-052_Curing_The_Disease_Of_Envy_SB-10_54_26_Mumbai_-_Radhanath_Swami_1994-03-23_IDesireTree.mp3</v>
      </c>
      <c r="D761" s="11"/>
      <c r="E761" s="11"/>
    </row>
    <row r="762" spans="1:5">
      <c r="A762" s="12" t="s">
        <v>12462</v>
      </c>
      <c r="B762" s="12" t="s">
        <v>13725</v>
      </c>
      <c r="C762" s="13" t="str">
        <f>HYPERLINK("https://audio.iskcondesiretree.com/02_-_ISKCON_Swamis/ISKCON_Swamis_-_R_to_Y/His_Holiness_Radhanath_Swami/Lectures/00_-_Year_wise/Devotional_Nectar_-_1994/1994-053_Ksira-Chora_Gopinath_GT_-_BG-05_29_Mumbai_-_Radhanath_Swami_1994-03-23_IDesireTree.mp3", "1994-053_Ksira-Chora_Gopinath_GT_-_BG-05_29_Mumbai_-_Radhanath_Swami_1994-03-23_IDesireTree.mp3")</f>
        <v>1994-053_Ksira-Chora_Gopinath_GT_-_BG-05_29_Mumbai_-_Radhanath_Swami_1994-03-23_IDesireTree.mp3</v>
      </c>
      <c r="D762" s="11"/>
      <c r="E762" s="11"/>
    </row>
    <row r="763" spans="1:5">
      <c r="A763" s="12" t="s">
        <v>12462</v>
      </c>
      <c r="B763" s="12" t="s">
        <v>13726</v>
      </c>
      <c r="C763" s="13" t="str">
        <f>HYPERLINK("https://audio.iskcondesiretree.com/02_-_ISKCON_Swamis/ISKCON_Swamis_-_R_to_Y/His_Holiness_Radhanath_Swami/Lectures/00_-_Year_wise/Devotional_Nectar_-_1994/1994-054_Surrendering_Everything_SB-08_18_23-25_Mumbai_-_Radhanath_Swami_1994-03-25_IDesireTree.mp3", "1994-054_Surrendering_Everything_SB-08_18_23-25_Mumbai_-_Radhanath_Swami_1994-03-25_IDesireTree.mp3")</f>
        <v>1994-054_Surrendering_Everything_SB-08_18_23-25_Mumbai_-_Radhanath_Swami_1994-03-25_IDesireTree.mp3</v>
      </c>
      <c r="D763" s="11"/>
      <c r="E763" s="11"/>
    </row>
    <row r="764" spans="1:5">
      <c r="A764" s="12" t="s">
        <v>12462</v>
      </c>
      <c r="B764" s="12" t="s">
        <v>13727</v>
      </c>
      <c r="C764" s="13" t="str">
        <f>HYPERLINK("https://audio.iskcondesiretree.com/02_-_ISKCON_Swamis/ISKCON_Swamis_-_R_to_Y/His_Holiness_Radhanath_Swami/Lectures/00_-_Year_wise/Devotional_Nectar_-_1994/1994-055_Lord_Krishna%27s_Way_Of_Purification_SB-10_54_35_Mumbai_-_26-03-94_IDesireTree.mp3", "1994-055_Lord_Krishna%27s_Way_Of_Purification_SB-10_54_35_Mumbai_-_26-03-94_IDesireTree.mp3")</f>
        <v>1994-055_Lord_Krishna%27s_Way_Of_Purification_SB-10_54_35_Mumbai_-_26-03-94_IDesireTree.mp3</v>
      </c>
      <c r="D764" s="11"/>
      <c r="E764" s="11"/>
    </row>
    <row r="765" spans="1:5">
      <c r="A765" s="12" t="s">
        <v>12462</v>
      </c>
      <c r="B765" s="12" t="s">
        <v>13728</v>
      </c>
      <c r="C765" s="13" t="str">
        <f>HYPERLINK("https://audio.iskcondesiretree.com/02_-_ISKCON_Swamis/ISKCON_Swamis_-_R_to_Y/His_Holiness_Radhanath_Swami/Lectures/00_-_Year_wise/Devotional_Nectar_-_1994/1994-056_Reading_Chaitanya_Charitamrita_CC_AL-13_81_Mumbai_-_27-03-94_IDesireTree.mp3", "1994-056_Reading_Chaitanya_Charitamrita_CC_AL-13_81_Mumbai_-_27-03-94_IDesireTree.mp3")</f>
        <v>1994-056_Reading_Chaitanya_Charitamrita_CC_AL-13_81_Mumbai_-_27-03-94_IDesireTree.mp3</v>
      </c>
      <c r="D765" s="11"/>
      <c r="E765" s="11"/>
    </row>
    <row r="766" spans="1:5">
      <c r="A766" s="12" t="s">
        <v>12462</v>
      </c>
      <c r="B766" s="12" t="s">
        <v>13729</v>
      </c>
      <c r="C766" s="13" t="str">
        <f>HYPERLINK("https://audio.iskcondesiretree.com/02_-_ISKCON_Swamis/ISKCON_Swamis_-_R_to_Y/His_Holiness_Radhanath_Swami/Lectures/00_-_Year_wise/Devotional_Nectar_-_1994/1994-057_Covered_Incarnations_SB-07_03_38_Mumbai_-_Radhanath_Swami_1994-03-27_IDesireTree.mp3", "1994-057_Covered_Incarnations_SB-07_03_38_Mumbai_-_Radhanath_Swami_1994-03-27_IDesireTree.mp3")</f>
        <v>1994-057_Covered_Incarnations_SB-07_03_38_Mumbai_-_Radhanath_Swami_1994-03-27_IDesireTree.mp3</v>
      </c>
      <c r="D766" s="11"/>
      <c r="E766" s="11"/>
    </row>
    <row r="767" spans="1:5">
      <c r="A767" s="12" t="s">
        <v>12462</v>
      </c>
      <c r="B767" s="12" t="s">
        <v>13730</v>
      </c>
      <c r="C767" s="13" t="str">
        <f>HYPERLINK("https://audio.iskcondesiretree.com/02_-_ISKCON_Swamis/ISKCON_Swamis_-_R_to_Y/His_Holiness_Radhanath_Swami/Lectures/00_-_Year_wise/Devotional_Nectar_-_1994/1994-058_Understanding_Bhagavad-Gita_Lecture_Mumbai_-_Radhanath_Swami_1994-03-28_IDesireTree.mp3", "1994-058_Understanding_Bhagavad-Gita_Lecture_Mumbai_-_Radhanath_Swami_1994-03-28_IDesireTree.mp3")</f>
        <v>1994-058_Understanding_Bhagavad-Gita_Lecture_Mumbai_-_Radhanath_Swami_1994-03-28_IDesireTree.mp3</v>
      </c>
      <c r="D767" s="11"/>
      <c r="E767" s="11"/>
    </row>
    <row r="768" spans="1:5">
      <c r="A768" s="12" t="s">
        <v>12462</v>
      </c>
      <c r="B768" s="12" t="s">
        <v>13731</v>
      </c>
      <c r="C768" s="13" t="str">
        <f>HYPERLINK("https://audio.iskcondesiretree.com/02_-_ISKCON_Swamis/ISKCON_Swamis_-_R_to_Y/His_Holiness_Radhanath_Swami/Lectures/00_-_Year_wise/Devotional_Nectar_-_1994/1994-059_Regulation_In_Spiritual_Life_SB-01_03_29_Mumbai_-_03-04-94_IDesireTree.mp3", "1994-059_Regulation_In_Spiritual_Life_SB-01_03_29_Mumbai_-_03-04-94_IDesireTree.mp3")</f>
        <v>1994-059_Regulation_In_Spiritual_Life_SB-01_03_29_Mumbai_-_03-04-94_IDesireTree.mp3</v>
      </c>
      <c r="D768" s="11"/>
      <c r="E768" s="11"/>
    </row>
    <row r="769" spans="1:5">
      <c r="A769" s="12" t="s">
        <v>12462</v>
      </c>
      <c r="B769" s="12" t="s">
        <v>13732</v>
      </c>
      <c r="C769" s="13" t="str">
        <f>HYPERLINK("https://audio.iskcondesiretree.com/02_-_ISKCON_Swamis/ISKCON_Swamis_-_R_to_Y/His_Holiness_Radhanath_Swami/Lectures/00_-_Year_wise/Devotional_Nectar_-_1994/1994-062_The_Purpose_Of_Yajna_BG-03_10_Mumbai_-_Radhanath_Swami_1994-04-03_IDesireTree.mp3", "1994-062_The_Purpose_Of_Yajna_BG-03_10_Mumbai_-_Radhanath_Swami_1994-04-03_IDesireTree.mp3")</f>
        <v>1994-062_The_Purpose_Of_Yajna_BG-03_10_Mumbai_-_Radhanath_Swami_1994-04-03_IDesireTree.mp3</v>
      </c>
      <c r="D769" s="11"/>
      <c r="E769" s="11"/>
    </row>
    <row r="770" spans="1:5">
      <c r="A770" s="12" t="s">
        <v>12462</v>
      </c>
      <c r="B770" s="12" t="s">
        <v>13733</v>
      </c>
      <c r="C770" s="13" t="str">
        <f>HYPERLINK("https://audio.iskcondesiretree.com/02_-_ISKCON_Swamis/ISKCON_Swamis_-_R_to_Y/His_Holiness_Radhanath_Swami/Lectures/00_-_Year_wise/Devotional_Nectar_-_1994/1994-063_Humility_%26_Pride_SB-01_11_01_Mumbai_-_Radhanath_Swami_1994-04-07_IDesireTree.mp3", "1994-063_Humility_%26_Pride_SB-01_11_01_Mumbai_-_Radhanath_Swami_1994-04-07_IDesireTree.mp3")</f>
        <v>1994-063_Humility_%26_Pride_SB-01_11_01_Mumbai_-_Radhanath_Swami_1994-04-07_IDesireTree.mp3</v>
      </c>
      <c r="D770" s="11"/>
      <c r="E770" s="11"/>
    </row>
    <row r="771" spans="1:5">
      <c r="A771" s="12" t="s">
        <v>12462</v>
      </c>
      <c r="B771" s="12" t="s">
        <v>13734</v>
      </c>
      <c r="C771" s="13" t="str">
        <f>HYPERLINK("https://audio.iskcondesiretree.com/02_-_ISKCON_Swamis/ISKCON_Swamis_-_R_to_Y/His_Holiness_Radhanath_Swami/Lectures/00_-_Year_wise/Devotional_Nectar_-_1994/1994-064_Material_World_On_Blazing_Fire_SB-01_03_38-39_Mumbai_-_05-05-94_IDesireTree.mp3", "1994-064_Material_World_On_Blazing_Fire_SB-01_03_38-39_Mumbai_-_05-05-94_IDesireTree.mp3")</f>
        <v>1994-064_Material_World_On_Blazing_Fire_SB-01_03_38-39_Mumbai_-_05-05-94_IDesireTree.mp3</v>
      </c>
      <c r="D771" s="11"/>
      <c r="E771" s="11"/>
    </row>
    <row r="772" spans="1:5">
      <c r="A772" s="12" t="s">
        <v>12462</v>
      </c>
      <c r="B772" s="12" t="e">
        <v>#VALUE!</v>
      </c>
      <c r="C772" s="13" t="e">
        <f>HYPERLINK("https://audio.iskcondesiretree.com/02_-_ISKCON_Swamis/ISKCON_Swamis_-_R_to_Y/His_Holiness_Radhanath_Swami/Lectures/00_-_Year_wise/Devotional_Nectar_-_1994/1994-066_Vaishnava%27s_Activities_-_Difficult_To_Understand_SB-10_57_04_Mumbai_-_06-05-94_IDesireTre"&amp;"e.mp3", "1994-066_Vaishnava%27s_Activities_-_Difficult_To_Understand_SB-10_57_04_Mumbai_-_06-05-94_IDesireTree.mp3")</f>
        <v>#VALUE!</v>
      </c>
      <c r="D772" s="11"/>
      <c r="E772" s="11"/>
    </row>
    <row r="773" spans="1:5">
      <c r="A773" s="12" t="s">
        <v>12462</v>
      </c>
      <c r="B773" s="12" t="s">
        <v>13735</v>
      </c>
      <c r="C773" s="13" t="str">
        <f>HYPERLINK("https://audio.iskcondesiretree.com/02_-_ISKCON_Swamis/ISKCON_Swamis_-_R_to_Y/His_Holiness_Radhanath_Swami/Lectures/00_-_Year_wise/Devotional_Nectar_-_1994/1994-067_Overcoming_Difficulties_SB-07_09_43_Mumbai_-_Radhanath_Swami_1994-05-06_IDesireTree.mp3", "1994-067_Overcoming_Difficulties_SB-07_09_43_Mumbai_-_Radhanath_Swami_1994-05-06_IDesireTree.mp3")</f>
        <v>1994-067_Overcoming_Difficulties_SB-07_09_43_Mumbai_-_Radhanath_Swami_1994-05-06_IDesireTree.mp3</v>
      </c>
      <c r="D773" s="11"/>
      <c r="E773" s="11"/>
    </row>
    <row r="774" spans="1:5">
      <c r="A774" s="12" t="s">
        <v>12462</v>
      </c>
      <c r="B774" s="12" t="s">
        <v>13736</v>
      </c>
      <c r="C774" s="13" t="str">
        <f>HYPERLINK("https://audio.iskcondesiretree.com/02_-_ISKCON_Swamis/ISKCON_Swamis_-_R_to_Y/His_Holiness_Radhanath_Swami/Lectures/00_-_Year_wise/Devotional_Nectar_-_1994/1994-070_Transcendental_Reciprocation_SB-10_57_05_Mumbai_-_07-05-94_IDesireTree.mp3", "1994-070_Transcendental_Reciprocation_SB-10_57_05_Mumbai_-_07-05-94_IDesireTree.mp3")</f>
        <v>1994-070_Transcendental_Reciprocation_SB-10_57_05_Mumbai_-_07-05-94_IDesireTree.mp3</v>
      </c>
      <c r="D774" s="11"/>
      <c r="E774" s="11"/>
    </row>
    <row r="775" spans="1:5">
      <c r="A775" s="12" t="s">
        <v>12462</v>
      </c>
      <c r="B775" s="12" t="s">
        <v>13737</v>
      </c>
      <c r="C775" s="13" t="str">
        <f>HYPERLINK("https://audio.iskcondesiretree.com/02_-_ISKCON_Swamis/ISKCON_Swamis_-_R_to_Y/His_Holiness_Radhanath_Swami/Lectures/00_-_Year_wise/Devotional_Nectar_-_1994/1994-071_The_Supreme_Gift_SB-01_05_07_Mumbai_-_Radhanath_Swami_1994-05-07_IDesireTree.mp3", "1994-071_The_Supreme_Gift_SB-01_05_07_Mumbai_-_Radhanath_Swami_1994-05-07_IDesireTree.mp3")</f>
        <v>1994-071_The_Supreme_Gift_SB-01_05_07_Mumbai_-_Radhanath_Swami_1994-05-07_IDesireTree.mp3</v>
      </c>
      <c r="D775" s="11"/>
      <c r="E775" s="11"/>
    </row>
    <row r="776" spans="1:5">
      <c r="A776" s="12" t="s">
        <v>12462</v>
      </c>
      <c r="B776" s="12" t="s">
        <v>13738</v>
      </c>
      <c r="C776" s="13" t="str">
        <f>HYPERLINK("https://audio.iskcondesiretree.com/02_-_ISKCON_Swamis/ISKCON_Swamis_-_R_to_Y/His_Holiness_Radhanath_Swami/Lectures/00_-_Year_wise/Devotional_Nectar_-_1994/1994-074_Accusations_In_The_Lives_Of_Devotees_SB-10_57_19_Mumbai_-_08-05-94_IDesireTree.mp3", "1994-074_Accusations_In_The_Lives_Of_Devotees_SB-10_57_19_Mumbai_-_08-05-94_IDesireTree.mp3")</f>
        <v>1994-074_Accusations_In_The_Lives_Of_Devotees_SB-10_57_19_Mumbai_-_08-05-94_IDesireTree.mp3</v>
      </c>
      <c r="D776" s="11"/>
      <c r="E776" s="11"/>
    </row>
    <row r="777" spans="1:5">
      <c r="A777" s="12" t="s">
        <v>12462</v>
      </c>
      <c r="B777" s="12" t="s">
        <v>13739</v>
      </c>
      <c r="C777" s="13" t="str">
        <f>HYPERLINK("https://audio.iskcondesiretree.com/02_-_ISKCON_Swamis/ISKCON_Swamis_-_R_to_Y/His_Holiness_Radhanath_Swami/Lectures/00_-_Year_wise/Devotional_Nectar_-_1994/1994-075_Prayers_By_Queen_Kunti_SB-01_08_35_Mumbai_-_Radhanath_Swami_1994-05-08_IDesireTree.mp3", "1994-075_Prayers_By_Queen_Kunti_SB-01_08_35_Mumbai_-_Radhanath_Swami_1994-05-08_IDesireTree.mp3")</f>
        <v>1994-075_Prayers_By_Queen_Kunti_SB-01_08_35_Mumbai_-_Radhanath_Swami_1994-05-08_IDesireTree.mp3</v>
      </c>
      <c r="D777" s="11"/>
      <c r="E777" s="11"/>
    </row>
    <row r="778" spans="1:5">
      <c r="A778" s="12" t="s">
        <v>12462</v>
      </c>
      <c r="B778" s="12" t="s">
        <v>13740</v>
      </c>
      <c r="C778" s="13" t="str">
        <f>HYPERLINK("https://audio.iskcondesiretree.com/02_-_ISKCON_Swamis/ISKCON_Swamis_-_R_to_Y/His_Holiness_Radhanath_Swami/Lectures/00_-_Year_wise/Devotional_Nectar_-_1994/1994-076_Compassion_Of_Haridas_Thakur_BG-02_15_Mumbai_-_Radhanath_Swami_1994-05-08_IDesireTree.mp3", "1994-076_Compassion_Of_Haridas_Thakur_BG-02_15_Mumbai_-_Radhanath_Swami_1994-05-08_IDesireTree.mp3")</f>
        <v>1994-076_Compassion_Of_Haridas_Thakur_BG-02_15_Mumbai_-_Radhanath_Swami_1994-05-08_IDesireTree.mp3</v>
      </c>
      <c r="D778" s="11"/>
      <c r="E778" s="11"/>
    </row>
    <row r="779" spans="1:5">
      <c r="A779" s="12" t="s">
        <v>12462</v>
      </c>
      <c r="B779" s="12" t="s">
        <v>13741</v>
      </c>
      <c r="C779" s="13" t="str">
        <f>HYPERLINK("https://audio.iskcondesiretree.com/02_-_ISKCON_Swamis/ISKCON_Swamis_-_R_to_Y/His_Holiness_Radhanath_Swami/Lectures/00_-_Year_wise/Devotional_Nectar_-_1994/1994-077_How_To_Advance_HT_-_SI-6_Belgaum_-_Radhanath_Swami_1994-05-09_IDesireTree.mp3", "1994-077_How_To_Advance_HT_-_SI-6_Belgaum_-_Radhanath_Swami_1994-05-09_IDesireTree.mp3")</f>
        <v>1994-077_How_To_Advance_HT_-_SI-6_Belgaum_-_Radhanath_Swami_1994-05-09_IDesireTree.mp3</v>
      </c>
      <c r="D779" s="11"/>
      <c r="E779" s="11"/>
    </row>
    <row r="780" spans="1:5">
      <c r="A780" s="12" t="s">
        <v>12462</v>
      </c>
      <c r="B780" s="12" t="e">
        <v>#VALUE!</v>
      </c>
      <c r="C780" s="13" t="e">
        <f>HYPERLINK("https://audio.iskcondesiretree.com/02_-_ISKCON_Swamis/ISKCON_Swamis_-_R_to_Y/His_Holiness_Radhanath_Swami/Lectures/00_-_Year_wise/Devotional_Nectar_-_1994/1994-078_Action_And_Thoughts_In_Krishna_Consciousness_Ht_-_BG-13_14_Belgaum_-_10-05-94_IDesireTree.m"&amp;"p3", "1994-078_Action_And_Thoughts_In_Krishna_Consciousness_Ht_-_BG-13_14_Belgaum_-_10-05-94_IDesireTree.mp3")</f>
        <v>#VALUE!</v>
      </c>
      <c r="D780" s="11"/>
      <c r="E780" s="11"/>
    </row>
    <row r="781" spans="1:5">
      <c r="A781" s="12" t="s">
        <v>12462</v>
      </c>
      <c r="B781" s="12" t="s">
        <v>13742</v>
      </c>
      <c r="C781" s="13" t="str">
        <f>HYPERLINK("https://audio.iskcondesiretree.com/02_-_ISKCON_Swamis/ISKCON_Swamis_-_R_to_Y/His_Holiness_Radhanath_Swami/Lectures/00_-_Year_wise/Devotional_Nectar_-_1994/1994-079_Detachment_SB-01_15_42_Mumbai_-_Radhanath_Swami_1994-05-10_IDesireTree.mp3", "1994-079_Detachment_SB-01_15_42_Mumbai_-_Radhanath_Swami_1994-05-10_IDesireTree.mp3")</f>
        <v>1994-079_Detachment_SB-01_15_42_Mumbai_-_Radhanath_Swami_1994-05-10_IDesireTree.mp3</v>
      </c>
      <c r="D781" s="11"/>
      <c r="E781" s="11"/>
    </row>
    <row r="782" spans="1:5">
      <c r="A782" s="12" t="s">
        <v>12462</v>
      </c>
      <c r="B782" s="12" t="e">
        <v>#VALUE!</v>
      </c>
      <c r="C782" s="13" t="e">
        <f>HYPERLINK("https://audio.iskcondesiretree.com/02_-_ISKCON_Swamis/ISKCON_Swamis_-_R_to_Y/His_Holiness_Radhanath_Swami/Lectures/00_-_Year_wise/Devotional_Nectar_-_1994/1994-080_Importance_Of_Reading_Srila_Prabhupada%27s_Book_Ht_-_SB-01_02_14-16_Mumbai_-_11-05-94_IDesi"&amp;"reTree.mp3", "1994-080_Importance_Of_Reading_Srila_Prabhupada%27s_Book_Ht_-_SB-01_02_14-16_Mumbai_-_11-05-94_IDesireTree.mp3")</f>
        <v>#VALUE!</v>
      </c>
      <c r="D782" s="11"/>
      <c r="E782" s="11"/>
    </row>
    <row r="783" spans="1:5">
      <c r="A783" s="12" t="s">
        <v>12462</v>
      </c>
      <c r="B783" s="12" t="s">
        <v>13743</v>
      </c>
      <c r="C783" s="13" t="str">
        <f>HYPERLINK("https://audio.iskcondesiretree.com/02_-_ISKCON_Swamis/ISKCON_Swamis_-_R_to_Y/His_Holiness_Radhanath_Swami/Lectures/00_-_Year_wise/Devotional_Nectar_-_1994/1994-082_Importance_Of_Surrender_SB-07_01_07_Mumbai_-_Radhanath_Swami_1994-05-12_IDesireTree.mp3", "1994-082_Importance_Of_Surrender_SB-07_01_07_Mumbai_-_Radhanath_Swami_1994-05-12_IDesireTree.mp3")</f>
        <v>1994-082_Importance_Of_Surrender_SB-07_01_07_Mumbai_-_Radhanath_Swami_1994-05-12_IDesireTree.mp3</v>
      </c>
      <c r="D783" s="11"/>
      <c r="E783" s="11"/>
    </row>
    <row r="784" spans="1:5">
      <c r="A784" s="12" t="s">
        <v>12462</v>
      </c>
      <c r="B784" s="12" t="s">
        <v>13744</v>
      </c>
      <c r="C784" s="13" t="str">
        <f>HYPERLINK("https://audio.iskcondesiretree.com/02_-_ISKCON_Swamis/ISKCON_Swamis_-_R_to_Y/His_Holiness_Radhanath_Swami/Lectures/00_-_Year_wise/Devotional_Nectar_-_1994/1994-084_To_Avoid_Fall_Down_BG-06_44_Mumbai_-_Radhanath_Swami_1994-05-12_IDesireTree.mp3", "1994-084_To_Avoid_Fall_Down_BG-06_44_Mumbai_-_Radhanath_Swami_1994-05-12_IDesireTree.mp3")</f>
        <v>1994-084_To_Avoid_Fall_Down_BG-06_44_Mumbai_-_Radhanath_Swami_1994-05-12_IDesireTree.mp3</v>
      </c>
      <c r="D784" s="11"/>
      <c r="E784" s="11"/>
    </row>
    <row r="785" spans="1:5">
      <c r="A785" s="12" t="s">
        <v>12462</v>
      </c>
      <c r="B785" s="12" t="s">
        <v>13745</v>
      </c>
      <c r="C785" s="13" t="str">
        <f>HYPERLINK("https://audio.iskcondesiretree.com/02_-_ISKCON_Swamis/ISKCON_Swamis_-_R_to_Y/His_Holiness_Radhanath_Swami/Lectures/00_-_Year_wise/Devotional_Nectar_-_1994/1994-085_Fire_Of_Tribulation_SB-10_58_5_Mumbai_-_Radhanath_Swami_1994-05-13_IDesireTree.mp3", "1994-085_Fire_Of_Tribulation_SB-10_58_5_Mumbai_-_Radhanath_Swami_1994-05-13_IDesireTree.mp3")</f>
        <v>1994-085_Fire_Of_Tribulation_SB-10_58_5_Mumbai_-_Radhanath_Swami_1994-05-13_IDesireTree.mp3</v>
      </c>
      <c r="D785" s="11"/>
      <c r="E785" s="11"/>
    </row>
    <row r="786" spans="1:5">
      <c r="A786" s="12" t="s">
        <v>12462</v>
      </c>
      <c r="B786" s="12" t="s">
        <v>13746</v>
      </c>
      <c r="C786" s="13" t="str">
        <f>HYPERLINK("https://audio.iskcondesiretree.com/02_-_ISKCON_Swamis/ISKCON_Swamis_-_R_to_Y/His_Holiness_Radhanath_Swami/Lectures/00_-_Year_wise/Devotional_Nectar_-_1994/1994-088_Question_And_Answer_Q%26A_Mumbai_-_Radhanath_Swami_1994-05-13_IDesireTree.mp3", "1994-088_Question_And_Answer_Q%26A_Mumbai_-_Radhanath_Swami_1994-05-13_IDesireTree.mp3")</f>
        <v>1994-088_Question_And_Answer_Q%26A_Mumbai_-_Radhanath_Swami_1994-05-13_IDesireTree.mp3</v>
      </c>
      <c r="D786" s="11"/>
      <c r="E786" s="11"/>
    </row>
    <row r="787" spans="1:5">
      <c r="A787" s="12" t="s">
        <v>12462</v>
      </c>
      <c r="B787" s="12" t="e">
        <v>#VALUE!</v>
      </c>
      <c r="C787" s="13" t="e">
        <f>HYPERLINK("https://audio.iskcondesiretree.com/02_-_ISKCON_Swamis/ISKCON_Swamis_-_R_to_Y/His_Holiness_Radhanath_Swami/Lectures/00_-_Year_wise/Devotional_Nectar_-_1994/1994-090_Real_Perfection_When_Krishna_Remembers_His_Devotees_SB-10_58_06_Mumbai_-_14-05-94_IDesireTr"&amp;"ee.mp3", "1994-090_Real_Perfection_When_Krishna_Remembers_His_Devotees_SB-10_58_06_Mumbai_-_14-05-94_IDesireTree.mp3")</f>
        <v>#VALUE!</v>
      </c>
      <c r="D787" s="11"/>
      <c r="E787" s="11"/>
    </row>
    <row r="788" spans="1:5">
      <c r="A788" s="12" t="s">
        <v>12462</v>
      </c>
      <c r="B788" s="12" t="s">
        <v>13747</v>
      </c>
      <c r="C788" s="13" t="str">
        <f>HYPERLINK("https://audio.iskcondesiretree.com/02_-_ISKCON_Swamis/ISKCON_Swamis_-_R_to_Y/His_Holiness_Radhanath_Swami/Lectures/00_-_Year_wise/Devotional_Nectar_-_1994/1994-091_Nature_Of_Material_Existence_BG-18_25_Mumbai_-_Radhanath_Swami_1994-05-14_IDesireTree.mp3", "1994-091_Nature_Of_Material_Existence_BG-18_25_Mumbai_-_Radhanath_Swami_1994-05-14_IDesireTree.mp3")</f>
        <v>1994-091_Nature_Of_Material_Existence_BG-18_25_Mumbai_-_Radhanath_Swami_1994-05-14_IDesireTree.mp3</v>
      </c>
      <c r="D788" s="11"/>
      <c r="E788" s="11"/>
    </row>
    <row r="789" spans="1:5">
      <c r="A789" s="12" t="s">
        <v>12462</v>
      </c>
      <c r="B789" s="12" t="s">
        <v>13748</v>
      </c>
      <c r="C789" s="13" t="str">
        <f>HYPERLINK("https://audio.iskcondesiretree.com/02_-_ISKCON_Swamis/ISKCON_Swamis_-_R_to_Y/His_Holiness_Radhanath_Swami/Lectures/00_-_Year_wise/Devotional_Nectar_-_1994/1994-094_Positive_Humility_SB-10_58_08_Mumbai_-_Radhanath_Swami_1994-05-15_IDesireTree.mp3", "1994-094_Positive_Humility_SB-10_58_08_Mumbai_-_Radhanath_Swami_1994-05-15_IDesireTree.mp3")</f>
        <v>1994-094_Positive_Humility_SB-10_58_08_Mumbai_-_Radhanath_Swami_1994-05-15_IDesireTree.mp3</v>
      </c>
      <c r="D789" s="11"/>
      <c r="E789" s="11"/>
    </row>
    <row r="790" spans="1:5">
      <c r="A790" s="12" t="s">
        <v>12462</v>
      </c>
      <c r="B790" s="12" t="s">
        <v>13749</v>
      </c>
      <c r="C790" s="13" t="str">
        <f>HYPERLINK("https://audio.iskcondesiretree.com/02_-_ISKCON_Swamis/ISKCON_Swamis_-_R_to_Y/His_Holiness_Radhanath_Swami/Lectures/00_-_Year_wise/Devotional_Nectar_-_1994/1994-096_Talks_With_LIMC_Students_Lecture_Mumbai_-_Radhanath_Swami_1994-05-12_IDesireTree.mp3", "1994-096_Talks_With_LIMC_Students_Lecture_Mumbai_-_Radhanath_Swami_1994-05-12_IDesireTree.mp3")</f>
        <v>1994-096_Talks_With_LIMC_Students_Lecture_Mumbai_-_Radhanath_Swami_1994-05-12_IDesireTree.mp3</v>
      </c>
      <c r="D790" s="11"/>
      <c r="E790" s="11"/>
    </row>
    <row r="791" spans="1:5">
      <c r="A791" s="12" t="s">
        <v>12462</v>
      </c>
      <c r="B791" s="12" t="s">
        <v>13750</v>
      </c>
      <c r="C791" s="13" t="str">
        <f>HYPERLINK("https://audio.iskcondesiretree.com/02_-_ISKCON_Swamis/ISKCON_Swamis_-_R_to_Y/His_Holiness_Radhanath_Swami/Lectures/00_-_Year_wise/Devotional_Nectar_-_1994/1994-097_Significance_Of_Chandan_Yatra_Lecture_Mumbai_-_Radhanath_Swami_1994-05-15_IDesireTree.mp3", "1994-097_Significance_Of_Chandan_Yatra_Lecture_Mumbai_-_Radhanath_Swami_1994-05-15_IDesireTree.mp3")</f>
        <v>1994-097_Significance_Of_Chandan_Yatra_Lecture_Mumbai_-_Radhanath_Swami_1994-05-15_IDesireTree.mp3</v>
      </c>
      <c r="D791" s="11"/>
      <c r="E791" s="11"/>
    </row>
    <row r="792" spans="1:5">
      <c r="A792" s="12" t="s">
        <v>12462</v>
      </c>
      <c r="B792" s="12" t="s">
        <v>13751</v>
      </c>
      <c r="C792" s="13" t="str">
        <f>HYPERLINK("https://audio.iskcondesiretree.com/02_-_ISKCON_Swamis/ISKCON_Swamis_-_R_to_Y/His_Holiness_Radhanath_Swami/Lectures/00_-_Year_wise/Devotional_Nectar_-_1994/1994-098_Talk_With_Brahmachari%27s_Q%26A_Mumbai_-_Radhanath_Swami_1994-05-25_IDesireTree.mp3", "1994-098_Talk_With_Brahmachari%27s_Q%26A_Mumbai_-_Radhanath_Swami_1994-05-25_IDesireTree.mp3")</f>
        <v>1994-098_Talk_With_Brahmachari%27s_Q%26A_Mumbai_-_Radhanath_Swami_1994-05-25_IDesireTree.mp3</v>
      </c>
      <c r="D792" s="11"/>
      <c r="E792" s="11"/>
    </row>
    <row r="793" spans="1:5">
      <c r="A793" s="12" t="s">
        <v>12462</v>
      </c>
      <c r="B793" s="12" t="s">
        <v>13752</v>
      </c>
      <c r="C793" s="13" t="str">
        <f>HYPERLINK("https://audio.iskcondesiretree.com/02_-_ISKCON_Swamis/ISKCON_Swamis_-_R_to_Y/His_Holiness_Radhanath_Swami/Lectures/00_-_Year_wise/Devotional_Nectar_-_1994/1994-099_Vrindavan_das_Thakur_Lecture_-_Radhanath_Swami_1994-06-05_IDesireTree.mp3", "1994-099_Vrindavan_das_Thakur_Lecture_-_Radhanath_Swami_1994-06-05_IDesireTree.mp3")</f>
        <v>1994-099_Vrindavan_das_Thakur_Lecture_-_Radhanath_Swami_1994-06-05_IDesireTree.mp3</v>
      </c>
      <c r="D793" s="11"/>
      <c r="E793" s="11"/>
    </row>
    <row r="794" spans="1:5">
      <c r="A794" s="12" t="s">
        <v>12462</v>
      </c>
      <c r="B794" s="12" t="s">
        <v>13753</v>
      </c>
      <c r="C794" s="13" t="str">
        <f>HYPERLINK("https://audio.iskcondesiretree.com/02_-_ISKCON_Swamis/ISKCON_Swamis_-_R_to_Y/His_Holiness_Radhanath_Swami/Lectures/00_-_Year_wise/Devotional_Nectar_-_1994/1994-100_Transcendental_Remedy_for_this_Age_Lecture_NV_-_Radhanath_Swami_1994-06-16_IDesireTree.mp3", "1994-100_Transcendental_Remedy_for_this_Age_Lecture_NV_-_Radhanath_Swami_1994-06-16_IDesireTree.mp3")</f>
        <v>1994-100_Transcendental_Remedy_for_this_Age_Lecture_NV_-_Radhanath_Swami_1994-06-16_IDesireTree.mp3</v>
      </c>
      <c r="D794" s="11"/>
      <c r="E794" s="11"/>
    </row>
    <row r="795" spans="1:5">
      <c r="A795" s="12" t="s">
        <v>12462</v>
      </c>
      <c r="B795" s="12" t="s">
        <v>13754</v>
      </c>
      <c r="C795" s="13" t="str">
        <f>HYPERLINK("https://audio.iskcondesiretree.com/02_-_ISKCON_Swamis/ISKCON_Swamis_-_R_to_Y/His_Holiness_Radhanath_Swami/Lectures/00_-_Year_wise/Devotional_Nectar_-_1994/1994-101_Talks_With_Padharpur_Camp_Volunteers_Lecture_Mumbai_-_07-08-94_IDesireTree.mp3", "1994-101_Talks_With_Padharpur_Camp_Volunteers_Lecture_Mumbai_-_07-08-94_IDesireTree.mp3")</f>
        <v>1994-101_Talks_With_Padharpur_Camp_Volunteers_Lecture_Mumbai_-_07-08-94_IDesireTree.mp3</v>
      </c>
      <c r="D795" s="11"/>
      <c r="E795" s="11"/>
    </row>
    <row r="796" spans="1:5">
      <c r="A796" s="12" t="s">
        <v>12462</v>
      </c>
      <c r="B796" s="12" t="e">
        <v>#VALUE!</v>
      </c>
      <c r="C796" s="13" t="e">
        <f>HYPERLINK("https://audio.iskcondesiretree.com/02_-_ISKCON_Swamis/ISKCON_Swamis_-_R_to_Y/His_Holiness_Radhanath_Swami/Lectures/00_-_Year_wise/Devotional_Nectar_-_1994/1994-102_Chaitanya_Mahaprabhu%27s_Lilla_Is_Most_Merciful_SB-01_03_33_Mumbai_-_16-08-94_IDesireTree.m"&amp;"p3", "1994-102_Chaitanya_Mahaprabhu%27s_Lilla_Is_Most_Merciful_SB-01_03_33_Mumbai_-_16-08-94_IDesireTree.mp3")</f>
        <v>#VALUE!</v>
      </c>
      <c r="D796" s="11"/>
      <c r="E796" s="11"/>
    </row>
    <row r="797" spans="1:5">
      <c r="A797" s="12" t="s">
        <v>12462</v>
      </c>
      <c r="B797" s="12" t="s">
        <v>13755</v>
      </c>
      <c r="C797" s="13" t="str">
        <f>HYPERLINK("https://audio.iskcondesiretree.com/02_-_ISKCON_Swamis/ISKCON_Swamis_-_R_to_Y/His_Holiness_Radhanath_Swami/Lectures/00_-_Year_wise/Devotional_Nectar_-_1994/1994-103_Significance_Of_Jhulan_Yatra_Lecture_Mumbai_-_Radhanath_Swami_1994-08-20_IDesireTree.mp3", "1994-103_Significance_Of_Jhulan_Yatra_Lecture_Mumbai_-_Radhanath_Swami_1994-08-20_IDesireTree.mp3")</f>
        <v>1994-103_Significance_Of_Jhulan_Yatra_Lecture_Mumbai_-_Radhanath_Swami_1994-08-20_IDesireTree.mp3</v>
      </c>
      <c r="D797" s="11"/>
      <c r="E797" s="11"/>
    </row>
    <row r="798" spans="1:5">
      <c r="A798" s="12" t="s">
        <v>12462</v>
      </c>
      <c r="B798" s="12" t="s">
        <v>13756</v>
      </c>
      <c r="C798" s="13" t="str">
        <f>HYPERLINK("https://audio.iskcondesiretree.com/02_-_ISKCON_Swamis/ISKCON_Swamis_-_R_to_Y/His_Holiness_Radhanath_Swami/Lectures/00_-_Year_wise/Devotional_Nectar_-_1994/1994-104_Incarnation_Are_Expansions_Of_Krishna_SB-01_03_28_Mumbai_-_21-08-94_IDesireTree.mp3", "1994-104_Incarnation_Are_Expansions_Of_Krishna_SB-01_03_28_Mumbai_-_21-08-94_IDesireTree.mp3")</f>
        <v>1994-104_Incarnation_Are_Expansions_Of_Krishna_SB-01_03_28_Mumbai_-_21-08-94_IDesireTree.mp3</v>
      </c>
      <c r="D798" s="11"/>
      <c r="E798" s="11"/>
    </row>
    <row r="799" spans="1:5">
      <c r="A799" s="12" t="s">
        <v>12462</v>
      </c>
      <c r="B799" s="12" t="s">
        <v>13757</v>
      </c>
      <c r="C799" s="13" t="str">
        <f>HYPERLINK("https://audio.iskcondesiretree.com/02_-_ISKCON_Swamis/ISKCON_Swamis_-_R_to_Y/His_Holiness_Radhanath_Swami/Lectures/00_-_Year_wise/Devotional_Nectar_-_1994/1994-105_Hearing_Is_Necessary_Everyday_SB-01_03_29_Mumbai_-_22-08-94_IDesireTree.mp3", "1994-105_Hearing_Is_Necessary_Everyday_SB-01_03_29_Mumbai_-_22-08-94_IDesireTree.mp3")</f>
        <v>1994-105_Hearing_Is_Necessary_Everyday_SB-01_03_29_Mumbai_-_22-08-94_IDesireTree.mp3</v>
      </c>
      <c r="D799" s="11"/>
      <c r="E799" s="11"/>
    </row>
    <row r="800" spans="1:5">
      <c r="A800" s="12" t="s">
        <v>12462</v>
      </c>
      <c r="B800" s="12" t="s">
        <v>13758</v>
      </c>
      <c r="C800" s="13" t="str">
        <f>HYPERLINK("https://audio.iskcondesiretree.com/02_-_ISKCON_Swamis/ISKCON_Swamis_-_R_to_Y/His_Holiness_Radhanath_Swami/Lectures/00_-_Year_wise/Devotional_Nectar_-_1994/1994-106_Lord_Balaram%27s_Mercy_Is_must_BG-10_08_Mumbai_-_Radhanath_Swami_1994-08-21_IDesireTree.mp3", "1994-106_Lord_Balaram%27s_Mercy_Is_must_BG-10_08_Mumbai_-_Radhanath_Swami_1994-08-21_IDesireTree.mp3")</f>
        <v>1994-106_Lord_Balaram%27s_Mercy_Is_must_BG-10_08_Mumbai_-_Radhanath_Swami_1994-08-21_IDesireTree.mp3</v>
      </c>
      <c r="D800" s="11"/>
      <c r="E800" s="11"/>
    </row>
    <row r="801" spans="1:5">
      <c r="A801" s="12" t="s">
        <v>12462</v>
      </c>
      <c r="B801" s="12" t="s">
        <v>13759</v>
      </c>
      <c r="C801" s="13" t="str">
        <f>HYPERLINK("https://audio.iskcondesiretree.com/02_-_ISKCON_Swamis/ISKCON_Swamis_-_R_to_Y/His_Holiness_Radhanath_Swami/Lectures/00_-_Year_wise/Devotional_Nectar_-_1994/1994-108_Uncovering_The_Soul_SB-01_03_31_Mumbai_-_Radhanath_Swami_1994-08-24_IDesireTree.mp3", "1994-108_Uncovering_The_Soul_SB-01_03_31_Mumbai_-_Radhanath_Swami_1994-08-24_IDesireTree.mp3")</f>
        <v>1994-108_Uncovering_The_Soul_SB-01_03_31_Mumbai_-_Radhanath_Swami_1994-08-24_IDesireTree.mp3</v>
      </c>
      <c r="D801" s="11"/>
      <c r="E801" s="11"/>
    </row>
    <row r="802" spans="1:5">
      <c r="A802" s="12" t="s">
        <v>12462</v>
      </c>
      <c r="B802" s="12" t="s">
        <v>13760</v>
      </c>
      <c r="C802" s="13" t="str">
        <f>HYPERLINK("https://audio.iskcondesiretree.com/02_-_ISKCON_Swamis/ISKCON_Swamis_-_R_to_Y/His_Holiness_Radhanath_Swami/Lectures/00_-_Year_wise/Devotional_Nectar_-_1994/1994-109_Secret_Of_Success_SB-01_05_31_Mumbai_-_Radhanath_Swami_1994-08-25_IDesireTree.mp3", "1994-109_Secret_Of_Success_SB-01_05_31_Mumbai_-_Radhanath_Swami_1994-08-25_IDesireTree.mp3")</f>
        <v>1994-109_Secret_Of_Success_SB-01_05_31_Mumbai_-_Radhanath_Swami_1994-08-25_IDesireTree.mp3</v>
      </c>
      <c r="D802" s="11"/>
      <c r="E802" s="11"/>
    </row>
    <row r="803" spans="1:5">
      <c r="A803" s="12" t="s">
        <v>12462</v>
      </c>
      <c r="B803" s="12" t="s">
        <v>13761</v>
      </c>
      <c r="C803" s="13" t="str">
        <f>HYPERLINK("https://audio.iskcondesiretree.com/02_-_ISKCON_Swamis/ISKCON_Swamis_-_R_to_Y/His_Holiness_Radhanath_Swami/Lectures/00_-_Year_wise/Devotional_Nectar_-_1994/1994-111_Appearance_Of_Krishna_In_Our_Heart_SB-10-03_13_Mumbai_-_26-08-94_IDesireTree.mp3", "1994-111_Appearance_Of_Krishna_In_Our_Heart_SB-10-03_13_Mumbai_-_26-08-94_IDesireTree.mp3")</f>
        <v>1994-111_Appearance_Of_Krishna_In_Our_Heart_SB-10-03_13_Mumbai_-_26-08-94_IDesireTree.mp3</v>
      </c>
      <c r="D803" s="11"/>
      <c r="E803" s="11"/>
    </row>
    <row r="804" spans="1:5">
      <c r="A804" s="12" t="s">
        <v>12462</v>
      </c>
      <c r="B804" s="12" t="s">
        <v>13762</v>
      </c>
      <c r="C804" s="13" t="str">
        <f>HYPERLINK("https://audio.iskcondesiretree.com/02_-_ISKCON_Swamis/ISKCON_Swamis_-_R_to_Y/His_Holiness_Radhanath_Swami/Lectures/00_-_Year_wise/Devotional_Nectar_-_1994/1994-114_Eight_Sons_Of_Mother_Devaki_SB-01_03_38_Mumbai_-_Radhanath_Swami_1994-08-28_IDesireTree.mp3", "1994-114_Eight_Sons_Of_Mother_Devaki_SB-01_03_38_Mumbai_-_Radhanath_Swami_1994-08-28_IDesireTree.mp3")</f>
        <v>1994-114_Eight_Sons_Of_Mother_Devaki_SB-01_03_38_Mumbai_-_Radhanath_Swami_1994-08-28_IDesireTree.mp3</v>
      </c>
      <c r="D804" s="11"/>
      <c r="E804" s="11"/>
    </row>
    <row r="805" spans="1:5">
      <c r="A805" s="12" t="s">
        <v>12462</v>
      </c>
      <c r="B805" s="12" t="s">
        <v>13763</v>
      </c>
      <c r="C805" s="13" t="str">
        <f>HYPERLINK("https://audio.iskcondesiretree.com/02_-_ISKCON_Swamis/ISKCON_Swamis_-_R_to_Y/His_Holiness_Radhanath_Swami/Lectures/00_-_Year_wise/Devotional_Nectar_-_1994/1994-116_The_Glory_of_Nityananda-Balaram_Lecture_-_Radhanath_Swami_08-94_IDesireTree.mp3", "1994-116_The_Glory_of_Nityananda-Balaram_Lecture_-_Radhanath_Swami_08-94_IDesireTree.mp3")</f>
        <v>1994-116_The_Glory_of_Nityananda-Balaram_Lecture_-_Radhanath_Swami_08-94_IDesireTree.mp3</v>
      </c>
      <c r="D805" s="11"/>
      <c r="E805" s="11"/>
    </row>
    <row r="806" spans="1:5">
      <c r="A806" s="12" t="s">
        <v>12462</v>
      </c>
      <c r="B806" s="12" t="s">
        <v>13764</v>
      </c>
      <c r="C806" s="13" t="str">
        <f>HYPERLINK("https://audio.iskcondesiretree.com/02_-_ISKCON_Swamis/ISKCON_Swamis_-_R_to_Y/His_Holiness_Radhanath_Swami/Lectures/00_-_Year_wise/Devotional_Nectar_-_1994/1994-117_Role_Of_Durga_Devi_SB-01_03_34_Mumbai_-_Radhanath_Swami_1994-08-29_IDesireTree.mp3", "1994-117_Role_Of_Durga_Devi_SB-01_03_34_Mumbai_-_Radhanath_Swami_1994-08-29_IDesireTree.mp3")</f>
        <v>1994-117_Role_Of_Durga_Devi_SB-01_03_34_Mumbai_-_Radhanath_Swami_1994-08-29_IDesireTree.mp3</v>
      </c>
      <c r="D806" s="11"/>
      <c r="E806" s="11"/>
    </row>
    <row r="807" spans="1:5">
      <c r="A807" s="12" t="s">
        <v>12462</v>
      </c>
      <c r="B807" s="12" t="s">
        <v>13765</v>
      </c>
      <c r="C807" s="13" t="str">
        <f>HYPERLINK("https://audio.iskcondesiretree.com/02_-_ISKCON_Swamis/ISKCON_Swamis_-_R_to_Y/His_Holiness_Radhanath_Swami/Lectures/00_-_Year_wise/Devotional_Nectar_-_1994/1994-118_We_Have_No_Power_To_Understand_Krishna_SB-01_03_35_Mumbai_-_28-08-94_IDesireTree.mp3", "1994-118_We_Have_No_Power_To_Understand_Krishna_SB-01_03_35_Mumbai_-_28-08-94_IDesireTree.mp3")</f>
        <v>1994-118_We_Have_No_Power_To_Understand_Krishna_SB-01_03_35_Mumbai_-_28-08-94_IDesireTree.mp3</v>
      </c>
      <c r="D807" s="11"/>
      <c r="E807" s="11"/>
    </row>
    <row r="808" spans="1:5">
      <c r="A808" s="12" t="s">
        <v>12462</v>
      </c>
      <c r="B808" s="12" t="s">
        <v>13766</v>
      </c>
      <c r="C808" s="13" t="str">
        <f>HYPERLINK("https://audio.iskcondesiretree.com/02_-_ISKCON_Swamis/ISKCON_Swamis_-_R_to_Y/His_Holiness_Radhanath_Swami/Lectures/00_-_Year_wise/Devotional_Nectar_-_1994/1994-119_First_Purify_Ourselves_Lecture_Mumbai_-_Radhanath_Swami_1994-08-28_IDesireTree.mp3", "1994-119_First_Purify_Ourselves_Lecture_Mumbai_-_Radhanath_Swami_1994-08-28_IDesireTree.mp3")</f>
        <v>1994-119_First_Purify_Ourselves_Lecture_Mumbai_-_Radhanath_Swami_1994-08-28_IDesireTree.mp3</v>
      </c>
      <c r="D808" s="11"/>
      <c r="E808" s="11"/>
    </row>
    <row r="809" spans="1:5">
      <c r="A809" s="12" t="s">
        <v>12462</v>
      </c>
      <c r="B809" s="12" t="s">
        <v>13767</v>
      </c>
      <c r="C809" s="13" t="str">
        <f>HYPERLINK("https://audio.iskcondesiretree.com/02_-_ISKCON_Swamis/ISKCON_Swamis_-_R_to_Y/His_Holiness_Radhanath_Swami/Lectures/00_-_Year_wise/Devotional_Nectar_-_1994/1994-120_Childhood_Pastimes_Of_Krishna_SB-01_03_36_Mumbai_-_29-08-94_IDesireTree.mp3", "1994-120_Childhood_Pastimes_Of_Krishna_SB-01_03_36_Mumbai_-_29-08-94_IDesireTree.mp3")</f>
        <v>1994-120_Childhood_Pastimes_Of_Krishna_SB-01_03_36_Mumbai_-_29-08-94_IDesireTree.mp3</v>
      </c>
      <c r="D809" s="11"/>
      <c r="E809" s="11"/>
    </row>
    <row r="810" spans="1:5">
      <c r="A810" s="12" t="s">
        <v>12462</v>
      </c>
      <c r="B810" s="12" t="s">
        <v>13768</v>
      </c>
      <c r="C810" s="13" t="str">
        <f>HYPERLINK("https://audio.iskcondesiretree.com/02_-_ISKCON_Swamis/ISKCON_Swamis_-_R_to_Y/His_Holiness_Radhanath_Swami/Lectures/00_-_Year_wise/Devotional_Nectar_-_1994/1994-121_Krishna%27s_Pastimes_Are_Nectarian_Lecture_Mumbai_-_29-08-94_IDesireTree.mp3", "1994-121_Krishna%27s_Pastimes_Are_Nectarian_Lecture_Mumbai_-_29-08-94_IDesireTree.mp3")</f>
        <v>1994-121_Krishna%27s_Pastimes_Are_Nectarian_Lecture_Mumbai_-_29-08-94_IDesireTree.mp3</v>
      </c>
      <c r="D810" s="11"/>
      <c r="E810" s="11"/>
    </row>
    <row r="811" spans="1:5">
      <c r="A811" s="12" t="s">
        <v>12462</v>
      </c>
      <c r="B811" s="12" t="s">
        <v>13769</v>
      </c>
      <c r="C811" s="13" t="str">
        <f>HYPERLINK("https://audio.iskcondesiretree.com/02_-_ISKCON_Swamis/ISKCON_Swamis_-_R_to_Y/His_Holiness_Radhanath_Swami/Lectures/00_-_Year_wise/Devotional_Nectar_-_1994/1994-123_Why_Does_Krsna_Appear_Lecture_Mumbai_-_Radhanath_Swami_1994-08-29_IDesireTree.mp3", "1994-123_Why_Does_Krsna_Appear_Lecture_Mumbai_-_Radhanath_Swami_1994-08-29_IDesireTree.mp3")</f>
        <v>1994-123_Why_Does_Krsna_Appear_Lecture_Mumbai_-_Radhanath_Swami_1994-08-29_IDesireTree.mp3</v>
      </c>
      <c r="D811" s="11"/>
      <c r="E811" s="11"/>
    </row>
    <row r="812" spans="1:5">
      <c r="A812" s="12" t="s">
        <v>12462</v>
      </c>
      <c r="B812" s="12" t="s">
        <v>13770</v>
      </c>
      <c r="C812" s="13" t="str">
        <f>HYPERLINK("https://audio.iskcondesiretree.com/02_-_ISKCON_Swamis/ISKCON_Swamis_-_R_to_Y/His_Holiness_Radhanath_Swami/Lectures/00_-_Year_wise/Devotional_Nectar_-_1994/1994-124_Offering_To_Srila_Prabhupada__Mumbai_-_Radhanath_Swami_1994-08-30_IDesireTree.mp3", "1994-124_Offering_To_Srila_Prabhupada__Mumbai_-_Radhanath_Swami_1994-08-30_IDesireTree.mp3")</f>
        <v>1994-124_Offering_To_Srila_Prabhupada__Mumbai_-_Radhanath_Swami_1994-08-30_IDesireTree.mp3</v>
      </c>
      <c r="D812" s="11"/>
      <c r="E812" s="11"/>
    </row>
    <row r="813" spans="1:5">
      <c r="A813" s="12" t="s">
        <v>12462</v>
      </c>
      <c r="B813" s="12" t="s">
        <v>13771</v>
      </c>
      <c r="C813" s="13" t="str">
        <f>HYPERLINK("https://audio.iskcondesiretree.com/02_-_ISKCON_Swamis/ISKCON_Swamis_-_R_to_Y/His_Holiness_Radhanath_Swami/Lectures/00_-_Year_wise/Devotional_Nectar_-_1994/1994-125_Pastimes_Of_Lord_Krishna_HT_-_Lecture_Mumbai_-_Radhanath_Swami_1994-08-31_IDesireTree.mp3", "1994-125_Pastimes_Of_Lord_Krishna_HT_-_Lecture_Mumbai_-_Radhanath_Swami_1994-08-31_IDesireTree.mp3")</f>
        <v>1994-125_Pastimes_Of_Lord_Krishna_HT_-_Lecture_Mumbai_-_Radhanath_Swami_1994-08-31_IDesireTree.mp3</v>
      </c>
      <c r="D813" s="11"/>
      <c r="E813" s="11"/>
    </row>
    <row r="814" spans="1:5">
      <c r="A814" s="12" t="s">
        <v>12462</v>
      </c>
      <c r="B814" s="12" t="s">
        <v>13772</v>
      </c>
      <c r="C814" s="13" t="str">
        <f>HYPERLINK("https://audio.iskcondesiretree.com/02_-_ISKCON_Swamis/ISKCON_Swamis_-_R_to_Y/His_Holiness_Radhanath_Swami/Lectures/00_-_Year_wise/Devotional_Nectar_-_1994/1994-126_Don%27t_Solve_Problems_-_Transcend_Them_Lecture_Mumbai_-_02-09-94_IDesireTree.mp3", "1994-126_Don%27t_Solve_Problems_-_Transcend_Them_Lecture_Mumbai_-_02-09-94_IDesireTree.mp3")</f>
        <v>1994-126_Don%27t_Solve_Problems_-_Transcend_Them_Lecture_Mumbai_-_02-09-94_IDesireTree.mp3</v>
      </c>
      <c r="D814" s="11"/>
      <c r="E814" s="11"/>
    </row>
    <row r="815" spans="1:5">
      <c r="A815" s="12" t="s">
        <v>12462</v>
      </c>
      <c r="B815" s="12" t="e">
        <v>#VALUE!</v>
      </c>
      <c r="C815" s="13" t="e">
        <f>HYPERLINK("https://audio.iskcondesiretree.com/02_-_ISKCON_Swamis/ISKCON_Swamis_-_R_to_Y/His_Holiness_Radhanath_Swami/Lectures/00_-_Year_wise/Devotional_Nectar_-_1994/1994-129_Lord_Nityananda_Prabhu%27s_Mercy_Lecture_Mumbai_-_Radhanath_Swami_1994-09-03_IDesireTree.mp"&amp;"3", "1994-129_Lord_Nityananda_Prabhu%27s_Mercy_Lecture_Mumbai_-_Radhanath_Swami_1994-09-03_IDesireTree.mp3")</f>
        <v>#VALUE!</v>
      </c>
      <c r="D815" s="11"/>
      <c r="E815" s="11"/>
    </row>
    <row r="816" spans="1:5">
      <c r="A816" s="12" t="s">
        <v>12462</v>
      </c>
      <c r="B816" s="12" t="s">
        <v>13773</v>
      </c>
      <c r="C816" s="13" t="str">
        <f>HYPERLINK("https://audio.iskcondesiretree.com/02_-_ISKCON_Swamis/ISKCON_Swamis_-_R_to_Y/His_Holiness_Radhanath_Swami/Lectures/00_-_Year_wise/Devotional_Nectar_-_1994/1994-130_Greed_For_Wealth_Ruins_Us_SB-10_10_38_Mumbai_-_Radhanath_Swami_1994-09-04_IDesireTree.mp3", "1994-130_Greed_For_Wealth_Ruins_Us_SB-10_10_38_Mumbai_-_Radhanath_Swami_1994-09-04_IDesireTree.mp3")</f>
        <v>1994-130_Greed_For_Wealth_Ruins_Us_SB-10_10_38_Mumbai_-_Radhanath_Swami_1994-09-04_IDesireTree.mp3</v>
      </c>
      <c r="D816" s="11"/>
      <c r="E816" s="11"/>
    </row>
    <row r="817" spans="1:5">
      <c r="A817" s="12" t="s">
        <v>12462</v>
      </c>
      <c r="B817" s="12" t="s">
        <v>13774</v>
      </c>
      <c r="C817" s="13" t="str">
        <f>HYPERLINK("https://audio.iskcondesiretree.com/02_-_ISKCON_Swamis/ISKCON_Swamis_-_R_to_Y/His_Holiness_Radhanath_Swami/Lectures/00_-_Year_wise/Devotional_Nectar_-_1994/1994-133_Need_Of_The_Hour_Mt_-_BG-04_03_Palghar_-_Radhanath_Swami_1994-09-04_IDesireTree.mp3", "1994-133_Need_Of_The_Hour_Mt_-_BG-04_03_Palghar_-_Radhanath_Swami_1994-09-04_IDesireTree.mp3")</f>
        <v>1994-133_Need_Of_The_Hour_Mt_-_BG-04_03_Palghar_-_Radhanath_Swami_1994-09-04_IDesireTree.mp3</v>
      </c>
      <c r="D817" s="11"/>
      <c r="E817" s="11"/>
    </row>
    <row r="818" spans="1:5">
      <c r="A818" s="12" t="s">
        <v>12462</v>
      </c>
      <c r="B818" s="12" t="s">
        <v>13775</v>
      </c>
      <c r="C818" s="13" t="str">
        <f>HYPERLINK("https://audio.iskcondesiretree.com/02_-_ISKCON_Swamis/ISKCON_Swamis_-_R_to_Y/His_Holiness_Radhanath_Swami/Lectures/00_-_Year_wise/Devotional_Nectar_-_1994/1994-135_Submitting_To_The_Parampara_SB-01_04_01_Mumbai_-_Radhanath_Swami_1994-09-07_IDesireTree.mp3", "1994-135_Submitting_To_The_Parampara_SB-01_04_01_Mumbai_-_Radhanath_Swami_1994-09-07_IDesireTree.mp3")</f>
        <v>1994-135_Submitting_To_The_Parampara_SB-01_04_01_Mumbai_-_Radhanath_Swami_1994-09-07_IDesireTree.mp3</v>
      </c>
      <c r="D818" s="11"/>
      <c r="E818" s="11"/>
    </row>
    <row r="819" spans="1:5">
      <c r="A819" s="12" t="s">
        <v>12462</v>
      </c>
      <c r="B819" s="12" t="s">
        <v>13776</v>
      </c>
      <c r="C819" s="13" t="str">
        <f>HYPERLINK("https://audio.iskcondesiretree.com/02_-_ISKCON_Swamis/ISKCON_Swamis_-_R_to_Y/His_Holiness_Radhanath_Swami/Lectures/00_-_Year_wise/Devotional_Nectar_-_1994/1994-137_Surrender_To_the_Order_SB-01_03_42_Mumbai_-_Radhanath_Swami_1994-09-04_IDesireTree.mp3", "1994-137_Surrender_To_the_Order_SB-01_03_42_Mumbai_-_Radhanath_Swami_1994-09-04_IDesireTree.mp3")</f>
        <v>1994-137_Surrender_To_the_Order_SB-01_03_42_Mumbai_-_Radhanath_Swami_1994-09-04_IDesireTree.mp3</v>
      </c>
      <c r="D819" s="11"/>
      <c r="E819" s="11"/>
    </row>
    <row r="820" spans="1:5">
      <c r="A820" s="12" t="s">
        <v>12462</v>
      </c>
      <c r="B820" s="12" t="s">
        <v>13777</v>
      </c>
      <c r="C820" s="13" t="str">
        <f>HYPERLINK("https://audio.iskcondesiretree.com/02_-_ISKCON_Swamis/ISKCON_Swamis_-_R_to_Y/His_Holiness_Radhanath_Swami/Lectures/00_-_Year_wise/Devotional_Nectar_-_1994/1994-138_How_Much_Faith_Do_We_Have_BG-04_39_Mumbai_-_Radhanath_Swami_1994-09-10_IDesireTree.mp3", "1994-138_How_Much_Faith_Do_We_Have_BG-04_39_Mumbai_-_Radhanath_Swami_1994-09-10_IDesireTree.mp3")</f>
        <v>1994-138_How_Much_Faith_Do_We_Have_BG-04_39_Mumbai_-_Radhanath_Swami_1994-09-10_IDesireTree.mp3</v>
      </c>
      <c r="D820" s="11"/>
      <c r="E820" s="11"/>
    </row>
    <row r="821" spans="1:5">
      <c r="A821" s="12" t="s">
        <v>12462</v>
      </c>
      <c r="B821" s="12" t="s">
        <v>13778</v>
      </c>
      <c r="C821" s="13" t="str">
        <f>HYPERLINK("https://audio.iskcondesiretree.com/02_-_ISKCON_Swamis/ISKCON_Swamis_-_R_to_Y/His_Holiness_Radhanath_Swami/Lectures/00_-_Year_wise/Devotional_Nectar_-_1994/1994-140_Proper_Worship_Of_Demigods_SB-08_06_09_Mumbai_-_Radhanath_Swami_1994-09-09_IDesireTree.mp3", "1994-140_Proper_Worship_Of_Demigods_SB-08_06_09_Mumbai_-_Radhanath_Swami_1994-09-09_IDesireTree.mp3")</f>
        <v>1994-140_Proper_Worship_Of_Demigods_SB-08_06_09_Mumbai_-_Radhanath_Swami_1994-09-09_IDesireTree.mp3</v>
      </c>
      <c r="D821" s="11"/>
      <c r="E821" s="11"/>
    </row>
    <row r="822" spans="1:5">
      <c r="A822" s="12" t="s">
        <v>12462</v>
      </c>
      <c r="B822" s="12" t="s">
        <v>13779</v>
      </c>
      <c r="C822" s="13" t="str">
        <f>HYPERLINK("https://audio.iskcondesiretree.com/02_-_ISKCON_Swamis/ISKCON_Swamis_-_R_to_Y/His_Holiness_Radhanath_Swami/Lectures/00_-_Year_wise/Devotional_Nectar_-_1994/1994-141_Strive_For_Service_Of_Sakhis_Lecture_Mumbai_-_Radhanath_Swami_1994-09-11_IDesireTree.mp3", "1994-141_Strive_For_Service_Of_Sakhis_Lecture_Mumbai_-_Radhanath_Swami_1994-09-11_IDesireTree.mp3")</f>
        <v>1994-141_Strive_For_Service_Of_Sakhis_Lecture_Mumbai_-_Radhanath_Swami_1994-09-11_IDesireTree.mp3</v>
      </c>
      <c r="D822" s="11"/>
      <c r="E822" s="11"/>
    </row>
    <row r="823" spans="1:5">
      <c r="A823" s="12" t="s">
        <v>12462</v>
      </c>
      <c r="B823" s="12" t="s">
        <v>13780</v>
      </c>
      <c r="C823" s="13" t="str">
        <f>HYPERLINK("https://audio.iskcondesiretree.com/02_-_ISKCON_Swamis/ISKCON_Swamis_-_R_to_Y/His_Holiness_Radhanath_Swami/Lectures/00_-_Year_wise/Devotional_Nectar_-_1994/1994-142_Eagerness_To_Hear_SB-01_04_03_Mumbai_-_Radhanath_Swami_1994-09-09_IDesireTree.mp3", "1994-142_Eagerness_To_Hear_SB-01_04_03_Mumbai_-_Radhanath_Swami_1994-09-09_IDesireTree.mp3")</f>
        <v>1994-142_Eagerness_To_Hear_SB-01_04_03_Mumbai_-_Radhanath_Swami_1994-09-09_IDesireTree.mp3</v>
      </c>
      <c r="D823" s="11"/>
      <c r="E823" s="11"/>
    </row>
    <row r="824" spans="1:5">
      <c r="A824" s="12" t="s">
        <v>12462</v>
      </c>
      <c r="B824" s="12" t="s">
        <v>13781</v>
      </c>
      <c r="C824" s="13" t="str">
        <f>HYPERLINK("https://audio.iskcondesiretree.com/02_-_ISKCON_Swamis/ISKCON_Swamis_-_R_to_Y/His_Holiness_Radhanath_Swami/Lectures/00_-_Year_wise/Devotional_Nectar_-_1994/1994-145_Renunciation_Of_Sukhdev_Goswami_SB-01_04_05_Mumbai_-_11-09-94_IDesireTree.mp3", "1994-145_Renunciation_Of_Sukhdev_Goswami_SB-01_04_05_Mumbai_-_11-09-94_IDesireTree.mp3")</f>
        <v>1994-145_Renunciation_Of_Sukhdev_Goswami_SB-01_04_05_Mumbai_-_11-09-94_IDesireTree.mp3</v>
      </c>
      <c r="D824" s="11"/>
      <c r="E824" s="11"/>
    </row>
    <row r="825" spans="1:5">
      <c r="A825" s="12" t="s">
        <v>12462</v>
      </c>
      <c r="B825" s="12" t="s">
        <v>13782</v>
      </c>
      <c r="C825" s="13" t="str">
        <f>HYPERLINK("https://audio.iskcondesiretree.com/02_-_ISKCON_Swamis/ISKCON_Swamis_-_R_to_Y/His_Holiness_Radhanath_Swami/Lectures/00_-_Year_wise/Devotional_Nectar_-_1994/1994-146_Glories_Of_Radharani_Lecture_Mumbai_-_Radhanath_Swami_1994-09-12_IDesireTree.mp3", "1994-146_Glories_Of_Radharani_Lecture_Mumbai_-_Radhanath_Swami_1994-09-12_IDesireTree.mp3")</f>
        <v>1994-146_Glories_Of_Radharani_Lecture_Mumbai_-_Radhanath_Swami_1994-09-12_IDesireTree.mp3</v>
      </c>
      <c r="D825" s="11"/>
      <c r="E825" s="11"/>
    </row>
    <row r="826" spans="1:5">
      <c r="A826" s="12" t="s">
        <v>12462</v>
      </c>
      <c r="B826" s="12" t="s">
        <v>13783</v>
      </c>
      <c r="C826" s="13" t="str">
        <f>HYPERLINK("https://audio.iskcondesiretree.com/02_-_ISKCON_Swamis/ISKCON_Swamis_-_R_to_Y/His_Holiness_Radhanath_Swami/Lectures/00_-_Year_wise/Devotional_Nectar_-_1994/1994-147_Priorities_Of_Bhakti_BG-03_08_Mumbai_-_Radhanath_Swami_1994-09-13_IDesireTree.mp3", "1994-147_Priorities_Of_Bhakti_BG-03_08_Mumbai_-_Radhanath_Swami_1994-09-13_IDesireTree.mp3")</f>
        <v>1994-147_Priorities_Of_Bhakti_BG-03_08_Mumbai_-_Radhanath_Swami_1994-09-13_IDesireTree.mp3</v>
      </c>
      <c r="D826" s="11"/>
      <c r="E826" s="11"/>
    </row>
    <row r="827" spans="1:5">
      <c r="A827" s="12" t="s">
        <v>12462</v>
      </c>
      <c r="B827" s="12" t="s">
        <v>13784</v>
      </c>
      <c r="C827" s="13" t="str">
        <f>HYPERLINK("https://audio.iskcondesiretree.com/02_-_ISKCON_Swamis/ISKCON_Swamis_-_R_to_Y/His_Holiness_Radhanath_Swami/Lectures/00_-_Year_wise/Devotional_Nectar_-_1994/1994-148_Srila_Bhaktivinod_Thakur_SB_Mumbai_-_Radhanath_Swami_1994-09-17_IDesireTree.mp3", "1994-148_Srila_Bhaktivinod_Thakur_SB_Mumbai_-_Radhanath_Swami_1994-09-17_IDesireTree.mp3")</f>
        <v>1994-148_Srila_Bhaktivinod_Thakur_SB_Mumbai_-_Radhanath_Swami_1994-09-17_IDesireTree.mp3</v>
      </c>
      <c r="D827" s="11"/>
      <c r="E827" s="11"/>
    </row>
    <row r="828" spans="1:5">
      <c r="A828" s="12" t="s">
        <v>12462</v>
      </c>
      <c r="B828" s="12" t="s">
        <v>13785</v>
      </c>
      <c r="C828" s="13" t="str">
        <f>HYPERLINK("https://audio.iskcondesiretree.com/02_-_ISKCON_Swamis/ISKCON_Swamis_-_R_to_Y/His_Holiness_Radhanath_Swami/Lectures/00_-_Year_wise/Devotional_Nectar_-_1994/1994-149_Vamandev_%26_Jiva_Goswami_App_-_Radhanath_Swami_IDesireTree.mp3", "1994-149_Vamandev_%26_Jiva_Goswami_App_-_Radhanath_Swami_IDesireTree.mp3")</f>
        <v>1994-149_Vamandev_%26_Jiva_Goswami_App_-_Radhanath_Swami_IDesireTree.mp3</v>
      </c>
      <c r="D828" s="11"/>
      <c r="E828" s="11"/>
    </row>
    <row r="829" spans="1:5">
      <c r="A829" s="12" t="s">
        <v>12462</v>
      </c>
      <c r="B829" s="12" t="s">
        <v>13786</v>
      </c>
      <c r="C829" s="13" t="str">
        <f>HYPERLINK("https://audio.iskcondesiretree.com/02_-_ISKCON_Swamis/ISKCON_Swamis_-_R_to_Y/His_Holiness_Radhanath_Swami/Lectures/00_-_Year_wise/Devotional_Nectar_-_1994/1994-150_Detachment_In_Family_Life_Uncomplete_Ending_-_SB-01_04_10_Mumbai_-_18-09-94_IDesireTree.mp3", "1994-150_Detachment_In_Family_Life_Uncomplete_Ending_-_SB-01_04_10_Mumbai_-_18-09-94_IDesireTree.mp3")</f>
        <v>1994-150_Detachment_In_Family_Life_Uncomplete_Ending_-_SB-01_04_10_Mumbai_-_18-09-94_IDesireTree.mp3</v>
      </c>
      <c r="D829" s="11"/>
      <c r="E829" s="11"/>
    </row>
    <row r="830" spans="1:5">
      <c r="A830" s="12" t="s">
        <v>12462</v>
      </c>
      <c r="B830" s="12" t="s">
        <v>13787</v>
      </c>
      <c r="C830" s="13" t="str">
        <f>HYPERLINK("https://audio.iskcondesiretree.com/02_-_ISKCON_Swamis/ISKCON_Swamis_-_R_to_Y/His_Holiness_Radhanath_Swami/Lectures/00_-_Year_wise/Devotional_Nectar_-_1994/1994-151_Life_Of_Bhaktivinoda_Thakur_SB-01_01_08_Mumbai_-_Radhanath_Swami_1994-09-17_IDesireTree.mp3", "1994-151_Life_Of_Bhaktivinoda_Thakur_SB-01_01_08_Mumbai_-_Radhanath_Swami_1994-09-17_IDesireTree.mp3")</f>
        <v>1994-151_Life_Of_Bhaktivinoda_Thakur_SB-01_01_08_Mumbai_-_Radhanath_Swami_1994-09-17_IDesireTree.mp3</v>
      </c>
      <c r="D830" s="11"/>
      <c r="E830" s="11"/>
    </row>
    <row r="831" spans="1:5">
      <c r="A831" s="12" t="s">
        <v>12462</v>
      </c>
      <c r="B831" s="12" t="s">
        <v>13788</v>
      </c>
      <c r="C831" s="13" t="str">
        <f>HYPERLINK("https://audio.iskcondesiretree.com/02_-_ISKCON_Swamis/ISKCON_Swamis_-_R_to_Y/His_Holiness_Radhanath_Swami/Lectures/00_-_Year_wise/Devotional_Nectar_-_1994/1994-152_glories_Of_Haridas_Thakur_Lecture_Mumbai_-_Radhanath_Swami_1994-09-18_IDesireTree.mp3", "1994-152_glories_Of_Haridas_Thakur_Lecture_Mumbai_-_Radhanath_Swami_1994-09-18_IDesireTree.mp3")</f>
        <v>1994-152_glories_Of_Haridas_Thakur_Lecture_Mumbai_-_Radhanath_Swami_1994-09-18_IDesireTree.mp3</v>
      </c>
      <c r="D831" s="11"/>
      <c r="E831" s="11"/>
    </row>
    <row r="832" spans="1:5">
      <c r="A832" s="12" t="s">
        <v>12462</v>
      </c>
      <c r="B832" s="12" t="s">
        <v>13789</v>
      </c>
      <c r="C832" s="13" t="str">
        <f>HYPERLINK("https://audio.iskcondesiretree.com/02_-_ISKCON_Swamis/ISKCON_Swamis_-_R_to_Y/His_Holiness_Radhanath_Swami/Lectures/00_-_Year_wise/Devotional_Nectar_-_1994/1994-155_Think_Of_Krishna_BG-07_01_Mumbai_-_Radhanath_Swami_1994-09-20_IDesireTree.mp3", "1994-155_Think_Of_Krishna_BG-07_01_Mumbai_-_Radhanath_Swami_1994-09-20_IDesireTree.mp3")</f>
        <v>1994-155_Think_Of_Krishna_BG-07_01_Mumbai_-_Radhanath_Swami_1994-09-20_IDesireTree.mp3</v>
      </c>
      <c r="D832" s="11"/>
      <c r="E832" s="11"/>
    </row>
    <row r="833" spans="1:5">
      <c r="A833" s="12" t="s">
        <v>12462</v>
      </c>
      <c r="B833" s="12" t="s">
        <v>13790</v>
      </c>
      <c r="C833" s="13" t="str">
        <f>HYPERLINK("https://audio.iskcondesiretree.com/02_-_ISKCON_Swamis/ISKCON_Swamis_-_R_to_Y/His_Holiness_Radhanath_Swami/Lectures/00_-_Year_wise/Devotional_Nectar_-_1994/1994-157_Real_Morality_And_Immorality_SB-01_04_14_Mumbai_-_22-09-94_IDesireTree.mp3", "1994-157_Real_Morality_And_Immorality_SB-01_04_14_Mumbai_-_22-09-94_IDesireTree.mp3")</f>
        <v>1994-157_Real_Morality_And_Immorality_SB-01_04_14_Mumbai_-_22-09-94_IDesireTree.mp3</v>
      </c>
      <c r="D833" s="11"/>
      <c r="E833" s="11"/>
    </row>
    <row r="834" spans="1:5">
      <c r="A834" s="12" t="s">
        <v>12462</v>
      </c>
      <c r="B834" s="12" t="s">
        <v>13791</v>
      </c>
      <c r="C834" s="13" t="str">
        <f>HYPERLINK("https://audio.iskcondesiretree.com/02_-_ISKCON_Swamis/ISKCON_Swamis_-_R_to_Y/His_Holiness_Radhanath_Swami/Lectures/00_-_Year_wise/Devotional_Nectar_-_1994/1994-158_Ishtagoshti_With_Brahmacharis_Q%26A_Mumbai_-_Radhanath_Swami_1994-09-22_IDesireTree.mp3", "1994-158_Ishtagoshti_With_Brahmacharis_Q%26A_Mumbai_-_Radhanath_Swami_1994-09-22_IDesireTree.mp3")</f>
        <v>1994-158_Ishtagoshti_With_Brahmacharis_Q%26A_Mumbai_-_Radhanath_Swami_1994-09-22_IDesireTree.mp3</v>
      </c>
      <c r="D834" s="11"/>
      <c r="E834" s="11"/>
    </row>
    <row r="835" spans="1:5">
      <c r="A835" s="12" t="s">
        <v>12462</v>
      </c>
      <c r="B835" s="12" t="s">
        <v>13792</v>
      </c>
      <c r="C835" s="13" t="str">
        <f>HYPERLINK("https://audio.iskcondesiretree.com/02_-_ISKCON_Swamis/ISKCON_Swamis_-_R_to_Y/His_Holiness_Radhanath_Swami/Lectures/00_-_Year_wise/Devotional_Nectar_-_1994/1994-160_Krishna_Is_Centre_Of_Everything_HT_-_Lecture_Mumbai_-_23-09-94_IDesireTree.mp3", "1994-160_Krishna_Is_Centre_Of_Everything_HT_-_Lecture_Mumbai_-_23-09-94_IDesireTree.mp3")</f>
        <v>1994-160_Krishna_Is_Centre_Of_Everything_HT_-_Lecture_Mumbai_-_23-09-94_IDesireTree.mp3</v>
      </c>
      <c r="D835" s="11"/>
      <c r="E835" s="11"/>
    </row>
    <row r="836" spans="1:5">
      <c r="A836" s="12" t="s">
        <v>12462</v>
      </c>
      <c r="B836" s="12" t="s">
        <v>13793</v>
      </c>
      <c r="C836" s="13" t="str">
        <f>HYPERLINK("https://audio.iskcondesiretree.com/02_-_ISKCON_Swamis/ISKCON_Swamis_-_R_to_Y/His_Holiness_Radhanath_Swami/Lectures/00_-_Year_wise/Devotional_Nectar_-_1994/1994-162_Don%27t_Be_Arrogant_Ht_-_BG-03_11_Mumbai_-_Radhanath_Swami_1994-09-24_IDesireTree.mp3", "1994-162_Don%27t_Be_Arrogant_Ht_-_BG-03_11_Mumbai_-_Radhanath_Swami_1994-09-24_IDesireTree.mp3")</f>
        <v>1994-162_Don%27t_Be_Arrogant_Ht_-_BG-03_11_Mumbai_-_Radhanath_Swami_1994-09-24_IDesireTree.mp3</v>
      </c>
      <c r="D836" s="11"/>
      <c r="E836" s="11"/>
    </row>
    <row r="837" spans="1:5">
      <c r="A837" s="12" t="s">
        <v>12462</v>
      </c>
      <c r="B837" s="12" t="s">
        <v>13794</v>
      </c>
      <c r="C837" s="13" t="str">
        <f>HYPERLINK("https://audio.iskcondesiretree.com/02_-_ISKCON_Swamis/ISKCON_Swamis_-_R_to_Y/His_Holiness_Radhanath_Swami/Lectures/00_-_Year_wise/Devotional_Nectar_-_1994/1994-165_Material_Gains_Can_Be_Troublesome_SB-01_02_23_Mumbai_-_25-09-94_IDesireTree.mp3", "1994-165_Material_Gains_Can_Be_Troublesome_SB-01_02_23_Mumbai_-_25-09-94_IDesireTree.mp3")</f>
        <v>1994-165_Material_Gains_Can_Be_Troublesome_SB-01_02_23_Mumbai_-_25-09-94_IDesireTree.mp3</v>
      </c>
      <c r="D837" s="11"/>
      <c r="E837" s="11"/>
    </row>
    <row r="838" spans="1:5">
      <c r="A838" s="12" t="s">
        <v>12462</v>
      </c>
      <c r="B838" s="12" t="s">
        <v>13795</v>
      </c>
      <c r="C838" s="13" t="str">
        <f>HYPERLINK("https://audio.iskcondesiretree.com/02_-_ISKCON_Swamis/ISKCON_Swamis_-_R_to_Y/His_Holiness_Radhanath_Swami/Lectures/00_-_Year_wise/Devotional_Nectar_-_1994/1994-167_Without_Determination_We_Are_Animals_SB-04_24_44_Mumbai_-_25-09-94_IDesireTree.mp3", "1994-167_Without_Determination_We_Are_Animals_SB-04_24_44_Mumbai_-_25-09-94_IDesireTree.mp3")</f>
        <v>1994-167_Without_Determination_We_Are_Animals_SB-04_24_44_Mumbai_-_25-09-94_IDesireTree.mp3</v>
      </c>
      <c r="D838" s="11"/>
      <c r="E838" s="11"/>
    </row>
    <row r="839" spans="1:5">
      <c r="A839" s="12" t="s">
        <v>12462</v>
      </c>
      <c r="B839" s="12" t="s">
        <v>13796</v>
      </c>
      <c r="C839" s="13" t="str">
        <f>HYPERLINK("https://audio.iskcondesiretree.com/02_-_ISKCON_Swamis/ISKCON_Swamis_-_R_to_Y/His_Holiness_Radhanath_Swami/Lectures/00_-_Year_wise/Devotional_Nectar_-_1994/1994-169_Story_Of_Lord_Varahadev_SB-03_13_14-17_Varahavan_-_27-09-94_IDesireTree.mp3", "1994-169_Story_Of_Lord_Varahadev_SB-03_13_14-17_Varahavan_-_27-09-94_IDesireTree.mp3")</f>
        <v>1994-169_Story_Of_Lord_Varahadev_SB-03_13_14-17_Varahavan_-_27-09-94_IDesireTree.mp3</v>
      </c>
      <c r="D839" s="11"/>
      <c r="E839" s="11"/>
    </row>
    <row r="840" spans="1:5">
      <c r="A840" s="12" t="s">
        <v>12462</v>
      </c>
      <c r="B840" s="12" t="s">
        <v>13797</v>
      </c>
      <c r="C840" s="13" t="str">
        <f>HYPERLINK("https://audio.iskcondesiretree.com/02_-_ISKCON_Swamis/ISKCON_Swamis_-_R_to_Y/His_Holiness_Radhanath_Swami/Lectures/00_-_Year_wise/Devotional_Nectar_-_1994/1994-173_About_Varahavan_KT_-_BG-06_31-32_Varahavan_-_Radhanath_Swami_1994-09-30_IDesireTree.mp3", "1994-173_About_Varahavan_KT_-_BG-06_31-32_Varahavan_-_Radhanath_Swami_1994-09-30_IDesireTree.mp3")</f>
        <v>1994-173_About_Varahavan_KT_-_BG-06_31-32_Varahavan_-_Radhanath_Swami_1994-09-30_IDesireTree.mp3</v>
      </c>
      <c r="D840" s="11"/>
      <c r="E840" s="11"/>
    </row>
    <row r="841" spans="1:5">
      <c r="A841" s="12" t="s">
        <v>12462</v>
      </c>
      <c r="B841" s="12" t="s">
        <v>13798</v>
      </c>
      <c r="C841" s="13" t="str">
        <f>HYPERLINK("https://audio.iskcondesiretree.com/02_-_ISKCON_Swamis/ISKCON_Swamis_-_R_to_Y/His_Holiness_Radhanath_Swami/Lectures/00_-_Year_wise/Devotional_Nectar_-_1994/1994-174_Essence_Of_The_Vedas_SB-01_04_13_Mumbai_-_Radhanath_Swami_1994-10-02_IDesireTree.mp3", "1994-174_Essence_Of_The_Vedas_SB-01_04_13_Mumbai_-_Radhanath_Swami_1994-10-02_IDesireTree.mp3")</f>
        <v>1994-174_Essence_Of_The_Vedas_SB-01_04_13_Mumbai_-_Radhanath_Swami_1994-10-02_IDesireTree.mp3</v>
      </c>
      <c r="D841" s="11"/>
      <c r="E841" s="11"/>
    </row>
    <row r="842" spans="1:5">
      <c r="A842" s="12" t="s">
        <v>12462</v>
      </c>
      <c r="B842" s="12" t="s">
        <v>13799</v>
      </c>
      <c r="C842" s="13" t="str">
        <f>HYPERLINK("https://audio.iskcondesiretree.com/02_-_ISKCON_Swamis/ISKCON_Swamis_-_R_to_Y/His_Holiness_Radhanath_Swami/Lectures/00_-_Year_wise/Devotional_Nectar_-_1994/1994-176_Time_Devours_Everything_BG-11_32_33_Mumbai_-_Radhanath_Swami_1994-10-04_IDesireTree.mp3", "1994-176_Time_Devours_Everything_BG-11_32_33_Mumbai_-_Radhanath_Swami_1994-10-04_IDesireTree.mp3")</f>
        <v>1994-176_Time_Devours_Everything_BG-11_32_33_Mumbai_-_Radhanath_Swami_1994-10-04_IDesireTree.mp3</v>
      </c>
      <c r="D842" s="11"/>
      <c r="E842" s="11"/>
    </row>
    <row r="843" spans="1:5">
      <c r="A843" s="12" t="s">
        <v>12462</v>
      </c>
      <c r="B843" s="12" t="s">
        <v>13800</v>
      </c>
      <c r="C843" s="13" t="str">
        <f>HYPERLINK("https://audio.iskcondesiretree.com/02_-_ISKCON_Swamis/ISKCON_Swamis_-_R_to_Y/His_Holiness_Radhanath_Swami/Lectures/00_-_Year_wise/Devotional_Nectar_-_1994/1994-177_Accept_Knowledge_Humbly_SB-01_04_33_Mumbai_-_Radhanath_Swami_1994-10-06_IDesireTree.mp3", "1994-177_Accept_Knowledge_Humbly_SB-01_04_33_Mumbai_-_Radhanath_Swami_1994-10-06_IDesireTree.mp3")</f>
        <v>1994-177_Accept_Knowledge_Humbly_SB-01_04_33_Mumbai_-_Radhanath_Swami_1994-10-06_IDesireTree.mp3</v>
      </c>
      <c r="D843" s="11"/>
      <c r="E843" s="11"/>
    </row>
    <row r="844" spans="1:5">
      <c r="A844" s="12" t="s">
        <v>12462</v>
      </c>
      <c r="B844" s="12" t="s">
        <v>13801</v>
      </c>
      <c r="C844" s="13" t="str">
        <f>HYPERLINK("https://audio.iskcondesiretree.com/02_-_ISKCON_Swamis/ISKCON_Swamis_-_R_to_Y/His_Holiness_Radhanath_Swami/Lectures/00_-_Year_wise/Devotional_Nectar_-_1994/1994-180_Criticism_Ruins_Spiritual_Life_Lecture_Mumbai_-_Radhanath_Swami_1994-10-07_IDesireTree.mp3", "1994-180_Criticism_Ruins_Spiritual_Life_Lecture_Mumbai_-_Radhanath_Swami_1994-10-07_IDesireTree.mp3")</f>
        <v>1994-180_Criticism_Ruins_Spiritual_Life_Lecture_Mumbai_-_Radhanath_Swami_1994-10-07_IDesireTree.mp3</v>
      </c>
      <c r="D844" s="11"/>
      <c r="E844" s="11"/>
    </row>
    <row r="845" spans="1:5">
      <c r="A845" s="12" t="s">
        <v>12462</v>
      </c>
      <c r="B845" s="12" t="s">
        <v>13802</v>
      </c>
      <c r="C845" s="13" t="str">
        <f>HYPERLINK("https://audio.iskcondesiretree.com/02_-_ISKCON_Swamis/ISKCON_Swamis_-_R_to_Y/His_Holiness_Radhanath_Swami/Lectures/00_-_Year_wise/Devotional_Nectar_-_1994/1994-181_Cause_Of_Despondency_SB-01_05_02_Mumbai_-_Radhanath_Swami_1994-10-08_IDesireTree.mp3", "1994-181_Cause_Of_Despondency_SB-01_05_02_Mumbai_-_Radhanath_Swami_1994-10-08_IDesireTree.mp3")</f>
        <v>1994-181_Cause_Of_Despondency_SB-01_05_02_Mumbai_-_Radhanath_Swami_1994-10-08_IDesireTree.mp3</v>
      </c>
      <c r="D845" s="11"/>
      <c r="E845" s="11"/>
    </row>
    <row r="846" spans="1:5">
      <c r="A846" s="12" t="s">
        <v>12462</v>
      </c>
      <c r="B846" s="12" t="s">
        <v>13803</v>
      </c>
      <c r="C846" s="13" t="str">
        <f>HYPERLINK("https://audio.iskcondesiretree.com/02_-_ISKCON_Swamis/ISKCON_Swamis_-_R_to_Y/His_Holiness_Radhanath_Swami/Lectures/00_-_Year_wise/Devotional_Nectar_-_1994/1994-183_Pride_And_Criticism_SB-04_20_26_Mumbai_-_Radhanath_Swami_1994-10-08_IDesireTree.mp3", "1994-183_Pride_And_Criticism_SB-04_20_26_Mumbai_-_Radhanath_Swami_1994-10-08_IDesireTree.mp3")</f>
        <v>1994-183_Pride_And_Criticism_SB-04_20_26_Mumbai_-_Radhanath_Swami_1994-10-08_IDesireTree.mp3</v>
      </c>
      <c r="D846" s="11"/>
      <c r="E846" s="11"/>
    </row>
    <row r="847" spans="1:5">
      <c r="A847" s="12" t="s">
        <v>12462</v>
      </c>
      <c r="B847" s="12" t="s">
        <v>13804</v>
      </c>
      <c r="C847" s="13" t="str">
        <f>HYPERLINK("https://audio.iskcondesiretree.com/02_-_ISKCON_Swamis/ISKCON_Swamis_-_R_to_Y/His_Holiness_Radhanath_Swami/Lectures/00_-_Year_wise/Devotional_Nectar_-_1994/1994-184_Go_Beyond_The_Three_Modes_BG-14_05_Mumbai_-_Radhanath_Swami_1994-10-09_IDesireTree.mp3", "1994-184_Go_Beyond_The_Three_Modes_BG-14_05_Mumbai_-_Radhanath_Swami_1994-10-09_IDesireTree.mp3")</f>
        <v>1994-184_Go_Beyond_The_Three_Modes_BG-14_05_Mumbai_-_Radhanath_Swami_1994-10-09_IDesireTree.mp3</v>
      </c>
      <c r="D847" s="11"/>
      <c r="E847" s="11"/>
    </row>
    <row r="848" spans="1:5">
      <c r="A848" s="12" t="s">
        <v>12462</v>
      </c>
      <c r="B848" s="12" t="s">
        <v>13805</v>
      </c>
      <c r="C848" s="13" t="str">
        <f>HYPERLINK("https://audio.iskcondesiretree.com/02_-_ISKCON_Swamis/ISKCON_Swamis_-_R_to_Y/His_Holiness_Radhanath_Swami/Lectures/00_-_Year_wise/Devotional_Nectar_-_1994/1994-186_Real_Accomplishment_SB-01_05_02_Mumbai_-_09-10-94_IDesireTree.mp3", "1994-186_Real_Accomplishment_SB-01_05_02_Mumbai_-_09-10-94_IDesireTree.mp3")</f>
        <v>1994-186_Real_Accomplishment_SB-01_05_02_Mumbai_-_09-10-94_IDesireTree.mp3</v>
      </c>
      <c r="D848" s="11"/>
      <c r="E848" s="11"/>
    </row>
    <row r="849" spans="1:5">
      <c r="A849" s="12" t="s">
        <v>12462</v>
      </c>
      <c r="B849" s="12" t="s">
        <v>13806</v>
      </c>
      <c r="C849" s="13" t="str">
        <f>HYPERLINK("https://audio.iskcondesiretree.com/02_-_ISKCON_Swamis/ISKCON_Swamis_-_R_to_Y/His_Holiness_Radhanath_Swami/Lectures/00_-_Year_wise/Devotional_Nectar_-_1994/1994-188_Mercy_In_Form_Of_Holy_Name_HT_-_BG-09_20_Pune_-_Radhanath_Swami_1994-10-12_IDesireTree.mp3", "1994-188_Mercy_In_Form_Of_Holy_Name_HT_-_BG-09_20_Pune_-_Radhanath_Swami_1994-10-12_IDesireTree.mp3")</f>
        <v>1994-188_Mercy_In_Form_Of_Holy_Name_HT_-_BG-09_20_Pune_-_Radhanath_Swami_1994-10-12_IDesireTree.mp3</v>
      </c>
      <c r="D849" s="11"/>
      <c r="E849" s="11"/>
    </row>
    <row r="850" spans="1:5">
      <c r="A850" s="12" t="s">
        <v>12462</v>
      </c>
      <c r="B850" s="12" t="s">
        <v>13807</v>
      </c>
      <c r="C850" s="13" t="str">
        <f>HYPERLINK("https://audio.iskcondesiretree.com/02_-_ISKCON_Swamis/ISKCON_Swamis_-_R_to_Y/His_Holiness_Radhanath_Swami/Lectures/00_-_Year_wise/Devotional_Nectar_-_1994/1994-190_Give_Best_For_Krishna_SB-03_33_17_Pune_-_Radhanath_Swami_1994-10-13_IDesireTree.mp3", "1994-190_Give_Best_For_Krishna_SB-03_33_17_Pune_-_Radhanath_Swami_1994-10-13_IDesireTree.mp3")</f>
        <v>1994-190_Give_Best_For_Krishna_SB-03_33_17_Pune_-_Radhanath_Swami_1994-10-13_IDesireTree.mp3</v>
      </c>
      <c r="D850" s="11"/>
      <c r="E850" s="11"/>
    </row>
    <row r="851" spans="1:5">
      <c r="A851" s="12" t="s">
        <v>12462</v>
      </c>
      <c r="B851" s="12" t="s">
        <v>13808</v>
      </c>
      <c r="C851" s="13" t="str">
        <f>HYPERLINK("https://audio.iskcondesiretree.com/02_-_ISKCON_Swamis/ISKCON_Swamis_-_R_to_Y/His_Holiness_Radhanath_Swami/Lectures/00_-_Year_wise/Devotional_Nectar_-_1994/1994-192_Six_Demons_In_Our_Heart_BG-04_08_Mumbai_-_Radhanath_Swami_1994-10-15_IDesireTree.mp3", "1994-192_Six_Demons_In_Our_Heart_BG-04_08_Mumbai_-_Radhanath_Swami_1994-10-15_IDesireTree.mp3")</f>
        <v>1994-192_Six_Demons_In_Our_Heart_BG-04_08_Mumbai_-_Radhanath_Swami_1994-10-15_IDesireTree.mp3</v>
      </c>
      <c r="D851" s="11"/>
      <c r="E851" s="11"/>
    </row>
    <row r="852" spans="1:5">
      <c r="A852" s="12" t="s">
        <v>12462</v>
      </c>
      <c r="B852" s="12" t="s">
        <v>13809</v>
      </c>
      <c r="C852" s="13" t="str">
        <f>HYPERLINK("https://audio.iskcondesiretree.com/02_-_ISKCON_Swamis/ISKCON_Swamis_-_R_to_Y/His_Holiness_Radhanath_Swami/Lectures/00_-_Year_wise/Devotional_Nectar_-_1994/1994-194_Raghunatha_Das_Goswami_Lecture_Mumbai_-_Radhanath_Swami_1994-10-16_IDesireTree.mp3", "1994-194_Raghunatha_Das_Goswami_Lecture_Mumbai_-_Radhanath_Swami_1994-10-16_IDesireTree.mp3")</f>
        <v>1994-194_Raghunatha_Das_Goswami_Lecture_Mumbai_-_Radhanath_Swami_1994-10-16_IDesireTree.mp3</v>
      </c>
      <c r="D852" s="11"/>
      <c r="E852" s="11"/>
    </row>
    <row r="853" spans="1:5">
      <c r="A853" s="12" t="s">
        <v>12462</v>
      </c>
      <c r="B853" s="12" t="s">
        <v>13810</v>
      </c>
      <c r="C853" s="13" t="str">
        <f>HYPERLINK("https://audio.iskcondesiretree.com/02_-_ISKCON_Swamis/ISKCON_Swamis_-_R_to_Y/His_Holiness_Radhanath_Swami/Lectures/00_-_Year_wise/Devotional_Nectar_-_1994/1994-196_What_Are_Samskaras_Ht_-_Lecture_Mumbai_-_Radhanath_Swami_1994-10-16_IDesireTree.mp3", "1994-196_What_Are_Samskaras_Ht_-_Lecture_Mumbai_-_Radhanath_Swami_1994-10-16_IDesireTree.mp3")</f>
        <v>1994-196_What_Are_Samskaras_Ht_-_Lecture_Mumbai_-_Radhanath_Swami_1994-10-16_IDesireTree.mp3</v>
      </c>
      <c r="D853" s="11"/>
      <c r="E853" s="11"/>
    </row>
    <row r="854" spans="1:5">
      <c r="A854" s="12" t="s">
        <v>12462</v>
      </c>
      <c r="B854" s="12" t="s">
        <v>13811</v>
      </c>
      <c r="C854" s="13" t="str">
        <f>HYPERLINK("https://audio.iskcondesiretree.com/02_-_ISKCON_Swamis/ISKCON_Swamis_-_R_to_Y/His_Holiness_Radhanath_Swami/Lectures/00_-_Year_wise/Devotional_Nectar_-_1994/1994-199_Story_Of_Chand_Kazi_%26_Sridhar_Kolavecha_BG-04_39_Mumbai_-_18-10-94_IDesireTree.mp3", "1994-199_Story_Of_Chand_Kazi_%26_Sridhar_Kolavecha_BG-04_39_Mumbai_-_18-10-94_IDesireTree.mp3")</f>
        <v>1994-199_Story_Of_Chand_Kazi_%26_Sridhar_Kolavecha_BG-04_39_Mumbai_-_18-10-94_IDesireTree.mp3</v>
      </c>
      <c r="D854" s="11"/>
      <c r="E854" s="11"/>
    </row>
    <row r="855" spans="1:5">
      <c r="A855" s="12" t="s">
        <v>12462</v>
      </c>
      <c r="B855" s="12" t="s">
        <v>13812</v>
      </c>
      <c r="C855" s="13" t="str">
        <f>HYPERLINK("https://audio.iskcondesiretree.com/02_-_ISKCON_Swamis/ISKCON_Swamis_-_R_to_Y/His_Holiness_Radhanath_Swami/Lectures/00_-_Year_wise/Devotional_Nectar_-_1994/1994-200_Glories_Of_Sridhar_Kalavecha_BG-04_89_Mumbai_-_Radhanath_Swami_1994-10-18_IDesireTree.mp3", "1994-200_Glories_Of_Sridhar_Kalavecha_BG-04_89_Mumbai_-_Radhanath_Swami_1994-10-18_IDesireTree.mp3")</f>
        <v>1994-200_Glories_Of_Sridhar_Kalavecha_BG-04_89_Mumbai_-_Radhanath_Swami_1994-10-18_IDesireTree.mp3</v>
      </c>
      <c r="D855" s="11"/>
      <c r="E855" s="11"/>
    </row>
    <row r="856" spans="1:5">
      <c r="A856" s="12" t="s">
        <v>12462</v>
      </c>
      <c r="B856" s="12" t="s">
        <v>13813</v>
      </c>
      <c r="C856" s="13" t="str">
        <f>HYPERLINK("https://audio.iskcondesiretree.com/02_-_ISKCON_Swamis/ISKCON_Swamis_-_R_to_Y/His_Holiness_Radhanath_Swami/Lectures/00_-_Year_wise/Devotional_Nectar_-_1994/1994-202_Meditation_On_Sharad_Purnima_SB-10_29_01-02_Mumbai_-_19-10-94_IDesireTree.mp3", "1994-202_Meditation_On_Sharad_Purnima_SB-10_29_01-02_Mumbai_-_19-10-94_IDesireTree.mp3")</f>
        <v>1994-202_Meditation_On_Sharad_Purnima_SB-10_29_01-02_Mumbai_-_19-10-94_IDesireTree.mp3</v>
      </c>
      <c r="D856" s="11"/>
      <c r="E856" s="11"/>
    </row>
    <row r="857" spans="1:5">
      <c r="A857" s="12" t="s">
        <v>12462</v>
      </c>
      <c r="B857" s="12" t="s">
        <v>13814</v>
      </c>
      <c r="C857" s="13" t="str">
        <f>HYPERLINK("https://audio.iskcondesiretree.com/02_-_ISKCON_Swamis/ISKCON_Swamis_-_R_to_Y/His_Holiness_Radhanath_Swami/Lectures/00_-_Year_wise/Devotional_Nectar_-_1994/1994-204_Question_And_Answer_Q%26A_Mumbai_-_Radhanath_Swami_1994-10-21_IDesireTree.mp3", "1994-204_Question_And_Answer_Q%26A_Mumbai_-_Radhanath_Swami_1994-10-21_IDesireTree.mp3")</f>
        <v>1994-204_Question_And_Answer_Q%26A_Mumbai_-_Radhanath_Swami_1994-10-21_IDesireTree.mp3</v>
      </c>
      <c r="D857" s="11"/>
      <c r="E857" s="11"/>
    </row>
    <row r="858" spans="1:5">
      <c r="A858" s="12" t="s">
        <v>12462</v>
      </c>
      <c r="B858" s="12" t="s">
        <v>13815</v>
      </c>
      <c r="C858" s="13" t="str">
        <f>HYPERLINK("https://audio.iskcondesiretree.com/02_-_ISKCON_Swamis/ISKCON_Swamis_-_R_to_Y/His_Holiness_Radhanath_Swami/Lectures/00_-_Year_wise/Devotional_Nectar_-_1994/1994-205_What_Is_Civilization_SB-01_05_16_Mumbai_-_Radhanath_Swami_1994-10-22_IDesireTree.mp3", "1994-205_What_Is_Civilization_SB-01_05_16_Mumbai_-_Radhanath_Swami_1994-10-22_IDesireTree.mp3")</f>
        <v>1994-205_What_Is_Civilization_SB-01_05_16_Mumbai_-_Radhanath_Swami_1994-10-22_IDesireTree.mp3</v>
      </c>
      <c r="D858" s="11"/>
      <c r="E858" s="11"/>
    </row>
    <row r="859" spans="1:5">
      <c r="A859" s="12" t="s">
        <v>12462</v>
      </c>
      <c r="B859" s="12" t="s">
        <v>13816</v>
      </c>
      <c r="C859" s="13" t="str">
        <f>HYPERLINK("https://audio.iskcondesiretree.com/02_-_ISKCON_Swamis/ISKCON_Swamis_-_R_to_Y/His_Holiness_Radhanath_Swami/Lectures/00_-_Year_wise/Devotional_Nectar_-_1994/1994-206_Childhood_Pastimes_Of_Krishna_Lecture_Mumbai_-_Radhanath_Swami_1994-10-22_IDesireTree.mp3", "1994-206_Childhood_Pastimes_Of_Krishna_Lecture_Mumbai_-_Radhanath_Swami_1994-10-22_IDesireTree.mp3")</f>
        <v>1994-206_Childhood_Pastimes_Of_Krishna_Lecture_Mumbai_-_Radhanath_Swami_1994-10-22_IDesireTree.mp3</v>
      </c>
      <c r="D859" s="11"/>
      <c r="E859" s="11"/>
    </row>
    <row r="860" spans="1:5">
      <c r="A860" s="12" t="s">
        <v>12462</v>
      </c>
      <c r="B860" s="12" t="s">
        <v>13817</v>
      </c>
      <c r="C860" s="13" t="str">
        <f>HYPERLINK("https://audio.iskcondesiretree.com/02_-_ISKCON_Swamis/ISKCON_Swamis_-_R_to_Y/His_Holiness_Radhanath_Swami/Lectures/00_-_Year_wise/Devotional_Nectar_-_1994/1994-207_Fallen_Devotee_Is_Most_Miserable_SB-01_05_17_Mumbai_-_23-10-94_IDesireTree.mp3", "1994-207_Fallen_Devotee_Is_Most_Miserable_SB-01_05_17_Mumbai_-_23-10-94_IDesireTree.mp3")</f>
        <v>1994-207_Fallen_Devotee_Is_Most_Miserable_SB-01_05_17_Mumbai_-_23-10-94_IDesireTree.mp3</v>
      </c>
      <c r="D860" s="11"/>
      <c r="E860" s="11"/>
    </row>
    <row r="861" spans="1:5">
      <c r="A861" s="12" t="s">
        <v>12462</v>
      </c>
      <c r="B861" s="12" t="s">
        <v>13818</v>
      </c>
      <c r="C861" s="13" t="str">
        <f>HYPERLINK("https://audio.iskcondesiretree.com/02_-_ISKCON_Swamis/ISKCON_Swamis_-_R_to_Y/His_Holiness_Radhanath_Swami/Lectures/00_-_Year_wise/Devotional_Nectar_-_1994/1994-208_Govardhan_Lilla_Lecture_Mumbai_-_Radhanath_Swami_1994-10-23_IDesireTree.mp3", "1994-208_Govardhan_Lilla_Lecture_Mumbai_-_Radhanath_Swami_1994-10-23_IDesireTree.mp3")</f>
        <v>1994-208_Govardhan_Lilla_Lecture_Mumbai_-_Radhanath_Swami_1994-10-23_IDesireTree.mp3</v>
      </c>
      <c r="D861" s="11"/>
      <c r="E861" s="11"/>
    </row>
    <row r="862" spans="1:5">
      <c r="A862" s="12" t="s">
        <v>12462</v>
      </c>
      <c r="B862" s="12" t="s">
        <v>13819</v>
      </c>
      <c r="C862" s="13" t="str">
        <f>HYPERLINK("https://audio.iskcondesiretree.com/02_-_ISKCON_Swamis/ISKCON_Swamis_-_R_to_Y/His_Holiness_Radhanath_Swami/Lectures/00_-_Year_wise/Devotional_Nectar_-_1994/1994-209_Contents_Of_Bhagavatam_SB-01_05_14_Mumbai_-_28-10-94_IDesireTree.mp3", "1994-209_Contents_Of_Bhagavatam_SB-01_05_14_Mumbai_-_28-10-94_IDesireTree.mp3")</f>
        <v>1994-209_Contents_Of_Bhagavatam_SB-01_05_14_Mumbai_-_28-10-94_IDesireTree.mp3</v>
      </c>
      <c r="D862" s="11"/>
      <c r="E862" s="11"/>
    </row>
    <row r="863" spans="1:5">
      <c r="A863" s="12" t="s">
        <v>12462</v>
      </c>
      <c r="B863" s="12" t="s">
        <v>13820</v>
      </c>
      <c r="C863" s="13" t="str">
        <f>HYPERLINK("https://audio.iskcondesiretree.com/02_-_ISKCON_Swamis/ISKCON_Swamis_-_R_to_Y/His_Holiness_Radhanath_Swami/Lectures/00_-_Year_wise/Devotional_Nectar_-_1994/1994-210_Serve_Without_Expectation_BG-02_49_Mumbai_-_Radhanath_Swami_1994-12-20_IDesireTree.mp3", "1994-210_Serve_Without_Expectation_BG-02_49_Mumbai_-_Radhanath_Swami_1994-12-20_IDesireTree.mp3")</f>
        <v>1994-210_Serve_Without_Expectation_BG-02_49_Mumbai_-_Radhanath_Swami_1994-12-20_IDesireTree.mp3</v>
      </c>
      <c r="D863" s="11"/>
      <c r="E863" s="11"/>
    </row>
    <row r="864" spans="1:5">
      <c r="A864" s="12" t="s">
        <v>12462</v>
      </c>
      <c r="B864" s="12" t="s">
        <v>13821</v>
      </c>
      <c r="C864" s="13" t="str">
        <f>HYPERLINK("https://audio.iskcondesiretree.com/02_-_ISKCON_Swamis/ISKCON_Swamis_-_R_to_Y/His_Holiness_Radhanath_Swami/Lectures/00_-_Year_wise/Devotional_Nectar_-_1994/1994-211_What_Is_Grihastha_Ashram_SB-01_07_02_Mumbai_-_Radhanath_Swami_1994-12-21_IDesireTree.mp3", "1994-211_What_Is_Grihastha_Ashram_SB-01_07_02_Mumbai_-_Radhanath_Swami_1994-12-21_IDesireTree.mp3")</f>
        <v>1994-211_What_Is_Grihastha_Ashram_SB-01_07_02_Mumbai_-_Radhanath_Swami_1994-12-21_IDesireTree.mp3</v>
      </c>
      <c r="D864" s="11"/>
      <c r="E864" s="11"/>
    </row>
    <row r="865" spans="1:5">
      <c r="A865" s="12" t="s">
        <v>12462</v>
      </c>
      <c r="B865" s="12" t="s">
        <v>13822</v>
      </c>
      <c r="C865" s="13" t="str">
        <f>HYPERLINK("https://audio.iskcondesiretree.com/02_-_ISKCON_Swamis/ISKCON_Swamis_-_R_to_Y/His_Holiness_Radhanath_Swami/Lectures/00_-_Year_wise/Devotional_Nectar_-_1994/1994-212_Protector_Of_Real_Religion_BG-04_38_Mumbai_-_Radhanath_Swami_1994-12-22_IDesireTree.mp3", "1994-212_Protector_Of_Real_Religion_BG-04_38_Mumbai_-_Radhanath_Swami_1994-12-22_IDesireTree.mp3")</f>
        <v>1994-212_Protector_Of_Real_Religion_BG-04_38_Mumbai_-_Radhanath_Swami_1994-12-22_IDesireTree.mp3</v>
      </c>
      <c r="D865" s="11"/>
      <c r="E865" s="11"/>
    </row>
    <row r="866" spans="1:5">
      <c r="A866" s="12" t="s">
        <v>12462</v>
      </c>
      <c r="B866" s="12" t="s">
        <v>13823</v>
      </c>
      <c r="C866" s="13" t="str">
        <f>HYPERLINK("https://audio.iskcondesiretree.com/02_-_ISKCON_Swamis/ISKCON_Swamis_-_R_to_Y/His_Holiness_Radhanath_Swami/Lectures/00_-_Year_wise/Devotional_Nectar_-_1994/1994-213_Talk_With_Chinmaya_Mission_Boys_Lecture_Mumbai_-_Radhanath_Swami_1994-12-22_IDesireTree.mp3", "1994-213_Talk_With_Chinmaya_Mission_Boys_Lecture_Mumbai_-_Radhanath_Swami_1994-12-22_IDesireTree.mp3")</f>
        <v>1994-213_Talk_With_Chinmaya_Mission_Boys_Lecture_Mumbai_-_Radhanath_Swami_1994-12-22_IDesireTree.mp3</v>
      </c>
      <c r="D866" s="11"/>
      <c r="E866" s="11"/>
    </row>
    <row r="867" spans="1:5">
      <c r="A867" s="12" t="s">
        <v>12462</v>
      </c>
      <c r="B867" s="12" t="s">
        <v>13824</v>
      </c>
      <c r="C867" s="13" t="str">
        <f>HYPERLINK("https://audio.iskcondesiretree.com/02_-_ISKCON_Swamis/ISKCON_Swamis_-_R_to_Y/His_Holiness_Radhanath_Swami/Lectures/00_-_Year_wise/Devotional_Nectar_-_1994/1994-214_Vyasdev%27s_Meditation_At_Badrikashram_SB-01_07_03-04_Mumbai_-_23-12-94_IDesireTree.mp3", "1994-214_Vyasdev%27s_Meditation_At_Badrikashram_SB-01_07_03-04_Mumbai_-_23-12-94_IDesireTree.mp3")</f>
        <v>1994-214_Vyasdev%27s_Meditation_At_Badrikashram_SB-01_07_03-04_Mumbai_-_23-12-94_IDesireTree.mp3</v>
      </c>
      <c r="D867" s="11"/>
      <c r="E867" s="11"/>
    </row>
    <row r="868" spans="1:5">
      <c r="A868" s="12" t="s">
        <v>12462</v>
      </c>
      <c r="B868" s="12" t="s">
        <v>13825</v>
      </c>
      <c r="C868" s="13" t="str">
        <f>HYPERLINK("https://audio.iskcondesiretree.com/02_-_ISKCON_Swamis/ISKCON_Swamis_-_R_to_Y/His_Holiness_Radhanath_Swami/Lectures/00_-_Year_wise/Devotional_Nectar_-_1994/1994-215_Glories_of_the_Holy_Name_Lecture_-_Radhanath_Swami_94_IDesireTree.mp3", "1994-215_Glories_of_the_Holy_Name_Lecture_-_Radhanath_Swami_94_IDesireTree.mp3")</f>
        <v>1994-215_Glories_of_the_Holy_Name_Lecture_-_Radhanath_Swami_94_IDesireTree.mp3</v>
      </c>
      <c r="D868" s="11"/>
      <c r="E868" s="11"/>
    </row>
    <row r="869" spans="1:5">
      <c r="A869" s="12" t="s">
        <v>12462</v>
      </c>
      <c r="B869" s="12" t="s">
        <v>13826</v>
      </c>
      <c r="C869" s="13" t="str">
        <f>HYPERLINK("https://audio.iskcondesiretree.com/02_-_ISKCON_Swamis/ISKCON_Swamis_-_R_to_Y/His_Holiness_Radhanath_Swami/Lectures/00_-_Year_wise/Devotional_Nectar_-_1995/1995-001_South_India_Yatra_SB-01_01_13_Mumbai_-_Radhanath_Swami_1995-01-01.mp3", "1995-001_South_India_Yatra_SB-01_01_13_Mumbai_-_Radhanath_Swami_1995-01-01.mp3")</f>
        <v>1995-001_South_India_Yatra_SB-01_01_13_Mumbai_-_Radhanath_Swami_1995-01-01.mp3</v>
      </c>
      <c r="D869" s="11"/>
      <c r="E869" s="11"/>
    </row>
    <row r="870" spans="1:5">
      <c r="A870" s="12" t="s">
        <v>12462</v>
      </c>
      <c r="B870" s="12" t="s">
        <v>13827</v>
      </c>
      <c r="C870" s="13" t="str">
        <f>HYPERLINK("https://audio.iskcondesiretree.com/02_-_ISKCON_Swamis/ISKCON_Swamis_-_R_to_Y/His_Holiness_Radhanath_Swami/Lectures/00_-_Year_wise/Devotional_Nectar_-_1995/1995-002_The_Story_Of_Dronacharya_SB-01_07_15_Mumbai_-_Radhanath_Swami_1995-01-02.mp3", "1995-002_The_Story_Of_Dronacharya_SB-01_07_15_Mumbai_-_Radhanath_Swami_1995-01-02.mp3")</f>
        <v>1995-002_The_Story_Of_Dronacharya_SB-01_07_15_Mumbai_-_Radhanath_Swami_1995-01-02.mp3</v>
      </c>
      <c r="D870" s="11"/>
      <c r="E870" s="11"/>
    </row>
    <row r="871" spans="1:5">
      <c r="A871" s="12" t="s">
        <v>12462</v>
      </c>
      <c r="B871" s="12" t="s">
        <v>13828</v>
      </c>
      <c r="C871" s="13" t="str">
        <f>HYPERLINK("https://audio.iskcondesiretree.com/02_-_ISKCON_Swamis/ISKCON_Swamis_-_R_to_Y/His_Holiness_Radhanath_Swami/Lectures/00_-_Year_wise/Devotional_Nectar_-_1995/1995-003_Association_Of_Devotees_SB-01_07_17-19_Mumbai_-_Radhanath_Swami_1995-01-03.mp3", "1995-003_Association_Of_Devotees_SB-01_07_17-19_Mumbai_-_Radhanath_Swami_1995-01-03.mp3")</f>
        <v>1995-003_Association_Of_Devotees_SB-01_07_17-19_Mumbai_-_Radhanath_Swami_1995-01-03.mp3</v>
      </c>
      <c r="D871" s="11"/>
      <c r="E871" s="11"/>
    </row>
    <row r="872" spans="1:5">
      <c r="A872" s="12" t="s">
        <v>12462</v>
      </c>
      <c r="B872" s="12" t="s">
        <v>13829</v>
      </c>
      <c r="C872" s="13" t="str">
        <f>HYPERLINK("https://audio.iskcondesiretree.com/02_-_ISKCON_Swamis/ISKCON_Swamis_-_R_to_Y/His_Holiness_Radhanath_Swami/Lectures/00_-_Year_wise/Devotional_Nectar_-_1995/1995-004_Our_Aspiration_To_Chant_Humbly_BG-03_31_Mumbai_-_Radhanath_Swami_1995-01-03.mp3", "1995-004_Our_Aspiration_To_Chant_Humbly_BG-03_31_Mumbai_-_Radhanath_Swami_1995-01-03.mp3")</f>
        <v>1995-004_Our_Aspiration_To_Chant_Humbly_BG-03_31_Mumbai_-_Radhanath_Swami_1995-01-03.mp3</v>
      </c>
      <c r="D872" s="11"/>
      <c r="E872" s="11"/>
    </row>
    <row r="873" spans="1:5">
      <c r="A873" s="12" t="s">
        <v>12462</v>
      </c>
      <c r="B873" s="12" t="s">
        <v>13830</v>
      </c>
      <c r="C873" s="13" t="str">
        <f>HYPERLINK("https://audio.iskcondesiretree.com/02_-_ISKCON_Swamis/ISKCON_Swamis_-_R_to_Y/His_Holiness_Radhanath_Swami/Lectures/00_-_Year_wise/Devotional_Nectar_-_1995/1995-005_How_To_Please_Krishna_SB-01_02_28-29_Mumbai_-_Radhanath_Swami_1995-01-03.mp3", "1995-005_How_To_Please_Krishna_SB-01_02_28-29_Mumbai_-_Radhanath_Swami_1995-01-03.mp3")</f>
        <v>1995-005_How_To_Please_Krishna_SB-01_02_28-29_Mumbai_-_Radhanath_Swami_1995-01-03.mp3</v>
      </c>
      <c r="D873" s="11"/>
      <c r="E873" s="11"/>
    </row>
    <row r="874" spans="1:5">
      <c r="A874" s="12" t="s">
        <v>12462</v>
      </c>
      <c r="B874" s="12" t="s">
        <v>13831</v>
      </c>
      <c r="C874" s="13" t="str">
        <f>HYPERLINK("https://audio.iskcondesiretree.com/02_-_ISKCON_Swamis/ISKCON_Swamis_-_R_to_Y/His_Holiness_Radhanath_Swami/Lectures/00_-_Year_wise/Devotional_Nectar_-_1995/1995-006_Get_Out_Of_Darkness_SB-01_07_23_Mumbai_-_Radhanath_Swami_1995-01-05.mp3", "1995-006_Get_Out_Of_Darkness_SB-01_07_23_Mumbai_-_Radhanath_Swami_1995-01-05.mp3")</f>
        <v>1995-006_Get_Out_Of_Darkness_SB-01_07_23_Mumbai_-_Radhanath_Swami_1995-01-05.mp3</v>
      </c>
      <c r="D874" s="11"/>
      <c r="E874" s="11"/>
    </row>
    <row r="875" spans="1:5">
      <c r="A875" s="12" t="s">
        <v>12462</v>
      </c>
      <c r="B875" s="12" t="s">
        <v>13832</v>
      </c>
      <c r="C875" s="13" t="str">
        <f>HYPERLINK("https://audio.iskcondesiretree.com/02_-_ISKCON_Swamis/ISKCON_Swamis_-_R_to_Y/His_Holiness_Radhanath_Swami/Lectures/00_-_Year_wise/Devotional_Nectar_-_1995/1995-007_Arrival_Lecture_Lecture_Mumbai_-_Radhanath_Swami_1995-01-06.mp3", "1995-007_Arrival_Lecture_Lecture_Mumbai_-_Radhanath_Swami_1995-01-06.mp3")</f>
        <v>1995-007_Arrival_Lecture_Lecture_Mumbai_-_Radhanath_Swami_1995-01-06.mp3</v>
      </c>
      <c r="D875" s="11"/>
      <c r="E875" s="11"/>
    </row>
    <row r="876" spans="1:5">
      <c r="A876" s="12" t="s">
        <v>12462</v>
      </c>
      <c r="B876" s="12" t="s">
        <v>13833</v>
      </c>
      <c r="C876" s="13" t="str">
        <f>HYPERLINK("https://audio.iskcondesiretree.com/02_-_ISKCON_Swamis/ISKCON_Swamis_-_R_to_Y/His_Holiness_Radhanath_Swami/Lectures/00_-_Year_wise/Devotional_Nectar_-_1995/1995-008_Centennial_Address_Lecture_Mumbai_-_Radhanath_Swami_1995-01-06.mp3", "1995-008_Centennial_Address_Lecture_Mumbai_-_Radhanath_Swami_1995-01-06.mp3")</f>
        <v>1995-008_Centennial_Address_Lecture_Mumbai_-_Radhanath_Swami_1995-01-06.mp3</v>
      </c>
      <c r="D876" s="11"/>
      <c r="E876" s="11"/>
    </row>
    <row r="877" spans="1:5">
      <c r="A877" s="12" t="s">
        <v>12462</v>
      </c>
      <c r="B877" s="12" t="s">
        <v>13834</v>
      </c>
      <c r="C877" s="13" t="str">
        <f>HYPERLINK("https://audio.iskcondesiretree.com/02_-_ISKCON_Swamis/ISKCON_Swamis_-_R_to_Y/His_Holiness_Radhanath_Swami/Lectures/00_-_Year_wise/Devotional_Nectar_-_1995/1995-009_Kunti%27s_Dependence_On_Holy_Name_SB-01_08_38_Mumbai_-_Radhanath_Swami_1995-01-07.mp3", "1995-009_Kunti%27s_Dependence_On_Holy_Name_SB-01_08_38_Mumbai_-_Radhanath_Swami_1995-01-07.mp3")</f>
        <v>1995-009_Kunti%27s_Dependence_On_Holy_Name_SB-01_08_38_Mumbai_-_Radhanath_Swami_1995-01-07.mp3</v>
      </c>
      <c r="D877" s="11"/>
      <c r="E877" s="11"/>
    </row>
    <row r="878" spans="1:5">
      <c r="A878" s="12" t="s">
        <v>12462</v>
      </c>
      <c r="B878" s="12" t="s">
        <v>13835</v>
      </c>
      <c r="C878" s="13" t="str">
        <f>HYPERLINK("https://audio.iskcondesiretree.com/02_-_ISKCON_Swamis/ISKCON_Swamis_-_R_to_Y/His_Holiness_Radhanath_Swami/Lectures/00_-_Year_wise/Devotional_Nectar_-_1995/1995-010_We_Are_Helpless_SB-01_07_26_Mumbai_-_Radhanath_Swami_1995-01-08.mp3", "1995-010_We_Are_Helpless_SB-01_07_26_Mumbai_-_Radhanath_Swami_1995-01-08.mp3")</f>
        <v>1995-010_We_Are_Helpless_SB-01_07_26_Mumbai_-_Radhanath_Swami_1995-01-08.mp3</v>
      </c>
      <c r="D878" s="11"/>
      <c r="E878" s="11"/>
    </row>
    <row r="879" spans="1:5">
      <c r="A879" s="12" t="s">
        <v>12462</v>
      </c>
      <c r="B879" s="12" t="s">
        <v>13836</v>
      </c>
      <c r="C879" s="13" t="str">
        <f>HYPERLINK("https://audio.iskcondesiretree.com/02_-_ISKCON_Swamis/ISKCON_Swamis_-_R_to_Y/His_Holiness_Radhanath_Swami/Lectures/00_-_Year_wise/Devotional_Nectar_-_1995/1995-011_Demoniac_Qualities-_Lust_Pride_Prestige_BG-16_10_Mumbai_-_Radhanath_Swami_1995-01-08.mp3", "1995-011_Demoniac_Qualities-_Lust_Pride_Prestige_BG-16_10_Mumbai_-_Radhanath_Swami_1995-01-08.mp3")</f>
        <v>1995-011_Demoniac_Qualities-_Lust_Pride_Prestige_BG-16_10_Mumbai_-_Radhanath_Swami_1995-01-08.mp3</v>
      </c>
      <c r="D879" s="11"/>
      <c r="E879" s="11"/>
    </row>
    <row r="880" spans="1:5">
      <c r="A880" s="12" t="s">
        <v>12462</v>
      </c>
      <c r="B880" s="12" t="s">
        <v>13837</v>
      </c>
      <c r="C880" s="13" t="str">
        <f>HYPERLINK("https://audio.iskcondesiretree.com/02_-_ISKCON_Swamis/ISKCON_Swamis_-_R_to_Y/His_Holiness_Radhanath_Swami/Lectures/00_-_Year_wise/Devotional_Nectar_-_1995/1995-013_Nature_The_Enjoyer_And_Consciousness_BG-13_01-02_Mumbai_-_Radhanath_Swami_1995-01-10.mp3", "1995-013_Nature_The_Enjoyer_And_Consciousness_BG-13_01-02_Mumbai_-_Radhanath_Swami_1995-01-10.mp3")</f>
        <v>1995-013_Nature_The_Enjoyer_And_Consciousness_BG-13_01-02_Mumbai_-_Radhanath_Swami_1995-01-10.mp3</v>
      </c>
      <c r="D880" s="11"/>
      <c r="E880" s="11"/>
    </row>
    <row r="881" spans="1:5">
      <c r="A881" s="12" t="s">
        <v>12462</v>
      </c>
      <c r="B881" s="12" t="s">
        <v>13838</v>
      </c>
      <c r="C881" s="13" t="str">
        <f>HYPERLINK("https://audio.iskcondesiretree.com/02_-_ISKCON_Swamis/ISKCON_Swamis_-_R_to_Y/His_Holiness_Radhanath_Swami/Lectures/00_-_Year_wise/Devotional_Nectar_-_1995/1995-014_Talk_With_J_J_Medical_Students_Lecture_Mumbai_-_Radhanath_Swami_1995-01-11_new.mp3", "1995-014_Talk_With_J_J_Medical_Students_Lecture_Mumbai_-_Radhanath_Swami_1995-01-11_new.mp3")</f>
        <v>1995-014_Talk_With_J_J_Medical_Students_Lecture_Mumbai_-_Radhanath_Swami_1995-01-11_new.mp3</v>
      </c>
      <c r="D881" s="11"/>
      <c r="E881" s="11"/>
    </row>
    <row r="882" spans="1:5">
      <c r="A882" s="12" t="s">
        <v>12462</v>
      </c>
      <c r="B882" s="12" t="s">
        <v>13839</v>
      </c>
      <c r="C882" s="13" t="str">
        <f>HYPERLINK("https://audio.iskcondesiretree.com/02_-_ISKCON_Swamis/ISKCON_Swamis_-_R_to_Y/His_Holiness_Radhanath_Swami/Lectures/00_-_Year_wise/Devotional_Nectar_-_1995/1995-015_O_Lord%21_My_Home_Is_Your_Property_Lecture_Pune_-_Radhanath_Swami_1995-01-12.mp3", "1995-015_O_Lord%21_My_Home_Is_Your_Property_Lecture_Pune_-_Radhanath_Swami_1995-01-12.mp3")</f>
        <v>1995-015_O_Lord%21_My_Home_Is_Your_Property_Lecture_Pune_-_Radhanath_Swami_1995-01-12.mp3</v>
      </c>
      <c r="D882" s="11"/>
      <c r="E882" s="11"/>
    </row>
    <row r="883" spans="1:5">
      <c r="A883" s="12" t="s">
        <v>12462</v>
      </c>
      <c r="B883" s="12" t="s">
        <v>13840</v>
      </c>
      <c r="C883" s="13" t="str">
        <f>HYPERLINK("https://audio.iskcondesiretree.com/02_-_ISKCON_Swamis/ISKCON_Swamis_-_R_to_Y/His_Holiness_Radhanath_Swami/Lectures/00_-_Year_wise/Devotional_Nectar_-_1995/1995-016_Bhagavad_Gita-_The_Greatest_Science_Mt_-_BG-05_24_Pune_-_Radhanath_Swami_1995-01-12.mp3", "1995-016_Bhagavad_Gita-_The_Greatest_Science_Mt_-_BG-05_24_Pune_-_Radhanath_Swami_1995-01-12.mp3")</f>
        <v>1995-016_Bhagavad_Gita-_The_Greatest_Science_Mt_-_BG-05_24_Pune_-_Radhanath_Swami_1995-01-12.mp3</v>
      </c>
      <c r="D883" s="11"/>
      <c r="E883" s="11"/>
    </row>
    <row r="884" spans="1:5">
      <c r="A884" s="12" t="s">
        <v>12462</v>
      </c>
      <c r="B884" s="12" t="s">
        <v>13841</v>
      </c>
      <c r="C884" s="13" t="str">
        <f>HYPERLINK("https://audio.iskcondesiretree.com/02_-_ISKCON_Swamis/ISKCON_Swamis_-_R_to_Y/His_Holiness_Radhanath_Swami/Lectures/00_-_Year_wise/Devotional_Nectar_-_1995/1995-017_You_Are_Invisible_To_All-_Kunti_SB-01_8_18_Pune_-_Radhanath_Swami_1995-01-13.mp3", "1995-017_You_Are_Invisible_To_All-_Kunti_SB-01_8_18_Pune_-_Radhanath_Swami_1995-01-13.mp3")</f>
        <v>1995-017_You_Are_Invisible_To_All-_Kunti_SB-01_8_18_Pune_-_Radhanath_Swami_1995-01-13.mp3</v>
      </c>
      <c r="D884" s="11"/>
      <c r="E884" s="11"/>
    </row>
    <row r="885" spans="1:5">
      <c r="A885" s="12" t="s">
        <v>12462</v>
      </c>
      <c r="B885" s="12" t="s">
        <v>13842</v>
      </c>
      <c r="C885" s="13" t="str">
        <f>HYPERLINK("https://audio.iskcondesiretree.com/02_-_ISKCON_Swamis/ISKCON_Swamis_-_R_to_Y/His_Holiness_Radhanath_Swami/Lectures/00_-_Year_wise/Devotional_Nectar_-_1995/1995-018_Opulence_Of_The_Absolute_BG-10_07_Pune_-_Radhanath_Swami_1995-01-13.mp3", "1995-018_Opulence_Of_The_Absolute_BG-10_07_Pune_-_Radhanath_Swami_1995-01-13.mp3")</f>
        <v>1995-018_Opulence_Of_The_Absolute_BG-10_07_Pune_-_Radhanath_Swami_1995-01-13.mp3</v>
      </c>
      <c r="D885" s="11"/>
      <c r="E885" s="11"/>
    </row>
    <row r="886" spans="1:5">
      <c r="A886" s="12" t="s">
        <v>12462</v>
      </c>
      <c r="B886" s="12" t="s">
        <v>13843</v>
      </c>
      <c r="C886" s="13" t="str">
        <f>HYPERLINK("https://audio.iskcondesiretree.com/02_-_ISKCON_Swamis/ISKCON_Swamis_-_R_to_Y/His_Holiness_Radhanath_Swami/Lectures/00_-_Year_wise/Devotional_Nectar_-_1995/1995-019_Question_%26_Answere_Q_%26_A_Pune_-_Radhanath_Swami_1995-01-13.mp3", "1995-019_Question_%26_Answere_Q_%26_A_Pune_-_Radhanath_Swami_1995-01-13.mp3")</f>
        <v>1995-019_Question_%26_Answere_Q_%26_A_Pune_-_Radhanath_Swami_1995-01-13.mp3</v>
      </c>
      <c r="D886" s="11"/>
      <c r="E886" s="11"/>
    </row>
    <row r="887" spans="1:5">
      <c r="A887" s="12" t="s">
        <v>12462</v>
      </c>
      <c r="B887" s="12" t="s">
        <v>13844</v>
      </c>
      <c r="C887" s="13" t="str">
        <f>HYPERLINK("https://audio.iskcondesiretree.com/02_-_ISKCON_Swamis/ISKCON_Swamis_-_R_to_Y/His_Holiness_Radhanath_Swami/Lectures/00_-_Year_wise/Devotional_Nectar_-_1995/1995-020_Importance_Of_Makar_Sankranti_Mt_-_SB-01_9_29-30_Kolhapur_-_Radhanath_Swami_1995-01-14.mp3", "1995-020_Importance_Of_Makar_Sankranti_Mt_-_SB-01_9_29-30_Kolhapur_-_Radhanath_Swami_1995-01-14.mp3")</f>
        <v>1995-020_Importance_Of_Makar_Sankranti_Mt_-_SB-01_9_29-30_Kolhapur_-_Radhanath_Swami_1995-01-14.mp3</v>
      </c>
      <c r="D887" s="11"/>
      <c r="E887" s="11"/>
    </row>
    <row r="888" spans="1:5">
      <c r="A888" s="12" t="s">
        <v>12462</v>
      </c>
      <c r="B888" s="12" t="s">
        <v>13845</v>
      </c>
      <c r="C888" s="13" t="str">
        <f>HYPERLINK("https://audio.iskcondesiretree.com/02_-_ISKCON_Swamis/ISKCON_Swamis_-_R_to_Y/His_Holiness_Radhanath_Swami/Lectures/00_-_Year_wise/Devotional_Nectar_-_1995/1995-021_How_To_Understand_Krishna_Ht_-_BG-10_10_Belgaum_-_Radhanath_Swami_1995-01-15.mp3", "1995-021_How_To_Understand_Krishna_Ht_-_BG-10_10_Belgaum_-_Radhanath_Swami_1995-01-15.mp3")</f>
        <v>1995-021_How_To_Understand_Krishna_Ht_-_BG-10_10_Belgaum_-_Radhanath_Swami_1995-01-15.mp3</v>
      </c>
      <c r="D888" s="11"/>
      <c r="E888" s="11"/>
    </row>
    <row r="889" spans="1:5">
      <c r="A889" s="12" t="s">
        <v>12462</v>
      </c>
      <c r="B889" s="12" t="s">
        <v>13846</v>
      </c>
      <c r="C889" s="13" t="str">
        <f>HYPERLINK("https://audio.iskcondesiretree.com/02_-_ISKCON_Swamis/ISKCON_Swamis_-_R_to_Y/His_Holiness_Radhanath_Swami/Lectures/00_-_Year_wise/Devotional_Nectar_-_1995/1995-022_Arrival_Address_Ht_-_Lecture_Belgaum_-_Radhanath_Swami_1995-01-15.mp3", "1995-022_Arrival_Address_Ht_-_Lecture_Belgaum_-_Radhanath_Swami_1995-01-15.mp3")</f>
        <v>1995-022_Arrival_Address_Ht_-_Lecture_Belgaum_-_Radhanath_Swami_1995-01-15.mp3</v>
      </c>
      <c r="D889" s="11"/>
      <c r="E889" s="11"/>
    </row>
    <row r="890" spans="1:5">
      <c r="A890" s="12" t="s">
        <v>12462</v>
      </c>
      <c r="B890" s="12" t="s">
        <v>13847</v>
      </c>
      <c r="C890" s="13" t="str">
        <f>HYPERLINK("https://audio.iskcondesiretree.com/02_-_ISKCON_Swamis/ISKCON_Swamis_-_R_to_Y/His_Holiness_Radhanath_Swami/Lectures/00_-_Year_wise/Devotional_Nectar_-_1995/1995-023_Materialistic_People_Are_Animals_Ht_-_SB-02_03_18_Belgaum_-_Radhanath_Swami_1995-01-16.mp3", "1995-023_Materialistic_People_Are_Animals_Ht_-_SB-02_03_18_Belgaum_-_Radhanath_Swami_1995-01-16.mp3")</f>
        <v>1995-023_Materialistic_People_Are_Animals_Ht_-_SB-02_03_18_Belgaum_-_Radhanath_Swami_1995-01-16.mp3</v>
      </c>
      <c r="D890" s="11"/>
      <c r="E890" s="11"/>
    </row>
    <row r="891" spans="1:5">
      <c r="A891" s="12" t="s">
        <v>12462</v>
      </c>
      <c r="B891" s="12" t="s">
        <v>13848</v>
      </c>
      <c r="C891" s="13" t="str">
        <f>HYPERLINK("https://audio.iskcondesiretree.com/02_-_ISKCON_Swamis/ISKCON_Swamis_-_R_to_Y/His_Holiness_Radhanath_Swami/Lectures/00_-_Year_wise/Devotional_Nectar_-_1995/1995-024_The_Supreme_Goal_Of_Life_MT_-_SB-01_02_08_Belgaum_-_Radhanath_Swami_1995-01-16.mp3", "1995-024_The_Supreme_Goal_Of_Life_MT_-_SB-01_02_08_Belgaum_-_Radhanath_Swami_1995-01-16.mp3")</f>
        <v>1995-024_The_Supreme_Goal_Of_Life_MT_-_SB-01_02_08_Belgaum_-_Radhanath_Swami_1995-01-16.mp3</v>
      </c>
      <c r="D891" s="11"/>
      <c r="E891" s="11"/>
    </row>
    <row r="892" spans="1:5">
      <c r="A892" s="12" t="s">
        <v>12462</v>
      </c>
      <c r="B892" s="12" t="s">
        <v>13849</v>
      </c>
      <c r="C892" s="13" t="str">
        <f>HYPERLINK("https://audio.iskcondesiretree.com/02_-_ISKCON_Swamis/ISKCON_Swamis_-_R_to_Y/His_Holiness_Radhanath_Swami/Lectures/00_-_Year_wise/Devotional_Nectar_-_1995/1995-025_Blind_Leading_The_Blind_HT_-_SB-02_03_19_Belgaum_-_Radhanath_Swami_1995-01-17.mp3", "1995-025_Blind_Leading_The_Blind_HT_-_SB-02_03_19_Belgaum_-_Radhanath_Swami_1995-01-17.mp3")</f>
        <v>1995-025_Blind_Leading_The_Blind_HT_-_SB-02_03_19_Belgaum_-_Radhanath_Swami_1995-01-17.mp3</v>
      </c>
      <c r="D892" s="11"/>
      <c r="E892" s="11"/>
    </row>
    <row r="893" spans="1:5">
      <c r="A893" s="12" t="s">
        <v>12462</v>
      </c>
      <c r="B893" s="12" t="s">
        <v>13850</v>
      </c>
      <c r="C893" s="13" t="str">
        <f>HYPERLINK("https://audio.iskcondesiretree.com/02_-_ISKCON_Swamis/ISKCON_Swamis_-_R_to_Y/His_Holiness_Radhanath_Swami/Lectures/00_-_Year_wise/Devotional_Nectar_-_1995/1995-026_Meaning_Of_Lotus_Feet_SB-01_08_39_Nasik_-_Radhanath_Swami_1995-01-19.mp3", "1995-026_Meaning_Of_Lotus_Feet_SB-01_08_39_Nasik_-_Radhanath_Swami_1995-01-19.mp3")</f>
        <v>1995-026_Meaning_Of_Lotus_Feet_SB-01_08_39_Nasik_-_Radhanath_Swami_1995-01-19.mp3</v>
      </c>
      <c r="D893" s="11"/>
      <c r="E893" s="11"/>
    </row>
    <row r="894" spans="1:5">
      <c r="A894" s="12" t="s">
        <v>12462</v>
      </c>
      <c r="B894" s="12" t="s">
        <v>13851</v>
      </c>
      <c r="C894" s="13" t="str">
        <f>HYPERLINK("https://audio.iskcondesiretree.com/02_-_ISKCON_Swamis/ISKCON_Swamis_-_R_to_Y/His_Holiness_Radhanath_Swami/Lectures/00_-_Year_wise/Devotional_Nectar_-_1995/1995-027_Krsna_Is_equal_To_All_BG-09_29_Javlibaleshwar_-_Radhanath_Swami_1995-01-19.mp3", "1995-027_Krsna_Is_equal_To_All_BG-09_29_Javlibaleshwar_-_Radhanath_Swami_1995-01-19.mp3")</f>
        <v>1995-027_Krsna_Is_equal_To_All_BG-09_29_Javlibaleshwar_-_Radhanath_Swami_1995-01-19.mp3</v>
      </c>
      <c r="D894" s="11"/>
      <c r="E894" s="11"/>
    </row>
    <row r="895" spans="1:5">
      <c r="A895" s="12" t="s">
        <v>12462</v>
      </c>
      <c r="B895" s="12" t="s">
        <v>13852</v>
      </c>
      <c r="C895" s="13" t="str">
        <f>HYPERLINK("https://audio.iskcondesiretree.com/02_-_ISKCON_Swamis/ISKCON_Swamis_-_R_to_Y/His_Holiness_Radhanath_Swami/Lectures/00_-_Year_wise/Devotional_Nectar_-_1995/1995-028_What_Is_Faith_SB-03_02_10_Mumbai_-_Radhanath_Swami_1995-01-20.mp3", "1995-028_What_Is_Faith_SB-03_02_10_Mumbai_-_Radhanath_Swami_1995-01-20.mp3")</f>
        <v>1995-028_What_Is_Faith_SB-03_02_10_Mumbai_-_Radhanath_Swami_1995-01-20.mp3</v>
      </c>
      <c r="D895" s="11"/>
      <c r="E895" s="11"/>
    </row>
    <row r="896" spans="1:5">
      <c r="A896" s="12" t="s">
        <v>12462</v>
      </c>
      <c r="B896" s="12" t="s">
        <v>13853</v>
      </c>
      <c r="C896" s="13" t="str">
        <f>HYPERLINK("https://audio.iskcondesiretree.com/02_-_ISKCON_Swamis/ISKCON_Swamis_-_R_to_Y/His_Holiness_Radhanath_Swami/Lectures/00_-_Year_wise/Devotional_Nectar_-_1995/1995-029_Gopala_Bhatta_Goswami_SB-01_01_13_Mumbai_-_Radhanath_Swami_1995-01-21.mp3", "1995-029_Gopala_Bhatta_Goswami_SB-01_01_13_Mumbai_-_Radhanath_Swami_1995-01-21.mp3")</f>
        <v>1995-029_Gopala_Bhatta_Goswami_SB-01_01_13_Mumbai_-_Radhanath_Swami_1995-01-21.mp3</v>
      </c>
      <c r="D896" s="11"/>
      <c r="E896" s="11"/>
    </row>
    <row r="897" spans="1:5">
      <c r="A897" s="12" t="s">
        <v>12462</v>
      </c>
      <c r="B897" s="12" t="s">
        <v>13854</v>
      </c>
      <c r="C897" s="13" t="str">
        <f>HYPERLINK("https://audio.iskcondesiretree.com/02_-_ISKCON_Swamis/ISKCON_Swamis_-_R_to_Y/His_Holiness_Radhanath_Swami/Lectures/00_-_Year_wise/Devotional_Nectar_-_1995/1995-030_Vaishnavas_Forgive_Easily_SB-01_07_44_Mumbai_-_Radhanath_Swami_1995-01-21.mp3", "1995-030_Vaishnavas_Forgive_Easily_SB-01_07_44_Mumbai_-_Radhanath_Swami_1995-01-21.mp3")</f>
        <v>1995-030_Vaishnavas_Forgive_Easily_SB-01_07_44_Mumbai_-_Radhanath_Swami_1995-01-21.mp3</v>
      </c>
      <c r="D897" s="11"/>
      <c r="E897" s="11"/>
    </row>
    <row r="898" spans="1:5">
      <c r="A898" s="12" t="s">
        <v>12462</v>
      </c>
      <c r="B898" s="12" t="s">
        <v>13855</v>
      </c>
      <c r="C898" s="13" t="str">
        <f>HYPERLINK("https://audio.iskcondesiretree.com/02_-_ISKCON_Swamis/ISKCON_Swamis_-_R_to_Y/His_Holiness_Radhanath_Swami/Lectures/00_-_Year_wise/Devotional_Nectar_-_1995/1995-031_Jaydev_Goswami_SB-01_03_29_Mumbai_-_Radhanath_Swami_1995-01-22.mp3", "1995-031_Jaydev_Goswami_SB-01_03_29_Mumbai_-_Radhanath_Swami_1995-01-22.mp3")</f>
        <v>1995-031_Jaydev_Goswami_SB-01_03_29_Mumbai_-_Radhanath_Swami_1995-01-22.mp3</v>
      </c>
      <c r="D898" s="11"/>
      <c r="E898" s="11"/>
    </row>
    <row r="899" spans="1:5">
      <c r="A899" s="12" t="s">
        <v>12462</v>
      </c>
      <c r="B899" s="12" t="s">
        <v>13856</v>
      </c>
      <c r="C899" s="13" t="str">
        <f>HYPERLINK("https://audio.iskcondesiretree.com/02_-_ISKCON_Swamis/ISKCON_Swamis_-_R_to_Y/His_Holiness_Radhanath_Swami/Lectures/00_-_Year_wise/Devotional_Nectar_-_1995/1995-032_Compassion_Exemplified_SB-01_07_45-47_Mumbai_-_Radhanath_Swami_1995-01-22.mp3", "1995-032_Compassion_Exemplified_SB-01_07_45-47_Mumbai_-_Radhanath_Swami_1995-01-22.mp3")</f>
        <v>1995-032_Compassion_Exemplified_SB-01_07_45-47_Mumbai_-_Radhanath_Swami_1995-01-22.mp3</v>
      </c>
      <c r="D899" s="11"/>
      <c r="E899" s="11"/>
    </row>
    <row r="900" spans="1:5">
      <c r="A900" s="12" t="s">
        <v>12462</v>
      </c>
      <c r="B900" s="12" t="s">
        <v>13857</v>
      </c>
      <c r="C900" s="13" t="str">
        <f>HYPERLINK("https://audio.iskcondesiretree.com/02_-_ISKCON_Swamis/ISKCON_Swamis_-_R_to_Y/His_Holiness_Radhanath_Swami/Lectures/00_-_Year_wise/Devotional_Nectar_-_1995/1995-033_Take_Gita_Seriously_BG-07_01_Mumbai_-_Radhanath_Swami_1995-01-22.mp3", "1995-033_Take_Gita_Seriously_BG-07_01_Mumbai_-_Radhanath_Swami_1995-01-22.mp3")</f>
        <v>1995-033_Take_Gita_Seriously_BG-07_01_Mumbai_-_Radhanath_Swami_1995-01-22.mp3</v>
      </c>
      <c r="D900" s="11"/>
      <c r="E900" s="11"/>
    </row>
    <row r="901" spans="1:5">
      <c r="A901" s="12" t="s">
        <v>12462</v>
      </c>
      <c r="B901" s="12" t="s">
        <v>13858</v>
      </c>
      <c r="C901" s="13" t="str">
        <f>HYPERLINK("https://audio.iskcondesiretree.com/02_-_ISKCON_Swamis/ISKCON_Swamis_-_R_to_Y/His_Holiness_Radhanath_Swami/Lectures/00_-_Year_wise/Devotional_Nectar_-_1995/1995-034_Why_Caitanya_Mahaprabhu_Appeared_Lecture_Mumbai_-_Radhanath_Swami_1995-01-23.mp3", "1995-034_Why_Caitanya_Mahaprabhu_Appeared_Lecture_Mumbai_-_Radhanath_Swami_1995-01-23.mp3")</f>
        <v>1995-034_Why_Caitanya_Mahaprabhu_Appeared_Lecture_Mumbai_-_Radhanath_Swami_1995-01-23.mp3</v>
      </c>
      <c r="D901" s="11"/>
      <c r="E901" s="11"/>
    </row>
    <row r="902" spans="1:5">
      <c r="A902" s="12" t="s">
        <v>12462</v>
      </c>
      <c r="B902" s="12" t="s">
        <v>13859</v>
      </c>
      <c r="C902" s="13" t="str">
        <f>HYPERLINK("https://audio.iskcondesiretree.com/02_-_ISKCON_Swamis/ISKCON_Swamis_-_R_to_Y/His_Holiness_Radhanath_Swami/Lectures/00_-_Year_wise/Devotional_Nectar_-_1995/1995-035_Why_Pune_Yatra_Lecture_Pune_-_Radhanath_Swami_1995-01-26.mp3", "1995-035_Why_Pune_Yatra_Lecture_Pune_-_Radhanath_Swami_1995-01-26.mp3")</f>
        <v>1995-035_Why_Pune_Yatra_Lecture_Pune_-_Radhanath_Swami_1995-01-26.mp3</v>
      </c>
      <c r="D902" s="11"/>
      <c r="E902" s="11"/>
    </row>
    <row r="903" spans="1:5">
      <c r="A903" s="12" t="s">
        <v>12462</v>
      </c>
      <c r="B903" s="12" t="s">
        <v>13860</v>
      </c>
      <c r="C903" s="13" t="str">
        <f>HYPERLINK("https://audio.iskcondesiretree.com/02_-_ISKCON_Swamis/ISKCON_Swamis_-_R_to_Y/His_Holiness_Radhanath_Swami/Lectures/00_-_Year_wise/Devotional_Nectar_-_1995/1995-036_Question_%26_Answer_Q%26A_Pune_-_Radhanath_Swami_1995-01-27.mp3", "1995-036_Question_%26_Answer_Q%26A_Pune_-_Radhanath_Swami_1995-01-27.mp3")</f>
        <v>1995-036_Question_%26_Answer_Q%26A_Pune_-_Radhanath_Swami_1995-01-27.mp3</v>
      </c>
      <c r="D903" s="11"/>
      <c r="E903" s="11"/>
    </row>
    <row r="904" spans="1:5">
      <c r="A904" s="12" t="s">
        <v>12462</v>
      </c>
      <c r="B904" s="12" t="s">
        <v>13861</v>
      </c>
      <c r="C904" s="13" t="str">
        <f>HYPERLINK("https://audio.iskcondesiretree.com/02_-_ISKCON_Swamis/ISKCON_Swamis_-_R_to_Y/His_Holiness_Radhanath_Swami/Lectures/00_-_Year_wise/Devotional_Nectar_-_1995/1995-037_Chaitanya_Mahaprabhu_Begins_Sankirtan_SB-09_04_24_Pune_-_Radhanath_Swami_1995-01-27.mp3", "1995-037_Chaitanya_Mahaprabhu_Begins_Sankirtan_SB-09_04_24_Pune_-_Radhanath_Swami_1995-01-27.mp3")</f>
        <v>1995-037_Chaitanya_Mahaprabhu_Begins_Sankirtan_SB-09_04_24_Pune_-_Radhanath_Swami_1995-01-27.mp3</v>
      </c>
      <c r="D904" s="11"/>
      <c r="E904" s="11"/>
    </row>
    <row r="905" spans="1:5">
      <c r="A905" s="12" t="s">
        <v>12462</v>
      </c>
      <c r="B905" s="12" t="s">
        <v>13862</v>
      </c>
      <c r="C905" s="13" t="str">
        <f>HYPERLINK("https://audio.iskcondesiretree.com/02_-_ISKCON_Swamis/ISKCON_Swamis_-_R_to_Y/His_Holiness_Radhanath_Swami/Lectures/00_-_Year_wise/Devotional_Nectar_-_1995/1995-038_What_Is_Isckcon_Lecture_Pune_-_Radhanath_Swami_1995-01-28.mp3", "1995-038_What_Is_Isckcon_Lecture_Pune_-_Radhanath_Swami_1995-01-28.mp3")</f>
        <v>1995-038_What_Is_Isckcon_Lecture_Pune_-_Radhanath_Swami_1995-01-28.mp3</v>
      </c>
      <c r="D905" s="11"/>
      <c r="E905" s="11"/>
    </row>
    <row r="906" spans="1:5">
      <c r="A906" s="12" t="s">
        <v>12462</v>
      </c>
      <c r="B906" s="12" t="s">
        <v>13863</v>
      </c>
      <c r="C906" s="13" t="str">
        <f>HYPERLINK("https://audio.iskcondesiretree.com/02_-_ISKCON_Swamis/ISKCON_Swamis_-_R_to_Y/His_Holiness_Radhanath_Swami/Lectures/00_-_Year_wise/Devotional_Nectar_-_1995/1995-039_Servant_Of_Servant_SB-09_04_63_Pune_-_Radhanath_Swami_1995-01-29.mp3", "1995-039_Servant_Of_Servant_SB-09_04_63_Pune_-_Radhanath_Swami_1995-01-29.mp3")</f>
        <v>1995-039_Servant_Of_Servant_SB-09_04_63_Pune_-_Radhanath_Swami_1995-01-29.mp3</v>
      </c>
      <c r="D906" s="11"/>
      <c r="E906" s="11"/>
    </row>
    <row r="907" spans="1:5">
      <c r="A907" s="12" t="s">
        <v>12462</v>
      </c>
      <c r="B907" s="12" t="s">
        <v>13864</v>
      </c>
      <c r="C907" s="13" t="str">
        <f>HYPERLINK("https://audio.iskcondesiretree.com/02_-_ISKCON_Swamis/ISKCON_Swamis_-_R_to_Y/His_Holiness_Radhanath_Swami/Lectures/00_-_Year_wise/Devotional_Nectar_-_1995/1995-040_Don%27t_Break_Others_Heart_SB-04_08_34_Mumbai_-_Radhanath_Swami_1995-02-01.mp3", "1995-040_Don%27t_Break_Others_Heart_SB-04_08_34_Mumbai_-_Radhanath_Swami_1995-02-01.mp3")</f>
        <v>1995-040_Don%27t_Break_Others_Heart_SB-04_08_34_Mumbai_-_Radhanath_Swami_1995-02-01.mp3</v>
      </c>
      <c r="D907" s="11"/>
      <c r="E907" s="11"/>
    </row>
    <row r="908" spans="1:5">
      <c r="A908" s="12" t="s">
        <v>12462</v>
      </c>
      <c r="B908" s="12" t="s">
        <v>13865</v>
      </c>
      <c r="C908" s="13" t="str">
        <f>HYPERLINK("https://audio.iskcondesiretree.com/02_-_ISKCON_Swamis/ISKCON_Swamis_-_R_to_Y/His_Holiness_Radhanath_Swami/Lectures/00_-_Year_wise/Devotional_Nectar_-_1995/1995-041_Activities_Of_Devotees_SB-01_08_36_Allahabad_-_Radhanath_Swami_1995-02-02.mp3", "1995-041_Activities_Of_Devotees_SB-01_08_36_Allahabad_-_Radhanath_Swami_1995-02-02.mp3")</f>
        <v>1995-041_Activities_Of_Devotees_SB-01_08_36_Allahabad_-_Radhanath_Swami_1995-02-02.mp3</v>
      </c>
      <c r="D908" s="11"/>
      <c r="E908" s="11"/>
    </row>
    <row r="909" spans="1:5">
      <c r="A909" s="12" t="s">
        <v>12462</v>
      </c>
      <c r="B909" s="12" t="s">
        <v>13866</v>
      </c>
      <c r="C909" s="13" t="str">
        <f>HYPERLINK("https://audio.iskcondesiretree.com/02_-_ISKCON_Swamis/ISKCON_Swamis_-_R_to_Y/His_Holiness_Radhanath_Swami/Lectures/00_-_Year_wise/Devotional_Nectar_-_1995/1995-042_We_Are_Completely_Dependent_On_Your_Mercy_SB-01_08_37_Allahabad_-_03-02-95_IDesireTree.mp3", "1995-042_We_Are_Completely_Dependent_On_Your_Mercy_SB-01_08_37_Allahabad_-_03-02-95_IDesireTree.mp3")</f>
        <v>1995-042_We_Are_Completely_Dependent_On_Your_Mercy_SB-01_08_37_Allahabad_-_03-02-95_IDesireTree.mp3</v>
      </c>
      <c r="D909" s="11"/>
      <c r="E909" s="11"/>
    </row>
    <row r="910" spans="1:5">
      <c r="A910" s="12" t="s">
        <v>12462</v>
      </c>
      <c r="B910" s="12" t="s">
        <v>13867</v>
      </c>
      <c r="C910" s="13" t="str">
        <f>HYPERLINK("https://audio.iskcondesiretree.com/02_-_ISKCON_Swamis/ISKCON_Swamis_-_R_to_Y/His_Holiness_Radhanath_Swami/Lectures/00_-_Year_wise/Devotional_Nectar_-_1995/1995-043_Lord_Chaitanya_In_Varanasi_HT_-_Lecture_Mumbai_-_Radhanath_Swami_1995-02-05.mp3", "1995-043_Lord_Chaitanya_In_Varanasi_HT_-_Lecture_Mumbai_-_Radhanath_Swami_1995-02-05.mp3")</f>
        <v>1995-043_Lord_Chaitanya_In_Varanasi_HT_-_Lecture_Mumbai_-_Radhanath_Swami_1995-02-05.mp3</v>
      </c>
      <c r="D910" s="11"/>
      <c r="E910" s="11"/>
    </row>
    <row r="911" spans="1:5">
      <c r="A911" s="12" t="s">
        <v>12462</v>
      </c>
      <c r="B911" s="12" t="s">
        <v>13868</v>
      </c>
      <c r="C911" s="13" t="str">
        <f>HYPERLINK("https://audio.iskcondesiretree.com/02_-_ISKCON_Swamis/ISKCON_Swamis_-_R_to_Y/His_Holiness_Radhanath_Swami/Lectures/00_-_Year_wise/Devotional_Nectar_-_1995/1995-044_Uttara-_Mother_In_Krishna_Consciousness_SB-01_08_10_Mumbai_-_Radhanath_Swami_1995-02-08.mp3", "1995-044_Uttara-_Mother_In_Krishna_Consciousness_SB-01_08_10_Mumbai_-_Radhanath_Swami_1995-02-08.mp3")</f>
        <v>1995-044_Uttara-_Mother_In_Krishna_Consciousness_SB-01_08_10_Mumbai_-_Radhanath_Swami_1995-02-08.mp3</v>
      </c>
      <c r="D911" s="11"/>
      <c r="E911" s="11"/>
    </row>
    <row r="912" spans="1:5">
      <c r="A912" s="12" t="s">
        <v>12462</v>
      </c>
      <c r="B912" s="12" t="s">
        <v>13869</v>
      </c>
      <c r="C912" s="13" t="str">
        <f>HYPERLINK("https://audio.iskcondesiretree.com/02_-_ISKCON_Swamis/ISKCON_Swamis_-_R_to_Y/His_Holiness_Radhanath_Swami/Lectures/00_-_Year_wise/Devotional_Nectar_-_1995/1995-045_How_Krishna_Protects_SB-01_08_11_Mumbai_-_Radhanath_Swami_1995-02-09.mp3", "1995-045_How_Krishna_Protects_SB-01_08_11_Mumbai_-_Radhanath_Swami_1995-02-09.mp3")</f>
        <v>1995-045_How_Krishna_Protects_SB-01_08_11_Mumbai_-_Radhanath_Swami_1995-02-09.mp3</v>
      </c>
      <c r="D912" s="11"/>
      <c r="E912" s="11"/>
    </row>
    <row r="913" spans="1:5">
      <c r="A913" s="12" t="s">
        <v>12462</v>
      </c>
      <c r="B913" s="12" t="s">
        <v>13870</v>
      </c>
      <c r="C913" s="13" t="str">
        <f>HYPERLINK("https://audio.iskcondesiretree.com/02_-_ISKCON_Swamis/ISKCON_Swamis_-_R_to_Y/His_Holiness_Radhanath_Swami/Lectures/00_-_Year_wise/Devotional_Nectar_-_1995/1995-046_Talk_With_Nair_Medical_Students_Lecture_Mumbai_-_Radhanath_Swami_1995-02-09.mp3", "1995-046_Talk_With_Nair_Medical_Students_Lecture_Mumbai_-_Radhanath_Swami_1995-02-09.mp3")</f>
        <v>1995-046_Talk_With_Nair_Medical_Students_Lecture_Mumbai_-_Radhanath_Swami_1995-02-09.mp3</v>
      </c>
      <c r="D913" s="11"/>
      <c r="E913" s="11"/>
    </row>
    <row r="914" spans="1:5">
      <c r="A914" s="12" t="s">
        <v>12462</v>
      </c>
      <c r="B914" s="12" t="e">
        <v>#VALUE!</v>
      </c>
      <c r="C914" s="13" t="e">
        <f>HYPERLINK("https://audio.iskcondesiretree.com/02_-_ISKCON_Swamis/ISKCON_Swamis_-_R_to_Y/His_Holiness_Radhanath_Swami/Lectures/00_-_Year_wise/Devotional_Nectar_-_1995/1995-047_Don%27t_Judge_Vaishnavas_By_Material_Bodies_BG-15_08_Mumbai_-_Radhanath_Swami_1995-02-11.mp"&amp;"3", "1995-047_Don%27t_Judge_Vaishnavas_By_Material_Bodies_BG-15_08_Mumbai_-_Radhanath_Swami_1995-02-11.mp3")</f>
        <v>#VALUE!</v>
      </c>
      <c r="D914" s="11"/>
      <c r="E914" s="11"/>
    </row>
    <row r="915" spans="1:5">
      <c r="A915" s="12" t="s">
        <v>12462</v>
      </c>
      <c r="B915" s="12" t="s">
        <v>13871</v>
      </c>
      <c r="C915" s="13" t="str">
        <f>HYPERLINK("https://audio.iskcondesiretree.com/02_-_ISKCON_Swamis/ISKCON_Swamis_-_R_to_Y/His_Holiness_Radhanath_Swami/Lectures/00_-_Year_wise/Devotional_Nectar_-_1995/1995-048_Story_Of_Lord_VarahaDev_SB-03_14_05_Mumbai_-_Radhanath_Swami_1995-02-12.mp3", "1995-048_Story_Of_Lord_VarahaDev_SB-03_14_05_Mumbai_-_Radhanath_Swami_1995-02-12.mp3")</f>
        <v>1995-048_Story_Of_Lord_VarahaDev_SB-03_14_05_Mumbai_-_Radhanath_Swami_1995-02-12.mp3</v>
      </c>
      <c r="D915" s="11"/>
      <c r="E915" s="11"/>
    </row>
    <row r="916" spans="1:5">
      <c r="A916" s="12" t="s">
        <v>12462</v>
      </c>
      <c r="B916" s="12" t="s">
        <v>13872</v>
      </c>
      <c r="C916" s="13" t="str">
        <f>HYPERLINK("https://audio.iskcondesiretree.com/02_-_ISKCON_Swamis/ISKCON_Swamis_-_R_to_Y/His_Holiness_Radhanath_Swami/Lectures/00_-_Year_wise/Devotional_Nectar_-_1995/1995-049_Merciful_Lord_Nityananda_CC_ML-01_08_Mumbai_-_Radhanath_Swami_1995-02-13.mp3", "1995-049_Merciful_Lord_Nityananda_CC_ML-01_08_Mumbai_-_Radhanath_Swami_1995-02-13.mp3")</f>
        <v>1995-049_Merciful_Lord_Nityananda_CC_ML-01_08_Mumbai_-_Radhanath_Swami_1995-02-13.mp3</v>
      </c>
      <c r="D916" s="11"/>
      <c r="E916" s="11"/>
    </row>
    <row r="917" spans="1:5">
      <c r="A917" s="12" t="s">
        <v>12462</v>
      </c>
      <c r="B917" s="12" t="s">
        <v>13873</v>
      </c>
      <c r="C917" s="13" t="str">
        <f>HYPERLINK("https://audio.iskcondesiretree.com/02_-_ISKCON_Swamis/ISKCON_Swamis_-_R_to_Y/His_Holiness_Radhanath_Swami/Lectures/00_-_Year_wise/Devotional_Nectar_-_1995/1995-050_Krishna%27s_Energies_SB-01_08_16_Mumbai_-_Radhanath_Swami_1995-02-14.mp3", "1995-050_Krishna%27s_Energies_SB-01_08_16_Mumbai_-_Radhanath_Swami_1995-02-14.mp3")</f>
        <v>1995-050_Krishna%27s_Energies_SB-01_08_16_Mumbai_-_Radhanath_Swami_1995-02-14.mp3</v>
      </c>
      <c r="D917" s="11"/>
      <c r="E917" s="11"/>
    </row>
    <row r="918" spans="1:5">
      <c r="A918" s="12" t="s">
        <v>12462</v>
      </c>
      <c r="B918" s="12" t="s">
        <v>13874</v>
      </c>
      <c r="C918" s="13" t="str">
        <f>HYPERLINK("https://audio.iskcondesiretree.com/02_-_ISKCON_Swamis/ISKCON_Swamis_-_R_to_Y/His_Holiness_Radhanath_Swami/Lectures/00_-_Year_wise/Devotional_Nectar_-_1995/1995-051_Affection_Between_Devotees_SB-01_08_31_Mumbai_-_Radhanath_Swami_1995-03-05.mp3", "1995-051_Affection_Between_Devotees_SB-01_08_31_Mumbai_-_Radhanath_Swami_1995-03-05.mp3")</f>
        <v>1995-051_Affection_Between_Devotees_SB-01_08_31_Mumbai_-_Radhanath_Swami_1995-03-05.mp3</v>
      </c>
      <c r="D918" s="11"/>
      <c r="E918" s="11"/>
    </row>
    <row r="919" spans="1:5">
      <c r="A919" s="12" t="s">
        <v>12462</v>
      </c>
      <c r="B919" s="12" t="s">
        <v>13875</v>
      </c>
      <c r="C919" s="13" t="str">
        <f>HYPERLINK("https://audio.iskcondesiretree.com/02_-_ISKCON_Swamis/ISKCON_Swamis_-_R_to_Y/His_Holiness_Radhanath_Swami/Lectures/00_-_Year_wise/Devotional_Nectar_-_1995/1995-052_Don%27t_Speculate_About_Krishna_SB-01_08_33_Mumbai_-_Radhanath_Swami_1995-03-07.mp3", "1995-052_Don%27t_Speculate_About_Krishna_SB-01_08_33_Mumbai_-_Radhanath_Swami_1995-03-07.mp3")</f>
        <v>1995-052_Don%27t_Speculate_About_Krishna_SB-01_08_33_Mumbai_-_Radhanath_Swami_1995-03-07.mp3</v>
      </c>
      <c r="D919" s="11"/>
      <c r="E919" s="11"/>
    </row>
    <row r="920" spans="1:5">
      <c r="A920" s="12" t="s">
        <v>12462</v>
      </c>
      <c r="B920" s="12" t="s">
        <v>13876</v>
      </c>
      <c r="C920" s="13" t="str">
        <f>HYPERLINK("https://audio.iskcondesiretree.com/02_-_ISKCON_Swamis/ISKCON_Swamis_-_R_to_Y/His_Holiness_Radhanath_Swami/Lectures/00_-_Year_wise/Devotional_Nectar_-_1995/1995-053_How_To_Get_Real_Treasure_CC_ML-20_142_Mumbai_-_Radhanath_Swami_1995-03-07.mp3", "1995-053_How_To_Get_Real_Treasure_CC_ML-20_142_Mumbai_-_Radhanath_Swami_1995-03-07.mp3")</f>
        <v>1995-053_How_To_Get_Real_Treasure_CC_ML-20_142_Mumbai_-_Radhanath_Swami_1995-03-07.mp3</v>
      </c>
      <c r="D920" s="11"/>
      <c r="E920" s="11"/>
    </row>
    <row r="921" spans="1:5">
      <c r="A921" s="12" t="s">
        <v>12462</v>
      </c>
      <c r="B921" s="12" t="s">
        <v>13877</v>
      </c>
      <c r="C921" s="13" t="str">
        <f>HYPERLINK("https://audio.iskcondesiretree.com/02_-_ISKCON_Swamis/ISKCON_Swamis_-_R_to_Y/His_Holiness_Radhanath_Swami/Lectures/00_-_Year_wise/Devotional_Nectar_-_1995/1995-055_Real_Religion_Krishna_Consciouness_SB-01_08_35_Mumbai_-_Radhanath_Swami_1995-03-09.mp3", "1995-055_Real_Religion_Krishna_Consciouness_SB-01_08_35_Mumbai_-_Radhanath_Swami_1995-03-09.mp3")</f>
        <v>1995-055_Real_Religion_Krishna_Consciouness_SB-01_08_35_Mumbai_-_Radhanath_Swami_1995-03-09.mp3</v>
      </c>
      <c r="D921" s="11"/>
      <c r="E921" s="11"/>
    </row>
    <row r="922" spans="1:5">
      <c r="A922" s="12" t="s">
        <v>12462</v>
      </c>
      <c r="B922" s="12" t="s">
        <v>13878</v>
      </c>
      <c r="C922" s="13" t="str">
        <f>HYPERLINK("https://audio.iskcondesiretree.com/02_-_ISKCON_Swamis/ISKCON_Swamis_-_R_to_Y/His_Holiness_Radhanath_Swami/Lectures/00_-_Year_wise/Devotional_Nectar_-_1995/1995-056_Lecture_To_Students_BG-04_23_Mumbai_-_Radhanath_Swami_1995-03-09.mp3", "1995-056_Lecture_To_Students_BG-04_23_Mumbai_-_Radhanath_Swami_1995-03-09.mp3")</f>
        <v>1995-056_Lecture_To_Students_BG-04_23_Mumbai_-_Radhanath_Swami_1995-03-09.mp3</v>
      </c>
      <c r="D922" s="11"/>
      <c r="E922" s="11"/>
    </row>
    <row r="923" spans="1:5">
      <c r="A923" s="12" t="s">
        <v>12462</v>
      </c>
      <c r="B923" s="12" t="s">
        <v>13879</v>
      </c>
      <c r="C923" s="13" t="str">
        <f>HYPERLINK("https://audio.iskcondesiretree.com/02_-_ISKCON_Swamis/ISKCON_Swamis_-_R_to_Y/His_Holiness_Radhanath_Swami/Lectures/00_-_Year_wise/Devotional_Nectar_-_1995/1995-057_Become_Fortunate_CC_ML-22_3Mumbai_-_Radhanath_Swami_1995-03-10.mp3", "1995-057_Become_Fortunate_CC_ML-22_3Mumbai_-_Radhanath_Swami_1995-03-10.mp3")</f>
        <v>1995-057_Become_Fortunate_CC_ML-22_3Mumbai_-_Radhanath_Swami_1995-03-10.mp3</v>
      </c>
      <c r="D923" s="11"/>
      <c r="E923" s="11"/>
    </row>
    <row r="924" spans="1:5">
      <c r="A924" s="12" t="s">
        <v>12462</v>
      </c>
      <c r="B924" s="12" t="s">
        <v>13880</v>
      </c>
      <c r="C924" s="13" t="str">
        <f>HYPERLINK("https://audio.iskcondesiretree.com/02_-_ISKCON_Swamis/ISKCON_Swamis_-_R_to_Y/His_Holiness_Radhanath_Swami/Lectures/00_-_Year_wise/Devotional_Nectar_-_1995/1995-058_Consciouness_Means_Krishna_Consciouness_SB-01_08_38_Mumbai_-_Radhanath_Swami_1995-03-12.mp3", "1995-058_Consciouness_Means_Krishna_Consciouness_SB-01_08_38_Mumbai_-_Radhanath_Swami_1995-03-12.mp3")</f>
        <v>1995-058_Consciouness_Means_Krishna_Consciouness_SB-01_08_38_Mumbai_-_Radhanath_Swami_1995-03-12.mp3</v>
      </c>
      <c r="D924" s="11"/>
      <c r="E924" s="11"/>
    </row>
    <row r="925" spans="1:5">
      <c r="A925" s="12" t="s">
        <v>12462</v>
      </c>
      <c r="B925" s="12" t="s">
        <v>13881</v>
      </c>
      <c r="C925" s="13" t="str">
        <f>HYPERLINK("https://audio.iskcondesiretree.com/02_-_ISKCON_Swamis/ISKCON_Swamis_-_R_to_Y/His_Holiness_Radhanath_Swami/Lectures/00_-_Year_wise/Devotional_Nectar_-_1995/1995-059_Hari_Nama_Sankirtan_CC_ML-20_34_Mumbai_-_Radhanath_Swami_1995-03-12.mp3", "1995-059_Hari_Nama_Sankirtan_CC_ML-20_34_Mumbai_-_Radhanath_Swami_1995-03-12.mp3")</f>
        <v>1995-059_Hari_Nama_Sankirtan_CC_ML-20_34_Mumbai_-_Radhanath_Swami_1995-03-12.mp3</v>
      </c>
      <c r="D925" s="11"/>
      <c r="E925" s="11"/>
    </row>
    <row r="926" spans="1:5">
      <c r="A926" s="12" t="s">
        <v>12462</v>
      </c>
      <c r="B926" s="12" t="s">
        <v>13882</v>
      </c>
      <c r="C926" s="13" t="str">
        <f>HYPERLINK("https://audio.iskcondesiretree.com/02_-_ISKCON_Swamis/ISKCON_Swamis_-_R_to_Y/His_Holiness_Radhanath_Swami/Lectures/00_-_Year_wise/Devotional_Nectar_-_1995/1995-060_Take_To_Bhakti_Now_Ht_-_BG-07_06_Mumbai_-_Radhanath_Swami_1995-03-12.mp3", "1995-060_Take_To_Bhakti_Now_Ht_-_BG-07_06_Mumbai_-_Radhanath_Swami_1995-03-12.mp3")</f>
        <v>1995-060_Take_To_Bhakti_Now_Ht_-_BG-07_06_Mumbai_-_Radhanath_Swami_1995-03-12.mp3</v>
      </c>
      <c r="D926" s="11"/>
      <c r="E926" s="11"/>
    </row>
    <row r="927" spans="1:5">
      <c r="A927" s="12" t="s">
        <v>12462</v>
      </c>
      <c r="B927" s="12" t="s">
        <v>13883</v>
      </c>
      <c r="C927" s="13" t="str">
        <f>HYPERLINK("https://audio.iskcondesiretree.com/02_-_ISKCON_Swamis/ISKCON_Swamis_-_R_to_Y/His_Holiness_Radhanath_Swami/Lectures/00_-_Year_wise/Devotional_Nectar_-_1995/1995-061_incomplete_lec_Madhavendra_Puri_%26_Gopal_Nathji_Lecture_Mumbai_-_14-03-95_IDesireTree.mp3", "1995-061_incomplete_lec_Madhavendra_Puri_%26_Gopal_Nathji_Lecture_Mumbai_-_14-03-95_IDesireTree.mp3")</f>
        <v>1995-061_incomplete_lec_Madhavendra_Puri_%26_Gopal_Nathji_Lecture_Mumbai_-_14-03-95_IDesireTree.mp3</v>
      </c>
      <c r="D927" s="11"/>
      <c r="E927" s="11"/>
    </row>
    <row r="928" spans="1:5">
      <c r="A928" s="12" t="s">
        <v>12462</v>
      </c>
      <c r="B928" s="12" t="s">
        <v>13884</v>
      </c>
      <c r="C928" s="13" t="str">
        <f>HYPERLINK("https://audio.iskcondesiretree.com/02_-_ISKCON_Swamis/ISKCON_Swamis_-_R_to_Y/His_Holiness_Radhanath_Swami/Lectures/00_-_Year_wise/Devotional_Nectar_-_1995/1995-062_Merciful_Of_All_Incarnations_Ht_-_BG-04_06_Mumbai_-_Radhanath_Swami_1996-03-15.mp3", "1995-062_Merciful_Of_All_Incarnations_Ht_-_BG-04_06_Mumbai_-_Radhanath_Swami_1996-03-15.mp3")</f>
        <v>1995-062_Merciful_Of_All_Incarnations_Ht_-_BG-04_06_Mumbai_-_Radhanath_Swami_1996-03-15.mp3</v>
      </c>
      <c r="D928" s="11"/>
      <c r="E928" s="11"/>
    </row>
    <row r="929" spans="1:5">
      <c r="A929" s="12" t="s">
        <v>12462</v>
      </c>
      <c r="B929" s="12" t="s">
        <v>13885</v>
      </c>
      <c r="C929" s="13" t="str">
        <f>HYPERLINK("https://audio.iskcondesiretree.com/02_-_ISKCON_Swamis/ISKCON_Swamis_-_R_to_Y/His_Holiness_Radhanath_Swami/Lectures/00_-_Year_wise/Devotional_Nectar_-_1995/1995-063_Initiation_Lecture_Lecture_Mumbai_-_Radhanath_Swami_1995-03-17.mp3", "1995-063_Initiation_Lecture_Lecture_Mumbai_-_Radhanath_Swami_1995-03-17.mp3")</f>
        <v>1995-063_Initiation_Lecture_Lecture_Mumbai_-_Radhanath_Swami_1995-03-17.mp3</v>
      </c>
      <c r="D929" s="11"/>
      <c r="E929" s="11"/>
    </row>
    <row r="930" spans="1:5">
      <c r="A930" s="12" t="s">
        <v>12462</v>
      </c>
      <c r="B930" s="12" t="s">
        <v>13886</v>
      </c>
      <c r="C930" s="13" t="str">
        <f>HYPERLINK("https://audio.iskcondesiretree.com/02_-_ISKCON_Swamis/ISKCON_Swamis_-_R_to_Y/His_Holiness_Radhanath_Swami/Lectures/00_-_Year_wise/Devotional_Nectar_-_1995/1995-064_Prabhupada_Pastimes_Lecture_Mumbai_-_Radhanath_Swami_1995-03-18.mp3", "1995-064_Prabhupada_Pastimes_Lecture_Mumbai_-_Radhanath_Swami_1995-03-18.mp3")</f>
        <v>1995-064_Prabhupada_Pastimes_Lecture_Mumbai_-_Radhanath_Swami_1995-03-18.mp3</v>
      </c>
      <c r="D930" s="11"/>
      <c r="E930" s="11"/>
    </row>
    <row r="931" spans="1:5">
      <c r="A931" s="12" t="s">
        <v>12462</v>
      </c>
      <c r="B931" s="12" t="s">
        <v>13887</v>
      </c>
      <c r="C931" s="13" t="str">
        <f>HYPERLINK("https://audio.iskcondesiretree.com/02_-_ISKCON_Swamis/ISKCON_Swamis_-_R_to_Y/His_Holiness_Radhanath_Swami/Lectures/00_-_Year_wise/Devotional_Nectar_-_1995/1995-065_Initiation_Lecture_Lecture_Mumbai_-_Radhanath_Swami_1995-03-18.mp3", "1995-065_Initiation_Lecture_Lecture_Mumbai_-_Radhanath_Swami_1995-03-18.mp3")</f>
        <v>1995-065_Initiation_Lecture_Lecture_Mumbai_-_Radhanath_Swami_1995-03-18.mp3</v>
      </c>
      <c r="D931" s="11"/>
      <c r="E931" s="11"/>
    </row>
    <row r="932" spans="1:5">
      <c r="A932" s="12" t="s">
        <v>12462</v>
      </c>
      <c r="B932" s="12" t="s">
        <v>13888</v>
      </c>
      <c r="C932" s="13" t="str">
        <f>HYPERLINK("https://audio.iskcondesiretree.com/02_-_ISKCON_Swamis/ISKCON_Swamis_-_R_to_Y/His_Holiness_Radhanath_Swami/Lectures/00_-_Year_wise/Devotional_Nectar_-_1995/1995-066_Pastimes_Of_Nimai_Lecture_Mumbai_-_Radhanath_Swami_1995-03-19.mp3", "1995-066_Pastimes_Of_Nimai_Lecture_Mumbai_-_Radhanath_Swami_1995-03-19.mp3")</f>
        <v>1995-066_Pastimes_Of_Nimai_Lecture_Mumbai_-_Radhanath_Swami_1995-03-19.mp3</v>
      </c>
      <c r="D932" s="11"/>
      <c r="E932" s="11"/>
    </row>
    <row r="933" spans="1:5">
      <c r="A933" s="12" t="s">
        <v>12462</v>
      </c>
      <c r="B933" s="12" t="s">
        <v>13889</v>
      </c>
      <c r="C933" s="13" t="str">
        <f>HYPERLINK("https://audio.iskcondesiretree.com/02_-_ISKCON_Swamis/ISKCON_Swamis_-_R_to_Y/His_Holiness_Radhanath_Swami/Lectures/00_-_Year_wise/Devotional_Nectar_-_1995/1995-067_Prabhupada_Night_Lecture_Mumbai_-_Radhanath_Swami_1995-03-23.mp3", "1995-067_Prabhupada_Night_Lecture_Mumbai_-_Radhanath_Swami_1995-03-23.mp3")</f>
        <v>1995-067_Prabhupada_Night_Lecture_Mumbai_-_Radhanath_Swami_1995-03-23.mp3</v>
      </c>
      <c r="D933" s="11"/>
      <c r="E933" s="11"/>
    </row>
    <row r="934" spans="1:5">
      <c r="A934" s="12" t="s">
        <v>12462</v>
      </c>
      <c r="B934" s="12" t="s">
        <v>13890</v>
      </c>
      <c r="C934" s="13" t="str">
        <f>HYPERLINK("https://audio.iskcondesiretree.com/02_-_ISKCON_Swamis/ISKCON_Swamis_-_R_to_Y/His_Holiness_Radhanath_Swami/Lectures/00_-_Year_wise/Devotional_Nectar_-_1995/1995-068_Understanding_Kurukshetra_And_Gita_Lecture_Kurukshetra_-_Radhanath_Swami_1995-03-24.mp3", "1995-068_Understanding_Kurukshetra_And_Gita_Lecture_Kurukshetra_-_Radhanath_Swami_1995-03-24.mp3")</f>
        <v>1995-068_Understanding_Kurukshetra_And_Gita_Lecture_Kurukshetra_-_Radhanath_Swami_1995-03-24.mp3</v>
      </c>
      <c r="D934" s="11"/>
      <c r="E934" s="11"/>
    </row>
    <row r="935" spans="1:5">
      <c r="A935" s="12" t="s">
        <v>12462</v>
      </c>
      <c r="B935" s="12" t="s">
        <v>13891</v>
      </c>
      <c r="C935" s="13" t="str">
        <f>HYPERLINK("https://audio.iskcondesiretree.com/02_-_ISKCON_Swamis/ISKCON_Swamis_-_R_to_Y/His_Holiness_Radhanath_Swami/Lectures/00_-_Year_wise/Devotional_Nectar_-_1995/1995-069_Lord_Jaganatha_Ratha_Yatra_SB-02_09_36_Kurukshetra_-_Radhanath_Swami_1995-03-25.mp3", "1995-069_Lord_Jaganatha_Ratha_Yatra_SB-02_09_36_Kurukshetra_-_Radhanath_Swami_1995-03-25.mp3")</f>
        <v>1995-069_Lord_Jaganatha_Ratha_Yatra_SB-02_09_36_Kurukshetra_-_Radhanath_Swami_1995-03-25.mp3</v>
      </c>
      <c r="D935" s="11"/>
      <c r="E935" s="11"/>
    </row>
    <row r="936" spans="1:5">
      <c r="A936" s="12" t="s">
        <v>12462</v>
      </c>
      <c r="B936" s="12" t="e">
        <v>#VALUE!</v>
      </c>
      <c r="C936" s="13" t="e">
        <f>HYPERLINK("https://audio.iskcondesiretree.com/02_-_ISKCON_Swamis/ISKCON_Swamis_-_R_to_Y/His_Holiness_Radhanath_Swami/Lectures/00_-_Year_wise/Devotional_Nectar_-_1995/1995-07-15_Various_-_Loving_Vaishnava_Relationships_Among_Family_in_Iskcon_-_RNS_Bhaktivedanta_Manor"&amp;".mp3", "1995-07-15_Various_-_Loving_Vaishnava_Relationships_Among_Family_in_Iskcon_-_RNS_Bhaktivedanta_Manor.mp3")</f>
        <v>#VALUE!</v>
      </c>
      <c r="D936" s="11"/>
      <c r="E936" s="11"/>
    </row>
    <row r="937" spans="1:5">
      <c r="A937" s="12" t="s">
        <v>12462</v>
      </c>
      <c r="B937" s="12" t="s">
        <v>13892</v>
      </c>
      <c r="C937" s="13" t="str">
        <f>HYPERLINK("https://audio.iskcondesiretree.com/02_-_ISKCON_Swamis/ISKCON_Swamis_-_R_to_Y/His_Holiness_Radhanath_Swami/Lectures/00_-_Year_wise/Devotional_Nectar_-_1995/1995-070_Glorification_Of_Srila_Prabhupada_Lecture_Kurukshetra_-_Radhanath_Swami_1995-03-26.mp3", "1995-070_Glorification_Of_Srila_Prabhupada_Lecture_Kurukshetra_-_Radhanath_Swami_1995-03-26.mp3")</f>
        <v>1995-070_Glorification_Of_Srila_Prabhupada_Lecture_Kurukshetra_-_Radhanath_Swami_1995-03-26.mp3</v>
      </c>
      <c r="D937" s="11"/>
      <c r="E937" s="11"/>
    </row>
    <row r="938" spans="1:5">
      <c r="A938" s="12" t="s">
        <v>12462</v>
      </c>
      <c r="B938" s="12" t="s">
        <v>13893</v>
      </c>
      <c r="C938" s="13" t="str">
        <f>HYPERLINK("https://audio.iskcondesiretree.com/02_-_ISKCON_Swamis/ISKCON_Swamis_-_R_to_Y/His_Holiness_Radhanath_Swami/Lectures/00_-_Year_wise/Devotional_Nectar_-_1995/1995-071_Material_Life_Means_Suffering_HT_-_BG-06_40_Kurukshetra_-_Radhanath_Swami_1995-03-27.mp3", "1995-071_Material_Life_Means_Suffering_HT_-_BG-06_40_Kurukshetra_-_Radhanath_Swami_1995-03-27.mp3")</f>
        <v>1995-071_Material_Life_Means_Suffering_HT_-_BG-06_40_Kurukshetra_-_Radhanath_Swami_1995-03-27.mp3</v>
      </c>
      <c r="D938" s="11"/>
      <c r="E938" s="11"/>
    </row>
    <row r="939" spans="1:5">
      <c r="A939" s="12" t="s">
        <v>12462</v>
      </c>
      <c r="B939" s="12" t="e">
        <v>#VALUE!</v>
      </c>
      <c r="C939" s="13" t="e">
        <f>HYPERLINK("https://audio.iskcondesiretree.com/02_-_ISKCON_Swamis/ISKCON_Swamis_-_R_to_Y/His_Holiness_Radhanath_Swami/Lectures/00_-_Year_wise/Devotional_Nectar_-_1995/1995-072_Service_Attitude_Changes_Our_Stone_Like_Heart_Lecture_Kurukshetra_-_27-03-95_IDesireTree.mp"&amp;"3", "1995-072_Service_Attitude_Changes_Our_Stone_Like_Heart_Lecture_Kurukshetra_-_27-03-95_IDesireTree.mp3")</f>
        <v>#VALUE!</v>
      </c>
      <c r="D939" s="11"/>
      <c r="E939" s="11"/>
    </row>
    <row r="940" spans="1:5">
      <c r="A940" s="12" t="s">
        <v>12462</v>
      </c>
      <c r="B940" s="12" t="s">
        <v>13894</v>
      </c>
      <c r="C940" s="13" t="str">
        <f>HYPERLINK("https://audio.iskcondesiretree.com/02_-_ISKCON_Swamis/ISKCON_Swamis_-_R_to_Y/His_Holiness_Radhanath_Swami/Lectures/00_-_Year_wise/Devotional_Nectar_-_1995/1995-073_How_The_Pandavas_Were_Protected_SB-01_09_02-03_Mumbai_-_30-03-95_IDesireTree.mp3", "1995-073_How_The_Pandavas_Were_Protected_SB-01_09_02-03_Mumbai_-_30-03-95_IDesireTree.mp3")</f>
        <v>1995-073_How_The_Pandavas_Were_Protected_SB-01_09_02-03_Mumbai_-_30-03-95_IDesireTree.mp3</v>
      </c>
      <c r="D940" s="11"/>
      <c r="E940" s="11"/>
    </row>
    <row r="941" spans="1:5">
      <c r="A941" s="12" t="s">
        <v>12462</v>
      </c>
      <c r="B941" s="12" t="s">
        <v>13895</v>
      </c>
      <c r="C941" s="13" t="str">
        <f>HYPERLINK("https://audio.iskcondesiretree.com/02_-_ISKCON_Swamis/ISKCON_Swamis_-_R_to_Y/His_Holiness_Radhanath_Swami/Lectures/00_-_Year_wise/Devotional_Nectar_-_1995/1995-074_Rath_Yatra_CC_ML-13_03_Mumbai_-_Radhanath_Swami_1995-03-31_IDesireTree.mp3", "1995-074_Rath_Yatra_CC_ML-13_03_Mumbai_-_Radhanath_Swami_1995-03-31_IDesireTree.mp3")</f>
        <v>1995-074_Rath_Yatra_CC_ML-13_03_Mumbai_-_Radhanath_Swami_1995-03-31_IDesireTree.mp3</v>
      </c>
      <c r="D941" s="11"/>
      <c r="E941" s="11"/>
    </row>
    <row r="942" spans="1:5">
      <c r="A942" s="12" t="s">
        <v>12462</v>
      </c>
      <c r="B942" s="12" t="s">
        <v>13896</v>
      </c>
      <c r="C942" s="13" t="str">
        <f>HYPERLINK("https://audio.iskcondesiretree.com/02_-_ISKCON_Swamis/ISKCON_Swamis_-_R_to_Y/His_Holiness_Radhanath_Swami/Lectures/00_-_Year_wise/Devotional_Nectar_-_1995/1995-075_Become_Humble_SB-01_09_04_Mumbai_-_01-04-95_IDesireTree.mp3", "1995-075_Become_Humble_SB-01_09_04_Mumbai_-_01-04-95_IDesireTree.mp3")</f>
        <v>1995-075_Become_Humble_SB-01_09_04_Mumbai_-_01-04-95_IDesireTree.mp3</v>
      </c>
      <c r="D942" s="11"/>
      <c r="E942" s="11"/>
    </row>
    <row r="943" spans="1:5">
      <c r="A943" s="12" t="s">
        <v>12462</v>
      </c>
      <c r="B943" s="12" t="s">
        <v>13897</v>
      </c>
      <c r="C943" s="13" t="str">
        <f>HYPERLINK("https://audio.iskcondesiretree.com/02_-_ISKCON_Swamis/ISKCON_Swamis_-_R_to_Y/His_Holiness_Radhanath_Swami/Lectures/00_-_Year_wise/Devotional_Nectar_-_1995/1995-075_How_Krishna_Consciousness_Develops_Lecture_Mumbai_-_01-04-95_IDesireTree.mp3", "1995-075_How_Krishna_Consciousness_Develops_Lecture_Mumbai_-_01-04-95_IDesireTree.mp3")</f>
        <v>1995-075_How_Krishna_Consciousness_Develops_Lecture_Mumbai_-_01-04-95_IDesireTree.mp3</v>
      </c>
      <c r="D943" s="11"/>
      <c r="E943" s="11"/>
    </row>
    <row r="944" spans="1:5">
      <c r="A944" s="12" t="s">
        <v>12462</v>
      </c>
      <c r="B944" s="12" t="s">
        <v>13898</v>
      </c>
      <c r="C944" s="13" t="str">
        <f>HYPERLINK("https://audio.iskcondesiretree.com/02_-_ISKCON_Swamis/ISKCON_Swamis_-_R_to_Y/His_Holiness_Radhanath_Swami/Lectures/00_-_Year_wise/Devotional_Nectar_-_1995/1995-076_Devotees_Desire-_Only_To_Serve_BG-12_17_Mumbai_-_02-04-95_new_IDesireTree.mp3", "1995-076_Devotees_Desire-_Only_To_Serve_BG-12_17_Mumbai_-_02-04-95_new_IDesireTree.mp3")</f>
        <v>1995-076_Devotees_Desire-_Only_To_Serve_BG-12_17_Mumbai_-_02-04-95_new_IDesireTree.mp3</v>
      </c>
      <c r="D944" s="11"/>
      <c r="E944" s="11"/>
    </row>
    <row r="945" spans="1:5">
      <c r="A945" s="12" t="s">
        <v>12462</v>
      </c>
      <c r="B945" s="12" t="s">
        <v>13899</v>
      </c>
      <c r="C945" s="13" t="str">
        <f>HYPERLINK("https://audio.iskcondesiretree.com/02_-_ISKCON_Swamis/ISKCON_Swamis_-_R_to_Y/His_Holiness_Radhanath_Swami/Lectures/00_-_Year_wise/Devotional_Nectar_-_1995/1995-077_Question_And_Answer_Q%26A_Massorie_-_Radhanath_Swami_1995-04-06_IDesireTree.mp3", "1995-077_Question_And_Answer_Q%26A_Massorie_-_Radhanath_Swami_1995-04-06_IDesireTree.mp3")</f>
        <v>1995-077_Question_And_Answer_Q%26A_Massorie_-_Radhanath_Swami_1995-04-06_IDesireTree.mp3</v>
      </c>
      <c r="D945" s="11"/>
      <c r="E945" s="11"/>
    </row>
    <row r="946" spans="1:5">
      <c r="A946" s="12" t="s">
        <v>12462</v>
      </c>
      <c r="B946" s="12" t="s">
        <v>13900</v>
      </c>
      <c r="C946" s="13" t="str">
        <f>HYPERLINK("https://audio.iskcondesiretree.com/02_-_ISKCON_Swamis/ISKCON_Swamis_-_R_to_Y/His_Holiness_Radhanath_Swami/Lectures/00_-_Year_wise/Devotional_Nectar_-_1995/1995-078_Developing_Krishna_Consciouness_SB-04_30_17-18_Delhi_-_06-05-95_IDesireTree.mp3", "1995-078_Developing_Krishna_Consciouness_SB-04_30_17-18_Delhi_-_06-05-95_IDesireTree.mp3")</f>
        <v>1995-078_Developing_Krishna_Consciouness_SB-04_30_17-18_Delhi_-_06-05-95_IDesireTree.mp3</v>
      </c>
      <c r="D946" s="11"/>
      <c r="E946" s="11"/>
    </row>
    <row r="947" spans="1:5">
      <c r="A947" s="12" t="s">
        <v>12462</v>
      </c>
      <c r="B947" s="12" t="s">
        <v>13901</v>
      </c>
      <c r="C947" s="13" t="str">
        <f>HYPERLINK("https://audio.iskcondesiretree.com/02_-_ISKCON_Swamis/ISKCON_Swamis_-_R_to_Y/His_Holiness_Radhanath_Swami/Lectures/00_-_Year_wise/Devotional_Nectar_-_1995/1995-079_Arrival_Lecture_Lecture_Mumbai_-_Radhanath_Swami_1995-08-09_IDesireTree.mp3", "1995-079_Arrival_Lecture_Lecture_Mumbai_-_Radhanath_Swami_1995-08-09_IDesireTree.mp3")</f>
        <v>1995-079_Arrival_Lecture_Lecture_Mumbai_-_Radhanath_Swami_1995-08-09_IDesireTree.mp3</v>
      </c>
      <c r="D947" s="11"/>
      <c r="E947" s="11"/>
    </row>
    <row r="948" spans="1:5">
      <c r="A948" s="12" t="s">
        <v>12462</v>
      </c>
      <c r="B948" s="12" t="s">
        <v>13902</v>
      </c>
      <c r="C948" s="13" t="str">
        <f>HYPERLINK("https://audio.iskcondesiretree.com/02_-_ISKCON_Swamis/ISKCON_Swamis_-_R_to_Y/His_Holiness_Radhanath_Swami/Lectures/00_-_Year_wise/Devotional_Nectar_-_1995/1995-080_Festival_Of_Jhulan_Yatra_Lecture_Mumbai_-_Radhanath_Swami_1995-08-09_IDesireTree.mp3", "1995-080_Festival_Of_Jhulan_Yatra_Lecture_Mumbai_-_Radhanath_Swami_1995-08-09_IDesireTree.mp3")</f>
        <v>1995-080_Festival_Of_Jhulan_Yatra_Lecture_Mumbai_-_Radhanath_Swami_1995-08-09_IDesireTree.mp3</v>
      </c>
      <c r="D948" s="11"/>
      <c r="E948" s="11"/>
    </row>
    <row r="949" spans="1:5">
      <c r="A949" s="12" t="s">
        <v>12462</v>
      </c>
      <c r="B949" s="12" t="s">
        <v>13903</v>
      </c>
      <c r="C949" s="13" t="str">
        <f>HYPERLINK("https://audio.iskcondesiretree.com/02_-_ISKCON_Swamis/ISKCON_Swamis_-_R_to_Y/His_Holiness_Radhanath_Swami/Lectures/00_-_Year_wise/Devotional_Nectar_-_1995/1995-081_Leaders_Should_Be_Like_King_Shibi_SB-01_12_20_Mumbai_-_10-08-95_IDesireTree.mp3", "1995-081_Leaders_Should_Be_Like_King_Shibi_SB-01_12_20_Mumbai_-_10-08-95_IDesireTree.mp3")</f>
        <v>1995-081_Leaders_Should_Be_Like_King_Shibi_SB-01_12_20_Mumbai_-_10-08-95_IDesireTree.mp3</v>
      </c>
      <c r="D949" s="11"/>
      <c r="E949" s="11"/>
    </row>
    <row r="950" spans="1:5">
      <c r="A950" s="12" t="s">
        <v>12462</v>
      </c>
      <c r="B950" s="12" t="s">
        <v>13904</v>
      </c>
      <c r="C950" s="13" t="str">
        <f>HYPERLINK("https://audio.iskcondesiretree.com/02_-_ISKCON_Swamis/ISKCON_Swamis_-_R_to_Y/His_Holiness_Radhanath_Swami/Lectures/00_-_Year_wise/Devotional_Nectar_-_1995/1995-082_Lord_Balaram%27s_Appearence_Day_SB-10_08_12_Mumbai_-_10-08-95_IDesireTree.mp3", "1995-082_Lord_Balaram%27s_Appearence_Day_SB-10_08_12_Mumbai_-_10-08-95_IDesireTree.mp3")</f>
        <v>1995-082_Lord_Balaram%27s_Appearence_Day_SB-10_08_12_Mumbai_-_10-08-95_IDesireTree.mp3</v>
      </c>
      <c r="D950" s="11"/>
      <c r="E950" s="11"/>
    </row>
    <row r="951" spans="1:5">
      <c r="A951" s="12" t="s">
        <v>12462</v>
      </c>
      <c r="B951" s="12" t="s">
        <v>13905</v>
      </c>
      <c r="C951" s="13" t="str">
        <f>HYPERLINK("https://audio.iskcondesiretree.com/02_-_ISKCON_Swamis/ISKCON_Swamis_-_R_to_Y/His_Holiness_Radhanath_Swami/Lectures/00_-_Year_wise/Devotional_Nectar_-_1995/1995-083_Preaching_By_Our_Own_Actions_SB-07_10_39_Mumbai_-_12-08-95_IDesireTree.mp3", "1995-083_Preaching_By_Our_Own_Actions_SB-07_10_39_Mumbai_-_12-08-95_IDesireTree.mp3")</f>
        <v>1995-083_Preaching_By_Our_Own_Actions_SB-07_10_39_Mumbai_-_12-08-95_IDesireTree.mp3</v>
      </c>
      <c r="D951" s="11"/>
      <c r="E951" s="11"/>
    </row>
    <row r="952" spans="1:5">
      <c r="A952" s="12" t="s">
        <v>12462</v>
      </c>
      <c r="B952" s="12" t="s">
        <v>13906</v>
      </c>
      <c r="C952" s="13" t="str">
        <f>HYPERLINK("https://audio.iskcondesiretree.com/02_-_ISKCON_Swamis/ISKCON_Swamis_-_R_to_Y/His_Holiness_Radhanath_Swami/Lectures/00_-_Year_wise/Devotional_Nectar_-_1995/1995-084_Fight_Against_Crisis_Of_Doubts_SB-01_12_21_Mumbai_-_13-08-95_IDesireTree.mp3", "1995-084_Fight_Against_Crisis_Of_Doubts_SB-01_12_21_Mumbai_-_13-08-95_IDesireTree.mp3")</f>
        <v>1995-084_Fight_Against_Crisis_Of_Doubts_SB-01_12_21_Mumbai_-_13-08-95_IDesireTree.mp3</v>
      </c>
      <c r="D952" s="11"/>
      <c r="E952" s="11"/>
    </row>
    <row r="953" spans="1:5">
      <c r="A953" s="12" t="s">
        <v>12462</v>
      </c>
      <c r="B953" s="12" t="s">
        <v>13907</v>
      </c>
      <c r="C953" s="13" t="str">
        <f>HYPERLINK("https://audio.iskcondesiretree.com/02_-_ISKCON_Swamis/ISKCON_Swamis_-_R_to_Y/His_Holiness_Radhanath_Swami/Lectures/00_-_Year_wise/Devotional_Nectar_-_1995/1995-085_What_Is_Yukta_Vairagya_BG-03_06_Mumbai_-_Radhanath_Swami_1995-08-13_IDesireTree.mp3", "1995-085_What_Is_Yukta_Vairagya_BG-03_06_Mumbai_-_Radhanath_Swami_1995-08-13_IDesireTree.mp3")</f>
        <v>1995-085_What_Is_Yukta_Vairagya_BG-03_06_Mumbai_-_Radhanath_Swami_1995-08-13_IDesireTree.mp3</v>
      </c>
      <c r="D953" s="11"/>
      <c r="E953" s="11"/>
    </row>
    <row r="954" spans="1:5">
      <c r="A954" s="12" t="s">
        <v>12462</v>
      </c>
      <c r="B954" s="12" t="s">
        <v>13908</v>
      </c>
      <c r="C954" s="13" t="str">
        <f>HYPERLINK("https://audio.iskcondesiretree.com/02_-_ISKCON_Swamis/ISKCON_Swamis_-_R_to_Y/His_Holiness_Radhanath_Swami/Lectures/00_-_Year_wise/Devotional_Nectar_-_1995/1995-086_Krishna_Is_Our_Only_Shelter_SB-01_12_23_Mumbai_-_Radhanath_Swami_1995-08-15_IDesireTree.mp3", "1995-086_Krishna_Is_Our_Only_Shelter_SB-01_12_23_Mumbai_-_Radhanath_Swami_1995-08-15_IDesireTree.mp3")</f>
        <v>1995-086_Krishna_Is_Our_Only_Shelter_SB-01_12_23_Mumbai_-_Radhanath_Swami_1995-08-15_IDesireTree.mp3</v>
      </c>
      <c r="D954" s="11"/>
      <c r="E954" s="11"/>
    </row>
    <row r="955" spans="1:5">
      <c r="A955" s="12" t="s">
        <v>12462</v>
      </c>
      <c r="B955" s="12" t="s">
        <v>13909</v>
      </c>
      <c r="C955" s="13" t="str">
        <f>HYPERLINK("https://audio.iskcondesiretree.com/02_-_ISKCON_Swamis/ISKCON_Swamis_-_R_to_Y/His_Holiness_Radhanath_Swami/Lectures/00_-_Year_wise/Devotional_Nectar_-_1995/1995-087_Significance_Of_Krishna%27s_Appearance_Lecture_Mumbai_-_18-08-95_IDesireTree.mp3", "1995-087_Significance_Of_Krishna%27s_Appearance_Lecture_Mumbai_-_18-08-95_IDesireTree.mp3")</f>
        <v>1995-087_Significance_Of_Krishna%27s_Appearance_Lecture_Mumbai_-_18-08-95_IDesireTree.mp3</v>
      </c>
      <c r="D955" s="11"/>
      <c r="E955" s="11"/>
    </row>
    <row r="956" spans="1:5">
      <c r="A956" s="12" t="s">
        <v>12462</v>
      </c>
      <c r="B956" s="12" t="s">
        <v>13910</v>
      </c>
      <c r="C956" s="13" t="str">
        <f>HYPERLINK("https://audio.iskcondesiretree.com/02_-_ISKCON_Swamis/ISKCON_Swamis_-_R_to_Y/His_Holiness_Radhanath_Swami/Lectures/00_-_Year_wise/Devotional_Nectar_-_1995/1995-088_Janmashtami_Katha_SB-10_01_16_Mumbai_-_Radhanath_Swami_1995-08-18_IDesireTree.mp3", "1995-088_Janmashtami_Katha_SB-10_01_16_Mumbai_-_Radhanath_Swami_1995-08-18_IDesireTree.mp3")</f>
        <v>1995-088_Janmashtami_Katha_SB-10_01_16_Mumbai_-_Radhanath_Swami_1995-08-18_IDesireTree.mp3</v>
      </c>
      <c r="D956" s="11"/>
      <c r="E956" s="11"/>
    </row>
    <row r="957" spans="1:5">
      <c r="A957" s="12" t="s">
        <v>12462</v>
      </c>
      <c r="B957" s="12" t="s">
        <v>13911</v>
      </c>
      <c r="C957" s="13" t="str">
        <f>HYPERLINK("https://audio.iskcondesiretree.com/02_-_ISKCON_Swamis/ISKCON_Swamis_-_R_to_Y/His_Holiness_Radhanath_Swami/Lectures/00_-_Year_wise/Devotional_Nectar_-_1995/1995-089_Offring_To_Srila_Prabhupada_Lecture_Mumbai_-_Radhanath_Swami_1995-08-19_IDesireTree.mp3", "1995-089_Offring_To_Srila_Prabhupada_Lecture_Mumbai_-_Radhanath_Swami_1995-08-19_IDesireTree.mp3")</f>
        <v>1995-089_Offring_To_Srila_Prabhupada_Lecture_Mumbai_-_Radhanath_Swami_1995-08-19_IDesireTree.mp3</v>
      </c>
      <c r="D957" s="11"/>
      <c r="E957" s="11"/>
    </row>
    <row r="958" spans="1:5">
      <c r="A958" s="12" t="s">
        <v>12462</v>
      </c>
      <c r="B958" s="12" t="s">
        <v>13912</v>
      </c>
      <c r="C958" s="13" t="str">
        <f>HYPERLINK("https://audio.iskcondesiretree.com/02_-_ISKCON_Swamis/ISKCON_Swamis_-_R_to_Y/His_Holiness_Radhanath_Swami/Lectures/00_-_Year_wise/Devotional_Nectar_-_1995/1995-090_What_To_Ask_From_Krishna_SB-01_02_07_Mumbai_-_Radhanath_Swami_1995-08-20_IDesireTree.mp3", "1995-090_What_To_Ask_From_Krishna_SB-01_02_07_Mumbai_-_Radhanath_Swami_1995-08-20_IDesireTree.mp3")</f>
        <v>1995-090_What_To_Ask_From_Krishna_SB-01_02_07_Mumbai_-_Radhanath_Swami_1995-08-20_IDesireTree.mp3</v>
      </c>
      <c r="D958" s="11"/>
      <c r="E958" s="11"/>
    </row>
    <row r="959" spans="1:5">
      <c r="A959" s="12" t="s">
        <v>12462</v>
      </c>
      <c r="B959" s="12" t="s">
        <v>13913</v>
      </c>
      <c r="C959" s="13" t="str">
        <f>HYPERLINK("https://audio.iskcondesiretree.com/02_-_ISKCON_Swamis/ISKCON_Swamis_-_R_to_Y/His_Holiness_Radhanath_Swami/Lectures/00_-_Year_wise/Devotional_Nectar_-_1995/1995-091_Glories_Of_Srila_Prabhupada_Lecture_Mumbai_-_Radhanath_Swami_1995-08-20_IDesireTree.mp3", "1995-091_Glories_Of_Srila_Prabhupada_Lecture_Mumbai_-_Radhanath_Swami_1995-08-20_IDesireTree.mp3")</f>
        <v>1995-091_Glories_Of_Srila_Prabhupada_Lecture_Mumbai_-_Radhanath_Swami_1995-08-20_IDesireTree.mp3</v>
      </c>
      <c r="D959" s="11"/>
      <c r="E959" s="11"/>
    </row>
    <row r="960" spans="1:5">
      <c r="A960" s="12" t="s">
        <v>12462</v>
      </c>
      <c r="B960" s="12" t="s">
        <v>13914</v>
      </c>
      <c r="C960" s="13" t="str">
        <f>HYPERLINK("https://audio.iskcondesiretree.com/02_-_ISKCON_Swamis/ISKCON_Swamis_-_R_to_Y/His_Holiness_Radhanath_Swami/Lectures/00_-_Year_wise/Devotional_Nectar_-_1995/1995-092_Krishna_Supreme_Source_Of_Everything_Ht_-_BG-07_07_Palghar_-_23-08-95_IDesireTree.mp3", "1995-092_Krishna_Supreme_Source_Of_Everything_Ht_-_BG-07_07_Palghar_-_23-08-95_IDesireTree.mp3")</f>
        <v>1995-092_Krishna_Supreme_Source_Of_Everything_Ht_-_BG-07_07_Palghar_-_23-08-95_IDesireTree.mp3</v>
      </c>
      <c r="D960" s="11"/>
      <c r="E960" s="11"/>
    </row>
    <row r="961" spans="1:5">
      <c r="A961" s="12" t="s">
        <v>12462</v>
      </c>
      <c r="B961" s="12" t="s">
        <v>13915</v>
      </c>
      <c r="C961" s="13" t="str">
        <f>HYPERLINK("https://audio.iskcondesiretree.com/02_-_ISKCON_Swamis/ISKCON_Swamis_-_R_to_Y/His_Holiness_Radhanath_Swami/Lectures/00_-_Year_wise/Devotional_Nectar_-_1995/1995-093_Maharaj_Yudhisthir_Ideal_Leader_SB-01_12_34_Mumbai_-_25-08-95_IDesireTree.mp3", "1995-093_Maharaj_Yudhisthir_Ideal_Leader_SB-01_12_34_Mumbai_-_25-08-95_IDesireTree.mp3")</f>
        <v>1995-093_Maharaj_Yudhisthir_Ideal_Leader_SB-01_12_34_Mumbai_-_25-08-95_IDesireTree.mp3</v>
      </c>
      <c r="D961" s="11"/>
      <c r="E961" s="11"/>
    </row>
    <row r="962" spans="1:5">
      <c r="A962" s="12" t="s">
        <v>12462</v>
      </c>
      <c r="B962" s="12" t="s">
        <v>13916</v>
      </c>
      <c r="C962" s="13" t="str">
        <f>HYPERLINK("https://audio.iskcondesiretree.com/02_-_ISKCON_Swamis/ISKCON_Swamis_-_R_to_Y/His_Holiness_Radhanath_Swami/Lectures/00_-_Year_wise/Devotional_Nectar_-_1995/1995-094_Krishna_Is_Realised_Gradually_SB-02_04_06_Mumbai_-_25-08-95_IDesireTree.mp3", "1995-094_Krishna_Is_Realised_Gradually_SB-02_04_06_Mumbai_-_25-08-95_IDesireTree.mp3")</f>
        <v>1995-094_Krishna_Is_Realised_Gradually_SB-02_04_06_Mumbai_-_25-08-95_IDesireTree.mp3</v>
      </c>
      <c r="D962" s="11"/>
      <c r="E962" s="11"/>
    </row>
    <row r="963" spans="1:5">
      <c r="A963" s="12" t="s">
        <v>12462</v>
      </c>
      <c r="B963" s="12" t="s">
        <v>13917</v>
      </c>
      <c r="C963" s="13" t="str">
        <f>HYPERLINK("https://audio.iskcondesiretree.com/02_-_ISKCON_Swamis/ISKCON_Swamis_-_R_to_Y/His_Holiness_Radhanath_Swami/Lectures/00_-_Year_wise/Devotional_Nectar_-_1995/1995-095_Always_Glorify_Devotees_BG-10_09_Mumbai_-_Radhanath_Swami_1995-08-29_IDesireTree.mp3", "1995-095_Always_Glorify_Devotees_BG-10_09_Mumbai_-_Radhanath_Swami_1995-08-29_IDesireTree.mp3")</f>
        <v>1995-095_Always_Glorify_Devotees_BG-10_09_Mumbai_-_Radhanath_Swami_1995-08-29_IDesireTree.mp3</v>
      </c>
      <c r="D963" s="11"/>
      <c r="E963" s="11"/>
    </row>
    <row r="964" spans="1:5">
      <c r="A964" s="12" t="s">
        <v>12462</v>
      </c>
      <c r="B964" s="12" t="s">
        <v>13918</v>
      </c>
      <c r="C964" s="13" t="str">
        <f>HYPERLINK("https://audio.iskcondesiretree.com/02_-_ISKCON_Swamis/ISKCON_Swamis_-_R_to_Y/His_Holiness_Radhanath_Swami/Lectures/00_-_Year_wise/Devotional_Nectar_-_1995/1995-096_Greatness_Of_Yamaraj_And_Vidura_SB-01_13_01_Mumbai_-_29-08-95_IDesireTree.mp3", "1995-096_Greatness_Of_Yamaraj_And_Vidura_SB-01_13_01_Mumbai_-_29-08-95_IDesireTree.mp3")</f>
        <v>1995-096_Greatness_Of_Yamaraj_And_Vidura_SB-01_13_01_Mumbai_-_29-08-95_IDesireTree.mp3</v>
      </c>
      <c r="D964" s="11"/>
      <c r="E964" s="11"/>
    </row>
    <row r="965" spans="1:5">
      <c r="A965" s="12" t="s">
        <v>12462</v>
      </c>
      <c r="B965" s="12" t="s">
        <v>13919</v>
      </c>
      <c r="C965" s="13" t="str">
        <f>HYPERLINK("https://audio.iskcondesiretree.com/02_-_ISKCON_Swamis/ISKCON_Swamis_-_R_to_Y/His_Holiness_Radhanath_Swami/Lectures/00_-_Year_wise/Devotional_Nectar_-_1995/1995-097_Importance_Of_Disciplic_Succession_Lecture_Pune_-_30-08-95_IDesireTree.mp3", "1995-097_Importance_Of_Disciplic_Succession_Lecture_Pune_-_30-08-95_IDesireTree.mp3")</f>
        <v>1995-097_Importance_Of_Disciplic_Succession_Lecture_Pune_-_30-08-95_IDesireTree.mp3</v>
      </c>
      <c r="D965" s="11"/>
      <c r="E965" s="11"/>
    </row>
    <row r="966" spans="1:5">
      <c r="A966" s="12" t="s">
        <v>12462</v>
      </c>
      <c r="B966" s="12" t="s">
        <v>13920</v>
      </c>
      <c r="C966" s="13" t="str">
        <f>HYPERLINK("https://audio.iskcondesiretree.com/02_-_ISKCON_Swamis/ISKCON_Swamis_-_R_to_Y/His_Holiness_Radhanath_Swami/Lectures/00_-_Year_wise/Devotional_Nectar_-_1995/1995-098_More_You_Enjoy_More_You_Suffer_SB-08_07_39_Pune_-_30-08-95_IDesireTree.mp3", "1995-098_More_You_Enjoy_More_You_Suffer_SB-08_07_39_Pune_-_30-08-95_IDesireTree.mp3")</f>
        <v>1995-098_More_You_Enjoy_More_You_Suffer_SB-08_07_39_Pune_-_30-08-95_IDesireTree.mp3</v>
      </c>
      <c r="D966" s="11"/>
      <c r="E966" s="11"/>
    </row>
    <row r="967" spans="1:5">
      <c r="A967" s="12" t="s">
        <v>12462</v>
      </c>
      <c r="B967" s="12" t="s">
        <v>13921</v>
      </c>
      <c r="C967" s="13" t="str">
        <f>HYPERLINK("https://audio.iskcondesiretree.com/02_-_ISKCON_Swamis/ISKCON_Swamis_-_R_to_Y/His_Holiness_Radhanath_Swami/Lectures/00_-_Year_wise/Devotional_Nectar_-_1995/1995-099_Be_Determined_In_Devotional_Service_SB-04_11_02_Pune_-_31-08-95_IDesireTree.mp3", "1995-099_Be_Determined_In_Devotional_Service_SB-04_11_02_Pune_-_31-08-95_IDesireTree.mp3")</f>
        <v>1995-099_Be_Determined_In_Devotional_Service_SB-04_11_02_Pune_-_31-08-95_IDesireTree.mp3</v>
      </c>
      <c r="D967" s="11"/>
      <c r="E967" s="11"/>
    </row>
    <row r="968" spans="1:5">
      <c r="A968" s="12" t="s">
        <v>12462</v>
      </c>
      <c r="B968" s="12" t="s">
        <v>13922</v>
      </c>
      <c r="C968" s="13" t="str">
        <f>HYPERLINK("https://audio.iskcondesiretree.com/02_-_ISKCON_Swamis/ISKCON_Swamis_-_R_to_Y/His_Holiness_Radhanath_Swami/Lectures/00_-_Year_wise/Devotional_Nectar_-_1995/1995-100_Gita-_Practical_Way_OF_Life_HT_-_BG-03_30_Pune_-_Radhanath_Swami_1995-08-31_IDesireTree.mp3", "1995-100_Gita-_Practical_Way_OF_Life_HT_-_BG-03_30_Pune_-_Radhanath_Swami_1995-08-31_IDesireTree.mp3")</f>
        <v>1995-100_Gita-_Practical_Way_OF_Life_HT_-_BG-03_30_Pune_-_Radhanath_Swami_1995-08-31_IDesireTree.mp3</v>
      </c>
      <c r="D968" s="11"/>
      <c r="E968" s="11"/>
    </row>
    <row r="969" spans="1:5">
      <c r="A969" s="12" t="s">
        <v>12462</v>
      </c>
      <c r="B969" s="12" t="e">
        <v>#VALUE!</v>
      </c>
      <c r="C969" s="13" t="e">
        <f>HYPERLINK("https://audio.iskcondesiretree.com/02_-_ISKCON_Swamis/ISKCON_Swamis_-_R_to_Y/His_Holiness_Radhanath_Swami/Lectures/00_-_Year_wise/Devotional_Nectar_-_1995/1995-101_Discussion_On_Shiva_%26_Past_Life_Of_Radhanath_Swami_Lecture_Pune_-_01-09-95_IDesireTree.mp"&amp;"3", "1995-101_Discussion_On_Shiva_%26_Past_Life_Of_Radhanath_Swami_Lecture_Pune_-_01-09-95_IDesireTree.mp3")</f>
        <v>#VALUE!</v>
      </c>
      <c r="D969" s="11"/>
      <c r="E969" s="11"/>
    </row>
    <row r="970" spans="1:5">
      <c r="A970" s="12" t="s">
        <v>12462</v>
      </c>
      <c r="B970" s="12" t="s">
        <v>13923</v>
      </c>
      <c r="C970" s="13" t="str">
        <f>HYPERLINK("https://audio.iskcondesiretree.com/02_-_ISKCON_Swamis/ISKCON_Swamis_-_R_to_Y/His_Holiness_Radhanath_Swami/Lectures/00_-_Year_wise/Devotional_Nectar_-_1995/1995-102_Srimati_Radharani-_Embodiment_Of_Devotion_CC_Adi-04_68-69_Mumbai_-_02-09-95_IDesireTree.mp3", "1995-102_Srimati_Radharani-_Embodiment_Of_Devotion_CC_Adi-04_68-69_Mumbai_-_02-09-95_IDesireTree.mp3")</f>
        <v>1995-102_Srimati_Radharani-_Embodiment_Of_Devotion_CC_Adi-04_68-69_Mumbai_-_02-09-95_IDesireTree.mp3</v>
      </c>
      <c r="D970" s="11"/>
      <c r="E970" s="11"/>
    </row>
    <row r="971" spans="1:5">
      <c r="A971" s="12" t="s">
        <v>12462</v>
      </c>
      <c r="B971" s="12" t="s">
        <v>13924</v>
      </c>
      <c r="C971" s="13" t="str">
        <f>HYPERLINK("https://audio.iskcondesiretree.com/02_-_ISKCON_Swamis/ISKCON_Swamis_-_R_to_Y/His_Holiness_Radhanath_Swami/Lectures/00_-_Year_wise/Devotional_Nectar_-_1995/1995-103_Gopis_Are_Supreme_Devotees_BG-12_20_Mumbai_-_Radhanath_Swami_1995-09-03_IDesireTree.mp3", "1995-103_Gopis_Are_Supreme_Devotees_BG-12_20_Mumbai_-_Radhanath_Swami_1995-09-03_IDesireTree.mp3")</f>
        <v>1995-103_Gopis_Are_Supreme_Devotees_BG-12_20_Mumbai_-_Radhanath_Swami_1995-09-03_IDesireTree.mp3</v>
      </c>
      <c r="D971" s="11"/>
      <c r="E971" s="11"/>
    </row>
    <row r="972" spans="1:5">
      <c r="A972" s="12" t="s">
        <v>12462</v>
      </c>
      <c r="B972" s="12" t="s">
        <v>13925</v>
      </c>
      <c r="C972" s="13" t="str">
        <f>HYPERLINK("https://audio.iskcondesiretree.com/02_-_ISKCON_Swamis/ISKCON_Swamis_-_R_to_Y/His_Holiness_Radhanath_Swami/Lectures/00_-_Year_wise/Devotional_Nectar_-_1995/1995-104_How_To_Welcome_Devotees_SB-01_13_09_Mumbai_-_Radhanath_Swami_1995-09-05_IDesireTree.mp3", "1995-104_How_To_Welcome_Devotees_SB-01_13_09_Mumbai_-_Radhanath_Swami_1995-09-05_IDesireTree.mp3")</f>
        <v>1995-104_How_To_Welcome_Devotees_SB-01_13_09_Mumbai_-_Radhanath_Swami_1995-09-05_IDesireTree.mp3</v>
      </c>
      <c r="D972" s="11"/>
      <c r="E972" s="11"/>
    </row>
    <row r="973" spans="1:5">
      <c r="A973" s="12" t="s">
        <v>12462</v>
      </c>
      <c r="B973" s="12" t="s">
        <v>13926</v>
      </c>
      <c r="C973" s="13" t="str">
        <f>HYPERLINK("https://audio.iskcondesiretree.com/02_-_ISKCON_Swamis/ISKCON_Swamis_-_R_to_Y/His_Holiness_Radhanath_Swami/Lectures/00_-_Year_wise/Devotional_Nectar_-_1995/1995-105_Mahamaya_And_Yogamaya_BG-13_31-32_Mumbai_-_Radhanath_Swami_1995-09-15_IDesireTree.mp3", "1995-105_Mahamaya_And_Yogamaya_BG-13_31-32_Mumbai_-_Radhanath_Swami_1995-09-15_IDesireTree.mp3")</f>
        <v>1995-105_Mahamaya_And_Yogamaya_BG-13_31-32_Mumbai_-_Radhanath_Swami_1995-09-15_IDesireTree.mp3</v>
      </c>
      <c r="D973" s="11"/>
      <c r="E973" s="11"/>
    </row>
    <row r="974" spans="1:5">
      <c r="A974" s="12" t="s">
        <v>12462</v>
      </c>
      <c r="B974" s="12" t="s">
        <v>13927</v>
      </c>
      <c r="C974" s="13" t="str">
        <f>HYPERLINK("https://audio.iskcondesiretree.com/02_-_ISKCON_Swamis/ISKCON_Swamis_-_R_to_Y/His_Holiness_Radhanath_Swami/Lectures/00_-_Year_wise/Devotional_Nectar_-_1995/1995-106_Story_Of_Chand_Kazi_BG-12_08_Mumbai_-_Radhanath_Swami_1995-09-17_IDesireTree.mp3", "1995-106_Story_Of_Chand_Kazi_BG-12_08_Mumbai_-_Radhanath_Swami_1995-09-17_IDesireTree.mp3")</f>
        <v>1995-106_Story_Of_Chand_Kazi_BG-12_08_Mumbai_-_Radhanath_Swami_1995-09-17_IDesireTree.mp3</v>
      </c>
      <c r="D974" s="11"/>
      <c r="E974" s="11"/>
    </row>
    <row r="975" spans="1:5">
      <c r="A975" s="12" t="s">
        <v>12462</v>
      </c>
      <c r="B975" s="12" t="s">
        <v>13928</v>
      </c>
      <c r="C975" s="13" t="str">
        <f>HYPERLINK("https://audio.iskcondesiretree.com/02_-_ISKCON_Swamis/ISKCON_Swamis_-_R_to_Y/His_Holiness_Radhanath_Swami/Lectures/00_-_Year_wise/Devotional_Nectar_-_1995/1995-107_Materialistic_People_Material_Desire_SB-01_13_27_Mumbai_-_23-09-95_IDesireTree.mp3", "1995-107_Materialistic_People_Material_Desire_SB-01_13_27_Mumbai_-_23-09-95_IDesireTree.mp3")</f>
        <v>1995-107_Materialistic_People_Material_Desire_SB-01_13_27_Mumbai_-_23-09-95_IDesireTree.mp3</v>
      </c>
      <c r="D975" s="11"/>
      <c r="E975" s="11"/>
    </row>
    <row r="976" spans="1:5">
      <c r="A976" s="12" t="s">
        <v>12462</v>
      </c>
      <c r="B976" s="12" t="s">
        <v>13929</v>
      </c>
      <c r="C976" s="13" t="str">
        <f>HYPERLINK("https://audio.iskcondesiretree.com/02_-_ISKCON_Swamis/ISKCON_Swamis_-_R_to_Y/His_Holiness_Radhanath_Swami/Lectures/00_-_Year_wise/Devotional_Nectar_-_1995/1995-108_Aspiring_For_Service_BG-02-52_Mumbai_-_Radhanath_Swami_1995-09-24_IDesireTree.mp3", "1995-108_Aspiring_For_Service_BG-02-52_Mumbai_-_Radhanath_Swami_1995-09-24_IDesireTree.mp3")</f>
        <v>1995-108_Aspiring_For_Service_BG-02-52_Mumbai_-_Radhanath_Swami_1995-09-24_IDesireTree.mp3</v>
      </c>
      <c r="D976" s="11"/>
      <c r="E976" s="11"/>
    </row>
    <row r="977" spans="1:5">
      <c r="A977" s="12" t="s">
        <v>12462</v>
      </c>
      <c r="B977" s="12" t="s">
        <v>13930</v>
      </c>
      <c r="C977" s="13" t="str">
        <f>HYPERLINK("https://audio.iskcondesiretree.com/02_-_ISKCON_Swamis/ISKCON_Swamis_-_R_to_Y/His_Holiness_Radhanath_Swami/Lectures/00_-_Year_wise/Devotional_Nectar_-_1995/1995-109_Lust_Greatest_Bondage_SB-07_06_17-18_Delhi_-_Radhanath_Swami_1995-09-29_IDesireTree.mp3", "1995-109_Lust_Greatest_Bondage_SB-07_06_17-18_Delhi_-_Radhanath_Swami_1995-09-29_IDesireTree.mp3")</f>
        <v>1995-109_Lust_Greatest_Bondage_SB-07_06_17-18_Delhi_-_Radhanath_Swami_1995-09-29_IDesireTree.mp3</v>
      </c>
      <c r="D977" s="11"/>
      <c r="E977" s="11"/>
    </row>
    <row r="978" spans="1:5">
      <c r="A978" s="12" t="s">
        <v>12462</v>
      </c>
      <c r="B978" s="12" t="s">
        <v>13931</v>
      </c>
      <c r="C978" s="13" t="str">
        <f>HYPERLINK("https://audio.iskcondesiretree.com/02_-_ISKCON_Swamis/ISKCON_Swamis_-_R_to_Y/His_Holiness_Radhanath_Swami/Lectures/00_-_Year_wise/Devotional_Nectar_-_1995/1995-110_Question_And_Answers_Q%26A_Mumbai_-_Radhanath_Swami_1995-09-30_IDesireTree.mp3", "1995-110_Question_And_Answers_Q%26A_Mumbai_-_Radhanath_Swami_1995-09-30_IDesireTree.mp3")</f>
        <v>1995-110_Question_And_Answers_Q%26A_Mumbai_-_Radhanath_Swami_1995-09-30_IDesireTree.mp3</v>
      </c>
      <c r="D978" s="11"/>
      <c r="E978" s="11"/>
    </row>
    <row r="979" spans="1:5">
      <c r="A979" s="12" t="s">
        <v>12462</v>
      </c>
      <c r="B979" s="12" t="s">
        <v>13932</v>
      </c>
      <c r="C979" s="13" t="str">
        <f>HYPERLINK("https://audio.iskcondesiretree.com/02_-_ISKCON_Swamis/ISKCON_Swamis_-_R_to_Y/His_Holiness_Radhanath_Swami/Lectures/00_-_Year_wise/Devotional_Nectar_-_1995/1995-112_Instructions_Of_Lord_Rishabhdev_SB-05_05_03_Mumbai_-_01-10-95_IDesireTree.mp3", "1995-112_Instructions_Of_Lord_Rishabhdev_SB-05_05_03_Mumbai_-_01-10-95_IDesireTree.mp3")</f>
        <v>1995-112_Instructions_Of_Lord_Rishabhdev_SB-05_05_03_Mumbai_-_01-10-95_IDesireTree.mp3</v>
      </c>
      <c r="D979" s="11"/>
      <c r="E979" s="11"/>
    </row>
    <row r="980" spans="1:5">
      <c r="A980" s="12" t="s">
        <v>12462</v>
      </c>
      <c r="B980" s="12" t="s">
        <v>13933</v>
      </c>
      <c r="C980" s="13" t="str">
        <f>HYPERLINK("https://audio.iskcondesiretree.com/02_-_ISKCON_Swamis/ISKCON_Swamis_-_R_to_Y/His_Holiness_Radhanath_Swami/Lectures/00_-_Year_wise/Devotional_Nectar_-_1995/1995-113_Four_Types_Of_Devotees_HT_-_BG-07_16_Mumbai_-_Radhanath_Swami_1995-10-02_IDesireTree.mp3", "1995-113_Four_Types_Of_Devotees_HT_-_BG-07_16_Mumbai_-_Radhanath_Swami_1995-10-02_IDesireTree.mp3")</f>
        <v>1995-113_Four_Types_Of_Devotees_HT_-_BG-07_16_Mumbai_-_Radhanath_Swami_1995-10-02_IDesireTree.mp3</v>
      </c>
      <c r="D980" s="11"/>
      <c r="E980" s="11"/>
    </row>
    <row r="981" spans="1:5">
      <c r="A981" s="12" t="s">
        <v>12462</v>
      </c>
      <c r="B981" s="12" t="s">
        <v>13934</v>
      </c>
      <c r="C981" s="13" t="str">
        <f>HYPERLINK("https://audio.iskcondesiretree.com/02_-_ISKCON_Swamis/ISKCON_Swamis_-_R_to_Y/His_Holiness_Radhanath_Swami/Lectures/00_-_Year_wise/Devotional_Nectar_-_1995/1995-114_Pastimes_Of_Lord_Rama_SB-09_10_23_Mumbai_-_Radhanath_Swami_1995-10-03_IDesireTree.mp3", "1995-114_Pastimes_Of_Lord_Rama_SB-09_10_23_Mumbai_-_Radhanath_Swami_1995-10-03_IDesireTree.mp3")</f>
        <v>1995-114_Pastimes_Of_Lord_Rama_SB-09_10_23_Mumbai_-_Radhanath_Swami_1995-10-03_IDesireTree.mp3</v>
      </c>
      <c r="D981" s="11"/>
      <c r="E981" s="11"/>
    </row>
    <row r="982" spans="1:5">
      <c r="A982" s="12" t="s">
        <v>12462</v>
      </c>
      <c r="B982" s="12" t="s">
        <v>13935</v>
      </c>
      <c r="C982" s="13" t="str">
        <f>HYPERLINK("https://audio.iskcondesiretree.com/02_-_ISKCON_Swamis/ISKCON_Swamis_-_R_to_Y/His_Holiness_Radhanath_Swami/Lectures/00_-_Year_wise/Devotional_Nectar_-_1995/1995-115_Raghunath_Das_Goswami_SB_Mumbai_-_Radhanath_Swami_1995-10-05_IDesireTree.mp3", "1995-115_Raghunath_Das_Goswami_SB_Mumbai_-_Radhanath_Swami_1995-10-05_IDesireTree.mp3")</f>
        <v>1995-115_Raghunath_Das_Goswami_SB_Mumbai_-_Radhanath_Swami_1995-10-05_IDesireTree.mp3</v>
      </c>
      <c r="D982" s="11"/>
      <c r="E982" s="11"/>
    </row>
    <row r="983" spans="1:5">
      <c r="A983" s="12" t="s">
        <v>12462</v>
      </c>
      <c r="B983" s="12" t="s">
        <v>13936</v>
      </c>
      <c r="C983" s="13" t="str">
        <f>HYPERLINK("https://audio.iskcondesiretree.com/02_-_ISKCON_Swamis/ISKCON_Swamis_-_R_to_Y/His_Holiness_Radhanath_Swami/Lectures/00_-_Year_wise/Devotional_Nectar_-_1995/1995-116_Laws_Of_God_SB-01_13_42_Mumbai_-_Radhanath_Swami_1995-10-06_IDesireTree.mp3", "1995-116_Laws_Of_God_SB-01_13_42_Mumbai_-_Radhanath_Swami_1995-10-06_IDesireTree.mp3")</f>
        <v>1995-116_Laws_Of_God_SB-01_13_42_Mumbai_-_Radhanath_Swami_1995-10-06_IDesireTree.mp3</v>
      </c>
      <c r="D983" s="11"/>
      <c r="E983" s="11"/>
    </row>
    <row r="984" spans="1:5">
      <c r="A984" s="12" t="s">
        <v>12462</v>
      </c>
      <c r="B984" s="12" t="s">
        <v>13937</v>
      </c>
      <c r="C984" s="13" t="str">
        <f>HYPERLINK("https://audio.iskcondesiretree.com/02_-_ISKCON_Swamis/ISKCON_Swamis_-_R_to_Y/His_Holiness_Radhanath_Swami/Lectures/00_-_Year_wise/Devotional_Nectar_-_1995/1995-117_Nature_Of_Material_Pleasure_BG-02_57_Mumbai_-_Radhanath_Swami_1995-10-07_IDesireTree.mp3", "1995-117_Nature_Of_Material_Pleasure_BG-02_57_Mumbai_-_Radhanath_Swami_1995-10-07_IDesireTree.mp3")</f>
        <v>1995-117_Nature_Of_Material_Pleasure_BG-02_57_Mumbai_-_Radhanath_Swami_1995-10-07_IDesireTree.mp3</v>
      </c>
      <c r="D984" s="11"/>
      <c r="E984" s="11"/>
    </row>
    <row r="985" spans="1:5">
      <c r="A985" s="12" t="s">
        <v>12462</v>
      </c>
      <c r="B985" s="12" t="s">
        <v>13938</v>
      </c>
      <c r="C985" s="13" t="str">
        <f>HYPERLINK("https://audio.iskcondesiretree.com/02_-_ISKCON_Swamis/ISKCON_Swamis_-_R_to_Y/His_Holiness_Radhanath_Swami/Lectures/00_-_Year_wise/Devotional_Nectar_-_1995/1995-118_Childhood_Pastimes_Of_Krishna_BG-10_03_Mumbai_-_Radhanath_Swami_1995-10-08_IDesireTree.mp3", "1995-118_Childhood_Pastimes_Of_Krishna_BG-10_03_Mumbai_-_Radhanath_Swami_1995-10-08_IDesireTree.mp3")</f>
        <v>1995-118_Childhood_Pastimes_Of_Krishna_BG-10_03_Mumbai_-_Radhanath_Swami_1995-10-08_IDesireTree.mp3</v>
      </c>
      <c r="D985" s="11"/>
      <c r="E985" s="11"/>
    </row>
    <row r="986" spans="1:5">
      <c r="A986" s="12" t="s">
        <v>12462</v>
      </c>
      <c r="B986" s="12" t="s">
        <v>13939</v>
      </c>
      <c r="C986" s="13" t="str">
        <f>HYPERLINK("https://audio.iskcondesiretree.com/02_-_ISKCON_Swamis/ISKCON_Swamis_-_R_to_Y/His_Holiness_Radhanath_Swami/Lectures/00_-_Year_wise/Devotional_Nectar_-_1995/1995-119_Sharad_Purnima_Lecture_Mumbai_-_Radhanath_Swami_1995-10-08_IDesireTree.mp3", "1995-119_Sharad_Purnima_Lecture_Mumbai_-_Radhanath_Swami_1995-10-08_IDesireTree.mp3")</f>
        <v>1995-119_Sharad_Purnima_Lecture_Mumbai_-_Radhanath_Swami_1995-10-08_IDesireTree.mp3</v>
      </c>
      <c r="D986" s="11"/>
      <c r="E986" s="11"/>
    </row>
    <row r="987" spans="1:5">
      <c r="A987" s="12" t="s">
        <v>12462</v>
      </c>
      <c r="B987" s="12" t="s">
        <v>13940</v>
      </c>
      <c r="C987" s="13" t="str">
        <f>HYPERLINK("https://audio.iskcondesiretree.com/02_-_ISKCON_Swamis/ISKCON_Swamis_-_R_to_Y/His_Holiness_Radhanath_Swami/Lectures/00_-_Year_wise/Devotional_Nectar_-_1995/1995-120_Krishna_In_Form_Of_Kala_SB-01_13_49_Mumbai_-_Radhanath_Swami_1995-10-12_IDesireTree.mp3", "1995-120_Krishna_In_Form_Of_Kala_SB-01_13_49_Mumbai_-_Radhanath_Swami_1995-10-12_IDesireTree.mp3")</f>
        <v>1995-120_Krishna_In_Form_Of_Kala_SB-01_13_49_Mumbai_-_Radhanath_Swami_1995-10-12_IDesireTree.mp3</v>
      </c>
      <c r="D987" s="11"/>
      <c r="E987" s="11"/>
    </row>
    <row r="988" spans="1:5">
      <c r="A988" s="12" t="s">
        <v>12462</v>
      </c>
      <c r="B988" s="12" t="s">
        <v>13941</v>
      </c>
      <c r="C988" s="13" t="str">
        <f>HYPERLINK("https://audio.iskcondesiretree.com/02_-_ISKCON_Swamis/ISKCON_Swamis_-_R_to_Y/His_Holiness_Radhanath_Swami/Lectures/00_-_Year_wise/Devotional_Nectar_-_1995/1995-121_Life_Of_Srila_Narottam_Das_Thakur_SB_Mumbai_-_Radhanath_Swami_1995-10-13_IDesireTree.mp3", "1995-121_Life_Of_Srila_Narottam_Das_Thakur_SB_Mumbai_-_Radhanath_Swami_1995-10-13_IDesireTree.mp3")</f>
        <v>1995-121_Life_Of_Srila_Narottam_Das_Thakur_SB_Mumbai_-_Radhanath_Swami_1995-10-13_IDesireTree.mp3</v>
      </c>
      <c r="D988" s="11"/>
      <c r="E988" s="11"/>
    </row>
    <row r="989" spans="1:5">
      <c r="A989" s="12" t="s">
        <v>12462</v>
      </c>
      <c r="B989" s="12" t="s">
        <v>13942</v>
      </c>
      <c r="C989" s="13" t="str">
        <f>HYPERLINK("https://audio.iskcondesiretree.com/02_-_ISKCON_Swamis/ISKCON_Swamis_-_R_to_Y/His_Holiness_Radhanath_Swami/Lectures/00_-_Year_wise/Devotional_Nectar_-_1995/1995-122_Humility_Not_Pride_Can_Win_Krsna_SB-01_13_50_Mumbai_-_14-10-95_IDesireTree.mp3", "1995-122_Humility_Not_Pride_Can_Win_Krsna_SB-01_13_50_Mumbai_-_14-10-95_IDesireTree.mp3")</f>
        <v>1995-122_Humility_Not_Pride_Can_Win_Krsna_SB-01_13_50_Mumbai_-_14-10-95_IDesireTree.mp3</v>
      </c>
      <c r="D989" s="11"/>
      <c r="E989" s="11"/>
    </row>
    <row r="990" spans="1:5">
      <c r="A990" s="12" t="s">
        <v>12462</v>
      </c>
      <c r="B990" s="12" t="s">
        <v>13943</v>
      </c>
      <c r="C990" s="13" t="str">
        <f>HYPERLINK("https://audio.iskcondesiretree.com/02_-_ISKCON_Swamis/ISKCON_Swamis_-_R_to_Y/His_Holiness_Radhanath_Swami/Lectures/00_-_Year_wise/Devotional_Nectar_-_1995/1995-123_Practical_Application_Of_Bhagavad_Gita_Lecture_Mumbai_-_14-10-95_new_IDesireTree.mp3", "1995-123_Practical_Application_Of_Bhagavad_Gita_Lecture_Mumbai_-_14-10-95_new_IDesireTree.mp3")</f>
        <v>1995-123_Practical_Application_Of_Bhagavad_Gita_Lecture_Mumbai_-_14-10-95_new_IDesireTree.mp3</v>
      </c>
      <c r="D990" s="11"/>
      <c r="E990" s="11"/>
    </row>
    <row r="991" spans="1:5">
      <c r="A991" s="12" t="s">
        <v>12462</v>
      </c>
      <c r="B991" s="12" t="s">
        <v>13944</v>
      </c>
      <c r="C991" s="13" t="str">
        <f>HYPERLINK("https://audio.iskcondesiretree.com/02_-_ISKCON_Swamis/ISKCON_Swamis_-_R_to_Y/His_Holiness_Radhanath_Swami/Lectures/00_-_Year_wise/Devotional_Nectar_-_1995/1995-124_Appearance_Of_Radha_Kunda_CC_ML-08_08_Mumbai_-_Radhanath_Swami_1995-10-17_IDesireTree.mp3", "1995-124_Appearance_Of_Radha_Kunda_CC_ML-08_08_Mumbai_-_Radhanath_Swami_1995-10-17_IDesireTree.mp3")</f>
        <v>1995-124_Appearance_Of_Radha_Kunda_CC_ML-08_08_Mumbai_-_Radhanath_Swami_1995-10-17_IDesireTree.mp3</v>
      </c>
      <c r="D991" s="11"/>
      <c r="E991" s="11"/>
    </row>
    <row r="992" spans="1:5">
      <c r="A992" s="12" t="s">
        <v>12462</v>
      </c>
      <c r="B992" s="12" t="s">
        <v>13945</v>
      </c>
      <c r="C992" s="13" t="str">
        <f>HYPERLINK("https://audio.iskcondesiretree.com/02_-_ISKCON_Swamis/ISKCON_Swamis_-_R_to_Y/His_Holiness_Radhanath_Swami/Lectures/00_-_Year_wise/Devotional_Nectar_-_1995/1995-125_Question_And_Answers_Q%26A_Jaipur_-_Radhanath_Swami_1995-10-24_new_IDesireTree.mp3", "1995-125_Question_And_Answers_Q%26A_Jaipur_-_Radhanath_Swami_1995-10-24_new_IDesireTree.mp3")</f>
        <v>1995-125_Question_And_Answers_Q%26A_Jaipur_-_Radhanath_Swami_1995-10-24_new_IDesireTree.mp3</v>
      </c>
      <c r="D992" s="11"/>
      <c r="E992" s="11"/>
    </row>
    <row r="993" spans="1:5">
      <c r="A993" s="12" t="s">
        <v>12462</v>
      </c>
      <c r="B993" s="12" t="s">
        <v>13946</v>
      </c>
      <c r="C993" s="13" t="str">
        <f>HYPERLINK("https://audio.iskcondesiretree.com/02_-_ISKCON_Swamis/ISKCON_Swamis_-_R_to_Y/His_Holiness_Radhanath_Swami/Lectures/00_-_Year_wise/Devotional_Nectar_-_1995/1995-126_Krishna_Our_Only_Shelter_Ht_-_Lecture_Mumbai_-_Radhanath_Swami_1995-10-25_IDesireTree.mp3", "1995-126_Krishna_Our_Only_Shelter_Ht_-_Lecture_Mumbai_-_Radhanath_Swami_1995-10-25_IDesireTree.mp3")</f>
        <v>1995-126_Krishna_Our_Only_Shelter_Ht_-_Lecture_Mumbai_-_Radhanath_Swami_1995-10-25_IDesireTree.mp3</v>
      </c>
      <c r="D993" s="11"/>
      <c r="E993" s="11"/>
    </row>
    <row r="994" spans="1:5">
      <c r="A994" s="12" t="s">
        <v>12462</v>
      </c>
      <c r="B994" s="12" t="s">
        <v>13947</v>
      </c>
      <c r="C994" s="13" t="str">
        <f>HYPERLINK("https://audio.iskcondesiretree.com/02_-_ISKCON_Swamis/ISKCON_Swamis_-_R_to_Y/His_Holiness_Radhanath_Swami/Lectures/00_-_Year_wise/Devotional_Nectar_-_1995/1995-127_Offering_To_Srila_Prabhupad_Ht_-_Lecture_Mumbai_-_25-10-95_IDesireTree.mp3", "1995-127_Offering_To_Srila_Prabhupad_Ht_-_Lecture_Mumbai_-_25-10-95_IDesireTree.mp3")</f>
        <v>1995-127_Offering_To_Srila_Prabhupad_Ht_-_Lecture_Mumbai_-_25-10-95_IDesireTree.mp3</v>
      </c>
      <c r="D994" s="11"/>
      <c r="E994" s="11"/>
    </row>
    <row r="995" spans="1:5">
      <c r="A995" s="12" t="s">
        <v>12462</v>
      </c>
      <c r="B995" s="12" t="s">
        <v>13948</v>
      </c>
      <c r="C995" s="13" t="str">
        <f>HYPERLINK("https://audio.iskcondesiretree.com/02_-_ISKCON_Swamis/ISKCON_Swamis_-_R_to_Y/His_Holiness_Radhanath_Swami/Lectures/00_-_Year_wise/Devotional_Nectar_-_1995/1995-128_Live_By_God%27s_Plan_BG-03_31-32_Mumbai_-_Radhanath_Swami_1995-10-28_IDesireTree.mp3", "1995-128_Live_By_God%27s_Plan_BG-03_31-32_Mumbai_-_Radhanath_Swami_1995-10-28_IDesireTree.mp3")</f>
        <v>1995-128_Live_By_God%27s_Plan_BG-03_31-32_Mumbai_-_Radhanath_Swami_1995-10-28_IDesireTree.mp3</v>
      </c>
      <c r="D995" s="11"/>
      <c r="E995" s="11"/>
    </row>
    <row r="996" spans="1:5">
      <c r="A996" s="12" t="s">
        <v>12462</v>
      </c>
      <c r="B996" s="12" t="s">
        <v>13949</v>
      </c>
      <c r="C996" s="13" t="str">
        <f>HYPERLINK("https://audio.iskcondesiretree.com/02_-_ISKCON_Swamis/ISKCON_Swamis_-_R_to_Y/His_Holiness_Radhanath_Swami/Lectures/00_-_Year_wise/Devotional_Nectar_-_1995/1995-129_Krishna_Consciousness_Is_The_Only_Hope_SB-01_14_08_Mumbai_-_29-10-95_IDesireTree.mp3", "1995-129_Krishna_Consciousness_Is_The_Only_Hope_SB-01_14_08_Mumbai_-_29-10-95_IDesireTree.mp3")</f>
        <v>1995-129_Krishna_Consciousness_Is_The_Only_Hope_SB-01_14_08_Mumbai_-_29-10-95_IDesireTree.mp3</v>
      </c>
      <c r="D996" s="11"/>
      <c r="E996" s="11"/>
    </row>
    <row r="997" spans="1:5">
      <c r="A997" s="12" t="s">
        <v>12462</v>
      </c>
      <c r="B997" s="12" t="s">
        <v>13950</v>
      </c>
      <c r="C997" s="13" t="str">
        <f>HYPERLINK("https://audio.iskcondesiretree.com/02_-_ISKCON_Swamis/ISKCON_Swamis_-_R_to_Y/His_Holiness_Radhanath_Swami/Lectures/00_-_Year_wise/Devotional_Nectar_-_1995/1995-130_Worship_Of_Govardhan_Hill_BG-09_26_Mumbai_-_Radhanath_Swami_1995-10-29_IDesireTree.mp3", "1995-130_Worship_Of_Govardhan_Hill_BG-09_26_Mumbai_-_Radhanath_Swami_1995-10-29_IDesireTree.mp3")</f>
        <v>1995-130_Worship_Of_Govardhan_Hill_BG-09_26_Mumbai_-_Radhanath_Swami_1995-10-29_IDesireTree.mp3</v>
      </c>
      <c r="D997" s="11"/>
      <c r="E997" s="11"/>
    </row>
    <row r="998" spans="1:5">
      <c r="A998" s="12" t="s">
        <v>12462</v>
      </c>
      <c r="B998" s="12" t="s">
        <v>13951</v>
      </c>
      <c r="C998" s="13" t="str">
        <f>HYPERLINK("https://audio.iskcondesiretree.com/02_-_ISKCON_Swamis/ISKCON_Swamis_-_R_to_Y/His_Holiness_Radhanath_Swami/Lectures/00_-_Year_wise/Devotional_Nectar_-_1995/1995-131_Arrival_Lecture_Lecture_Mumbai_-_Radhanath_Swami_1995-12-16_IDesireTree.mp3", "1995-131_Arrival_Lecture_Lecture_Mumbai_-_Radhanath_Swami_1995-12-16_IDesireTree.mp3")</f>
        <v>1995-131_Arrival_Lecture_Lecture_Mumbai_-_Radhanath_Swami_1995-12-16_IDesireTree.mp3</v>
      </c>
      <c r="D998" s="11"/>
      <c r="E998" s="11"/>
    </row>
    <row r="999" spans="1:5">
      <c r="A999" s="12" t="s">
        <v>12462</v>
      </c>
      <c r="B999" s="12" t="s">
        <v>13952</v>
      </c>
      <c r="C999" s="13" t="str">
        <f>HYPERLINK("https://audio.iskcondesiretree.com/02_-_ISKCON_Swamis/ISKCON_Swamis_-_R_to_Y/His_Holiness_Radhanath_Swami/Lectures/00_-_Year_wise/Devotional_Nectar_-_1995/1995-132_Srimad_Bhagavatam_Class1of_15_Minutes_SB-01_15_29_31_Mumbai_-_17-12-95_IDesireTree.mp3", "1995-132_Srimad_Bhagavatam_Class1of_15_Minutes_SB-01_15_29_31_Mumbai_-_17-12-95_IDesireTree.mp3")</f>
        <v>1995-132_Srimad_Bhagavatam_Class1of_15_Minutes_SB-01_15_29_31_Mumbai_-_17-12-95_IDesireTree.mp3</v>
      </c>
      <c r="D999" s="11"/>
      <c r="E999" s="11"/>
    </row>
    <row r="1000" spans="1:5">
      <c r="A1000" s="12" t="s">
        <v>12462</v>
      </c>
      <c r="B1000" s="12" t="s">
        <v>13953</v>
      </c>
      <c r="C1000" s="13" t="str">
        <f>HYPERLINK("https://audio.iskcondesiretree.com/02_-_ISKCON_Swamis/ISKCON_Swamis_-_R_to_Y/His_Holiness_Radhanath_Swami/Lectures/00_-_Year_wise/Devotional_Nectar_-_1995/1995-133_Krsna_Consciousness_Original_Consciousness_SB-02_01_04_Mumbai_-_17-12-95_IDesireTree.mp3", "1995-133_Krsna_Consciousness_Original_Consciousness_SB-02_01_04_Mumbai_-_17-12-95_IDesireTree.mp3")</f>
        <v>1995-133_Krsna_Consciousness_Original_Consciousness_SB-02_01_04_Mumbai_-_17-12-95_IDesireTree.mp3</v>
      </c>
      <c r="D1000" s="11"/>
      <c r="E1000" s="11"/>
    </row>
    <row r="1001" spans="1:5">
      <c r="A1001" s="12" t="s">
        <v>12462</v>
      </c>
      <c r="B1001" s="12" t="s">
        <v>13954</v>
      </c>
      <c r="C1001" s="13" t="str">
        <f>HYPERLINK("https://audio.iskcondesiretree.com/02_-_ISKCON_Swamis/ISKCON_Swamis_-_R_to_Y/His_Holiness_Radhanath_Swami/Lectures/00_-_Year_wise/Devotional_Nectar_-_1995/1995-134_Srimad_Bhagavatam_Class1of_15_Minutes_SB-01_15_33_34_Mumbai_-_21-12-95_IDesireTree.mp3", "1995-134_Srimad_Bhagavatam_Class1of_15_Minutes_SB-01_15_33_34_Mumbai_-_21-12-95_IDesireTree.mp3")</f>
        <v>1995-134_Srimad_Bhagavatam_Class1of_15_Minutes_SB-01_15_33_34_Mumbai_-_21-12-95_IDesireTree.mp3</v>
      </c>
      <c r="D1001" s="11"/>
      <c r="E1001" s="11"/>
    </row>
    <row r="1002" spans="1:5">
      <c r="A1002" s="12" t="s">
        <v>12462</v>
      </c>
      <c r="B1002" s="12" t="s">
        <v>13955</v>
      </c>
      <c r="C1002" s="13" t="str">
        <f>HYPERLINK("https://audio.iskcondesiretree.com/02_-_ISKCON_Swamis/ISKCON_Swamis_-_R_to_Y/His_Holiness_Radhanath_Swami/Lectures/00_-_Year_wise/Devotional_Nectar_-_1995/1995-135_How_Krsna_Left_This_World_SB-01_15_35_Mumbai_-_Radhanath_Swami_1995-12-23_IDesireTree.mp3", "1995-135_How_Krsna_Left_This_World_SB-01_15_35_Mumbai_-_Radhanath_Swami_1995-12-23_IDesireTree.mp3")</f>
        <v>1995-135_How_Krsna_Left_This_World_SB-01_15_35_Mumbai_-_Radhanath_Swami_1995-12-23_IDesireTree.mp3</v>
      </c>
      <c r="D1002" s="11"/>
      <c r="E1002" s="11"/>
    </row>
    <row r="1003" spans="1:5">
      <c r="A1003" s="12" t="s">
        <v>12462</v>
      </c>
      <c r="B1003" s="12" t="s">
        <v>13956</v>
      </c>
      <c r="C1003" s="13" t="str">
        <f>HYPERLINK("https://audio.iskcondesiretree.com/02_-_ISKCON_Swamis/ISKCON_Swamis_-_R_to_Y/His_Holiness_Radhanath_Swami/Lectures/00_-_Year_wise/Devotional_Nectar_-_1995/1995-136_Glories_Of_Jiva_Goswami_Lecture_Mumbai_-_Radhanath_Swami_1995-12-24_IDesireTree.mp3", "1995-136_Glories_Of_Jiva_Goswami_Lecture_Mumbai_-_Radhanath_Swami_1995-12-24_IDesireTree.mp3")</f>
        <v>1995-136_Glories_Of_Jiva_Goswami_Lecture_Mumbai_-_Radhanath_Swami_1995-12-24_IDesireTree.mp3</v>
      </c>
      <c r="D1003" s="11"/>
      <c r="E1003" s="11"/>
    </row>
    <row r="1004" spans="1:5">
      <c r="A1004" s="12" t="s">
        <v>12462</v>
      </c>
      <c r="B1004" s="12" t="s">
        <v>13957</v>
      </c>
      <c r="C1004" s="13" t="str">
        <f>HYPERLINK("https://audio.iskcondesiretree.com/02_-_ISKCON_Swamis/ISKCON_Swamis_-_R_to_Y/His_Holiness_Radhanath_Swami/Lectures/00_-_Year_wise/Devotional_Nectar_-_1995/1995-137_What_Is_Real_Knowledge_BG-13_22_Mumbai_-_Radhanath_Swami_1995-12-25_IDesireTree.mp3", "1995-137_What_Is_Real_Knowledge_BG-13_22_Mumbai_-_Radhanath_Swami_1995-12-25_IDesireTree.mp3")</f>
        <v>1995-137_What_Is_Real_Knowledge_BG-13_22_Mumbai_-_Radhanath_Swami_1995-12-25_IDesireTree.mp3</v>
      </c>
      <c r="D1004" s="11"/>
      <c r="E1004" s="11"/>
    </row>
    <row r="1005" spans="1:5">
      <c r="A1005" s="12" t="s">
        <v>12462</v>
      </c>
      <c r="B1005" s="12" t="s">
        <v>13958</v>
      </c>
      <c r="C1005" s="13" t="str">
        <f>HYPERLINK("https://audio.iskcondesiretree.com/02_-_ISKCON_Swamis/ISKCON_Swamis_-_R_to_Y/His_Holiness_Radhanath_Swami/Lectures/00_-_Year_wise/Devotional_Nectar_-_1995/1995-138_Die_To_Live_SB-01_15_41_Mumbai_-_Radhanath_Swami_1995-12-29_IDesireTree.mp3", "1995-138_Die_To_Live_SB-01_15_41_Mumbai_-_Radhanath_Swami_1995-12-29_IDesireTree.mp3")</f>
        <v>1995-138_Die_To_Live_SB-01_15_41_Mumbai_-_Radhanath_Swami_1995-12-29_IDesireTree.mp3</v>
      </c>
      <c r="D1005" s="11"/>
      <c r="E1005" s="11"/>
    </row>
    <row r="1006" spans="1:5">
      <c r="A1006" s="12" t="s">
        <v>12462</v>
      </c>
      <c r="B1006" s="12" t="s">
        <v>13959</v>
      </c>
      <c r="C1006" s="13" t="str">
        <f>HYPERLINK("https://audio.iskcondesiretree.com/02_-_ISKCON_Swamis/ISKCON_Swamis_-_R_to_Y/His_Holiness_Radhanath_Swami/Lectures/00_-_Year_wise/Devotional_Nectar_-_1996/1996-001_Quit_Home_Timely_SB-01_15_44_Mumbai_-_Radhanath_Swami_1996-01-01.mp3", "1996-001_Quit_Home_Timely_SB-01_15_44_Mumbai_-_Radhanath_Swami_1996-01-01.mp3")</f>
        <v>1996-001_Quit_Home_Timely_SB-01_15_44_Mumbai_-_Radhanath_Swami_1996-01-01.mp3</v>
      </c>
      <c r="D1006" s="11"/>
      <c r="E1006" s="11"/>
    </row>
    <row r="1007" spans="1:5">
      <c r="A1007" s="12" t="s">
        <v>12462</v>
      </c>
      <c r="B1007" s="12" t="s">
        <v>13960</v>
      </c>
      <c r="C1007" s="13" t="str">
        <f>HYPERLINK("https://audio.iskcondesiretree.com/02_-_ISKCON_Swamis/ISKCON_Swamis_-_R_to_Y/His_Holiness_Radhanath_Swami/Lectures/00_-_Year_wise/Devotional_Nectar_-_1996/1996-002_Pastimes_Of_Nimai_BG-10_40_Pune_-_Radhanath_Swami_1996-01-02.mp3", "1996-002_Pastimes_Of_Nimai_BG-10_40_Pune_-_Radhanath_Swami_1996-01-02.mp3")</f>
        <v>1996-002_Pastimes_Of_Nimai_BG-10_40_Pune_-_Radhanath_Swami_1996-01-02.mp3</v>
      </c>
      <c r="D1007" s="11"/>
      <c r="E1007" s="11"/>
    </row>
    <row r="1008" spans="1:5">
      <c r="A1008" s="12" t="s">
        <v>12462</v>
      </c>
      <c r="B1008" s="12" t="s">
        <v>13961</v>
      </c>
      <c r="C1008" s="13" t="str">
        <f>HYPERLINK("https://audio.iskcondesiretree.com/02_-_ISKCON_Swamis/ISKCON_Swamis_-_R_to_Y/His_Holiness_Radhanath_Swami/Lectures/00_-_Year_wise/Devotional_Nectar_-_1996/1996-003_Science_And_Spirituality_Lecture_Pune_-_Radhanath_Swami_1996-01-02.mp3", "1996-003_Science_And_Spirituality_Lecture_Pune_-_Radhanath_Swami_1996-01-02.mp3")</f>
        <v>1996-003_Science_And_Spirituality_Lecture_Pune_-_Radhanath_Swami_1996-01-02.mp3</v>
      </c>
      <c r="D1008" s="11"/>
      <c r="E1008" s="11"/>
    </row>
    <row r="1009" spans="1:5">
      <c r="A1009" s="12" t="s">
        <v>12462</v>
      </c>
      <c r="B1009" s="12" t="s">
        <v>13962</v>
      </c>
      <c r="C1009" s="13" t="str">
        <f>HYPERLINK("https://audio.iskcondesiretree.com/02_-_ISKCON_Swamis/ISKCON_Swamis_-_R_to_Y/His_Holiness_Radhanath_Swami/Lectures/00_-_Year_wise/Devotional_Nectar_-_1996/1996-004_Arrival_Lecture_Lecture_Pune_-_Radhanath_Swami_1996-01-03.mp3", "1996-004_Arrival_Lecture_Lecture_Pune_-_Radhanath_Swami_1996-01-03.mp3")</f>
        <v>1996-004_Arrival_Lecture_Lecture_Pune_-_Radhanath_Swami_1996-01-03.mp3</v>
      </c>
      <c r="D1009" s="11"/>
      <c r="E1009" s="11"/>
    </row>
    <row r="1010" spans="1:5">
      <c r="A1010" s="12" t="s">
        <v>12462</v>
      </c>
      <c r="B1010" s="12" t="s">
        <v>13963</v>
      </c>
      <c r="C1010" s="13" t="str">
        <f>HYPERLINK("https://audio.iskcondesiretree.com/02_-_ISKCON_Swamis/ISKCON_Swamis_-_R_to_Y/His_Holiness_Radhanath_Swami/Lectures/00_-_Year_wise/Devotional_Nectar_-_1996/1996-005_Gaur_Nitai_Lecture_Pune_-_Radhanath_Swami_1996-01-03.mp3", "1996-005_Gaur_Nitai_Lecture_Pune_-_Radhanath_Swami_1996-01-03.mp3")</f>
        <v>1996-005_Gaur_Nitai_Lecture_Pune_-_Radhanath_Swami_1996-01-03.mp3</v>
      </c>
      <c r="D1010" s="11"/>
      <c r="E1010" s="11"/>
    </row>
    <row r="1011" spans="1:5">
      <c r="A1011" s="12" t="s">
        <v>12462</v>
      </c>
      <c r="B1011" s="12" t="s">
        <v>13964</v>
      </c>
      <c r="C1011" s="13" t="str">
        <f>HYPERLINK("https://audio.iskcondesiretree.com/02_-_ISKCON_Swamis/ISKCON_Swamis_-_R_to_Y/His_Holiness_Radhanath_Swami/Lectures/00_-_Year_wise/Devotional_Nectar_-_1996/1996-006_Even_Lord_Brahma_Is_Bewildered_BG-08_19_Pune_-_Radhanath_Swami_1996-01-03.mp3", "1996-006_Even_Lord_Brahma_Is_Bewildered_BG-08_19_Pune_-_Radhanath_Swami_1996-01-03.mp3")</f>
        <v>1996-006_Even_Lord_Brahma_Is_Bewildered_BG-08_19_Pune_-_Radhanath_Swami_1996-01-03.mp3</v>
      </c>
      <c r="D1011" s="11"/>
      <c r="E1011" s="11"/>
    </row>
    <row r="1012" spans="1:5">
      <c r="A1012" s="12" t="s">
        <v>12462</v>
      </c>
      <c r="B1012" s="12" t="s">
        <v>13965</v>
      </c>
      <c r="C1012" s="13" t="str">
        <f>HYPERLINK("https://audio.iskcondesiretree.com/02_-_ISKCON_Swamis/ISKCON_Swamis_-_R_to_Y/His_Holiness_Radhanath_Swami/Lectures/00_-_Year_wise/Devotional_Nectar_-_1996/1996-007_Krishna_Is_Supremely_Merciful_SB-03_02_23_Pune_-_Radhanath_Swami_1996-01-04.mp3", "1996-007_Krishna_Is_Supremely_Merciful_SB-03_02_23_Pune_-_Radhanath_Swami_1996-01-04.mp3")</f>
        <v>1996-007_Krishna_Is_Supremely_Merciful_SB-03_02_23_Pune_-_Radhanath_Swami_1996-01-04.mp3</v>
      </c>
      <c r="D1012" s="11"/>
      <c r="E1012" s="11"/>
    </row>
    <row r="1013" spans="1:5">
      <c r="A1013" s="12" t="s">
        <v>12462</v>
      </c>
      <c r="B1013" s="12" t="s">
        <v>13966</v>
      </c>
      <c r="C1013" s="13" t="str">
        <f>HYPERLINK("https://audio.iskcondesiretree.com/02_-_ISKCON_Swamis/ISKCON_Swamis_-_R_to_Y/His_Holiness_Radhanath_Swami/Lectures/00_-_Year_wise/Devotional_Nectar_-_1996/1996-008_Self_Management_Lecture_Mumbai_-_Radhanath_Swami_1996-01-04.mp3", "1996-008_Self_Management_Lecture_Mumbai_-_Radhanath_Swami_1996-01-04.mp3")</f>
        <v>1996-008_Self_Management_Lecture_Mumbai_-_Radhanath_Swami_1996-01-04.mp3</v>
      </c>
      <c r="D1013" s="11"/>
      <c r="E1013" s="11"/>
    </row>
    <row r="1014" spans="1:5">
      <c r="A1014" s="12" t="s">
        <v>12462</v>
      </c>
      <c r="B1014" s="12" t="s">
        <v>13967</v>
      </c>
      <c r="C1014" s="13" t="str">
        <f>HYPERLINK("https://audio.iskcondesiretree.com/02_-_ISKCON_Swamis/ISKCON_Swamis_-_R_to_Y/His_Holiness_Radhanath_Swami/Lectures/00_-_Year_wise/Devotional_Nectar_-_1996/1996-009_Importance_Of_Deity_Worship_BG-07_18_Mumbai_-_Radhanath_Swami_1996-01-05.mp3", "1996-009_Importance_Of_Deity_Worship_BG-07_18_Mumbai_-_Radhanath_Swami_1996-01-05.mp3")</f>
        <v>1996-009_Importance_Of_Deity_Worship_BG-07_18_Mumbai_-_Radhanath_Swami_1996-01-05.mp3</v>
      </c>
      <c r="D1014" s="11"/>
      <c r="E1014" s="11"/>
    </row>
    <row r="1015" spans="1:5">
      <c r="A1015" s="12" t="s">
        <v>12462</v>
      </c>
      <c r="B1015" s="12" t="s">
        <v>13968</v>
      </c>
      <c r="C1015" s="13" t="str">
        <f>HYPERLINK("https://audio.iskcondesiretree.com/02_-_ISKCON_Swamis/ISKCON_Swamis_-_R_to_Y/His_Holiness_Radhanath_Swami/Lectures/00_-_Year_wise/Devotional_Nectar_-_1996/1996-010_Wake_Up_To_Reality_SB-01_15_51_Mumbai_-_Radhanath_Swami_1996-01-07.mp3", "1996-010_Wake_Up_To_Reality_SB-01_15_51_Mumbai_-_Radhanath_Swami_1996-01-07.mp3")</f>
        <v>1996-010_Wake_Up_To_Reality_SB-01_15_51_Mumbai_-_Radhanath_Swami_1996-01-07.mp3</v>
      </c>
      <c r="D1015" s="11"/>
      <c r="E1015" s="11"/>
    </row>
    <row r="1016" spans="1:5">
      <c r="A1016" s="12" t="s">
        <v>12462</v>
      </c>
      <c r="B1016" s="12" t="s">
        <v>13969</v>
      </c>
      <c r="C1016" s="13" t="str">
        <f>HYPERLINK("https://audio.iskcondesiretree.com/02_-_ISKCON_Swamis/ISKCON_Swamis_-_R_to_Y/His_Holiness_Radhanath_Swami/Lectures/00_-_Year_wise/Devotional_Nectar_-_1996/1996-011_Don%27t_Waste_Valuable_Time_SB-01_16_6_Mumbai_-_Radhanath_Swami_1996-01-07_IDesireTree.mp3", "1996-011_Don%27t_Waste_Valuable_Time_SB-01_16_6_Mumbai_-_Radhanath_Swami_1996-01-07_IDesireTree.mp3")</f>
        <v>1996-011_Don%27t_Waste_Valuable_Time_SB-01_16_6_Mumbai_-_Radhanath_Swami_1996-01-07_IDesireTree.mp3</v>
      </c>
      <c r="D1016" s="11"/>
      <c r="E1016" s="11"/>
    </row>
    <row r="1017" spans="1:5">
      <c r="A1017" s="12" t="s">
        <v>12462</v>
      </c>
      <c r="B1017" s="12" t="s">
        <v>13970</v>
      </c>
      <c r="C1017" s="13" t="str">
        <f>HYPERLINK("https://audio.iskcondesiretree.com/02_-_ISKCON_Swamis/ISKCON_Swamis_-_R_to_Y/His_Holiness_Radhanath_Swami/Lectures/00_-_Year_wise/Devotional_Nectar_-_1996/1996-012_Prabhupada-_Messenger_Of_Bhagwat_Gita_MT_-_Lecture_Kolhapur_-_08-01-96_IDesireTree.mp3", "1996-012_Prabhupada-_Messenger_Of_Bhagwat_Gita_MT_-_Lecture_Kolhapur_-_08-01-96_IDesireTree.mp3")</f>
        <v>1996-012_Prabhupada-_Messenger_Of_Bhagwat_Gita_MT_-_Lecture_Kolhapur_-_08-01-96_IDesireTree.mp3</v>
      </c>
      <c r="D1017" s="11"/>
      <c r="E1017" s="11"/>
    </row>
    <row r="1018" spans="1:5">
      <c r="A1018" s="12" t="s">
        <v>12462</v>
      </c>
      <c r="B1018" s="12" t="s">
        <v>13971</v>
      </c>
      <c r="C1018" s="13" t="str">
        <f>HYPERLINK("https://audio.iskcondesiretree.com/02_-_ISKCON_Swamis/ISKCON_Swamis_-_R_to_Y/His_Holiness_Radhanath_Swami/Lectures/00_-_Year_wise/Devotional_Nectar_-_1996/1996-013_The_Only_Shelter_Lecture_Kolhapur_-_Radhanath_Swami_1996-01-08_IDesireTree.mp3", "1996-013_The_Only_Shelter_Lecture_Kolhapur_-_Radhanath_Swami_1996-01-08_IDesireTree.mp3")</f>
        <v>1996-013_The_Only_Shelter_Lecture_Kolhapur_-_Radhanath_Swami_1996-01-08_IDesireTree.mp3</v>
      </c>
      <c r="D1018" s="11"/>
      <c r="E1018" s="11"/>
    </row>
    <row r="1019" spans="1:5">
      <c r="A1019" s="12" t="s">
        <v>12462</v>
      </c>
      <c r="B1019" s="12" t="s">
        <v>13972</v>
      </c>
      <c r="C1019" s="13" t="str">
        <f>HYPERLINK("https://audio.iskcondesiretree.com/02_-_ISKCON_Swamis/ISKCON_Swamis_-_R_to_Y/His_Holiness_Radhanath_Swami/Lectures/00_-_Year_wise/Devotional_Nectar_-_1996/1996-014_Centre_Should_Be_Krishna_MT_-_SB-09_04_63_Belgaum_-_09-01-96_IDesireTree.mp3", "1996-014_Centre_Should_Be_Krishna_MT_-_SB-09_04_63_Belgaum_-_09-01-96_IDesireTree.mp3")</f>
        <v>1996-014_Centre_Should_Be_Krishna_MT_-_SB-09_04_63_Belgaum_-_09-01-96_IDesireTree.mp3</v>
      </c>
      <c r="D1019" s="11"/>
      <c r="E1019" s="11"/>
    </row>
    <row r="1020" spans="1:5">
      <c r="A1020" s="12" t="s">
        <v>12462</v>
      </c>
      <c r="B1020" s="12" t="s">
        <v>13973</v>
      </c>
      <c r="C1020" s="13" t="str">
        <f>HYPERLINK("https://audio.iskcondesiretree.com/02_-_ISKCON_Swamis/ISKCON_Swamis_-_R_to_Y/His_Holiness_Radhanath_Swami/Lectures/00_-_Year_wise/Devotional_Nectar_-_1996/1996-015_Give_Credits_To_Others_MT_-_SB-03_02_09_Belgaum_-_10-01-96_IDesireTree.mp3", "1996-015_Give_Credits_To_Others_MT_-_SB-03_02_09_Belgaum_-_10-01-96_IDesireTree.mp3")</f>
        <v>1996-015_Give_Credits_To_Others_MT_-_SB-03_02_09_Belgaum_-_10-01-96_IDesireTree.mp3</v>
      </c>
      <c r="D1020" s="11"/>
      <c r="E1020" s="11"/>
    </row>
    <row r="1021" spans="1:5">
      <c r="A1021" s="12" t="s">
        <v>12462</v>
      </c>
      <c r="B1021" s="12" t="s">
        <v>13974</v>
      </c>
      <c r="C1021" s="13" t="str">
        <f>HYPERLINK("https://audio.iskcondesiretree.com/02_-_ISKCON_Swamis/ISKCON_Swamis_-_R_to_Y/His_Holiness_Radhanath_Swami/Lectures/00_-_Year_wise/Devotional_Nectar_-_1996/1996-016_Prabhupada_Premanjali_MT_-_Lecture_Belgaum_-_Radhanath_Swami_1996-01-10_IDesireTree.mp3", "1996-016_Prabhupada_Premanjali_MT_-_Lecture_Belgaum_-_Radhanath_Swami_1996-01-10_IDesireTree.mp3")</f>
        <v>1996-016_Prabhupada_Premanjali_MT_-_Lecture_Belgaum_-_Radhanath_Swami_1996-01-10_IDesireTree.mp3</v>
      </c>
      <c r="D1021" s="11"/>
      <c r="E1021" s="11"/>
    </row>
    <row r="1022" spans="1:5">
      <c r="A1022" s="12" t="s">
        <v>12462</v>
      </c>
      <c r="B1022" s="12" t="s">
        <v>13975</v>
      </c>
      <c r="C1022" s="13" t="str">
        <f>HYPERLINK("https://audio.iskcondesiretree.com/02_-_ISKCON_Swamis/ISKCON_Swamis_-_R_to_Y/His_Holiness_Radhanath_Swami/Lectures/00_-_Year_wise/Devotional_Nectar_-_1996/1996-017_Loving_Exchanges_Ht_-_Q%26A_Belgaum_-_Radhanath_Swami_1996-01-11_IDesireTree.mp3", "1996-017_Loving_Exchanges_Ht_-_Q%26A_Belgaum_-_Radhanath_Swami_1996-01-11_IDesireTree.mp3")</f>
        <v>1996-017_Loving_Exchanges_Ht_-_Q%26A_Belgaum_-_Radhanath_Swami_1996-01-11_IDesireTree.mp3</v>
      </c>
      <c r="D1022" s="11"/>
      <c r="E1022" s="11"/>
    </row>
    <row r="1023" spans="1:5">
      <c r="A1023" s="12" t="s">
        <v>12462</v>
      </c>
      <c r="B1023" s="12" t="s">
        <v>13976</v>
      </c>
      <c r="C1023" s="13" t="str">
        <f>HYPERLINK("https://audio.iskcondesiretree.com/02_-_ISKCON_Swamis/ISKCON_Swamis_-_R_to_Y/His_Holiness_Radhanath_Swami/Lectures/00_-_Year_wise/Devotional_Nectar_-_1996/1996-018_Yamaraj_Is_The_Well_Wisher_Of_Devotees_SB-01_16_07_Mumbai_-_14-01-96_IDesireTree.mp3", "1996-018_Yamaraj_Is_The_Well_Wisher_Of_Devotees_SB-01_16_07_Mumbai_-_14-01-96_IDesireTree.mp3")</f>
        <v>1996-018_Yamaraj_Is_The_Well_Wisher_Of_Devotees_SB-01_16_07_Mumbai_-_14-01-96_IDesireTree.mp3</v>
      </c>
      <c r="D1023" s="11"/>
      <c r="E1023" s="11"/>
    </row>
    <row r="1024" spans="1:5">
      <c r="A1024" s="12" t="s">
        <v>12462</v>
      </c>
      <c r="B1024" s="12" t="s">
        <v>13977</v>
      </c>
      <c r="C1024" s="13" t="str">
        <f>HYPERLINK("https://audio.iskcondesiretree.com/02_-_ISKCON_Swamis/ISKCON_Swamis_-_R_to_Y/His_Holiness_Radhanath_Swami/Lectures/00_-_Year_wise/Devotional_Nectar_-_1996/1996-019_Nimai_Pandit%27s_Sannyas_Lilla_Lecture_Mumbai_-_Radhanath_Swami_1996-01-14_IDesireTree.mp3", "1996-019_Nimai_Pandit%27s_Sannyas_Lilla_Lecture_Mumbai_-_Radhanath_Swami_1996-01-14_IDesireTree.mp3")</f>
        <v>1996-019_Nimai_Pandit%27s_Sannyas_Lilla_Lecture_Mumbai_-_Radhanath_Swami_1996-01-14_IDesireTree.mp3</v>
      </c>
      <c r="D1024" s="11"/>
      <c r="E1024" s="11"/>
    </row>
    <row r="1025" spans="1:5">
      <c r="A1025" s="12" t="s">
        <v>12462</v>
      </c>
      <c r="B1025" s="12" t="s">
        <v>13978</v>
      </c>
      <c r="C1025" s="13" t="str">
        <f>HYPERLINK("https://audio.iskcondesiretree.com/02_-_ISKCON_Swamis/ISKCON_Swamis_-_R_to_Y/His_Holiness_Radhanath_Swami/Lectures/00_-_Year_wise/Devotional_Nectar_-_1996/1996-020_Eternal_Pastimes_Of_Lord_Krishna_Ht_-_BG-02_57_Mumbai_-_16-01-96_IDesireTree.mp3", "1996-020_Eternal_Pastimes_Of_Lord_Krishna_Ht_-_BG-02_57_Mumbai_-_16-01-96_IDesireTree.mp3")</f>
        <v>1996-020_Eternal_Pastimes_Of_Lord_Krishna_Ht_-_BG-02_57_Mumbai_-_16-01-96_IDesireTree.mp3</v>
      </c>
      <c r="D1025" s="11"/>
      <c r="E1025" s="11"/>
    </row>
    <row r="1026" spans="1:5">
      <c r="A1026" s="12" t="s">
        <v>12462</v>
      </c>
      <c r="B1026" s="12" t="s">
        <v>13979</v>
      </c>
      <c r="C1026" s="13" t="str">
        <f>HYPERLINK("https://audio.iskcondesiretree.com/02_-_ISKCON_Swamis/ISKCON_Swamis_-_R_to_Y/His_Holiness_Radhanath_Swami/Lectures/00_-_Year_wise/Devotional_Nectar_-_1996/1996-021_Making_Krishna_Happy_BG-12_16_Mumbai_-_Radhanath_Swami_1996-01-18_IDesireTree.mp3", "1996-021_Making_Krishna_Happy_BG-12_16_Mumbai_-_Radhanath_Swami_1996-01-18_IDesireTree.mp3")</f>
        <v>1996-021_Making_Krishna_Happy_BG-12_16_Mumbai_-_Radhanath_Swami_1996-01-18_IDesireTree.mp3</v>
      </c>
      <c r="D1026" s="11"/>
      <c r="E1026" s="11"/>
    </row>
    <row r="1027" spans="1:5">
      <c r="A1027" s="12" t="s">
        <v>12462</v>
      </c>
      <c r="B1027" s="12" t="s">
        <v>13980</v>
      </c>
      <c r="C1027" s="13" t="str">
        <f>HYPERLINK("https://audio.iskcondesiretree.com/02_-_ISKCON_Swamis/ISKCON_Swamis_-_R_to_Y/His_Holiness_Radhanath_Swami/Lectures/00_-_Year_wise/Devotional_Nectar_-_1996/1996-022_What_Is_Real_Education_Lecture_Mumbai_-_Radhanath_Swami_1996-01-20_IDesireTree.mp3", "1996-022_What_Is_Real_Education_Lecture_Mumbai_-_Radhanath_Swami_1996-01-20_IDesireTree.mp3")</f>
        <v>1996-022_What_Is_Real_Education_Lecture_Mumbai_-_Radhanath_Swami_1996-01-20_IDesireTree.mp3</v>
      </c>
      <c r="D1027" s="11"/>
      <c r="E1027" s="11"/>
    </row>
    <row r="1028" spans="1:5">
      <c r="A1028" s="12" t="s">
        <v>12462</v>
      </c>
      <c r="B1028" s="12" t="s">
        <v>13981</v>
      </c>
      <c r="C1028" s="13" t="str">
        <f>HYPERLINK("https://audio.iskcondesiretree.com/02_-_ISKCON_Swamis/ISKCON_Swamis_-_R_to_Y/His_Holiness_Radhanath_Swami/Lectures/00_-_Year_wise/Devotional_Nectar_-_1996/1996-023_Determination_Like_Bird_Chatak_Lecture_Mumbai_-_Radhanath_Swami_1996-01-21_IDesireTree.mp3", "1996-023_Determination_Like_Bird_Chatak_Lecture_Mumbai_-_Radhanath_Swami_1996-01-21_IDesireTree.mp3")</f>
        <v>1996-023_Determination_Like_Bird_Chatak_Lecture_Mumbai_-_Radhanath_Swami_1996-01-21_IDesireTree.mp3</v>
      </c>
      <c r="D1028" s="11"/>
      <c r="E1028" s="11"/>
    </row>
    <row r="1029" spans="1:5">
      <c r="A1029" s="12" t="s">
        <v>12462</v>
      </c>
      <c r="B1029" s="12" t="s">
        <v>13982</v>
      </c>
      <c r="C1029" s="13" t="str">
        <f>HYPERLINK("https://audio.iskcondesiretree.com/02_-_ISKCON_Swamis/ISKCON_Swamis_-_R_to_Y/His_Holiness_Radhanath_Swami/Lectures/00_-_Year_wise/Devotional_Nectar_-_1996/1996-024_Krishna_Is_Servant_Of_Devotees_SB-01_16_16_Mumbai_-_21-01-96_IDesireTree.mp3", "1996-024_Krishna_Is_Servant_Of_Devotees_SB-01_16_16_Mumbai_-_21-01-96_IDesireTree.mp3")</f>
        <v>1996-024_Krishna_Is_Servant_Of_Devotees_SB-01_16_16_Mumbai_-_21-01-96_IDesireTree.mp3</v>
      </c>
      <c r="D1029" s="11"/>
      <c r="E1029" s="11"/>
    </row>
    <row r="1030" spans="1:5">
      <c r="A1030" s="12" t="s">
        <v>12462</v>
      </c>
      <c r="B1030" s="12" t="s">
        <v>13983</v>
      </c>
      <c r="C1030" s="13" t="str">
        <f>HYPERLINK("https://audio.iskcondesiretree.com/02_-_ISKCON_Swamis/ISKCON_Swamis_-_R_to_Y/His_Holiness_Radhanath_Swami/Lectures/00_-_Year_wise/Devotional_Nectar_-_1996/1996-025_Be_Dear_To_Devotees_SB-01_16_19_Mumbai_-_Radhanath_Swami_1996-01-23_IDesireTree.mp3", "1996-025_Be_Dear_To_Devotees_SB-01_16_19_Mumbai_-_Radhanath_Swami_1996-01-23_IDesireTree.mp3")</f>
        <v>1996-025_Be_Dear_To_Devotees_SB-01_16_19_Mumbai_-_Radhanath_Swami_1996-01-23_IDesireTree.mp3</v>
      </c>
      <c r="D1030" s="11"/>
      <c r="E1030" s="11"/>
    </row>
    <row r="1031" spans="1:5">
      <c r="A1031" s="12" t="s">
        <v>12462</v>
      </c>
      <c r="B1031" s="12" t="s">
        <v>13984</v>
      </c>
      <c r="C1031" s="13" t="str">
        <f>HYPERLINK("https://audio.iskcondesiretree.com/02_-_ISKCON_Swamis/ISKCON_Swamis_-_R_to_Y/His_Holiness_Radhanath_Swami/Lectures/00_-_Year_wise/Devotional_Nectar_-_1996/1996-026_Talks_With_College_Students_Lecture_Mumbai_-_Radhanath_Swami_1996-01-23_IDesireTree.mp3", "1996-026_Talks_With_College_Students_Lecture_Mumbai_-_Radhanath_Swami_1996-01-23_IDesireTree.mp3")</f>
        <v>1996-026_Talks_With_College_Students_Lecture_Mumbai_-_Radhanath_Swami_1996-01-23_IDesireTree.mp3</v>
      </c>
      <c r="D1031" s="11"/>
      <c r="E1031" s="11"/>
    </row>
    <row r="1032" spans="1:5">
      <c r="A1032" s="12" t="s">
        <v>12462</v>
      </c>
      <c r="B1032" s="12" t="s">
        <v>13985</v>
      </c>
      <c r="C1032" s="13" t="str">
        <f>HYPERLINK("https://audio.iskcondesiretree.com/02_-_ISKCON_Swamis/ISKCON_Swamis_-_R_to_Y/His_Holiness_Radhanath_Swami/Lectures/00_-_Year_wise/Devotional_Nectar_-_1996/1996-027_Arrival_Lecture_Lecture_Pune_-_Radhanath_Swami_1996-01-25_IDesireTree.mp3", "1996-027_Arrival_Lecture_Lecture_Pune_-_Radhanath_Swami_1996-01-25_IDesireTree.mp3")</f>
        <v>1996-027_Arrival_Lecture_Lecture_Pune_-_Radhanath_Swami_1996-01-25_IDesireTree.mp3</v>
      </c>
      <c r="D1032" s="11"/>
      <c r="E1032" s="11"/>
    </row>
    <row r="1033" spans="1:5">
      <c r="A1033" s="12" t="s">
        <v>12462</v>
      </c>
      <c r="B1033" s="12" t="s">
        <v>13986</v>
      </c>
      <c r="C1033" s="13" t="str">
        <f>HYPERLINK("https://audio.iskcondesiretree.com/02_-_ISKCON_Swamis/ISKCON_Swamis_-_R_to_Y/His_Holiness_Radhanath_Swami/Lectures/00_-_Year_wise/Devotional_Nectar_-_1996/1996-028_Question_And_Answer_Q%26A_Pune_-_Radhanath_Swami_1996-01-25_IDesireTree.mp3", "1996-028_Question_And_Answer_Q%26A_Pune_-_Radhanath_Swami_1996-01-25_IDesireTree.mp3")</f>
        <v>1996-028_Question_And_Answer_Q%26A_Pune_-_Radhanath_Swami_1996-01-25_IDesireTree.mp3</v>
      </c>
      <c r="D1033" s="11"/>
      <c r="E1033" s="11"/>
    </row>
    <row r="1034" spans="1:5">
      <c r="A1034" s="12" t="s">
        <v>12462</v>
      </c>
      <c r="B1034" s="12" t="s">
        <v>13987</v>
      </c>
      <c r="C1034" s="13" t="str">
        <f>HYPERLINK("https://audio.iskcondesiretree.com/02_-_ISKCON_Swamis/ISKCON_Swamis_-_R_to_Y/His_Holiness_Radhanath_Swami/Lectures/00_-_Year_wise/Devotional_Nectar_-_1996/1996-029_Advaita_Acharya_Lecture_Pune_-_Radhanath_Swami_1996-01-26_new_IDesireTree.mp3", "1996-029_Advaita_Acharya_Lecture_Pune_-_Radhanath_Swami_1996-01-26_new_IDesireTree.mp3")</f>
        <v>1996-029_Advaita_Acharya_Lecture_Pune_-_Radhanath_Swami_1996-01-26_new_IDesireTree.mp3</v>
      </c>
      <c r="D1034" s="11"/>
      <c r="E1034" s="11"/>
    </row>
    <row r="1035" spans="1:5">
      <c r="A1035" s="12" t="s">
        <v>12462</v>
      </c>
      <c r="B1035" s="12" t="s">
        <v>13988</v>
      </c>
      <c r="C1035" s="13" t="str">
        <f>HYPERLINK("https://audio.iskcondesiretree.com/02_-_ISKCON_Swamis/ISKCON_Swamis_-_R_to_Y/His_Holiness_Radhanath_Swami/Lectures/00_-_Year_wise/Devotional_Nectar_-_1996/1996-030_Departure_Lecture_Lecture_Pune_-_Radhanath_Swami_1996-01-27_IDesireTree.mp3", "1996-030_Departure_Lecture_Lecture_Pune_-_Radhanath_Swami_1996-01-27_IDesireTree.mp3")</f>
        <v>1996-030_Departure_Lecture_Lecture_Pune_-_Radhanath_Swami_1996-01-27_IDesireTree.mp3</v>
      </c>
      <c r="D1035" s="11"/>
      <c r="E1035" s="11"/>
    </row>
    <row r="1036" spans="1:5">
      <c r="A1036" s="12" t="s">
        <v>12462</v>
      </c>
      <c r="B1036" s="12" t="s">
        <v>13989</v>
      </c>
      <c r="C1036" s="13" t="str">
        <f>HYPERLINK("https://audio.iskcondesiretree.com/02_-_ISKCON_Swamis/ISKCON_Swamis_-_R_to_Y/His_Holiness_Radhanath_Swami/Lectures/00_-_Year_wise/Devotional_Nectar_-_1996/1996-031_Vyas_Puja_Lecture_Pune_-_Radhanath_Swami_1996-01-27_IDesireTree.mp3", "1996-031_Vyas_Puja_Lecture_Pune_-_Radhanath_Swami_1996-01-27_IDesireTree.mp3")</f>
        <v>1996-031_Vyas_Puja_Lecture_Pune_-_Radhanath_Swami_1996-01-27_IDesireTree.mp3</v>
      </c>
      <c r="D1036" s="11"/>
      <c r="E1036" s="11"/>
    </row>
    <row r="1037" spans="1:5">
      <c r="A1037" s="12" t="s">
        <v>12462</v>
      </c>
      <c r="B1037" s="12" t="s">
        <v>13990</v>
      </c>
      <c r="C1037" s="13" t="str">
        <f>HYPERLINK("https://audio.iskcondesiretree.com/02_-_ISKCON_Swamis/ISKCON_Swamis_-_R_to_Y/His_Holiness_Radhanath_Swami/Lectures/00_-_Year_wise/Devotional_Nectar_-_1996/1996-032_Lord_Caitanya%27s_Pastimes_In_Boat_Lecture_Mumbai_-_30-1-96_IDesireTree.mp3", "1996-032_Lord_Caitanya%27s_Pastimes_In_Boat_Lecture_Mumbai_-_30-1-96_IDesireTree.mp3")</f>
        <v>1996-032_Lord_Caitanya%27s_Pastimes_In_Boat_Lecture_Mumbai_-_30-1-96_IDesireTree.mp3</v>
      </c>
      <c r="D1037" s="11"/>
      <c r="E1037" s="11"/>
    </row>
    <row r="1038" spans="1:5">
      <c r="A1038" s="12" t="s">
        <v>12462</v>
      </c>
      <c r="B1038" s="12" t="s">
        <v>13991</v>
      </c>
      <c r="C1038" s="13" t="str">
        <f>HYPERLINK("https://audio.iskcondesiretree.com/02_-_ISKCON_Swamis/ISKCON_Swamis_-_R_to_Y/His_Holiness_Radhanath_Swami/Lectures/00_-_Year_wise/Devotional_Nectar_-_1996/1996-033_Glorification_Of_Mayapur_Lecture_Mayapur_-_Radhanath_Swami_1996-02-18_IDesireTree.mp3", "1996-033_Glorification_Of_Mayapur_Lecture_Mayapur_-_Radhanath_Swami_1996-02-18_IDesireTree.mp3")</f>
        <v>1996-033_Glorification_Of_Mayapur_Lecture_Mayapur_-_Radhanath_Swami_1996-02-18_IDesireTree.mp3</v>
      </c>
      <c r="D1038" s="11"/>
      <c r="E1038" s="11"/>
    </row>
    <row r="1039" spans="1:5">
      <c r="A1039" s="12" t="s">
        <v>12462</v>
      </c>
      <c r="B1039" s="12" t="s">
        <v>13992</v>
      </c>
      <c r="C1039" s="13" t="str">
        <f>HYPERLINK("https://audio.iskcondesiretree.com/02_-_ISKCON_Swamis/ISKCON_Swamis_-_R_to_Y/His_Holiness_Radhanath_Swami/Lectures/00_-_Year_wise/Devotional_Nectar_-_1996/1996-034_Chaitanya_Charitamrita_Reading_CC_ML-09_221_Trivandurum_-_22-02-96_IDesireTree.mp3", "1996-034_Chaitanya_Charitamrita_Reading_CC_ML-09_221_Trivandurum_-_22-02-96_IDesireTree.mp3")</f>
        <v>1996-034_Chaitanya_Charitamrita_Reading_CC_ML-09_221_Trivandurum_-_22-02-96_IDesireTree.mp3</v>
      </c>
      <c r="D1039" s="11"/>
      <c r="E1039" s="11"/>
    </row>
    <row r="1040" spans="1:5">
      <c r="A1040" s="12" t="s">
        <v>12462</v>
      </c>
      <c r="B1040" s="12" t="s">
        <v>13993</v>
      </c>
      <c r="C1040" s="13" t="str">
        <f>HYPERLINK("https://audio.iskcondesiretree.com/02_-_ISKCON_Swamis/ISKCON_Swamis_-_R_to_Y/His_Holiness_Radhanath_Swami/Lectures/00_-_Year_wise/Devotional_Nectar_-_1996/1996-035_Chaitanya_Charitamrita_Reading_Lecture_Trivandurum_-_22-02-96_IDesireTree.mp3", "1996-035_Chaitanya_Charitamrita_Reading_Lecture_Trivandurum_-_22-02-96_IDesireTree.mp3")</f>
        <v>1996-035_Chaitanya_Charitamrita_Reading_Lecture_Trivandurum_-_22-02-96_IDesireTree.mp3</v>
      </c>
      <c r="D1040" s="11"/>
      <c r="E1040" s="11"/>
    </row>
    <row r="1041" spans="1:5">
      <c r="A1041" s="12" t="s">
        <v>12462</v>
      </c>
      <c r="B1041" s="12" t="s">
        <v>13994</v>
      </c>
      <c r="C1041" s="13" t="str">
        <f>HYPERLINK("https://audio.iskcondesiretree.com/02_-_ISKCON_Swamis/ISKCON_Swamis_-_R_to_Y/His_Holiness_Radhanath_Swami/Lectures/00_-_Year_wise/Devotional_Nectar_-_1996/1996-036_Even_Lord_Brahma_Stresses_Personalism_SB-03_26_21_Trivandurum_-_23-02-96_IDesireTree.mp3", "1996-036_Even_Lord_Brahma_Stresses_Personalism_SB-03_26_21_Trivandurum_-_23-02-96_IDesireTree.mp3")</f>
        <v>1996-036_Even_Lord_Brahma_Stresses_Personalism_SB-03_26_21_Trivandurum_-_23-02-96_IDesireTree.mp3</v>
      </c>
      <c r="D1041" s="11"/>
      <c r="E1041" s="11"/>
    </row>
    <row r="1042" spans="1:5">
      <c r="A1042" s="12" t="s">
        <v>12462</v>
      </c>
      <c r="B1042" s="12" t="e">
        <v>#VALUE!</v>
      </c>
      <c r="C1042" s="13" t="e">
        <f>HYPERLINK("https://audio.iskcondesiretree.com/02_-_ISKCON_Swamis/ISKCON_Swamis_-_R_to_Y/His_Holiness_Radhanath_Swami/Lectures/00_-_Year_wise/Devotional_Nectar_-_1996/1996-037_Even_Lord_Brahma_Stresses_Personalism_BrahamaSamhita_-_Lecture_Mumbai_-_23-02-96_IDesireTre"&amp;"e.mp3", "1996-037_Even_Lord_Brahma_Stresses_Personalism_BrahamaSamhita_-_Lecture_Mumbai_-_23-02-96_IDesireTree.mp3")</f>
        <v>#VALUE!</v>
      </c>
      <c r="D1042" s="11"/>
      <c r="E1042" s="11"/>
    </row>
    <row r="1043" spans="1:5">
      <c r="A1043" s="12" t="s">
        <v>12462</v>
      </c>
      <c r="B1043" s="12" t="s">
        <v>13995</v>
      </c>
      <c r="C1043" s="13" t="str">
        <f>HYPERLINK("https://audio.iskcondesiretree.com/02_-_ISKCON_Swamis/ISKCON_Swamis_-_R_to_Y/His_Holiness_Radhanath_Swami/Lectures/00_-_Year_wise/Devotional_Nectar_-_1996/1996-038_Importance_Of_Cows_And_Bulls_SB-01_17_20_Mumbai_-_25-02-96_IDesireTree.mp3", "1996-038_Importance_Of_Cows_And_Bulls_SB-01_17_20_Mumbai_-_25-02-96_IDesireTree.mp3")</f>
        <v>1996-038_Importance_Of_Cows_And_Bulls_SB-01_17_20_Mumbai_-_25-02-96_IDesireTree.mp3</v>
      </c>
      <c r="D1043" s="11"/>
      <c r="E1043" s="11"/>
    </row>
    <row r="1044" spans="1:5">
      <c r="A1044" s="12" t="s">
        <v>12462</v>
      </c>
      <c r="B1044" s="12" t="s">
        <v>13996</v>
      </c>
      <c r="C1044" s="13" t="str">
        <f>HYPERLINK("https://audio.iskcondesiretree.com/02_-_ISKCON_Swamis/ISKCON_Swamis_-_R_to_Y/His_Holiness_Radhanath_Swami/Lectures/00_-_Year_wise/Devotional_Nectar_-_1996/1996-039_Story_Of_Keshav_Kashmiri_Lecture_Mumbai_-_Radhanath_Swami_1996-02-25_IDesireTree.mp3", "1996-039_Story_Of_Keshav_Kashmiri_Lecture_Mumbai_-_Radhanath_Swami_1996-02-25_IDesireTree.mp3")</f>
        <v>1996-039_Story_Of_Keshav_Kashmiri_Lecture_Mumbai_-_Radhanath_Swami_1996-02-25_IDesireTree.mp3</v>
      </c>
      <c r="D1044" s="11"/>
      <c r="E1044" s="11"/>
    </row>
    <row r="1045" spans="1:5">
      <c r="A1045" s="12" t="s">
        <v>12462</v>
      </c>
      <c r="B1045" s="12" t="s">
        <v>13997</v>
      </c>
      <c r="C1045" s="13" t="str">
        <f>HYPERLINK("https://audio.iskcondesiretree.com/02_-_ISKCON_Swamis/ISKCON_Swamis_-_R_to_Y/His_Holiness_Radhanath_Swami/Lectures/00_-_Year_wise/Devotional_Nectar_-_1996/1996-040_Proper_Discrimination_SB-01_17_23_Mumbai_-_Radhanath_Swami_1996-02-27_IDesireTree.mp3", "1996-040_Proper_Discrimination_SB-01_17_23_Mumbai_-_Radhanath_Swami_1996-02-27_IDesireTree.mp3")</f>
        <v>1996-040_Proper_Discrimination_SB-01_17_23_Mumbai_-_Radhanath_Swami_1996-02-27_IDesireTree.mp3</v>
      </c>
      <c r="D1045" s="11"/>
      <c r="E1045" s="11"/>
    </row>
    <row r="1046" spans="1:5">
      <c r="A1046" s="12" t="s">
        <v>12462</v>
      </c>
      <c r="B1046" s="12" t="s">
        <v>13998</v>
      </c>
      <c r="C1046" s="13" t="str">
        <f>HYPERLINK("https://audio.iskcondesiretree.com/02_-_ISKCON_Swamis/ISKCON_Swamis_-_R_to_Y/His_Holiness_Radhanath_Swami/Lectures/00_-_Year_wise/Devotional_Nectar_-_1996/1996-041_Four_Principle_of_Religion_SB-01_17_25_Mumbai_-_Radhanath_Swami_1996-02-29_IDesireTree.mp3", "1996-041_Four_Principle_of_Religion_SB-01_17_25_Mumbai_-_Radhanath_Swami_1996-02-29_IDesireTree.mp3")</f>
        <v>1996-041_Four_Principle_of_Religion_SB-01_17_25_Mumbai_-_Radhanath_Swami_1996-02-29_IDesireTree.mp3</v>
      </c>
      <c r="D1046" s="11"/>
      <c r="E1046" s="11"/>
    </row>
    <row r="1047" spans="1:5">
      <c r="A1047" s="12" t="s">
        <v>12462</v>
      </c>
      <c r="B1047" s="12" t="s">
        <v>13999</v>
      </c>
      <c r="C1047" s="13" t="str">
        <f>HYPERLINK("https://audio.iskcondesiretree.com/02_-_ISKCON_Swamis/ISKCON_Swamis_-_R_to_Y/His_Holiness_Radhanath_Swami/Lectures/00_-_Year_wise/Devotional_Nectar_-_1996/1996-042_Mother_Earth_SB-01_17_26-27_Mumbai_-_Radhanath_Swami_1996-03-01_IDesireTree.mp3", "1996-042_Mother_Earth_SB-01_17_26-27_Mumbai_-_Radhanath_Swami_1996-03-01_IDesireTree.mp3")</f>
        <v>1996-042_Mother_Earth_SB-01_17_26-27_Mumbai_-_Radhanath_Swami_1996-03-01_IDesireTree.mp3</v>
      </c>
      <c r="D1047" s="11"/>
      <c r="E1047" s="11"/>
    </row>
    <row r="1048" spans="1:5">
      <c r="A1048" s="12" t="s">
        <v>12462</v>
      </c>
      <c r="B1048" s="12" t="s">
        <v>14000</v>
      </c>
      <c r="C1048" s="13" t="str">
        <f>HYPERLINK("https://audio.iskcondesiretree.com/02_-_ISKCON_Swamis/ISKCON_Swamis_-_R_to_Y/His_Holiness_Radhanath_Swami/Lectures/00_-_Year_wise/Devotional_Nectar_-_1996/1996-043_Yoga_Means_Activity_For_Purification_BG-05_11_Mumbai_-_01-03-96_IDesireTree.mp3", "1996-043_Yoga_Means_Activity_For_Purification_BG-05_11_Mumbai_-_01-03-96_IDesireTree.mp3")</f>
        <v>1996-043_Yoga_Means_Activity_For_Purification_BG-05_11_Mumbai_-_01-03-96_IDesireTree.mp3</v>
      </c>
      <c r="D1048" s="11"/>
      <c r="E1048" s="11"/>
    </row>
    <row r="1049" spans="1:5">
      <c r="A1049" s="12" t="s">
        <v>12462</v>
      </c>
      <c r="B1049" s="12" t="s">
        <v>14001</v>
      </c>
      <c r="C1049" s="13" t="str">
        <f>HYPERLINK("https://audio.iskcondesiretree.com/02_-_ISKCON_Swamis/ISKCON_Swamis_-_R_to_Y/His_Holiness_Radhanath_Swami/Lectures/00_-_Year_wise/Devotional_Nectar_-_1996/1996-044_Srila_Madhavendra_Puri_Disappearance_Day_Festival_Lecture_Mumbai_-_02-03-96_IDesireTree.mp3", "1996-044_Srila_Madhavendra_Puri_Disappearance_Day_Festival_Lecture_Mumbai_-_02-03-96_IDesireTree.mp3")</f>
        <v>1996-044_Srila_Madhavendra_Puri_Disappearance_Day_Festival_Lecture_Mumbai_-_02-03-96_IDesireTree.mp3</v>
      </c>
      <c r="D1049" s="11"/>
      <c r="E1049" s="11"/>
    </row>
    <row r="1050" spans="1:5">
      <c r="A1050" s="12" t="s">
        <v>12462</v>
      </c>
      <c r="B1050" s="12" t="s">
        <v>14002</v>
      </c>
      <c r="C1050" s="13" t="str">
        <f>HYPERLINK("https://audio.iskcondesiretree.com/02_-_ISKCON_Swamis/ISKCON_Swamis_-_R_to_Y/His_Holiness_Radhanath_Swami/Lectures/00_-_Year_wise/Devotional_Nectar_-_1996/1996-045_Lord_Chaitanya_Visits_Kulia_Gram_Lecture_Mumbai_-_03-03-96_IDesireTree.mp3", "1996-045_Lord_Chaitanya_Visits_Kulia_Gram_Lecture_Mumbai_-_03-03-96_IDesireTree.mp3")</f>
        <v>1996-045_Lord_Chaitanya_Visits_Kulia_Gram_Lecture_Mumbai_-_03-03-96_IDesireTree.mp3</v>
      </c>
      <c r="D1050" s="11"/>
      <c r="E1050" s="11"/>
    </row>
    <row r="1051" spans="1:5">
      <c r="A1051" s="12" t="s">
        <v>12462</v>
      </c>
      <c r="B1051" s="12" t="s">
        <v>14003</v>
      </c>
      <c r="C1051" s="13" t="str">
        <f>HYPERLINK("https://audio.iskcondesiretree.com/02_-_ISKCON_Swamis/ISKCON_Swamis_-_R_to_Y/His_Holiness_Radhanath_Swami/Lectures/00_-_Year_wise/Devotional_Nectar_-_1996/1996-046_Pastimes_Of_Mahaprabhu_Performing_Drama_Lecture_Mumbai_-_04-03-96_IDesireTree.mp3", "1996-046_Pastimes_Of_Mahaprabhu_Performing_Drama_Lecture_Mumbai_-_04-03-96_IDesireTree.mp3")</f>
        <v>1996-046_Pastimes_Of_Mahaprabhu_Performing_Drama_Lecture_Mumbai_-_04-03-96_IDesireTree.mp3</v>
      </c>
      <c r="D1051" s="11"/>
      <c r="E1051" s="11"/>
    </row>
    <row r="1052" spans="1:5">
      <c r="A1052" s="12" t="s">
        <v>12462</v>
      </c>
      <c r="B1052" s="12" t="s">
        <v>14004</v>
      </c>
      <c r="C1052" s="13" t="str">
        <f>HYPERLINK("https://audio.iskcondesiretree.com/02_-_ISKCON_Swamis/ISKCON_Swamis_-_R_to_Y/His_Holiness_Radhanath_Swami/Lectures/00_-_Year_wise/Devotional_Nectar_-_1996/1996-047_Navadwip_Pastimes_Of_Lord_Caitanya_Lecture_Mumbai_-_05-03-96_IDesireTree.mp3", "1996-047_Navadwip_Pastimes_Of_Lord_Caitanya_Lecture_Mumbai_-_05-03-96_IDesireTree.mp3")</f>
        <v>1996-047_Navadwip_Pastimes_Of_Lord_Caitanya_Lecture_Mumbai_-_05-03-96_IDesireTree.mp3</v>
      </c>
      <c r="D1052" s="11"/>
      <c r="E1052" s="11"/>
    </row>
    <row r="1053" spans="1:5">
      <c r="A1053" s="12" t="s">
        <v>12462</v>
      </c>
      <c r="B1053" s="12" t="s">
        <v>14005</v>
      </c>
      <c r="C1053" s="13" t="str">
        <f>HYPERLINK("https://audio.iskcondesiretree.com/02_-_ISKCON_Swamis/ISKCON_Swamis_-_R_to_Y/His_Holiness_Radhanath_Swami/Lectures/00_-_Year_wise/Devotional_Nectar_-_1996/1996-048_Compassion_Of_Caitanya_Mahaprabhu_Lecture_Mumbai_-_05-03-96_IDesireTree.mp3", "1996-048_Compassion_Of_Caitanya_Mahaprabhu_Lecture_Mumbai_-_05-03-96_IDesireTree.mp3")</f>
        <v>1996-048_Compassion_Of_Caitanya_Mahaprabhu_Lecture_Mumbai_-_05-03-96_IDesireTree.mp3</v>
      </c>
      <c r="D1053" s="11"/>
      <c r="E1053" s="11"/>
    </row>
    <row r="1054" spans="1:5">
      <c r="A1054" s="12" t="s">
        <v>12462</v>
      </c>
      <c r="B1054" s="12" t="s">
        <v>14006</v>
      </c>
      <c r="C1054" s="13" t="str">
        <f>HYPERLINK("https://audio.iskcondesiretree.com/02_-_ISKCON_Swamis/ISKCON_Swamis_-_R_to_Y/His_Holiness_Radhanath_Swami/Lectures/00_-_Year_wise/Devotional_Nectar_-_1996/1996-049_Faults_Of_Impersonalism_Lecture_Mumbai_-_Radhanath_Swami_1996-03-06_IDesireTree.mp3", "1996-049_Faults_Of_Impersonalism_Lecture_Mumbai_-_Radhanath_Swami_1996-03-06_IDesireTree.mp3")</f>
        <v>1996-049_Faults_Of_Impersonalism_Lecture_Mumbai_-_Radhanath_Swami_1996-03-06_IDesireTree.mp3</v>
      </c>
      <c r="D1054" s="11"/>
      <c r="E1054" s="11"/>
    </row>
    <row r="1055" spans="1:5">
      <c r="A1055" s="12" t="s">
        <v>12462</v>
      </c>
      <c r="B1055" s="12" t="s">
        <v>14007</v>
      </c>
      <c r="C1055" s="13" t="str">
        <f>HYPERLINK("https://audio.iskcondesiretree.com/02_-_ISKCON_Swamis/ISKCON_Swamis_-_R_to_Y/His_Holiness_Radhanath_Swami/Lectures/00_-_Year_wise/Devotional_Nectar_-_1996/1996-050_The_Ultimate_Purpose_Of_Life_SB-03_25_13_Mumbai_-_09-03-96_IDesireTree.mp3", "1996-050_The_Ultimate_Purpose_Of_Life_SB-03_25_13_Mumbai_-_09-03-96_IDesireTree.mp3")</f>
        <v>1996-050_The_Ultimate_Purpose_Of_Life_SB-03_25_13_Mumbai_-_09-03-96_IDesireTree.mp3</v>
      </c>
      <c r="D1055" s="11"/>
      <c r="E1055" s="11"/>
    </row>
    <row r="1056" spans="1:5">
      <c r="A1056" s="12" t="s">
        <v>12462</v>
      </c>
      <c r="B1056" s="12" t="s">
        <v>14008</v>
      </c>
      <c r="C1056" s="13" t="str">
        <f>HYPERLINK("https://audio.iskcondesiretree.com/02_-_ISKCON_Swamis/ISKCON_Swamis_-_R_to_Y/His_Holiness_Radhanath_Swami/Lectures/00_-_Year_wise/Devotional_Nectar_-_1996/1996-051_Strong_Leader_Can_Stop_Effect_Of_Kali_SB-01_17_35_Mumbai_-_10-03-96_IDesireTree.mp3", "1996-051_Strong_Leader_Can_Stop_Effect_Of_Kali_SB-01_17_35_Mumbai_-_10-03-96_IDesireTree.mp3")</f>
        <v>1996-051_Strong_Leader_Can_Stop_Effect_Of_Kali_SB-01_17_35_Mumbai_-_10-03-96_IDesireTree.mp3</v>
      </c>
      <c r="D1056" s="11"/>
      <c r="E1056" s="11"/>
    </row>
    <row r="1057" spans="1:5">
      <c r="A1057" s="12" t="s">
        <v>12462</v>
      </c>
      <c r="B1057" s="12" t="s">
        <v>14009</v>
      </c>
      <c r="C1057" s="13" t="str">
        <f>HYPERLINK("https://audio.iskcondesiretree.com/02_-_ISKCON_Swamis/ISKCON_Swamis_-_R_to_Y/His_Holiness_Radhanath_Swami/Lectures/00_-_Year_wise/Devotional_Nectar_-_1996/1996-052_Mercy_Of_Lord_Nityananda_Lecture_Mumbai_-_Radhanath_Swami_1996-03-10_IDesireTree.mp3", "1996-052_Mercy_Of_Lord_Nityananda_Lecture_Mumbai_-_Radhanath_Swami_1996-03-10_IDesireTree.mp3")</f>
        <v>1996-052_Mercy_Of_Lord_Nityananda_Lecture_Mumbai_-_Radhanath_Swami_1996-03-10_IDesireTree.mp3</v>
      </c>
      <c r="D1057" s="11"/>
      <c r="E1057" s="11"/>
    </row>
    <row r="1058" spans="1:5">
      <c r="A1058" s="12" t="s">
        <v>12462</v>
      </c>
      <c r="B1058" s="12" t="s">
        <v>14010</v>
      </c>
      <c r="C1058" s="13" t="str">
        <f>HYPERLINK("https://audio.iskcondesiretree.com/02_-_ISKCON_Swamis/ISKCON_Swamis_-_R_to_Y/His_Holiness_Radhanath_Swami/Lectures/00_-_Year_wise/Devotional_Nectar_-_1996/1996-053_Glorification_Of_HH_Gaur_Govind_Swami_Lecture_Mumbai_-_13-03-96_IDesireTree.mp3", "1996-053_Glorification_Of_HH_Gaur_Govind_Swami_Lecture_Mumbai_-_13-03-96_IDesireTree.mp3")</f>
        <v>1996-053_Glorification_Of_HH_Gaur_Govind_Swami_Lecture_Mumbai_-_13-03-96_IDesireTree.mp3</v>
      </c>
      <c r="D1058" s="11"/>
      <c r="E1058" s="11"/>
    </row>
    <row r="1059" spans="1:5">
      <c r="A1059" s="12" t="s">
        <v>12462</v>
      </c>
      <c r="B1059" s="12" t="s">
        <v>14011</v>
      </c>
      <c r="C1059" s="13" t="str">
        <f>HYPERLINK("https://audio.iskcondesiretree.com/02_-_ISKCON_Swamis/ISKCON_Swamis_-_R_to_Y/His_Holiness_Radhanath_Swami/Lectures/00_-_Year_wise/Devotional_Nectar_-_1996/1996-054_Kaliyuga_SB-01_17_40_Mumbai_-_Radhanath_Swami_1996-03-15_IDesireTree.mp3", "1996-054_Kaliyuga_SB-01_17_40_Mumbai_-_Radhanath_Swami_1996-03-15_IDesireTree.mp3")</f>
        <v>1996-054_Kaliyuga_SB-01_17_40_Mumbai_-_Radhanath_Swami_1996-03-15_IDesireTree.mp3</v>
      </c>
      <c r="D1059" s="11"/>
      <c r="E1059" s="11"/>
    </row>
    <row r="1060" spans="1:5">
      <c r="A1060" s="12" t="s">
        <v>12462</v>
      </c>
      <c r="B1060" s="12" t="s">
        <v>14012</v>
      </c>
      <c r="C1060" s="13" t="str">
        <f>HYPERLINK("https://audio.iskcondesiretree.com/02_-_ISKCON_Swamis/ISKCON_Swamis_-_R_to_Y/His_Holiness_Radhanath_Swami/Lectures/00_-_Year_wise/Devotional_Nectar_-_1996/1996-055_Where_To_Attach_Oneself_Ht_-_BG-07_01_Mumbai_-_Radhanath_Swami_1996-03-16_IDesireTree.mp3", "1996-055_Where_To_Attach_Oneself_Ht_-_BG-07_01_Mumbai_-_Radhanath_Swami_1996-03-16_IDesireTree.mp3")</f>
        <v>1996-055_Where_To_Attach_Oneself_Ht_-_BG-07_01_Mumbai_-_Radhanath_Swami_1996-03-16_IDesireTree.mp3</v>
      </c>
      <c r="D1060" s="11"/>
      <c r="E1060" s="11"/>
    </row>
    <row r="1061" spans="1:5">
      <c r="A1061" s="12" t="s">
        <v>12462</v>
      </c>
      <c r="B1061" s="12" t="s">
        <v>14013</v>
      </c>
      <c r="C1061" s="13" t="str">
        <f>HYPERLINK("https://audio.iskcondesiretree.com/02_-_ISKCON_Swamis/ISKCON_Swamis_-_R_to_Y/His_Holiness_Radhanath_Swami/Lectures/00_-_Year_wise/Devotional_Nectar_-_1996/1996-056_My_First_Meeting_With_Srila_Prabhupada_Lecture_Mumbai_-_16-03-96_IDesireTree.mp3", "1996-056_My_First_Meeting_With_Srila_Prabhupada_Lecture_Mumbai_-_16-03-96_IDesireTree.mp3")</f>
        <v>1996-056_My_First_Meeting_With_Srila_Prabhupada_Lecture_Mumbai_-_16-03-96_IDesireTree.mp3</v>
      </c>
      <c r="D1061" s="11"/>
      <c r="E1061" s="11"/>
    </row>
    <row r="1062" spans="1:5">
      <c r="A1062" s="12" t="s">
        <v>12462</v>
      </c>
      <c r="B1062" s="12" t="s">
        <v>14014</v>
      </c>
      <c r="C1062" s="13" t="str">
        <f>HYPERLINK("https://audio.iskcondesiretree.com/02_-_ISKCON_Swamis/ISKCON_Swamis_-_R_to_Y/His_Holiness_Radhanath_Swami/Lectures/00_-_Year_wise/Devotional_Nectar_-_1996/1996-057_One%27s_Ashram_Is_Not_Important_SB-10_02_10_Mumbai_-_17-03-96_IDesireTree.mp3", "1996-057_One%27s_Ashram_Is_Not_Important_SB-10_02_10_Mumbai_-_17-03-96_IDesireTree.mp3")</f>
        <v>1996-057_One%27s_Ashram_Is_Not_Important_SB-10_02_10_Mumbai_-_17-03-96_IDesireTree.mp3</v>
      </c>
      <c r="D1062" s="11"/>
      <c r="E1062" s="11"/>
    </row>
    <row r="1063" spans="1:5">
      <c r="A1063" s="12" t="s">
        <v>12462</v>
      </c>
      <c r="B1063" s="12" t="s">
        <v>14015</v>
      </c>
      <c r="C1063" s="13" t="str">
        <f>HYPERLINK("https://audio.iskcondesiretree.com/02_-_ISKCON_Swamis/ISKCON_Swamis_-_R_to_Y/His_Holiness_Radhanath_Swami/Lectures/00_-_Year_wise/Devotional_Nectar_-_1996/1996-058_Great_King_Prataprudra_CC_-_Radhanath_Swami_IDesireTree.mp3", "1996-058_Great_King_Prataprudra_CC_-_Radhanath_Swami_IDesireTree.mp3")</f>
        <v>1996-058_Great_King_Prataprudra_CC_-_Radhanath_Swami_IDesireTree.mp3</v>
      </c>
      <c r="D1063" s="11"/>
      <c r="E1063" s="11"/>
    </row>
    <row r="1064" spans="1:5">
      <c r="A1064" s="12" t="s">
        <v>12462</v>
      </c>
      <c r="B1064" s="12" t="s">
        <v>14016</v>
      </c>
      <c r="C1064" s="13" t="str">
        <f>HYPERLINK("https://audio.iskcondesiretree.com/02_-_ISKCON_Swamis/ISKCON_Swamis_-_R_to_Y/His_Holiness_Radhanath_Swami/Lectures/00_-_Year_wise/Devotional_Nectar_-_1996/1996-059_Krsna_Protects_Great_Devotee_SB-01_18_02_Mumbai_-_23-03-96_IDesireTree.mp3", "1996-059_Krsna_Protects_Great_Devotee_SB-01_18_02_Mumbai_-_23-03-96_IDesireTree.mp3")</f>
        <v>1996-059_Krsna_Protects_Great_Devotee_SB-01_18_02_Mumbai_-_23-03-96_IDesireTree.mp3</v>
      </c>
      <c r="D1064" s="11"/>
      <c r="E1064" s="11"/>
    </row>
    <row r="1065" spans="1:5">
      <c r="A1065" s="12" t="s">
        <v>12462</v>
      </c>
      <c r="B1065" s="12" t="s">
        <v>14017</v>
      </c>
      <c r="C1065" s="13" t="str">
        <f>HYPERLINK("https://audio.iskcondesiretree.com/02_-_ISKCON_Swamis/ISKCON_Swamis_-_R_to_Y/His_Holiness_Radhanath_Swami/Lectures/00_-_Year_wise/Devotional_Nectar_-_1996/1996-060_What_Is_Supreme_Wealth_Lecture_Mumbai_-_Radhanath_Swami_1996-03-23_IDesireTree.mp3", "1996-060_What_Is_Supreme_Wealth_Lecture_Mumbai_-_Radhanath_Swami_1996-03-23_IDesireTree.mp3")</f>
        <v>1996-060_What_Is_Supreme_Wealth_Lecture_Mumbai_-_Radhanath_Swami_1996-03-23_IDesireTree.mp3</v>
      </c>
      <c r="D1065" s="11"/>
      <c r="E1065" s="11"/>
    </row>
    <row r="1066" spans="1:5">
      <c r="A1066" s="12" t="s">
        <v>12462</v>
      </c>
      <c r="B1066" s="12" t="s">
        <v>14018</v>
      </c>
      <c r="C1066" s="13" t="str">
        <f>HYPERLINK("https://audio.iskcondesiretree.com/02_-_ISKCON_Swamis/ISKCON_Swamis_-_R_to_Y/His_Holiness_Radhanath_Swami/Lectures/00_-_Year_wise/Devotional_Nectar_-_1996/1996-061_Faith_Removes_Fear_SB-01_18_04_Mumbai_-_Radhanath_Swami_1996-03-24_IDesireTree.mp3", "1996-061_Faith_Removes_Fear_SB-01_18_04_Mumbai_-_Radhanath_Swami_1996-03-24_IDesireTree.mp3")</f>
        <v>1996-061_Faith_Removes_Fear_SB-01_18_04_Mumbai_-_Radhanath_Swami_1996-03-24_IDesireTree.mp3</v>
      </c>
      <c r="D1066" s="11"/>
      <c r="E1066" s="11"/>
    </row>
    <row r="1067" spans="1:5">
      <c r="A1067" s="12" t="s">
        <v>12462</v>
      </c>
      <c r="B1067" s="12" t="s">
        <v>14019</v>
      </c>
      <c r="C1067" s="13" t="str">
        <f>HYPERLINK("https://audio.iskcondesiretree.com/02_-_ISKCON_Swamis/ISKCON_Swamis_-_R_to_Y/His_Holiness_Radhanath_Swami/Lectures/00_-_Year_wise/Devotional_Nectar_-_1996/1996-062_RamanujAcharya_Appearence_Day_BG-03_34_Mumbai_-_Radhanath_Swami_1996-03-24_IDesireTree.mp3", "1996-062_RamanujAcharya_Appearence_Day_BG-03_34_Mumbai_-_Radhanath_Swami_1996-03-24_IDesireTree.mp3")</f>
        <v>1996-062_RamanujAcharya_Appearence_Day_BG-03_34_Mumbai_-_Radhanath_Swami_1996-03-24_IDesireTree.mp3</v>
      </c>
      <c r="D1067" s="11"/>
      <c r="E1067" s="11"/>
    </row>
    <row r="1068" spans="1:5">
      <c r="A1068" s="12" t="s">
        <v>12462</v>
      </c>
      <c r="B1068" s="12" t="s">
        <v>14020</v>
      </c>
      <c r="C1068" s="13" t="str">
        <f>HYPERLINK("https://audio.iskcondesiretree.com/02_-_ISKCON_Swamis/ISKCON_Swamis_-_R_to_Y/His_Holiness_Radhanath_Swami/Lectures/00_-_Year_wise/Devotional_Nectar_-_1996/1996-063_Initiation_Lecture_Lecture_Mumbai_-_Radhanath_Swami_1996-03-28_IDesireTree.mp3", "1996-063_Initiation_Lecture_Lecture_Mumbai_-_Radhanath_Swami_1996-03-28_IDesireTree.mp3")</f>
        <v>1996-063_Initiation_Lecture_Lecture_Mumbai_-_Radhanath_Swami_1996-03-28_IDesireTree.mp3</v>
      </c>
      <c r="D1068" s="11"/>
      <c r="E1068" s="11"/>
    </row>
    <row r="1069" spans="1:5">
      <c r="A1069" s="12" t="s">
        <v>12462</v>
      </c>
      <c r="B1069" s="12" t="s">
        <v>14021</v>
      </c>
      <c r="C1069" s="13" t="str">
        <f>HYPERLINK("https://audio.iskcondesiretree.com/02_-_ISKCON_Swamis/ISKCON_Swamis_-_R_to_Y/His_Holiness_Radhanath_Swami/Lectures/00_-_Year_wise/Devotional_Nectar_-_1996/1996-064_Initiation_Lecture_Fire_Sacrifice_-_Lecture_Mumbai_-_28-03-96_IDesireTree.mp3", "1996-064_Initiation_Lecture_Fire_Sacrifice_-_Lecture_Mumbai_-_28-03-96_IDesireTree.mp3")</f>
        <v>1996-064_Initiation_Lecture_Fire_Sacrifice_-_Lecture_Mumbai_-_28-03-96_IDesireTree.mp3</v>
      </c>
      <c r="D1069" s="11"/>
      <c r="E1069" s="11"/>
    </row>
    <row r="1070" spans="1:5">
      <c r="A1070" s="12" t="s">
        <v>12462</v>
      </c>
      <c r="B1070" s="12" t="s">
        <v>14022</v>
      </c>
      <c r="C1070" s="13" t="str">
        <f>HYPERLINK("https://audio.iskcondesiretree.com/02_-_ISKCON_Swamis/ISKCON_Swamis_-_R_to_Y/His_Holiness_Radhanath_Swami/Lectures/00_-_Year_wise/Devotional_Nectar_-_1996/1996-065_Shyamsunder_Prabhu_Remember_Srila_Prabhupada_Lecture_Mumbai_-_28-03-96_IDesireTree.mp3", "1996-065_Shyamsunder_Prabhu_Remember_Srila_Prabhupada_Lecture_Mumbai_-_28-03-96_IDesireTree.mp3")</f>
        <v>1996-065_Shyamsunder_Prabhu_Remember_Srila_Prabhupada_Lecture_Mumbai_-_28-03-96_IDesireTree.mp3</v>
      </c>
      <c r="D1070" s="11"/>
      <c r="E1070" s="11"/>
    </row>
    <row r="1071" spans="1:5">
      <c r="A1071" s="12" t="s">
        <v>12462</v>
      </c>
      <c r="B1071" s="12" t="s">
        <v>14023</v>
      </c>
      <c r="C1071" s="13" t="str">
        <f>HYPERLINK("https://audio.iskcondesiretree.com/02_-_ISKCON_Swamis/ISKCON_Swamis_-_R_to_Y/His_Holiness_Radhanath_Swami/Lectures/00_-_Year_wise/Devotional_Nectar_-_1996/1996-066_Teachings_Of_Lord_Rama_Lectures_Mumbai_-_Radhanath_Swami_1996-03-30_IDesireTree.mp3", "1996-066_Teachings_Of_Lord_Rama_Lectures_Mumbai_-_Radhanath_Swami_1996-03-30_IDesireTree.mp3")</f>
        <v>1996-066_Teachings_Of_Lord_Rama_Lectures_Mumbai_-_Radhanath_Swami_1996-03-30_IDesireTree.mp3</v>
      </c>
      <c r="D1071" s="11"/>
      <c r="E1071" s="11"/>
    </row>
    <row r="1072" spans="1:5">
      <c r="A1072" s="12" t="s">
        <v>12462</v>
      </c>
      <c r="B1072" s="12" t="s">
        <v>14024</v>
      </c>
      <c r="C1072" s="13" t="str">
        <f>HYPERLINK("https://audio.iskcondesiretree.com/02_-_ISKCON_Swamis/ISKCON_Swamis_-_R_to_Y/His_Holiness_Radhanath_Swami/Lectures/00_-_Year_wise/Devotional_Nectar_-_1996/1996-067_Lord_Never_Appears_Alone_SB-01_18_9_Mumbai_-_Radhanath_Swami_1996-03-29_IDesireTree.mp3", "1996-067_Lord_Never_Appears_Alone_SB-01_18_9_Mumbai_-_Radhanath_Swami_1996-03-29_IDesireTree.mp3")</f>
        <v>1996-067_Lord_Never_Appears_Alone_SB-01_18_9_Mumbai_-_Radhanath_Swami_1996-03-29_IDesireTree.mp3</v>
      </c>
      <c r="D1072" s="11"/>
      <c r="E1072" s="11"/>
    </row>
    <row r="1073" spans="1:5">
      <c r="A1073" s="12" t="s">
        <v>12462</v>
      </c>
      <c r="B1073" s="12" t="s">
        <v>14025</v>
      </c>
      <c r="C1073" s="13" t="str">
        <f>HYPERLINK("https://audio.iskcondesiretree.com/02_-_ISKCON_Swamis/ISKCON_Swamis_-_R_to_Y/His_Holiness_Radhanath_Swami/Lectures/00_-_Year_wise/Devotional_Nectar_-_1996/1996-068_Pastimes_Of_Lord_Rama_SB-09_10_02_Mumbai_-_Radhanath_Swami_1996-03-29_IDesireTree.mp3", "1996-068_Pastimes_Of_Lord_Rama_SB-09_10_02_Mumbai_-_Radhanath_Swami_1996-03-29_IDesireTree.mp3")</f>
        <v>1996-068_Pastimes_Of_Lord_Rama_SB-09_10_02_Mumbai_-_Radhanath_Swami_1996-03-29_IDesireTree.mp3</v>
      </c>
      <c r="D1073" s="11"/>
      <c r="E1073" s="11"/>
    </row>
    <row r="1074" spans="1:5">
      <c r="A1074" s="12" t="s">
        <v>12462</v>
      </c>
      <c r="B1074" s="12" t="s">
        <v>14026</v>
      </c>
      <c r="C1074" s="13" t="str">
        <f>HYPERLINK("https://audio.iskcondesiretree.com/02_-_ISKCON_Swamis/ISKCON_Swamis_-_R_to_Y/His_Holiness_Radhanath_Swami/Lectures/00_-_Year_wise/Devotional_Nectar_-_1996/1996-069_Glorify_Devotees_Inspite_Of_Our_Ego_Lecture_Mumbai_-_31-03-96_IDesireTree.mp3", "1996-069_Glorify_Devotees_Inspite_Of_Our_Ego_Lecture_Mumbai_-_31-03-96_IDesireTree.mp3")</f>
        <v>1996-069_Glorify_Devotees_Inspite_Of_Our_Ego_Lecture_Mumbai_-_31-03-96_IDesireTree.mp3</v>
      </c>
      <c r="D1074" s="11"/>
      <c r="E1074" s="11"/>
    </row>
    <row r="1075" spans="1:5">
      <c r="A1075" s="12" t="s">
        <v>12462</v>
      </c>
      <c r="B1075" s="12" t="s">
        <v>14027</v>
      </c>
      <c r="C1075" s="13" t="str">
        <f>HYPERLINK("https://audio.iskcondesiretree.com/02_-_ISKCON_Swamis/ISKCON_Swamis_-_R_to_Y/His_Holiness_Radhanath_Swami/Lectures/00_-_Year_wise/Devotional_Nectar_-_1996/1996-070_Saffron_Awarding_Ceremony_Lecture_Mumbai_-_Radhanath_Swami_1996-04-03_IDesireTree.mp3", "1996-070_Saffron_Awarding_Ceremony_Lecture_Mumbai_-_Radhanath_Swami_1996-04-03_IDesireTree.mp3")</f>
        <v>1996-070_Saffron_Awarding_Ceremony_Lecture_Mumbai_-_Radhanath_Swami_1996-04-03_IDesireTree.mp3</v>
      </c>
      <c r="D1075" s="11"/>
      <c r="E1075" s="11"/>
    </row>
    <row r="1076" spans="1:5">
      <c r="A1076" s="12" t="s">
        <v>12462</v>
      </c>
      <c r="B1076" s="12" t="s">
        <v>14028</v>
      </c>
      <c r="C1076" s="13" t="str">
        <f>HYPERLINK("https://audio.iskcondesiretree.com/02_-_ISKCON_Swamis/ISKCON_Swamis_-_R_to_Y/His_Holiness_Radhanath_Swami/Lectures/00_-_Year_wise/Devotional_Nectar_-_1996/1996-071_Sri_Hanuman%27s_Pastimes_Lecture_Mumbai_-_Radhanath_Swami_1996-04-03_new_IDesireTree.mp3", "1996-071_Sri_Hanuman%27s_Pastimes_Lecture_Mumbai_-_Radhanath_Swami_1996-04-03_new_IDesireTree.mp3")</f>
        <v>1996-071_Sri_Hanuman%27s_Pastimes_Lecture_Mumbai_-_Radhanath_Swami_1996-04-03_new_IDesireTree.mp3</v>
      </c>
      <c r="D1076" s="11"/>
      <c r="E1076" s="11"/>
    </row>
    <row r="1077" spans="1:5">
      <c r="A1077" s="12" t="s">
        <v>12462</v>
      </c>
      <c r="B1077" s="12" t="s">
        <v>14029</v>
      </c>
      <c r="C1077" s="13" t="str">
        <f>HYPERLINK("https://audio.iskcondesiretree.com/02_-_ISKCON_Swamis/ISKCON_Swamis_-_R_to_Y/His_Holiness_Radhanath_Swami/Lectures/00_-_Year_wise/Devotional_Nectar_-_1996/1996-072_Real_Wealth_Is_Krishna_Consciousness_BG-12_08_Mumbai_-_06-04-96_IDesireTree.mp3", "1996-072_Real_Wealth_Is_Krishna_Consciousness_BG-12_08_Mumbai_-_06-04-96_IDesireTree.mp3")</f>
        <v>1996-072_Real_Wealth_Is_Krishna_Consciousness_BG-12_08_Mumbai_-_06-04-96_IDesireTree.mp3</v>
      </c>
      <c r="D1077" s="11"/>
      <c r="E1077" s="11"/>
    </row>
    <row r="1078" spans="1:5">
      <c r="A1078" s="12" t="s">
        <v>12462</v>
      </c>
      <c r="B1078" s="12" t="s">
        <v>14030</v>
      </c>
      <c r="C1078" s="13" t="str">
        <f>HYPERLINK("https://audio.iskcondesiretree.com/02_-_ISKCON_Swamis/ISKCON_Swamis_-_R_to_Y/His_Holiness_Radhanath_Swami/Lectures/00_-_Year_wise/Devotional_Nectar_-_1996/1996-073_How_Insignificant_We_Are%21_BG-08_18_Mumbai_-_Radhanath_Swami_1996-04-07_IDesireTree.mp3", "1996-073_How_Insignificant_We_Are%21_BG-08_18_Mumbai_-_Radhanath_Swami_1996-04-07_IDesireTree.mp3")</f>
        <v>1996-073_How_Insignificant_We_Are%21_BG-08_18_Mumbai_-_Radhanath_Swami_1996-04-07_IDesireTree.mp3</v>
      </c>
      <c r="D1078" s="11"/>
      <c r="E1078" s="11"/>
    </row>
    <row r="1079" spans="1:5">
      <c r="A1079" s="12" t="s">
        <v>12462</v>
      </c>
      <c r="B1079" s="12" t="s">
        <v>14031</v>
      </c>
      <c r="C1079" s="13" t="str">
        <f>HYPERLINK("https://audio.iskcondesiretree.com/02_-_ISKCON_Swamis/ISKCON_Swamis_-_R_to_Y/His_Holiness_Radhanath_Swami/Lectures/00_-_Year_wise/Devotional_Nectar_-_1996/1996-074_Qualification_Is_More_Important_Than_Birth_SB-01_18_18_Mumbai_-_07-04-96_IDesireTree.mp3", "1996-074_Qualification_Is_More_Important_Than_Birth_SB-01_18_18_Mumbai_-_07-04-96_IDesireTree.mp3")</f>
        <v>1996-074_Qualification_Is_More_Important_Than_Birth_SB-01_18_18_Mumbai_-_07-04-96_IDesireTree.mp3</v>
      </c>
      <c r="D1079" s="11"/>
      <c r="E1079" s="11"/>
    </row>
    <row r="1080" spans="1:5">
      <c r="A1080" s="12" t="s">
        <v>12462</v>
      </c>
      <c r="B1080" s="12" t="s">
        <v>14032</v>
      </c>
      <c r="C1080" s="13" t="str">
        <f>HYPERLINK("https://audio.iskcondesiretree.com/02_-_ISKCON_Swamis/ISKCON_Swamis_-_R_to_Y/His_Holiness_Radhanath_Swami/Lectures/00_-_Year_wise/Devotional_Nectar_-_1996/1996-075_Purify_Our_Heart_BG-03_20_Pune_-_Radhanath_Swami_1996-04-09_IDesireTree.mp3", "1996-075_Purify_Our_Heart_BG-03_20_Pune_-_Radhanath_Swami_1996-04-09_IDesireTree.mp3")</f>
        <v>1996-075_Purify_Our_Heart_BG-03_20_Pune_-_Radhanath_Swami_1996-04-09_IDesireTree.mp3</v>
      </c>
      <c r="D1080" s="11"/>
      <c r="E1080" s="11"/>
    </row>
    <row r="1081" spans="1:5">
      <c r="A1081" s="12" t="s">
        <v>12462</v>
      </c>
      <c r="B1081" s="12" t="s">
        <v>14033</v>
      </c>
      <c r="C1081" s="13" t="str">
        <f>HYPERLINK("https://audio.iskcondesiretree.com/02_-_ISKCON_Swamis/ISKCON_Swamis_-_R_to_Y/His_Holiness_Radhanath_Swami/Lectures/00_-_Year_wise/Devotional_Nectar_-_1996/1996-076_Give_Up_Envy_And_Cooperate_SB-04_19_01-02_Pune_-_Radhanath_Swami_1996-04-10_IDesireTree.mp3", "1996-076_Give_Up_Envy_And_Cooperate_SB-04_19_01-02_Pune_-_Radhanath_Swami_1996-04-10_IDesireTree.mp3")</f>
        <v>1996-076_Give_Up_Envy_And_Cooperate_SB-04_19_01-02_Pune_-_Radhanath_Swami_1996-04-10_IDesireTree.mp3</v>
      </c>
      <c r="D1081" s="11"/>
      <c r="E1081" s="11"/>
    </row>
    <row r="1082" spans="1:5">
      <c r="A1082" s="12" t="s">
        <v>12462</v>
      </c>
      <c r="B1082" s="12" t="s">
        <v>14034</v>
      </c>
      <c r="C1082" s="13" t="str">
        <f>HYPERLINK("https://audio.iskcondesiretree.com/02_-_ISKCON_Swamis/ISKCON_Swamis_-_R_to_Y/His_Holiness_Radhanath_Swami/Lectures/00_-_Year_wise/Devotional_Nectar_-_1996/1996-077_Abhiram_Gopal_Thakur_Appearence_Day_Lecture_Pune_-_10-04-96_IDesireTree.mp3", "1996-077_Abhiram_Gopal_Thakur_Appearence_Day_Lecture_Pune_-_10-04-96_IDesireTree.mp3")</f>
        <v>1996-077_Abhiram_Gopal_Thakur_Appearence_Day_Lecture_Pune_-_10-04-96_IDesireTree.mp3</v>
      </c>
      <c r="D1082" s="11"/>
      <c r="E1082" s="11"/>
    </row>
    <row r="1083" spans="1:5">
      <c r="A1083" s="12" t="s">
        <v>12462</v>
      </c>
      <c r="B1083" s="12" t="s">
        <v>14035</v>
      </c>
      <c r="C1083" s="13" t="str">
        <f>HYPERLINK("https://audio.iskcondesiretree.com/02_-_ISKCON_Swamis/ISKCON_Swamis_-_R_to_Y/His_Holiness_Radhanath_Swami/Lectures/00_-_Year_wise/Devotional_Nectar_-_1996/1996-078_Transcendental_Sight_Seeing_SB-02_03_22_Pune_-_Radhanath_Swami_1996-04-11_IDesireTree.mp3", "1996-078_Transcendental_Sight_Seeing_SB-02_03_22_Pune_-_Radhanath_Swami_1996-04-11_IDesireTree.mp3")</f>
        <v>1996-078_Transcendental_Sight_Seeing_SB-02_03_22_Pune_-_Radhanath_Swami_1996-04-11_IDesireTree.mp3</v>
      </c>
      <c r="D1083" s="11"/>
      <c r="E1083" s="11"/>
    </row>
    <row r="1084" spans="1:5">
      <c r="A1084" s="12" t="s">
        <v>12462</v>
      </c>
      <c r="B1084" s="12" t="s">
        <v>14036</v>
      </c>
      <c r="C1084" s="13" t="str">
        <f>HYPERLINK("https://audio.iskcondesiretree.com/02_-_ISKCON_Swamis/ISKCON_Swamis_-_R_to_Y/His_Holiness_Radhanath_Swami/Lectures/00_-_Year_wise/Devotional_Nectar_-_1996/1996-079_Story_Of_King_Nriga_Ht_-_BG-07_29_Pune_-_Radhanath_Swami_1996-04-11_IDesireTree.mp3", "1996-079_Story_Of_King_Nriga_Ht_-_BG-07_29_Pune_-_Radhanath_Swami_1996-04-11_IDesireTree.mp3")</f>
        <v>1996-079_Story_Of_King_Nriga_Ht_-_BG-07_29_Pune_-_Radhanath_Swami_1996-04-11_IDesireTree.mp3</v>
      </c>
      <c r="D1084" s="11"/>
      <c r="E1084" s="11"/>
    </row>
    <row r="1085" spans="1:5">
      <c r="A1085" s="12" t="s">
        <v>12462</v>
      </c>
      <c r="B1085" s="12" t="e">
        <v>#VALUE!</v>
      </c>
      <c r="C1085" s="13" t="e">
        <f>HYPERLINK("https://audio.iskcondesiretree.com/02_-_ISKCON_Swamis/ISKCON_Swamis_-_R_to_Y/His_Holiness_Radhanath_Swami/Lectures/00_-_Year_wise/Devotional_Nectar_-_1996/1996-080_Sarvabhavma_Bhattacharya_And_Chaitanya_Mahaprabhu_CC-Madhya-06_89_Mumbai_-_12-04-96_IDesire"&amp;"Tree.mp3", "1996-080_Sarvabhavma_Bhattacharya_And_Chaitanya_Mahaprabhu_CC-Madhya-06_89_Mumbai_-_12-04-96_IDesireTree.mp3")</f>
        <v>#VALUE!</v>
      </c>
      <c r="D1085" s="11"/>
      <c r="E1085" s="11"/>
    </row>
    <row r="1086" spans="1:5">
      <c r="A1086" s="12" t="s">
        <v>12462</v>
      </c>
      <c r="B1086" s="12" t="s">
        <v>14037</v>
      </c>
      <c r="C1086" s="13" t="str">
        <f>HYPERLINK("https://audio.iskcondesiretree.com/02_-_ISKCON_Swamis/ISKCON_Swamis_-_R_to_Y/His_Holiness_Radhanath_Swami/Lectures/00_-_Year_wise/Devotional_Nectar_-_1996/1996-081_Vrindavan_Das_Thakur_Ht_-_SB-03_25_15_Mumbai_-_Radhanath_Swami_1996-04-13_IDesireTree.mp3", "1996-081_Vrindavan_Das_Thakur_Ht_-_SB-03_25_15_Mumbai_-_Radhanath_Swami_1996-04-13_IDesireTree.mp3")</f>
        <v>1996-081_Vrindavan_Das_Thakur_Ht_-_SB-03_25_15_Mumbai_-_Radhanath_Swami_1996-04-13_IDesireTree.mp3</v>
      </c>
      <c r="D1086" s="11"/>
      <c r="E1086" s="11"/>
    </row>
    <row r="1087" spans="1:5">
      <c r="A1087" s="12" t="s">
        <v>12462</v>
      </c>
      <c r="B1087" s="12" t="e">
        <v>#VALUE!</v>
      </c>
      <c r="C1087" s="13" t="e">
        <f>HYPERLINK("https://audio.iskcondesiretree.com/02_-_ISKCON_Swamis/ISKCON_Swamis_-_R_to_Y/His_Holiness_Radhanath_Swami/Lectures/00_-_Year_wise/Devotional_Nectar_-_1996/1996-082_Maharaj_Parikshit_Acted_According_To_Plan_of_Krishna_SB-01_18_26_Mumbai_-_14-04-96_IDesireT"&amp;"ree.mp3", "1996-082_Maharaj_Parikshit_Acted_According_To_Plan_of_Krishna_SB-01_18_26_Mumbai_-_14-04-96_IDesireTree.mp3")</f>
        <v>#VALUE!</v>
      </c>
      <c r="D1087" s="11"/>
      <c r="E1087" s="11"/>
    </row>
    <row r="1088" spans="1:5">
      <c r="A1088" s="12" t="s">
        <v>12462</v>
      </c>
      <c r="B1088" s="12" t="s">
        <v>14038</v>
      </c>
      <c r="C1088" s="13" t="str">
        <f>HYPERLINK("https://audio.iskcondesiretree.com/02_-_ISKCON_Swamis/ISKCON_Swamis_-_R_to_Y/His_Holiness_Radhanath_Swami/Lectures/00_-_Year_wise/Devotional_Nectar_-_1996/1996-083_Most_Merciful-_Nitai_Gaurachandra_Lecture_Mumbai_-_14-04-96_IDesireTree.mp3", "1996-083_Most_Merciful-_Nitai_Gaurachandra_Lecture_Mumbai_-_14-04-96_IDesireTree.mp3")</f>
        <v>1996-083_Most_Merciful-_Nitai_Gaurachandra_Lecture_Mumbai_-_14-04-96_IDesireTree.mp3</v>
      </c>
      <c r="D1088" s="11"/>
      <c r="E1088" s="11"/>
    </row>
    <row r="1089" spans="1:5">
      <c r="A1089" s="12" t="s">
        <v>12462</v>
      </c>
      <c r="B1089" s="12" t="s">
        <v>14039</v>
      </c>
      <c r="C1089" s="13" t="str">
        <f>HYPERLINK("https://audio.iskcondesiretree.com/02_-_ISKCON_Swamis/ISKCON_Swamis_-_R_to_Y/His_Holiness_Radhanath_Swami/Lectures/00_-_Year_wise/Devotional_Nectar_-_1996/1996-084_Isckon_Youth_Forum_Inaguration_Lecture_Mumbai_-_Radhanath_Swami_1996-04-16_IDesireTree.mp3", "1996-084_Isckon_Youth_Forum_Inaguration_Lecture_Mumbai_-_Radhanath_Swami_1996-04-16_IDesireTree.mp3")</f>
        <v>1996-084_Isckon_Youth_Forum_Inaguration_Lecture_Mumbai_-_Radhanath_Swami_1996-04-16_IDesireTree.mp3</v>
      </c>
      <c r="D1089" s="11"/>
      <c r="E1089" s="11"/>
    </row>
    <row r="1090" spans="1:5">
      <c r="A1090" s="12" t="s">
        <v>12462</v>
      </c>
      <c r="B1090" s="12" t="s">
        <v>14040</v>
      </c>
      <c r="C1090" s="13" t="str">
        <f>HYPERLINK("https://audio.iskcondesiretree.com/02_-_ISKCON_Swamis/ISKCON_Swamis_-_R_to_Y/His_Holiness_Radhanath_Swami/Lectures/00_-_Year_wise/Devotional_Nectar_-_1996/1996-085_Laws_Of_God_Will_Surely_Act_BG-03_15_Mumbai_-_Radhanath_Swami_1996-04-18_IDesireTree.mp3", "1996-085_Laws_Of_God_Will_Surely_Act_BG-03_15_Mumbai_-_Radhanath_Swami_1996-04-18_IDesireTree.mp3")</f>
        <v>1996-085_Laws_Of_God_Will_Surely_Act_BG-03_15_Mumbai_-_Radhanath_Swami_1996-04-18_IDesireTree.mp3</v>
      </c>
      <c r="D1090" s="11"/>
      <c r="E1090" s="11"/>
    </row>
    <row r="1091" spans="1:5">
      <c r="A1091" s="12" t="s">
        <v>12462</v>
      </c>
      <c r="B1091" s="12" t="s">
        <v>14041</v>
      </c>
      <c r="C1091" s="13" t="str">
        <f>HYPERLINK("https://audio.iskcondesiretree.com/02_-_ISKCON_Swamis/ISKCON_Swamis_-_R_to_Y/His_Holiness_Radhanath_Swami/Lectures/00_-_Year_wise/Devotional_Nectar_-_1996/1996-086_King_Shivaji_Took_Shelter_Of_Holy_Name_Mt_-_BG-02-48_Mumbai_-_19-04-96_IDesireTree.mp3", "1996-086_King_Shivaji_Took_Shelter_Of_Holy_Name_Mt_-_BG-02-48_Mumbai_-_19-04-96_IDesireTree.mp3")</f>
        <v>1996-086_King_Shivaji_Took_Shelter_Of_Holy_Name_Mt_-_BG-02-48_Mumbai_-_19-04-96_IDesireTree.mp3</v>
      </c>
      <c r="D1091" s="11"/>
      <c r="E1091" s="11"/>
    </row>
    <row r="1092" spans="1:5">
      <c r="A1092" s="12" t="s">
        <v>12462</v>
      </c>
      <c r="B1092" s="12" t="s">
        <v>14042</v>
      </c>
      <c r="C1092" s="13" t="str">
        <f>HYPERLINK("https://audio.iskcondesiretree.com/02_-_ISKCON_Swamis/ISKCON_Swamis_-_R_to_Y/His_Holiness_Radhanath_Swami/Lectures/00_-_Year_wise/Devotional_Nectar_-_1996/1996-087_Varnashram_System_Means_Acting_Together_SB-01_18_32_Mumbai_-_20-04-96_IDesireTree.mp3", "1996-087_Varnashram_System_Means_Acting_Together_SB-01_18_32_Mumbai_-_20-04-96_IDesireTree.mp3")</f>
        <v>1996-087_Varnashram_System_Means_Acting_Together_SB-01_18_32_Mumbai_-_20-04-96_IDesireTree.mp3</v>
      </c>
      <c r="D1092" s="11"/>
      <c r="E1092" s="11"/>
    </row>
    <row r="1093" spans="1:5">
      <c r="A1093" s="12" t="s">
        <v>12462</v>
      </c>
      <c r="B1093" s="12" t="s">
        <v>14043</v>
      </c>
      <c r="C1093" s="13" t="str">
        <f>HYPERLINK("https://audio.iskcondesiretree.com/02_-_ISKCON_Swamis/ISKCON_Swamis_-_R_to_Y/His_Holiness_Radhanath_Swami/Lectures/00_-_Year_wise/Devotional_Nectar_-_1996/1996-088_Teachings_Of_Jada_Bharat_Ht_-_Lecture_Mumbai_-_Radhanath_Swami_1996-04-20_IDesireTree.mp3", "1996-088_Teachings_Of_Jada_Bharat_Ht_-_Lecture_Mumbai_-_Radhanath_Swami_1996-04-20_IDesireTree.mp3")</f>
        <v>1996-088_Teachings_Of_Jada_Bharat_Ht_-_Lecture_Mumbai_-_Radhanath_Swami_1996-04-20_IDesireTree.mp3</v>
      </c>
      <c r="D1093" s="11"/>
      <c r="E1093" s="11"/>
    </row>
    <row r="1094" spans="1:5">
      <c r="A1094" s="12" t="s">
        <v>12462</v>
      </c>
      <c r="B1094" s="12" t="s">
        <v>14044</v>
      </c>
      <c r="C1094" s="13" t="str">
        <f>HYPERLINK("https://audio.iskcondesiretree.com/02_-_ISKCON_Swamis/ISKCON_Swamis_-_R_to_Y/His_Holiness_Radhanath_Swami/Lectures/00_-_Year_wise/Devotional_Nectar_-_1996/1996-089_Srila_Gadadhar_Pandit_Lecture_Mumbai_-_Radhanath_Swami_1996-04-21_IDesireTree.mp3", "1996-089_Srila_Gadadhar_Pandit_Lecture_Mumbai_-_Radhanath_Swami_1996-04-21_IDesireTree.mp3")</f>
        <v>1996-089_Srila_Gadadhar_Pandit_Lecture_Mumbai_-_Radhanath_Swami_1996-04-21_IDesireTree.mp3</v>
      </c>
      <c r="D1094" s="11"/>
      <c r="E1094" s="11"/>
    </row>
    <row r="1095" spans="1:5">
      <c r="A1095" s="12" t="s">
        <v>12462</v>
      </c>
      <c r="B1095" s="12" t="s">
        <v>14045</v>
      </c>
      <c r="C1095" s="13" t="str">
        <f>HYPERLINK("https://audio.iskcondesiretree.com/02_-_ISKCON_Swamis/ISKCON_Swamis_-_R_to_Y/His_Holiness_Radhanath_Swami/Lectures/00_-_Year_wise/Devotional_Nectar_-_1996/1996-090_Fight_In_Spiritual_Life_Lecture_Mumbai_-_Radhanath_Swami_1996-04-21_IDesireTree.mp3", "1996-090_Fight_In_Spiritual_Life_Lecture_Mumbai_-_Radhanath_Swami_1996-04-21_IDesireTree.mp3")</f>
        <v>1996-090_Fight_In_Spiritual_Life_Lecture_Mumbai_-_Radhanath_Swami_1996-04-21_IDesireTree.mp3</v>
      </c>
      <c r="D1095" s="11"/>
      <c r="E1095" s="11"/>
    </row>
    <row r="1096" spans="1:5">
      <c r="A1096" s="12" t="s">
        <v>12462</v>
      </c>
      <c r="B1096" s="12" t="s">
        <v>14046</v>
      </c>
      <c r="C1096" s="13" t="str">
        <f>HYPERLINK("https://audio.iskcondesiretree.com/02_-_ISKCON_Swamis/ISKCON_Swamis_-_R_to_Y/His_Holiness_Radhanath_Swami/Lectures/00_-_Year_wise/Devotional_Nectar_-_1996/1996-091_How_Degradation_Of_Brahmanas_Began_SB-1_18_37_Mumbai_-_24-04-96_IDesireTree.mp3", "1996-091_How_Degradation_Of_Brahmanas_Began_SB-1_18_37_Mumbai_-_24-04-96_IDesireTree.mp3")</f>
        <v>1996-091_How_Degradation_Of_Brahmanas_Began_SB-1_18_37_Mumbai_-_24-04-96_IDesireTree.mp3</v>
      </c>
      <c r="D1096" s="11"/>
      <c r="E1096" s="11"/>
    </row>
    <row r="1097" spans="1:5">
      <c r="A1097" s="12" t="s">
        <v>12462</v>
      </c>
      <c r="B1097" s="12" t="s">
        <v>14047</v>
      </c>
      <c r="C1097" s="13" t="str">
        <f>HYPERLINK("https://audio.iskcondesiretree.com/02_-_ISKCON_Swamis/ISKCON_Swamis_-_R_to_Y/His_Holiness_Radhanath_Swami/Lectures/00_-_Year_wise/Devotional_Nectar_-_1996/1996-092_What_Is_Knowledge_And_Ignorance_BG-10_1_Mumbai_-_24-04-96_IDesireTree.mp3", "1996-092_What_Is_Knowledge_And_Ignorance_BG-10_1_Mumbai_-_24-04-96_IDesireTree.mp3")</f>
        <v>1996-092_What_Is_Knowledge_And_Ignorance_BG-10_1_Mumbai_-_24-04-96_IDesireTree.mp3</v>
      </c>
      <c r="D1097" s="11"/>
      <c r="E1097" s="11"/>
    </row>
    <row r="1098" spans="1:5">
      <c r="A1098" s="12" t="s">
        <v>12462</v>
      </c>
      <c r="B1098" s="12" t="s">
        <v>14048</v>
      </c>
      <c r="C1098" s="13" t="str">
        <f>HYPERLINK("https://audio.iskcondesiretree.com/02_-_ISKCON_Swamis/ISKCON_Swamis_-_R_to_Y/His_Holiness_Radhanath_Swami/Lectures/00_-_Year_wise/Devotional_Nectar_-_1996/1996-093_Pastimes_Of_Sri_RamanujAcharya_BG_Mumbai_-_25-04-96_IDesireTree.mp3", "1996-093_Pastimes_Of_Sri_RamanujAcharya_BG_Mumbai_-_25-04-96_IDesireTree.mp3")</f>
        <v>1996-093_Pastimes_Of_Sri_RamanujAcharya_BG_Mumbai_-_25-04-96_IDesireTree.mp3</v>
      </c>
      <c r="D1098" s="11"/>
      <c r="E1098" s="11"/>
    </row>
    <row r="1099" spans="1:5">
      <c r="A1099" s="12" t="s">
        <v>12462</v>
      </c>
      <c r="B1099" s="12" t="s">
        <v>14049</v>
      </c>
      <c r="C1099" s="13" t="str">
        <f>HYPERLINK("https://audio.iskcondesiretree.com/02_-_ISKCON_Swamis/ISKCON_Swamis_-_R_to_Y/His_Holiness_Radhanath_Swami/Lectures/00_-_Year_wise/Devotional_Nectar_-_1996/1996-093_Pastimes_Of_Sri_RamanujAcharya_BG_Mumbai_-_Radhanath_Swami_1996-04-25_IDesireTree.mp3", "1996-093_Pastimes_Of_Sri_RamanujAcharya_BG_Mumbai_-_Radhanath_Swami_1996-04-25_IDesireTree.mp3")</f>
        <v>1996-093_Pastimes_Of_Sri_RamanujAcharya_BG_Mumbai_-_Radhanath_Swami_1996-04-25_IDesireTree.mp3</v>
      </c>
      <c r="D1099" s="11"/>
      <c r="E1099" s="11"/>
    </row>
    <row r="1100" spans="1:5">
      <c r="A1100" s="12" t="s">
        <v>12462</v>
      </c>
      <c r="B1100" s="12" t="s">
        <v>14050</v>
      </c>
      <c r="C1100" s="13" t="str">
        <f>HYPERLINK("https://audio.iskcondesiretree.com/02_-_ISKCON_Swamis/ISKCON_Swamis_-_R_to_Y/His_Holiness_Radhanath_Swami/Lectures/00_-_Year_wise/Devotional_Nectar_-_1996/1996-094_Devotees_Must_Be_Self_Conscious_SB-01_18_38-40_Mumbai_-_26-04-96_IDesireTree.mp3", "1996-094_Devotees_Must_Be_Self_Conscious_SB-01_18_38-40_Mumbai_-_26-04-96_IDesireTree.mp3")</f>
        <v>1996-094_Devotees_Must_Be_Self_Conscious_SB-01_18_38-40_Mumbai_-_26-04-96_IDesireTree.mp3</v>
      </c>
      <c r="D1100" s="11"/>
      <c r="E1100" s="11"/>
    </row>
    <row r="1101" spans="1:5">
      <c r="A1101" s="12" t="s">
        <v>12462</v>
      </c>
      <c r="B1101" s="12" t="s">
        <v>14051</v>
      </c>
      <c r="C1101" s="13" t="str">
        <f>HYPERLINK("https://audio.iskcondesiretree.com/02_-_ISKCON_Swamis/ISKCON_Swamis_-_R_to_Y/His_Holiness_Radhanath_Swami/Lectures/00_-_Year_wise/Devotional_Nectar_-_1996/1996-095_Please_Krishna_According_To_Our_Capacity_BG-12_18_Mumbai_-_26-04-96_IDesireTree.mp3", "1996-095_Please_Krishna_According_To_Our_Capacity_BG-12_18_Mumbai_-_26-04-96_IDesireTree.mp3")</f>
        <v>1996-095_Please_Krishna_According_To_Our_Capacity_BG-12_18_Mumbai_-_26-04-96_IDesireTree.mp3</v>
      </c>
      <c r="D1101" s="11"/>
      <c r="E1101" s="11"/>
    </row>
    <row r="1102" spans="1:5">
      <c r="A1102" s="12" t="s">
        <v>12462</v>
      </c>
      <c r="B1102" s="12" t="s">
        <v>14052</v>
      </c>
      <c r="C1102" s="13" t="str">
        <f>HYPERLINK("https://audio.iskcondesiretree.com/02_-_ISKCON_Swamis/ISKCON_Swamis_-_R_to_Y/His_Holiness_Radhanath_Swami/Lectures/00_-_Year_wise/Devotional_Nectar_-_1996/1996-096_Question_And_Answer_Q%26A_Mumbai_-_24-04-96_IDesireTree.mp3", "1996-096_Question_And_Answer_Q%26A_Mumbai_-_24-04-96_IDesireTree.mp3")</f>
        <v>1996-096_Question_And_Answer_Q%26A_Mumbai_-_24-04-96_IDesireTree.mp3</v>
      </c>
      <c r="D1102" s="11"/>
      <c r="E1102" s="11"/>
    </row>
    <row r="1103" spans="1:5">
      <c r="A1103" s="12" t="s">
        <v>12462</v>
      </c>
      <c r="B1103" s="12" t="s">
        <v>14053</v>
      </c>
      <c r="C1103" s="13" t="str">
        <f>HYPERLINK("https://audio.iskcondesiretree.com/02_-_ISKCON_Swamis/ISKCON_Swamis_-_R_to_Y/His_Holiness_Radhanath_Swami/Lectures/00_-_Year_wise/Devotional_Nectar_-_1996/1996-096_Question_And_Answer_Q%26A_Mumbai_-_Radhanath_Swami_1996-04-24_IDesireTree.mp3", "1996-096_Question_And_Answer_Q%26A_Mumbai_-_Radhanath_Swami_1996-04-24_IDesireTree.mp3")</f>
        <v>1996-096_Question_And_Answer_Q%26A_Mumbai_-_Radhanath_Swami_1996-04-24_IDesireTree.mp3</v>
      </c>
      <c r="D1103" s="11"/>
      <c r="E1103" s="11"/>
    </row>
    <row r="1104" spans="1:5">
      <c r="A1104" s="12" t="s">
        <v>12462</v>
      </c>
      <c r="B1104" s="12" t="s">
        <v>14054</v>
      </c>
      <c r="C1104" s="13" t="str">
        <f>HYPERLINK("https://audio.iskcondesiretree.com/02_-_ISKCON_Swamis/ISKCON_Swamis_-_R_to_Y/His_Holiness_Radhanath_Swami/Lectures/00_-_Year_wise/Devotional_Nectar_-_1996/1996-097_Center_Marriage_Life_Around_Krsna_Lecture_Mumbai_-_25-04-96_IDesireTree.mp3", "1996-097_Center_Marriage_Life_Around_Krsna_Lecture_Mumbai_-_25-04-96_IDesireTree.mp3")</f>
        <v>1996-097_Center_Marriage_Life_Around_Krsna_Lecture_Mumbai_-_25-04-96_IDesireTree.mp3</v>
      </c>
      <c r="D1104" s="11"/>
      <c r="E1104" s="11"/>
    </row>
    <row r="1105" spans="1:5">
      <c r="A1105" s="12" t="s">
        <v>12462</v>
      </c>
      <c r="B1105" s="12" t="s">
        <v>14055</v>
      </c>
      <c r="C1105" s="13" t="str">
        <f>HYPERLINK("https://audio.iskcondesiretree.com/02_-_ISKCON_Swamis/ISKCON_Swamis_-_R_to_Y/His_Holiness_Radhanath_Swami/Lectures/00_-_Year_wise/Devotional_Nectar_-_1996/1996-098_Pastimes_Of_Jahnava_Devi_SB_Mumbai_-_Radhanath_Swami_1996-04-27_IDesireTree.mp3", "1996-098_Pastimes_Of_Jahnava_Devi_SB_Mumbai_-_Radhanath_Swami_1996-04-27_IDesireTree.mp3")</f>
        <v>1996-098_Pastimes_Of_Jahnava_Devi_SB_Mumbai_-_Radhanath_Swami_1996-04-27_IDesireTree.mp3</v>
      </c>
      <c r="D1105" s="11"/>
      <c r="E1105" s="11"/>
    </row>
    <row r="1106" spans="1:5">
      <c r="A1106" s="12" t="s">
        <v>12462</v>
      </c>
      <c r="B1106" s="12" t="s">
        <v>14056</v>
      </c>
      <c r="C1106" s="13" t="str">
        <f>HYPERLINK("https://audio.iskcondesiretree.com/02_-_ISKCON_Swamis/ISKCON_Swamis_-_R_to_Y/His_Holiness_Radhanath_Swami/Lectures/00_-_Year_wise/Devotional_Nectar_-_1996/1996-099_Greatness_Of_Sita_Devi_SB-01_02_08_Mumbai_-_Radhanath_Swami_1996-04-27_IDesireTree.mp3", "1996-099_Greatness_Of_Sita_Devi_SB-01_02_08_Mumbai_-_Radhanath_Swami_1996-04-27_IDesireTree.mp3")</f>
        <v>1996-099_Greatness_Of_Sita_Devi_SB-01_02_08_Mumbai_-_Radhanath_Swami_1996-04-27_IDesireTree.mp3</v>
      </c>
      <c r="D1106" s="11"/>
      <c r="E1106" s="11"/>
    </row>
    <row r="1107" spans="1:5">
      <c r="A1107" s="12" t="s">
        <v>12462</v>
      </c>
      <c r="B1107" s="12" t="s">
        <v>14057</v>
      </c>
      <c r="C1107" s="13" t="str">
        <f>HYPERLINK("https://audio.iskcondesiretree.com/02_-_ISKCON_Swamis/ISKCON_Swamis_-_R_to_Y/His_Holiness_Radhanath_Swami/Lectures/00_-_Year_wise/Devotional_Nectar_-_1996/1996-100_Instinctive_Behaviour_Not_For_Devotee_SB-01_08_48_Mumbai_-_28-04-96_IDesireTree.mp3", "1996-100_Instinctive_Behaviour_Not_For_Devotee_SB-01_08_48_Mumbai_-_28-04-96_IDesireTree.mp3")</f>
        <v>1996-100_Instinctive_Behaviour_Not_For_Devotee_SB-01_08_48_Mumbai_-_28-04-96_IDesireTree.mp3</v>
      </c>
      <c r="D1107" s="11"/>
      <c r="E1107" s="11"/>
    </row>
    <row r="1108" spans="1:5">
      <c r="A1108" s="12" t="s">
        <v>12462</v>
      </c>
      <c r="B1108" s="12" t="s">
        <v>14058</v>
      </c>
      <c r="C1108" s="13" t="str">
        <f>HYPERLINK("https://audio.iskcondesiretree.com/02_-_ISKCON_Swamis/ISKCON_Swamis_-_R_to_Y/His_Holiness_Radhanath_Swami/Lectures/00_-_Year_wise/Devotional_Nectar_-_1996/1996-101_Humility_Is_A_Must_SB-07_09_26-27_Mumbai_-_Radhanath_Swami_1996-04-28_IDesireTree.mp3", "1996-101_Humility_Is_A_Must_SB-07_09_26-27_Mumbai_-_Radhanath_Swami_1996-04-28_IDesireTree.mp3")</f>
        <v>1996-101_Humility_Is_A_Must_SB-07_09_26-27_Mumbai_-_Radhanath_Swami_1996-04-28_IDesireTree.mp3</v>
      </c>
      <c r="D1108" s="11"/>
      <c r="E1108" s="11"/>
    </row>
    <row r="1109" spans="1:5">
      <c r="A1109" s="12" t="s">
        <v>12462</v>
      </c>
      <c r="B1109" s="12" t="s">
        <v>14059</v>
      </c>
      <c r="C1109" s="13" t="str">
        <f>HYPERLINK("https://audio.iskcondesiretree.com/02_-_ISKCON_Swamis/ISKCON_Swamis_-_R_to_Y/His_Holiness_Radhanath_Swami/Lectures/00_-_Year_wise/Devotional_Nectar_-_1996/1996-102_SB-05_14_19_-_Radhanath_Swami_1996-06-01_IDesireTree.mp3", "1996-102_SB-05_14_19_-_Radhanath_Swami_1996-06-01_IDesireTree.mp3")</f>
        <v>1996-102_SB-05_14_19_-_Radhanath_Swami_1996-06-01_IDesireTree.mp3</v>
      </c>
      <c r="D1109" s="11"/>
      <c r="E1109" s="11"/>
    </row>
    <row r="1110" spans="1:5">
      <c r="A1110" s="12" t="s">
        <v>12462</v>
      </c>
      <c r="B1110" s="12" t="s">
        <v>14060</v>
      </c>
      <c r="C1110" s="13" t="str">
        <f>HYPERLINK("https://audio.iskcondesiretree.com/02_-_ISKCON_Swamis/ISKCON_Swamis_-_R_to_Y/His_Holiness_Radhanath_Swami/Lectures/00_-_Year_wise/Devotional_Nectar_-_1996/1996-103_SB-06_07_13_-_Radhanath_Swami_1996-06-08_IDesireTree.mp3", "1996-103_SB-06_07_13_-_Radhanath_Swami_1996-06-08_IDesireTree.mp3")</f>
        <v>1996-103_SB-06_07_13_-_Radhanath_Swami_1996-06-08_IDesireTree.mp3</v>
      </c>
      <c r="D1110" s="11"/>
      <c r="E1110" s="11"/>
    </row>
    <row r="1111" spans="1:5">
      <c r="A1111" s="12" t="s">
        <v>12462</v>
      </c>
      <c r="B1111" s="12" t="s">
        <v>14061</v>
      </c>
      <c r="C1111" s="13" t="str">
        <f>HYPERLINK("https://audio.iskcondesiretree.com/02_-_ISKCON_Swamis/ISKCON_Swamis_-_R_to_Y/His_Holiness_Radhanath_Swami/Lectures/00_-_Year_wise/Devotional_Nectar_-_1996/1996-104_Forest_of_Material_Enjoyment_SB-05_14_19_-_Radhanath_Swami_06-96_IDesireTree.mp3", "1996-104_Forest_of_Material_Enjoyment_SB-05_14_19_-_Radhanath_Swami_06-96_IDesireTree.mp3")</f>
        <v>1996-104_Forest_of_Material_Enjoyment_SB-05_14_19_-_Radhanath_Swami_06-96_IDesireTree.mp3</v>
      </c>
      <c r="D1111" s="11"/>
      <c r="E1111" s="11"/>
    </row>
    <row r="1112" spans="1:5">
      <c r="A1112" s="12" t="s">
        <v>12462</v>
      </c>
      <c r="B1112" s="12" t="s">
        <v>14062</v>
      </c>
      <c r="C1112" s="13" t="str">
        <f>HYPERLINK("https://audio.iskcondesiretree.com/02_-_ISKCON_Swamis/ISKCON_Swamis_-_R_to_Y/His_Holiness_Radhanath_Swami/Lectures/00_-_Year_wise/Devotional_Nectar_-_1996/1996-105_SB_-_Radhanath_Swami_1996-07-25_IDesireTree.mp3", "1996-105_SB_-_Radhanath_Swami_1996-07-25_IDesireTree.mp3")</f>
        <v>1996-105_SB_-_Radhanath_Swami_1996-07-25_IDesireTree.mp3</v>
      </c>
      <c r="D1112" s="11"/>
      <c r="E1112" s="11"/>
    </row>
    <row r="1113" spans="1:5">
      <c r="A1113" s="12" t="s">
        <v>12462</v>
      </c>
      <c r="B1113" s="12" t="s">
        <v>14063</v>
      </c>
      <c r="C1113" s="13" t="str">
        <f>HYPERLINK("https://audio.iskcondesiretree.com/02_-_ISKCON_Swamis/ISKCON_Swamis_-_R_to_Y/His_Holiness_Radhanath_Swami/Lectures/00_-_Year_wise/Devotional_Nectar_-_1996/1996-106_Glories_Of_Srila_Prabhupada_Lecture_Mumbai_-_Radhanath_Swami_1996-08-04_IDesireTree.mp3", "1996-106_Glories_Of_Srila_Prabhupada_Lecture_Mumbai_-_Radhanath_Swami_1996-08-04_IDesireTree.mp3")</f>
        <v>1996-106_Glories_Of_Srila_Prabhupada_Lecture_Mumbai_-_Radhanath_Swami_1996-08-04_IDesireTree.mp3</v>
      </c>
      <c r="D1113" s="11"/>
      <c r="E1113" s="11"/>
    </row>
    <row r="1114" spans="1:5">
      <c r="A1114" s="12" t="s">
        <v>12462</v>
      </c>
      <c r="B1114" s="12" t="s">
        <v>14064</v>
      </c>
      <c r="C1114" s="13" t="str">
        <f>HYPERLINK("https://audio.iskcondesiretree.com/02_-_ISKCON_Swamis/ISKCON_Swamis_-_R_to_Y/His_Holiness_Radhanath_Swami/Lectures/00_-_Year_wise/Devotional_Nectar_-_1996/1996-107_Vyas_Puja_Offering_Lecture_Mumbai_-_Radhanath_Swami_1996-08-04_IDesireTree.mp3", "1996-107_Vyas_Puja_Offering_Lecture_Mumbai_-_Radhanath_Swami_1996-08-04_IDesireTree.mp3")</f>
        <v>1996-107_Vyas_Puja_Offering_Lecture_Mumbai_-_Radhanath_Swami_1996-08-04_IDesireTree.mp3</v>
      </c>
      <c r="D1114" s="11"/>
      <c r="E1114" s="11"/>
    </row>
    <row r="1115" spans="1:5">
      <c r="A1115" s="12" t="s">
        <v>12462</v>
      </c>
      <c r="B1115" s="12" t="s">
        <v>14065</v>
      </c>
      <c r="C1115" s="13" t="str">
        <f>HYPERLINK("https://audio.iskcondesiretree.com/02_-_ISKCON_Swamis/ISKCON_Swamis_-_R_to_Y/His_Holiness_Radhanath_Swami/Lectures/00_-_Year_wise/Devotional_Nectar_-_1996/1996-109_SB-06_09_50_-_Radhanath_Swami_1997-08-08_IDesireTree.mp3", "1996-109_SB-06_09_50_-_Radhanath_Swami_1997-08-08_IDesireTree.mp3")</f>
        <v>1996-109_SB-06_09_50_-_Radhanath_Swami_1997-08-08_IDesireTree.mp3</v>
      </c>
      <c r="D1115" s="11"/>
      <c r="E1115" s="11"/>
    </row>
    <row r="1116" spans="1:5">
      <c r="A1116" s="12" t="s">
        <v>12462</v>
      </c>
      <c r="B1116" s="12" t="e">
        <v>#VALUE!</v>
      </c>
      <c r="C1116" s="13" t="e">
        <f>HYPERLINK("https://audio.iskcondesiretree.com/02_-_ISKCON_Swamis/ISKCON_Swamis_-_R_to_Y/His_Holiness_Radhanath_Swami/Lectures/00_-_Year_wise/Devotional_Nectar_-_1996/1996-110_Lord_Balarama%27s_Appearence_Day_Lecture_Mumbai_-_Radhanath_Swami_1996-08-28_IDesireTree.mp"&amp;"3", "1996-110_Lord_Balarama%27s_Appearence_Day_Lecture_Mumbai_-_Radhanath_Swami_1996-08-28_IDesireTree.mp3")</f>
        <v>#VALUE!</v>
      </c>
      <c r="D1116" s="11"/>
      <c r="E1116" s="11"/>
    </row>
    <row r="1117" spans="1:5">
      <c r="A1117" s="12" t="s">
        <v>12462</v>
      </c>
      <c r="B1117" s="12" t="s">
        <v>14066</v>
      </c>
      <c r="C1117" s="13" t="str">
        <f>HYPERLINK("https://audio.iskcondesiretree.com/02_-_ISKCON_Swamis/ISKCON_Swamis_-_R_to_Y/His_Holiness_Radhanath_Swami/Lectures/00_-_Year_wise/Devotional_Nectar_-_1996/1996-111_Obstacles_Are_For_Our_Benefit_SB-02_02_32_Mumbai_-_24-08-96_IDesireTree.mp3", "1996-111_Obstacles_Are_For_Our_Benefit_SB-02_02_32_Mumbai_-_24-08-96_IDesireTree.mp3")</f>
        <v>1996-111_Obstacles_Are_For_Our_Benefit_SB-02_02_32_Mumbai_-_24-08-96_IDesireTree.mp3</v>
      </c>
      <c r="D1117" s="11"/>
      <c r="E1117" s="11"/>
    </row>
    <row r="1118" spans="1:5">
      <c r="A1118" s="12" t="s">
        <v>12462</v>
      </c>
      <c r="B1118" s="12" t="s">
        <v>14067</v>
      </c>
      <c r="C1118" s="13" t="str">
        <f>HYPERLINK("https://audio.iskcondesiretree.com/02_-_ISKCON_Swamis/ISKCON_Swamis_-_R_to_Y/His_Holiness_Radhanath_Swami/Lectures/00_-_Year_wise/Devotional_Nectar_-_1996/1996-112_Bhakti_Yoga-_Most_Auspicious_SB-02_02_33_Mumbai_-_25-08-96_IDesireTree.mp3", "1996-112_Bhakti_Yoga-_Most_Auspicious_SB-02_02_33_Mumbai_-_25-08-96_IDesireTree.mp3")</f>
        <v>1996-112_Bhakti_Yoga-_Most_Auspicious_SB-02_02_33_Mumbai_-_25-08-96_IDesireTree.mp3</v>
      </c>
      <c r="D1118" s="11"/>
      <c r="E1118" s="11"/>
    </row>
    <row r="1119" spans="1:5">
      <c r="A1119" s="12" t="s">
        <v>12462</v>
      </c>
      <c r="B1119" s="12" t="s">
        <v>14068</v>
      </c>
      <c r="C1119" s="13" t="str">
        <f>HYPERLINK("https://audio.iskcondesiretree.com/02_-_ISKCON_Swamis/ISKCON_Swamis_-_R_to_Y/His_Holiness_Radhanath_Swami/Lectures/00_-_Year_wise/Devotional_Nectar_-_1996/1996-113_Materialists_Always_Attack_Devotees_SB-02_02_34_Mumbai_-_25-08-96_IDesireTree.mp3", "1996-113_Materialists_Always_Attack_Devotees_SB-02_02_34_Mumbai_-_25-08-96_IDesireTree.mp3")</f>
        <v>1996-113_Materialists_Always_Attack_Devotees_SB-02_02_34_Mumbai_-_25-08-96_IDesireTree.mp3</v>
      </c>
      <c r="D1119" s="11"/>
      <c r="E1119" s="11"/>
    </row>
    <row r="1120" spans="1:5">
      <c r="A1120" s="12" t="s">
        <v>12462</v>
      </c>
      <c r="B1120" s="12" t="s">
        <v>14069</v>
      </c>
      <c r="C1120" s="13" t="str">
        <f>HYPERLINK("https://audio.iskcondesiretree.com/02_-_ISKCON_Swamis/ISKCON_Swamis_-_R_to_Y/His_Holiness_Radhanath_Swami/Lectures/00_-_Year_wise/Devotional_Nectar_-_1996/1996-114_Ideal_Family_Life_SB-01_15_28_Mumbai_-_Radhanath_Swami_1996-08-26_IDesireTree.mp3", "1996-114_Ideal_Family_Life_SB-01_15_28_Mumbai_-_Radhanath_Swami_1996-08-26_IDesireTree.mp3")</f>
        <v>1996-114_Ideal_Family_Life_SB-01_15_28_Mumbai_-_Radhanath_Swami_1996-08-26_IDesireTree.mp3</v>
      </c>
      <c r="D1120" s="11"/>
      <c r="E1120" s="11"/>
    </row>
    <row r="1121" spans="1:5">
      <c r="A1121" s="12" t="s">
        <v>12462</v>
      </c>
      <c r="B1121" s="12" t="s">
        <v>14070</v>
      </c>
      <c r="C1121" s="13" t="str">
        <f>HYPERLINK("https://audio.iskcondesiretree.com/02_-_ISKCON_Swamis/ISKCON_Swamis_-_R_to_Y/His_Holiness_Radhanath_Swami/Lectures/00_-_Year_wise/Devotional_Nectar_-_1996/1996-115_Hearing_Is_Most_Important_Activity_SB-02_02_03_Mumbai_-_28-08-96_IDesireTree.mp3", "1996-115_Hearing_Is_Most_Important_Activity_SB-02_02_03_Mumbai_-_28-08-96_IDesireTree.mp3")</f>
        <v>1996-115_Hearing_Is_Most_Important_Activity_SB-02_02_03_Mumbai_-_28-08-96_IDesireTree.mp3</v>
      </c>
      <c r="D1121" s="11"/>
      <c r="E1121" s="11"/>
    </row>
    <row r="1122" spans="1:5">
      <c r="A1122" s="12" t="s">
        <v>12462</v>
      </c>
      <c r="B1122" s="12" t="s">
        <v>14071</v>
      </c>
      <c r="C1122" s="13" t="str">
        <f>HYPERLINK("https://audio.iskcondesiretree.com/02_-_ISKCON_Swamis/ISKCON_Swamis_-_R_to_Y/His_Holiness_Radhanath_Swami/Lectures/00_-_Year_wise/Devotional_Nectar_-_1996/1996-116_Address_To_Devotees_From_South_Africa_Lecture_Mumbai_-_28-08-96_IDesireTree.mp3", "1996-116_Address_To_Devotees_From_South_Africa_Lecture_Mumbai_-_28-08-96_IDesireTree.mp3")</f>
        <v>1996-116_Address_To_Devotees_From_South_Africa_Lecture_Mumbai_-_28-08-96_IDesireTree.mp3</v>
      </c>
      <c r="D1122" s="11"/>
      <c r="E1122" s="11"/>
    </row>
    <row r="1123" spans="1:5">
      <c r="A1123" s="12" t="s">
        <v>12462</v>
      </c>
      <c r="B1123" s="12" t="s">
        <v>14072</v>
      </c>
      <c r="C1123" s="13" t="str">
        <f>HYPERLINK("https://audio.iskcondesiretree.com/02_-_ISKCON_Swamis/ISKCON_Swamis_-_R_to_Y/His_Holiness_Radhanath_Swami/Lectures/00_-_Year_wise/Devotional_Nectar_-_1996/1996-117_Demigod_Worship_And_Vaishnavas_SB-02_03_02-07_Mumbai_-_30-08-96_IDesireTree.mp3", "1996-117_Demigod_Worship_And_Vaishnavas_SB-02_03_02-07_Mumbai_-_30-08-96_IDesireTree.mp3")</f>
        <v>1996-117_Demigod_Worship_And_Vaishnavas_SB-02_03_02-07_Mumbai_-_30-08-96_IDesireTree.mp3</v>
      </c>
      <c r="D1123" s="11"/>
      <c r="E1123" s="11"/>
    </row>
    <row r="1124" spans="1:5">
      <c r="A1124" s="12" t="s">
        <v>12462</v>
      </c>
      <c r="B1124" s="12" t="s">
        <v>14073</v>
      </c>
      <c r="C1124" s="13" t="str">
        <f>HYPERLINK("https://audio.iskcondesiretree.com/02_-_ISKCON_Swamis/ISKCON_Swamis_-_R_to_Y/His_Holiness_Radhanath_Swami/Lectures/00_-_Year_wise/Devotional_Nectar_-_1996/1996-118_Bhakti-_The_Greatest_Wealth_SB-02_03_08-09_Mumbai_-_01-09-96_IDesireTree.mp3", "1996-118_Bhakti-_The_Greatest_Wealth_SB-02_03_08-09_Mumbai_-_01-09-96_IDesireTree.mp3")</f>
        <v>1996-118_Bhakti-_The_Greatest_Wealth_SB-02_03_08-09_Mumbai_-_01-09-96_IDesireTree.mp3</v>
      </c>
      <c r="D1124" s="11"/>
      <c r="E1124" s="11"/>
    </row>
    <row r="1125" spans="1:5">
      <c r="A1125" s="12" t="s">
        <v>12462</v>
      </c>
      <c r="B1125" s="12" t="s">
        <v>14074</v>
      </c>
      <c r="C1125" s="13" t="str">
        <f>HYPERLINK("https://audio.iskcondesiretree.com/02_-_ISKCON_Swamis/ISKCON_Swamis_-_R_to_Y/His_Holiness_Radhanath_Swami/Lectures/00_-_Year_wise/Devotional_Nectar_-_1996/1996-119_Dualities_Of_Mind_SB-07_08_09_Mumbai_-_Radhanath_Swami_1996-09-01_IDesireTree.mp3", "1996-119_Dualities_Of_Mind_SB-07_08_09_Mumbai_-_Radhanath_Swami_1996-09-01_IDesireTree.mp3")</f>
        <v>1996-119_Dualities_Of_Mind_SB-07_08_09_Mumbai_-_Radhanath_Swami_1996-09-01_IDesireTree.mp3</v>
      </c>
      <c r="D1125" s="11"/>
      <c r="E1125" s="11"/>
    </row>
    <row r="1126" spans="1:5">
      <c r="A1126" s="12" t="s">
        <v>12462</v>
      </c>
      <c r="B1126" s="12" t="s">
        <v>14075</v>
      </c>
      <c r="C1126" s="13" t="str">
        <f>HYPERLINK("https://audio.iskcondesiretree.com/02_-_ISKCON_Swamis/ISKCON_Swamis_-_R_to_Y/His_Holiness_Radhanath_Swami/Lectures/00_-_Year_wise/Devotional_Nectar_-_1996/1996-120_Glories_Of_Srila_Prabhupada_Lecture_Mumbai_-_Radhanath_Swami_1996-09-04_IDesireTree.mp3", "1996-120_Glories_Of_Srila_Prabhupada_Lecture_Mumbai_-_Radhanath_Swami_1996-09-04_IDesireTree.mp3")</f>
        <v>1996-120_Glories_Of_Srila_Prabhupada_Lecture_Mumbai_-_Radhanath_Swami_1996-09-04_IDesireTree.mp3</v>
      </c>
      <c r="D1126" s="11"/>
      <c r="E1126" s="11"/>
    </row>
    <row r="1127" spans="1:5">
      <c r="A1127" s="12" t="s">
        <v>12462</v>
      </c>
      <c r="B1127" s="12" t="s">
        <v>14076</v>
      </c>
      <c r="C1127" s="13" t="str">
        <f>HYPERLINK("https://audio.iskcondesiretree.com/02_-_ISKCON_Swamis/ISKCON_Swamis_-_R_to_Y/His_Holiness_Radhanath_Swami/Lectures/00_-_Year_wise/Devotional_Nectar_-_1996/1996-121_Vyas_Puja_Offering_Lecture_Mumbai_-_Radhanath_Swami_1996-09-04_IDesireTree.mp3", "1996-121_Vyas_Puja_Offering_Lecture_Mumbai_-_Radhanath_Swami_1996-09-04_IDesireTree.mp3")</f>
        <v>1996-121_Vyas_Puja_Offering_Lecture_Mumbai_-_Radhanath_Swami_1996-09-04_IDesireTree.mp3</v>
      </c>
      <c r="D1127" s="11"/>
      <c r="E1127" s="11"/>
    </row>
    <row r="1128" spans="1:5">
      <c r="A1128" s="12" t="s">
        <v>12462</v>
      </c>
      <c r="B1128" s="12" t="s">
        <v>14077</v>
      </c>
      <c r="C1128" s="13" t="str">
        <f>HYPERLINK("https://audio.iskcondesiretree.com/02_-_ISKCON_Swamis/ISKCON_Swamis_-_R_to_Y/His_Holiness_Radhanath_Swami/Lectures/00_-_Year_wise/Devotional_Nectar_-_1996/1996-123_Vrindavan_Pastimes_Of_Krishna_SB-02_03_12_Mumbai_-_05-09-96_Part_2_IDesireTree.mp3", "1996-123_Vrindavan_Pastimes_Of_Krishna_SB-02_03_12_Mumbai_-_05-09-96_Part_2_IDesireTree.mp3")</f>
        <v>1996-123_Vrindavan_Pastimes_Of_Krishna_SB-02_03_12_Mumbai_-_05-09-96_Part_2_IDesireTree.mp3</v>
      </c>
      <c r="D1128" s="11"/>
      <c r="E1128" s="11"/>
    </row>
    <row r="1129" spans="1:5">
      <c r="A1129" s="12" t="s">
        <v>12462</v>
      </c>
      <c r="B1129" s="12" t="s">
        <v>14078</v>
      </c>
      <c r="C1129" s="13" t="str">
        <f>HYPERLINK("https://audio.iskcondesiretree.com/02_-_ISKCON_Swamis/ISKCON_Swamis_-_R_to_Y/His_Holiness_Radhanath_Swami/Lectures/00_-_Year_wise/Devotional_Nectar_-_1996/1996-124_Chant_And_Remember_Pastimes_Of_Krishna_BG-04_09_Mumbai_-_05-09-96_IDesireTree.mp3", "1996-124_Chant_And_Remember_Pastimes_Of_Krishna_BG-04_09_Mumbai_-_05-09-96_IDesireTree.mp3")</f>
        <v>1996-124_Chant_And_Remember_Pastimes_Of_Krishna_BG-04_09_Mumbai_-_05-09-96_IDesireTree.mp3</v>
      </c>
      <c r="D1129" s="11"/>
      <c r="E1129" s="11"/>
    </row>
    <row r="1130" spans="1:5">
      <c r="A1130" s="12" t="s">
        <v>12462</v>
      </c>
      <c r="B1130" s="12" t="s">
        <v>14079</v>
      </c>
      <c r="C1130" s="13" t="str">
        <f>HYPERLINK("https://audio.iskcondesiretree.com/02_-_ISKCON_Swamis/ISKCON_Swamis_-_R_to_Y/His_Holiness_Radhanath_Swami/Lectures/00_-_Year_wise/Devotional_Nectar_-_1996/1996-125_Offering_To_Srila_Prabhupada_Lecture_Mumbai_-_Radhanath_Swami_1996-09-06_IDesireTree.mp3", "1996-125_Offering_To_Srila_Prabhupada_Lecture_Mumbai_-_Radhanath_Swami_1996-09-06_IDesireTree.mp3")</f>
        <v>1996-125_Offering_To_Srila_Prabhupada_Lecture_Mumbai_-_Radhanath_Swami_1996-09-06_IDesireTree.mp3</v>
      </c>
      <c r="D1130" s="11"/>
      <c r="E1130" s="11"/>
    </row>
    <row r="1131" spans="1:5">
      <c r="A1131" s="12" t="s">
        <v>12462</v>
      </c>
      <c r="B1131" s="12" t="s">
        <v>14080</v>
      </c>
      <c r="C1131" s="13" t="str">
        <f>HYPERLINK("https://audio.iskcondesiretree.com/02_-_ISKCON_Swamis/ISKCON_Swamis_-_R_to_Y/His_Holiness_Radhanath_Swami/Lectures/00_-_Year_wise/Devotional_Nectar_-_1996/1996-126_Causeless_Mercy_Of_Srila_Prabhupada_BG-02_70_Mumbai_-_07-09-96_IDesireTree.mp3", "1996-126_Causeless_Mercy_Of_Srila_Prabhupada_BG-02_70_Mumbai_-_07-09-96_IDesireTree.mp3")</f>
        <v>1996-126_Causeless_Mercy_Of_Srila_Prabhupada_BG-02_70_Mumbai_-_07-09-96_IDesireTree.mp3</v>
      </c>
      <c r="D1131" s="11"/>
      <c r="E1131" s="11"/>
    </row>
    <row r="1132" spans="1:5">
      <c r="A1132" s="12" t="s">
        <v>12462</v>
      </c>
      <c r="B1132" s="12" t="s">
        <v>14081</v>
      </c>
      <c r="C1132" s="13" t="str">
        <f>HYPERLINK("https://audio.iskcondesiretree.com/02_-_ISKCON_Swamis/ISKCON_Swamis_-_R_to_Y/His_Holiness_Radhanath_Swami/Lectures/00_-_Year_wise/Devotional_Nectar_-_1996/1996-127_Lord%27s_Affection_For_His_Devotee_SB-07_10_3-4_Mumbai_-_8-9-96_IDesireTree.mp3", "1996-127_Lord%27s_Affection_For_His_Devotee_SB-07_10_3-4_Mumbai_-_8-9-96_IDesireTree.mp3")</f>
        <v>1996-127_Lord%27s_Affection_For_His_Devotee_SB-07_10_3-4_Mumbai_-_8-9-96_IDesireTree.mp3</v>
      </c>
      <c r="D1132" s="11"/>
      <c r="E1132" s="11"/>
    </row>
    <row r="1133" spans="1:5">
      <c r="A1133" s="12" t="s">
        <v>12462</v>
      </c>
      <c r="B1133" s="12" t="s">
        <v>14082</v>
      </c>
      <c r="C1133" s="13" t="str">
        <f>HYPERLINK("https://audio.iskcondesiretree.com/02_-_ISKCON_Swamis/ISKCON_Swamis_-_R_to_Y/His_Holiness_Radhanath_Swami/Lectures/00_-_Year_wise/Devotional_Nectar_-_1996/1996-128_On_Dramas_Lecture_Mumbai_-_Radhanath_Swami_1996-09-09_IDesireTree.mp3", "1996-128_On_Dramas_Lecture_Mumbai_-_Radhanath_Swami_1996-09-09_IDesireTree.mp3")</f>
        <v>1996-128_On_Dramas_Lecture_Mumbai_-_Radhanath_Swami_1996-09-09_IDesireTree.mp3</v>
      </c>
      <c r="D1133" s="11"/>
      <c r="E1133" s="11"/>
    </row>
    <row r="1134" spans="1:5">
      <c r="A1134" s="12" t="s">
        <v>12462</v>
      </c>
      <c r="B1134" s="12" t="s">
        <v>14083</v>
      </c>
      <c r="C1134" s="13" t="str">
        <f>HYPERLINK("https://audio.iskcondesiretree.com/02_-_ISKCON_Swamis/ISKCON_Swamis_-_R_to_Y/His_Holiness_Radhanath_Swami/Lectures/00_-_Year_wise/Devotional_Nectar_-_1996/1996-129_Krishna-_The_Original_Purusa_SB-02_03_21_Mumbai_-_14-09-96_IDesireTree.mp3", "1996-129_Krishna-_The_Original_Purusa_SB-02_03_21_Mumbai_-_14-09-96_IDesireTree.mp3")</f>
        <v>1996-129_Krishna-_The_Original_Purusa_SB-02_03_21_Mumbai_-_14-09-96_IDesireTree.mp3</v>
      </c>
      <c r="D1134" s="11"/>
      <c r="E1134" s="11"/>
    </row>
    <row r="1135" spans="1:5">
      <c r="A1135" s="12" t="s">
        <v>12462</v>
      </c>
      <c r="B1135" s="12" t="s">
        <v>14084</v>
      </c>
      <c r="C1135" s="13" t="str">
        <f>HYPERLINK("https://audio.iskcondesiretree.com/02_-_ISKCON_Swamis/ISKCON_Swamis_-_R_to_Y/His_Holiness_Radhanath_Swami/Lectures/00_-_Year_wise/Devotional_Nectar_-_1996/1996-130_Pastimes_Of_Srila_Prabhupada_Lecture_Mumbai_-_Radhanath_Swami_1996-09-15_IDesireTree.mp3", "1996-130_Pastimes_Of_Srila_Prabhupada_Lecture_Mumbai_-_Radhanath_Swami_1996-09-15_IDesireTree.mp3")</f>
        <v>1996-130_Pastimes_Of_Srila_Prabhupada_Lecture_Mumbai_-_Radhanath_Swami_1996-09-15_IDesireTree.mp3</v>
      </c>
      <c r="D1135" s="11"/>
      <c r="E1135" s="11"/>
    </row>
    <row r="1136" spans="1:5">
      <c r="A1136" s="12" t="s">
        <v>12462</v>
      </c>
      <c r="B1136" s="12" t="s">
        <v>14085</v>
      </c>
      <c r="C1136" s="13" t="str">
        <f>HYPERLINK("https://audio.iskcondesiretree.com/02_-_ISKCON_Swamis/ISKCON_Swamis_-_R_to_Y/His_Holiness_Radhanath_Swami/Lectures/00_-_Year_wise/Devotional_Nectar_-_1996/1996-131_Hear_from_Guru_BG-07_01_Mumbai_-_Radhanath_Swami_1996-09-16_IDesireTree.mp3", "1996-131_Hear_from_Guru_BG-07_01_Mumbai_-_Radhanath_Swami_1996-09-16_IDesireTree.mp3")</f>
        <v>1996-131_Hear_from_Guru_BG-07_01_Mumbai_-_Radhanath_Swami_1996-09-16_IDesireTree.mp3</v>
      </c>
      <c r="D1136" s="11"/>
      <c r="E1136" s="11"/>
    </row>
    <row r="1137" spans="1:5">
      <c r="A1137" s="12" t="s">
        <v>12462</v>
      </c>
      <c r="B1137" s="12" t="s">
        <v>14086</v>
      </c>
      <c r="C1137" s="13" t="str">
        <f>HYPERLINK("https://audio.iskcondesiretree.com/02_-_ISKCON_Swamis/ISKCON_Swamis_-_R_to_Y/His_Holiness_Radhanath_Swami/Lectures/00_-_Year_wise/Devotional_Nectar_-_1996/1996-132_Holy_Name_Is_Realised_With_Humility_SB-02_03_24-25_Mumbai_-_19-09-96_IDesireTree.mp3", "1996-132_Holy_Name_Is_Realised_With_Humility_SB-02_03_24-25_Mumbai_-_19-09-96_IDesireTree.mp3")</f>
        <v>1996-132_Holy_Name_Is_Realised_With_Humility_SB-02_03_24-25_Mumbai_-_19-09-96_IDesireTree.mp3</v>
      </c>
      <c r="D1137" s="11"/>
      <c r="E1137" s="11"/>
    </row>
    <row r="1138" spans="1:5">
      <c r="A1138" s="12" t="s">
        <v>12462</v>
      </c>
      <c r="B1138" s="12" t="s">
        <v>14087</v>
      </c>
      <c r="C1138" s="13" t="str">
        <f>HYPERLINK("https://audio.iskcondesiretree.com/02_-_ISKCON_Swamis/ISKCON_Swamis_-_R_to_Y/His_Holiness_Radhanath_Swami/Lectures/00_-_Year_wise/Devotional_Nectar_-_1996/1996-133_Srimati_Radharani%27s_Appearence_Day_CC_Adi-04_74-81_Mumbai_-_20-09-96_IDesireTree.mp3", "1996-133_Srimati_Radharani%27s_Appearence_Day_CC_Adi-04_74-81_Mumbai_-_20-09-96_IDesireTree.mp3")</f>
        <v>1996-133_Srimati_Radharani%27s_Appearence_Day_CC_Adi-04_74-81_Mumbai_-_20-09-96_IDesireTree.mp3</v>
      </c>
      <c r="D1138" s="11"/>
      <c r="E1138" s="11"/>
    </row>
    <row r="1139" spans="1:5">
      <c r="A1139" s="12" t="s">
        <v>12462</v>
      </c>
      <c r="B1139" s="12" t="s">
        <v>14088</v>
      </c>
      <c r="C1139" s="13" t="str">
        <f>HYPERLINK("https://audio.iskcondesiretree.com/02_-_ISKCON_Swamis/ISKCON_Swamis_-_R_to_Y/His_Holiness_Radhanath_Swami/Lectures/00_-_Year_wise/Devotional_Nectar_-_1996/1996-134_Radhastami_Lecture_Mumbai_-_Radhanath_Swami_1996-09-20_new_IDesireTree.mp3", "1996-134_Radhastami_Lecture_Mumbai_-_Radhanath_Swami_1996-09-20_new_IDesireTree.mp3")</f>
        <v>1996-134_Radhastami_Lecture_Mumbai_-_Radhanath_Swami_1996-09-20_new_IDesireTree.mp3</v>
      </c>
      <c r="D1139" s="11"/>
      <c r="E1139" s="11"/>
    </row>
    <row r="1140" spans="1:5">
      <c r="A1140" s="12" t="s">
        <v>12462</v>
      </c>
      <c r="B1140" s="12" t="s">
        <v>14089</v>
      </c>
      <c r="C1140" s="13" t="str">
        <f>HYPERLINK("https://audio.iskcondesiretree.com/02_-_ISKCON_Swamis/ISKCON_Swamis_-_R_to_Y/His_Holiness_Radhanath_Swami/Lectures/00_-_Year_wise/Devotional_Nectar_-_1996/1996-135_What_Is_The_Aim_Of_Life_BG-02_08_Mumbai_-_Radhanath_Swami_1996-09-21_IDesireTree.mp3", "1996-135_What_Is_The_Aim_Of_Life_BG-02_08_Mumbai_-_Radhanath_Swami_1996-09-21_IDesireTree.mp3")</f>
        <v>1996-135_What_Is_The_Aim_Of_Life_BG-02_08_Mumbai_-_Radhanath_Swami_1996-09-21_IDesireTree.mp3</v>
      </c>
      <c r="D1140" s="11"/>
      <c r="E1140" s="11"/>
    </row>
    <row r="1141" spans="1:5">
      <c r="A1141" s="12" t="s">
        <v>12462</v>
      </c>
      <c r="B1141" s="12" t="s">
        <v>14090</v>
      </c>
      <c r="C1141" s="13" t="str">
        <f>HYPERLINK("https://audio.iskcondesiretree.com/02_-_ISKCON_Swamis/ISKCON_Swamis_-_R_to_Y/His_Holiness_Radhanath_Swami/Lectures/00_-_Year_wise/Devotional_Nectar_-_1996/1996-137_Don%27t_Let_Kali_Enter_Your_Home_SB-02_04_2Mumbai_-_22-09-96_IDesireTree.mp3", "1996-137_Don%27t_Let_Kali_Enter_Your_Home_SB-02_04_2Mumbai_-_22-09-96_IDesireTree.mp3")</f>
        <v>1996-137_Don%27t_Let_Kali_Enter_Your_Home_SB-02_04_2Mumbai_-_22-09-96_IDesireTree.mp3</v>
      </c>
      <c r="D1141" s="11"/>
      <c r="E1141" s="11"/>
    </row>
    <row r="1142" spans="1:5">
      <c r="A1142" s="12" t="s">
        <v>12462</v>
      </c>
      <c r="B1142" s="12" t="s">
        <v>14091</v>
      </c>
      <c r="C1142" s="13" t="str">
        <f>HYPERLINK("https://audio.iskcondesiretree.com/02_-_ISKCON_Swamis/ISKCON_Swamis_-_R_to_Y/His_Holiness_Radhanath_Swami/Lectures/00_-_Year_wise/Devotional_Nectar_-_1996/1996-138_Gaura_Nitai_Deity_Welcoming_Lecture_Pune_-_Radhanath_Swami_1996-09-23_IDesireTree.mp3", "1996-138_Gaura_Nitai_Deity_Welcoming_Lecture_Pune_-_Radhanath_Swami_1996-09-23_IDesireTree.mp3")</f>
        <v>1996-138_Gaura_Nitai_Deity_Welcoming_Lecture_Pune_-_Radhanath_Swami_1996-09-23_IDesireTree.mp3</v>
      </c>
      <c r="D1142" s="11"/>
      <c r="E1142" s="11"/>
    </row>
    <row r="1143" spans="1:5">
      <c r="A1143" s="12" t="s">
        <v>12462</v>
      </c>
      <c r="B1143" s="12" t="s">
        <v>14092</v>
      </c>
      <c r="C1143" s="13" t="str">
        <f>HYPERLINK("https://audio.iskcondesiretree.com/02_-_ISKCON_Swamis/ISKCON_Swamis_-_R_to_Y/His_Holiness_Radhanath_Swami/Lectures/00_-_Year_wise/Devotional_Nectar_-_1996/1996-140_Pleasing_Krishna_Is_Our_Aim_BG-18_58_Pune_-_24-09-96_IDesireTree.mp3", "1996-140_Pleasing_Krishna_Is_Our_Aim_BG-18_58_Pune_-_24-09-96_IDesireTree.mp3")</f>
        <v>1996-140_Pleasing_Krishna_Is_Our_Aim_BG-18_58_Pune_-_24-09-96_IDesireTree.mp3</v>
      </c>
      <c r="D1143" s="11"/>
      <c r="E1143" s="11"/>
    </row>
    <row r="1144" spans="1:5">
      <c r="A1144" s="12" t="s">
        <v>12462</v>
      </c>
      <c r="B1144" s="12" t="s">
        <v>14093</v>
      </c>
      <c r="C1144" s="13" t="str">
        <f>HYPERLINK("https://audio.iskcondesiretree.com/02_-_ISKCON_Swamis/ISKCON_Swamis_-_R_to_Y/His_Holiness_Radhanath_Swami/Lectures/00_-_Year_wise/Devotional_Nectar_-_1996/1996-140_Pleasing_Krishna_Is_Our_Aim_BG-18_58_Pune_-_Radhanath_Swami_1996-09-24_IDesireTree.mp3", "1996-140_Pleasing_Krishna_Is_Our_Aim_BG-18_58_Pune_-_Radhanath_Swami_1996-09-24_IDesireTree.mp3")</f>
        <v>1996-140_Pleasing_Krishna_Is_Our_Aim_BG-18_58_Pune_-_Radhanath_Swami_1996-09-24_IDesireTree.mp3</v>
      </c>
      <c r="D1144" s="11"/>
      <c r="E1144" s="11"/>
    </row>
    <row r="1145" spans="1:5">
      <c r="A1145" s="12" t="s">
        <v>12462</v>
      </c>
      <c r="B1145" s="12" t="s">
        <v>14094</v>
      </c>
      <c r="C1145" s="13" t="str">
        <f>HYPERLINK("https://audio.iskcondesiretree.com/02_-_ISKCON_Swamis/ISKCON_Swamis_-_R_to_Y/His_Holiness_Radhanath_Swami/Lectures/00_-_Year_wise/Devotional_Nectar_-_1996/1996-141_Srila_Bhaktivinoda_Thakur_SB-07_09_28_Pune_-_Radhanath_Swami_1996-09-25_IDesireTree.mp3", "1996-141_Srila_Bhaktivinoda_Thakur_SB-07_09_28_Pune_-_Radhanath_Swami_1996-09-25_IDesireTree.mp3")</f>
        <v>1996-141_Srila_Bhaktivinoda_Thakur_SB-07_09_28_Pune_-_Radhanath_Swami_1996-09-25_IDesireTree.mp3</v>
      </c>
      <c r="D1145" s="11"/>
      <c r="E1145" s="11"/>
    </row>
    <row r="1146" spans="1:5">
      <c r="A1146" s="12" t="s">
        <v>12462</v>
      </c>
      <c r="B1146" s="12" t="s">
        <v>14095</v>
      </c>
      <c r="C1146" s="13" t="str">
        <f>HYPERLINK("https://audio.iskcondesiretree.com/02_-_ISKCON_Swamis/ISKCON_Swamis_-_R_to_Y/His_Holiness_Radhanath_Swami/Lectures/00_-_Year_wise/Devotional_Nectar_-_1996/1996-142_Visvaroop%27s_And_Prabhupada%27s_Sanyas_Pastimes_Lecture_Mumbai_-_27-09-96_IDesireTree.mp3", "1996-142_Visvaroop%27s_And_Prabhupada%27s_Sanyas_Pastimes_Lecture_Mumbai_-_27-09-96_IDesireTree.mp3")</f>
        <v>1996-142_Visvaroop%27s_And_Prabhupada%27s_Sanyas_Pastimes_Lecture_Mumbai_-_27-09-96_IDesireTree.mp3</v>
      </c>
      <c r="D1146" s="11"/>
      <c r="E1146" s="11"/>
    </row>
    <row r="1147" spans="1:5">
      <c r="A1147" s="12" t="s">
        <v>12462</v>
      </c>
      <c r="B1147" s="12" t="s">
        <v>14096</v>
      </c>
      <c r="C1147" s="13" t="str">
        <f>HYPERLINK("https://audio.iskcondesiretree.com/02_-_ISKCON_Swamis/ISKCON_Swamis_-_R_to_Y/His_Holiness_Radhanath_Swami/Lectures/00_-_Year_wise/Devotional_Nectar_-_1996/1996-143_Caste_Sex_No_Consideration_SB-01_18_18-19_Mumbai_-_28-09-96_IDesireTree.mp3", "1996-143_Caste_Sex_No_Consideration_SB-01_18_18-19_Mumbai_-_28-09-96_IDesireTree.mp3")</f>
        <v>1996-143_Caste_Sex_No_Consideration_SB-01_18_18-19_Mumbai_-_28-09-96_IDesireTree.mp3</v>
      </c>
      <c r="D1147" s="11"/>
      <c r="E1147" s="11"/>
    </row>
    <row r="1148" spans="1:5">
      <c r="A1148" s="12" t="s">
        <v>12462</v>
      </c>
      <c r="B1148" s="12" t="s">
        <v>14097</v>
      </c>
      <c r="C1148" s="13" t="str">
        <f>HYPERLINK("https://audio.iskcondesiretree.com/02_-_ISKCON_Swamis/ISKCON_Swamis_-_R_to_Y/His_Holiness_Radhanath_Swami/Lectures/00_-_Year_wise/Devotional_Nectar_-_1996/1996-144_Krishna_Is_Master_Of_Everyone_SB-02_04_07_Mumbai_-_28-09-96_IDesireTree.mp3", "1996-144_Krishna_Is_Master_Of_Everyone_SB-02_04_07_Mumbai_-_28-09-96_IDesireTree.mp3")</f>
        <v>1996-144_Krishna_Is_Master_Of_Everyone_SB-02_04_07_Mumbai_-_28-09-96_IDesireTree.mp3</v>
      </c>
      <c r="D1148" s="11"/>
      <c r="E1148" s="11"/>
    </row>
    <row r="1149" spans="1:5">
      <c r="A1149" s="12" t="s">
        <v>12462</v>
      </c>
      <c r="B1149" s="12" t="s">
        <v>14098</v>
      </c>
      <c r="C1149" s="13" t="str">
        <f>HYPERLINK("https://audio.iskcondesiretree.com/02_-_ISKCON_Swamis/ISKCON_Swamis_-_R_to_Y/His_Holiness_Radhanath_Swami/Lectures/00_-_Year_wise/Devotional_Nectar_-_1996/1996-145_Pastimes_Of_Haridas_Thakur_Lecture_Mumbai_-_Radhanath_Swami_1996-09-29_IDesireTree.mp3", "1996-145_Pastimes_Of_Haridas_Thakur_Lecture_Mumbai_-_Radhanath_Swami_1996-09-29_IDesireTree.mp3")</f>
        <v>1996-145_Pastimes_Of_Haridas_Thakur_Lecture_Mumbai_-_Radhanath_Swami_1996-09-29_IDesireTree.mp3</v>
      </c>
      <c r="D1149" s="11"/>
      <c r="E1149" s="11"/>
    </row>
    <row r="1150" spans="1:5">
      <c r="A1150" s="12" t="s">
        <v>12462</v>
      </c>
      <c r="B1150" s="12" t="s">
        <v>14099</v>
      </c>
      <c r="C1150" s="13" t="str">
        <f>HYPERLINK("https://audio.iskcondesiretree.com/02_-_ISKCON_Swamis/ISKCON_Swamis_-_R_to_Y/His_Holiness_Radhanath_Swami/Lectures/00_-_Year_wise/Devotional_Nectar_-_1996/1996-146_Arrival_Lecture_Mt_-_Lecture_Belgaum_-_Radhanath_Swami_1996-09-30_IDesireTree.mp3", "1996-146_Arrival_Lecture_Mt_-_Lecture_Belgaum_-_Radhanath_Swami_1996-09-30_IDesireTree.mp3")</f>
        <v>1996-146_Arrival_Lecture_Mt_-_Lecture_Belgaum_-_Radhanath_Swami_1996-09-30_IDesireTree.mp3</v>
      </c>
      <c r="D1150" s="11"/>
      <c r="E1150" s="11"/>
    </row>
    <row r="1151" spans="1:5">
      <c r="A1151" s="12" t="s">
        <v>12462</v>
      </c>
      <c r="B1151" s="12" t="s">
        <v>14100</v>
      </c>
      <c r="C1151" s="13" t="str">
        <f>HYPERLINK("https://audio.iskcondesiretree.com/02_-_ISKCON_Swamis/ISKCON_Swamis_-_R_to_Y/His_Holiness_Radhanath_Swami/Lectures/00_-_Year_wise/Devotional_Nectar_-_1996/1996-147_Depend_On_Krishna_Lecture_Belgaum_-_Radhanath_Swami_1996-10-01_IDesireTree.mp3", "1996-147_Depend_On_Krishna_Lecture_Belgaum_-_Radhanath_Swami_1996-10-01_IDesireTree.mp3")</f>
        <v>1996-147_Depend_On_Krishna_Lecture_Belgaum_-_Radhanath_Swami_1996-10-01_IDesireTree.mp3</v>
      </c>
      <c r="D1151" s="11"/>
      <c r="E1151" s="11"/>
    </row>
    <row r="1152" spans="1:5">
      <c r="A1152" s="12" t="s">
        <v>12462</v>
      </c>
      <c r="B1152" s="12" t="s">
        <v>14101</v>
      </c>
      <c r="C1152" s="13" t="str">
        <f>HYPERLINK("https://audio.iskcondesiretree.com/02_-_ISKCON_Swamis/ISKCON_Swamis_-_R_to_Y/His_Holiness_Radhanath_Swami/Lectures/00_-_Year_wise/Devotional_Nectar_-_1996/1996-148_Make_Mind_Your_Friend_Ht_-_BG-06_05_Kolhapur_-_Radhanath_Swami_1996-10-03_IDesireTree.mp3", "1996-148_Make_Mind_Your_Friend_Ht_-_BG-06_05_Kolhapur_-_Radhanath_Swami_1996-10-03_IDesireTree.mp3")</f>
        <v>1996-148_Make_Mind_Your_Friend_Ht_-_BG-06_05_Kolhapur_-_Radhanath_Swami_1996-10-03_IDesireTree.mp3</v>
      </c>
      <c r="D1152" s="11"/>
      <c r="E1152" s="11"/>
    </row>
    <row r="1153" spans="1:5">
      <c r="A1153" s="12" t="s">
        <v>12462</v>
      </c>
      <c r="B1153" s="12" t="s">
        <v>14102</v>
      </c>
      <c r="C1153" s="13" t="str">
        <f>HYPERLINK("https://audio.iskcondesiretree.com/02_-_ISKCON_Swamis/ISKCON_Swamis_-_R_to_Y/His_Holiness_Radhanath_Swami/Lectures/00_-_Year_wise/Devotional_Nectar_-_1996/1996-149_Surrender_With_Humility_BG-02_04-07_Mumbai_-_Radhanath_Swami_1996-10-06_IDesireTree.mp3", "1996-149_Surrender_With_Humility_BG-02_04-07_Mumbai_-_Radhanath_Swami_1996-10-06_IDesireTree.mp3")</f>
        <v>1996-149_Surrender_With_Humility_BG-02_04-07_Mumbai_-_Radhanath_Swami_1996-10-06_IDesireTree.mp3</v>
      </c>
      <c r="D1153" s="11"/>
      <c r="E1153" s="11"/>
    </row>
    <row r="1154" spans="1:5">
      <c r="A1154" s="12" t="s">
        <v>12462</v>
      </c>
      <c r="B1154" s="12" t="s">
        <v>14103</v>
      </c>
      <c r="C1154" s="13" t="str">
        <f>HYPERLINK("https://audio.iskcondesiretree.com/02_-_ISKCON_Swamis/ISKCON_Swamis_-_R_to_Y/His_Holiness_Radhanath_Swami/Lectures/00_-_Year_wise/Devotional_Nectar_-_1996/1996-150_Perform_Activities_To_Please_Krishna_SB-02_04_17_Mumbai_-_10-10-96_IDesireTree.mp3", "1996-150_Perform_Activities_To_Please_Krishna_SB-02_04_17_Mumbai_-_10-10-96_IDesireTree.mp3")</f>
        <v>1996-150_Perform_Activities_To_Please_Krishna_SB-02_04_17_Mumbai_-_10-10-96_IDesireTree.mp3</v>
      </c>
      <c r="D1154" s="11"/>
      <c r="E1154" s="11"/>
    </row>
    <row r="1155" spans="1:5">
      <c r="A1155" s="12" t="s">
        <v>12462</v>
      </c>
      <c r="B1155" s="12" t="e">
        <v>#VALUE!</v>
      </c>
      <c r="C1155" s="13" t="e">
        <f>HYPERLINK("https://audio.iskcondesiretree.com/02_-_ISKCON_Swamis/ISKCON_Swamis_-_R_to_Y/His_Holiness_Radhanath_Swami/Lectures/00_-_Year_wise/Devotional_Nectar_-_1996/1996-151_Material_Consciousness_And_Spiritual_Consciousness_BG-14_19_Mumbai_-_10-10-96_IDesireTree.m"&amp;"p3", "1996-151_Material_Consciousness_And_Spiritual_Consciousness_BG-14_19_Mumbai_-_10-10-96_IDesireTree.mp3")</f>
        <v>#VALUE!</v>
      </c>
      <c r="D1155" s="11"/>
      <c r="E1155" s="11"/>
    </row>
    <row r="1156" spans="1:5">
      <c r="A1156" s="12" t="s">
        <v>12462</v>
      </c>
      <c r="B1156" s="12" t="s">
        <v>14104</v>
      </c>
      <c r="C1156" s="13" t="str">
        <f>HYPERLINK("https://audio.iskcondesiretree.com/02_-_ISKCON_Swamis/ISKCON_Swamis_-_R_to_Y/His_Holiness_Radhanath_Swami/Lectures/00_-_Year_wise/Devotional_Nectar_-_1996/1996-152_Power_Of_Bhakti_SB-02_04_18_Mumbai_-_Radhanath_Swami_1996-10-13_IDesireTree.mp3", "1996-152_Power_Of_Bhakti_SB-02_04_18_Mumbai_-_Radhanath_Swami_1996-10-13_IDesireTree.mp3")</f>
        <v>1996-152_Power_Of_Bhakti_SB-02_04_18_Mumbai_-_Radhanath_Swami_1996-10-13_IDesireTree.mp3</v>
      </c>
      <c r="D1156" s="11"/>
      <c r="E1156" s="11"/>
    </row>
    <row r="1157" spans="1:5">
      <c r="A1157" s="12" t="s">
        <v>12462</v>
      </c>
      <c r="B1157" s="12" t="s">
        <v>14105</v>
      </c>
      <c r="C1157" s="13" t="str">
        <f>HYPERLINK("https://audio.iskcondesiretree.com/02_-_ISKCON_Swamis/ISKCON_Swamis_-_R_to_Y/His_Holiness_Radhanath_Swami/Lectures/00_-_Year_wise/Devotional_Nectar_-_1996/1996-153_Pastimes_Of_Gopala_Bhatta_Goswami_SB-02_04_21_Mumbai_-_13-10-96_IDesireTree.mp3", "1996-153_Pastimes_Of_Gopala_Bhatta_Goswami_SB-02_04_21_Mumbai_-_13-10-96_IDesireTree.mp3")</f>
        <v>1996-153_Pastimes_Of_Gopala_Bhatta_Goswami_SB-02_04_21_Mumbai_-_13-10-96_IDesireTree.mp3</v>
      </c>
      <c r="D1157" s="11"/>
      <c r="E1157" s="11"/>
    </row>
    <row r="1158" spans="1:5">
      <c r="A1158" s="12" t="s">
        <v>12462</v>
      </c>
      <c r="B1158" s="12" t="s">
        <v>14106</v>
      </c>
      <c r="C1158" s="13" t="str">
        <f>HYPERLINK("https://audio.iskcondesiretree.com/02_-_ISKCON_Swamis/ISKCON_Swamis_-_R_to_Y/His_Holiness_Radhanath_Swami/Lectures/00_-_Year_wise/Devotional_Nectar_-_1996/1996-154_Demigods_And_Story_Of_Keshav_Kashmiri_HT_-_BG-09_23_Mumbai_-_16-10-96_IDesireTree.mp3", "1996-154_Demigods_And_Story_Of_Keshav_Kashmiri_HT_-_BG-09_23_Mumbai_-_16-10-96_IDesireTree.mp3")</f>
        <v>1996-154_Demigods_And_Story_Of_Keshav_Kashmiri_HT_-_BG-09_23_Mumbai_-_16-10-96_IDesireTree.mp3</v>
      </c>
      <c r="D1158" s="11"/>
      <c r="E1158" s="11"/>
    </row>
    <row r="1159" spans="1:5">
      <c r="A1159" s="12" t="s">
        <v>12462</v>
      </c>
      <c r="B1159" s="12" t="s">
        <v>14107</v>
      </c>
      <c r="C1159" s="13" t="str">
        <f>HYPERLINK("https://audio.iskcondesiretree.com/02_-_ISKCON_Swamis/ISKCON_Swamis_-_R_to_Y/His_Holiness_Radhanath_Swami/Lectures/00_-_Year_wise/Devotional_Nectar_-_1996/1996-155_Knowledge_By_Utter_Surrender_SB-02_04_23_Mumbai_-_19-10-96_IDesireTree.mp3", "1996-155_Knowledge_By_Utter_Surrender_SB-02_04_23_Mumbai_-_19-10-96_IDesireTree.mp3")</f>
        <v>1996-155_Knowledge_By_Utter_Surrender_SB-02_04_23_Mumbai_-_19-10-96_IDesireTree.mp3</v>
      </c>
      <c r="D1159" s="11"/>
      <c r="E1159" s="11"/>
    </row>
    <row r="1160" spans="1:5">
      <c r="A1160" s="12" t="s">
        <v>12462</v>
      </c>
      <c r="B1160" s="12" t="s">
        <v>14108</v>
      </c>
      <c r="C1160" s="13" t="str">
        <f>HYPERLINK("https://audio.iskcondesiretree.com/02_-_ISKCON_Swamis/ISKCON_Swamis_-_R_to_Y/His_Holiness_Radhanath_Swami/Lectures/00_-_Year_wise/Devotional_Nectar_-_1996/1996-156_Supreme_Person_Is_Understood_By_Service_SB-11_02_36_Mumbai_-_20-10-96_IDesireTree.mp3", "1996-156_Supreme_Person_Is_Understood_By_Service_SB-11_02_36_Mumbai_-_20-10-96_IDesireTree.mp3")</f>
        <v>1996-156_Supreme_Person_Is_Understood_By_Service_SB-11_02_36_Mumbai_-_20-10-96_IDesireTree.mp3</v>
      </c>
      <c r="D1160" s="11"/>
      <c r="E1160" s="11"/>
    </row>
    <row r="1161" spans="1:5">
      <c r="A1161" s="12" t="s">
        <v>12462</v>
      </c>
      <c r="B1161" s="12" t="s">
        <v>14109</v>
      </c>
      <c r="C1161" s="13" t="str">
        <f>HYPERLINK("https://audio.iskcondesiretree.com/02_-_ISKCON_Swamis/ISKCON_Swamis_-_R_to_Y/His_Holiness_Radhanath_Swami/Lectures/00_-_Year_wise/Devotional_Nectar_-_1996/1996-157_Original_Cause_of_All_Problems_SB-02_05_03_Mumbai_-_24-10-96_IDesireTree.mp3", "1996-157_Original_Cause_of_All_Problems_SB-02_05_03_Mumbai_-_24-10-96_IDesireTree.mp3")</f>
        <v>1996-157_Original_Cause_of_All_Problems_SB-02_05_03_Mumbai_-_24-10-96_IDesireTree.mp3</v>
      </c>
      <c r="D1161" s="11"/>
      <c r="E1161" s="11"/>
    </row>
    <row r="1162" spans="1:5">
      <c r="A1162" s="12" t="s">
        <v>12462</v>
      </c>
      <c r="B1162" s="12" t="s">
        <v>14110</v>
      </c>
      <c r="C1162" s="13" t="str">
        <f>HYPERLINK("https://audio.iskcondesiretree.com/02_-_ISKCON_Swamis/ISKCON_Swamis_-_R_to_Y/His_Holiness_Radhanath_Swami/Lectures/00_-_Year_wise/Devotional_Nectar_-_1996/1996-158_Saffron_Awarding_Ceremony_Lecture_Mumbai_-_Radhanath_Swami_1996-10-25_IDesireTree.mp3", "1996-158_Saffron_Awarding_Ceremony_Lecture_Mumbai_-_Radhanath_Swami_1996-10-25_IDesireTree.mp3")</f>
        <v>1996-158_Saffron_Awarding_Ceremony_Lecture_Mumbai_-_Radhanath_Swami_1996-10-25_IDesireTree.mp3</v>
      </c>
      <c r="D1162" s="11"/>
      <c r="E1162" s="11"/>
    </row>
    <row r="1163" spans="1:5">
      <c r="A1163" s="12" t="s">
        <v>12462</v>
      </c>
      <c r="B1163" s="12" t="s">
        <v>14111</v>
      </c>
      <c r="C1163" s="13" t="str">
        <f>HYPERLINK("https://audio.iskcondesiretree.com/02_-_ISKCON_Swamis/ISKCON_Swamis_-_R_to_Y/His_Holiness_Radhanath_Swami/Lectures/00_-_Year_wise/Devotional_Nectar_-_1996/1996-159_Marriage_Address_Lecture_Mumbai_-_Radhanath_Swami_1996-10-25_IDesireTree.mp3", "1996-159_Marriage_Address_Lecture_Mumbai_-_Radhanath_Swami_1996-10-25_IDesireTree.mp3")</f>
        <v>1996-159_Marriage_Address_Lecture_Mumbai_-_Radhanath_Swami_1996-10-25_IDesireTree.mp3</v>
      </c>
      <c r="D1163" s="11"/>
      <c r="E1163" s="11"/>
    </row>
    <row r="1164" spans="1:5">
      <c r="A1164" s="12" t="s">
        <v>12462</v>
      </c>
      <c r="B1164" s="12" t="s">
        <v>14112</v>
      </c>
      <c r="C1164" s="13" t="str">
        <f>HYPERLINK("https://audio.iskcondesiretree.com/02_-_ISKCON_Swamis/ISKCON_Swamis_-_R_to_Y/His_Holiness_Radhanath_Swami/Lectures/00_-_Year_wise/Devotional_Nectar_-_1996/1996-160_Gajendra_Has_Shown_The_Way_Lecture_Mumbai_-_Radhanath_Swami_1996-10-26_IDesireTree.mp3", "1996-160_Gajendra_Has_Shown_The_Way_Lecture_Mumbai_-_Radhanath_Swami_1996-10-26_IDesireTree.mp3")</f>
        <v>1996-160_Gajendra_Has_Shown_The_Way_Lecture_Mumbai_-_Radhanath_Swami_1996-10-26_IDesireTree.mp3</v>
      </c>
      <c r="D1164" s="11"/>
      <c r="E1164" s="11"/>
    </row>
    <row r="1165" spans="1:5">
      <c r="A1165" s="12" t="s">
        <v>12462</v>
      </c>
      <c r="B1165" s="12" t="s">
        <v>14113</v>
      </c>
      <c r="C1165" s="13" t="str">
        <f>HYPERLINK("https://audio.iskcondesiretree.com/02_-_ISKCON_Swamis/ISKCON_Swamis_-_R_to_Y/His_Holiness_Radhanath_Swami/Lectures/00_-_Year_wise/Devotional_Nectar_-_1996/1996-161_Importance_Of_The_Month_Of_Damodar_Lecture_Mumbai_-_27-10-96_IDesireTree.mp3", "1996-161_Importance_Of_The_Month_Of_Damodar_Lecture_Mumbai_-_27-10-96_IDesireTree.mp3")</f>
        <v>1996-161_Importance_Of_The_Month_Of_Damodar_Lecture_Mumbai_-_27-10-96_IDesireTree.mp3</v>
      </c>
      <c r="D1165" s="11"/>
      <c r="E1165" s="11"/>
    </row>
    <row r="1166" spans="1:5">
      <c r="A1166" s="12" t="s">
        <v>12462</v>
      </c>
      <c r="B1166" s="12" t="s">
        <v>14114</v>
      </c>
      <c r="C1166" s="13" t="str">
        <f>HYPERLINK("https://audio.iskcondesiretree.com/02_-_ISKCON_Swamis/ISKCON_Swamis_-_R_to_Y/His_Holiness_Radhanath_Swami/Lectures/00_-_Year_wise/Devotional_Nectar_-_1996/1996-162_Sharad_Purnima_Festival_Lecture_Mumbai_-_Radhanath_Swami_1996-10-27_IDesireTree.mp3", "1996-162_Sharad_Purnima_Festival_Lecture_Mumbai_-_Radhanath_Swami_1996-10-27_IDesireTree.mp3")</f>
        <v>1996-162_Sharad_Purnima_Festival_Lecture_Mumbai_-_Radhanath_Swami_1996-10-27_IDesireTree.mp3</v>
      </c>
      <c r="D1166" s="11"/>
      <c r="E1166" s="11"/>
    </row>
    <row r="1167" spans="1:5">
      <c r="A1167" s="12" t="s">
        <v>12462</v>
      </c>
      <c r="B1167" s="12" t="s">
        <v>14115</v>
      </c>
      <c r="C1167" s="13" t="str">
        <f>HYPERLINK("https://audio.iskcondesiretree.com/02_-_ISKCON_Swamis/ISKCON_Swamis_-_R_to_Y/His_Holiness_Radhanath_Swami/Lectures/00_-_Year_wise/Devotional_Nectar_-_1996/1996-163_Glories_Of_Narrottama_Das_Thakur_SB-02_05_12_Mumbai_-_31-10-96_new_IDesireTree.mp3", "1996-163_Glories_Of_Narrottama_Das_Thakur_SB-02_05_12_Mumbai_-_31-10-96_new_IDesireTree.mp3")</f>
        <v>1996-163_Glories_Of_Narrottama_Das_Thakur_SB-02_05_12_Mumbai_-_31-10-96_new_IDesireTree.mp3</v>
      </c>
      <c r="D1167" s="11"/>
      <c r="E1167" s="11"/>
    </row>
    <row r="1168" spans="1:5">
      <c r="A1168" s="12" t="s">
        <v>12462</v>
      </c>
      <c r="B1168" s="12" t="s">
        <v>14116</v>
      </c>
      <c r="C1168" s="13" t="str">
        <f>HYPERLINK("https://audio.iskcondesiretree.com/02_-_ISKCON_Swamis/ISKCON_Swamis_-_R_to_Y/His_Holiness_Radhanath_Swami/Lectures/00_-_Year_wise/Devotional_Nectar_-_1996/1996-164_Attach_To_Krishna_Detached_From_Maya_SB-02_05_14_Mumbai_-_02-11-96_IDesireTree.mp3", "1996-164_Attach_To_Krishna_Detached_From_Maya_SB-02_05_14_Mumbai_-_02-11-96_IDesireTree.mp3")</f>
        <v>1996-164_Attach_To_Krishna_Detached_From_Maya_SB-02_05_14_Mumbai_-_02-11-96_IDesireTree.mp3</v>
      </c>
      <c r="D1168" s="11"/>
      <c r="E1168" s="11"/>
    </row>
    <row r="1169" spans="1:5">
      <c r="A1169" s="12" t="s">
        <v>12462</v>
      </c>
      <c r="B1169" s="12" t="s">
        <v>14117</v>
      </c>
      <c r="C1169" s="13" t="str">
        <f>HYPERLINK("https://audio.iskcondesiretree.com/02_-_ISKCON_Swamis/ISKCON_Swamis_-_R_to_Y/His_Holiness_Radhanath_Swami/Lectures/00_-_Year_wise/Devotional_Nectar_-_1996/1996-165_Be_Like_Swans_Not_Like_Crows_Ht_-_Lecture_Mumbai_-_02-11-96_IDesireTree.mp3", "1996-165_Be_Like_Swans_Not_Like_Crows_Ht_-_Lecture_Mumbai_-_02-11-96_IDesireTree.mp3")</f>
        <v>1996-165_Be_Like_Swans_Not_Like_Crows_Ht_-_Lecture_Mumbai_-_02-11-96_IDesireTree.mp3</v>
      </c>
      <c r="D1169" s="11"/>
      <c r="E1169" s="11"/>
    </row>
    <row r="1170" spans="1:5">
      <c r="A1170" s="12" t="s">
        <v>12462</v>
      </c>
      <c r="B1170" s="12" t="s">
        <v>14118</v>
      </c>
      <c r="C1170" s="13" t="str">
        <f>HYPERLINK("https://audio.iskcondesiretree.com/02_-_ISKCON_Swamis/ISKCON_Swamis_-_R_to_Y/His_Holiness_Radhanath_Swami/Lectures/00_-_Year_wise/Devotional_Nectar_-_1996/1996-166_Book_Distribution_Meeting_Lecture_Mumbai_-_Radhanath_Swami_1996-11-03_IDesireTree.mp3", "1996-166_Book_Distribution_Meeting_Lecture_Mumbai_-_Radhanath_Swami_1996-11-03_IDesireTree.mp3")</f>
        <v>1996-166_Book_Distribution_Meeting_Lecture_Mumbai_-_Radhanath_Swami_1996-11-03_IDesireTree.mp3</v>
      </c>
      <c r="D1170" s="11"/>
      <c r="E1170" s="11"/>
    </row>
    <row r="1171" spans="1:5">
      <c r="A1171" s="12" t="s">
        <v>12462</v>
      </c>
      <c r="B1171" s="12" t="s">
        <v>14119</v>
      </c>
      <c r="C1171" s="13" t="str">
        <f>HYPERLINK("https://audio.iskcondesiretree.com/02_-_ISKCON_Swamis/ISKCON_Swamis_-_R_to_Y/His_Holiness_Radhanath_Swami/Lectures/00_-_Year_wise/Devotional_Nectar_-_1996/1996-167_Bahulastami_Lecture_Mumbai_-_Radhanath_Swami_1996-11-03_IDesireTree.mp3", "1996-167_Bahulastami_Lecture_Mumbai_-_Radhanath_Swami_1996-11-03_IDesireTree.mp3")</f>
        <v>1996-167_Bahulastami_Lecture_Mumbai_-_Radhanath_Swami_1996-11-03_IDesireTree.mp3</v>
      </c>
      <c r="D1171" s="11"/>
      <c r="E1171" s="11"/>
    </row>
    <row r="1172" spans="1:5">
      <c r="A1172" s="12" t="s">
        <v>12462</v>
      </c>
      <c r="B1172" s="12" t="s">
        <v>14120</v>
      </c>
      <c r="C1172" s="13" t="str">
        <f>HYPERLINK("https://audio.iskcondesiretree.com/02_-_ISKCON_Swamis/ISKCON_Swamis_-_R_to_Y/His_Holiness_Radhanath_Swami/Lectures/00_-_Year_wise/Devotional_Nectar_-_1996/1996-168_Precarious_Condition_Of_Indians_SB-02_05_15_Mumbai_-_03-11-96_IDesireTree.mp3", "1996-168_Precarious_Condition_Of_Indians_SB-02_05_15_Mumbai_-_03-11-96_IDesireTree.mp3")</f>
        <v>1996-168_Precarious_Condition_Of_Indians_SB-02_05_15_Mumbai_-_03-11-96_IDesireTree.mp3</v>
      </c>
      <c r="D1172" s="11"/>
      <c r="E1172" s="11"/>
    </row>
    <row r="1173" spans="1:5">
      <c r="A1173" s="12" t="s">
        <v>12462</v>
      </c>
      <c r="B1173" s="12" t="s">
        <v>14121</v>
      </c>
      <c r="C1173" s="13" t="str">
        <f>HYPERLINK("https://audio.iskcondesiretree.com/02_-_ISKCON_Swamis/ISKCON_Swamis_-_R_to_Y/His_Holiness_Radhanath_Swami/Lectures/00_-_Year_wise/Devotional_Nectar_-_1996/1996-169_Departure_Meeting_Lecture_Mumbai_-_Radhanath_Swami_1996-11-04_IDesireTree.mp3", "1996-169_Departure_Meeting_Lecture_Mumbai_-_Radhanath_Swami_1996-11-04_IDesireTree.mp3")</f>
        <v>1996-169_Departure_Meeting_Lecture_Mumbai_-_Radhanath_Swami_1996-11-04_IDesireTree.mp3</v>
      </c>
      <c r="D1173" s="11"/>
      <c r="E1173" s="11"/>
    </row>
    <row r="1174" spans="1:5">
      <c r="A1174" s="12" t="s">
        <v>12462</v>
      </c>
      <c r="B1174" s="12" t="s">
        <v>14122</v>
      </c>
      <c r="C1174" s="13" t="str">
        <f>HYPERLINK("https://audio.iskcondesiretree.com/02_-_ISKCON_Swamis/ISKCON_Swamis_-_R_to_Y/His_Holiness_Radhanath_Swami/Lectures/00_-_Year_wise/Devotional_Nectar_-_1996/1996-170_Lecture_New_Vrindavan_-_Radhanath_Swami_1996-12-09_IDesireTree.mp3", "1996-170_Lecture_New_Vrindavan_-_Radhanath_Swami_1996-12-09_IDesireTree.mp3")</f>
        <v>1996-170_Lecture_New_Vrindavan_-_Radhanath_Swami_1996-12-09_IDesireTree.mp3</v>
      </c>
      <c r="D1174" s="11"/>
      <c r="E1174" s="11"/>
    </row>
    <row r="1175" spans="1:5">
      <c r="A1175" s="12" t="s">
        <v>12462</v>
      </c>
      <c r="B1175" s="12" t="s">
        <v>14123</v>
      </c>
      <c r="C1175" s="13" t="str">
        <f>HYPERLINK("https://audio.iskcondesiretree.com/02_-_ISKCON_Swamis/ISKCON_Swamis_-_R_to_Y/His_Holiness_Radhanath_Swami/Lectures/00_-_Year_wise/Devotional_Nectar_-_1996/1996-171_Arrival_Lecture_SB-02_06_35_Mumbai_-_Radhanath_Swami_1996-12-19_IDesireTree.mp3", "1996-171_Arrival_Lecture_SB-02_06_35_Mumbai_-_Radhanath_Swami_1996-12-19_IDesireTree.mp3")</f>
        <v>1996-171_Arrival_Lecture_SB-02_06_35_Mumbai_-_Radhanath_Swami_1996-12-19_IDesireTree.mp3</v>
      </c>
      <c r="D1175" s="11"/>
      <c r="E1175" s="11"/>
    </row>
    <row r="1176" spans="1:5">
      <c r="A1176" s="12" t="s">
        <v>12462</v>
      </c>
      <c r="B1176" s="12" t="e">
        <v>#VALUE!</v>
      </c>
      <c r="C1176" s="13" t="e">
        <f>HYPERLINK("https://audio.iskcondesiretree.com/02_-_ISKCON_Swamis/ISKCON_Swamis_-_R_to_Y/His_Holiness_Radhanath_Swami/Lectures/00_-_Year_wise/Devotional_Nectar_-_1996/1996-172_Exalted_Position_Of_Lord_Brahma_And_Lord_Shiva_SB-02_06_37_Mumbai_-_21-12-96_IDesireTree.mp"&amp;"3", "1996-172_Exalted_Position_Of_Lord_Brahma_And_Lord_Shiva_SB-02_06_37_Mumbai_-_21-12-96_IDesireTree.mp3")</f>
        <v>#VALUE!</v>
      </c>
      <c r="D1176" s="11"/>
      <c r="E1176" s="11"/>
    </row>
    <row r="1177" spans="1:5">
      <c r="A1177" s="12" t="s">
        <v>12462</v>
      </c>
      <c r="B1177" s="12" t="s">
        <v>14124</v>
      </c>
      <c r="C1177" s="13" t="str">
        <f>HYPERLINK("https://audio.iskcondesiretree.com/02_-_ISKCON_Swamis/ISKCON_Swamis_-_R_to_Y/His_Holiness_Radhanath_Swami/Lectures/00_-_Year_wise/Devotional_Nectar_-_1996/1996-173_Surrender_By_Hearing_And_Chanting_SB-02_06_38_Mumbai_-_22-12-96_IDesireTree.mp3", "1996-173_Surrender_By_Hearing_And_Chanting_SB-02_06_38_Mumbai_-_22-12-96_IDesireTree.mp3")</f>
        <v>1996-173_Surrender_By_Hearing_And_Chanting_SB-02_06_38_Mumbai_-_22-12-96_IDesireTree.mp3</v>
      </c>
      <c r="D1177" s="11"/>
      <c r="E1177" s="11"/>
    </row>
    <row r="1178" spans="1:5">
      <c r="A1178" s="12" t="s">
        <v>12462</v>
      </c>
      <c r="B1178" s="12" t="s">
        <v>14125</v>
      </c>
      <c r="C1178" s="13" t="str">
        <f>HYPERLINK("https://audio.iskcondesiretree.com/02_-_ISKCON_Swamis/ISKCON_Swamis_-_R_to_Y/His_Holiness_Radhanath_Swami/Lectures/00_-_Year_wise/Devotional_Nectar_-_1996/1996-174_Churning_The_Ocean_Of_Milk_Lecture_Mumbai_-_Radhanath_Swami_1996-12-22_IDesireTree.mp3", "1996-174_Churning_The_Ocean_Of_Milk_Lecture_Mumbai_-_Radhanath_Swami_1996-12-22_IDesireTree.mp3")</f>
        <v>1996-174_Churning_The_Ocean_Of_Milk_Lecture_Mumbai_-_Radhanath_Swami_1996-12-22_IDesireTree.mp3</v>
      </c>
      <c r="D1178" s="11"/>
      <c r="E1178" s="11"/>
    </row>
    <row r="1179" spans="1:5">
      <c r="A1179" s="12" t="s">
        <v>12462</v>
      </c>
      <c r="B1179" s="12" t="s">
        <v>14126</v>
      </c>
      <c r="C1179" s="13" t="str">
        <f>HYPERLINK("https://audio.iskcondesiretree.com/02_-_ISKCON_Swamis/ISKCON_Swamis_-_R_to_Y/His_Holiness_Radhanath_Swami/Lectures/00_-_Year_wise/Devotional_Nectar_-_1996/1996-175_Jesus_Christ-_A_true_Guru_SB-02_06_42_Mumbai_-_Radhanath_Swami_1996-12-25_IDesireTree.mp3", "1996-175_Jesus_Christ-_A_true_Guru_SB-02_06_42_Mumbai_-_Radhanath_Swami_1996-12-25_IDesireTree.mp3")</f>
        <v>1996-175_Jesus_Christ-_A_true_Guru_SB-02_06_42_Mumbai_-_Radhanath_Swami_1996-12-25_IDesireTree.mp3</v>
      </c>
      <c r="D1179" s="11"/>
      <c r="E1179" s="11"/>
    </row>
    <row r="1180" spans="1:5">
      <c r="A1180" s="12" t="s">
        <v>12462</v>
      </c>
      <c r="B1180" s="12" t="s">
        <v>14127</v>
      </c>
      <c r="C1180" s="13" t="str">
        <f>HYPERLINK("https://audio.iskcondesiretree.com/02_-_ISKCON_Swamis/ISKCON_Swamis_-_R_to_Y/His_Holiness_Radhanath_Swami/Lectures/00_-_Year_wise/Devotional_Nectar_-_1996/1996-176_Supremacy_of_Lord_Krishna_SB-02_06_43-45_Mumbai_-_26-12-96_IDesireTree.mp3", "1996-176_Supremacy_of_Lord_Krishna_SB-02_06_43-45_Mumbai_-_26-12-96_IDesireTree.mp3")</f>
        <v>1996-176_Supremacy_of_Lord_Krishna_SB-02_06_43-45_Mumbai_-_26-12-96_IDesireTree.mp3</v>
      </c>
      <c r="D1180" s="11"/>
      <c r="E1180" s="11"/>
    </row>
    <row r="1181" spans="1:5">
      <c r="A1181" s="12" t="s">
        <v>12462</v>
      </c>
      <c r="B1181" s="12" t="s">
        <v>14128</v>
      </c>
      <c r="C1181" s="13" t="str">
        <f>HYPERLINK("https://audio.iskcondesiretree.com/02_-_ISKCON_Swamis/ISKCON_Swamis_-_R_to_Y/His_Holiness_Radhanath_Swami/Lectures/00_-_Year_wise/Devotional_Nectar_-_1996/1996-177_Gigantic_Boar_Incarnation_SB-02_07_01_Mumbai_-_Radhanath_Swami_1996-12-28_IDesireTree.mp3", "1996-177_Gigantic_Boar_Incarnation_SB-02_07_01_Mumbai_-_Radhanath_Swami_1996-12-28_IDesireTree.mp3")</f>
        <v>1996-177_Gigantic_Boar_Incarnation_SB-02_07_01_Mumbai_-_Radhanath_Swami_1996-12-28_IDesireTree.mp3</v>
      </c>
      <c r="D1181" s="11"/>
      <c r="E1181" s="11"/>
    </row>
    <row r="1182" spans="1:5">
      <c r="A1182" s="12" t="s">
        <v>12462</v>
      </c>
      <c r="B1182" s="12" t="s">
        <v>14129</v>
      </c>
      <c r="C1182" s="13" t="str">
        <f>HYPERLINK("https://audio.iskcondesiretree.com/02_-_ISKCON_Swamis/ISKCON_Swamis_-_R_to_Y/His_Holiness_Radhanath_Swami/Lectures/00_-_Year_wise/Devotional_Nectar_-_1996/1996-178_Follow_the_Mahajans_BG-04_15_Mumbai_-_Radhanath_Swami_1996-12-28_IDesireTree.mp3", "1996-178_Follow_the_Mahajans_BG-04_15_Mumbai_-_Radhanath_Swami_1996-12-28_IDesireTree.mp3")</f>
        <v>1996-178_Follow_the_Mahajans_BG-04_15_Mumbai_-_Radhanath_Swami_1996-12-28_IDesireTree.mp3</v>
      </c>
      <c r="D1182" s="11"/>
      <c r="E1182" s="11"/>
    </row>
    <row r="1183" spans="1:5">
      <c r="A1183" s="12" t="s">
        <v>12462</v>
      </c>
      <c r="B1183" s="12" t="s">
        <v>14130</v>
      </c>
      <c r="C1183" s="13" t="str">
        <f>HYPERLINK("https://audio.iskcondesiretree.com/02_-_ISKCON_Swamis/ISKCON_Swamis_-_R_to_Y/His_Holiness_Radhanath_Swami/Lectures/00_-_Year_wise/Devotional_Nectar_-_1996/1996-179_Glories_of_BhaktiSiddhanta_Saraswati_Lecture_Mumbai_-_29-12-96_IDesireTree.mp3", "1996-179_Glories_of_BhaktiSiddhanta_Saraswati_Lecture_Mumbai_-_29-12-96_IDesireTree.mp3")</f>
        <v>1996-179_Glories_of_BhaktiSiddhanta_Saraswati_Lecture_Mumbai_-_29-12-96_IDesireTree.mp3</v>
      </c>
      <c r="D1183" s="11"/>
      <c r="E1183" s="11"/>
    </row>
    <row r="1184" spans="1:5">
      <c r="A1184" s="12" t="s">
        <v>12462</v>
      </c>
      <c r="B1184" s="12" t="s">
        <v>14131</v>
      </c>
      <c r="C1184" s="13" t="str">
        <f>HYPERLINK("https://audio.iskcondesiretree.com/02_-_ISKCON_Swamis/ISKCON_Swamis_-_R_to_Y/His_Holiness_Radhanath_Swami/Lectures/00_-_Year_wise/Devotional_Nectar_-_1997/1997-001_Birth_of_Lord_Kapila_SB-02_07_03_Mumbai_-_Radhanath_Swami_1997-01-01_IDesireTree.mp3", "1997-001_Birth_of_Lord_Kapila_SB-02_07_03_Mumbai_-_Radhanath_Swami_1997-01-01_IDesireTree.mp3")</f>
        <v>1997-001_Birth_of_Lord_Kapila_SB-02_07_03_Mumbai_-_Radhanath_Swami_1997-01-01_IDesireTree.mp3</v>
      </c>
      <c r="D1184" s="11"/>
      <c r="E1184" s="11"/>
    </row>
    <row r="1185" spans="1:5">
      <c r="A1185" s="12" t="s">
        <v>12462</v>
      </c>
      <c r="B1185" s="12" t="s">
        <v>14132</v>
      </c>
      <c r="C1185" s="13" t="str">
        <f>HYPERLINK("https://audio.iskcondesiretree.com/02_-_ISKCON_Swamis/ISKCON_Swamis_-_R_to_Y/His_Holiness_Radhanath_Swami/Lectures/00_-_Year_wise/Devotional_Nectar_-_1997/1997-002_Glories_of_Shivananda_Sen_Gt_-_Lecture_Mumbai_-_Radhanath_Swami_1997-01-03_IDesireTree.mp3", "1997-002_Glories_of_Shivananda_Sen_Gt_-_Lecture_Mumbai_-_Radhanath_Swami_1997-01-03_IDesireTree.mp3")</f>
        <v>1997-002_Glories_of_Shivananda_Sen_Gt_-_Lecture_Mumbai_-_Radhanath_Swami_1997-01-03_IDesireTree.mp3</v>
      </c>
      <c r="D1185" s="11"/>
      <c r="E1185" s="11"/>
    </row>
    <row r="1186" spans="1:5">
      <c r="A1186" s="12" t="s">
        <v>12462</v>
      </c>
      <c r="B1186" s="12" t="s">
        <v>14133</v>
      </c>
      <c r="C1186" s="13" t="str">
        <f>HYPERLINK("https://audio.iskcondesiretree.com/02_-_ISKCON_Swamis/ISKCON_Swamis_-_R_to_Y/His_Holiness_Radhanath_Swami/Lectures/00_-_Year_wise/Devotional_Nectar_-_1997/1997-003_Bhagavad_Gita_For_The_Modern_Man_Ht_-_Lecture_Mumbai_-_04-01-97_IDesireTree.mp3", "1997-003_Bhagavad_Gita_For_The_Modern_Man_Ht_-_Lecture_Mumbai_-_04-01-97_IDesireTree.mp3")</f>
        <v>1997-003_Bhagavad_Gita_For_The_Modern_Man_Ht_-_Lecture_Mumbai_-_04-01-97_IDesireTree.mp3</v>
      </c>
      <c r="D1186" s="11"/>
      <c r="E1186" s="11"/>
    </row>
    <row r="1187" spans="1:5">
      <c r="A1187" s="12" t="s">
        <v>12462</v>
      </c>
      <c r="B1187" s="12" t="s">
        <v>14134</v>
      </c>
      <c r="C1187" s="13" t="str">
        <f>HYPERLINK("https://audio.iskcondesiretree.com/02_-_ISKCON_Swamis/ISKCON_Swamis_-_R_to_Y/His_Holiness_Radhanath_Swami/Lectures/00_-_Year_wise/Devotional_Nectar_-_1997/1997-004_Address_at_Chaitanya_Hospital_Lecture_Mumbai_-_Radhanath_Swami_1997-01-04_IDesireTree.mp3", "1997-004_Address_at_Chaitanya_Hospital_Lecture_Mumbai_-_Radhanath_Swami_1997-01-04_IDesireTree.mp3")</f>
        <v>1997-004_Address_at_Chaitanya_Hospital_Lecture_Mumbai_-_Radhanath_Swami_1997-01-04_IDesireTree.mp3</v>
      </c>
      <c r="D1187" s="11"/>
      <c r="E1187" s="11"/>
    </row>
    <row r="1188" spans="1:5">
      <c r="A1188" s="12" t="s">
        <v>12462</v>
      </c>
      <c r="B1188" s="12" t="s">
        <v>14135</v>
      </c>
      <c r="C1188" s="13" t="str">
        <f>HYPERLINK("https://audio.iskcondesiretree.com/02_-_ISKCON_Swamis/ISKCON_Swamis_-_R_to_Y/His_Holiness_Radhanath_Swami/Lectures/00_-_Year_wise/Devotional_Nectar_-_1997/1997-005_Effects_of_Anger_SB-02_07_07_Mumbai_-_Radhanath_Swami_1997-01-05_IDesireTree.mp3", "1997-005_Effects_of_Anger_SB-02_07_07_Mumbai_-_Radhanath_Swami_1997-01-05_IDesireTree.mp3")</f>
        <v>1997-005_Effects_of_Anger_SB-02_07_07_Mumbai_-_Radhanath_Swami_1997-01-05_IDesireTree.mp3</v>
      </c>
      <c r="D1188" s="11"/>
      <c r="E1188" s="11"/>
    </row>
    <row r="1189" spans="1:5">
      <c r="A1189" s="12" t="s">
        <v>12462</v>
      </c>
      <c r="B1189" s="12" t="s">
        <v>14136</v>
      </c>
      <c r="C1189" s="13" t="str">
        <f>HYPERLINK("https://audio.iskcondesiretree.com/02_-_ISKCON_Swamis/ISKCON_Swamis_-_R_to_Y/His_Holiness_Radhanath_Swami/Lectures/00_-_Year_wise/Devotional_Nectar_-_1997/1997-006_Devananda_Pandit_Disappearance_Day_Lecture_Mumbai_-_05-01-97_IDesireTree.mp3", "1997-006_Devananda_Pandit_Disappearance_Day_Lecture_Mumbai_-_05-01-97_IDesireTree.mp3")</f>
        <v>1997-006_Devananda_Pandit_Disappearance_Day_Lecture_Mumbai_-_05-01-97_IDesireTree.mp3</v>
      </c>
      <c r="D1189" s="11"/>
      <c r="E1189" s="11"/>
    </row>
    <row r="1190" spans="1:5">
      <c r="A1190" s="12" t="s">
        <v>12462</v>
      </c>
      <c r="B1190" s="12" t="s">
        <v>14137</v>
      </c>
      <c r="C1190" s="13" t="str">
        <f>HYPERLINK("https://audio.iskcondesiretree.com/02_-_ISKCON_Swamis/ISKCON_Swamis_-_R_to_Y/His_Holiness_Radhanath_Swami/Lectures/00_-_Year_wise/Devotional_Nectar_-_1997/1997-007_Pastimes_of_King_Prithu_SB-02_07_09_Mumbai_-_Radhanath_Swami_1997-01-07_IDesireTree.mp3", "1997-007_Pastimes_of_King_Prithu_SB-02_07_09_Mumbai_-_Radhanath_Swami_1997-01-07_IDesireTree.mp3")</f>
        <v>1997-007_Pastimes_of_King_Prithu_SB-02_07_09_Mumbai_-_Radhanath_Swami_1997-01-07_IDesireTree.mp3</v>
      </c>
      <c r="D1190" s="11"/>
      <c r="E1190" s="11"/>
    </row>
    <row r="1191" spans="1:5">
      <c r="A1191" s="12" t="s">
        <v>12462</v>
      </c>
      <c r="B1191" s="12" t="s">
        <v>14138</v>
      </c>
      <c r="C1191" s="13" t="str">
        <f>HYPERLINK("https://audio.iskcondesiretree.com/02_-_ISKCON_Swamis/ISKCON_Swamis_-_R_to_Y/His_Holiness_Radhanath_Swami/Lectures/00_-_Year_wise/Devotional_Nectar_-_1997/1997-008_Questions_by_Yaksha_to_Yudhishitra_BG-06_25_Mumbai_-_07-01-97_IDesireTree.mp3", "1997-008_Questions_by_Yaksha_to_Yudhishitra_BG-06_25_Mumbai_-_07-01-97_IDesireTree.mp3")</f>
        <v>1997-008_Questions_by_Yaksha_to_Yudhishitra_BG-06_25_Mumbai_-_07-01-97_IDesireTree.mp3</v>
      </c>
      <c r="D1191" s="11"/>
      <c r="E1191" s="11"/>
    </row>
    <row r="1192" spans="1:5">
      <c r="A1192" s="12" t="s">
        <v>12462</v>
      </c>
      <c r="B1192" s="12" t="s">
        <v>14139</v>
      </c>
      <c r="C1192" s="13" t="str">
        <f>HYPERLINK("https://audio.iskcondesiretree.com/02_-_ISKCON_Swamis/ISKCON_Swamis_-_R_to_Y/His_Holiness_Radhanath_Swami/Lectures/00_-_Year_wise/Devotional_Nectar_-_1997/1997-009_Greatness_of_Srila_Jiva_Goswami_BG-03_34_Mumbai_-_11-01-97_IDesireTree.mp3", "1997-009_Greatness_of_Srila_Jiva_Goswami_BG-03_34_Mumbai_-_11-01-97_IDesireTree.mp3")</f>
        <v>1997-009_Greatness_of_Srila_Jiva_Goswami_BG-03_34_Mumbai_-_11-01-97_IDesireTree.mp3</v>
      </c>
      <c r="D1192" s="11"/>
      <c r="E1192" s="11"/>
    </row>
    <row r="1193" spans="1:5">
      <c r="A1193" s="12" t="s">
        <v>12462</v>
      </c>
      <c r="B1193" s="12" t="s">
        <v>14140</v>
      </c>
      <c r="C1193" s="13" t="str">
        <f>HYPERLINK("https://audio.iskcondesiretree.com/02_-_ISKCON_Swamis/ISKCON_Swamis_-_R_to_Y/His_Holiness_Radhanath_Swami/Lectures/00_-_Year_wise/Devotional_Nectar_-_1997/1997-010_Matsya_Avatar_SB-02_07_12_Mumbai_-_12-01-97_IDesireTree.mp3", "1997-010_Matsya_Avatar_SB-02_07_12_Mumbai_-_12-01-97_IDesireTree.mp3")</f>
        <v>1997-010_Matsya_Avatar_SB-02_07_12_Mumbai_-_12-01-97_IDesireTree.mp3</v>
      </c>
      <c r="D1193" s="11"/>
      <c r="E1193" s="11"/>
    </row>
    <row r="1194" spans="1:5">
      <c r="A1194" s="12" t="s">
        <v>12462</v>
      </c>
      <c r="B1194" s="12" t="s">
        <v>14141</v>
      </c>
      <c r="C1194" s="13" t="str">
        <f>HYPERLINK("https://audio.iskcondesiretree.com/02_-_ISKCON_Swamis/ISKCON_Swamis_-_R_to_Y/His_Holiness_Radhanath_Swami/Lectures/00_-_Year_wise/Devotional_Nectar_-_1997/1997-011_Mahaprabhu_Chastises_Advaita_Lecture_Mumbai_-_Radhanath_Swami_1997-01-12_IDesireTree.mp3", "1997-011_Mahaprabhu_Chastises_Advaita_Lecture_Mumbai_-_Radhanath_Swami_1997-01-12_IDesireTree.mp3")</f>
        <v>1997-011_Mahaprabhu_Chastises_Advaita_Lecture_Mumbai_-_Radhanath_Swami_1997-01-12_IDesireTree.mp3</v>
      </c>
      <c r="D1194" s="11"/>
      <c r="E1194" s="11"/>
    </row>
    <row r="1195" spans="1:5">
      <c r="A1195" s="12" t="s">
        <v>12462</v>
      </c>
      <c r="B1195" s="12" t="s">
        <v>14142</v>
      </c>
      <c r="C1195" s="13" t="str">
        <f>HYPERLINK("https://audio.iskcondesiretree.com/02_-_ISKCON_Swamis/ISKCON_Swamis_-_R_to_Y/His_Holiness_Radhanath_Swami/Lectures/00_-_Year_wise/Devotional_Nectar_-_1997/1997-012_BTG_Festival_Lecture_Mumbai_-_Radhanath_Swami_1997-01-13_IDesireTree.mp3", "1997-012_BTG_Festival_Lecture_Mumbai_-_Radhanath_Swami_1997-01-13_IDesireTree.mp3")</f>
        <v>1997-012_BTG_Festival_Lecture_Mumbai_-_Radhanath_Swami_1997-01-13_IDesireTree.mp3</v>
      </c>
      <c r="D1195" s="11"/>
      <c r="E1195" s="11"/>
    </row>
    <row r="1196" spans="1:5">
      <c r="A1196" s="12" t="s">
        <v>12462</v>
      </c>
      <c r="B1196" s="12" t="s">
        <v>14143</v>
      </c>
      <c r="C1196" s="13" t="str">
        <f>HYPERLINK("https://audio.iskcondesiretree.com/02_-_ISKCON_Swamis/ISKCON_Swamis_-_R_to_Y/His_Holiness_Radhanath_Swami/Lectures/00_-_Year_wise/Devotional_Nectar_-_1997/1997-013_Fruitive_Workers_are_Misers_Ht_-_BG-02_IDesireTree.mp3", "1997-013_Fruitive_Workers_are_Misers_Ht_-_BG-02_IDesireTree.mp3")</f>
        <v>1997-013_Fruitive_Workers_are_Misers_Ht_-_BG-02_IDesireTree.mp3</v>
      </c>
      <c r="D1196" s="11"/>
      <c r="E1196" s="11"/>
    </row>
    <row r="1197" spans="1:5">
      <c r="A1197" s="12" t="s">
        <v>12462</v>
      </c>
      <c r="B1197" s="12" t="s">
        <v>14144</v>
      </c>
      <c r="C1197" s="13" t="str">
        <f>HYPERLINK("https://audio.iskcondesiretree.com/02_-_ISKCON_Swamis/ISKCON_Swamis_-_R_to_Y/His_Holiness_Radhanath_Swami/Lectures/00_-_Year_wise/Devotional_Nectar_-_1997/1997-014_Initiation_Lecture_Lecture_-_Radhanath_Swami_IDesireTree.mp3", "1997-014_Initiation_Lecture_Lecture_-_Radhanath_Swami_IDesireTree.mp3")</f>
        <v>1997-014_Initiation_Lecture_Lecture_-_Radhanath_Swami_IDesireTree.mp3</v>
      </c>
      <c r="D1197" s="11"/>
      <c r="E1197" s="11"/>
    </row>
    <row r="1198" spans="1:5">
      <c r="A1198" s="12" t="s">
        <v>12462</v>
      </c>
      <c r="B1198" s="12" t="s">
        <v>14145</v>
      </c>
      <c r="C1198" s="13" t="str">
        <f>HYPERLINK("https://audio.iskcondesiretree.com/02_-_ISKCON_Swamis/ISKCON_Swamis_-_R_to_Y/His_Holiness_Radhanath_Swami/Lectures/00_-_Year_wise/Devotional_Nectar_-_1997/1997-015_Be_Eager_Like_Dhruva_BG-05_12_Pune_-_Radhanath_Swami_1997-01-17_IDesireTree.mp3", "1997-015_Be_Eager_Like_Dhruva_BG-05_12_Pune_-_Radhanath_Swami_1997-01-17_IDesireTree.mp3")</f>
        <v>1997-015_Be_Eager_Like_Dhruva_BG-05_12_Pune_-_Radhanath_Swami_1997-01-17_IDesireTree.mp3</v>
      </c>
      <c r="D1198" s="11"/>
      <c r="E1198" s="11"/>
    </row>
    <row r="1199" spans="1:5">
      <c r="A1199" s="12" t="s">
        <v>12462</v>
      </c>
      <c r="B1199" s="12" t="s">
        <v>14146</v>
      </c>
      <c r="C1199" s="13" t="str">
        <f>HYPERLINK("https://audio.iskcondesiretree.com/02_-_ISKCON_Swamis/ISKCON_Swamis_-_R_to_Y/His_Holiness_Radhanath_Swami/Lectures/00_-_Year_wise/Devotional_Nectar_-_1997/1997-016_Materialists_are_like_Rats_SB-04_24_66_Pune_-_Radhanath_Swami_1997-01-17_IDesireTree.mp3", "1997-016_Materialists_are_like_Rats_SB-04_24_66_Pune_-_Radhanath_Swami_1997-01-17_IDesireTree.mp3")</f>
        <v>1997-016_Materialists_are_like_Rats_SB-04_24_66_Pune_-_Radhanath_Swami_1997-01-17_IDesireTree.mp3</v>
      </c>
      <c r="D1199" s="11"/>
      <c r="E1199" s="11"/>
    </row>
    <row r="1200" spans="1:5">
      <c r="A1200" s="12" t="s">
        <v>12462</v>
      </c>
      <c r="B1200" s="12" t="s">
        <v>14147</v>
      </c>
      <c r="C1200" s="13" t="str">
        <f>HYPERLINK("https://audio.iskcondesiretree.com/02_-_ISKCON_Swamis/ISKCON_Swamis_-_R_to_Y/His_Holiness_Radhanath_Swami/Lectures/00_-_Year_wise/Devotional_Nectar_-_1997/1997-017_Talks_with_IYF_-_Pune_Boys_Lecture_Pune_-_Radhanath_Swami_1997-01-17_IDesireTree.mp3", "1997-017_Talks_with_IYF_-_Pune_Boys_Lecture_Pune_-_Radhanath_Swami_1997-01-17_IDesireTree.mp3")</f>
        <v>1997-017_Talks_with_IYF_-_Pune_Boys_Lecture_Pune_-_Radhanath_Swami_1997-01-17_IDesireTree.mp3</v>
      </c>
      <c r="D1200" s="11"/>
      <c r="E1200" s="11"/>
    </row>
    <row r="1201" spans="1:5">
      <c r="A1201" s="12" t="s">
        <v>12462</v>
      </c>
      <c r="B1201" s="12" t="s">
        <v>14148</v>
      </c>
      <c r="C1201" s="13" t="str">
        <f>HYPERLINK("https://audio.iskcondesiretree.com/02_-_ISKCON_Swamis/ISKCON_Swamis_-_R_to_Y/His_Holiness_Radhanath_Swami/Lectures/00_-_Year_wise/Devotional_Nectar_-_1997/1997-018_Love_of_Brajbasis_SB-02_07_27_Khandala_-_Radhanath_Swami_1997-01-18_new_IDesireTree.mp3", "1997-018_Love_of_Brajbasis_SB-02_07_27_Khandala_-_Radhanath_Swami_1997-01-18_new_IDesireTree.mp3")</f>
        <v>1997-018_Love_of_Brajbasis_SB-02_07_27_Khandala_-_Radhanath_Swami_1997-01-18_new_IDesireTree.mp3</v>
      </c>
      <c r="D1201" s="11"/>
      <c r="E1201" s="11"/>
    </row>
    <row r="1202" spans="1:5">
      <c r="A1202" s="12" t="s">
        <v>12462</v>
      </c>
      <c r="B1202" s="12" t="s">
        <v>14149</v>
      </c>
      <c r="C1202" s="13" t="str">
        <f>HYPERLINK("https://audio.iskcondesiretree.com/02_-_ISKCON_Swamis/ISKCON_Swamis_-_R_to_Y/His_Holiness_Radhanath_Swami/Lectures/00_-_Year_wise/Devotional_Nectar_-_1997/1997-019_Using_Science_In_Krishna_Consciousness_Lecture_Mumbai_-_19-01-97_IDesireTree.mp3", "1997-019_Using_Science_In_Krishna_Consciousness_Lecture_Mumbai_-_19-01-97_IDesireTree.mp3")</f>
        <v>1997-019_Using_Science_In_Krishna_Consciousness_Lecture_Mumbai_-_19-01-97_IDesireTree.mp3</v>
      </c>
      <c r="D1202" s="11"/>
      <c r="E1202" s="11"/>
    </row>
    <row r="1203" spans="1:5">
      <c r="A1203" s="12" t="s">
        <v>12462</v>
      </c>
      <c r="B1203" s="12" t="s">
        <v>14150</v>
      </c>
      <c r="C1203" s="13" t="str">
        <f>HYPERLINK("https://audio.iskcondesiretree.com/02_-_ISKCON_Swamis/ISKCON_Swamis_-_R_to_Y/His_Holiness_Radhanath_Swami/Lectures/00_-_Year_wise/Devotional_Nectar_-_1997/1997-020_Never_Offend_Devotees_SB-04_30_08_Mumbai_-_Radhanath_Swami_1997-01-23_IDesireTree.mp3", "1997-020_Never_Offend_Devotees_SB-04_30_08_Mumbai_-_Radhanath_Swami_1997-01-23_IDesireTree.mp3")</f>
        <v>1997-020_Never_Offend_Devotees_SB-04_30_08_Mumbai_-_Radhanath_Swami_1997-01-23_IDesireTree.mp3</v>
      </c>
      <c r="D1203" s="11"/>
      <c r="E1203" s="11"/>
    </row>
    <row r="1204" spans="1:5">
      <c r="A1204" s="12" t="s">
        <v>12462</v>
      </c>
      <c r="B1204" s="12" t="s">
        <v>14151</v>
      </c>
      <c r="C1204" s="13" t="str">
        <f>HYPERLINK("https://audio.iskcondesiretree.com/02_-_ISKCON_Swamis/ISKCON_Swamis_-_R_to_Y/His_Holiness_Radhanath_Swami/Lectures/00_-_Year_wise/Devotional_Nectar_-_1997/1997-021_Never_Expect_Any_Glory_Lecture_Mumbai_-_Radhanath_Swami_1997-01-23_IDesireTree.mp3", "1997-021_Never_Expect_Any_Glory_Lecture_Mumbai_-_Radhanath_Swami_1997-01-23_IDesireTree.mp3")</f>
        <v>1997-021_Never_Expect_Any_Glory_Lecture_Mumbai_-_Radhanath_Swami_1997-01-23_IDesireTree.mp3</v>
      </c>
      <c r="D1204" s="11"/>
      <c r="E1204" s="11"/>
    </row>
    <row r="1205" spans="1:5">
      <c r="A1205" s="12" t="s">
        <v>12462</v>
      </c>
      <c r="B1205" s="12" t="s">
        <v>14152</v>
      </c>
      <c r="C1205" s="13" t="str">
        <f>HYPERLINK("https://audio.iskcondesiretree.com/02_-_ISKCON_Swamis/ISKCON_Swamis_-_R_to_Y/His_Holiness_Radhanath_Swami/Lectures/00_-_Year_wise/Devotional_Nectar_-_1997/1997-022_Attaining_the_Supreme_BG-08_12-13_Mumbai_-_Radhanath_Swami_1997-01-24_IDesireTree.mp3", "1997-022_Attaining_the_Supreme_BG-08_12-13_Mumbai_-_Radhanath_Swami_1997-01-24_IDesireTree.mp3")</f>
        <v>1997-022_Attaining_the_Supreme_BG-08_12-13_Mumbai_-_Radhanath_Swami_1997-01-24_IDesireTree.mp3</v>
      </c>
      <c r="D1205" s="11"/>
      <c r="E1205" s="11"/>
    </row>
    <row r="1206" spans="1:5">
      <c r="A1206" s="12" t="s">
        <v>12462</v>
      </c>
      <c r="B1206" s="12" t="s">
        <v>14153</v>
      </c>
      <c r="C1206" s="13" t="str">
        <f>HYPERLINK("https://audio.iskcondesiretree.com/02_-_ISKCON_Swamis/ISKCON_Swamis_-_R_to_Y/His_Holiness_Radhanath_Swami/Lectures/00_-_Year_wise/Devotional_Nectar_-_1997/1997-023_Krishna-_The_Supreme_Source_SB-02_07_26_Mumbai_-_Radhanath_Swami_1997-01-25_IDesireTree.mp3", "1997-023_Krishna-_The_Supreme_Source_SB-02_07_26_Mumbai_-_Radhanath_Swami_1997-01-25_IDesireTree.mp3")</f>
        <v>1997-023_Krishna-_The_Supreme_Source_SB-02_07_26_Mumbai_-_Radhanath_Swami_1997-01-25_IDesireTree.mp3</v>
      </c>
      <c r="D1206" s="11"/>
      <c r="E1206" s="11"/>
    </row>
    <row r="1207" spans="1:5">
      <c r="A1207" s="12" t="s">
        <v>12462</v>
      </c>
      <c r="B1207" s="12" t="s">
        <v>14154</v>
      </c>
      <c r="C1207" s="13" t="str">
        <f>HYPERLINK("https://audio.iskcondesiretree.com/02_-_ISKCON_Swamis/ISKCON_Swamis_-_R_to_Y/His_Holiness_Radhanath_Swami/Lectures/00_-_Year_wise/Devotional_Nectar_-_1997/1997-024_Story_Of_Vritasura_SB-_Mumbai_-_Radhanath_Swami_1997-01-25_IDesireTree.mp3", "1997-024_Story_Of_Vritasura_SB-_Mumbai_-_Radhanath_Swami_1997-01-25_IDesireTree.mp3")</f>
        <v>1997-024_Story_Of_Vritasura_SB-_Mumbai_-_Radhanath_Swami_1997-01-25_IDesireTree.mp3</v>
      </c>
      <c r="D1207" s="11"/>
      <c r="E1207" s="11"/>
    </row>
    <row r="1208" spans="1:5">
      <c r="A1208" s="12" t="s">
        <v>12462</v>
      </c>
      <c r="B1208" s="12" t="s">
        <v>14155</v>
      </c>
      <c r="C1208" s="13" t="str">
        <f>HYPERLINK("https://audio.iskcondesiretree.com/02_-_ISKCON_Swamis/ISKCON_Swamis_-_R_to_Y/His_Holiness_Radhanath_Swami/Lectures/00_-_Year_wise/Devotional_Nectar_-_1997/1997-025_Subduing_Kaliya_SB-02_07_28-29_Mumbai_-_Radhanath_Swami_1997-01-26_IDesireTree.mp3", "1997-025_Subduing_Kaliya_SB-02_07_28-29_Mumbai_-_Radhanath_Swami_1997-01-26_IDesireTree.mp3")</f>
        <v>1997-025_Subduing_Kaliya_SB-02_07_28-29_Mumbai_-_Radhanath_Swami_1997-01-26_IDesireTree.mp3</v>
      </c>
      <c r="D1208" s="11"/>
      <c r="E1208" s="11"/>
    </row>
    <row r="1209" spans="1:5">
      <c r="A1209" s="12" t="s">
        <v>12462</v>
      </c>
      <c r="B1209" s="12" t="s">
        <v>14156</v>
      </c>
      <c r="C1209" s="13" t="str">
        <f>HYPERLINK("https://audio.iskcondesiretree.com/02_-_ISKCON_Swamis/ISKCON_Swamis_-_R_to_Y/His_Holiness_Radhanath_Swami/Lectures/00_-_Year_wise/Devotional_Nectar_-_1997/1997-026_Parvati_Curses_Chitraketu_SB_Mumbai_-_Radhanath_Swami_1997-01-26_IDesireTree.mp3", "1997-026_Parvati_Curses_Chitraketu_SB_Mumbai_-_Radhanath_Swami_1997-01-26_IDesireTree.mp3")</f>
        <v>1997-026_Parvati_Curses_Chitraketu_SB_Mumbai_-_Radhanath_Swami_1997-01-26_IDesireTree.mp3</v>
      </c>
      <c r="D1209" s="11"/>
      <c r="E1209" s="11"/>
    </row>
    <row r="1210" spans="1:5">
      <c r="A1210" s="12" t="s">
        <v>12462</v>
      </c>
      <c r="B1210" s="12" t="s">
        <v>14157</v>
      </c>
      <c r="C1210" s="13" t="str">
        <f>HYPERLINK("https://audio.iskcondesiretree.com/02_-_ISKCON_Swamis/ISKCON_Swamis_-_R_to_Y/His_Holiness_Radhanath_Swami/Lectures/00_-_Year_wise/Devotional_Nectar_-_1997/1997-027_Arrival_Lecture_Lecture_Pune_-_Radhanath_Swami_1997-01-30_IDesireTree.mp3", "1997-027_Arrival_Lecture_Lecture_Pune_-_Radhanath_Swami_1997-01-30_IDesireTree.mp3")</f>
        <v>1997-027_Arrival_Lecture_Lecture_Pune_-_Radhanath_Swami_1997-01-30_IDesireTree.mp3</v>
      </c>
      <c r="D1210" s="11"/>
      <c r="E1210" s="11"/>
    </row>
    <row r="1211" spans="1:5">
      <c r="A1211" s="12" t="s">
        <v>12462</v>
      </c>
      <c r="B1211" s="12" t="s">
        <v>14158</v>
      </c>
      <c r="C1211" s="13" t="str">
        <f>HYPERLINK("https://audio.iskcondesiretree.com/02_-_ISKCON_Swamis/ISKCON_Swamis_-_R_to_Y/His_Holiness_Radhanath_Swami/Lectures/00_-_Year_wise/Devotional_Nectar_-_1997/1997-028_Gopala_Bhatta_Goswami_and_Ramachandra_Kaviraj_SB-05_05_20_Pune_-_31-01-97_IDesireTree.mp3", "1997-028_Gopala_Bhatta_Goswami_and_Ramachandra_Kaviraj_SB-05_05_20_Pune_-_31-01-97_IDesireTree.mp3")</f>
        <v>1997-028_Gopala_Bhatta_Goswami_and_Ramachandra_Kaviraj_SB-05_05_20_Pune_-_31-01-97_IDesireTree.mp3</v>
      </c>
      <c r="D1211" s="11"/>
      <c r="E1211" s="11"/>
    </row>
    <row r="1212" spans="1:5">
      <c r="A1212" s="12" t="s">
        <v>12462</v>
      </c>
      <c r="B1212" s="12" t="s">
        <v>14159</v>
      </c>
      <c r="C1212" s="13" t="str">
        <f>HYPERLINK("https://audio.iskcondesiretree.com/02_-_ISKCON_Swamis/ISKCON_Swamis_-_R_to_Y/His_Holiness_Radhanath_Swami/Lectures/00_-_Year_wise/Devotional_Nectar_-_1997/1997-029_Question_And_Answer_Q%26A_Pune_-_Radhanath_Swami_1997-02-02_IDesireTree.mp3", "1997-029_Question_And_Answer_Q%26A_Pune_-_Radhanath_Swami_1997-02-02_IDesireTree.mp3")</f>
        <v>1997-029_Question_And_Answer_Q%26A_Pune_-_Radhanath_Swami_1997-02-02_IDesireTree.mp3</v>
      </c>
      <c r="D1212" s="11"/>
      <c r="E1212" s="11"/>
    </row>
    <row r="1213" spans="1:5">
      <c r="A1213" s="12" t="s">
        <v>12462</v>
      </c>
      <c r="B1213" s="12" t="s">
        <v>14160</v>
      </c>
      <c r="C1213" s="13" t="str">
        <f>HYPERLINK("https://audio.iskcondesiretree.com/02_-_ISKCON_Swamis/ISKCON_Swamis_-_R_to_Y/His_Holiness_Radhanath_Swami/Lectures/00_-_Year_wise/Devotional_Nectar_-_1997/1997-030_Departure_Lecture_Lecture_Pune_-_Radhanath_Swami_1997-02-02_IDesireTree.mp3", "1997-030_Departure_Lecture_Lecture_Pune_-_Radhanath_Swami_1997-02-02_IDesireTree.mp3")</f>
        <v>1997-030_Departure_Lecture_Lecture_Pune_-_Radhanath_Swami_1997-02-02_IDesireTree.mp3</v>
      </c>
      <c r="D1213" s="11"/>
      <c r="E1213" s="11"/>
    </row>
    <row r="1214" spans="1:5">
      <c r="A1214" s="12" t="s">
        <v>12462</v>
      </c>
      <c r="B1214" s="12" t="s">
        <v>14161</v>
      </c>
      <c r="C1214" s="13" t="str">
        <f>HYPERLINK("https://audio.iskcondesiretree.com/02_-_ISKCON_Swamis/ISKCON_Swamis_-_R_to_Y/His_Holiness_Radhanath_Swami/Lectures/00_-_Year_wise/Devotional_Nectar_-_1997/1997-031_Material_Problems_And_Spiritual_Solution_Lecture_Mumbai_-_07-02-97_IDesireTree.mp3", "1997-031_Material_Problems_And_Spiritual_Solution_Lecture_Mumbai_-_07-02-97_IDesireTree.mp3")</f>
        <v>1997-031_Material_Problems_And_Spiritual_Solution_Lecture_Mumbai_-_07-02-97_IDesireTree.mp3</v>
      </c>
      <c r="D1214" s="11"/>
      <c r="E1214" s="11"/>
    </row>
    <row r="1215" spans="1:5">
      <c r="A1215" s="12" t="s">
        <v>12462</v>
      </c>
      <c r="B1215" s="12" t="s">
        <v>14162</v>
      </c>
      <c r="C1215" s="13" t="str">
        <f>HYPERLINK("https://audio.iskcondesiretree.com/02_-_ISKCON_Swamis/ISKCON_Swamis_-_R_to_Y/His_Holiness_Radhanath_Swami/Lectures/00_-_Year_wise/Devotional_Nectar_-_1997/1997-032_What_Is_Service_SB-02_07_42_Mumbai_-_Radhanath_Swami_1997-02-08_IDesireTree.mp3", "1997-032_What_Is_Service_SB-02_07_42_Mumbai_-_Radhanath_Swami_1997-02-08_IDesireTree.mp3")</f>
        <v>1997-032_What_Is_Service_SB-02_07_42_Mumbai_-_Radhanath_Swami_1997-02-08_IDesireTree.mp3</v>
      </c>
      <c r="D1215" s="11"/>
      <c r="E1215" s="11"/>
    </row>
    <row r="1216" spans="1:5">
      <c r="A1216" s="12" t="s">
        <v>12462</v>
      </c>
      <c r="B1216" s="12" t="s">
        <v>14163</v>
      </c>
      <c r="C1216" s="13" t="str">
        <f>HYPERLINK("https://audio.iskcondesiretree.com/02_-_ISKCON_Swamis/ISKCON_Swamis_-_R_to_Y/His_Holiness_Radhanath_Swami/Lectures/00_-_Year_wise/Devotional_Nectar_-_1997/1997-033_Qualify_Like_Dhruva_SB-04_12_36_Mumbai_-_Radhanath_Swami_1997-02-08_IDesireTree.mp3", "1997-033_Qualify_Like_Dhruva_SB-04_12_36_Mumbai_-_Radhanath_Swami_1997-02-08_IDesireTree.mp3")</f>
        <v>1997-033_Qualify_Like_Dhruva_SB-04_12_36_Mumbai_-_Radhanath_Swami_1997-02-08_IDesireTree.mp3</v>
      </c>
      <c r="D1216" s="11"/>
      <c r="E1216" s="11"/>
    </row>
    <row r="1217" spans="1:5">
      <c r="A1217" s="12" t="s">
        <v>12462</v>
      </c>
      <c r="B1217" s="12" t="s">
        <v>14164</v>
      </c>
      <c r="C1217" s="13" t="str">
        <f>HYPERLINK("https://audio.iskcondesiretree.com/02_-_ISKCON_Swamis/ISKCON_Swamis_-_R_to_Y/His_Holiness_Radhanath_Swami/Lectures/00_-_Year_wise/Devotional_Nectar_-_1997/1997-034_Surrender_To_The_Surrendered_SB-02_07_43-45_Mumbai_-_09-02-97_IDesireTree.mp3", "1997-034_Surrender_To_The_Surrendered_SB-02_07_43-45_Mumbai_-_09-02-97_IDesireTree.mp3")</f>
        <v>1997-034_Surrender_To_The_Surrendered_SB-02_07_43-45_Mumbai_-_09-02-97_IDesireTree.mp3</v>
      </c>
      <c r="D1217" s="11"/>
      <c r="E1217" s="11"/>
    </row>
    <row r="1218" spans="1:5">
      <c r="A1218" s="12" t="s">
        <v>12462</v>
      </c>
      <c r="B1218" s="12" t="s">
        <v>14165</v>
      </c>
      <c r="C1218" s="13" t="str">
        <f>HYPERLINK("https://audio.iskcondesiretree.com/02_-_ISKCON_Swamis/ISKCON_Swamis_-_R_to_Y/His_Holiness_Radhanath_Swami/Lectures/00_-_Year_wise/Devotional_Nectar_-_1997/1997-035_Preach_With_Compassion_Lecture_Mumbai_-_Radhanath_Swami_1997-02-09_IDesireTree.mp3", "1997-035_Preach_With_Compassion_Lecture_Mumbai_-_Radhanath_Swami_1997-02-09_IDesireTree.mp3")</f>
        <v>1997-035_Preach_With_Compassion_Lecture_Mumbai_-_Radhanath_Swami_1997-02-09_IDesireTree.mp3</v>
      </c>
      <c r="D1218" s="11"/>
      <c r="E1218" s="11"/>
    </row>
    <row r="1219" spans="1:5">
      <c r="A1219" s="12" t="s">
        <v>12462</v>
      </c>
      <c r="B1219" s="12" t="s">
        <v>14166</v>
      </c>
      <c r="C1219" s="13" t="str">
        <f>HYPERLINK("https://audio.iskcondesiretree.com/02_-_ISKCON_Swamis/ISKCON_Swamis_-_R_to_Y/His_Holiness_Radhanath_Swami/Lectures/00_-_Year_wise/Devotional_Nectar_-_1997/1997-036_Viswanatha_Chakravarty_Thakur_SB-02_07_47_Mumbai_-_11-02-97_IDesireTree.mp3", "1997-036_Viswanatha_Chakravarty_Thakur_SB-02_07_47_Mumbai_-_11-02-97_IDesireTree.mp3")</f>
        <v>1997-036_Viswanatha_Chakravarty_Thakur_SB-02_07_47_Mumbai_-_11-02-97_IDesireTree.mp3</v>
      </c>
      <c r="D1219" s="11"/>
      <c r="E1219" s="11"/>
    </row>
    <row r="1220" spans="1:5">
      <c r="A1220" s="12" t="s">
        <v>12462</v>
      </c>
      <c r="B1220" s="12" t="s">
        <v>14167</v>
      </c>
      <c r="C1220" s="13" t="str">
        <f>HYPERLINK("https://audio.iskcondesiretree.com/02_-_ISKCON_Swamis/ISKCON_Swamis_-_R_to_Y/His_Holiness_Radhanath_Swami/Lectures/00_-_Year_wise/Devotional_Nectar_-_1997/1997-037_Vasant_Panchmi_Festival_Lecture_Mumbai_-_Radhanath_Swami_1997-02-11_IDesireTree.mp3", "1997-037_Vasant_Panchmi_Festival_Lecture_Mumbai_-_Radhanath_Swami_1997-02-11_IDesireTree.mp3")</f>
        <v>1997-037_Vasant_Panchmi_Festival_Lecture_Mumbai_-_Radhanath_Swami_1997-02-11_IDesireTree.mp3</v>
      </c>
      <c r="D1220" s="11"/>
      <c r="E1220" s="11"/>
    </row>
    <row r="1221" spans="1:5">
      <c r="A1221" s="12" t="s">
        <v>12462</v>
      </c>
      <c r="B1221" s="12" t="s">
        <v>14168</v>
      </c>
      <c r="C1221" s="13" t="str">
        <f>HYPERLINK("https://audio.iskcondesiretree.com/02_-_ISKCON_Swamis/ISKCON_Swamis_-_R_to_Y/His_Holiness_Radhanath_Swami/Lectures/00_-_Year_wise/Devotional_Nectar_-_1997/1997-038_Real_Happiness_BG-06_28_Mumbai_-_Radhanath_Swami_1997-02-11_IDesireTree.mp3", "1997-038_Real_Happiness_BG-06_28_Mumbai_-_Radhanath_Swami_1997-02-11_IDesireTree.mp3")</f>
        <v>1997-038_Real_Happiness_BG-06_28_Mumbai_-_Radhanath_Swami_1997-02-11_IDesireTree.mp3</v>
      </c>
      <c r="D1221" s="11"/>
      <c r="E1221" s="11"/>
    </row>
    <row r="1222" spans="1:5">
      <c r="A1222" s="12" t="s">
        <v>12462</v>
      </c>
      <c r="B1222" s="12" t="s">
        <v>14169</v>
      </c>
      <c r="C1222" s="13" t="str">
        <f>HYPERLINK("https://audio.iskcondesiretree.com/02_-_ISKCON_Swamis/ISKCON_Swamis_-_R_to_Y/His_Holiness_Radhanath_Swami/Lectures/00_-_Year_wise/Devotional_Nectar_-_1997/1997-039_Srila_Advaita_Acharya_Lecture_Mumbai_-_Radhanath_Swami_1997-02-13_IDesireTree.mp3", "1997-039_Srila_Advaita_Acharya_Lecture_Mumbai_-_Radhanath_Swami_1997-02-13_IDesireTree.mp3")</f>
        <v>1997-039_Srila_Advaita_Acharya_Lecture_Mumbai_-_Radhanath_Swami_1997-02-13_IDesireTree.mp3</v>
      </c>
      <c r="D1222" s="11"/>
      <c r="E1222" s="11"/>
    </row>
    <row r="1223" spans="1:5">
      <c r="A1223" s="12" t="s">
        <v>12462</v>
      </c>
      <c r="B1223" s="12" t="s">
        <v>14170</v>
      </c>
      <c r="C1223" s="13" t="str">
        <f>HYPERLINK("https://audio.iskcondesiretree.com/02_-_ISKCON_Swamis/ISKCON_Swamis_-_R_to_Y/His_Holiness_Radhanath_Swami/Lectures/00_-_Year_wise/Devotional_Nectar_-_1997/1997-040_Perform_Your_Duty_BG-03_08_Mumbai_-_Radhanath_Swami_1997-02-13_IDesireTree.mp3", "1997-040_Perform_Your_Duty_BG-03_08_Mumbai_-_Radhanath_Swami_1997-02-13_IDesireTree.mp3")</f>
        <v>1997-040_Perform_Your_Duty_BG-03_08_Mumbai_-_Radhanath_Swami_1997-02-13_IDesireTree.mp3</v>
      </c>
      <c r="D1223" s="11"/>
      <c r="E1223" s="11"/>
    </row>
    <row r="1224" spans="1:5">
      <c r="A1224" s="12" t="s">
        <v>12462</v>
      </c>
      <c r="B1224" s="12" t="s">
        <v>14171</v>
      </c>
      <c r="C1224" s="13" t="str">
        <f>HYPERLINK("https://audio.iskcondesiretree.com/02_-_ISKCON_Swamis/ISKCON_Swamis_-_R_to_Y/His_Holiness_Radhanath_Swami/Lectures/00_-_Year_wise/Devotional_Nectar_-_1997/1997-041_Sripad_Madhavacharya_CC_ML-09_245_Mumbai_-_Radhanath_Swami_1997-02-15_IDesireTree.mp3", "1997-041_Sripad_Madhavacharya_CC_ML-09_245_Mumbai_-_Radhanath_Swami_1997-02-15_IDesireTree.mp3")</f>
        <v>1997-041_Sripad_Madhavacharya_CC_ML-09_245_Mumbai_-_Radhanath_Swami_1997-02-15_IDesireTree.mp3</v>
      </c>
      <c r="D1224" s="11"/>
      <c r="E1224" s="11"/>
    </row>
    <row r="1225" spans="1:5">
      <c r="A1225" s="12" t="s">
        <v>12462</v>
      </c>
      <c r="B1225" s="12" t="s">
        <v>14172</v>
      </c>
      <c r="C1225" s="13" t="str">
        <f>HYPERLINK("https://audio.iskcondesiretree.com/02_-_ISKCON_Swamis/ISKCON_Swamis_-_R_to_Y/His_Holiness_Radhanath_Swami/Lectures/00_-_Year_wise/Devotional_Nectar_-_1997/1997-042_Realise_Your_Identity_Ht_-_BG-05_12_Mumbai_-_Radhanath_Swami_1997-02-15_IDesireTree.mp3", "1997-042_Realise_Your_Identity_Ht_-_BG-05_12_Mumbai_-_Radhanath_Swami_1997-02-15_IDesireTree.mp3")</f>
        <v>1997-042_Realise_Your_Identity_Ht_-_BG-05_12_Mumbai_-_Radhanath_Swami_1997-02-15_IDesireTree.mp3</v>
      </c>
      <c r="D1225" s="11"/>
      <c r="E1225" s="11"/>
    </row>
    <row r="1226" spans="1:5">
      <c r="A1226" s="12" t="s">
        <v>12462</v>
      </c>
      <c r="B1226" s="12" t="s">
        <v>14173</v>
      </c>
      <c r="C1226" s="13" t="str">
        <f>HYPERLINK("https://audio.iskcondesiretree.com/02_-_ISKCON_Swamis/ISKCON_Swamis_-_R_to_Y/His_Holiness_Radhanath_Swami/Lectures/00_-_Year_wise/Devotional_Nectar_-_1997/1997-043_Acharyas_Emphasise_Service_SB-02_07_50_Mumbai_-_Radhanath_Swami_1997-02-16_IDesireTree.mp3", "1997-043_Acharyas_Emphasise_Service_SB-02_07_50_Mumbai_-_Radhanath_Swami_1997-02-16_IDesireTree.mp3")</f>
        <v>1997-043_Acharyas_Emphasise_Service_SB-02_07_50_Mumbai_-_Radhanath_Swami_1997-02-16_IDesireTree.mp3</v>
      </c>
      <c r="D1226" s="11"/>
      <c r="E1226" s="11"/>
    </row>
    <row r="1227" spans="1:5">
      <c r="A1227" s="12" t="s">
        <v>12462</v>
      </c>
      <c r="B1227" s="12" t="s">
        <v>14174</v>
      </c>
      <c r="C1227" s="13" t="str">
        <f>HYPERLINK("https://audio.iskcondesiretree.com/02_-_ISKCON_Swamis/ISKCON_Swamis_-_R_to_Y/His_Holiness_Radhanath_Swami/Lectures/00_-_Year_wise/Devotional_Nectar_-_1997/1997-044_Varahadev_Protects_Mother_Earth_SB_Mumbai_-_Radhanath_Swami_1997-02-19_IDesireTree.mp3", "1997-044_Varahadev_Protects_Mother_Earth_SB_Mumbai_-_Radhanath_Swami_1997-02-19_IDesireTree.mp3")</f>
        <v>1997-044_Varahadev_Protects_Mother_Earth_SB_Mumbai_-_Radhanath_Swami_1997-02-19_IDesireTree.mp3</v>
      </c>
      <c r="D1227" s="11"/>
      <c r="E1227" s="11"/>
    </row>
    <row r="1228" spans="1:5">
      <c r="A1228" s="12" t="s">
        <v>12462</v>
      </c>
      <c r="B1228" s="12" t="s">
        <v>14175</v>
      </c>
      <c r="C1228" s="13" t="str">
        <f>HYPERLINK("https://audio.iskcondesiretree.com/02_-_ISKCON_Swamis/ISKCON_Swamis_-_R_to_Y/His_Holiness_Radhanath_Swami/Lectures/00_-_Year_wise/Devotional_Nectar_-_1997/1997-045_Lord_Nityananda_Lecture_Mumbai_-_Radhanath_Swami_1997-02-20_IDesireTree.mp3", "1997-045_Lord_Nityananda_Lecture_Mumbai_-_Radhanath_Swami_1997-02-20_IDesireTree.mp3")</f>
        <v>1997-045_Lord_Nityananda_Lecture_Mumbai_-_Radhanath_Swami_1997-02-20_IDesireTree.mp3</v>
      </c>
      <c r="D1228" s="11"/>
      <c r="E1228" s="11"/>
    </row>
    <row r="1229" spans="1:5">
      <c r="A1229" s="12" t="s">
        <v>12462</v>
      </c>
      <c r="B1229" s="12" t="s">
        <v>14176</v>
      </c>
      <c r="C1229" s="13" t="str">
        <f>HYPERLINK("https://audio.iskcondesiretree.com/02_-_ISKCON_Swamis/ISKCON_Swamis_-_R_to_Y/His_Holiness_Radhanath_Swami/Lectures/00_-_Year_wise/Devotional_Nectar_-_1997/1997-046_Nitai_Delivers_Jagai_and_Madhai_Lecture_Mumbai_-_Radhanath_Swami_1997-02-20_IDesireTree.mp3", "1997-046_Nitai_Delivers_Jagai_and_Madhai_Lecture_Mumbai_-_Radhanath_Swami_1997-02-20_IDesireTree.mp3")</f>
        <v>1997-046_Nitai_Delivers_Jagai_and_Madhai_Lecture_Mumbai_-_Radhanath_Swami_1997-02-20_IDesireTree.mp3</v>
      </c>
      <c r="D1229" s="11"/>
      <c r="E1229" s="11"/>
    </row>
    <row r="1230" spans="1:5">
      <c r="A1230" s="12" t="s">
        <v>12462</v>
      </c>
      <c r="B1230" s="12" t="s">
        <v>14177</v>
      </c>
      <c r="C1230" s="13" t="str">
        <f>HYPERLINK("https://audio.iskcondesiretree.com/02_-_ISKCON_Swamis/ISKCON_Swamis_-_R_to_Y/His_Holiness_Radhanath_Swami/Lectures/00_-_Year_wise/Devotional_Nectar_-_1997/1997-047_Become_Submissive_SB-02_08_01_Mumbai_-_Radhanath_Swami_1997-02-22_IDesireTree.mp3", "1997-047_Become_Submissive_SB-02_08_01_Mumbai_-_Radhanath_Swami_1997-02-22_IDesireTree.mp3")</f>
        <v>1997-047_Become_Submissive_SB-02_08_01_Mumbai_-_Radhanath_Swami_1997-02-22_IDesireTree.mp3</v>
      </c>
      <c r="D1230" s="11"/>
      <c r="E1230" s="11"/>
    </row>
    <row r="1231" spans="1:5">
      <c r="A1231" s="12" t="s">
        <v>12462</v>
      </c>
      <c r="B1231" s="12" t="s">
        <v>14178</v>
      </c>
      <c r="C1231" s="13" t="str">
        <f>HYPERLINK("https://audio.iskcondesiretree.com/02_-_ISKCON_Swamis/ISKCON_Swamis_-_R_to_Y/His_Holiness_Radhanath_Swami/Lectures/00_-_Year_wise/Devotional_Nectar_-_1997/1997-048_Real_Intelligence_Lecture_Mumbai_-_Radhanath_Swami_1997-02-22_IDesireTree.mp3", "1997-048_Real_Intelligence_Lecture_Mumbai_-_Radhanath_Swami_1997-02-22_IDesireTree.mp3")</f>
        <v>1997-048_Real_Intelligence_Lecture_Mumbai_-_Radhanath_Swami_1997-02-22_IDesireTree.mp3</v>
      </c>
      <c r="D1231" s="11"/>
      <c r="E1231" s="11"/>
    </row>
    <row r="1232" spans="1:5">
      <c r="A1232" s="12" t="s">
        <v>12462</v>
      </c>
      <c r="B1232" s="12" t="s">
        <v>14179</v>
      </c>
      <c r="C1232" s="13" t="str">
        <f>HYPERLINK("https://audio.iskcondesiretree.com/02_-_ISKCON_Swamis/ISKCON_Swamis_-_R_to_Y/His_Holiness_Radhanath_Swami/Lectures/00_-_Year_wise/Devotional_Nectar_-_1997/1997-049_Glories_of_Srimad_Bhagavatam_SB-02_08_02_Mumbai_-_23-02-97_IDesireTree.mp3", "1997-049_Glories_of_Srimad_Bhagavatam_SB-02_08_02_Mumbai_-_23-02-97_IDesireTree.mp3")</f>
        <v>1997-049_Glories_of_Srimad_Bhagavatam_SB-02_08_02_Mumbai_-_23-02-97_IDesireTree.mp3</v>
      </c>
      <c r="D1232" s="11"/>
      <c r="E1232" s="11"/>
    </row>
    <row r="1233" spans="1:5">
      <c r="A1233" s="12" t="s">
        <v>12462</v>
      </c>
      <c r="B1233" s="12" t="s">
        <v>14180</v>
      </c>
      <c r="C1233" s="13" t="str">
        <f>HYPERLINK("https://audio.iskcondesiretree.com/02_-_ISKCON_Swamis/ISKCON_Swamis_-_R_to_Y/His_Holiness_Radhanath_Swami/Lectures/00_-_Year_wise/Devotional_Nectar_-_1997/1997-050_Srila_Prabhupada_Lecture_Mumbai_-_Radhanath_Swami_1997-02-23_IDesireTree.mp3", "1997-050_Srila_Prabhupada_Lecture_Mumbai_-_Radhanath_Swami_1997-02-23_IDesireTree.mp3")</f>
        <v>1997-050_Srila_Prabhupada_Lecture_Mumbai_-_Radhanath_Swami_1997-02-23_IDesireTree.mp3</v>
      </c>
      <c r="D1233" s="11"/>
      <c r="E1233" s="11"/>
    </row>
    <row r="1234" spans="1:5">
      <c r="A1234" s="12" t="s">
        <v>12462</v>
      </c>
      <c r="B1234" s="12" t="s">
        <v>14181</v>
      </c>
      <c r="C1234" s="13" t="str">
        <f>HYPERLINK("https://audio.iskcondesiretree.com/02_-_ISKCON_Swamis/ISKCON_Swamis_-_R_to_Y/His_Holiness_Radhanath_Swami/Lectures/00_-_Year_wise/Devotional_Nectar_-_1997/1997-051_Srila_Ishwara_Puri_SB-02_08_02_Mumbai_-_Radhanath_Swami_1997-03-06_IDesireTree.mp3", "1997-051_Srila_Ishwara_Puri_SB-02_08_02_Mumbai_-_Radhanath_Swami_1997-03-06_IDesireTree.mp3")</f>
        <v>1997-051_Srila_Ishwara_Puri_SB-02_08_02_Mumbai_-_Radhanath_Swami_1997-03-06_IDesireTree.mp3</v>
      </c>
      <c r="D1234" s="11"/>
      <c r="E1234" s="11"/>
    </row>
    <row r="1235" spans="1:5">
      <c r="A1235" s="12" t="s">
        <v>12462</v>
      </c>
      <c r="B1235" s="12" t="s">
        <v>14182</v>
      </c>
      <c r="C1235" s="13" t="str">
        <f>HYPERLINK("https://audio.iskcondesiretree.com/02_-_ISKCON_Swamis/ISKCON_Swamis_-_R_to_Y/His_Holiness_Radhanath_Swami/Lectures/00_-_Year_wise/Devotional_Nectar_-_1997/1997-052_What_Is_Responsibility_SB-02_08_21_Mumbai_-_Radhanath_Swami_1997-03-13_IDesireTree.mp3", "1997-052_What_Is_Responsibility_SB-02_08_21_Mumbai_-_Radhanath_Swami_1997-03-13_IDesireTree.mp3")</f>
        <v>1997-052_What_Is_Responsibility_SB-02_08_21_Mumbai_-_Radhanath_Swami_1997-03-13_IDesireTree.mp3</v>
      </c>
      <c r="D1235" s="11"/>
      <c r="E1235" s="11"/>
    </row>
    <row r="1236" spans="1:5">
      <c r="A1236" s="12" t="s">
        <v>12462</v>
      </c>
      <c r="B1236" s="12" t="s">
        <v>14183</v>
      </c>
      <c r="C1236" s="13" t="str">
        <f>HYPERLINK("https://audio.iskcondesiretree.com/02_-_ISKCON_Swamis/ISKCON_Swamis_-_R_to_Y/His_Holiness_Radhanath_Swami/Lectures/00_-_Year_wise/Devotional_Nectar_-_1997/1997-053_Understanding_The_Pastimes_Of_Krishna_SB-02_08_23_Mumbai_-_15-03-97_IDesireTree.mp3", "1997-053_Understanding_The_Pastimes_Of_Krishna_SB-02_08_23_Mumbai_-_15-03-97_IDesireTree.mp3")</f>
        <v>1997-053_Understanding_The_Pastimes_Of_Krishna_SB-02_08_23_Mumbai_-_15-03-97_IDesireTree.mp3</v>
      </c>
      <c r="D1236" s="11"/>
      <c r="E1236" s="11"/>
    </row>
    <row r="1237" spans="1:5">
      <c r="A1237" s="12" t="s">
        <v>12462</v>
      </c>
      <c r="B1237" s="12" t="s">
        <v>14184</v>
      </c>
      <c r="C1237" s="13" t="str">
        <f>HYPERLINK("https://audio.iskcondesiretree.com/02_-_ISKCON_Swamis/ISKCON_Swamis_-_R_to_Y/His_Holiness_Radhanath_Swami/Lectures/00_-_Year_wise/Devotional_Nectar_-_1997/1997-054_How_To_Please_Krishna_Lecture_Mumbai_-_Radhanath_Swami_1997-03-16_IDesireTree.mp3", "1997-054_How_To_Please_Krishna_Lecture_Mumbai_-_Radhanath_Swami_1997-03-16_IDesireTree.mp3")</f>
        <v>1997-054_How_To_Please_Krishna_Lecture_Mumbai_-_Radhanath_Swami_1997-03-16_IDesireTree.mp3</v>
      </c>
      <c r="D1237" s="11"/>
      <c r="E1237" s="11"/>
    </row>
    <row r="1238" spans="1:5">
      <c r="A1238" s="12" t="s">
        <v>12462</v>
      </c>
      <c r="B1238" s="12" t="s">
        <v>14185</v>
      </c>
      <c r="C1238" s="13" t="str">
        <f>HYPERLINK("https://audio.iskcondesiretree.com/02_-_ISKCON_Swamis/ISKCON_Swamis_-_R_to_Y/His_Holiness_Radhanath_Swami/Lectures/00_-_Year_wise/Devotional_Nectar_-_1997/1997-055_Initiation_Lecture_Lecture_Mumbai_-_Radhanath_Swami_1997-03-24_IDesireTree.mp3", "1997-055_Initiation_Lecture_Lecture_Mumbai_-_Radhanath_Swami_1997-03-24_IDesireTree.mp3")</f>
        <v>1997-055_Initiation_Lecture_Lecture_Mumbai_-_Radhanath_Swami_1997-03-24_IDesireTree.mp3</v>
      </c>
      <c r="D1238" s="11"/>
      <c r="E1238" s="11"/>
    </row>
    <row r="1239" spans="1:5">
      <c r="A1239" s="12" t="s">
        <v>12462</v>
      </c>
      <c r="B1239" s="12" t="s">
        <v>14186</v>
      </c>
      <c r="C1239" s="13" t="str">
        <f>HYPERLINK("https://audio.iskcondesiretree.com/02_-_ISKCON_Swamis/ISKCON_Swamis_-_R_to_Y/His_Holiness_Radhanath_Swami/Lectures/00_-_Year_wise/Devotional_Nectar_-_1997/1997-056_Real_Success_Of_Life_BG-04_31_Mumbai_-_Radhanath_Swami_1997-03-29_IDesireTree.mp3", "1997-056_Real_Success_Of_Life_BG-04_31_Mumbai_-_Radhanath_Swami_1997-03-29_IDesireTree.mp3")</f>
        <v>1997-056_Real_Success_Of_Life_BG-04_31_Mumbai_-_Radhanath_Swami_1997-03-29_IDesireTree.mp3</v>
      </c>
      <c r="D1239" s="11"/>
      <c r="E1239" s="11"/>
    </row>
    <row r="1240" spans="1:5">
      <c r="A1240" s="12" t="s">
        <v>12462</v>
      </c>
      <c r="B1240" s="12" t="s">
        <v>14187</v>
      </c>
      <c r="C1240" s="13" t="str">
        <f>HYPERLINK("https://audio.iskcondesiretree.com/02_-_ISKCON_Swamis/ISKCON_Swamis_-_R_to_Y/His_Holiness_Radhanath_Swami/Lectures/00_-_Year_wise/Devotional_Nectar_-_1997/1997-057_Path_Of_Perfection_BG-07_30_Mumbai_-_Radhanath_Swami_1997-04-01_IDesireTree.mp3", "1997-057_Path_Of_Perfection_BG-07_30_Mumbai_-_Radhanath_Swami_1997-04-01_IDesireTree.mp3")</f>
        <v>1997-057_Path_Of_Perfection_BG-07_30_Mumbai_-_Radhanath_Swami_1997-04-01_IDesireTree.mp3</v>
      </c>
      <c r="D1240" s="11"/>
      <c r="E1240" s="11"/>
    </row>
    <row r="1241" spans="1:5">
      <c r="A1241" s="12" t="s">
        <v>12462</v>
      </c>
      <c r="B1241" s="12" t="s">
        <v>14188</v>
      </c>
      <c r="C1241" s="13" t="str">
        <f>HYPERLINK("https://audio.iskcondesiretree.com/02_-_ISKCON_Swamis/ISKCON_Swamis_-_R_to_Y/His_Holiness_Radhanath_Swami/Lectures/00_-_Year_wise/Devotional_Nectar_-_1997/1997-058_Marriage_Ceremony_Address_Lecture_Mumbai_-_Radhanath_Swami_1997-04-08_IDesireTree.mp3", "1997-058_Marriage_Ceremony_Address_Lecture_Mumbai_-_Radhanath_Swami_1997-04-08_IDesireTree.mp3")</f>
        <v>1997-058_Marriage_Ceremony_Address_Lecture_Mumbai_-_Radhanath_Swami_1997-04-08_IDesireTree.mp3</v>
      </c>
      <c r="D1241" s="11"/>
      <c r="E1241" s="11"/>
    </row>
    <row r="1242" spans="1:5">
      <c r="A1242" s="12" t="s">
        <v>12462</v>
      </c>
      <c r="B1242" s="12" t="s">
        <v>14189</v>
      </c>
      <c r="C1242" s="13" t="str">
        <f>HYPERLINK("https://audio.iskcondesiretree.com/02_-_ISKCON_Swamis/ISKCON_Swamis_-_R_to_Y/His_Holiness_Radhanath_Swami/Lectures/00_-_Year_wise/Devotional_Nectar_-_1997/1997-059_Trancendence_of_Vaikuntha_SB-02_09_10_Mumbai_-_Radhanath_Swami_1997-04-12_IDesireTree.mp3", "1997-059_Trancendence_of_Vaikuntha_SB-02_09_10_Mumbai_-_Radhanath_Swami_1997-04-12_IDesireTree.mp3")</f>
        <v>1997-059_Trancendence_of_Vaikuntha_SB-02_09_10_Mumbai_-_Radhanath_Swami_1997-04-12_IDesireTree.mp3</v>
      </c>
      <c r="D1242" s="11"/>
      <c r="E1242" s="11"/>
    </row>
    <row r="1243" spans="1:5">
      <c r="A1243" s="12" t="s">
        <v>12462</v>
      </c>
      <c r="B1243" s="12" t="s">
        <v>14190</v>
      </c>
      <c r="C1243" s="13" t="str">
        <f>HYPERLINK("https://audio.iskcondesiretree.com/02_-_ISKCON_Swamis/ISKCON_Swamis_-_R_to_Y/His_Holiness_Radhanath_Swami/Lectures/00_-_Year_wise/Devotional_Nectar_-_1997/1997-060_The_Art_of_Working_Ht_-_BG-02_48-50_Mumbai_-_Radhanath_Swami_1997-04-12_IDesireTree.mp3", "1997-060_The_Art_of_Working_Ht_-_BG-02_48-50_Mumbai_-_Radhanath_Swami_1997-04-12_IDesireTree.mp3")</f>
        <v>1997-060_The_Art_of_Working_Ht_-_BG-02_48-50_Mumbai_-_Radhanath_Swami_1997-04-12_IDesireTree.mp3</v>
      </c>
      <c r="D1243" s="11"/>
      <c r="E1243" s="11"/>
    </row>
    <row r="1244" spans="1:5">
      <c r="A1244" s="12" t="s">
        <v>12462</v>
      </c>
      <c r="B1244" s="12" t="s">
        <v>14191</v>
      </c>
      <c r="C1244" s="13" t="str">
        <f>HYPERLINK("https://audio.iskcondesiretree.com/02_-_ISKCON_Swamis/ISKCON_Swamis_-_R_to_Y/His_Holiness_Radhanath_Swami/Lectures/00_-_Year_wise/Devotional_Nectar_-_1997/1997-061_Opulence_Of_The_Denizens_Of_Vaikuntha_SB-02_09_11_Mumbai_-_13-04-97_IDesireTree.mp3", "1997-061_Opulence_Of_The_Denizens_Of_Vaikuntha_SB-02_09_11_Mumbai_-_13-04-97_IDesireTree.mp3")</f>
        <v>1997-061_Opulence_Of_The_Denizens_Of_Vaikuntha_SB-02_09_11_Mumbai_-_13-04-97_IDesireTree.mp3</v>
      </c>
      <c r="D1244" s="11"/>
      <c r="E1244" s="11"/>
    </row>
    <row r="1245" spans="1:5">
      <c r="A1245" s="12" t="s">
        <v>12462</v>
      </c>
      <c r="B1245" s="12" t="s">
        <v>14192</v>
      </c>
      <c r="C1245" s="13" t="str">
        <f>HYPERLINK("https://audio.iskcondesiretree.com/02_-_ISKCON_Swamis/ISKCON_Swamis_-_R_to_Y/His_Holiness_Radhanath_Swami/Lectures/00_-_Year_wise/Devotional_Nectar_-_1997/1997-062_Ocean_of_Mercy_Lecture_Mumbai_-_Radhanath_Swami_1997-04-14_IDesireTree.mp3", "1997-062_Ocean_of_Mercy_Lecture_Mumbai_-_Radhanath_Swami_1997-04-14_IDesireTree.mp3")</f>
        <v>1997-062_Ocean_of_Mercy_Lecture_Mumbai_-_Radhanath_Swami_1997-04-14_IDesireTree.mp3</v>
      </c>
      <c r="D1245" s="11"/>
      <c r="E1245" s="11"/>
    </row>
    <row r="1246" spans="1:5">
      <c r="A1246" s="12" t="s">
        <v>12462</v>
      </c>
      <c r="B1246" s="12" t="s">
        <v>14193</v>
      </c>
      <c r="C1246" s="13" t="str">
        <f>HYPERLINK("https://audio.iskcondesiretree.com/02_-_ISKCON_Swamis/ISKCON_Swamis_-_R_to_Y/His_Holiness_Radhanath_Swami/Lectures/00_-_Year_wise/Devotional_Nectar_-_1997/1997-063_Material_Distress_BG-04_38_Mumbai_-_Radhanath_Swami_1997-04-19_IDesireTree.mp3", "1997-063_Material_Distress_BG-04_38_Mumbai_-_Radhanath_Swami_1997-04-19_IDesireTree.mp3")</f>
        <v>1997-063_Material_Distress_BG-04_38_Mumbai_-_Radhanath_Swami_1997-04-19_IDesireTree.mp3</v>
      </c>
      <c r="D1246" s="11"/>
      <c r="E1246" s="11"/>
    </row>
    <row r="1247" spans="1:5">
      <c r="A1247" s="12" t="s">
        <v>12462</v>
      </c>
      <c r="B1247" s="12" t="s">
        <v>14194</v>
      </c>
      <c r="C1247" s="13" t="str">
        <f>HYPERLINK("https://audio.iskcondesiretree.com/02_-_ISKCON_Swamis/ISKCON_Swamis_-_R_to_Y/His_Holiness_Radhanath_Swami/Lectures/00_-_Year_wise/Devotional_Nectar_-_1997/1997-064_Association_of_Devotees_Lecture_Udipi_-_Radhanath_Swami_1997-04-21_IDesireTree.mp3", "1997-064_Association_of_Devotees_Lecture_Udipi_-_Radhanath_Swami_1997-04-21_IDesireTree.mp3")</f>
        <v>1997-064_Association_of_Devotees_Lecture_Udipi_-_Radhanath_Swami_1997-04-21_IDesireTree.mp3</v>
      </c>
      <c r="D1247" s="11"/>
      <c r="E1247" s="11"/>
    </row>
    <row r="1248" spans="1:5">
      <c r="A1248" s="12" t="s">
        <v>12462</v>
      </c>
      <c r="B1248" s="12" t="s">
        <v>14195</v>
      </c>
      <c r="C1248" s="13" t="str">
        <f>HYPERLINK("https://audio.iskcondesiretree.com/02_-_ISKCON_Swamis/ISKCON_Swamis_-_R_to_Y/His_Holiness_Radhanath_Swami/Lectures/00_-_Year_wise/Devotional_Nectar_-_1997/1997-065_Udipi_Yatra_Lecture_Udipi_-_Radhanath_Swami_1997-04-22_IDesireTree.mp3", "1997-065_Udipi_Yatra_Lecture_Udipi_-_Radhanath_Swami_1997-04-22_IDesireTree.mp3")</f>
        <v>1997-065_Udipi_Yatra_Lecture_Udipi_-_Radhanath_Swami_1997-04-22_IDesireTree.mp3</v>
      </c>
      <c r="D1248" s="11"/>
      <c r="E1248" s="11"/>
    </row>
    <row r="1249" spans="1:5">
      <c r="A1249" s="12" t="s">
        <v>12462</v>
      </c>
      <c r="B1249" s="12" t="s">
        <v>14196</v>
      </c>
      <c r="C1249" s="13" t="str">
        <f>HYPERLINK("https://audio.iskcondesiretree.com/02_-_ISKCON_Swamis/ISKCON_Swamis_-_R_to_Y/His_Holiness_Radhanath_Swami/Lectures/00_-_Year_wise/Devotional_Nectar_-_1997/1997-066_The_Sublime_Process_Lecture_Mumbai_-_Radhanath_Swami_1997-04-23_IDesireTree.mp3", "1997-066_The_Sublime_Process_Lecture_Mumbai_-_Radhanath_Swami_1997-04-23_IDesireTree.mp3")</f>
        <v>1997-066_The_Sublime_Process_Lecture_Mumbai_-_Radhanath_Swami_1997-04-23_IDesireTree.mp3</v>
      </c>
      <c r="D1249" s="11"/>
      <c r="E1249" s="11"/>
    </row>
    <row r="1250" spans="1:5">
      <c r="A1250" s="12" t="s">
        <v>12462</v>
      </c>
      <c r="B1250" s="12" t="s">
        <v>14197</v>
      </c>
      <c r="C1250" s="13" t="str">
        <f>HYPERLINK("https://audio.iskcondesiretree.com/02_-_ISKCON_Swamis/ISKCON_Swamis_-_R_to_Y/His_Holiness_Radhanath_Swami/Lectures/00_-_Year_wise/Devotional_Nectar_-_1997/1997-067_Perverted_Reflection_SB-02_09_17_Mumbai_-_Radhanath_Swami_1997-04-24_IDesireTree.mp3", "1997-067_Perverted_Reflection_SB-02_09_17_Mumbai_-_Radhanath_Swami_1997-04-24_IDesireTree.mp3")</f>
        <v>1997-067_Perverted_Reflection_SB-02_09_17_Mumbai_-_Radhanath_Swami_1997-04-24_IDesireTree.mp3</v>
      </c>
      <c r="D1250" s="11"/>
      <c r="E1250" s="11"/>
    </row>
    <row r="1251" spans="1:5">
      <c r="A1251" s="12" t="s">
        <v>12462</v>
      </c>
      <c r="B1251" s="12" t="s">
        <v>14198</v>
      </c>
      <c r="C1251" s="13" t="str">
        <f>HYPERLINK("https://audio.iskcondesiretree.com/02_-_ISKCON_Swamis/ISKCON_Swamis_-_R_to_Y/His_Holiness_Radhanath_Swami/Lectures/00_-_Year_wise/Devotional_Nectar_-_1997/1997-068_Overcome_Spiritual_Laziness_Lecture_Mumbai_-_Radhanath_Swami_1997-04-27_IDesireTree.mp3", "1997-068_Overcome_Spiritual_Laziness_Lecture_Mumbai_-_Radhanath_Swami_1997-04-27_IDesireTree.mp3")</f>
        <v>1997-068_Overcome_Spiritual_Laziness_Lecture_Mumbai_-_Radhanath_Swami_1997-04-27_IDesireTree.mp3</v>
      </c>
      <c r="D1251" s="11"/>
      <c r="E1251" s="11"/>
    </row>
    <row r="1252" spans="1:5">
      <c r="A1252" s="12" t="s">
        <v>12462</v>
      </c>
      <c r="B1252" s="12" t="s">
        <v>14199</v>
      </c>
      <c r="C1252" s="13" t="str">
        <f>HYPERLINK("https://audio.iskcondesiretree.com/02_-_ISKCON_Swamis/ISKCON_Swamis_-_R_to_Y/His_Holiness_Radhanath_Swami/Lectures/00_-_Year_wise/Devotional_Nectar_-_1997/1997-069_Bangalore_Temple_Opening_Lecture_Bangalore_-_Radhanath_Swami_1997-04-30_IDesireTree.mp3", "1997-069_Bangalore_Temple_Opening_Lecture_Bangalore_-_Radhanath_Swami_1997-04-30_IDesireTree.mp3")</f>
        <v>1997-069_Bangalore_Temple_Opening_Lecture_Bangalore_-_Radhanath_Swami_1997-04-30_IDesireTree.mp3</v>
      </c>
      <c r="D1252" s="11"/>
      <c r="E1252" s="11"/>
    </row>
    <row r="1253" spans="1:5">
      <c r="A1253" s="12" t="s">
        <v>12462</v>
      </c>
      <c r="B1253" s="12" t="s">
        <v>14200</v>
      </c>
      <c r="C1253" s="13" t="str">
        <f>HYPERLINK("https://audio.iskcondesiretree.com/02_-_ISKCON_Swamis/ISKCON_Swamis_-_R_to_Y/His_Holiness_Radhanath_Swami/Lectures/00_-_Year_wise/Devotional_Nectar_-_1997/1997-070_Eagerness_Of_Krishna_BG-06_15_Mumbai_-_Radhanath_Swami_1997-05-03_IDesireTree.mp3", "1997-070_Eagerness_Of_Krishna_BG-06_15_Mumbai_-_Radhanath_Swami_1997-05-03_IDesireTree.mp3")</f>
        <v>1997-070_Eagerness_Of_Krishna_BG-06_15_Mumbai_-_Radhanath_Swami_1997-05-03_IDesireTree.mp3</v>
      </c>
      <c r="D1253" s="11"/>
      <c r="E1253" s="11"/>
    </row>
    <row r="1254" spans="1:5">
      <c r="A1254" s="12" t="s">
        <v>12462</v>
      </c>
      <c r="B1254" s="12" t="s">
        <v>14201</v>
      </c>
      <c r="C1254" s="13" t="str">
        <f>HYPERLINK("https://audio.iskcondesiretree.com/02_-_ISKCON_Swamis/ISKCON_Swamis_-_R_to_Y/His_Holiness_Radhanath_Swami/Lectures/00_-_Year_wise/Devotional_Nectar_-_1997/1997-071_Always_Be_Alert_SB-02_09_28_Mumbai_-_Radhanath_Swami_1997-05-04_IDesireTree.mp3", "1997-071_Always_Be_Alert_SB-02_09_28_Mumbai_-_Radhanath_Swami_1997-05-04_IDesireTree.mp3")</f>
        <v>1997-071_Always_Be_Alert_SB-02_09_28_Mumbai_-_Radhanath_Swami_1997-05-04_IDesireTree.mp3</v>
      </c>
      <c r="D1254" s="11"/>
      <c r="E1254" s="11"/>
    </row>
    <row r="1255" spans="1:5">
      <c r="A1255" s="12" t="s">
        <v>12462</v>
      </c>
      <c r="B1255" s="12" t="s">
        <v>14202</v>
      </c>
      <c r="C1255" s="13" t="str">
        <f>HYPERLINK("https://audio.iskcondesiretree.com/02_-_ISKCON_Swamis/ISKCON_Swamis_-_R_to_Y/His_Holiness_Radhanath_Swami/Lectures/00_-_Year_wise/Devotional_Nectar_-_1997/1997-072_Prabhupada_Nectar_Lecture_Mumbai_-_Radhanath_Swami_1997-05-05_IDesireTree.mp3", "1997-072_Prabhupada_Nectar_Lecture_Mumbai_-_Radhanath_Swami_1997-05-05_IDesireTree.mp3")</f>
        <v>1997-072_Prabhupada_Nectar_Lecture_Mumbai_-_Radhanath_Swami_1997-05-05_IDesireTree.mp3</v>
      </c>
      <c r="D1255" s="11"/>
      <c r="E1255" s="11"/>
    </row>
    <row r="1256" spans="1:5">
      <c r="A1256" s="12" t="s">
        <v>12462</v>
      </c>
      <c r="B1256" s="12" t="s">
        <v>14203</v>
      </c>
      <c r="C1256" s="13" t="str">
        <f>HYPERLINK("https://audio.iskcondesiretree.com/02_-_ISKCON_Swamis/ISKCON_Swamis_-_R_to_Y/His_Holiness_Radhanath_Swami/Lectures/00_-_Year_wise/Devotional_Nectar_-_1997/1997-073_Appearence_Of_Lord_Chaitanya_BG-04_39_Mumbai_-_Radhanath_Swami_1997-05-06_IDesireTree.mp3", "1997-073_Appearence_Of_Lord_Chaitanya_BG-04_39_Mumbai_-_Radhanath_Swami_1997-05-06_IDesireTree.mp3")</f>
        <v>1997-073_Appearence_Of_Lord_Chaitanya_BG-04_39_Mumbai_-_Radhanath_Swami_1997-05-06_IDesireTree.mp3</v>
      </c>
      <c r="D1256" s="11"/>
      <c r="E1256" s="11"/>
    </row>
    <row r="1257" spans="1:5">
      <c r="A1257" s="12" t="s">
        <v>12462</v>
      </c>
      <c r="B1257" s="12" t="s">
        <v>14204</v>
      </c>
      <c r="C1257" s="13" t="str">
        <f>HYPERLINK("https://audio.iskcondesiretree.com/02_-_ISKCON_Swamis/ISKCON_Swamis_-_R_to_Y/His_Holiness_Radhanath_Swami/Lectures/00_-_Year_wise/Devotional_Nectar_-_1997/1997-074_Marraige_Addresses_Lecture_Mumbai_-_Radhanath_Swami_1997-05-09_IDesireTree.mp3", "1997-074_Marraige_Addresses_Lecture_Mumbai_-_Radhanath_Swami_1997-05-09_IDesireTree.mp3")</f>
        <v>1997-074_Marraige_Addresses_Lecture_Mumbai_-_Radhanath_Swami_1997-05-09_IDesireTree.mp3</v>
      </c>
      <c r="D1257" s="11"/>
      <c r="E1257" s="11"/>
    </row>
    <row r="1258" spans="1:5">
      <c r="A1258" s="12" t="s">
        <v>12462</v>
      </c>
      <c r="B1258" s="12" t="s">
        <v>14205</v>
      </c>
      <c r="C1258" s="13" t="str">
        <f>HYPERLINK("https://audio.iskcondesiretree.com/02_-_ISKCON_Swamis/ISKCON_Swamis_-_R_to_Y/His_Holiness_Radhanath_Swami/Lectures/00_-_Year_wise/Devotional_Nectar_-_1997/1997-075_Krishna_And_Jiva_Are_Never_One_SB-02_09_33_Mumbai_-_10-05-97_IDesireTree.mp3", "1997-075_Krishna_And_Jiva_Are_Never_One_SB-02_09_33_Mumbai_-_10-05-97_IDesireTree.mp3")</f>
        <v>1997-075_Krishna_And_Jiva_Are_Never_One_SB-02_09_33_Mumbai_-_10-05-97_IDesireTree.mp3</v>
      </c>
      <c r="D1258" s="11"/>
      <c r="E1258" s="11"/>
    </row>
    <row r="1259" spans="1:5">
      <c r="A1259" s="12" t="s">
        <v>12462</v>
      </c>
      <c r="B1259" s="12" t="s">
        <v>14206</v>
      </c>
      <c r="C1259" s="13" t="str">
        <f>HYPERLINK("https://audio.iskcondesiretree.com/02_-_ISKCON_Swamis/ISKCON_Swamis_-_R_to_Y/His_Holiness_Radhanath_Swami/Lectures/00_-_Year_wise/Devotional_Nectar_-_1997/1997-076_Chatusshloki_Bhagavatam_SB-02_09_35-36_Mumbai_-_Radhanath_Swami_1997-05-14_IDesireTree.mp3", "1997-076_Chatusshloki_Bhagavatam_SB-02_09_35-36_Mumbai_-_Radhanath_Swami_1997-05-14_IDesireTree.mp3")</f>
        <v>1997-076_Chatusshloki_Bhagavatam_SB-02_09_35-36_Mumbai_-_Radhanath_Swami_1997-05-14_IDesireTree.mp3</v>
      </c>
      <c r="D1259" s="11"/>
      <c r="E1259" s="11"/>
    </row>
    <row r="1260" spans="1:5">
      <c r="A1260" s="12" t="s">
        <v>12462</v>
      </c>
      <c r="B1260" s="12" t="s">
        <v>14207</v>
      </c>
      <c r="C1260" s="13" t="str">
        <f>HYPERLINK("https://audio.iskcondesiretree.com/02_-_ISKCON_Swamis/ISKCON_Swamis_-_R_to_Y/His_Holiness_Radhanath_Swami/Lectures/00_-_Year_wise/Devotional_Nectar_-_1997/1997-077_Departure_Address_To_Brahmacari_Lecture_Mumbai_-_Radhanath_Swami_1997-05-14_IDesireTree.mp3", "1997-077_Departure_Address_To_Brahmacari_Lecture_Mumbai_-_Radhanath_Swami_1997-05-14_IDesireTree.mp3")</f>
        <v>1997-077_Departure_Address_To_Brahmacari_Lecture_Mumbai_-_Radhanath_Swami_1997-05-14_IDesireTree.mp3</v>
      </c>
      <c r="D1260" s="11"/>
      <c r="E1260" s="11"/>
    </row>
    <row r="1261" spans="1:5">
      <c r="A1261" s="12" t="s">
        <v>12462</v>
      </c>
      <c r="B1261" s="12" t="s">
        <v>14208</v>
      </c>
      <c r="C1261" s="13" t="str">
        <f>HYPERLINK("https://audio.iskcondesiretree.com/02_-_ISKCON_Swamis/ISKCON_Swamis_-_R_to_Y/His_Holiness_Radhanath_Swami/Lectures/00_-_Year_wise/Devotional_Nectar_-_1997/1997-078_Our_Eagerness_Attracts_Krishna_Lecture_K_ford_London_-_26-05-97_IDesireTree.mp3", "1997-078_Our_Eagerness_Attracts_Krishna_Lecture_K_ford_London_-_26-05-97_IDesireTree.mp3")</f>
        <v>1997-078_Our_Eagerness_Attracts_Krishna_Lecture_K_ford_London_-_26-05-97_IDesireTree.mp3</v>
      </c>
      <c r="D1261" s="11"/>
      <c r="E1261" s="11"/>
    </row>
    <row r="1262" spans="1:5">
      <c r="A1262" s="12" t="s">
        <v>12462</v>
      </c>
      <c r="B1262" s="12" t="s">
        <v>14209</v>
      </c>
      <c r="C1262" s="13" t="str">
        <f>HYPERLINK("https://audio.iskcondesiretree.com/02_-_ISKCON_Swamis/ISKCON_Swamis_-_R_to_Y/His_Holiness_Radhanath_Swami/Lectures/00_-_Year_wise/Devotional_Nectar_-_1997/1997-079_Bhaktivedanta_Manor_SB_03_19_09_London_-_Radhanath_Swami_1997-05-28_IDesireTree.mp3", "1997-079_Bhaktivedanta_Manor_SB_03_19_09_London_-_Radhanath_Swami_1997-05-28_IDesireTree.mp3")</f>
        <v>1997-079_Bhaktivedanta_Manor_SB_03_19_09_London_-_Radhanath_Swami_1997-05-28_IDesireTree.mp3</v>
      </c>
      <c r="D1262" s="11"/>
      <c r="E1262" s="11"/>
    </row>
    <row r="1263" spans="1:5">
      <c r="A1263" s="12" t="s">
        <v>12462</v>
      </c>
      <c r="B1263" s="12" t="s">
        <v>14210</v>
      </c>
      <c r="C1263" s="13" t="str">
        <f>HYPERLINK("https://audio.iskcondesiretree.com/02_-_ISKCON_Swamis/ISKCON_Swamis_-_R_to_Y/His_Holiness_Radhanath_Swami/Lectures/00_-_Year_wise/Devotional_Nectar_-_1997/1997-08-20_SB_03-27-06_-_How_to_Behave_with_Different_Devotees%20-01_-_Radhanath_Swami_Germany.mp3", "1997-08-20_SB_03-27-06_-_How_to_Behave_with_Different_Devotees%20-01_-_Radhanath_Swami_Germany.mp3")</f>
        <v>1997-08-20_SB_03-27-06_-_How_to_Behave_with_Different_Devotees%20-01_-_Radhanath_Swami_Germany.mp3</v>
      </c>
      <c r="D1263" s="11"/>
      <c r="E1263" s="11"/>
    </row>
    <row r="1264" spans="1:5">
      <c r="A1264" s="12" t="s">
        <v>12462</v>
      </c>
      <c r="B1264" s="12" t="s">
        <v>14211</v>
      </c>
      <c r="C1264" s="13" t="str">
        <f>HYPERLINK("https://audio.iskcondesiretree.com/02_-_ISKCON_Swamis/ISKCON_Swamis_-_R_to_Y/His_Holiness_Radhanath_Swami/Lectures/00_-_Year_wise/Devotional_Nectar_-_1997/1997-08-20_SB_03-27-06_-_How_to_Behave_with_Different_Devotees%20-02_-_Radhanath_Swami_Germany.mp3", "1997-08-20_SB_03-27-06_-_How_to_Behave_with_Different_Devotees%20-02_-_Radhanath_Swami_Germany.mp3")</f>
        <v>1997-08-20_SB_03-27-06_-_How_to_Behave_with_Different_Devotees%20-02_-_Radhanath_Swami_Germany.mp3</v>
      </c>
      <c r="D1264" s="11"/>
      <c r="E1264" s="11"/>
    </row>
    <row r="1265" spans="1:5">
      <c r="A1265" s="12" t="s">
        <v>12462</v>
      </c>
      <c r="B1265" s="12" t="s">
        <v>14212</v>
      </c>
      <c r="C1265" s="13" t="str">
        <f>HYPERLINK("https://audio.iskcondesiretree.com/02_-_ISKCON_Swamis/ISKCON_Swamis_-_R_to_Y/His_Holiness_Radhanath_Swami/Lectures/00_-_Year_wise/Devotional_Nectar_-_1997/1997-080_Compassionate_Nature_of_Devotees_Lecture_London_-_Radhanath_Swami_IDesireTree.mp3", "1997-080_Compassionate_Nature_of_Devotees_Lecture_London_-_Radhanath_Swami_IDesireTree.mp3")</f>
        <v>1997-080_Compassionate_Nature_of_Devotees_Lecture_London_-_Radhanath_Swami_IDesireTree.mp3</v>
      </c>
      <c r="D1265" s="11"/>
      <c r="E1265" s="11"/>
    </row>
    <row r="1266" spans="1:5">
      <c r="A1266" s="12" t="s">
        <v>12462</v>
      </c>
      <c r="B1266" s="12" t="s">
        <v>14213</v>
      </c>
      <c r="C1266" s="13" t="str">
        <f>HYPERLINK("https://audio.iskcondesiretree.com/02_-_ISKCON_Swamis/ISKCON_Swamis_-_R_to_Y/His_Holiness_Radhanath_Swami/Lectures/00_-_Year_wise/Devotional_Nectar_-_1997/1997-081_Humility_of_Devotees_Lecture_Bhaktivedanta_Manor_-_31-05-97_IDesireTree.mp3", "1997-081_Humility_of_Devotees_Lecture_Bhaktivedanta_Manor_-_31-05-97_IDesireTree.mp3")</f>
        <v>1997-081_Humility_of_Devotees_Lecture_Bhaktivedanta_Manor_-_31-05-97_IDesireTree.mp3</v>
      </c>
      <c r="D1266" s="11"/>
      <c r="E1266" s="11"/>
    </row>
    <row r="1267" spans="1:5">
      <c r="A1267" s="12" t="s">
        <v>12462</v>
      </c>
      <c r="B1267" s="12" t="e">
        <v>#VALUE!</v>
      </c>
      <c r="C1267" s="13" t="e">
        <f>HYPERLINK("https://audio.iskcondesiretree.com/02_-_ISKCON_Swamis/ISKCON_Swamis_-_R_to_Y/His_Holiness_Radhanath_Swami/Lectures/00_-_Year_wise/Devotional_Nectar_-_1997/1997-082_Sanatan_Dharma_-_The_Eternal_Nature_of_the_Soul_Lecture_Birmingham_Ram_mandir_UK_-_05-97_ID"&amp;"esireTree.mp3", "1997-082_Sanatan_Dharma_-_The_Eternal_Nature_of_the_Soul_Lecture_Birmingham_Ram_mandir_UK_-_05-97_IDesireTree.mp3")</f>
        <v>#VALUE!</v>
      </c>
      <c r="D1267" s="11"/>
      <c r="E1267" s="11"/>
    </row>
    <row r="1268" spans="1:5">
      <c r="A1268" s="12" t="s">
        <v>12462</v>
      </c>
      <c r="B1268" s="12" t="s">
        <v>14214</v>
      </c>
      <c r="C1268" s="13" t="str">
        <f>HYPERLINK("https://audio.iskcondesiretree.com/02_-_ISKCON_Swamis/ISKCON_Swamis_-_R_to_Y/His_Holiness_Radhanath_Swami/Lectures/00_-_Year_wise/Devotional_Nectar_-_1997/1997-083_SB-06_7_13_-_Radhanath_Swami_1997-06-08_IDesireTree.mp3", "1997-083_SB-06_7_13_-_Radhanath_Swami_1997-06-08_IDesireTree.mp3")</f>
        <v>1997-083_SB-06_7_13_-_Radhanath_Swami_1997-06-08_IDesireTree.mp3</v>
      </c>
      <c r="D1268" s="11"/>
      <c r="E1268" s="11"/>
    </row>
    <row r="1269" spans="1:5">
      <c r="A1269" s="12" t="s">
        <v>12462</v>
      </c>
      <c r="B1269" s="12" t="s">
        <v>14215</v>
      </c>
      <c r="C1269" s="13" t="str">
        <f>HYPERLINK("https://audio.iskcondesiretree.com/02_-_ISKCON_Swamis/ISKCON_Swamis_-_R_to_Y/His_Holiness_Radhanath_Swami/Lectures/00_-_Year_wise/Devotional_Nectar_-_1997/1997-084_Unlimited_Dualities_BG-14_20_Chicago_-_Radhanath_Swami_1997-08-05_IDesireTree.mp3", "1997-084_Unlimited_Dualities_BG-14_20_Chicago_-_Radhanath_Swami_1997-08-05_IDesireTree.mp3")</f>
        <v>1997-084_Unlimited_Dualities_BG-14_20_Chicago_-_Radhanath_Swami_1997-08-05_IDesireTree.mp3</v>
      </c>
      <c r="D1269" s="11"/>
      <c r="E1269" s="11"/>
    </row>
    <row r="1270" spans="1:5">
      <c r="A1270" s="12" t="s">
        <v>12462</v>
      </c>
      <c r="B1270" s="12" t="s">
        <v>14216</v>
      </c>
      <c r="C1270" s="13" t="str">
        <f>HYPERLINK("https://audio.iskcondesiretree.com/02_-_ISKCON_Swamis/ISKCON_Swamis_-_R_to_Y/His_Holiness_Radhanath_Swami/Lectures/00_-_Year_wise/Devotional_Nectar_-_1997/1997-085_Pride_Cometh_Before_The_Fall_SB-06_09_50_Chicago_-_08-08-97_IDesireTree.mp3", "1997-085_Pride_Cometh_Before_The_Fall_SB-06_09_50_Chicago_-_08-08-97_IDesireTree.mp3")</f>
        <v>1997-085_Pride_Cometh_Before_The_Fall_SB-06_09_50_Chicago_-_08-08-97_IDesireTree.mp3</v>
      </c>
      <c r="D1270" s="11"/>
      <c r="E1270" s="11"/>
    </row>
    <row r="1271" spans="1:5">
      <c r="A1271" s="12" t="s">
        <v>12462</v>
      </c>
      <c r="B1271" s="12" t="s">
        <v>14217</v>
      </c>
      <c r="C1271" s="13" t="str">
        <f>HYPERLINK("https://audio.iskcondesiretree.com/02_-_ISKCON_Swamis/ISKCON_Swamis_-_R_to_Y/His_Holiness_Radhanath_Swami/Lectures/00_-_Year_wise/Devotional_Nectar_-_1997/1997-086_Lecture_Bhaktivedanta_Manor_London_-_Radhanath_Swami_1997-08-12_IDesireTree.mp3", "1997-086_Lecture_Bhaktivedanta_Manor_London_-_Radhanath_Swami_1997-08-12_IDesireTree.mp3")</f>
        <v>1997-086_Lecture_Bhaktivedanta_Manor_London_-_Radhanath_Swami_1997-08-12_IDesireTree.mp3</v>
      </c>
      <c r="D1271" s="11"/>
      <c r="E1271" s="11"/>
    </row>
    <row r="1272" spans="1:5">
      <c r="A1272" s="12" t="s">
        <v>12462</v>
      </c>
      <c r="B1272" s="12" t="s">
        <v>14218</v>
      </c>
      <c r="C1272" s="13" t="str">
        <f>HYPERLINK("https://audio.iskcondesiretree.com/02_-_ISKCON_Swamis/ISKCON_Swamis_-_R_to_Y/His_Holiness_Radhanath_Swami/Lectures/00_-_Year_wise/Devotional_Nectar_-_1997/1997-087_Becoming_Sincere_SB-03_01_40_Mumbai_-_Radhanath_Swami_1997-08-23_IDesireTree.mp3", "1997-087_Becoming_Sincere_SB-03_01_40_Mumbai_-_Radhanath_Swami_1997-08-23_IDesireTree.mp3")</f>
        <v>1997-087_Becoming_Sincere_SB-03_01_40_Mumbai_-_Radhanath_Swami_1997-08-23_IDesireTree.mp3</v>
      </c>
      <c r="D1272" s="11"/>
      <c r="E1272" s="11"/>
    </row>
    <row r="1273" spans="1:5">
      <c r="A1273" s="12" t="s">
        <v>12462</v>
      </c>
      <c r="B1273" s="12" t="s">
        <v>14219</v>
      </c>
      <c r="C1273" s="13" t="str">
        <f>HYPERLINK("https://audio.iskcondesiretree.com/02_-_ISKCON_Swamis/ISKCON_Swamis_-_R_to_Y/His_Holiness_Radhanath_Swami/Lectures/00_-_Year_wise/Devotional_Nectar_-_1997/1997-088_Krishna_Book_Reading_Lecture_Mumbai_-_Radhanath_Swami_1997-08-25_IDesireTree.mp3", "1997-088_Krishna_Book_Reading_Lecture_Mumbai_-_Radhanath_Swami_1997-08-25_IDesireTree.mp3")</f>
        <v>1997-088_Krishna_Book_Reading_Lecture_Mumbai_-_Radhanath_Swami_1997-08-25_IDesireTree.mp3</v>
      </c>
      <c r="D1273" s="11"/>
      <c r="E1273" s="11"/>
    </row>
    <row r="1274" spans="1:5">
      <c r="A1274" s="12" t="s">
        <v>12462</v>
      </c>
      <c r="B1274" s="12" t="s">
        <v>14220</v>
      </c>
      <c r="C1274" s="13" t="str">
        <f>HYPERLINK("https://audio.iskcondesiretree.com/02_-_ISKCON_Swamis/ISKCON_Swamis_-_R_to_Y/His_Holiness_Radhanath_Swami/Lectures/00_-_Year_wise/Devotional_Nectar_-_1997/1997-089_Make_Krishna_The_Priority_Lecture_Mumbai_-_Radhanath_Swami_1997-08-25_IDesireTree.mp3", "1997-089_Make_Krishna_The_Priority_Lecture_Mumbai_-_Radhanath_Swami_1997-08-25_IDesireTree.mp3")</f>
        <v>1997-089_Make_Krishna_The_Priority_Lecture_Mumbai_-_Radhanath_Swami_1997-08-25_IDesireTree.mp3</v>
      </c>
      <c r="D1274" s="11"/>
      <c r="E1274" s="11"/>
    </row>
    <row r="1275" spans="1:5">
      <c r="A1275" s="12" t="s">
        <v>12462</v>
      </c>
      <c r="B1275" s="12" t="s">
        <v>14221</v>
      </c>
      <c r="C1275" s="13" t="str">
        <f>HYPERLINK("https://audio.iskcondesiretree.com/02_-_ISKCON_Swamis/ISKCON_Swamis_-_R_to_Y/His_Holiness_Radhanath_Swami/Lectures/00_-_Year_wise/Devotional_Nectar_-_1997/1997-090_Offering_To_Srila_Prabhupada_Lecture_Mumbai_-_Radhanath_Swami_1997-08-28_IDesireTree.mp3", "1997-090_Offering_To_Srila_Prabhupada_Lecture_Mumbai_-_Radhanath_Swami_1997-08-28_IDesireTree.mp3")</f>
        <v>1997-090_Offering_To_Srila_Prabhupada_Lecture_Mumbai_-_Radhanath_Swami_1997-08-28_IDesireTree.mp3</v>
      </c>
      <c r="D1275" s="11"/>
      <c r="E1275" s="11"/>
    </row>
    <row r="1276" spans="1:5">
      <c r="A1276" s="12" t="s">
        <v>12462</v>
      </c>
      <c r="B1276" s="12" t="s">
        <v>14222</v>
      </c>
      <c r="C1276" s="13" t="str">
        <f>HYPERLINK("https://audio.iskcondesiretree.com/02_-_ISKCON_Swamis/ISKCON_Swamis_-_R_to_Y/His_Holiness_Radhanath_Swami/Lectures/00_-_Year_wise/Devotional_Nectar_-_1997/1997-091_Our_Life_Is_Our_Eagerness_SB-03_01_44_Mumbai_-_Radhanath_Swami_1997-08-28_IDesireTree.mp3", "1997-091_Our_Life_Is_Our_Eagerness_SB-03_01_44_Mumbai_-_Radhanath_Swami_1997-08-28_IDesireTree.mp3")</f>
        <v>1997-091_Our_Life_Is_Our_Eagerness_SB-03_01_44_Mumbai_-_Radhanath_Swami_1997-08-28_IDesireTree.mp3</v>
      </c>
      <c r="D1276" s="11"/>
      <c r="E1276" s="11"/>
    </row>
    <row r="1277" spans="1:5">
      <c r="A1277" s="12" t="s">
        <v>12462</v>
      </c>
      <c r="B1277" s="12" t="s">
        <v>14223</v>
      </c>
      <c r="C1277" s="13" t="str">
        <f>HYPERLINK("https://audio.iskcondesiretree.com/02_-_ISKCON_Swamis/ISKCON_Swamis_-_R_to_Y/His_Holiness_Radhanath_Swami/Lectures/00_-_Year_wise/Devotional_Nectar_-_1997/1997-092_Market_Place_Of_Happiness_BG-04_06_Mumbai_-_Radhanath_Swami_1997-08-30_IDesireTree.mp3", "1997-092_Market_Place_Of_Happiness_BG-04_06_Mumbai_-_Radhanath_Swami_1997-08-30_IDesireTree.mp3")</f>
        <v>1997-092_Market_Place_Of_Happiness_BG-04_06_Mumbai_-_Radhanath_Swami_1997-08-30_IDesireTree.mp3</v>
      </c>
      <c r="D1277" s="11"/>
      <c r="E1277" s="11"/>
    </row>
    <row r="1278" spans="1:5">
      <c r="A1278" s="12" t="s">
        <v>12462</v>
      </c>
      <c r="B1278" s="12" t="s">
        <v>14224</v>
      </c>
      <c r="C1278" s="13" t="str">
        <f>HYPERLINK("https://audio.iskcondesiretree.com/02_-_ISKCON_Swamis/ISKCON_Swamis_-_R_to_Y/His_Holiness_Radhanath_Swami/Lectures/00_-_Year_wise/Devotional_Nectar_-_1997/1997-093_Be_Eager_For_Krishna_CC_Antya_Mumbai_-_Radhanath_Swami_1997-08-31_IDesireTree.mp3", "1997-093_Be_Eager_For_Krishna_CC_Antya_Mumbai_-_Radhanath_Swami_1997-08-31_IDesireTree.mp3")</f>
        <v>1997-093_Be_Eager_For_Krishna_CC_Antya_Mumbai_-_Radhanath_Swami_1997-08-31_IDesireTree.mp3</v>
      </c>
      <c r="D1278" s="11"/>
      <c r="E1278" s="11"/>
    </row>
    <row r="1279" spans="1:5">
      <c r="A1279" s="12" t="s">
        <v>12462</v>
      </c>
      <c r="B1279" s="12" t="s">
        <v>14225</v>
      </c>
      <c r="C1279" s="13" t="str">
        <f>HYPERLINK("https://audio.iskcondesiretree.com/02_-_ISKCON_Swamis/ISKCON_Swamis_-_R_to_Y/His_Holiness_Radhanath_Swami/Lectures/00_-_Year_wise/Devotional_Nectar_-_1997/1997-094_Advent_Of_Lord_Krishna_BG-07_Mumbai_-_Radhanath_Swami_1997-09-06_IDesireTree.mp3", "1997-094_Advent_Of_Lord_Krishna_BG-07_Mumbai_-_Radhanath_Swami_1997-09-06_IDesireTree.mp3")</f>
        <v>1997-094_Advent_Of_Lord_Krishna_BG-07_Mumbai_-_Radhanath_Swami_1997-09-06_IDesireTree.mp3</v>
      </c>
      <c r="D1279" s="11"/>
      <c r="E1279" s="11"/>
    </row>
    <row r="1280" spans="1:5">
      <c r="A1280" s="12" t="s">
        <v>12462</v>
      </c>
      <c r="B1280" s="12" t="s">
        <v>14226</v>
      </c>
      <c r="C1280" s="13" t="str">
        <f>HYPERLINK("https://audio.iskcondesiretree.com/02_-_ISKCON_Swamis/ISKCON_Swamis_-_R_to_Y/His_Holiness_Radhanath_Swami/Lectures/00_-_Year_wise/Devotional_Nectar_-_1997/1997-095_Conquer_Delusion_BG-07_Mumbai_-_Radhanath_Swami_1997-09-06_IDesireTree.mp3", "1997-095_Conquer_Delusion_BG-07_Mumbai_-_Radhanath_Swami_1997-09-06_IDesireTree.mp3")</f>
        <v>1997-095_Conquer_Delusion_BG-07_Mumbai_-_Radhanath_Swami_1997-09-06_IDesireTree.mp3</v>
      </c>
      <c r="D1280" s="11"/>
      <c r="E1280" s="11"/>
    </row>
    <row r="1281" spans="1:5">
      <c r="A1281" s="12" t="s">
        <v>12462</v>
      </c>
      <c r="B1281" s="12" t="e">
        <v>#VALUE!</v>
      </c>
      <c r="C1281" s="13" t="e">
        <f>HYPERLINK("https://audio.iskcondesiretree.com/02_-_ISKCON_Swamis/ISKCON_Swamis_-_R_to_Y/His_Holiness_Radhanath_Swami/Lectures/00_-_Year_wise/Devotional_Nectar_-_1997/1997-096_Lord_Chaitanya_In_The_Mood_Of_Srimati_Radharani_SB-03_02_11-14_Mumbai_-_10-09-97_IDesireTre"&amp;"e.mp3", "1997-096_Lord_Chaitanya_In_The_Mood_Of_Srimati_Radharani_SB-03_02_11-14_Mumbai_-_10-09-97_IDesireTree.mp3")</f>
        <v>#VALUE!</v>
      </c>
      <c r="D1281" s="11"/>
      <c r="E1281" s="11"/>
    </row>
    <row r="1282" spans="1:5">
      <c r="A1282" s="12" t="s">
        <v>12462</v>
      </c>
      <c r="B1282" s="12" t="s">
        <v>14227</v>
      </c>
      <c r="C1282" s="13" t="str">
        <f>HYPERLINK("https://audio.iskcondesiretree.com/02_-_ISKCON_Swamis/ISKCON_Swamis_-_R_to_Y/His_Holiness_Radhanath_Swami/Lectures/00_-_Year_wise/Devotional_Nectar_-_1997/1997-097_Make_The_Unfortunate_The_Most_Fortunate_SB-03_02_11_Mumbai_-_11-09-97_IDesireTree.mp3", "1997-097_Make_The_Unfortunate_The_Most_Fortunate_SB-03_02_11_Mumbai_-_11-09-97_IDesireTree.mp3")</f>
        <v>1997-097_Make_The_Unfortunate_The_Most_Fortunate_SB-03_02_11_Mumbai_-_11-09-97_IDesireTree.mp3</v>
      </c>
      <c r="D1282" s="11"/>
      <c r="E1282" s="11"/>
    </row>
    <row r="1283" spans="1:5">
      <c r="A1283" s="12" t="s">
        <v>12462</v>
      </c>
      <c r="B1283" s="12" t="s">
        <v>14228</v>
      </c>
      <c r="C1283" s="13" t="str">
        <f>HYPERLINK("https://audio.iskcondesiretree.com/02_-_ISKCON_Swamis/ISKCON_Swamis_-_R_to_Y/His_Holiness_Radhanath_Swami/Lectures/00_-_Year_wise/Devotional_Nectar_-_1997/1997-098_Association_Of_Devotees_The_Most_Precious_Things_BG-11_03_Moscow_-_12-09-97_IDesireTree.mp3", "1997-098_Association_Of_Devotees_The_Most_Precious_Things_BG-11_03_Moscow_-_12-09-97_IDesireTree.mp3")</f>
        <v>1997-098_Association_Of_Devotees_The_Most_Precious_Things_BG-11_03_Moscow_-_12-09-97_IDesireTree.mp3</v>
      </c>
      <c r="D1283" s="11"/>
      <c r="E1283" s="11"/>
    </row>
    <row r="1284" spans="1:5">
      <c r="A1284" s="12" t="s">
        <v>12462</v>
      </c>
      <c r="B1284" s="12" t="s">
        <v>14229</v>
      </c>
      <c r="C1284" s="13" t="str">
        <f>HYPERLINK("https://audio.iskcondesiretree.com/02_-_ISKCON_Swamis/ISKCON_Swamis_-_R_to_Y/His_Holiness_Radhanath_Swami/Lectures/00_-_Year_wise/Devotional_Nectar_-_1997/1997-099_Devotee_Welcomes_Difficulties_SB-04_12_05_Moscow_-_13-09-97_IDesireTree.mp3", "1997-099_Devotee_Welcomes_Difficulties_SB-04_12_05_Moscow_-_13-09-97_IDesireTree.mp3")</f>
        <v>1997-099_Devotee_Welcomes_Difficulties_SB-04_12_05_Moscow_-_13-09-97_IDesireTree.mp3</v>
      </c>
      <c r="D1284" s="11"/>
      <c r="E1284" s="11"/>
    </row>
    <row r="1285" spans="1:5">
      <c r="A1285" s="12" t="s">
        <v>12462</v>
      </c>
      <c r="B1285" s="12" t="s">
        <v>14230</v>
      </c>
      <c r="C1285" s="13" t="str">
        <f>HYPERLINK("https://audio.iskcondesiretree.com/02_-_ISKCON_Swamis/ISKCON_Swamis_-_R_to_Y/His_Holiness_Radhanath_Swami/Lectures/00_-_Year_wise/Devotional_Nectar_-_1997/1997-100_Eagerness_To_Please_Krsna_Lecture_MOscow_-_Radhanath_Swami_1997-09-13_IDesireTree.mp3", "1997-100_Eagerness_To_Please_Krsna_Lecture_MOscow_-_Radhanath_Swami_1997-09-13_IDesireTree.mp3")</f>
        <v>1997-100_Eagerness_To_Please_Krsna_Lecture_MOscow_-_Radhanath_Swami_1997-09-13_IDesireTree.mp3</v>
      </c>
      <c r="D1285" s="11"/>
      <c r="E1285" s="11"/>
    </row>
    <row r="1286" spans="1:5">
      <c r="A1286" s="12" t="s">
        <v>12462</v>
      </c>
      <c r="B1286" s="12" t="s">
        <v>14231</v>
      </c>
      <c r="C1286" s="13" t="str">
        <f>HYPERLINK("https://audio.iskcondesiretree.com/02_-_ISKCON_Swamis/ISKCON_Swamis_-_R_to_Y/His_Holiness_Radhanath_Swami/Lectures/00_-_Year_wise/Devotional_Nectar_-_1997/1997-101_Lecture_-_Radhanath_Swami_1997-09-14_IDesireTree.mp3", "1997-101_Lecture_-_Radhanath_Swami_1997-09-14_IDesireTree.mp3")</f>
        <v>1997-101_Lecture_-_Radhanath_Swami_1997-09-14_IDesireTree.mp3</v>
      </c>
      <c r="D1286" s="11"/>
      <c r="E1286" s="11"/>
    </row>
    <row r="1287" spans="1:5">
      <c r="A1287" s="12" t="s">
        <v>12462</v>
      </c>
      <c r="B1287" s="12" t="s">
        <v>14232</v>
      </c>
      <c r="C1287" s="13" t="str">
        <f>HYPERLINK("https://audio.iskcondesiretree.com/02_-_ISKCON_Swamis/ISKCON_Swamis_-_R_to_Y/His_Holiness_Radhanath_Swami/Lectures/00_-_Year_wise/Devotional_Nectar_-_1997/1997-102_Opportunity_To_Serve_The_Greatest_Benidiction_SB-04_12_07_Moscow_-_15-09-97_IDesireTree.mp3", "1997-102_Opportunity_To_Serve_The_Greatest_Benidiction_SB-04_12_07_Moscow_-_15-09-97_IDesireTree.mp3")</f>
        <v>1997-102_Opportunity_To_Serve_The_Greatest_Benidiction_SB-04_12_07_Moscow_-_15-09-97_IDesireTree.mp3</v>
      </c>
      <c r="D1287" s="11"/>
      <c r="E1287" s="11"/>
    </row>
    <row r="1288" spans="1:5">
      <c r="A1288" s="12" t="s">
        <v>12462</v>
      </c>
      <c r="B1288" s="12" t="s">
        <v>14233</v>
      </c>
      <c r="C1288" s="13" t="str">
        <f>HYPERLINK("https://audio.iskcondesiretree.com/02_-_ISKCON_Swamis/ISKCON_Swamis_-_R_to_Y/His_Holiness_Radhanath_Swami/Lectures/00_-_Year_wise/Devotional_Nectar_-_1997/1997-103_Desires_Limited_-_Resourses_Unlimited_SB-04_12_08_Moscow_-_16-09-97_IDesireTree.mp3", "1997-103_Desires_Limited_-_Resourses_Unlimited_SB-04_12_08_Moscow_-_16-09-97_IDesireTree.mp3")</f>
        <v>1997-103_Desires_Limited_-_Resourses_Unlimited_SB-04_12_08_Moscow_-_16-09-97_IDesireTree.mp3</v>
      </c>
      <c r="D1288" s="11"/>
      <c r="E1288" s="11"/>
    </row>
    <row r="1289" spans="1:5">
      <c r="A1289" s="12" t="s">
        <v>12462</v>
      </c>
      <c r="B1289" s="12" t="s">
        <v>14234</v>
      </c>
      <c r="C1289" s="13" t="str">
        <f>HYPERLINK("https://audio.iskcondesiretree.com/02_-_ISKCON_Swamis/ISKCON_Swamis_-_R_to_Y/His_Holiness_Radhanath_Swami/Lectures/00_-_Year_wise/Devotional_Nectar_-_1997/1997-104_How_I_Meet_Srila_Prabhupada_Lecture_St_-_Radhanath_Swami_IDesireTree.mp3", "1997-104_How_I_Meet_Srila_Prabhupada_Lecture_St_-_Radhanath_Swami_IDesireTree.mp3")</f>
        <v>1997-104_How_I_Meet_Srila_Prabhupada_Lecture_St_-_Radhanath_Swami_IDesireTree.mp3</v>
      </c>
      <c r="D1289" s="11"/>
      <c r="E1289" s="11"/>
    </row>
    <row r="1290" spans="1:5">
      <c r="A1290" s="12" t="s">
        <v>12462</v>
      </c>
      <c r="B1290" s="12" t="s">
        <v>14235</v>
      </c>
      <c r="C1290" s="13" t="str">
        <f>HYPERLINK("https://audio.iskcondesiretree.com/02_-_ISKCON_Swamis/ISKCON_Swamis_-_R_to_Y/His_Holiness_Radhanath_Swami/Lectures/00_-_Year_wise/Devotional_Nectar_-_1997/1997-105_SB-03_28_42_St_-_Radhanath_Swami_IDesireTree.mp3", "1997-105_SB-03_28_42_St_-_Radhanath_Swami_IDesireTree.mp3")</f>
        <v>1997-105_SB-03_28_42_St_-_Radhanath_Swami_IDesireTree.mp3</v>
      </c>
      <c r="D1290" s="11"/>
      <c r="E1290" s="11"/>
    </row>
    <row r="1291" spans="1:5">
      <c r="A1291" s="12" t="s">
        <v>12462</v>
      </c>
      <c r="B1291" s="12" t="s">
        <v>14236</v>
      </c>
      <c r="C1291" s="13" t="str">
        <f>HYPERLINK("https://audio.iskcondesiretree.com/02_-_ISKCON_Swamis/ISKCON_Swamis_-_R_to_Y/His_Holiness_Radhanath_Swami/Lectures/00_-_Year_wise/Devotional_Nectar_-_1997/1997-106_Krsna_The_Supreme_Propritor_BG-08_20_Moscow_-_Radhanath_Swami_1997-09-19_IDesireTree.mp3", "1997-106_Krsna_The_Supreme_Propritor_BG-08_20_Moscow_-_Radhanath_Swami_1997-09-19_IDesireTree.mp3")</f>
        <v>1997-106_Krsna_The_Supreme_Propritor_BG-08_20_Moscow_-_Radhanath_Swami_1997-09-19_IDesireTree.mp3</v>
      </c>
      <c r="D1291" s="11"/>
      <c r="E1291" s="11"/>
    </row>
    <row r="1292" spans="1:5">
      <c r="A1292" s="12" t="s">
        <v>12462</v>
      </c>
      <c r="B1292" s="12" t="s">
        <v>14237</v>
      </c>
      <c r="C1292" s="13" t="str">
        <f>HYPERLINK("https://audio.iskcondesiretree.com/02_-_ISKCON_Swamis/ISKCON_Swamis_-_R_to_Y/His_Holiness_Radhanath_Swami/Lectures/00_-_Year_wise/Devotional_Nectar_-_1997/1997-107_The_Wealth_Of_Krishna_Consciousness_SB-10_14_29_Mumbai_-_21-09-97_IDesireTree.mp3", "1997-107_The_Wealth_Of_Krishna_Consciousness_SB-10_14_29_Mumbai_-_21-09-97_IDesireTree.mp3")</f>
        <v>1997-107_The_Wealth_Of_Krishna_Consciousness_SB-10_14_29_Mumbai_-_21-09-97_IDesireTree.mp3</v>
      </c>
      <c r="D1292" s="11"/>
      <c r="E1292" s="11"/>
    </row>
    <row r="1293" spans="1:5">
      <c r="A1293" s="12" t="s">
        <v>12462</v>
      </c>
      <c r="B1293" s="12" t="s">
        <v>14238</v>
      </c>
      <c r="C1293" s="13" t="str">
        <f>HYPERLINK("https://audio.iskcondesiretree.com/02_-_ISKCON_Swamis/ISKCON_Swamis_-_R_to_Y/His_Holiness_Radhanath_Swami/Lectures/00_-_Year_wise/Devotional_Nectar_-_1997/1997-108_Krishna_The_Most_Merciful_Personality_SB-03_02_23_Mumbai_-_25-09-97_IDesireTree.mp3", "1997-108_Krishna_The_Most_Merciful_Personality_SB-03_02_23_Mumbai_-_25-09-97_IDesireTree.mp3")</f>
        <v>1997-108_Krishna_The_Most_Merciful_Personality_SB-03_02_23_Mumbai_-_25-09-97_IDesireTree.mp3</v>
      </c>
      <c r="D1293" s="11"/>
      <c r="E1293" s="11"/>
    </row>
    <row r="1294" spans="1:5">
      <c r="A1294" s="12" t="s">
        <v>12462</v>
      </c>
      <c r="B1294" s="12" t="s">
        <v>14239</v>
      </c>
      <c r="C1294" s="13" t="str">
        <f>HYPERLINK("https://audio.iskcondesiretree.com/02_-_ISKCON_Swamis/ISKCON_Swamis_-_R_to_Y/His_Holiness_Radhanath_Swami/Lectures/00_-_Year_wise/Devotional_Nectar_-_1997/1997-109_Simply_Please_Krishna_SB-03_02_25_Mumbai_-_Radhanath_Swami_1997-09-27_IDesireTree.mp3", "1997-109_Simply_Please_Krishna_SB-03_02_25_Mumbai_-_Radhanath_Swami_1997-09-27_IDesireTree.mp3")</f>
        <v>1997-109_Simply_Please_Krishna_SB-03_02_25_Mumbai_-_Radhanath_Swami_1997-09-27_IDesireTree.mp3</v>
      </c>
      <c r="D1294" s="11"/>
      <c r="E1294" s="11"/>
    </row>
    <row r="1295" spans="1:5">
      <c r="A1295" s="12" t="s">
        <v>12462</v>
      </c>
      <c r="B1295" s="12" t="s">
        <v>14240</v>
      </c>
      <c r="C1295" s="13" t="str">
        <f>HYPERLINK("https://audio.iskcondesiretree.com/02_-_ISKCON_Swamis/ISKCON_Swamis_-_R_to_Y/His_Holiness_Radhanath_Swami/Lectures/00_-_Year_wise/Devotional_Nectar_-_1997/1997-110_Message_To_The_Congregation_Devotees_Lecture_Mumbai_-_27-09-97_IDesireTree.mp3", "1997-110_Message_To_The_Congregation_Devotees_Lecture_Mumbai_-_27-09-97_IDesireTree.mp3")</f>
        <v>1997-110_Message_To_The_Congregation_Devotees_Lecture_Mumbai_-_27-09-97_IDesireTree.mp3</v>
      </c>
      <c r="D1295" s="11"/>
      <c r="E1295" s="11"/>
    </row>
    <row r="1296" spans="1:5">
      <c r="A1296" s="12" t="s">
        <v>12462</v>
      </c>
      <c r="B1296" s="12" t="s">
        <v>14241</v>
      </c>
      <c r="C1296" s="13" t="str">
        <f>HYPERLINK("https://audio.iskcondesiretree.com/02_-_ISKCON_Swamis/ISKCON_Swamis_-_R_to_Y/His_Holiness_Radhanath_Swami/Lectures/00_-_Year_wise/Devotional_Nectar_-_1997/1997-111_Ecstasy_Of_Nand_Maharaj_And_Mother_Yasoda_SB-03_02_26_Mumbai_-_28-09-97_IDesireTree.mp3", "1997-111_Ecstasy_Of_Nand_Maharaj_And_Mother_Yasoda_SB-03_02_26_Mumbai_-_28-09-97_IDesireTree.mp3")</f>
        <v>1997-111_Ecstasy_Of_Nand_Maharaj_And_Mother_Yasoda_SB-03_02_26_Mumbai_-_28-09-97_IDesireTree.mp3</v>
      </c>
      <c r="D1296" s="11"/>
      <c r="E1296" s="11"/>
    </row>
    <row r="1297" spans="1:5">
      <c r="A1297" s="12" t="s">
        <v>12462</v>
      </c>
      <c r="B1297" s="12" t="s">
        <v>14242</v>
      </c>
      <c r="C1297" s="13" t="str">
        <f>HYPERLINK("https://audio.iskcondesiretree.com/02_-_ISKCON_Swamis/ISKCON_Swamis_-_R_to_Y/His_Holiness_Radhanath_Swami/Lectures/00_-_Year_wise/Devotional_Nectar_-_1997/1997-112_Simple_Living_High_Thinking_SB-03_02_29_Mumbai_-_Radhanath_Swami_1997-10-02_IDesireTree.mp3", "1997-112_Simple_Living_High_Thinking_SB-03_02_29_Mumbai_-_Radhanath_Swami_1997-10-02_IDesireTree.mp3")</f>
        <v>1997-112_Simple_Living_High_Thinking_SB-03_02_29_Mumbai_-_Radhanath_Swami_1997-10-02_IDesireTree.mp3</v>
      </c>
      <c r="D1297" s="11"/>
      <c r="E1297" s="11"/>
    </row>
    <row r="1298" spans="1:5">
      <c r="A1298" s="12" t="s">
        <v>12462</v>
      </c>
      <c r="B1298" s="12" t="s">
        <v>14243</v>
      </c>
      <c r="C1298" s="13" t="str">
        <f>HYPERLINK("https://audio.iskcondesiretree.com/02_-_ISKCON_Swamis/ISKCON_Swamis_-_R_to_Y/His_Holiness_Radhanath_Swami/Lectures/00_-_Year_wise/Devotional_Nectar_-_1997/1997-113_Preparing_For_The_21_Century_Lecture_Mumbai_-_Radhanath_Swami_1997-10-02_IDesireTree.mp3", "1997-113_Preparing_For_The_21_Century_Lecture_Mumbai_-_Radhanath_Swami_1997-10-02_IDesireTree.mp3")</f>
        <v>1997-113_Preparing_For_The_21_Century_Lecture_Mumbai_-_Radhanath_Swami_1997-10-02_IDesireTree.mp3</v>
      </c>
      <c r="D1298" s="11"/>
      <c r="E1298" s="11"/>
    </row>
    <row r="1299" spans="1:5">
      <c r="A1299" s="12" t="s">
        <v>12462</v>
      </c>
      <c r="B1299" s="12" t="s">
        <v>14244</v>
      </c>
      <c r="C1299" s="13" t="str">
        <f>HYPERLINK("https://audio.iskcondesiretree.com/02_-_ISKCON_Swamis/ISKCON_Swamis_-_R_to_Y/His_Holiness_Radhanath_Swami/Lectures/00_-_Year_wise/Devotional_Nectar_-_1997/1997-114_Honour_Demigods_But_Worship_Only_Krishna_SB-03_02_31-32_-_04-10-97_IDesireTree.mp3", "1997-114_Honour_Demigods_But_Worship_Only_Krishna_SB-03_02_31-32_-_04-10-97_IDesireTree.mp3")</f>
        <v>1997-114_Honour_Demigods_But_Worship_Only_Krishna_SB-03_02_31-32_-_04-10-97_IDesireTree.mp3</v>
      </c>
      <c r="D1299" s="11"/>
      <c r="E1299" s="11"/>
    </row>
    <row r="1300" spans="1:5">
      <c r="A1300" s="12" t="s">
        <v>12462</v>
      </c>
      <c r="B1300" s="12" t="s">
        <v>14245</v>
      </c>
      <c r="C1300" s="13" t="str">
        <f>HYPERLINK("https://audio.iskcondesiretree.com/02_-_ISKCON_Swamis/ISKCON_Swamis_-_R_to_Y/His_Holiness_Radhanath_Swami/Lectures/00_-_Year_wise/Devotional_Nectar_-_1997/1997-115_Come_Out_Of_Dense_Illusion_BG-08_20_Mumbai_-_Radhanath_Swami_1997-10-04_IDesireTree.mp3", "1997-115_Come_Out_Of_Dense_Illusion_BG-08_20_Mumbai_-_Radhanath_Swami_1997-10-04_IDesireTree.mp3")</f>
        <v>1997-115_Come_Out_Of_Dense_Illusion_BG-08_20_Mumbai_-_Radhanath_Swami_1997-10-04_IDesireTree.mp3</v>
      </c>
      <c r="D1300" s="11"/>
      <c r="E1300" s="11"/>
    </row>
    <row r="1301" spans="1:5">
      <c r="A1301" s="12" t="s">
        <v>12462</v>
      </c>
      <c r="B1301" s="12" t="e">
        <v>#VALUE!</v>
      </c>
      <c r="C1301" s="13" t="e">
        <f>HYPERLINK("https://audio.iskcondesiretree.com/02_-_ISKCON_Swamis/ISKCON_Swamis_-_R_to_Y/His_Holiness_Radhanath_Swami/Lectures/00_-_Year_wise/Devotional_Nectar_-_1997/1997-116_Lord_Krishna_In_The_Wrestling_Arena_SB-03_02_32-34_%26_03_31_Mumbai_-_05-10-97_IDesireTree."&amp;"mp3", "1997-116_Lord_Krishna_In_The_Wrestling_Arena_SB-03_02_32-34_%26_03_31_Mumbai_-_05-10-97_IDesireTree.mp3")</f>
        <v>#VALUE!</v>
      </c>
      <c r="D1301" s="11"/>
      <c r="E1301" s="11"/>
    </row>
    <row r="1302" spans="1:5">
      <c r="A1302" s="12" t="s">
        <v>12462</v>
      </c>
      <c r="B1302" s="12" t="s">
        <v>14246</v>
      </c>
      <c r="C1302" s="13" t="str">
        <f>HYPERLINK("https://audio.iskcondesiretree.com/02_-_ISKCON_Swamis/ISKCON_Swamis_-_R_to_Y/His_Holiness_Radhanath_Swami/Lectures/00_-_Year_wise/Devotional_Nectar_-_1997/1997-117_Even_An_Elephant_Can_Become_A_Vaishnava_BG-03_02_Mumbai_-_05-10-97_IDesireTree.mp3", "1997-117_Even_An_Elephant_Can_Become_A_Vaishnava_BG-03_02_Mumbai_-_05-10-97_IDesireTree.mp3")</f>
        <v>1997-117_Even_An_Elephant_Can_Become_A_Vaishnava_BG-03_02_Mumbai_-_05-10-97_IDesireTree.mp3</v>
      </c>
      <c r="D1302" s="11"/>
      <c r="E1302" s="11"/>
    </row>
    <row r="1303" spans="1:5">
      <c r="A1303" s="12" t="s">
        <v>12462</v>
      </c>
      <c r="B1303" s="12" t="s">
        <v>14247</v>
      </c>
      <c r="C1303" s="13" t="str">
        <f>HYPERLINK("https://audio.iskcondesiretree.com/02_-_ISKCON_Swamis/ISKCON_Swamis_-_R_to_Y/His_Holiness_Radhanath_Swami/Lectures/00_-_Year_wise/Devotional_Nectar_-_1997/1997-118_Advance_Like_Dhruva_SB-04_12_04_Pune_-_Radhanath_Swami_1997-10-06_IDesireTree.mp3", "1997-118_Advance_Like_Dhruva_SB-04_12_04_Pune_-_Radhanath_Swami_1997-10-06_IDesireTree.mp3")</f>
        <v>1997-118_Advance_Like_Dhruva_SB-04_12_04_Pune_-_Radhanath_Swami_1997-10-06_IDesireTree.mp3</v>
      </c>
      <c r="D1303" s="11"/>
      <c r="E1303" s="11"/>
    </row>
    <row r="1304" spans="1:5">
      <c r="A1304" s="12" t="s">
        <v>12462</v>
      </c>
      <c r="B1304" s="12" t="s">
        <v>14248</v>
      </c>
      <c r="C1304" s="13" t="str">
        <f>HYPERLINK("https://audio.iskcondesiretree.com/02_-_ISKCON_Swamis/ISKCON_Swamis_-_R_to_Y/His_Holiness_Radhanath_Swami/Lectures/00_-_Year_wise/Devotional_Nectar_-_1997/1997-119_Identify_Yourself_Properly_SB-04_29_60_Pune_-_Radhanath_Swami_1997-10-07_IDesireTree.mp3", "1997-119_Identify_Yourself_Properly_SB-04_29_60_Pune_-_Radhanath_Swami_1997-10-07_IDesireTree.mp3")</f>
        <v>1997-119_Identify_Yourself_Properly_SB-04_29_60_Pune_-_Radhanath_Swami_1997-10-07_IDesireTree.mp3</v>
      </c>
      <c r="D1304" s="11"/>
      <c r="E1304" s="11"/>
    </row>
    <row r="1305" spans="1:5">
      <c r="A1305" s="12" t="s">
        <v>12462</v>
      </c>
      <c r="B1305" s="12" t="s">
        <v>14249</v>
      </c>
      <c r="C1305" s="13" t="str">
        <f>HYPERLINK("https://audio.iskcondesiretree.com/02_-_ISKCON_Swamis/ISKCON_Swamis_-_R_to_Y/His_Holiness_Radhanath_Swami/Lectures/00_-_Year_wise/Devotional_Nectar_-_1997/1997-120_The_Power_Of_Holy_Name_Lecture_Pune_-_Radhanath_Swami_1997-10-08_IDesireTree.mp3", "1997-120_The_Power_Of_Holy_Name_Lecture_Pune_-_Radhanath_Swami_1997-10-08_IDesireTree.mp3")</f>
        <v>1997-120_The_Power_Of_Holy_Name_Lecture_Pune_-_Radhanath_Swami_1997-10-08_IDesireTree.mp3</v>
      </c>
      <c r="D1305" s="11"/>
      <c r="E1305" s="11"/>
    </row>
    <row r="1306" spans="1:5">
      <c r="A1306" s="12" t="s">
        <v>12462</v>
      </c>
      <c r="B1306" s="12" t="s">
        <v>14250</v>
      </c>
      <c r="C1306" s="13" t="str">
        <f>HYPERLINK("https://audio.iskcondesiretree.com/02_-_ISKCON_Swamis/ISKCON_Swamis_-_R_to_Y/His_Holiness_Radhanath_Swami/Lectures/00_-_Year_wise/Devotional_Nectar_-_1997/1997-121_Talk_With_Pune_IYF_Boys_Lecture_Pune_-_Radhanath_Swami_1997-10-09_IDesireTree.mp3", "1997-121_Talk_With_Pune_IYF_Boys_Lecture_Pune_-_Radhanath_Swami_1997-10-09_IDesireTree.mp3")</f>
        <v>1997-121_Talk_With_Pune_IYF_Boys_Lecture_Pune_-_Radhanath_Swami_1997-10-09_IDesireTree.mp3</v>
      </c>
      <c r="D1306" s="11"/>
      <c r="E1306" s="11"/>
    </row>
    <row r="1307" spans="1:5">
      <c r="A1307" s="12" t="s">
        <v>12462</v>
      </c>
      <c r="B1307" s="12" t="s">
        <v>14251</v>
      </c>
      <c r="C1307" s="13" t="str">
        <f>HYPERLINK("https://audio.iskcondesiretree.com/02_-_ISKCON_Swamis/ISKCON_Swamis_-_R_to_Y/His_Holiness_Radhanath_Swami/Lectures/00_-_Year_wise/Devotional_Nectar_-_1997/1997-122_Why_Are_People_Lonely_BG-12_15_Mumbai_-_Radhanath_Swami_1997-10-09_IDesireTree.mp3", "1997-122_Why_Are_People_Lonely_BG-12_15_Mumbai_-_Radhanath_Swami_1997-10-09_IDesireTree.mp3")</f>
        <v>1997-122_Why_Are_People_Lonely_BG-12_15_Mumbai_-_Radhanath_Swami_1997-10-09_IDesireTree.mp3</v>
      </c>
      <c r="D1307" s="11"/>
      <c r="E1307" s="11"/>
    </row>
    <row r="1308" spans="1:5">
      <c r="A1308" s="12" t="s">
        <v>12462</v>
      </c>
      <c r="B1308" s="12" t="s">
        <v>14252</v>
      </c>
      <c r="C1308" s="13" t="str">
        <f>HYPERLINK("https://audio.iskcondesiretree.com/02_-_ISKCON_Swamis/ISKCON_Swamis_-_R_to_Y/His_Holiness_Radhanath_Swami/Lectures/00_-_Year_wise/Devotional_Nectar_-_1997/1997-123_Using_The_Senses_In_Krishna%27s_Service_SB-03_06_18_Mumbai_-_11-10-97_IDesireTree.mp3", "1997-123_Using_The_Senses_In_Krishna%27s_Service_SB-03_06_18_Mumbai_-_11-10-97_IDesireTree.mp3")</f>
        <v>1997-123_Using_The_Senses_In_Krishna%27s_Service_SB-03_06_18_Mumbai_-_11-10-97_IDesireTree.mp3</v>
      </c>
      <c r="D1308" s="11"/>
      <c r="E1308" s="11"/>
    </row>
    <row r="1309" spans="1:5">
      <c r="A1309" s="12" t="s">
        <v>12462</v>
      </c>
      <c r="B1309" s="12" t="s">
        <v>14253</v>
      </c>
      <c r="C1309" s="13" t="str">
        <f>HYPERLINK("https://audio.iskcondesiretree.com/02_-_ISKCON_Swamis/ISKCON_Swamis_-_R_to_Y/His_Holiness_Radhanath_Swami/Lectures/00_-_Year_wise/Devotional_Nectar_-_1997/1997-124_Aim_And_Purpose_Of_Bhaktivedanta_Hospital_Lecture_Mumbai_-_11-10-97_IDesireTree.mp3", "1997-124_Aim_And_Purpose_Of_Bhaktivedanta_Hospital_Lecture_Mumbai_-_11-10-97_IDesireTree.mp3")</f>
        <v>1997-124_Aim_And_Purpose_Of_Bhaktivedanta_Hospital_Lecture_Mumbai_-_11-10-97_IDesireTree.mp3</v>
      </c>
      <c r="D1309" s="11"/>
      <c r="E1309" s="11"/>
    </row>
    <row r="1310" spans="1:5">
      <c r="A1310" s="12" t="s">
        <v>12462</v>
      </c>
      <c r="B1310" s="12" t="s">
        <v>14254</v>
      </c>
      <c r="C1310" s="13" t="str">
        <f>HYPERLINK("https://audio.iskcondesiretree.com/02_-_ISKCON_Swamis/ISKCON_Swamis_-_R_to_Y/His_Holiness_Radhanath_Swami/Lectures/00_-_Year_wise/Devotional_Nectar_-_1997/1997-125_Krishna_As_Dwarkadhish_SB-03_03_08-09_Mumbai_-_Radhanath_Swami_1997-10-12_IDesireTree.mp3", "1997-125_Krishna_As_Dwarkadhish_SB-03_03_08-09_Mumbai_-_Radhanath_Swami_1997-10-12_IDesireTree.mp3")</f>
        <v>1997-125_Krishna_As_Dwarkadhish_SB-03_03_08-09_Mumbai_-_Radhanath_Swami_1997-10-12_IDesireTree.mp3</v>
      </c>
      <c r="D1310" s="11"/>
      <c r="E1310" s="11"/>
    </row>
    <row r="1311" spans="1:5">
      <c r="A1311" s="12" t="s">
        <v>12462</v>
      </c>
      <c r="B1311" s="12" t="s">
        <v>14255</v>
      </c>
      <c r="C1311" s="13" t="str">
        <f>HYPERLINK("https://audio.iskcondesiretree.com/02_-_ISKCON_Swamis/ISKCON_Swamis_-_R_to_Y/His_Holiness_Radhanath_Swami/Lectures/00_-_Year_wise/Devotional_Nectar_-_1997/1997-126_Find_Your_Right_Place_Lecture_Mumbai_-_Radhanath_Swami_1997-10-12_IDesireTree.mp3", "1997-126_Find_Your_Right_Place_Lecture_Mumbai_-_Radhanath_Swami_1997-10-12_IDesireTree.mp3")</f>
        <v>1997-126_Find_Your_Right_Place_Lecture_Mumbai_-_Radhanath_Swami_1997-10-12_IDesireTree.mp3</v>
      </c>
      <c r="D1311" s="11"/>
      <c r="E1311" s="11"/>
    </row>
    <row r="1312" spans="1:5">
      <c r="A1312" s="12" t="s">
        <v>12462</v>
      </c>
      <c r="B1312" s="12" t="s">
        <v>14256</v>
      </c>
      <c r="C1312" s="13" t="str">
        <f>HYPERLINK("https://audio.iskcondesiretree.com/02_-_ISKCON_Swamis/ISKCON_Swamis_-_R_to_Y/His_Holiness_Radhanath_Swami/Lectures/00_-_Year_wise/Devotional_Nectar_-_1997/1997-127_Burden_Of_Love_SB-03_03_14_Mumbai_-_Radhanath_Swami_1997-10-16_IDesireTree.mp3", "1997-127_Burden_Of_Love_SB-03_03_14_Mumbai_-_Radhanath_Swami_1997-10-16_IDesireTree.mp3")</f>
        <v>1997-127_Burden_Of_Love_SB-03_03_14_Mumbai_-_Radhanath_Swami_1997-10-16_IDesireTree.mp3</v>
      </c>
      <c r="D1312" s="11"/>
      <c r="E1312" s="11"/>
    </row>
    <row r="1313" spans="1:5">
      <c r="A1313" s="12" t="s">
        <v>12462</v>
      </c>
      <c r="B1313" s="12" t="s">
        <v>14257</v>
      </c>
      <c r="C1313" s="13" t="str">
        <f>HYPERLINK("https://audio.iskcondesiretree.com/02_-_ISKCON_Swamis/ISKCON_Swamis_-_R_to_Y/His_Holiness_Radhanath_Swami/Lectures/00_-_Year_wise/Devotional_Nectar_-_1997/1997-128_Glories_Of_Navadwipdhama_Lecture_Mumbai_-_Radhanath_Swami_1997-10-18_IDesireTree.mp3", "1997-128_Glories_Of_Navadwipdhama_Lecture_Mumbai_-_Radhanath_Swami_1997-10-18_IDesireTree.mp3")</f>
        <v>1997-128_Glories_Of_Navadwipdhama_Lecture_Mumbai_-_Radhanath_Swami_1997-10-18_IDesireTree.mp3</v>
      </c>
      <c r="D1313" s="11"/>
      <c r="E1313" s="11"/>
    </row>
    <row r="1314" spans="1:5">
      <c r="A1314" s="12" t="s">
        <v>12462</v>
      </c>
      <c r="B1314" s="12" t="e">
        <v>#VALUE!</v>
      </c>
      <c r="C1314" s="13" t="e">
        <f>HYPERLINK("https://audio.iskcondesiretree.com/02_-_ISKCON_Swamis/ISKCON_Swamis_-_R_to_Y/His_Holiness_Radhanath_Swami/Lectures/00_-_Year_wise/Devotional_Nectar_-_1997/1997-129_Why_Krishna_Protected_Parikshit_And_Not_Abhimanyu_SB-03_03_17_Mumbai_-_19-10-97_IDesireTree"&amp;".mp3", "1997-129_Why_Krishna_Protected_Parikshit_And_Not_Abhimanyu_SB-03_03_17_Mumbai_-_19-10-97_IDesireTree.mp3")</f>
        <v>#VALUE!</v>
      </c>
      <c r="D1314" s="11"/>
      <c r="E1314" s="11"/>
    </row>
    <row r="1315" spans="1:5">
      <c r="A1315" s="12" t="s">
        <v>12462</v>
      </c>
      <c r="B1315" s="12" t="s">
        <v>14258</v>
      </c>
      <c r="C1315" s="13" t="str">
        <f>HYPERLINK("https://audio.iskcondesiretree.com/02_-_ISKCON_Swamis/ISKCON_Swamis_-_R_to_Y/His_Holiness_Radhanath_Swami/Lectures/00_-_Year_wise/Devotional_Nectar_-_1997/1997-130_Killing_Of_Jarasandha_SB-03_03_19_-_Radhanath_Swami_1997-10-23_IDesireTree.mp3", "1997-130_Killing_Of_Jarasandha_SB-03_03_19_-_Radhanath_Swami_1997-10-23_IDesireTree.mp3")</f>
        <v>1997-130_Killing_Of_Jarasandha_SB-03_03_19_-_Radhanath_Swami_1997-10-23_IDesireTree.mp3</v>
      </c>
      <c r="D1315" s="11"/>
      <c r="E1315" s="11"/>
    </row>
    <row r="1316" spans="1:5">
      <c r="A1316" s="12" t="s">
        <v>12462</v>
      </c>
      <c r="B1316" s="12" t="s">
        <v>14259</v>
      </c>
      <c r="C1316" s="13" t="str">
        <f>HYPERLINK("https://audio.iskcondesiretree.com/02_-_ISKCON_Swamis/ISKCON_Swamis_-_R_to_Y/His_Holiness_Radhanath_Swami/Lectures/00_-_Year_wise/Devotional_Nectar_-_1997/1997-131_Marraige_Ceremony_Address_Mumbai_-_Radhanath_Swami_1997-10-25_IDesireTree.mp3", "1997-131_Marraige_Ceremony_Address_Mumbai_-_Radhanath_Swami_1997-10-25_IDesireTree.mp3")</f>
        <v>1997-131_Marraige_Ceremony_Address_Mumbai_-_Radhanath_Swami_1997-10-25_IDesireTree.mp3</v>
      </c>
      <c r="D1316" s="11"/>
      <c r="E1316" s="11"/>
    </row>
    <row r="1317" spans="1:5">
      <c r="A1317" s="12" t="s">
        <v>12462</v>
      </c>
      <c r="B1317" s="12" t="s">
        <v>14260</v>
      </c>
      <c r="C1317" s="13" t="str">
        <f>HYPERLINK("https://audio.iskcondesiretree.com/02_-_ISKCON_Swamis/ISKCON_Swamis_-_R_to_Y/His_Holiness_Radhanath_Swami/Lectures/00_-_Year_wise/Devotional_Nectar_-_1997/1997-132_Right_Approach_To_Bhagavatam_SB-05_04_08_Mayapur_-_27-10-97_IDesireTree.mp3", "1997-132_Right_Approach_To_Bhagavatam_SB-05_04_08_Mayapur_-_27-10-97_IDesireTree.mp3")</f>
        <v>1997-132_Right_Approach_To_Bhagavatam_SB-05_04_08_Mayapur_-_27-10-97_IDesireTree.mp3</v>
      </c>
      <c r="D1317" s="11"/>
      <c r="E1317" s="11"/>
    </row>
    <row r="1318" spans="1:5">
      <c r="A1318" s="12" t="s">
        <v>12462</v>
      </c>
      <c r="B1318" s="12" t="s">
        <v>14261</v>
      </c>
      <c r="C1318" s="13" t="str">
        <f>HYPERLINK("https://audio.iskcondesiretree.com/02_-_ISKCON_Swamis/ISKCON_Swamis_-_R_to_Y/His_Holiness_Radhanath_Swami/Lectures/00_-_Year_wise/Devotional_Nectar_-_1997/1997-133_SB-05_11_06_-_Radhanath_Swami_IDesireTree.mp3", "1997-133_SB-05_11_06_-_Radhanath_Swami_IDesireTree.mp3")</f>
        <v>1997-133_SB-05_11_06_-_Radhanath_Swami_IDesireTree.mp3</v>
      </c>
      <c r="D1318" s="11"/>
      <c r="E1318" s="11"/>
    </row>
    <row r="1319" spans="1:5">
      <c r="A1319" s="12" t="s">
        <v>12462</v>
      </c>
      <c r="B1319" s="12" t="s">
        <v>14262</v>
      </c>
      <c r="C1319" s="13" t="str">
        <f>HYPERLINK("https://audio.iskcondesiretree.com/02_-_ISKCON_Swamis/ISKCON_Swamis_-_R_to_Y/His_Holiness_Radhanath_Swami/Lectures/00_-_Year_wise/Devotional_Nectar_-_1997/1997-134_Imbibing_The_Mood_Of_Vrindavan_SB-07_14_12_Vrindavan_-_08-11-97_IDesireTree.mp3", "1997-134_Imbibing_The_Mood_Of_Vrindavan_SB-07_14_12_Vrindavan_-_08-11-97_IDesireTree.mp3")</f>
        <v>1997-134_Imbibing_The_Mood_Of_Vrindavan_SB-07_14_12_Vrindavan_-_08-11-97_IDesireTree.mp3</v>
      </c>
      <c r="D1319" s="11"/>
      <c r="E1319" s="11"/>
    </row>
    <row r="1320" spans="1:5">
      <c r="A1320" s="12" t="s">
        <v>12462</v>
      </c>
      <c r="B1320" s="12" t="s">
        <v>14263</v>
      </c>
      <c r="C1320" s="13" t="str">
        <f>HYPERLINK("https://audio.iskcondesiretree.com/02_-_ISKCON_Swamis/ISKCON_Swamis_-_R_to_Y/His_Holiness_Radhanath_Swami/Lectures/00_-_Year_wise/Devotional_Nectar_-_1997/1997-135_Damodar_Lilla_Pastimes_Lecture_-_Radhanath_Swami_1997-11-14_IDesireTree.mp3", "1997-135_Damodar_Lilla_Pastimes_Lecture_-_Radhanath_Swami_1997-11-14_IDesireTree.mp3")</f>
        <v>1997-135_Damodar_Lilla_Pastimes_Lecture_-_Radhanath_Swami_1997-11-14_IDesireTree.mp3</v>
      </c>
      <c r="D1320" s="11"/>
      <c r="E1320" s="11"/>
    </row>
    <row r="1321" spans="1:5">
      <c r="A1321" s="12" t="s">
        <v>12462</v>
      </c>
      <c r="B1321" s="12" t="s">
        <v>14264</v>
      </c>
      <c r="C1321" s="13" t="str">
        <f>HYPERLINK("https://audio.iskcondesiretree.com/02_-_ISKCON_Swamis/ISKCON_Swamis_-_R_to_Y/His_Holiness_Radhanath_Swami/Lectures/00_-_Year_wise/Devotional_Nectar_-_1997/1997-136_Separation_From_Krishna_Is_Intolerable_SB-03_04_14-15_Mumbai_-_15-11-97_IDesireTree.mp3", "1997-136_Separation_From_Krishna_Is_Intolerable_SB-03_04_14-15_Mumbai_-_15-11-97_IDesireTree.mp3")</f>
        <v>1997-136_Separation_From_Krishna_Is_Intolerable_SB-03_04_14-15_Mumbai_-_15-11-97_IDesireTree.mp3</v>
      </c>
      <c r="D1321" s="11"/>
      <c r="E1321" s="11"/>
    </row>
    <row r="1322" spans="1:5">
      <c r="A1322" s="12" t="s">
        <v>12462</v>
      </c>
      <c r="B1322" s="12" t="s">
        <v>14265</v>
      </c>
      <c r="C1322" s="13" t="str">
        <f>HYPERLINK("https://audio.iskcondesiretree.com/02_-_ISKCON_Swamis/ISKCON_Swamis_-_R_to_Y/His_Holiness_Radhanath_Swami/Lectures/00_-_Year_wise/Devotional_Nectar_-_1997/1997-137_Govardhan_Lilla_SB-10_25_13_Mumbai_-_Radhanath_Swami_1997-11-16_IDesireTree.mp3", "1997-137_Govardhan_Lilla_SB-10_25_13_Mumbai_-_Radhanath_Swami_1997-11-16_IDesireTree.mp3")</f>
        <v>1997-137_Govardhan_Lilla_SB-10_25_13_Mumbai_-_Radhanath_Swami_1997-11-16_IDesireTree.mp3</v>
      </c>
      <c r="D1322" s="11"/>
      <c r="E1322" s="11"/>
    </row>
    <row r="1323" spans="1:5">
      <c r="A1323" s="12" t="s">
        <v>12462</v>
      </c>
      <c r="B1323" s="12" t="s">
        <v>14266</v>
      </c>
      <c r="C1323" s="13" t="str">
        <f>HYPERLINK("https://audio.iskcondesiretree.com/02_-_ISKCON_Swamis/ISKCON_Swamis_-_R_to_Y/His_Holiness_Radhanath_Swami/Lectures/00_-_Year_wise/Devotional_Nectar_-_1997/1997-138_Eye_Of_Scriptures_Lecture_Mumbai_-_Radhanath_Swami_1997-11-16_IDesireTree.mp3", "1997-138_Eye_Of_Scriptures_Lecture_Mumbai_-_Radhanath_Swami_1997-11-16_IDesireTree.mp3")</f>
        <v>1997-138_Eye_Of_Scriptures_Lecture_Mumbai_-_Radhanath_Swami_1997-11-16_IDesireTree.mp3</v>
      </c>
      <c r="D1323" s="11"/>
      <c r="E1323" s="11"/>
    </row>
    <row r="1324" spans="1:5">
      <c r="A1324" s="12" t="s">
        <v>12462</v>
      </c>
      <c r="B1324" s="12" t="e">
        <v>#VALUE!</v>
      </c>
      <c r="C1324" s="13" t="e">
        <f>HYPERLINK("https://audio.iskcondesiretree.com/02_-_ISKCON_Swamis/ISKCON_Swamis_-_R_to_Y/His_Holiness_Radhanath_Swami/Lectures/00_-_Year_wise/Devotional_Nectar_-_1997/1997-139_Instructions_To_Brahmacari_And_Departure_Address_SB-03_04_14-15_Mumbai_-_18-11-97_IDesireTr"&amp;"ee.mp3", "1997-139_Instructions_To_Brahmacari_And_Departure_Address_SB-03_04_14-15_Mumbai_-_18-11-97_IDesireTree.mp3")</f>
        <v>#VALUE!</v>
      </c>
      <c r="D1324" s="11"/>
      <c r="E1324" s="11"/>
    </row>
    <row r="1325" spans="1:5">
      <c r="A1325" s="12" t="s">
        <v>12462</v>
      </c>
      <c r="B1325" s="12" t="s">
        <v>14267</v>
      </c>
      <c r="C1325" s="13" t="str">
        <f>HYPERLINK("https://audio.iskcondesiretree.com/02_-_ISKCON_Swamis/ISKCON_Swamis_-_R_to_Y/His_Holiness_Radhanath_Swami/Lectures/00_-_Year_wise/Devotional_Nectar_-_1997/1997-140_Becoming_Servant_of_the_Servant_SB-03_04_18_Mumbai_-_18-11-97_new_IDesireTree.mp3", "1997-140_Becoming_Servant_of_the_Servant_SB-03_04_18_Mumbai_-_18-11-97_new_IDesireTree.mp3")</f>
        <v>1997-140_Becoming_Servant_of_the_Servant_SB-03_04_18_Mumbai_-_18-11-97_new_IDesireTree.mp3</v>
      </c>
      <c r="D1325" s="11"/>
      <c r="E1325" s="11"/>
    </row>
    <row r="1326" spans="1:5">
      <c r="A1326" s="12" t="s">
        <v>12462</v>
      </c>
      <c r="B1326" s="12" t="s">
        <v>14268</v>
      </c>
      <c r="C1326" s="13" t="str">
        <f>HYPERLINK("https://audio.iskcondesiretree.com/02_-_ISKCON_Swamis/ISKCON_Swamis_-_R_to_Y/His_Holiness_Radhanath_Swami/Lectures/00_-_Year_wise/Devotional_Nectar_-_1997/1997-141_SB-04_13_38_-_Radhanath_Swami_1997-12-02_IDesireTree.mp3", "1997-141_SB-04_13_38_-_Radhanath_Swami_1997-12-02_IDesireTree.mp3")</f>
        <v>1997-141_SB-04_13_38_-_Radhanath_Swami_1997-12-02_IDesireTree.mp3</v>
      </c>
      <c r="D1326" s="11"/>
      <c r="E1326" s="11"/>
    </row>
    <row r="1327" spans="1:5">
      <c r="A1327" s="12" t="s">
        <v>12462</v>
      </c>
      <c r="B1327" s="12" t="s">
        <v>14269</v>
      </c>
      <c r="C1327" s="13" t="str">
        <f>HYPERLINK("https://audio.iskcondesiretree.com/02_-_ISKCON_Swamis/ISKCON_Swamis_-_R_to_Y/His_Holiness_Radhanath_Swami/Lectures/00_-_Year_wise/Devotional_Nectar_-_1997/1997-142_BG-18_64_-_Radhanath_Swami_1997-12-03_IDesireTree.mp3", "1997-142_BG-18_64_-_Radhanath_Swami_1997-12-03_IDesireTree.mp3")</f>
        <v>1997-142_BG-18_64_-_Radhanath_Swami_1997-12-03_IDesireTree.mp3</v>
      </c>
      <c r="D1327" s="11"/>
      <c r="E1327" s="11"/>
    </row>
    <row r="1328" spans="1:5">
      <c r="A1328" s="12" t="s">
        <v>12462</v>
      </c>
      <c r="B1328" s="12" t="s">
        <v>14270</v>
      </c>
      <c r="C1328" s="13" t="str">
        <f>HYPERLINK("https://audio.iskcondesiretree.com/02_-_ISKCON_Swamis/ISKCON_Swamis_-_R_to_Y/His_Holiness_Radhanath_Swami/Lectures/00_-_Year_wise/Devotional_Nectar_-_1997/1997-143_SB-04_13_39_-_Radhanath_Swami_1997-12-03_IDesireTree.mp3", "1997-143_SB-04_13_39_-_Radhanath_Swami_1997-12-03_IDesireTree.mp3")</f>
        <v>1997-143_SB-04_13_39_-_Radhanath_Swami_1997-12-03_IDesireTree.mp3</v>
      </c>
      <c r="D1328" s="11"/>
      <c r="E1328" s="11"/>
    </row>
    <row r="1329" spans="1:5">
      <c r="A1329" s="12" t="s">
        <v>12462</v>
      </c>
      <c r="B1329" s="12" t="s">
        <v>14271</v>
      </c>
      <c r="C1329" s="13" t="str">
        <f>HYPERLINK("https://audio.iskcondesiretree.com/02_-_ISKCON_Swamis/ISKCON_Swamis_-_R_to_Y/His_Holiness_Radhanath_Swami/Lectures/00_-_Year_wise/Devotional_Nectar_-_1997/1997-144_BG-18_68_-_Radhanath_Swami_1997-12-04_IDesireTree.mp3", "1997-144_BG-18_68_-_Radhanath_Swami_1997-12-04_IDesireTree.mp3")</f>
        <v>1997-144_BG-18_68_-_Radhanath_Swami_1997-12-04_IDesireTree.mp3</v>
      </c>
      <c r="D1329" s="11"/>
      <c r="E1329" s="11"/>
    </row>
    <row r="1330" spans="1:5">
      <c r="A1330" s="12" t="s">
        <v>12462</v>
      </c>
      <c r="B1330" s="12" t="s">
        <v>14272</v>
      </c>
      <c r="C1330" s="13" t="str">
        <f>HYPERLINK("https://audio.iskcondesiretree.com/02_-_ISKCON_Swamis/ISKCON_Swamis_-_R_to_Y/His_Holiness_Radhanath_Swami/Lectures/00_-_Year_wise/Devotional_Nectar_-_1997/1997-145_SB-04_13_40_-_Radhanath_Swami_1997-12-04_IDesireTree.mp3", "1997-145_SB-04_13_40_-_Radhanath_Swami_1997-12-04_IDesireTree.mp3")</f>
        <v>1997-145_SB-04_13_40_-_Radhanath_Swami_1997-12-04_IDesireTree.mp3</v>
      </c>
      <c r="D1330" s="11"/>
      <c r="E1330" s="11"/>
    </row>
    <row r="1331" spans="1:5">
      <c r="A1331" s="12" t="s">
        <v>12462</v>
      </c>
      <c r="B1331" s="12" t="s">
        <v>14273</v>
      </c>
      <c r="C1331" s="13" t="str">
        <f>HYPERLINK("https://audio.iskcondesiretree.com/02_-_ISKCON_Swamis/ISKCON_Swamis_-_R_to_Y/His_Holiness_Radhanath_Swami/Lectures/00_-_Year_wise/Devotional_Nectar_-_1997/1997-146_To_always_Remember_Krishna_And_To_Never_Forget_Krishna_SB-01_08_42_London_IDesireTree.mp3", "1997-146_To_always_Remember_Krishna_And_To_Never_Forget_Krishna_SB-01_08_42_London_IDesireTree.mp3")</f>
        <v>1997-146_To_always_Remember_Krishna_And_To_Never_Forget_Krishna_SB-01_08_42_London_IDesireTree.mp3</v>
      </c>
      <c r="D1331" s="11"/>
      <c r="E1331" s="11"/>
    </row>
    <row r="1332" spans="1:5">
      <c r="A1332" s="12" t="s">
        <v>12462</v>
      </c>
      <c r="B1332" s="12" t="s">
        <v>14274</v>
      </c>
      <c r="C1332" s="13" t="str">
        <f>HYPERLINK("https://audio.iskcondesiretree.com/02_-_ISKCON_Swamis/ISKCON_Swamis_-_R_to_Y/His_Holiness_Radhanath_Swami/Lectures/00_-_Year_wise/Devotional_Nectar_-_1997/1997-147_The_Holiest_of_Holy_Places_-_Where_Devotees_Reside_Lecture_London_IDesireTree.mp3", "1997-147_The_Holiest_of_Holy_Places_-_Where_Devotees_Reside_Lecture_London_IDesireTree.mp3")</f>
        <v>1997-147_The_Holiest_of_Holy_Places_-_Where_Devotees_Reside_Lecture_London_IDesireTree.mp3</v>
      </c>
      <c r="D1332" s="11"/>
      <c r="E1332" s="11"/>
    </row>
    <row r="1333" spans="1:5">
      <c r="A1333" s="12" t="s">
        <v>12462</v>
      </c>
      <c r="B1333" s="12" t="s">
        <v>14275</v>
      </c>
      <c r="C1333" s="13" t="str">
        <f>HYPERLINK("https://audio.iskcondesiretree.com/02_-_ISKCON_Swamis/ISKCON_Swamis_-_R_to_Y/His_Holiness_Radhanath_Swami/Lectures/00_-_Year_wise/Devotional_Nectar_-_1997/1997-148_Understanding_The_Greatness_Of_Krishna_Lecture_London_Bhaktivedanta_Manor_IDesireTree.mp3", "1997-148_Understanding_The_Greatness_Of_Krishna_Lecture_London_Bhaktivedanta_Manor_IDesireTree.mp3")</f>
        <v>1997-148_Understanding_The_Greatness_Of_Krishna_Lecture_London_Bhaktivedanta_Manor_IDesireTree.mp3</v>
      </c>
      <c r="D1333" s="11"/>
      <c r="E1333" s="11"/>
    </row>
    <row r="1334" spans="1:5">
      <c r="A1334" s="12" t="s">
        <v>12462</v>
      </c>
      <c r="B1334" s="12" t="s">
        <v>14276</v>
      </c>
      <c r="C1334" s="13" t="str">
        <f>HYPERLINK("https://audio.iskcondesiretree.com/02_-_ISKCON_Swamis/ISKCON_Swamis_-_R_to_Y/His_Holiness_Radhanath_Swami/Lectures/00_-_Year_wise/Devotional_Nectar_-_1997/1997-149_Marriage_Ceremony_Address_Yogesh_chandra_Prabhu_%26_Niti_Mataji_Lecture_IDesireTree.mp3", "1997-149_Marriage_Ceremony_Address_Yogesh_chandra_Prabhu_%26_Niti_Mataji_Lecture_IDesireTree.mp3")</f>
        <v>1997-149_Marriage_Ceremony_Address_Yogesh_chandra_Prabhu_%26_Niti_Mataji_Lecture_IDesireTree.mp3</v>
      </c>
      <c r="D1334" s="11"/>
      <c r="E1334" s="11"/>
    </row>
    <row r="1335" spans="1:5">
      <c r="A1335" s="12" t="s">
        <v>12462</v>
      </c>
      <c r="B1335" s="12" t="s">
        <v>14277</v>
      </c>
      <c r="C1335" s="13" t="str">
        <f>HYPERLINK("https://audio.iskcondesiretree.com/02_-_ISKCON_Swamis/ISKCON_Swamis_-_R_to_Y/His_Holiness_Radhanath_Swami/Lectures/00_-_Year_wise/Devotional_Nectar_-_1998/1998-001_Weeds_of_False_Ego_SB-03_05_29_Mumbai_-_Radhanath_Swami_1998-01-01_IDesireTree.mp3", "1998-001_Weeds_of_False_Ego_SB-03_05_29_Mumbai_-_Radhanath_Swami_1998-01-01_IDesireTree.mp3")</f>
        <v>1998-001_Weeds_of_False_Ego_SB-03_05_29_Mumbai_-_Radhanath_Swami_1998-01-01_IDesireTree.mp3</v>
      </c>
      <c r="D1335" s="11"/>
      <c r="E1335" s="11"/>
    </row>
    <row r="1336" spans="1:5">
      <c r="A1336" s="12" t="s">
        <v>12462</v>
      </c>
      <c r="B1336" s="12" t="s">
        <v>14278</v>
      </c>
      <c r="C1336" s="13" t="str">
        <f>HYPERLINK("https://audio.iskcondesiretree.com/02_-_ISKCON_Swamis/ISKCON_Swamis_-_R_to_Y/His_Holiness_Radhanath_Swami/Lectures/00_-_Year_wise/Devotional_Nectar_-_1998/1998-002_Pushya_Abhishek_Lecture_Mumbai_-_Radhanath_Swami_1998-01-12_IDesireTree.mp3", "1998-002_Pushya_Abhishek_Lecture_Mumbai_-_Radhanath_Swami_1998-01-12_IDesireTree.mp3")</f>
        <v>1998-002_Pushya_Abhishek_Lecture_Mumbai_-_Radhanath_Swami_1998-01-12_IDesireTree.mp3</v>
      </c>
      <c r="D1336" s="11"/>
      <c r="E1336" s="11"/>
    </row>
    <row r="1337" spans="1:5">
      <c r="A1337" s="12" t="s">
        <v>12462</v>
      </c>
      <c r="B1337" s="12" t="s">
        <v>14279</v>
      </c>
      <c r="C1337" s="13" t="str">
        <f>HYPERLINK("https://audio.iskcondesiretree.com/02_-_ISKCON_Swamis/ISKCON_Swamis_-_R_to_Y/His_Holiness_Radhanath_Swami/Lectures/00_-_Year_wise/Devotional_Nectar_-_1998/1998-003_Relationship_Between_Krishna_%26_Bhisma_SB-01_09_23_Mumbai_-_14-01-98_IDesireTree.mp3", "1998-003_Relationship_Between_Krishna_%26_Bhisma_SB-01_09_23_Mumbai_-_14-01-98_IDesireTree.mp3")</f>
        <v>1998-003_Relationship_Between_Krishna_%26_Bhisma_SB-01_09_23_Mumbai_-_14-01-98_IDesireTree.mp3</v>
      </c>
      <c r="D1337" s="11"/>
      <c r="E1337" s="11"/>
    </row>
    <row r="1338" spans="1:5">
      <c r="A1338" s="12" t="s">
        <v>12462</v>
      </c>
      <c r="B1338" s="12" t="s">
        <v>14280</v>
      </c>
      <c r="C1338" s="13" t="str">
        <f>HYPERLINK("https://audio.iskcondesiretree.com/02_-_ISKCON_Swamis/ISKCON_Swamis_-_R_to_Y/His_Holiness_Radhanath_Swami/Lectures/00_-_Year_wise/Devotional_Nectar_-_1998/1998-004_Perform_Your_Duties_In_Devotional_Service_SB-03_05_40_Mumbai_-_17-01-98_IDesireTree.mp3", "1998-004_Perform_Your_Duties_In_Devotional_Service_SB-03_05_40_Mumbai_-_17-01-98_IDesireTree.mp3")</f>
        <v>1998-004_Perform_Your_Duties_In_Devotional_Service_SB-03_05_40_Mumbai_-_17-01-98_IDesireTree.mp3</v>
      </c>
      <c r="D1338" s="11"/>
      <c r="E1338" s="11"/>
    </row>
    <row r="1339" spans="1:5">
      <c r="A1339" s="12" t="s">
        <v>12462</v>
      </c>
      <c r="B1339" s="12" t="s">
        <v>14281</v>
      </c>
      <c r="C1339" s="13" t="str">
        <f>HYPERLINK("https://audio.iskcondesiretree.com/02_-_ISKCON_Swamis/ISKCON_Swamis_-_R_to_Y/His_Holiness_Radhanath_Swami/Lectures/00_-_Year_wise/Devotional_Nectar_-_1998/1998-005_Nectar_of_Lotus_Feet_SB-03_05_41_Mumbai_-_Radhanath_Swami_1998-01-18_IDesireTree.mp3", "1998-005_Nectar_of_Lotus_Feet_SB-03_05_41_Mumbai_-_Radhanath_Swami_1998-01-18_IDesireTree.mp3")</f>
        <v>1998-005_Nectar_of_Lotus_Feet_SB-03_05_41_Mumbai_-_Radhanath_Swami_1998-01-18_IDesireTree.mp3</v>
      </c>
      <c r="D1339" s="11"/>
      <c r="E1339" s="11"/>
    </row>
    <row r="1340" spans="1:5">
      <c r="A1340" s="12" t="s">
        <v>12462</v>
      </c>
      <c r="B1340" s="12" t="s">
        <v>14282</v>
      </c>
      <c r="C1340" s="13" t="str">
        <f>HYPERLINK("https://audio.iskcondesiretree.com/02_-_ISKCON_Swamis/ISKCON_Swamis_-_R_to_Y/His_Holiness_Radhanath_Swami/Lectures/00_-_Year_wise/Devotional_Nectar_-_1998/1998-006_Appearance_of_Srila_Gopal_Bhatt_Goswami_Lecture_Mumbai_-_18-01-98_IDesireTree.mp3", "1998-006_Appearance_of_Srila_Gopal_Bhatt_Goswami_Lecture_Mumbai_-_18-01-98_IDesireTree.mp3")</f>
        <v>1998-006_Appearance_of_Srila_Gopal_Bhatt_Goswami_Lecture_Mumbai_-_18-01-98_IDesireTree.mp3</v>
      </c>
      <c r="D1340" s="11"/>
      <c r="E1340" s="11"/>
    </row>
    <row r="1341" spans="1:5">
      <c r="A1341" s="12" t="s">
        <v>12462</v>
      </c>
      <c r="B1341" s="12" t="s">
        <v>14283</v>
      </c>
      <c r="C1341" s="13" t="str">
        <f>HYPERLINK("https://audio.iskcondesiretree.com/02_-_ISKCON_Swamis/ISKCON_Swamis_-_R_to_Y/His_Holiness_Radhanath_Swami/Lectures/00_-_Year_wise/Devotional_Nectar_-_1998/1998-007_Using_Our_Free_Will_Properly_Lecture_Mumbai_-_Radhanath_Swami_1998-01-20_IDesireTree.mp3", "1998-007_Using_Our_Free_Will_Properly_Lecture_Mumbai_-_Radhanath_Swami_1998-01-20_IDesireTree.mp3")</f>
        <v>1998-007_Using_Our_Free_Will_Properly_Lecture_Mumbai_-_Radhanath_Swami_1998-01-20_IDesireTree.mp3</v>
      </c>
      <c r="D1341" s="11"/>
      <c r="E1341" s="11"/>
    </row>
    <row r="1342" spans="1:5">
      <c r="A1342" s="12" t="s">
        <v>12462</v>
      </c>
      <c r="B1342" s="12" t="s">
        <v>14284</v>
      </c>
      <c r="C1342" s="13" t="str">
        <f>HYPERLINK("https://audio.iskcondesiretree.com/02_-_ISKCON_Swamis/ISKCON_Swamis_-_R_to_Y/His_Holiness_Radhanath_Swami/Lectures/00_-_Year_wise/Devotional_Nectar_-_1998/1998-008_More_You_Have_More_You_Suffer_SB-03_09_06_Mumbai_-_21-01-98_IDesireTree.mp3", "1998-008_More_You_Have_More_You_Suffer_SB-03_09_06_Mumbai_-_21-01-98_IDesireTree.mp3")</f>
        <v>1998-008_More_You_Have_More_You_Suffer_SB-03_09_06_Mumbai_-_21-01-98_IDesireTree.mp3</v>
      </c>
      <c r="D1342" s="11"/>
      <c r="E1342" s="11"/>
    </row>
    <row r="1343" spans="1:5">
      <c r="A1343" s="12" t="s">
        <v>12462</v>
      </c>
      <c r="B1343" s="12" t="s">
        <v>14285</v>
      </c>
      <c r="C1343" s="13" t="str">
        <f>HYPERLINK("https://audio.iskcondesiretree.com/02_-_ISKCON_Swamis/ISKCON_Swamis_-_R_to_Y/His_Holiness_Radhanath_Swami/Lectures/00_-_Year_wise/Devotional_Nectar_-_1998/1998-009_Arrival_Address_Lecture_Pune_-_Radhanath_Swami_1998-01-23_IDesireTree.mp3", "1998-009_Arrival_Address_Lecture_Pune_-_Radhanath_Swami_1998-01-23_IDesireTree.mp3")</f>
        <v>1998-009_Arrival_Address_Lecture_Pune_-_Radhanath_Swami_1998-01-23_IDesireTree.mp3</v>
      </c>
      <c r="D1343" s="11"/>
      <c r="E1343" s="11"/>
    </row>
    <row r="1344" spans="1:5">
      <c r="A1344" s="12" t="s">
        <v>12462</v>
      </c>
      <c r="B1344" s="12" t="s">
        <v>14286</v>
      </c>
      <c r="C1344" s="13" t="str">
        <f>HYPERLINK("https://audio.iskcondesiretree.com/02_-_ISKCON_Swamis/ISKCON_Swamis_-_R_to_Y/His_Holiness_Radhanath_Swami/Lectures/00_-_Year_wise/Devotional_Nectar_-_1998/1998-01-22_SB_09-16-07-09_-_Radhanath_Swami_Radhanath_Swami_Mumbai.mp3", "1998-01-22_SB_09-16-07-09_-_Radhanath_Swami_Radhanath_Swami_Mumbai.mp3")</f>
        <v>1998-01-22_SB_09-16-07-09_-_Radhanath_Swami_Radhanath_Swami_Mumbai.mp3</v>
      </c>
      <c r="D1344" s="11"/>
      <c r="E1344" s="11"/>
    </row>
    <row r="1345" spans="1:5">
      <c r="A1345" s="12" t="s">
        <v>12462</v>
      </c>
      <c r="B1345" s="12" t="s">
        <v>14287</v>
      </c>
      <c r="C1345" s="13" t="str">
        <f>HYPERLINK("https://audio.iskcondesiretree.com/02_-_ISKCON_Swamis/ISKCON_Swamis_-_R_to_Y/His_Holiness_Radhanath_Swami/Lectures/00_-_Year_wise/Devotional_Nectar_-_1998/1998-010_Questions_%26_Answers_Q%26A_Pune_-_Radhanath_Swami_1998-01-23_IDesireTree.mp3", "1998-010_Questions_%26_Answers_Q%26A_Pune_-_Radhanath_Swami_1998-01-23_IDesireTree.mp3")</f>
        <v>1998-010_Questions_%26_Answers_Q%26A_Pune_-_Radhanath_Swami_1998-01-23_IDesireTree.mp3</v>
      </c>
      <c r="D1345" s="11"/>
      <c r="E1345" s="11"/>
    </row>
    <row r="1346" spans="1:5">
      <c r="A1346" s="12" t="s">
        <v>12462</v>
      </c>
      <c r="B1346" s="12" t="s">
        <v>14288</v>
      </c>
      <c r="C1346" s="13" t="str">
        <f>HYPERLINK("https://audio.iskcondesiretree.com/02_-_ISKCON_Swamis/ISKCON_Swamis_-_R_to_Y/His_Holiness_Radhanath_Swami/Lectures/00_-_Year_wise/Devotional_Nectar_-_1998/1998-011_Jada_Bharat_%26_Human_Sacrifice_SB-09_16_30-31_Mumbai_-_28-01-98_IDesireTree.mp3", "1998-011_Jada_Bharat_%26_Human_Sacrifice_SB-09_16_30-31_Mumbai_-_28-01-98_IDesireTree.mp3")</f>
        <v>1998-011_Jada_Bharat_%26_Human_Sacrifice_SB-09_16_30-31_Mumbai_-_28-01-98_IDesireTree.mp3</v>
      </c>
      <c r="D1346" s="11"/>
      <c r="E1346" s="11"/>
    </row>
    <row r="1347" spans="1:5">
      <c r="A1347" s="12" t="s">
        <v>12462</v>
      </c>
      <c r="B1347" s="12" t="s">
        <v>14289</v>
      </c>
      <c r="C1347" s="13" t="str">
        <f>HYPERLINK("https://audio.iskcondesiretree.com/02_-_ISKCON_Swamis/ISKCON_Swamis_-_R_to_Y/His_Holiness_Radhanath_Swami/Lectures/00_-_Year_wise/Devotional_Nectar_-_1998/1998-012_Brahmacari_Class_and_Q%26A_Q%26A_Mumbai_-_Radhanath_Swami_1998-01-30_IDesireTree.mp3", "1998-012_Brahmacari_Class_and_Q%26A_Q%26A_Mumbai_-_Radhanath_Swami_1998-01-30_IDesireTree.mp3")</f>
        <v>1998-012_Brahmacari_Class_and_Q%26A_Q%26A_Mumbai_-_Radhanath_Swami_1998-01-30_IDesireTree.mp3</v>
      </c>
      <c r="D1347" s="11"/>
      <c r="E1347" s="11"/>
    </row>
    <row r="1348" spans="1:5">
      <c r="A1348" s="12" t="s">
        <v>12462</v>
      </c>
      <c r="B1348" s="12" t="s">
        <v>14290</v>
      </c>
      <c r="C1348" s="13" t="str">
        <f>HYPERLINK("https://audio.iskcondesiretree.com/02_-_ISKCON_Swamis/ISKCON_Swamis_-_R_to_Y/His_Holiness_Radhanath_Swami/Lectures/00_-_Year_wise/Devotional_Nectar_-_1998/1998-013_Gaura_Nitai_Deity_Welcoming_Lecture_Mumbai_-_Radhanath_Swami_1998-01-30_IDesireTree.mp3", "1998-013_Gaura_Nitai_Deity_Welcoming_Lecture_Mumbai_-_Radhanath_Swami_1998-01-30_IDesireTree.mp3")</f>
        <v>1998-013_Gaura_Nitai_Deity_Welcoming_Lecture_Mumbai_-_Radhanath_Swami_1998-01-30_IDesireTree.mp3</v>
      </c>
      <c r="D1348" s="11"/>
      <c r="E1348" s="11"/>
    </row>
    <row r="1349" spans="1:5">
      <c r="A1349" s="12" t="s">
        <v>12462</v>
      </c>
      <c r="B1349" s="12" t="s">
        <v>14291</v>
      </c>
      <c r="C1349" s="13" t="str">
        <f>HYPERLINK("https://audio.iskcondesiretree.com/02_-_ISKCON_Swamis/ISKCON_Swamis_-_R_to_Y/His_Holiness_Radhanath_Swami/Lectures/00_-_Year_wise/Devotional_Nectar_-_1998/1998-014_Pleasing_Demigods_SB-03_05_49_Mumbai_-_Radhanath_Swami_1998-01-31_IDesireTree.mp3", "1998-014_Pleasing_Demigods_SB-03_05_49_Mumbai_-_Radhanath_Swami_1998-01-31_IDesireTree.mp3")</f>
        <v>1998-014_Pleasing_Demigods_SB-03_05_49_Mumbai_-_Radhanath_Swami_1998-01-31_IDesireTree.mp3</v>
      </c>
      <c r="D1349" s="11"/>
      <c r="E1349" s="11"/>
    </row>
    <row r="1350" spans="1:5">
      <c r="A1350" s="12" t="s">
        <v>12462</v>
      </c>
      <c r="B1350" s="12" t="s">
        <v>14292</v>
      </c>
      <c r="C1350" s="13" t="str">
        <f>HYPERLINK("https://audio.iskcondesiretree.com/02_-_ISKCON_Swamis/ISKCON_Swamis_-_R_to_Y/His_Holiness_Radhanath_Swami/Lectures/00_-_Year_wise/Devotional_Nectar_-_1998/1998-015_Fixed_Determination_BG-02_41_Mumbai_-_Radhanath_Swami_1998-01-31_IDesireTree.mp3", "1998-015_Fixed_Determination_BG-02_41_Mumbai_-_Radhanath_Swami_1998-01-31_IDesireTree.mp3")</f>
        <v>1998-015_Fixed_Determination_BG-02_41_Mumbai_-_Radhanath_Swami_1998-01-31_IDesireTree.mp3</v>
      </c>
      <c r="D1350" s="11"/>
      <c r="E1350" s="11"/>
    </row>
    <row r="1351" spans="1:5">
      <c r="A1351" s="12" t="s">
        <v>12462</v>
      </c>
      <c r="B1351" s="12" t="s">
        <v>14293</v>
      </c>
      <c r="C1351" s="13" t="str">
        <f>HYPERLINK("https://audio.iskcondesiretree.com/02_-_ISKCON_Swamis/ISKCON_Swamis_-_R_to_Y/His_Holiness_Radhanath_Swami/Lectures/00_-_Year_wise/Devotional_Nectar_-_1998/1998-016_Life_of_Srila_Raghunath_Das_Goswami_Lecture_Mumbai_-_01-02-98_IDesireTree.mp3", "1998-016_Life_of_Srila_Raghunath_Das_Goswami_Lecture_Mumbai_-_01-02-98_IDesireTree.mp3")</f>
        <v>1998-016_Life_of_Srila_Raghunath_Das_Goswami_Lecture_Mumbai_-_01-02-98_IDesireTree.mp3</v>
      </c>
      <c r="D1351" s="11"/>
      <c r="E1351" s="11"/>
    </row>
    <row r="1352" spans="1:5">
      <c r="A1352" s="12" t="s">
        <v>12462</v>
      </c>
      <c r="B1352" s="12" t="s">
        <v>14294</v>
      </c>
      <c r="C1352" s="13" t="str">
        <f>HYPERLINK("https://audio.iskcondesiretree.com/02_-_ISKCON_Swamis/ISKCON_Swamis_-_R_to_Y/His_Holiness_Radhanath_Swami/Lectures/00_-_Year_wise/Devotional_Nectar_-_1998/1998-017_Pastimes_of_Srila_Rupa_Goswami_I_Lecture_Pune_-_Radhanath_Swami_1998-01-24_IDesireTree.mp3", "1998-017_Pastimes_of_Srila_Rupa_Goswami_I_Lecture_Pune_-_Radhanath_Swami_1998-01-24_IDesireTree.mp3")</f>
        <v>1998-017_Pastimes_of_Srila_Rupa_Goswami_I_Lecture_Pune_-_Radhanath_Swami_1998-01-24_IDesireTree.mp3</v>
      </c>
      <c r="D1352" s="11"/>
      <c r="E1352" s="11"/>
    </row>
    <row r="1353" spans="1:5">
      <c r="A1353" s="12" t="s">
        <v>12462</v>
      </c>
      <c r="B1353" s="12" t="s">
        <v>14295</v>
      </c>
      <c r="C1353" s="13" t="str">
        <f>HYPERLINK("https://audio.iskcondesiretree.com/02_-_ISKCON_Swamis/ISKCON_Swamis_-_R_to_Y/His_Holiness_Radhanath_Swami/Lectures/00_-_Year_wise/Devotional_Nectar_-_1998/1998-018_Pastimes_of_Srila_Rupa_Goswami_II_Lecture_Pune_-_Radhanath_Swami_1998-01-24_IDesireTree.mp3", "1998-018_Pastimes_of_Srila_Rupa_Goswami_II_Lecture_Pune_-_Radhanath_Swami_1998-01-24_IDesireTree.mp3")</f>
        <v>1998-018_Pastimes_of_Srila_Rupa_Goswami_II_Lecture_Pune_-_Radhanath_Swami_1998-01-24_IDesireTree.mp3</v>
      </c>
      <c r="D1353" s="11"/>
      <c r="E1353" s="11"/>
    </row>
    <row r="1354" spans="1:5">
      <c r="A1354" s="12" t="s">
        <v>12462</v>
      </c>
      <c r="B1354" s="12" t="s">
        <v>14296</v>
      </c>
      <c r="C1354" s="13" t="str">
        <f>HYPERLINK("https://audio.iskcondesiretree.com/02_-_ISKCON_Swamis/ISKCON_Swamis_-_R_to_Y/His_Holiness_Radhanath_Swami/Lectures/00_-_Year_wise/Devotional_Nectar_-_1998/1998-019_Pastimes_of_Srila_Rupa_Goswami_III_Lecture_Pune_-_24-01-98_IDesireTree.mp3", "1998-019_Pastimes_of_Srila_Rupa_Goswami_III_Lecture_Pune_-_24-01-98_IDesireTree.mp3")</f>
        <v>1998-019_Pastimes_of_Srila_Rupa_Goswami_III_Lecture_Pune_-_24-01-98_IDesireTree.mp3</v>
      </c>
      <c r="D1354" s="11"/>
      <c r="E1354" s="11"/>
    </row>
    <row r="1355" spans="1:5">
      <c r="A1355" s="12" t="s">
        <v>12462</v>
      </c>
      <c r="B1355" s="12" t="s">
        <v>14297</v>
      </c>
      <c r="C1355" s="13" t="str">
        <f>HYPERLINK("https://audio.iskcondesiretree.com/02_-_ISKCON_Swamis/ISKCON_Swamis_-_R_to_Y/His_Holiness_Radhanath_Swami/Lectures/00_-_Year_wise/Devotional_Nectar_-_1998/1998-020_Spiritual_Life_Means_to_Control_Mind_BG-06_36_Mumbai_-_27-01-98_IDesireTree.mp3", "1998-020_Spiritual_Life_Means_to_Control_Mind_BG-06_36_Mumbai_-_27-01-98_IDesireTree.mp3")</f>
        <v>1998-020_Spiritual_Life_Means_to_Control_Mind_BG-06_36_Mumbai_-_27-01-98_IDesireTree.mp3</v>
      </c>
      <c r="D1355" s="11"/>
      <c r="E1355" s="11"/>
    </row>
    <row r="1356" spans="1:5">
      <c r="A1356" s="12" t="s">
        <v>12462</v>
      </c>
      <c r="B1356" s="12" t="s">
        <v>14298</v>
      </c>
      <c r="C1356" s="13" t="str">
        <f>HYPERLINK("https://audio.iskcondesiretree.com/02_-_ISKCON_Swamis/ISKCON_Swamis_-_R_to_Y/His_Holiness_Radhanath_Swami/Lectures/00_-_Year_wise/Devotional_Nectar_-_1998/1998-021_Pastimes_of_Srila_Vishwanath_Chakravarthy_Thakur_Lecture_Mumbai_-_01-02-98_IDesireTree.mp3", "1998-021_Pastimes_of_Srila_Vishwanath_Chakravarthy_Thakur_Lecture_Mumbai_-_01-02-98_IDesireTree.mp3")</f>
        <v>1998-021_Pastimes_of_Srila_Vishwanath_Chakravarthy_Thakur_Lecture_Mumbai_-_01-02-98_IDesireTree.mp3</v>
      </c>
      <c r="D1356" s="11"/>
      <c r="E1356" s="11"/>
    </row>
    <row r="1357" spans="1:5">
      <c r="A1357" s="12" t="s">
        <v>12462</v>
      </c>
      <c r="B1357" s="12" t="s">
        <v>14299</v>
      </c>
      <c r="C1357" s="13" t="str">
        <f>HYPERLINK("https://audio.iskcondesiretree.com/02_-_ISKCON_Swamis/ISKCON_Swamis_-_R_to_Y/His_Holiness_Radhanath_Swami/Lectures/00_-_Year_wise/Devotional_Nectar_-_1998/1998-022_Lord%27s_Pastimes_in_the_Ocean_Lecture_Mumbai_-_Radhanath_Swami_1998-02-02_IDesireTree.mp3", "1998-022_Lord%27s_Pastimes_in_the_Ocean_Lecture_Mumbai_-_Radhanath_Swami_1998-02-02_IDesireTree.mp3")</f>
        <v>1998-022_Lord%27s_Pastimes_in_the_Ocean_Lecture_Mumbai_-_Radhanath_Swami_1998-02-02_IDesireTree.mp3</v>
      </c>
      <c r="D1357" s="11"/>
      <c r="E1357" s="11"/>
    </row>
    <row r="1358" spans="1:5">
      <c r="A1358" s="12" t="s">
        <v>12462</v>
      </c>
      <c r="B1358" s="12" t="s">
        <v>14300</v>
      </c>
      <c r="C1358" s="13" t="str">
        <f>HYPERLINK("https://audio.iskcondesiretree.com/02_-_ISKCON_Swamis/ISKCON_Swamis_-_R_to_Y/His_Holiness_Radhanath_Swami/Lectures/00_-_Year_wise/Devotional_Nectar_-_1998/1998-023_Sripad_Madhvacaryas_Disappearance_Day_SB-09_18_16_Mumbai_-_02-02-98_IDesireTree.mp3", "1998-023_Sripad_Madhvacaryas_Disappearance_Day_SB-09_18_16_Mumbai_-_02-02-98_IDesireTree.mp3")</f>
        <v>1998-023_Sripad_Madhvacaryas_Disappearance_Day_SB-09_18_16_Mumbai_-_02-02-98_IDesireTree.mp3</v>
      </c>
      <c r="D1358" s="11"/>
      <c r="E1358" s="11"/>
    </row>
    <row r="1359" spans="1:5">
      <c r="A1359" s="12" t="s">
        <v>12462</v>
      </c>
      <c r="B1359" s="12" t="s">
        <v>14301</v>
      </c>
      <c r="C1359" s="13" t="str">
        <f>HYPERLINK("https://audio.iskcondesiretree.com/02_-_ISKCON_Swamis/ISKCON_Swamis_-_R_to_Y/His_Holiness_Radhanath_Swami/Lectures/00_-_Year_wise/Devotional_Nectar_-_1998/1998-024_Understand_the_Laws_of_Nature_BG-04_06_Mumbai_-_Radhanath_Swami_1998-02-03_IDesireTree.mp3", "1998-024_Understand_the_Laws_of_Nature_BG-04_06_Mumbai_-_Radhanath_Swami_1998-02-03_IDesireTree.mp3")</f>
        <v>1998-024_Understand_the_Laws_of_Nature_BG-04_06_Mumbai_-_Radhanath_Swami_1998-02-03_IDesireTree.mp3</v>
      </c>
      <c r="D1359" s="11"/>
      <c r="E1359" s="11"/>
    </row>
    <row r="1360" spans="1:5">
      <c r="A1360" s="12" t="s">
        <v>12462</v>
      </c>
      <c r="B1360" s="12" t="s">
        <v>14302</v>
      </c>
      <c r="C1360" s="13" t="str">
        <f>HYPERLINK("https://audio.iskcondesiretree.com/02_-_ISKCON_Swamis/ISKCON_Swamis_-_R_to_Y/His_Holiness_Radhanath_Swami/Lectures/00_-_Year_wise/Devotional_Nectar_-_1998/1998-025_Tapasya-_Purpose_of_Human_Existence_SB-03_09_17_Mumbai_-_04-02-98_IDesireTree.mp3", "1998-025_Tapasya-_Purpose_of_Human_Existence_SB-03_09_17_Mumbai_-_04-02-98_IDesireTree.mp3")</f>
        <v>1998-025_Tapasya-_Purpose_of_Human_Existence_SB-03_09_17_Mumbai_-_04-02-98_IDesireTree.mp3</v>
      </c>
      <c r="D1360" s="11"/>
      <c r="E1360" s="11"/>
    </row>
    <row r="1361" spans="1:5">
      <c r="A1361" s="12" t="s">
        <v>12462</v>
      </c>
      <c r="B1361" s="12" t="s">
        <v>14303</v>
      </c>
      <c r="C1361" s="13" t="str">
        <f>HYPERLINK("https://audio.iskcondesiretree.com/02_-_ISKCON_Swamis/ISKCON_Swamis_-_R_to_Y/His_Holiness_Radhanath_Swami/Lectures/00_-_Year_wise/Devotional_Nectar_-_1998/1998-026_Only_Krishna_is_Infalliable_BG-15_16-17_Mumbai_-_Radhanath_Swami_1998-02-07_IDesireTree.mp3", "1998-026_Only_Krishna_is_Infalliable_BG-15_16-17_Mumbai_-_Radhanath_Swami_1998-02-07_IDesireTree.mp3")</f>
        <v>1998-026_Only_Krishna_is_Infalliable_BG-15_16-17_Mumbai_-_Radhanath_Swami_1998-02-07_IDesireTree.mp3</v>
      </c>
      <c r="D1361" s="11"/>
      <c r="E1361" s="11"/>
    </row>
    <row r="1362" spans="1:5">
      <c r="A1362" s="12" t="s">
        <v>12462</v>
      </c>
      <c r="B1362" s="12" t="s">
        <v>14304</v>
      </c>
      <c r="C1362" s="13" t="str">
        <f>HYPERLINK("https://audio.iskcondesiretree.com/02_-_ISKCON_Swamis/ISKCON_Swamis_-_R_to_Y/His_Holiness_Radhanath_Swami/Lectures/00_-_Year_wise/Devotional_Nectar_-_1998/1998-027_Approach_Krishna_With_the_Desire_to_Serve_SB-03_06_03_Mumbai_-_07-02-98_IDesireTree.mp3", "1998-027_Approach_Krishna_With_the_Desire_to_Serve_SB-03_06_03_Mumbai_-_07-02-98_IDesireTree.mp3")</f>
        <v>1998-027_Approach_Krishna_With_the_Desire_to_Serve_SB-03_06_03_Mumbai_-_07-02-98_IDesireTree.mp3</v>
      </c>
      <c r="D1362" s="11"/>
      <c r="E1362" s="11"/>
    </row>
    <row r="1363" spans="1:5">
      <c r="A1363" s="12" t="s">
        <v>12462</v>
      </c>
      <c r="B1363" s="12" t="e">
        <v>#VALUE!</v>
      </c>
      <c r="C1363" s="13" t="e">
        <f>HYPERLINK("https://audio.iskcondesiretree.com/02_-_ISKCON_Swamis/ISKCON_Swamis_-_R_to_Y/His_Holiness_Radhanath_Swami/Lectures/00_-_Year_wise/Devotional_Nectar_-_1998/1998-028_Virat_Rupa_%26_Archa_Vigraha_SB-03_06_04_Mumbai_-_Radhanath_Swami_1998-02-08_IDesireTree.mp"&amp;"3", "1998-028_Virat_Rupa_%26_Archa_Vigraha_SB-03_06_04_Mumbai_-_Radhanath_Swami_1998-02-08_IDesireTree.mp3")</f>
        <v>#VALUE!</v>
      </c>
      <c r="D1363" s="11"/>
      <c r="E1363" s="11"/>
    </row>
    <row r="1364" spans="1:5">
      <c r="A1364" s="12" t="s">
        <v>12462</v>
      </c>
      <c r="B1364" s="12" t="s">
        <v>14305</v>
      </c>
      <c r="C1364" s="13" t="str">
        <f>HYPERLINK("https://audio.iskcondesiretree.com/02_-_ISKCON_Swamis/ISKCON_Swamis_-_R_to_Y/His_Holiness_Radhanath_Swami/Lectures/00_-_Year_wise/Devotional_Nectar_-_1998/1998-029_Lord_Varahadev_Appearance_Day_Lecture_Mumbai_-_Radhanath_Swami_1998-02-08_IDesireTree.mp3", "1998-029_Lord_Varahadev_Appearance_Day_Lecture_Mumbai_-_Radhanath_Swami_1998-02-08_IDesireTree.mp3")</f>
        <v>1998-029_Lord_Varahadev_Appearance_Day_Lecture_Mumbai_-_Radhanath_Swami_1998-02-08_IDesireTree.mp3</v>
      </c>
      <c r="D1364" s="11"/>
      <c r="E1364" s="11"/>
    </row>
    <row r="1365" spans="1:5">
      <c r="A1365" s="12" t="s">
        <v>12462</v>
      </c>
      <c r="B1365" s="12" t="s">
        <v>14306</v>
      </c>
      <c r="C1365" s="13" t="str">
        <f>HYPERLINK("https://audio.iskcondesiretree.com/02_-_ISKCON_Swamis/ISKCON_Swamis_-_R_to_Y/His_Holiness_Radhanath_Swami/Lectures/00_-_Year_wise/Devotional_Nectar_-_1998/1998-030_Pastimes_of_Lord_Nityananda_Prabhu_Lecture_Mumbai_-_09-02-98_IDesireTree.mp3", "1998-030_Pastimes_of_Lord_Nityananda_Prabhu_Lecture_Mumbai_-_09-02-98_IDesireTree.mp3")</f>
        <v>1998-030_Pastimes_of_Lord_Nityananda_Prabhu_Lecture_Mumbai_-_09-02-98_IDesireTree.mp3</v>
      </c>
      <c r="D1365" s="11"/>
      <c r="E1365" s="11"/>
    </row>
    <row r="1366" spans="1:5">
      <c r="A1366" s="12" t="s">
        <v>12462</v>
      </c>
      <c r="B1366" s="12" t="s">
        <v>14307</v>
      </c>
      <c r="C1366" s="13" t="str">
        <f>HYPERLINK("https://audio.iskcondesiretree.com/02_-_ISKCON_Swamis/ISKCON_Swamis_-_R_to_Y/His_Holiness_Radhanath_Swami/Lectures/00_-_Year_wise/Devotional_Nectar_-_1998/1998-031_Pastimes_of_Lord_Nityananda_Prabhu_eve_Lecture_Mumbai_-_09-02-98_IDesireTree.mp3", "1998-031_Pastimes_of_Lord_Nityananda_Prabhu_eve_Lecture_Mumbai_-_09-02-98_IDesireTree.mp3")</f>
        <v>1998-031_Pastimes_of_Lord_Nityananda_Prabhu_eve_Lecture_Mumbai_-_09-02-98_IDesireTree.mp3</v>
      </c>
      <c r="D1366" s="11"/>
      <c r="E1366" s="11"/>
    </row>
    <row r="1367" spans="1:5">
      <c r="A1367" s="12" t="s">
        <v>12462</v>
      </c>
      <c r="B1367" s="12" t="s">
        <v>14308</v>
      </c>
      <c r="C1367" s="13" t="str">
        <f>HYPERLINK("https://audio.iskcondesiretree.com/02_-_ISKCON_Swamis/ISKCON_Swamis_-_R_to_Y/His_Holiness_Radhanath_Swami/Lectures/00_-_Year_wise/Devotional_Nectar_-_1998/1998-032_Training_Our_Mind_Lecture_Mumbai_-_Radhanath_Swami_1998-02-10_IDesireTree.mp3", "1998-032_Training_Our_Mind_Lecture_Mumbai_-_Radhanath_Swami_1998-02-10_IDesireTree.mp3")</f>
        <v>1998-032_Training_Our_Mind_Lecture_Mumbai_-_Radhanath_Swami_1998-02-10_IDesireTree.mp3</v>
      </c>
      <c r="D1367" s="11"/>
      <c r="E1367" s="11"/>
    </row>
    <row r="1368" spans="1:5">
      <c r="A1368" s="12" t="s">
        <v>12462</v>
      </c>
      <c r="B1368" s="12" t="s">
        <v>14309</v>
      </c>
      <c r="C1368" s="13" t="str">
        <f>HYPERLINK("https://audio.iskcondesiretree.com/02_-_ISKCON_Swamis/ISKCON_Swamis_-_R_to_Y/His_Holiness_Radhanath_Swami/Lectures/00_-_Year_wise/Devotional_Nectar_-_1998/1998-033_Everything_Belongs_to_Krishna_SB-03_09_22_Mumbai_-_11-02-98_IDesireTree.mp3", "1998-033_Everything_Belongs_to_Krishna_SB-03_09_22_Mumbai_-_11-02-98_IDesireTree.mp3")</f>
        <v>1998-033_Everything_Belongs_to_Krishna_SB-03_09_22_Mumbai_-_11-02-98_IDesireTree.mp3</v>
      </c>
      <c r="D1368" s="11"/>
      <c r="E1368" s="11"/>
    </row>
    <row r="1369" spans="1:5">
      <c r="A1369" s="12" t="s">
        <v>12462</v>
      </c>
      <c r="B1369" s="12" t="s">
        <v>14310</v>
      </c>
      <c r="C1369" s="13" t="str">
        <f>HYPERLINK("https://audio.iskcondesiretree.com/02_-_ISKCON_Swamis/ISKCON_Swamis_-_R_to_Y/His_Holiness_Radhanath_Swami/Lectures/00_-_Year_wise/Devotional_Nectar_-_1998/1998-034_Narottam_Das_Thakur_Lecture_Mumbai_-_Radhanath_Swami_1998-02-12_IDesireTree.mp3", "1998-034_Narottam_Das_Thakur_Lecture_Mumbai_-_Radhanath_Swami_1998-02-12_IDesireTree.mp3")</f>
        <v>1998-034_Narottam_Das_Thakur_Lecture_Mumbai_-_Radhanath_Swami_1998-02-12_IDesireTree.mp3</v>
      </c>
      <c r="D1369" s="11"/>
      <c r="E1369" s="11"/>
    </row>
    <row r="1370" spans="1:5">
      <c r="A1370" s="12" t="s">
        <v>12462</v>
      </c>
      <c r="B1370" s="12" t="s">
        <v>14311</v>
      </c>
      <c r="C1370" s="13" t="str">
        <f>HYPERLINK("https://audio.iskcondesiretree.com/02_-_ISKCON_Swamis/ISKCON_Swamis_-_R_to_Y/His_Holiness_Radhanath_Swami/Lectures/00_-_Year_wise/Devotional_Nectar_-_1998/1998-035_Transcendental_Faith_BG-12_01_Mumbai_-_Radhanath_Swami_1998-02-13_IDesireTree.mp3", "1998-035_Transcendental_Faith_BG-12_01_Mumbai_-_Radhanath_Swami_1998-02-13_IDesireTree.mp3")</f>
        <v>1998-035_Transcendental_Faith_BG-12_01_Mumbai_-_Radhanath_Swami_1998-02-13_IDesireTree.mp3</v>
      </c>
      <c r="D1370" s="11"/>
      <c r="E1370" s="11"/>
    </row>
    <row r="1371" spans="1:5">
      <c r="A1371" s="12" t="s">
        <v>12462</v>
      </c>
      <c r="B1371" s="12" t="s">
        <v>14312</v>
      </c>
      <c r="C1371" s="13" t="str">
        <f>HYPERLINK("https://audio.iskcondesiretree.com/02_-_ISKCON_Swamis/ISKCON_Swamis_-_R_to_Y/His_Holiness_Radhanath_Swami/Lectures/00_-_Year_wise/Devotional_Nectar_-_1998/1998-036_Srimad_Bhagavatam_Explains_All_Detail_SB-03_06_08_Mumbai_-_14-02-98_IDesireTree.mp3", "1998-036_Srimad_Bhagavatam_Explains_All_Detail_SB-03_06_08_Mumbai_-_14-02-98_IDesireTree.mp3")</f>
        <v>1998-036_Srimad_Bhagavatam_Explains_All_Detail_SB-03_06_08_Mumbai_-_14-02-98_IDesireTree.mp3</v>
      </c>
      <c r="D1371" s="11"/>
      <c r="E1371" s="11"/>
    </row>
    <row r="1372" spans="1:5">
      <c r="A1372" s="12" t="s">
        <v>12462</v>
      </c>
      <c r="B1372" s="12" t="e">
        <v>#VALUE!</v>
      </c>
      <c r="C1372" s="13" t="e">
        <f>HYPERLINK("https://audio.iskcondesiretree.com/02_-_ISKCON_Swamis/ISKCON_Swamis_-_R_to_Y/His_Holiness_Radhanath_Swami/Lectures/00_-_Year_wise/Devotional_Nectar_-_1998/1998-037_Krishna%27s_Mercy_is_Required_SB-03_06_09_Mumbai_-_Radhanath_Swami_1998-02-15_IDesireTree.m"&amp;"p3", "1998-037_Krishna%27s_Mercy_is_Required_SB-03_06_09_Mumbai_-_Radhanath_Swami_1998-02-15_IDesireTree.mp3")</f>
        <v>#VALUE!</v>
      </c>
      <c r="D1372" s="11"/>
      <c r="E1372" s="11"/>
    </row>
    <row r="1373" spans="1:5">
      <c r="A1373" s="12" t="s">
        <v>12462</v>
      </c>
      <c r="B1373" s="12" t="s">
        <v>14313</v>
      </c>
      <c r="C1373" s="13" t="str">
        <f>HYPERLINK("https://audio.iskcondesiretree.com/02_-_ISKCON_Swamis/ISKCON_Swamis_-_R_to_Y/His_Holiness_Radhanath_Swami/Lectures/00_-_Year_wise/Devotional_Nectar_-_1998/1998-038_Put_Your_Heart_in_Doing_Service_BG-09_13_Mumbai_-_15-02-98_IDesireTree.mp3", "1998-038_Put_Your_Heart_in_Doing_Service_BG-09_13_Mumbai_-_15-02-98_IDesireTree.mp3")</f>
        <v>1998-038_Put_Your_Heart_in_Doing_Service_BG-09_13_Mumbai_-_15-02-98_IDesireTree.mp3</v>
      </c>
      <c r="D1373" s="11"/>
      <c r="E1373" s="11"/>
    </row>
    <row r="1374" spans="1:5">
      <c r="A1374" s="12" t="s">
        <v>12462</v>
      </c>
      <c r="B1374" s="12" t="s">
        <v>14314</v>
      </c>
      <c r="C1374" s="13" t="str">
        <f>HYPERLINK("https://audio.iskcondesiretree.com/02_-_ISKCON_Swamis/ISKCON_Swamis_-_R_to_Y/His_Holiness_Radhanath_Swami/Lectures/00_-_Year_wise/Devotional_Nectar_-_1998/1998-039_Srila_Bhaktisiddhanta_Saraswati_App_Day_Lecture_Mumbai_-_16-02-98_IDesireTree.mp3", "1998-039_Srila_Bhaktisiddhanta_Saraswati_App_Day_Lecture_Mumbai_-_16-02-98_IDesireTree.mp3")</f>
        <v>1998-039_Srila_Bhaktisiddhanta_Saraswati_App_Day_Lecture_Mumbai_-_16-02-98_IDesireTree.mp3</v>
      </c>
      <c r="D1374" s="11"/>
      <c r="E1374" s="11"/>
    </row>
    <row r="1375" spans="1:5">
      <c r="A1375" s="12" t="s">
        <v>12462</v>
      </c>
      <c r="B1375" s="12" t="s">
        <v>14315</v>
      </c>
      <c r="C1375" s="13" t="str">
        <f>HYPERLINK("https://audio.iskcondesiretree.com/02_-_ISKCON_Swamis/ISKCON_Swamis_-_R_to_Y/His_Holiness_Radhanath_Swami/Lectures/00_-_Year_wise/Devotional_Nectar_-_1998/1998-040_Cunning_Mind_SB-05_11_17_Mayapur_-_Radhanath_Swami_1998-02-24_IDesireTree.mp3", "1998-040_Cunning_Mind_SB-05_11_17_Mayapur_-_Radhanath_Swami_1998-02-24_IDesireTree.mp3")</f>
        <v>1998-040_Cunning_Mind_SB-05_11_17_Mayapur_-_Radhanath_Swami_1998-02-24_IDesireTree.mp3</v>
      </c>
      <c r="D1375" s="11"/>
      <c r="E1375" s="11"/>
    </row>
    <row r="1376" spans="1:5">
      <c r="A1376" s="12" t="s">
        <v>12462</v>
      </c>
      <c r="B1376" s="12" t="e">
        <v>#VALUE!</v>
      </c>
      <c r="C1376" s="13" t="e">
        <f>HYPERLINK("https://audio.iskcondesiretree.com/02_-_ISKCON_Swamis/ISKCON_Swamis_-_R_to_Y/His_Holiness_Radhanath_Swami/Lectures/00_-_Year_wise/Devotional_Nectar_-_1998/1998-041_Duties_%26_Responsibilities_in_Varnashram_DharmaSB-03_06_31_Mumbai_-_28-02-98_IDesireTree.m"&amp;"p3", "1998-041_Duties_%26_Responsibilities_in_Varnashram_DharmaSB-03_06_31_Mumbai_-_28-02-98_IDesireTree.mp3")</f>
        <v>#VALUE!</v>
      </c>
      <c r="D1376" s="11"/>
      <c r="E1376" s="11"/>
    </row>
    <row r="1377" spans="1:5">
      <c r="A1377" s="12" t="s">
        <v>12462</v>
      </c>
      <c r="B1377" s="12" t="s">
        <v>14316</v>
      </c>
      <c r="C1377" s="13" t="str">
        <f>HYPERLINK("https://audio.iskcondesiretree.com/02_-_ISKCON_Swamis/ISKCON_Swamis_-_R_to_Y/His_Holiness_Radhanath_Swami/Lectures/00_-_Year_wise/Devotional_Nectar_-_1998/1998-042_Duties_in_Real_Varnashram_System_BG-03_06_32_Mumbai_-_01-03-98_IDesireTree.mp3", "1998-042_Duties_in_Real_Varnashram_System_BG-03_06_32_Mumbai_-_01-03-98_IDesireTree.mp3")</f>
        <v>1998-042_Duties_in_Real_Varnashram_System_BG-03_06_32_Mumbai_-_01-03-98_IDesireTree.mp3</v>
      </c>
      <c r="D1377" s="11"/>
      <c r="E1377" s="11"/>
    </row>
    <row r="1378" spans="1:5">
      <c r="A1378" s="12" t="s">
        <v>12462</v>
      </c>
      <c r="B1378" s="12" t="s">
        <v>14317</v>
      </c>
      <c r="C1378" s="13" t="str">
        <f>HYPERLINK("https://audio.iskcondesiretree.com/02_-_ISKCON_Swamis/ISKCON_Swamis_-_R_to_Y/His_Holiness_Radhanath_Swami/Lectures/00_-_Year_wise/Devotional_Nectar_-_1998/1998-043_Just_Neglect_Your_Mind_SB-05_Mumbai_-_Radhanath_Swami_1998-03-01_IDesireTree.mp3", "1998-043_Just_Neglect_Your_Mind_SB-05_Mumbai_-_Radhanath_Swami_1998-03-01_IDesireTree.mp3")</f>
        <v>1998-043_Just_Neglect_Your_Mind_SB-05_Mumbai_-_Radhanath_Swami_1998-03-01_IDesireTree.mp3</v>
      </c>
      <c r="D1378" s="11"/>
      <c r="E1378" s="11"/>
    </row>
    <row r="1379" spans="1:5">
      <c r="A1379" s="12" t="s">
        <v>12462</v>
      </c>
      <c r="B1379" s="12" t="s">
        <v>14318</v>
      </c>
      <c r="C1379" s="13" t="str">
        <f>HYPERLINK("https://audio.iskcondesiretree.com/02_-_ISKCON_Swamis/ISKCON_Swamis_-_R_to_Y/His_Holiness_Radhanath_Swami/Lectures/00_-_Year_wise/Devotional_Nectar_-_1998/1998-044_Overcoming_the_Three_Modes_BG-13_24_Mumbai_-_Radhanath_Swami_1998-03-03_IDesireTree.mp3", "1998-044_Overcoming_the_Three_Modes_BG-13_24_Mumbai_-_Radhanath_Swami_1998-03-03_IDesireTree.mp3")</f>
        <v>1998-044_Overcoming_the_Three_Modes_BG-13_24_Mumbai_-_Radhanath_Swami_1998-03-03_IDesireTree.mp3</v>
      </c>
      <c r="D1379" s="11"/>
      <c r="E1379" s="11"/>
    </row>
    <row r="1380" spans="1:5">
      <c r="A1380" s="12" t="s">
        <v>12462</v>
      </c>
      <c r="B1380" s="12" t="s">
        <v>14319</v>
      </c>
      <c r="C1380" s="13" t="str">
        <f>HYPERLINK("https://audio.iskcondesiretree.com/02_-_ISKCON_Swamis/ISKCON_Swamis_-_R_to_Y/His_Holiness_Radhanath_Swami/Lectures/00_-_Year_wise/Devotional_Nectar_-_1998/1998-045_Praying-_The_Way_Lord_Brahma_Did_SB-03_09_40_Mumbai_-_04-03-98_IDesireTree.mp3", "1998-045_Praying-_The_Way_Lord_Brahma_Did_SB-03_09_40_Mumbai_-_04-03-98_IDesireTree.mp3")</f>
        <v>1998-045_Praying-_The_Way_Lord_Brahma_Did_SB-03_09_40_Mumbai_-_04-03-98_IDesireTree.mp3</v>
      </c>
      <c r="D1380" s="11"/>
      <c r="E1380" s="11"/>
    </row>
    <row r="1381" spans="1:5">
      <c r="A1381" s="12" t="s">
        <v>12462</v>
      </c>
      <c r="B1381" s="12" t="s">
        <v>14320</v>
      </c>
      <c r="C1381" s="13" t="str">
        <f>HYPERLINK("https://audio.iskcondesiretree.com/02_-_ISKCON_Swamis/ISKCON_Swamis_-_R_to_Y/His_Holiness_Radhanath_Swami/Lectures/00_-_Year_wise/Devotional_Nectar_-_1998/1998-046_Setting_an_Ideal_Example_BG-02_23_Mumbai_-_Radhanath_Swami_1998-03-06_IDesireTree.mp3", "1998-046_Setting_an_Ideal_Example_BG-02_23_Mumbai_-_Radhanath_Swami_1998-03-06_IDesireTree.mp3")</f>
        <v>1998-046_Setting_an_Ideal_Example_BG-02_23_Mumbai_-_Radhanath_Swami_1998-03-06_IDesireTree.mp3</v>
      </c>
      <c r="D1381" s="11"/>
      <c r="E1381" s="11"/>
    </row>
    <row r="1382" spans="1:5">
      <c r="A1382" s="12" t="s">
        <v>12462</v>
      </c>
      <c r="B1382" s="12" t="s">
        <v>14321</v>
      </c>
      <c r="C1382" s="13" t="str">
        <f>HYPERLINK("https://audio.iskcondesiretree.com/02_-_ISKCON_Swamis/ISKCON_Swamis_-_R_to_Y/His_Holiness_Radhanath_Swami/Lectures/00_-_Year_wise/Devotional_Nectar_-_1998/1998-047_Madhavendra_Puri_%26_Chaitanya_MahaPrabhu-_CC_Mumbai_-_08-03-98_IDesireTree.mp3", "1998-047_Madhavendra_Puri_%26_Chaitanya_MahaPrabhu-_CC_Mumbai_-_08-03-98_IDesireTree.mp3")</f>
        <v>1998-047_Madhavendra_Puri_%26_Chaitanya_MahaPrabhu-_CC_Mumbai_-_08-03-98_IDesireTree.mp3</v>
      </c>
      <c r="D1382" s="11"/>
      <c r="E1382" s="11"/>
    </row>
    <row r="1383" spans="1:5">
      <c r="A1383" s="12" t="s">
        <v>12462</v>
      </c>
      <c r="B1383" s="12" t="s">
        <v>14322</v>
      </c>
      <c r="C1383" s="13" t="str">
        <f>HYPERLINK("https://audio.iskcondesiretree.com/02_-_ISKCON_Swamis/ISKCON_Swamis_-_R_to_Y/His_Holiness_Radhanath_Swami/Lectures/00_-_Year_wise/Devotional_Nectar_-_1998/1998-048_Attentive_Hearing_%26_Chanting_SB-03_06_37_Mumbai_-_08-03-98_IDesireTree.mp3", "1998-048_Attentive_Hearing_%26_Chanting_SB-03_06_37_Mumbai_-_08-03-98_IDesireTree.mp3")</f>
        <v>1998-048_Attentive_Hearing_%26_Chanting_SB-03_06_37_Mumbai_-_08-03-98_IDesireTree.mp3</v>
      </c>
      <c r="D1383" s="11"/>
      <c r="E1383" s="11"/>
    </row>
    <row r="1384" spans="1:5">
      <c r="A1384" s="12" t="s">
        <v>12462</v>
      </c>
      <c r="B1384" s="12" t="s">
        <v>14323</v>
      </c>
      <c r="C1384" s="13" t="str">
        <f>HYPERLINK("https://audio.iskcondesiretree.com/02_-_ISKCON_Swamis/ISKCON_Swamis_-_R_to_Y/His_Holiness_Radhanath_Swami/Lectures/00_-_Year_wise/Devotional_Nectar_-_1998/1998-049_Bhakti_is_the_Only_Way_BG-07_01_Mumbai_-_Radhanath_Swami_1998-03-21_IDesireTree.mp3", "1998-049_Bhakti_is_the_Only_Way_BG-07_01_Mumbai_-_Radhanath_Swami_1998-03-21_IDesireTree.mp3")</f>
        <v>1998-049_Bhakti_is_the_Only_Way_BG-07_01_Mumbai_-_Radhanath_Swami_1998-03-21_IDesireTree.mp3</v>
      </c>
      <c r="D1384" s="11"/>
      <c r="E1384" s="11"/>
    </row>
    <row r="1385" spans="1:5">
      <c r="A1385" s="12" t="s">
        <v>12462</v>
      </c>
      <c r="B1385" s="12" t="s">
        <v>14324</v>
      </c>
      <c r="C1385" s="13" t="str">
        <f>HYPERLINK("https://audio.iskcondesiretree.com/02_-_ISKCON_Swamis/ISKCON_Swamis_-_R_to_Y/His_Holiness_Radhanath_Swami/Lectures/00_-_Year_wise/Devotional_Nectar_-_1998/1998-050_Krishna_will_Definetly_Protect_SB-03_07_06_Mumbai_-_21-03-98_IDesireTree.mp3", "1998-050_Krishna_will_Definetly_Protect_SB-03_07_06_Mumbai_-_21-03-98_IDesireTree.mp3")</f>
        <v>1998-050_Krishna_will_Definetly_Protect_SB-03_07_06_Mumbai_-_21-03-98_IDesireTree.mp3</v>
      </c>
      <c r="D1385" s="11"/>
      <c r="E1385" s="11"/>
    </row>
    <row r="1386" spans="1:5">
      <c r="A1386" s="12" t="s">
        <v>12462</v>
      </c>
      <c r="B1386" s="12" t="s">
        <v>14325</v>
      </c>
      <c r="C1386" s="13" t="str">
        <f>HYPERLINK("https://audio.iskcondesiretree.com/02_-_ISKCON_Swamis/ISKCON_Swamis_-_R_to_Y/His_Holiness_Radhanath_Swami/Lectures/00_-_Year_wise/Devotional_Nectar_-_1998/1998-051_Senses_Make_us_Miserable_SB-03_07_Mumbai_-_Radhanath_Swami_1998-03-22_IDesireTree.mp3", "1998-051_Senses_Make_us_Miserable_SB-03_07_Mumbai_-_Radhanath_Swami_1998-03-22_IDesireTree.mp3")</f>
        <v>1998-051_Senses_Make_us_Miserable_SB-03_07_Mumbai_-_Radhanath_Swami_1998-03-22_IDesireTree.mp3</v>
      </c>
      <c r="D1386" s="11"/>
      <c r="E1386" s="11"/>
    </row>
    <row r="1387" spans="1:5">
      <c r="A1387" s="12" t="s">
        <v>12462</v>
      </c>
      <c r="B1387" s="12" t="s">
        <v>14326</v>
      </c>
      <c r="C1387" s="13" t="str">
        <f>HYPERLINK("https://audio.iskcondesiretree.com/02_-_ISKCON_Swamis/ISKCON_Swamis_-_R_to_Y/His_Holiness_Radhanath_Swami/Lectures/00_-_Year_wise/Devotional_Nectar_-_1998/1998-052_Philosophy_or_Foolosophy_BG-11_41-42_Kurukshetra_-_25-03-98_IDesireTree.mp3", "1998-052_Philosophy_or_Foolosophy_BG-11_41-42_Kurukshetra_-_25-03-98_IDesireTree.mp3")</f>
        <v>1998-052_Philosophy_or_Foolosophy_BG-11_41-42_Kurukshetra_-_25-03-98_IDesireTree.mp3</v>
      </c>
      <c r="D1387" s="11"/>
      <c r="E1387" s="11"/>
    </row>
    <row r="1388" spans="1:5">
      <c r="A1388" s="12" t="s">
        <v>12462</v>
      </c>
      <c r="B1388" s="12" t="s">
        <v>14327</v>
      </c>
      <c r="C1388" s="13" t="str">
        <f>HYPERLINK("https://audio.iskcondesiretree.com/02_-_ISKCON_Swamis/ISKCON_Swamis_-_R_to_Y/His_Holiness_Radhanath_Swami/Lectures/00_-_Year_wise/Devotional_Nectar_-_1998/1998-053_Lord_Gauranga%27s_Lila_at_Rath_Yatra-_I_SB-_Kurukshetra_-_26-03-98_IDesireTree.mp3", "1998-053_Lord_Gauranga%27s_Lila_at_Rath_Yatra-_I_SB-_Kurukshetra_-_26-03-98_IDesireTree.mp3")</f>
        <v>1998-053_Lord_Gauranga%27s_Lila_at_Rath_Yatra-_I_SB-_Kurukshetra_-_26-03-98_IDesireTree.mp3</v>
      </c>
      <c r="D1388" s="11"/>
      <c r="E1388" s="11"/>
    </row>
    <row r="1389" spans="1:5">
      <c r="A1389" s="12" t="s">
        <v>12462</v>
      </c>
      <c r="B1389" s="12" t="s">
        <v>14328</v>
      </c>
      <c r="C1389" s="13" t="str">
        <f>HYPERLINK("https://audio.iskcondesiretree.com/02_-_ISKCON_Swamis/ISKCON_Swamis_-_R_to_Y/His_Holiness_Radhanath_Swami/Lectures/00_-_Year_wise/Devotional_Nectar_-_1998/1998-054_Mind_the_Real_Cause_of_Suffering_BG-12_18-19_Mumbai_-_29-03-98_IDesireTree.mp3", "1998-054_Mind_the_Real_Cause_of_Suffering_BG-12_18-19_Mumbai_-_29-03-98_IDesireTree.mp3")</f>
        <v>1998-054_Mind_the_Real_Cause_of_Suffering_BG-12_18-19_Mumbai_-_29-03-98_IDesireTree.mp3</v>
      </c>
      <c r="D1389" s="11"/>
      <c r="E1389" s="11"/>
    </row>
    <row r="1390" spans="1:5">
      <c r="A1390" s="12" t="s">
        <v>12462</v>
      </c>
      <c r="B1390" s="12" t="s">
        <v>14329</v>
      </c>
      <c r="C1390" s="13" t="str">
        <f>HYPERLINK("https://audio.iskcondesiretree.com/02_-_ISKCON_Swamis/ISKCON_Swamis_-_R_to_Y/His_Holiness_Radhanath_Swami/Lectures/00_-_Year_wise/Devotional_Nectar_-_1998/1998-055_Process_of_Devotional_Service_is_Gradual_SB-03_07_12_Mumbai_-_29-03-98_IDesireTree.mp3", "1998-055_Process_of_Devotional_Service_is_Gradual_SB-03_07_12_Mumbai_-_29-03-98_IDesireTree.mp3")</f>
        <v>1998-055_Process_of_Devotional_Service_is_Gradual_SB-03_07_12_Mumbai_-_29-03-98_IDesireTree.mp3</v>
      </c>
      <c r="D1390" s="11"/>
      <c r="E1390" s="11"/>
    </row>
    <row r="1391" spans="1:5">
      <c r="A1391" s="12" t="s">
        <v>12462</v>
      </c>
      <c r="B1391" s="12" t="s">
        <v>14330</v>
      </c>
      <c r="C1391" s="13" t="str">
        <f>HYPERLINK("https://audio.iskcondesiretree.com/02_-_ISKCON_Swamis/ISKCON_Swamis_-_R_to_Y/His_Holiness_Radhanath_Swami/Lectures/00_-_Year_wise/Devotional_Nectar_-_1998/1998-056_Great_Kings-_Rantideva_%26_Dushyanta_SB-09_20_15-20_Mumbai_-_02-04-98_IDesireTree.mp3", "1998-056_Great_Kings-_Rantideva_%26_Dushyanta_SB-09_20_15-20_Mumbai_-_02-04-98_IDesireTree.mp3")</f>
        <v>1998-056_Great_Kings-_Rantideva_%26_Dushyanta_SB-09_20_15-20_Mumbai_-_02-04-98_IDesireTree.mp3</v>
      </c>
      <c r="D1391" s="11"/>
      <c r="E1391" s="11"/>
    </row>
    <row r="1392" spans="1:5">
      <c r="A1392" s="12" t="s">
        <v>12462</v>
      </c>
      <c r="B1392" s="12" t="s">
        <v>14331</v>
      </c>
      <c r="C1392" s="13" t="str">
        <f>HYPERLINK("https://audio.iskcondesiretree.com/02_-_ISKCON_Swamis/ISKCON_Swamis_-_R_to_Y/His_Holiness_Radhanath_Swami/Lectures/00_-_Year_wise/Devotional_Nectar_-_1998/1998-057_To_Live_Without_Service_is_Impossible_Lecture_Mumbai_-_03-04-98_IDesireTree.mp3", "1998-057_To_Live_Without_Service_is_Impossible_Lecture_Mumbai_-_03-04-98_IDesireTree.mp3")</f>
        <v>1998-057_To_Live_Without_Service_is_Impossible_Lecture_Mumbai_-_03-04-98_IDesireTree.mp3</v>
      </c>
      <c r="D1392" s="11"/>
      <c r="E1392" s="11"/>
    </row>
    <row r="1393" spans="1:5">
      <c r="A1393" s="12" t="s">
        <v>12462</v>
      </c>
      <c r="B1393" s="12" t="e">
        <v>#VALUE!</v>
      </c>
      <c r="C1393" s="13" t="e">
        <f>HYPERLINK("https://audio.iskcondesiretree.com/02_-_ISKCON_Swamis/ISKCON_Swamis_-_R_to_Y/His_Holiness_Radhanath_Swami/Lectures/00_-_Year_wise/Devotional_Nectar_-_1998/1998-058_Goal_of_Life-_Uninterrupted_Devotional_Service_SB-05_14_04_Mayapur_-_11-04-98_IDesireTree.m"&amp;"p3", "1998-058_Goal_of_Life-_Uninterrupted_Devotional_Service_SB-05_14_04_Mayapur_-_11-04-98_IDesireTree.mp3")</f>
        <v>#VALUE!</v>
      </c>
      <c r="D1393" s="11"/>
      <c r="E1393" s="11"/>
    </row>
    <row r="1394" spans="1:5">
      <c r="A1394" s="12" t="s">
        <v>12462</v>
      </c>
      <c r="B1394" s="12" t="s">
        <v>14332</v>
      </c>
      <c r="C1394" s="13" t="str">
        <f>HYPERLINK("https://audio.iskcondesiretree.com/02_-_ISKCON_Swamis/ISKCON_Swamis_-_R_to_Y/His_Holiness_Radhanath_Swami/Lectures/00_-_Year_wise/Devotional_Nectar_-_1998/1998-059_Cleansing_the_Mirror_of_Mind_SB-05_14_05_Mayapur_-_12-04-98_IDesireTree.mp3", "1998-059_Cleansing_the_Mirror_of_Mind_SB-05_14_05_Mayapur_-_12-04-98_IDesireTree.mp3")</f>
        <v>1998-059_Cleansing_the_Mirror_of_Mind_SB-05_14_05_Mayapur_-_12-04-98_IDesireTree.mp3</v>
      </c>
      <c r="D1394" s="11"/>
      <c r="E1394" s="11"/>
    </row>
    <row r="1395" spans="1:5">
      <c r="A1395" s="12" t="s">
        <v>12462</v>
      </c>
      <c r="B1395" s="12" t="s">
        <v>14333</v>
      </c>
      <c r="C1395" s="13" t="str">
        <f>HYPERLINK("https://audio.iskcondesiretree.com/02_-_ISKCON_Swamis/ISKCON_Swamis_-_R_to_Y/His_Holiness_Radhanath_Swami/Lectures/00_-_Year_wise/Devotional_Nectar_-_1998/1998-060_Real_Happiness_is_Krishna_Consiousness_SB-03_07_40_Mumbai_-_03-05-98_IDesireTree.mp3", "1998-060_Real_Happiness_is_Krishna_Consiousness_SB-03_07_40_Mumbai_-_03-05-98_IDesireTree.mp3")</f>
        <v>1998-060_Real_Happiness_is_Krishna_Consiousness_SB-03_07_40_Mumbai_-_03-05-98_IDesireTree.mp3</v>
      </c>
      <c r="D1395" s="11"/>
      <c r="E1395" s="11"/>
    </row>
    <row r="1396" spans="1:5">
      <c r="A1396" s="12" t="s">
        <v>12462</v>
      </c>
      <c r="B1396" s="12" t="s">
        <v>14334</v>
      </c>
      <c r="C1396" s="13" t="str">
        <f>HYPERLINK("https://audio.iskcondesiretree.com/02_-_ISKCON_Swamis/ISKCON_Swamis_-_R_to_Y/His_Holiness_Radhanath_Swami/Lectures/00_-_Year_wise/Devotional_Nectar_-_1998/1998-061_Lord_is_Eternally_Hungry_for_His_Devotees_Love_Lecture_Mumbai_-_03-05-98_IDesireTree.mp3", "1998-061_Lord_is_Eternally_Hungry_for_His_Devotees_Love_Lecture_Mumbai_-_03-05-98_IDesireTree.mp3")</f>
        <v>1998-061_Lord_is_Eternally_Hungry_for_His_Devotees_Love_Lecture_Mumbai_-_03-05-98_IDesireTree.mp3</v>
      </c>
      <c r="D1396" s="11"/>
      <c r="E1396" s="11"/>
    </row>
    <row r="1397" spans="1:5">
      <c r="A1397" s="12" t="s">
        <v>12462</v>
      </c>
      <c r="B1397" s="12" t="s">
        <v>14335</v>
      </c>
      <c r="C1397" s="13" t="str">
        <f>HYPERLINK("https://audio.iskcondesiretree.com/02_-_ISKCON_Swamis/ISKCON_Swamis_-_R_to_Y/His_Holiness_Radhanath_Swami/Lectures/00_-_Year_wise/Devotional_Nectar_-_1998/1998-062_Sincere_Desire_to_Serve_-_Please_Krishna_-_Radhanath_Swami_1998-05-05_IDesireTree.mp3", "1998-062_Sincere_Desire_to_Serve_-_Please_Krishna_-_Radhanath_Swami_1998-05-05_IDesireTree.mp3")</f>
        <v>1998-062_Sincere_Desire_to_Serve_-_Please_Krishna_-_Radhanath_Swami_1998-05-05_IDesireTree.mp3</v>
      </c>
      <c r="D1397" s="11"/>
      <c r="E1397" s="11"/>
    </row>
    <row r="1398" spans="1:5">
      <c r="A1398" s="12" t="s">
        <v>12462</v>
      </c>
      <c r="B1398" s="12" t="s">
        <v>14336</v>
      </c>
      <c r="C1398" s="13" t="str">
        <f>HYPERLINK("https://audio.iskcondesiretree.com/02_-_ISKCON_Swamis/ISKCON_Swamis_-_R_to_Y/His_Holiness_Radhanath_Swami/Lectures/00_-_Year_wise/Devotional_Nectar_-_1998/1998-063_Srila_Prabhupada_Pastimes_Lecture_Mumbai_-_Radhanath_Swami_1998-05-07_IDesireTree.mp3", "1998-063_Srila_Prabhupada_Pastimes_Lecture_Mumbai_-_Radhanath_Swami_1998-05-07_IDesireTree.mp3")</f>
        <v>1998-063_Srila_Prabhupada_Pastimes_Lecture_Mumbai_-_Radhanath_Swami_1998-05-07_IDesireTree.mp3</v>
      </c>
      <c r="D1398" s="11"/>
      <c r="E1398" s="11"/>
    </row>
    <row r="1399" spans="1:5">
      <c r="A1399" s="12" t="s">
        <v>12462</v>
      </c>
      <c r="B1399" s="12" t="s">
        <v>14337</v>
      </c>
      <c r="C1399" s="13" t="str">
        <f>HYPERLINK("https://audio.iskcondesiretree.com/02_-_ISKCON_Swamis/ISKCON_Swamis_-_R_to_Y/His_Holiness_Radhanath_Swami/Lectures/00_-_Year_wise/Devotional_Nectar_-_1998/1998-064_Attentively_Hearing_the_Sound_Vibration_SB-03_08_03_Mumbai_-_12-05-98_IDesireTree.mp3", "1998-064_Attentively_Hearing_the_Sound_Vibration_SB-03_08_03_Mumbai_-_12-05-98_IDesireTree.mp3")</f>
        <v>1998-064_Attentively_Hearing_the_Sound_Vibration_SB-03_08_03_Mumbai_-_12-05-98_IDesireTree.mp3</v>
      </c>
      <c r="D1399" s="11"/>
      <c r="E1399" s="11"/>
    </row>
    <row r="1400" spans="1:5">
      <c r="A1400" s="12" t="s">
        <v>12462</v>
      </c>
      <c r="B1400" s="12" t="s">
        <v>14338</v>
      </c>
      <c r="C1400" s="13" t="str">
        <f>HYPERLINK("https://audio.iskcondesiretree.com/02_-_ISKCON_Swamis/ISKCON_Swamis_-_R_to_Y/His_Holiness_Radhanath_Swami/Lectures/00_-_Year_wise/Devotional_Nectar_-_1998/1998-065_Glories_of_Ganga_Devi_SB-03_08_04-05_Mumbai_-_Radhanath_Swami_1998-05-13_IDesireTree.mp3", "1998-065_Glories_of_Ganga_Devi_SB-03_08_04-05_Mumbai_-_Radhanath_Swami_1998-05-13_IDesireTree.mp3")</f>
        <v>1998-065_Glories_of_Ganga_Devi_SB-03_08_04-05_Mumbai_-_Radhanath_Swami_1998-05-13_IDesireTree.mp3</v>
      </c>
      <c r="D1400" s="11"/>
      <c r="E1400" s="11"/>
    </row>
    <row r="1401" spans="1:5">
      <c r="A1401" s="12" t="s">
        <v>12462</v>
      </c>
      <c r="B1401" s="12" t="s">
        <v>14339</v>
      </c>
      <c r="C1401" s="13" t="str">
        <f>HYPERLINK("https://audio.iskcondesiretree.com/02_-_ISKCON_Swamis/ISKCON_Swamis_-_R_to_Y/His_Holiness_Radhanath_Swami/Lectures/00_-_Year_wise/Devotional_Nectar_-_1998/1998-066_Address_to_Brahmacaris-_I%26II_Lecture_Mumbai_-_Radhanath_Swami_1998-05-13_IDesireTree.mp3", "1998-066_Address_to_Brahmacaris-_I%26II_Lecture_Mumbai_-_Radhanath_Swami_1998-05-13_IDesireTree.mp3")</f>
        <v>1998-066_Address_to_Brahmacaris-_I%26II_Lecture_Mumbai_-_Radhanath_Swami_1998-05-13_IDesireTree.mp3</v>
      </c>
      <c r="D1401" s="11"/>
      <c r="E1401" s="11"/>
    </row>
    <row r="1402" spans="1:5">
      <c r="A1402" s="12" t="s">
        <v>12462</v>
      </c>
      <c r="B1402" s="12" t="s">
        <v>14340</v>
      </c>
      <c r="C1402" s="13" t="str">
        <f>HYPERLINK("https://audio.iskcondesiretree.com/02_-_ISKCON_Swamis/ISKCON_Swamis_-_R_to_Y/His_Holiness_Radhanath_Swami/Lectures/00_-_Year_wise/Devotional_Nectar_-_1998/1998-067_Lecture_NV_-_Radhanath_Swami_1998-05-19_IDesireTree.mp3", "1998-067_Lecture_NV_-_Radhanath_Swami_1998-05-19_IDesireTree.mp3")</f>
        <v>1998-067_Lecture_NV_-_Radhanath_Swami_1998-05-19_IDesireTree.mp3</v>
      </c>
      <c r="D1402" s="11"/>
      <c r="E1402" s="11"/>
    </row>
    <row r="1403" spans="1:5">
      <c r="A1403" s="12" t="s">
        <v>12462</v>
      </c>
      <c r="B1403" s="12" t="s">
        <v>14341</v>
      </c>
      <c r="C1403" s="13" t="str">
        <f>HYPERLINK("https://audio.iskcondesiretree.com/02_-_ISKCON_Swamis/ISKCON_Swamis_-_R_to_Y/His_Holiness_Radhanath_Swami/Lectures/00_-_Year_wise/Devotional_Nectar_-_1998/1998-068_SB-07_02_50_NV_-_Radhanath_Swami_1998-05-20_IDesireTree.mp3", "1998-068_SB-07_02_50_NV_-_Radhanath_Swami_1998-05-20_IDesireTree.mp3")</f>
        <v>1998-068_SB-07_02_50_NV_-_Radhanath_Swami_1998-05-20_IDesireTree.mp3</v>
      </c>
      <c r="D1403" s="11"/>
      <c r="E1403" s="11"/>
    </row>
    <row r="1404" spans="1:5">
      <c r="A1404" s="12" t="s">
        <v>12462</v>
      </c>
      <c r="B1404" s="12" t="s">
        <v>14342</v>
      </c>
      <c r="C1404" s="13" t="str">
        <f>HYPERLINK("https://audio.iskcondesiretree.com/02_-_ISKCON_Swamis/ISKCON_Swamis_-_R_to_Y/His_Holiness_Radhanath_Swami/Lectures/00_-_Year_wise/Devotional_Nectar_-_1998/1998-069_Lord_Caitanya_Celebrating_Ratha_Yatra_Lecture_NV_-_21-05-98_IDesireTree.mp3", "1998-069_Lord_Caitanya_Celebrating_Ratha_Yatra_Lecture_NV_-_21-05-98_IDesireTree.mp3")</f>
        <v>1998-069_Lord_Caitanya_Celebrating_Ratha_Yatra_Lecture_NV_-_21-05-98_IDesireTree.mp3</v>
      </c>
      <c r="D1404" s="11"/>
      <c r="E1404" s="11"/>
    </row>
    <row r="1405" spans="1:5">
      <c r="A1405" s="12" t="s">
        <v>12462</v>
      </c>
      <c r="B1405" s="12" t="s">
        <v>14343</v>
      </c>
      <c r="C1405" s="13" t="str">
        <f>HYPERLINK("https://audio.iskcondesiretree.com/02_-_ISKCON_Swamis/ISKCON_Swamis_-_R_to_Y/His_Holiness_Radhanath_Swami/Lectures/00_-_Year_wise/Devotional_Nectar_-_1998/1998-070_Indra%27s_Attachment_SB-3_25_16_NV_-_Radhanath_Swami_1998-05-25_IDesireTree.mp3", "1998-070_Indra%27s_Attachment_SB-3_25_16_NV_-_Radhanath_Swami_1998-05-25_IDesireTree.mp3")</f>
        <v>1998-070_Indra%27s_Attachment_SB-3_25_16_NV_-_Radhanath_Swami_1998-05-25_IDesireTree.mp3</v>
      </c>
      <c r="D1405" s="11"/>
      <c r="E1405" s="11"/>
    </row>
    <row r="1406" spans="1:5">
      <c r="A1406" s="12" t="s">
        <v>12462</v>
      </c>
      <c r="B1406" s="12" t="e">
        <v>#VALUE!</v>
      </c>
      <c r="C1406" s="13" t="e">
        <f>HYPERLINK("https://audio.iskcondesiretree.com/02_-_ISKCON_Swamis/ISKCON_Swamis_-_R_to_Y/His_Holiness_Radhanath_Swami/Lectures/00_-_Year_wise/Devotional_Nectar_-_1998/1998-071_Different_Mellows_in_Vrindavan_%26_Goloka_Vrindavan_Lecture_Hyderabad_-_19-07-98_IDesireTre"&amp;"e.mp3", "1998-071_Different_Mellows_in_Vrindavan_%26_Goloka_Vrindavan_Lecture_Hyderabad_-_19-07-98_IDesireTree.mp3")</f>
        <v>#VALUE!</v>
      </c>
      <c r="D1406" s="11"/>
      <c r="E1406" s="11"/>
    </row>
    <row r="1407" spans="1:5">
      <c r="A1407" s="12" t="s">
        <v>12462</v>
      </c>
      <c r="B1407" s="12" t="s">
        <v>14344</v>
      </c>
      <c r="C1407" s="13" t="str">
        <f>HYPERLINK("https://audio.iskcondesiretree.com/02_-_ISKCON_Swamis/ISKCON_Swamis_-_R_to_Y/His_Holiness_Radhanath_Swami/Lectures/00_-_Year_wise/Devotional_Nectar_-_1998/1998-072_Pleasing_Krishna_With_Our_Humility_BG-08_07_Mumbai_-_19-07-98_IDesireTree.mp3", "1998-072_Pleasing_Krishna_With_Our_Humility_BG-08_07_Mumbai_-_19-07-98_IDesireTree.mp3")</f>
        <v>1998-072_Pleasing_Krishna_With_Our_Humility_BG-08_07_Mumbai_-_19-07-98_IDesireTree.mp3</v>
      </c>
      <c r="D1407" s="11"/>
      <c r="E1407" s="11"/>
    </row>
    <row r="1408" spans="1:5">
      <c r="A1408" s="12" t="s">
        <v>12462</v>
      </c>
      <c r="B1408" s="12" t="s">
        <v>14345</v>
      </c>
      <c r="C1408" s="13" t="str">
        <f>HYPERLINK("https://audio.iskcondesiretree.com/02_-_ISKCON_Swamis/ISKCON_Swamis_-_R_to_Y/His_Holiness_Radhanath_Swami/Lectures/00_-_Year_wise/Devotional_Nectar_-_1998/1998-073_Total_Faith_in_Scriptures_SB-03_09_37_Mumbai_-_Radhanath_Swami_1998-07-20_IDesireTree.mp3", "1998-073_Total_Faith_in_Scriptures_SB-03_09_37_Mumbai_-_Radhanath_Swami_1998-07-20_IDesireTree.mp3")</f>
        <v>1998-073_Total_Faith_in_Scriptures_SB-03_09_37_Mumbai_-_Radhanath_Swami_1998-07-20_IDesireTree.mp3</v>
      </c>
      <c r="D1408" s="11"/>
      <c r="E1408" s="11"/>
    </row>
    <row r="1409" spans="1:5">
      <c r="A1409" s="12" t="s">
        <v>12462</v>
      </c>
      <c r="B1409" s="12" t="s">
        <v>14346</v>
      </c>
      <c r="C1409" s="13" t="str">
        <f>HYPERLINK("https://audio.iskcondesiretree.com/02_-_ISKCON_Swamis/ISKCON_Swamis_-_R_to_Y/His_Holiness_Radhanath_Swami/Lectures/00_-_Year_wise/Devotional_Nectar_-_1998/1998-074_What_is_Real_Renunciation_Lecture_Mumbai_-_Radhanath_Swami_1998-07-21_IDesireTree.mp3", "1998-074_What_is_Real_Renunciation_Lecture_Mumbai_-_Radhanath_Swami_1998-07-21_IDesireTree.mp3")</f>
        <v>1998-074_What_is_Real_Renunciation_Lecture_Mumbai_-_Radhanath_Swami_1998-07-21_IDesireTree.mp3</v>
      </c>
      <c r="D1409" s="11"/>
      <c r="E1409" s="11"/>
    </row>
    <row r="1410" spans="1:5">
      <c r="A1410" s="12" t="s">
        <v>12462</v>
      </c>
      <c r="B1410" s="12" t="s">
        <v>14347</v>
      </c>
      <c r="C1410" s="13" t="str">
        <f>HYPERLINK("https://audio.iskcondesiretree.com/02_-_ISKCON_Swamis/ISKCON_Swamis_-_R_to_Y/His_Holiness_Radhanath_Swami/Lectures/00_-_Year_wise/Devotional_Nectar_-_1998/1998-075_Real_Affection_SB-03_09_42_Mumbai_-_Radhanath_Swami_1998-07-26_IDesireTree.mp3", "1998-075_Real_Affection_SB-03_09_42_Mumbai_-_Radhanath_Swami_1998-07-26_IDesireTree.mp3")</f>
        <v>1998-075_Real_Affection_SB-03_09_42_Mumbai_-_Radhanath_Swami_1998-07-26_IDesireTree.mp3</v>
      </c>
      <c r="D1410" s="11"/>
      <c r="E1410" s="11"/>
    </row>
    <row r="1411" spans="1:5">
      <c r="A1411" s="12" t="s">
        <v>12462</v>
      </c>
      <c r="B1411" s="12" t="s">
        <v>14348</v>
      </c>
      <c r="C1411" s="13" t="str">
        <f>HYPERLINK("https://audio.iskcondesiretree.com/02_-_ISKCON_Swamis/ISKCON_Swamis_-_R_to_Y/His_Holiness_Radhanath_Swami/Lectures/00_-_Year_wise/Devotional_Nectar_-_1998/1998-076_Ganges_of_the_Holy_Name_SB-03_13_44_Mumbai_-_Radhanath_Swami_1998-07-28_IDesireTree.mp3", "1998-076_Ganges_of_the_Holy_Name_SB-03_13_44_Mumbai_-_Radhanath_Swami_1998-07-28_IDesireTree.mp3")</f>
        <v>1998-076_Ganges_of_the_Holy_Name_SB-03_13_44_Mumbai_-_Radhanath_Swami_1998-07-28_IDesireTree.mp3</v>
      </c>
      <c r="D1411" s="11"/>
      <c r="E1411" s="11"/>
    </row>
    <row r="1412" spans="1:5">
      <c r="A1412" s="12" t="s">
        <v>12462</v>
      </c>
      <c r="B1412" s="12" t="s">
        <v>14349</v>
      </c>
      <c r="C1412" s="13" t="str">
        <f>HYPERLINK("https://audio.iskcondesiretree.com/02_-_ISKCON_Swamis/ISKCON_Swamis_-_R_to_Y/His_Holiness_Radhanath_Swami/Lectures/00_-_Year_wise/Devotional_Nectar_-_1998/1998-077_Importance_of_Disciplic_Succession_SB-03_10_03_Mumbai_-_29-07-98_IDesireTree.mp3", "1998-077_Importance_of_Disciplic_Succession_SB-03_10_03_Mumbai_-_29-07-98_IDesireTree.mp3")</f>
        <v>1998-077_Importance_of_Disciplic_Succession_SB-03_10_03_Mumbai_-_29-07-98_IDesireTree.mp3</v>
      </c>
      <c r="D1412" s="11"/>
      <c r="E1412" s="11"/>
    </row>
    <row r="1413" spans="1:5">
      <c r="A1413" s="12" t="s">
        <v>12462</v>
      </c>
      <c r="B1413" s="12" t="s">
        <v>14350</v>
      </c>
      <c r="C1413" s="13" t="str">
        <f>HYPERLINK("https://audio.iskcondesiretree.com/02_-_ISKCON_Swamis/ISKCON_Swamis_-_R_to_Y/His_Holiness_Radhanath_Swami/Lectures/00_-_Year_wise/Devotional_Nectar_-_1998/1998-078_Hare_Krishna_SB-03_10_04_Mumbai_-_Radhanath_Swami_1998-07-30_IDesireTree.mp3", "1998-078_Hare_Krishna_SB-03_10_04_Mumbai_-_Radhanath_Swami_1998-07-30_IDesireTree.mp3")</f>
        <v>1998-078_Hare_Krishna_SB-03_10_04_Mumbai_-_Radhanath_Swami_1998-07-30_IDesireTree.mp3</v>
      </c>
      <c r="D1413" s="11"/>
      <c r="E1413" s="11"/>
    </row>
    <row r="1414" spans="1:5">
      <c r="A1414" s="12" t="s">
        <v>12462</v>
      </c>
      <c r="B1414" s="12" t="s">
        <v>14351</v>
      </c>
      <c r="C1414" s="13" t="str">
        <f>HYPERLINK("https://audio.iskcondesiretree.com/02_-_ISKCON_Swamis/ISKCON_Swamis_-_R_to_Y/His_Holiness_Radhanath_Swami/Lectures/00_-_Year_wise/Devotional_Nectar_-_1998/1998-079_You_Cannot_Satisfy_Each_%26_Every_Person_CC_ML-02_81_Mumbai_-_01-08-98_IDesireTree.mp3", "1998-079_You_Cannot_Satisfy_Each_%26_Every_Person_CC_ML-02_81_Mumbai_-_01-08-98_IDesireTree.mp3")</f>
        <v>1998-079_You_Cannot_Satisfy_Each_%26_Every_Person_CC_ML-02_81_Mumbai_-_01-08-98_IDesireTree.mp3</v>
      </c>
      <c r="D1414" s="11"/>
      <c r="E1414" s="11"/>
    </row>
    <row r="1415" spans="1:5">
      <c r="A1415" s="12" t="s">
        <v>12462</v>
      </c>
      <c r="B1415" s="12" t="s">
        <v>14352</v>
      </c>
      <c r="C1415" s="13" t="str">
        <f>HYPERLINK("https://audio.iskcondesiretree.com/02_-_ISKCON_Swamis/ISKCON_Swamis_-_R_to_Y/His_Holiness_Radhanath_Swami/Lectures/00_-_Year_wise/Devotional_Nectar_-_1998/1998-080_The_Story_of_Banasura_BG-02_49_Mumbai_-_Radhanath_Swami_1998-08-01_IDesireTree.mp3", "1998-080_The_Story_of_Banasura_BG-02_49_Mumbai_-_Radhanath_Swami_1998-08-01_IDesireTree.mp3")</f>
        <v>1998-080_The_Story_of_Banasura_BG-02_49_Mumbai_-_Radhanath_Swami_1998-08-01_IDesireTree.mp3</v>
      </c>
      <c r="D1415" s="11"/>
      <c r="E1415" s="11"/>
    </row>
    <row r="1416" spans="1:5">
      <c r="A1416" s="12" t="s">
        <v>12462</v>
      </c>
      <c r="B1416" s="12" t="s">
        <v>14353</v>
      </c>
      <c r="C1416" s="13" t="str">
        <f>HYPERLINK("https://audio.iskcondesiretree.com/02_-_ISKCON_Swamis/ISKCON_Swamis_-_R_to_Y/His_Holiness_Radhanath_Swami/Lectures/00_-_Year_wise/Devotional_Nectar_-_1998/1998-081_Demigods_Depend_on_Krishna_SB-03_5_37-38_Mumbai_-_15-08-98_IDesireTree.mp3", "1998-081_Demigods_Depend_on_Krishna_SB-03_5_37-38_Mumbai_-_15-08-98_IDesireTree.mp3")</f>
        <v>1998-081_Demigods_Depend_on_Krishna_SB-03_5_37-38_Mumbai_-_15-08-98_IDesireTree.mp3</v>
      </c>
      <c r="D1416" s="11"/>
      <c r="E1416" s="11"/>
    </row>
    <row r="1417" spans="1:5">
      <c r="A1417" s="12" t="s">
        <v>12462</v>
      </c>
      <c r="B1417" s="12" t="s">
        <v>14354</v>
      </c>
      <c r="C1417" s="13" t="str">
        <f>HYPERLINK("https://audio.iskcondesiretree.com/02_-_ISKCON_Swamis/ISKCON_Swamis_-_R_to_Y/His_Holiness_Radhanath_Swami/Lectures/00_-_Year_wise/Devotional_Nectar_-_1998/1998-082_Reading_Prabhupada_Lilamrita_Lecture_Mumbai_-_Radhanath_Swami_1998-09-16_IDesireTree.mp3", "1998-082_Reading_Prabhupada_Lilamrita_Lecture_Mumbai_-_Radhanath_Swami_1998-09-16_IDesireTree.mp3")</f>
        <v>1998-082_Reading_Prabhupada_Lilamrita_Lecture_Mumbai_-_Radhanath_Swami_1998-09-16_IDesireTree.mp3</v>
      </c>
      <c r="D1417" s="11"/>
      <c r="E1417" s="11"/>
    </row>
    <row r="1418" spans="1:5">
      <c r="A1418" s="12" t="s">
        <v>12462</v>
      </c>
      <c r="B1418" s="12" t="s">
        <v>14355</v>
      </c>
      <c r="C1418" s="13" t="str">
        <f>HYPERLINK("https://audio.iskcondesiretree.com/02_-_ISKCON_Swamis/ISKCON_Swamis_-_R_to_Y/His_Holiness_Radhanath_Swami/Lectures/00_-_Year_wise/Devotional_Nectar_-_1998/1998-083_Arrival_Address_Lecture_Mumbai_-_Radhanath_Swami_1998-09-18_IDesireTree.mp3", "1998-083_Arrival_Address_Lecture_Mumbai_-_Radhanath_Swami_1998-09-18_IDesireTree.mp3")</f>
        <v>1998-083_Arrival_Address_Lecture_Mumbai_-_Radhanath_Swami_1998-09-18_IDesireTree.mp3</v>
      </c>
      <c r="D1418" s="11"/>
      <c r="E1418" s="11"/>
    </row>
    <row r="1419" spans="1:5">
      <c r="A1419" s="12" t="s">
        <v>12462</v>
      </c>
      <c r="B1419" s="12" t="s">
        <v>14356</v>
      </c>
      <c r="C1419" s="13" t="str">
        <f>HYPERLINK("https://audio.iskcondesiretree.com/02_-_ISKCON_Swamis/ISKCON_Swamis_-_R_to_Y/His_Holiness_Radhanath_Swami/Lectures/00_-_Year_wise/Devotional_Nectar_-_1998/1998-084_Becoming_Attached_to_Krishna_SB-03_12_42_Mumbai_-_19-09-98_IDesireTree.mp3", "1998-084_Becoming_Attached_to_Krishna_SB-03_12_42_Mumbai_-_19-09-98_IDesireTree.mp3")</f>
        <v>1998-084_Becoming_Attached_to_Krishna_SB-03_12_42_Mumbai_-_19-09-98_IDesireTree.mp3</v>
      </c>
      <c r="D1419" s="11"/>
      <c r="E1419" s="11"/>
    </row>
    <row r="1420" spans="1:5">
      <c r="A1420" s="12" t="s">
        <v>12462</v>
      </c>
      <c r="B1420" s="12" t="s">
        <v>14357</v>
      </c>
      <c r="C1420" s="13" t="str">
        <f>HYPERLINK("https://audio.iskcondesiretree.com/02_-_ISKCON_Swamis/ISKCON_Swamis_-_R_to_Y/His_Holiness_Radhanath_Swami/Lectures/00_-_Year_wise/Devotional_Nectar_-_1998/1998-085_Hare_Krishna_SB-03_12_43_Mumbai_-_Radhanath_Swami_1998-09-20_IDesireTree.mp3", "1998-085_Hare_Krishna_SB-03_12_43_Mumbai_-_Radhanath_Swami_1998-09-20_IDesireTree.mp3")</f>
        <v>1998-085_Hare_Krishna_SB-03_12_43_Mumbai_-_Radhanath_Swami_1998-09-20_IDesireTree.mp3</v>
      </c>
      <c r="D1420" s="11"/>
      <c r="E1420" s="11"/>
    </row>
    <row r="1421" spans="1:5">
      <c r="A1421" s="12" t="s">
        <v>12462</v>
      </c>
      <c r="B1421" s="12" t="s">
        <v>14358</v>
      </c>
      <c r="C1421" s="13" t="str">
        <f>HYPERLINK("https://audio.iskcondesiretree.com/02_-_ISKCON_Swamis/ISKCON_Swamis_-_R_to_Y/His_Holiness_Radhanath_Swami/Lectures/00_-_Year_wise/Devotional_Nectar_-_1998/1998-086_Marriage_Ceremony_Address_Lecture_Mumbai_-_Radhanath_Swami_1998-09-20_IDesireTree.mp3", "1998-086_Marriage_Ceremony_Address_Lecture_Mumbai_-_Radhanath_Swami_1998-09-20_IDesireTree.mp3")</f>
        <v>1998-086_Marriage_Ceremony_Address_Lecture_Mumbai_-_Radhanath_Swami_1998-09-20_IDesireTree.mp3</v>
      </c>
      <c r="D1421" s="11"/>
      <c r="E1421" s="11"/>
    </row>
    <row r="1422" spans="1:5">
      <c r="A1422" s="12" t="s">
        <v>12462</v>
      </c>
      <c r="B1422" s="12" t="s">
        <v>14359</v>
      </c>
      <c r="C1422" s="13" t="str">
        <f>HYPERLINK("https://audio.iskcondesiretree.com/02_-_ISKCON_Swamis/ISKCON_Swamis_-_R_to_Y/His_Holiness_Radhanath_Swami/Lectures/00_-_Year_wise/Devotional_Nectar_-_1998/1998-087_Krishna_Lila_SB-10_Mumbai_-_Radhanath_Swami_1998-09-20_IDesireTree.mp3", "1998-087_Krishna_Lila_SB-10_Mumbai_-_Radhanath_Swami_1998-09-20_IDesireTree.mp3")</f>
        <v>1998-087_Krishna_Lila_SB-10_Mumbai_-_Radhanath_Swami_1998-09-20_IDesireTree.mp3</v>
      </c>
      <c r="D1422" s="11"/>
      <c r="E1422" s="11"/>
    </row>
    <row r="1423" spans="1:5">
      <c r="A1423" s="12" t="s">
        <v>12462</v>
      </c>
      <c r="B1423" s="12" t="s">
        <v>14360</v>
      </c>
      <c r="C1423" s="13" t="str">
        <f>HYPERLINK("https://audio.iskcondesiretree.com/02_-_ISKCON_Swamis/ISKCON_Swamis_-_R_to_Y/His_Holiness_Radhanath_Swami/Lectures/00_-_Year_wise/Devotional_Nectar_-_1998/1998-088_Lecture_-_Radhanath_Swami_IDesireTree.mp3", "1998-088_Lecture_-_Radhanath_Swami_IDesireTree.mp3")</f>
        <v>1998-088_Lecture_-_Radhanath_Swami_IDesireTree.mp3</v>
      </c>
      <c r="D1423" s="11"/>
      <c r="E1423" s="11"/>
    </row>
    <row r="1424" spans="1:5">
      <c r="A1424" s="12" t="s">
        <v>12462</v>
      </c>
      <c r="B1424" s="12" t="s">
        <v>14361</v>
      </c>
      <c r="C1424" s="13" t="str">
        <f>HYPERLINK("https://audio.iskcondesiretree.com/02_-_ISKCON_Swamis/ISKCON_Swamis_-_R_to_Y/His_Holiness_Radhanath_Swami/Lectures/00_-_Year_wise/Devotional_Nectar_-_1998/1998-089_Hare_Krishna_BG-07_06-07_Mumbai_-_Radhanath_Swami_1998-09-23_IDesireTree.mp3", "1998-089_Hare_Krishna_BG-07_06-07_Mumbai_-_Radhanath_Swami_1998-09-23_IDesireTree.mp3")</f>
        <v>1998-089_Hare_Krishna_BG-07_06-07_Mumbai_-_Radhanath_Swami_1998-09-23_IDesireTree.mp3</v>
      </c>
      <c r="D1424" s="11"/>
      <c r="E1424" s="11"/>
    </row>
    <row r="1425" spans="1:5">
      <c r="A1425" s="12" t="s">
        <v>12462</v>
      </c>
      <c r="B1425" s="12" t="s">
        <v>14362</v>
      </c>
      <c r="C1425" s="13" t="str">
        <f>HYPERLINK("https://audio.iskcondesiretree.com/02_-_ISKCON_Swamis/ISKCON_Swamis_-_R_to_Y/His_Holiness_Radhanath_Swami/Lectures/00_-_Year_wise/Devotional_Nectar_-_1998/1998-090_Glories_of_Svayambhuva_Manu_SB-03_13_02-03_Mumbai_-_27-09-98_IDesireTree.mp3", "1998-090_Glories_of_Svayambhuva_Manu_SB-03_13_02-03_Mumbai_-_27-09-98_IDesireTree.mp3")</f>
        <v>1998-090_Glories_of_Svayambhuva_Manu_SB-03_13_02-03_Mumbai_-_27-09-98_IDesireTree.mp3</v>
      </c>
      <c r="D1425" s="11"/>
      <c r="E1425" s="11"/>
    </row>
    <row r="1426" spans="1:5">
      <c r="A1426" s="12" t="s">
        <v>12462</v>
      </c>
      <c r="B1426" s="12" t="s">
        <v>14363</v>
      </c>
      <c r="C1426" s="13" t="str">
        <f>HYPERLINK("https://audio.iskcondesiretree.com/02_-_ISKCON_Swamis/ISKCON_Swamis_-_R_to_Y/His_Holiness_Radhanath_Swami/Lectures/00_-_Year_wise/Devotional_Nectar_-_1998/1998-091_Krishna_Lila_BG-08_14_Mumbai_-_Radhanath_Swami_1998-09-27_IDesireTree.mp3", "1998-091_Krishna_Lila_BG-08_14_Mumbai_-_Radhanath_Swami_1998-09-27_IDesireTree.mp3")</f>
        <v>1998-091_Krishna_Lila_BG-08_14_Mumbai_-_Radhanath_Swami_1998-09-27_IDesireTree.mp3</v>
      </c>
      <c r="D1426" s="11"/>
      <c r="E1426" s="11"/>
    </row>
    <row r="1427" spans="1:5">
      <c r="A1427" s="12" t="s">
        <v>12462</v>
      </c>
      <c r="B1427" s="12" t="s">
        <v>14364</v>
      </c>
      <c r="C1427" s="13" t="str">
        <f>HYPERLINK("https://audio.iskcondesiretree.com/02_-_ISKCON_Swamis/ISKCON_Swamis_-_R_to_Y/His_Holiness_Radhanath_Swami/Lectures/00_-_Year_wise/Devotional_Nectar_-_1998/1998-092_Preach_Only_When_You_Receive_the_Order_Lecture_Mumbai_-_28-09-97_IDesireTree.mp3", "1998-092_Preach_Only_When_You_Receive_the_Order_Lecture_Mumbai_-_28-09-97_IDesireTree.mp3")</f>
        <v>1998-092_Preach_Only_When_You_Receive_the_Order_Lecture_Mumbai_-_28-09-97_IDesireTree.mp3</v>
      </c>
      <c r="D1427" s="11"/>
      <c r="E1427" s="11"/>
    </row>
    <row r="1428" spans="1:5">
      <c r="A1428" s="12" t="s">
        <v>12462</v>
      </c>
      <c r="B1428" s="12" t="s">
        <v>14365</v>
      </c>
      <c r="C1428" s="13" t="str">
        <f>HYPERLINK("https://audio.iskcondesiretree.com/02_-_ISKCON_Swamis/ISKCON_Swamis_-_R_to_Y/His_Holiness_Radhanath_Swami/Lectures/00_-_Year_wise/Devotional_Nectar_-_1998/1998-093_Applying_Teachings_of_Ram_Lila_in_Our_Lives_Lecture_Belgaum_-_28-09-98_IDesireTree.mp3", "1998-093_Applying_Teachings_of_Ram_Lila_in_Our_Lives_Lecture_Belgaum_-_28-09-98_IDesireTree.mp3")</f>
        <v>1998-093_Applying_Teachings_of_Ram_Lila_in_Our_Lives_Lecture_Belgaum_-_28-09-98_IDesireTree.mp3</v>
      </c>
      <c r="D1428" s="11"/>
      <c r="E1428" s="11"/>
    </row>
    <row r="1429" spans="1:5">
      <c r="A1429" s="12" t="s">
        <v>12462</v>
      </c>
      <c r="B1429" s="12" t="s">
        <v>14366</v>
      </c>
      <c r="C1429" s="13" t="str">
        <f>HYPERLINK("https://audio.iskcondesiretree.com/02_-_ISKCON_Swamis/ISKCON_Swamis_-_R_to_Y/His_Holiness_Radhanath_Swami/Lectures/00_-_Year_wise/Devotional_Nectar_-_1998/1998-094_Hare_Krishna_SB-03_32_40_Belgaum_-_Radhanath_Swami_1998-09-29_IDesireTree.mp3", "1998-094_Hare_Krishna_SB-03_32_40_Belgaum_-_Radhanath_Swami_1998-09-29_IDesireTree.mp3")</f>
        <v>1998-094_Hare_Krishna_SB-03_32_40_Belgaum_-_Radhanath_Swami_1998-09-29_IDesireTree.mp3</v>
      </c>
      <c r="D1429" s="11"/>
      <c r="E1429" s="11"/>
    </row>
    <row r="1430" spans="1:5">
      <c r="A1430" s="12" t="s">
        <v>12462</v>
      </c>
      <c r="B1430" s="12" t="s">
        <v>14367</v>
      </c>
      <c r="C1430" s="13" t="str">
        <f>HYPERLINK("https://audio.iskcondesiretree.com/02_-_ISKCON_Swamis/ISKCON_Swamis_-_R_to_Y/His_Holiness_Radhanath_Swami/Lectures/00_-_Year_wise/Devotional_Nectar_-_1998/1998-095_Real_Solution_to_all_Material_Problem_BG-16_11-12_-_04-10-98_IDesireTree.mp3", "1998-095_Real_Solution_to_all_Material_Problem_BG-16_11-12_-_04-10-98_IDesireTree.mp3")</f>
        <v>1998-095_Real_Solution_to_all_Material_Problem_BG-16_11-12_-_04-10-98_IDesireTree.mp3</v>
      </c>
      <c r="D1430" s="11"/>
      <c r="E1430" s="11"/>
    </row>
    <row r="1431" spans="1:5">
      <c r="A1431" s="12" t="s">
        <v>12462</v>
      </c>
      <c r="B1431" s="12" t="s">
        <v>14368</v>
      </c>
      <c r="C1431" s="13" t="str">
        <f>HYPERLINK("https://audio.iskcondesiretree.com/02_-_ISKCON_Swamis/ISKCON_Swamis_-_R_to_Y/His_Holiness_Radhanath_Swami/Lectures/00_-_Year_wise/Devotional_Nectar_-_1998/1998-096_Identify_Yourself_Properly_SB-03_02_29_Mumbai_-_Radhanath_Swami_1998-10-07_IDesireTree.mp3", "1998-096_Identify_Yourself_Properly_SB-03_02_29_Mumbai_-_Radhanath_Swami_1998-10-07_IDesireTree.mp3")</f>
        <v>1998-096_Identify_Yourself_Properly_SB-03_02_29_Mumbai_-_Radhanath_Swami_1998-10-07_IDesireTree.mp3</v>
      </c>
      <c r="D1431" s="11"/>
      <c r="E1431" s="11"/>
    </row>
    <row r="1432" spans="1:5">
      <c r="A1432" s="12" t="s">
        <v>12462</v>
      </c>
      <c r="B1432" s="12" t="s">
        <v>14369</v>
      </c>
      <c r="C1432" s="13" t="str">
        <f>HYPERLINK("https://audio.iskcondesiretree.com/02_-_ISKCON_Swamis/ISKCON_Swamis_-_R_to_Y/His_Holiness_Radhanath_Swami/Lectures/00_-_Year_wise/Devotional_Nectar_-_1998/1998-097_Complexity_of_Modern_Civilization_Lecture_Pune_-_Radhanath_Swami_1998-10-07_IDesireTree.mp3", "1998-097_Complexity_of_Modern_Civilization_Lecture_Pune_-_Radhanath_Swami_1998-10-07_IDesireTree.mp3")</f>
        <v>1998-097_Complexity_of_Modern_Civilization_Lecture_Pune_-_Radhanath_Swami_1998-10-07_IDesireTree.mp3</v>
      </c>
      <c r="D1432" s="11"/>
      <c r="E1432" s="11"/>
    </row>
    <row r="1433" spans="1:5">
      <c r="A1433" s="12" t="s">
        <v>12462</v>
      </c>
      <c r="B1433" s="12" t="s">
        <v>14370</v>
      </c>
      <c r="C1433" s="13" t="str">
        <f>HYPERLINK("https://audio.iskcondesiretree.com/02_-_ISKCON_Swamis/ISKCON_Swamis_-_R_to_Y/His_Holiness_Radhanath_Swami/Lectures/00_-_Year_wise/Devotional_Nectar_-_1998/1998-098_Bringing_the_Lord_Back_to_Our_Heart_BG-03_Nigdi_-_08-10-98_IDesireTree.mp3", "1998-098_Bringing_the_Lord_Back_to_Our_Heart_BG-03_Nigdi_-_08-10-98_IDesireTree.mp3")</f>
        <v>1998-098_Bringing_the_Lord_Back_to_Our_Heart_BG-03_Nigdi_-_08-10-98_IDesireTree.mp3</v>
      </c>
      <c r="D1433" s="11"/>
      <c r="E1433" s="11"/>
    </row>
    <row r="1434" spans="1:5">
      <c r="A1434" s="12" t="s">
        <v>12462</v>
      </c>
      <c r="B1434" s="12" t="s">
        <v>14371</v>
      </c>
      <c r="C1434" s="13" t="str">
        <f>HYPERLINK("https://audio.iskcondesiretree.com/02_-_ISKCON_Swamis/ISKCON_Swamis_-_R_to_Y/His_Holiness_Radhanath_Swami/Lectures/00_-_Year_wise/Devotional_Nectar_-_1998/1998-099_No_Competition_in_Vaikuntha_SB-03_15_20_Mumbai_-_Radhanath_Swami_1998-11-04_IDesireTree.mp3", "1998-099_No_Competition_in_Vaikuntha_SB-03_15_20_Mumbai_-_Radhanath_Swami_1998-11-04_IDesireTree.mp3")</f>
        <v>1998-099_No_Competition_in_Vaikuntha_SB-03_15_20_Mumbai_-_Radhanath_Swami_1998-11-04_IDesireTree.mp3</v>
      </c>
      <c r="D1434" s="11"/>
      <c r="E1434" s="11"/>
    </row>
    <row r="1435" spans="1:5">
      <c r="A1435" s="12" t="s">
        <v>12462</v>
      </c>
      <c r="B1435" s="12" t="s">
        <v>14372</v>
      </c>
      <c r="C1435" s="13" t="str">
        <f>HYPERLINK("https://audio.iskcondesiretree.com/02_-_ISKCON_Swamis/ISKCON_Swamis_-_R_to_Y/His_Holiness_Radhanath_Swami/Lectures/00_-_Year_wise/Devotional_Nectar_-_1998/1998-100_Becoming_Expert_With_Simplicity_SB-10_04_05_Mumbai_-_05-11-98_IDesireTree.mp3", "1998-100_Becoming_Expert_With_Simplicity_SB-10_04_05_Mumbai_-_05-11-98_IDesireTree.mp3")</f>
        <v>1998-100_Becoming_Expert_With_Simplicity_SB-10_04_05_Mumbai_-_05-11-98_IDesireTree.mp3</v>
      </c>
      <c r="D1435" s="11"/>
      <c r="E1435" s="11"/>
    </row>
    <row r="1436" spans="1:5">
      <c r="A1436" s="12" t="s">
        <v>12462</v>
      </c>
      <c r="B1436" s="12" t="s">
        <v>14373</v>
      </c>
      <c r="C1436" s="13" t="str">
        <f>HYPERLINK("https://audio.iskcondesiretree.com/02_-_ISKCON_Swamis/ISKCON_Swamis_-_R_to_Y/His_Holiness_Radhanath_Swami/Lectures/00_-_Year_wise/Devotional_Nectar_-_1998/1998-101_Hare_Krishna_BG_05_20_Mumbai_-_08-11-98_IDesireTree.mp3", "1998-101_Hare_Krishna_BG_05_20_Mumbai_-_08-11-98_IDesireTree.mp3")</f>
        <v>1998-101_Hare_Krishna_BG_05_20_Mumbai_-_08-11-98_IDesireTree.mp3</v>
      </c>
      <c r="D1436" s="11"/>
      <c r="E1436" s="11"/>
    </row>
    <row r="1437" spans="1:5">
      <c r="A1437" s="12" t="s">
        <v>12462</v>
      </c>
      <c r="B1437" s="12" t="s">
        <v>14374</v>
      </c>
      <c r="C1437" s="13" t="str">
        <f>HYPERLINK("https://audio.iskcondesiretree.com/02_-_ISKCON_Swamis/ISKCON_Swamis_-_R_to_Y/His_Holiness_Radhanath_Swami/Lectures/00_-_Year_wise/Devotional_Nectar_-_1998/1998-102_Performing_Our_Duties_With_Expertise_BG_03_23_Mumbai_-_10-11-98_IDesireTree.mp3", "1998-102_Performing_Our_Duties_With_Expertise_BG_03_23_Mumbai_-_10-11-98_IDesireTree.mp3")</f>
        <v>1998-102_Performing_Our_Duties_With_Expertise_BG_03_23_Mumbai_-_10-11-98_IDesireTree.mp3</v>
      </c>
      <c r="D1437" s="11"/>
      <c r="E1437" s="11"/>
    </row>
    <row r="1438" spans="1:5">
      <c r="A1438" s="12" t="s">
        <v>12462</v>
      </c>
      <c r="B1438" s="12" t="s">
        <v>14375</v>
      </c>
      <c r="C1438" s="13" t="str">
        <f>HYPERLINK("https://audio.iskcondesiretree.com/02_-_ISKCON_Swamis/ISKCON_Swamis_-_R_to_Y/His_Holiness_Radhanath_Swami/Lectures/00_-_Year_wise/Devotional_Nectar_-_1998/1998-103_HareKrishna_MT_-_BG_02_55_Nasik_-_Radhanath_Swami_1998-11-18_IDesireTree.mp3", "1998-103_HareKrishna_MT_-_BG_02_55_Nasik_-_Radhanath_Swami_1998-11-18_IDesireTree.mp3")</f>
        <v>1998-103_HareKrishna_MT_-_BG_02_55_Nasik_-_Radhanath_Swami_1998-11-18_IDesireTree.mp3</v>
      </c>
      <c r="D1438" s="11"/>
      <c r="E1438" s="11"/>
    </row>
    <row r="1439" spans="1:5">
      <c r="A1439" s="12" t="s">
        <v>12462</v>
      </c>
      <c r="B1439" s="12" t="s">
        <v>14376</v>
      </c>
      <c r="C1439" s="13" t="str">
        <f>HYPERLINK("https://audio.iskcondesiretree.com/02_-_ISKCON_Swamis/ISKCON_Swamis_-_R_to_Y/His_Holiness_Radhanath_Swami/Lectures/00_-_Year_wise/Devotional_Nectar_-_1998/1998-104_Bad_Association_is_Dangerous_SB-10_04_36_Mumbai_-_26-11-98_IDesireTree.mp3", "1998-104_Bad_Association_is_Dangerous_SB-10_04_36_Mumbai_-_26-11-98_IDesireTree.mp3")</f>
        <v>1998-104_Bad_Association_is_Dangerous_SB-10_04_36_Mumbai_-_26-11-98_IDesireTree.mp3</v>
      </c>
      <c r="D1439" s="11"/>
      <c r="E1439" s="11"/>
    </row>
    <row r="1440" spans="1:5">
      <c r="A1440" s="12" t="s">
        <v>12462</v>
      </c>
      <c r="B1440" s="12" t="s">
        <v>14377</v>
      </c>
      <c r="C1440" s="13" t="str">
        <f>HYPERLINK("https://audio.iskcondesiretree.com/02_-_ISKCON_Swamis/ISKCON_Swamis_-_R_to_Y/His_Holiness_Radhanath_Swami/Lectures/00_-_Year_wise/Devotional_Nectar_-_1998/1998-105_Factors_While_Getting_Married_SB-03_14_19_Mumbai_-_28-11-98_IDesireTree.mp3", "1998-105_Factors_While_Getting_Married_SB-03_14_19_Mumbai_-_28-11-98_IDesireTree.mp3")</f>
        <v>1998-105_Factors_While_Getting_Married_SB-03_14_19_Mumbai_-_28-11-98_IDesireTree.mp3</v>
      </c>
      <c r="D1440" s="11"/>
      <c r="E1440" s="11"/>
    </row>
    <row r="1441" spans="1:5">
      <c r="A1441" s="12" t="s">
        <v>12462</v>
      </c>
      <c r="B1441" s="12" t="s">
        <v>14378</v>
      </c>
      <c r="C1441" s="13" t="str">
        <f>HYPERLINK("https://audio.iskcondesiretree.com/02_-_ISKCON_Swamis/ISKCON_Swamis_-_R_to_Y/His_Holiness_Radhanath_Swami/Lectures/00_-_Year_wise/Devotional_Nectar_-_1998/1998-106_Focussing_the_Mind_on_the_Real_Purpose_of_Life_BG-02_28_Mumbai_-_28-11-98_IDesireTree.mp3", "1998-106_Focussing_the_Mind_on_the_Real_Purpose_of_Life_BG-02_28_Mumbai_-_28-11-98_IDesireTree.mp3")</f>
        <v>1998-106_Focussing_the_Mind_on_the_Real_Purpose_of_Life_BG-02_28_Mumbai_-_28-11-98_IDesireTree.mp3</v>
      </c>
      <c r="D1441" s="11"/>
      <c r="E1441" s="11"/>
    </row>
    <row r="1442" spans="1:5">
      <c r="A1442" s="12" t="s">
        <v>12462</v>
      </c>
      <c r="B1442" s="12" t="s">
        <v>14379</v>
      </c>
      <c r="C1442" s="13" t="str">
        <f>HYPERLINK("https://audio.iskcondesiretree.com/02_-_ISKCON_Swamis/ISKCON_Swamis_-_R_to_Y/His_Holiness_Radhanath_Swami/Lectures/00_-_Year_wise/Devotional_Nectar_-_1998/1998-107_Lord_Siva%27s_Mercy_on_Daksa_SB-04_24_27-30_Mumbai_-_29-11-98_IDesireTree.mp3", "1998-107_Lord_Siva%27s_Mercy_on_Daksa_SB-04_24_27-30_Mumbai_-_29-11-98_IDesireTree.mp3")</f>
        <v>1998-107_Lord_Siva%27s_Mercy_on_Daksa_SB-04_24_27-30_Mumbai_-_29-11-98_IDesireTree.mp3</v>
      </c>
      <c r="D1442" s="11"/>
      <c r="E1442" s="11"/>
    </row>
    <row r="1443" spans="1:5">
      <c r="A1443" s="12" t="s">
        <v>12462</v>
      </c>
      <c r="B1443" s="12" t="s">
        <v>14380</v>
      </c>
      <c r="C1443" s="13" t="str">
        <f>HYPERLINK("https://audio.iskcondesiretree.com/02_-_ISKCON_Swamis/ISKCON_Swamis_-_R_to_Y/His_Holiness_Radhanath_Swami/Lectures/00_-_Year_wise/Devotional_Nectar_-_1998/1998-108_Realization_With_My_Parents_Lecture_Mumbai_-_Radhanath_Swami_1998-12-02_IDesireTree.mp3", "1998-108_Realization_With_My_Parents_Lecture_Mumbai_-_Radhanath_Swami_1998-12-02_IDesireTree.mp3")</f>
        <v>1998-108_Realization_With_My_Parents_Lecture_Mumbai_-_Radhanath_Swami_1998-12-02_IDesireTree.mp3</v>
      </c>
      <c r="D1443" s="11"/>
      <c r="E1443" s="11"/>
    </row>
    <row r="1444" spans="1:5">
      <c r="A1444" s="12" t="s">
        <v>12462</v>
      </c>
      <c r="B1444" s="12" t="s">
        <v>14381</v>
      </c>
      <c r="C1444" s="13" t="str">
        <f>HYPERLINK("https://audio.iskcondesiretree.com/02_-_ISKCON_Swamis/ISKCON_Swamis_-_R_to_Y/His_Holiness_Radhanath_Swami/Lectures/00_-_Year_wise/Devotional_Nectar_-_1998/1998-109_Soul%3B_One_of_Krishna%27s_Wonderful_Creation_BG_02_21_Mumbai_-_03-12-98_IDesireTree.mp3", "1998-109_Soul%3B_One_of_Krishna%27s_Wonderful_Creation_BG_02_21_Mumbai_-_03-12-98_IDesireTree.mp3")</f>
        <v>1998-109_Soul%3B_One_of_Krishna%27s_Wonderful_Creation_BG_02_21_Mumbai_-_03-12-98_IDesireTree.mp3</v>
      </c>
      <c r="D1444" s="11"/>
      <c r="E1444" s="11"/>
    </row>
    <row r="1445" spans="1:5">
      <c r="A1445" s="12" t="s">
        <v>12462</v>
      </c>
      <c r="B1445" s="12" t="s">
        <v>14382</v>
      </c>
      <c r="C1445" s="13" t="str">
        <f>HYPERLINK("https://audio.iskcondesiretree.com/02_-_ISKCON_Swamis/ISKCON_Swamis_-_R_to_Y/His_Holiness_Radhanath_Swami/Lectures/00_-_Year_wise/Devotional_Nectar_-_1998/1998-110_Serving_the_Lord_with_Love_%26_Devotion_BG-08_15_Mumbai_-_04-12-98_IDesireTree.mp3", "1998-110_Serving_the_Lord_with_Love_%26_Devotion_BG-08_15_Mumbai_-_04-12-98_IDesireTree.mp3")</f>
        <v>1998-110_Serving_the_Lord_with_Love_%26_Devotion_BG-08_15_Mumbai_-_04-12-98_IDesireTree.mp3</v>
      </c>
      <c r="D1445" s="11"/>
      <c r="E1445" s="11"/>
    </row>
    <row r="1446" spans="1:5">
      <c r="A1446" s="12" t="s">
        <v>12462</v>
      </c>
      <c r="B1446" s="12" t="s">
        <v>14383</v>
      </c>
      <c r="C1446" s="13" t="str">
        <f>HYPERLINK("https://audio.iskcondesiretree.com/02_-_ISKCON_Swamis/ISKCON_Swamis_-_R_to_Y/His_Holiness_Radhanath_Swami/Lectures/00_-_Year_wise/Devotional_Nectar_-_1998/1998-111_Best_Blessings_of_Demigods_SB-03_14_26_Mumbai_-_Radhanath_Swami_1998-12-06_IDesireTree.mp3", "1998-111_Best_Blessings_of_Demigods_SB-03_14_26_Mumbai_-_Radhanath_Swami_1998-12-06_IDesireTree.mp3")</f>
        <v>1998-111_Best_Blessings_of_Demigods_SB-03_14_26_Mumbai_-_Radhanath_Swami_1998-12-06_IDesireTree.mp3</v>
      </c>
      <c r="D1446" s="11"/>
      <c r="E1446" s="11"/>
    </row>
    <row r="1447" spans="1:5">
      <c r="A1447" s="12" t="s">
        <v>12462</v>
      </c>
      <c r="B1447" s="12" t="e">
        <v>#VALUE!</v>
      </c>
      <c r="C1447" s="13" t="e">
        <f>HYPERLINK("https://audio.iskcondesiretree.com/02_-_ISKCON_Swamis/ISKCON_Swamis_-_R_to_Y/His_Holiness_Radhanath_Swami/Lectures/00_-_Year_wise/Devotional_Nectar_-_1998/1998-112_Holyname-_The_Most_Effective_Way_to_Remember_Krishna_BG-12_02_Mumbai_-_06-12-98_IDesireTree"&amp;".mp3", "1998-112_Holyname-_The_Most_Effective_Way_to_Remember_Krishna_BG-12_02_Mumbai_-_06-12-98_IDesireTree.mp3")</f>
        <v>#VALUE!</v>
      </c>
      <c r="D1447" s="11"/>
      <c r="E1447" s="11"/>
    </row>
    <row r="1448" spans="1:5">
      <c r="A1448" s="12" t="s">
        <v>12462</v>
      </c>
      <c r="B1448" s="12" t="s">
        <v>14384</v>
      </c>
      <c r="C1448" s="13" t="str">
        <f>HYPERLINK("https://audio.iskcondesiretree.com/02_-_ISKCON_Swamis/ISKCON_Swamis_-_R_to_Y/His_Holiness_Radhanath_Swami/Lectures/00_-_Year_wise/Devotional_Nectar_-_1998/1998-113_Offering_to_Srila_Bhaktisiddhantha_S_T_Lecture_Mumbai_-_07-12-98_IDesireTree.mp3", "1998-113_Offering_to_Srila_Bhaktisiddhantha_S_T_Lecture_Mumbai_-_07-12-98_IDesireTree.mp3")</f>
        <v>1998-113_Offering_to_Srila_Bhaktisiddhantha_S_T_Lecture_Mumbai_-_07-12-98_IDesireTree.mp3</v>
      </c>
      <c r="D1448" s="11"/>
      <c r="E1448" s="11"/>
    </row>
    <row r="1449" spans="1:5">
      <c r="A1449" s="12" t="s">
        <v>12462</v>
      </c>
      <c r="B1449" s="12" t="s">
        <v>14385</v>
      </c>
      <c r="C1449" s="13" t="str">
        <f>HYPERLINK("https://audio.iskcondesiretree.com/02_-_ISKCON_Swamis/ISKCON_Swamis_-_R_to_Y/His_Holiness_Radhanath_Swami/Lectures/00_-_Year_wise/Devotional_Nectar_-_1999/1999-001_Putting_Krishna_in_the_Center_of_our_Lives_SB-04_09_01_Belgaum_-_01-01-99_IDesireTree.mp3", "1999-001_Putting_Krishna_in_the_Center_of_our_Lives_SB-04_09_01_Belgaum_-_01-01-99_IDesireTree.mp3")</f>
        <v>1999-001_Putting_Krishna_in_the_Center_of_our_Lives_SB-04_09_01_Belgaum_-_01-01-99_IDesireTree.mp3</v>
      </c>
      <c r="D1449" s="11"/>
      <c r="E1449" s="11"/>
    </row>
    <row r="1450" spans="1:5">
      <c r="A1450" s="12" t="s">
        <v>12462</v>
      </c>
      <c r="B1450" s="12" t="s">
        <v>14386</v>
      </c>
      <c r="C1450" s="13" t="str">
        <f>HYPERLINK("https://audio.iskcondesiretree.com/02_-_ISKCON_Swamis/ISKCON_Swamis_-_R_to_Y/His_Holiness_Radhanath_Swami/Lectures/00_-_Year_wise/Devotional_Nectar_-_1999/1999-002_Hare_Krishna_Lecture_Mumbai_-_Radhanath_Swami_1999-01-02_IDesireTree.mp3", "1999-002_Hare_Krishna_Lecture_Mumbai_-_Radhanath_Swami_1999-01-02_IDesireTree.mp3")</f>
        <v>1999-002_Hare_Krishna_Lecture_Mumbai_-_Radhanath_Swami_1999-01-02_IDesireTree.mp3</v>
      </c>
      <c r="D1450" s="11"/>
      <c r="E1450" s="11"/>
    </row>
    <row r="1451" spans="1:5">
      <c r="A1451" s="12" t="s">
        <v>12462</v>
      </c>
      <c r="B1451" s="12" t="s">
        <v>14387</v>
      </c>
      <c r="C1451" s="13" t="str">
        <f>HYPERLINK("https://audio.iskcondesiretree.com/02_-_ISKCON_Swamis/ISKCON_Swamis_-_R_to_Y/His_Holiness_Radhanath_Swami/Lectures/00_-_Year_wise/Devotional_Nectar_-_1999/1999-003_Glories_of_Srila_Advaita_Acharya_I_CC_Adi_1-_Mumbai_-_24-01-99_IDesireTree.mp3", "1999-003_Glories_of_Srila_Advaita_Acharya_I_CC_Adi_1-_Mumbai_-_24-01-99_IDesireTree.mp3")</f>
        <v>1999-003_Glories_of_Srila_Advaita_Acharya_I_CC_Adi_1-_Mumbai_-_24-01-99_IDesireTree.mp3</v>
      </c>
      <c r="D1451" s="11"/>
      <c r="E1451" s="11"/>
    </row>
    <row r="1452" spans="1:5">
      <c r="A1452" s="12" t="s">
        <v>12462</v>
      </c>
      <c r="B1452" s="12" t="s">
        <v>14388</v>
      </c>
      <c r="C1452" s="13" t="str">
        <f>HYPERLINK("https://audio.iskcondesiretree.com/02_-_ISKCON_Swamis/ISKCON_Swamis_-_R_to_Y/His_Holiness_Radhanath_Swami/Lectures/00_-_Year_wise/Devotional_Nectar_-_1999/1999-004_Wedding_Ceremony_Address_Lecture_Mumbai_-_Radhanath_Swami_1999-01-25_IDesireTree.mp3", "1999-004_Wedding_Ceremony_Address_Lecture_Mumbai_-_Radhanath_Swami_1999-01-25_IDesireTree.mp3")</f>
        <v>1999-004_Wedding_Ceremony_Address_Lecture_Mumbai_-_Radhanath_Swami_1999-01-25_IDesireTree.mp3</v>
      </c>
      <c r="D1452" s="11"/>
      <c r="E1452" s="11"/>
    </row>
    <row r="1453" spans="1:5">
      <c r="A1453" s="12" t="s">
        <v>12462</v>
      </c>
      <c r="B1453" s="12" t="s">
        <v>14389</v>
      </c>
      <c r="C1453" s="13" t="str">
        <f>HYPERLINK("https://audio.iskcondesiretree.com/02_-_ISKCON_Swamis/ISKCON_Swamis_-_R_to_Y/His_Holiness_Radhanath_Swami/Lectures/00_-_Year_wise/Devotional_Nectar_-_1999/1999-007_Pastimes_of_Srila_Ishwar_Puri_Lecture_Mumbai_-_Radhanath_Swami_1999-02-08_IDesireTree.mp3", "1999-007_Pastimes_of_Srila_Ishwar_Puri_Lecture_Mumbai_-_Radhanath_Swami_1999-02-08_IDesireTree.mp3")</f>
        <v>1999-007_Pastimes_of_Srila_Ishwar_Puri_Lecture_Mumbai_-_Radhanath_Swami_1999-02-08_IDesireTree.mp3</v>
      </c>
      <c r="D1453" s="11"/>
      <c r="E1453" s="11"/>
    </row>
    <row r="1454" spans="1:5">
      <c r="A1454" s="12" t="s">
        <v>12462</v>
      </c>
      <c r="B1454" s="12" t="e">
        <v>#VALUE!</v>
      </c>
      <c r="C1454" s="13" t="e">
        <f>HYPERLINK("https://audio.iskcondesiretree.com/02_-_ISKCON_Swamis/ISKCON_Swamis_-_R_to_Y/His_Holiness_Radhanath_Swami/Lectures/00_-_Year_wise/Devotional_Nectar_-_1999/1999-008_Krishna%27s_Smila_Reawakens_the_Propensity_to_Love_SB-03_15_39_Mumbai_-_18-02-99_IDesireTre"&amp;"e.mp3", "1999-008_Krishna%27s_Smila_Reawakens_the_Propensity_to_Love_SB-03_15_39_Mumbai_-_18-02-99_IDesireTree.mp3")</f>
        <v>#VALUE!</v>
      </c>
      <c r="D1454" s="11"/>
      <c r="E1454" s="11"/>
    </row>
    <row r="1455" spans="1:5">
      <c r="A1455" s="12" t="s">
        <v>12462</v>
      </c>
      <c r="B1455" s="12" t="s">
        <v>14390</v>
      </c>
      <c r="C1455" s="13" t="str">
        <f>HYPERLINK("https://audio.iskcondesiretree.com/02_-_ISKCON_Swamis/ISKCON_Swamis_-_R_to_Y/His_Holiness_Radhanath_Swami/Lectures/00_-_Year_wise/Devotional_Nectar_-_1999/1999-009_The_Soul%27s_Eternal_Longing_for_Krishna_SB-03_15_41-42_Mumbai_-_20-02-99_IDesireTree.mp3", "1999-009_The_Soul%27s_Eternal_Longing_for_Krishna_SB-03_15_41-42_Mumbai_-_20-02-99_IDesireTree.mp3")</f>
        <v>1999-009_The_Soul%27s_Eternal_Longing_for_Krishna_SB-03_15_41-42_Mumbai_-_20-02-99_IDesireTree.mp3</v>
      </c>
      <c r="D1455" s="11"/>
      <c r="E1455" s="11"/>
    </row>
    <row r="1456" spans="1:5">
      <c r="A1456" s="12" t="s">
        <v>12462</v>
      </c>
      <c r="B1456" s="12" t="s">
        <v>14391</v>
      </c>
      <c r="C1456" s="13" t="str">
        <f>HYPERLINK("https://audio.iskcondesiretree.com/02_-_ISKCON_Swamis/ISKCON_Swamis_-_R_to_Y/His_Holiness_Radhanath_Swami/Lectures/00_-_Year_wise/Devotional_Nectar_-_1999/1999-01-10_Various_-_What_it_Means_to_be_Vaishnava_-_Radhanath_Swami_Mumbai.mp3", "1999-01-10_Various_-_What_it_Means_to_be_Vaishnava_-_Radhanath_Swami_Mumbai.mp3")</f>
        <v>1999-01-10_Various_-_What_it_Means_to_be_Vaishnava_-_Radhanath_Swami_Mumbai.mp3</v>
      </c>
      <c r="D1456" s="11"/>
      <c r="E1456" s="11"/>
    </row>
    <row r="1457" spans="1:5">
      <c r="A1457" s="12" t="s">
        <v>12462</v>
      </c>
      <c r="B1457" s="12" t="s">
        <v>14392</v>
      </c>
      <c r="C1457" s="13" t="str">
        <f>HYPERLINK("https://audio.iskcondesiretree.com/02_-_ISKCON_Swamis/ISKCON_Swamis_-_R_to_Y/His_Holiness_Radhanath_Swami/Lectures/00_-_Year_wise/Devotional_Nectar_-_1999/1999-010_Kanak_Kamini_%26_Pratistha_SB-03_15_43_Mumbai_-_Radhanath_Swami_1999-02-21_IDesireTree.mp3", "1999-010_Kanak_Kamini_%26_Pratistha_SB-03_15_43_Mumbai_-_Radhanath_Swami_1999-02-21_IDesireTree.mp3")</f>
        <v>1999-010_Kanak_Kamini_%26_Pratistha_SB-03_15_43_Mumbai_-_Radhanath_Swami_1999-02-21_IDesireTree.mp3</v>
      </c>
      <c r="D1457" s="11"/>
      <c r="E1457" s="11"/>
    </row>
    <row r="1458" spans="1:5">
      <c r="A1458" s="12" t="s">
        <v>12462</v>
      </c>
      <c r="B1458" s="12" t="e">
        <v>#VALUE!</v>
      </c>
      <c r="C1458" s="13" t="e">
        <f>HYPERLINK("https://audio.iskcondesiretree.com/02_-_ISKCON_Swamis/ISKCON_Swamis_-_R_to_Y/His_Holiness_Radhanath_Swami/Lectures/00_-_Year_wise/Devotional_Nectar_-_1999/1999-011_Every_Situation_is_a_Oppurtunity_to_Remember_Krishna_BG-02_57_Mumbai_-_21-02-99_IDesireTree"&amp;".mp3", "1999-011_Every_Situation_is_a_Oppurtunity_to_Remember_Krishna_BG-02_57_Mumbai_-_21-02-99_IDesireTree.mp3")</f>
        <v>#VALUE!</v>
      </c>
      <c r="D1458" s="11"/>
      <c r="E1458" s="11"/>
    </row>
    <row r="1459" spans="1:5">
      <c r="A1459" s="12" t="s">
        <v>12462</v>
      </c>
      <c r="B1459" s="12" t="s">
        <v>14393</v>
      </c>
      <c r="C1459" s="13" t="str">
        <f>HYPERLINK("https://audio.iskcondesiretree.com/02_-_ISKCON_Swamis/ISKCON_Swamis_-_R_to_Y/His_Holiness_Radhanath_Swami/Lectures/00_-_Year_wise/Devotional_Nectar_-_1999/1999-012_Glorifying_our_Previous_Acaryas_Lecture_Pune_-_Radhanath_Swami_1999-02-25_IDesireTree.mp3", "1999-012_Glorifying_our_Previous_Acaryas_Lecture_Pune_-_Radhanath_Swami_1999-02-25_IDesireTree.mp3")</f>
        <v>1999-012_Glorifying_our_Previous_Acaryas_Lecture_Pune_-_Radhanath_Swami_1999-02-25_IDesireTree.mp3</v>
      </c>
      <c r="D1459" s="11"/>
      <c r="E1459" s="11"/>
    </row>
    <row r="1460" spans="1:5">
      <c r="A1460" s="12" t="s">
        <v>12462</v>
      </c>
      <c r="B1460" s="12" t="s">
        <v>14394</v>
      </c>
      <c r="C1460" s="13" t="str">
        <f>HYPERLINK("https://audio.iskcondesiretree.com/02_-_ISKCON_Swamis/ISKCON_Swamis_-_R_to_Y/His_Holiness_Radhanath_Swami/Lectures/00_-_Year_wise/Devotional_Nectar_-_1999/1999-013_Hare_Krsna_Lecture_Pune_-_Radhanath_Swami_1999-02-25_IDesireTree.mp3", "1999-013_Hare_Krsna_Lecture_Pune_-_Radhanath_Swami_1999-02-25_IDesireTree.mp3")</f>
        <v>1999-013_Hare_Krsna_Lecture_Pune_-_Radhanath_Swami_1999-02-25_IDesireTree.mp3</v>
      </c>
      <c r="D1460" s="11"/>
      <c r="E1460" s="11"/>
    </row>
    <row r="1461" spans="1:5">
      <c r="A1461" s="12" t="s">
        <v>12462</v>
      </c>
      <c r="B1461" s="12" t="s">
        <v>14395</v>
      </c>
      <c r="C1461" s="13" t="str">
        <f>HYPERLINK("https://audio.iskcondesiretree.com/02_-_ISKCON_Swamis/ISKCON_Swamis_-_R_to_Y/His_Holiness_Radhanath_Swami/Lectures/00_-_Year_wise/Devotional_Nectar_-_1999/1999-014_Questions_%26_Answers_Q%26A_Pune_-_Radhanath_Swami_1999-02-27_IDesireTree.mp3", "1999-014_Questions_%26_Answers_Q%26A_Pune_-_Radhanath_Swami_1999-02-27_IDesireTree.mp3")</f>
        <v>1999-014_Questions_%26_Answers_Q%26A_Pune_-_Radhanath_Swami_1999-02-27_IDesireTree.mp3</v>
      </c>
      <c r="D1461" s="11"/>
      <c r="E1461" s="11"/>
    </row>
    <row r="1462" spans="1:5">
      <c r="A1462" s="12" t="s">
        <v>12462</v>
      </c>
      <c r="B1462" s="12" t="s">
        <v>14396</v>
      </c>
      <c r="C1462" s="13" t="str">
        <f>HYPERLINK("https://audio.iskcondesiretree.com/02_-_ISKCON_Swamis/ISKCON_Swamis_-_R_to_Y/His_Holiness_Radhanath_Swami/Lectures/00_-_Year_wise/Devotional_Nectar_-_1999/1999-015_Glories_of_Srila_Madhavendra_Puri-_I_CC_Adi-09_10_Pune_-_27-02-99_IDesireTree.mp3", "1999-015_Glories_of_Srila_Madhavendra_Puri-_I_CC_Adi-09_10_Pune_-_27-02-99_IDesireTree.mp3")</f>
        <v>1999-015_Glories_of_Srila_Madhavendra_Puri-_I_CC_Adi-09_10_Pune_-_27-02-99_IDesireTree.mp3</v>
      </c>
      <c r="D1462" s="11"/>
      <c r="E1462" s="11"/>
    </row>
    <row r="1463" spans="1:5">
      <c r="A1463" s="12" t="s">
        <v>12462</v>
      </c>
      <c r="B1463" s="12" t="s">
        <v>14397</v>
      </c>
      <c r="C1463" s="13" t="str">
        <f>HYPERLINK("https://audio.iskcondesiretree.com/02_-_ISKCON_Swamis/ISKCON_Swamis_-_R_to_Y/His_Holiness_Radhanath_Swami/Lectures/00_-_Year_wise/Devotional_Nectar_-_1999/1999-016_Glories_of_Srila_Madhavendra_Puri_II_CC_Adi-09_10_Pune_-_27-02-99_IDesireTree.mp3", "1999-016_Glories_of_Srila_Madhavendra_Puri_II_CC_Adi-09_10_Pune_-_27-02-99_IDesireTree.mp3")</f>
        <v>1999-016_Glories_of_Srila_Madhavendra_Puri_II_CC_Adi-09_10_Pune_-_27-02-99_IDesireTree.mp3</v>
      </c>
      <c r="D1463" s="11"/>
      <c r="E1463" s="11"/>
    </row>
    <row r="1464" spans="1:5">
      <c r="A1464" s="12" t="s">
        <v>12462</v>
      </c>
      <c r="B1464" s="12" t="s">
        <v>14398</v>
      </c>
      <c r="C1464" s="13" t="str">
        <f>HYPERLINK("https://audio.iskcondesiretree.com/02_-_ISKCON_Swamis/ISKCON_Swamis_-_R_to_Y/His_Holiness_Radhanath_Swami/Lectures/00_-_Year_wise/Devotional_Nectar_-_1999/1999-017_Lord_Chaitanya%27s_Sannyas_Lila_I_CC_Adi-07_21-38_Mumbai_-_02-03-99_IDesireTree.mp3", "1999-017_Lord_Chaitanya%27s_Sannyas_Lila_I_CC_Adi-07_21-38_Mumbai_-_02-03-99_IDesireTree.mp3")</f>
        <v>1999-017_Lord_Chaitanya%27s_Sannyas_Lila_I_CC_Adi-07_21-38_Mumbai_-_02-03-99_IDesireTree.mp3</v>
      </c>
      <c r="D1464" s="11"/>
      <c r="E1464" s="11"/>
    </row>
    <row r="1465" spans="1:5">
      <c r="A1465" s="12" t="s">
        <v>12462</v>
      </c>
      <c r="B1465" s="12" t="s">
        <v>14399</v>
      </c>
      <c r="C1465" s="13" t="str">
        <f>HYPERLINK("https://audio.iskcondesiretree.com/02_-_ISKCON_Swamis/ISKCON_Swamis_-_R_to_Y/His_Holiness_Radhanath_Swami/Lectures/00_-_Year_wise/Devotional_Nectar_-_1999/1999-018_Gaura_Poornima_Celebration_Lecture_Mumbai_-_Radhanath_Swami_1999-03-02_IDesireTree.mp3", "1999-018_Gaura_Poornima_Celebration_Lecture_Mumbai_-_Radhanath_Swami_1999-03-02_IDesireTree.mp3")</f>
        <v>1999-018_Gaura_Poornima_Celebration_Lecture_Mumbai_-_Radhanath_Swami_1999-03-02_IDesireTree.mp3</v>
      </c>
      <c r="D1465" s="11"/>
      <c r="E1465" s="11"/>
    </row>
    <row r="1466" spans="1:5">
      <c r="A1466" s="12" t="s">
        <v>12462</v>
      </c>
      <c r="B1466" s="12" t="s">
        <v>14400</v>
      </c>
      <c r="C1466" s="13" t="str">
        <f>HYPERLINK("https://audio.iskcondesiretree.com/02_-_ISKCON_Swamis/ISKCON_Swamis_-_R_to_Y/His_Holiness_Radhanath_Swami/Lectures/00_-_Year_wise/Devotional_Nectar_-_1999/1999-019_Glories_of_Mother_Ganga_Lecture_Mumbai_-_Radhanath_Swami_1999-03-12_IDesireTree.mp3", "1999-019_Glories_of_Mother_Ganga_Lecture_Mumbai_-_Radhanath_Swami_1999-03-12_IDesireTree.mp3")</f>
        <v>1999-019_Glories_of_Mother_Ganga_Lecture_Mumbai_-_Radhanath_Swami_1999-03-12_IDesireTree.mp3</v>
      </c>
      <c r="D1466" s="11"/>
      <c r="E1466" s="11"/>
    </row>
    <row r="1467" spans="1:5">
      <c r="A1467" s="12" t="s">
        <v>12462</v>
      </c>
      <c r="B1467" s="12" t="e">
        <v>#VALUE!</v>
      </c>
      <c r="C1467" s="13" t="e">
        <f>HYPERLINK("https://audio.iskcondesiretree.com/02_-_ISKCON_Swamis/ISKCON_Swamis_-_R_to_Y/His_Holiness_Radhanath_Swami/Lectures/00_-_Year_wise/Devotional_Nectar_-_1999/1999-020_Appreciating_Activities_%26_Qualities_of_Vaishnavas_BG-03_04_Mumbai_-_13-03-99_IDesireTree."&amp;"mp3", "1999-020_Appreciating_Activities_%26_Qualities_of_Vaishnavas_BG-03_04_Mumbai_-_13-03-99_IDesireTree.mp3")</f>
        <v>#VALUE!</v>
      </c>
      <c r="D1467" s="11"/>
      <c r="E1467" s="11"/>
    </row>
    <row r="1468" spans="1:5">
      <c r="A1468" s="12" t="s">
        <v>12462</v>
      </c>
      <c r="B1468" s="12" t="s">
        <v>14401</v>
      </c>
      <c r="C1468" s="13" t="str">
        <f>HYPERLINK("https://audio.iskcondesiretree.com/02_-_ISKCON_Swamis/ISKCON_Swamis_-_R_to_Y/His_Holiness_Radhanath_Swami/Lectures/00_-_Year_wise/Devotional_Nectar_-_1999/1999-021_Dying-_Giving_Our_Lives_for_Krishna_BG_Mumbai_-_Radhanath_Swami_1999-03-14_IDesireTree.mp3", "1999-021_Dying-_Giving_Our_Lives_for_Krishna_BG_Mumbai_-_Radhanath_Swami_1999-03-14_IDesireTree.mp3")</f>
        <v>1999-021_Dying-_Giving_Our_Lives_for_Krishna_BG_Mumbai_-_Radhanath_Swami_1999-03-14_IDesireTree.mp3</v>
      </c>
      <c r="D1468" s="11"/>
      <c r="E1468" s="11"/>
    </row>
    <row r="1469" spans="1:5">
      <c r="A1469" s="12" t="s">
        <v>12462</v>
      </c>
      <c r="B1469" s="12" t="s">
        <v>14402</v>
      </c>
      <c r="C1469" s="13" t="str">
        <f>HYPERLINK("https://audio.iskcondesiretree.com/02_-_ISKCON_Swamis/ISKCON_Swamis_-_R_to_Y/His_Holiness_Radhanath_Swami/Lectures/00_-_Year_wise/Devotional_Nectar_-_1999/1999-022_Touchstone_of_the_Holy_Name_Lecture_Mumbai_-_Radhanath_Swami_1999-03-15_IDesireTree.mp3", "1999-022_Touchstone_of_the_Holy_Name_Lecture_Mumbai_-_Radhanath_Swami_1999-03-15_IDesireTree.mp3")</f>
        <v>1999-022_Touchstone_of_the_Holy_Name_Lecture_Mumbai_-_Radhanath_Swami_1999-03-15_IDesireTree.mp3</v>
      </c>
      <c r="D1469" s="11"/>
      <c r="E1469" s="11"/>
    </row>
    <row r="1470" spans="1:5">
      <c r="A1470" s="12" t="s">
        <v>12462</v>
      </c>
      <c r="B1470" s="12" t="s">
        <v>14403</v>
      </c>
      <c r="C1470" s="13" t="str">
        <f>HYPERLINK("https://audio.iskcondesiretree.com/02_-_ISKCON_Swamis/ISKCON_Swamis_-_R_to_Y/His_Holiness_Radhanath_Swami/Lectures/00_-_Year_wise/Devotional_Nectar_-_1999/1999-023_Lecture_Ram_Lila_-_Radhanath_Swami_1999-03-25_IDesireTree.mp3", "1999-023_Lecture_Ram_Lila_-_Radhanath_Swami_1999-03-25_IDesireTree.mp3")</f>
        <v>1999-023_Lecture_Ram_Lila_-_Radhanath_Swami_1999-03-25_IDesireTree.mp3</v>
      </c>
      <c r="D1470" s="11"/>
      <c r="E1470" s="11"/>
    </row>
    <row r="1471" spans="1:5">
      <c r="A1471" s="12" t="s">
        <v>12462</v>
      </c>
      <c r="B1471" s="12" t="s">
        <v>14404</v>
      </c>
      <c r="C1471" s="13" t="str">
        <f>HYPERLINK("https://audio.iskcondesiretree.com/02_-_ISKCON_Swamis/ISKCON_Swamis_-_R_to_Y/His_Holiness_Radhanath_Swami/Lectures/00_-_Year_wise/Devotional_Nectar_-_1999/1999-024_SB-07_10_51-59_-_Radhanath_Swami_1999-03-26_new_IDesireTree.mp3", "1999-024_SB-07_10_51-59_-_Radhanath_Swami_1999-03-26_new_IDesireTree.mp3")</f>
        <v>1999-024_SB-07_10_51-59_-_Radhanath_Swami_1999-03-26_new_IDesireTree.mp3</v>
      </c>
      <c r="D1471" s="11"/>
      <c r="E1471" s="11"/>
    </row>
    <row r="1472" spans="1:5">
      <c r="A1472" s="12" t="s">
        <v>12462</v>
      </c>
      <c r="B1472" s="12" t="s">
        <v>14405</v>
      </c>
      <c r="C1472" s="13" t="str">
        <f>HYPERLINK("https://audio.iskcondesiretree.com/02_-_ISKCON_Swamis/ISKCON_Swamis_-_R_to_Y/His_Holiness_Radhanath_Swami/Lectures/00_-_Year_wise/Devotional_Nectar_-_1999/1999-025_Marriage_Ceremony_Address_Lecture_Mumbai_-_Radhanath_Swami_1999-05-23_IDesireTree.mp3", "1999-025_Marriage_Ceremony_Address_Lecture_Mumbai_-_Radhanath_Swami_1999-05-23_IDesireTree.mp3")</f>
        <v>1999-025_Marriage_Ceremony_Address_Lecture_Mumbai_-_Radhanath_Swami_1999-05-23_IDesireTree.mp3</v>
      </c>
      <c r="D1472" s="11"/>
      <c r="E1472" s="11"/>
    </row>
    <row r="1473" spans="1:5">
      <c r="A1473" s="12" t="s">
        <v>12462</v>
      </c>
      <c r="B1473" s="12" t="s">
        <v>14406</v>
      </c>
      <c r="C1473" s="13" t="str">
        <f>HYPERLINK("https://audio.iskcondesiretree.com/02_-_ISKCON_Swamis/ISKCON_Swamis_-_R_to_Y/His_Holiness_Radhanath_Swami/Lectures/00_-_Year_wise/Devotional_Nectar_-_1999/1999-026_Lecture_-_Radhanath_Swami_1999-05-25_IDesireTree.mp3", "1999-026_Lecture_-_Radhanath_Swami_1999-05-25_IDesireTree.mp3")</f>
        <v>1999-026_Lecture_-_Radhanath_Swami_1999-05-25_IDesireTree.mp3</v>
      </c>
      <c r="D1473" s="11"/>
      <c r="E1473" s="11"/>
    </row>
    <row r="1474" spans="1:5">
      <c r="A1474" s="12" t="s">
        <v>12462</v>
      </c>
      <c r="B1474" s="12" t="s">
        <v>14407</v>
      </c>
      <c r="C1474" s="13" t="str">
        <f>HYPERLINK("https://audio.iskcondesiretree.com/02_-_ISKCON_Swamis/ISKCON_Swamis_-_R_to_Y/His_Holiness_Radhanath_Swami/Lectures/00_-_Year_wise/Devotional_Nectar_-_1999/1999-027_Understanding_Krishna%27s_Unlimited_Pastimes_SB-10_12_03_Mumbai_-_06-06-99_IDesireTree.mp3", "1999-027_Understanding_Krishna%27s_Unlimited_Pastimes_SB-10_12_03_Mumbai_-_06-06-99_IDesireTree.mp3")</f>
        <v>1999-027_Understanding_Krishna%27s_Unlimited_Pastimes_SB-10_12_03_Mumbai_-_06-06-99_IDesireTree.mp3</v>
      </c>
      <c r="D1474" s="11"/>
      <c r="E1474" s="11"/>
    </row>
    <row r="1475" spans="1:5">
      <c r="A1475" s="12" t="s">
        <v>12462</v>
      </c>
      <c r="B1475" s="12" t="s">
        <v>14408</v>
      </c>
      <c r="C1475" s="13" t="str">
        <f>HYPERLINK("https://audio.iskcondesiretree.com/02_-_ISKCON_Swamis/ISKCON_Swamis_-_R_to_Y/His_Holiness_Radhanath_Swami/Lectures/00_-_Year_wise/Devotional_Nectar_-_1999/1999-028_Humility_of_Parikshit_Maharaj_SB-01_19_15_Mumbai_-_13-06-99_IDesireTree.mp3", "1999-028_Humility_of_Parikshit_Maharaj_SB-01_19_15_Mumbai_-_13-06-99_IDesireTree.mp3")</f>
        <v>1999-028_Humility_of_Parikshit_Maharaj_SB-01_19_15_Mumbai_-_13-06-99_IDesireTree.mp3</v>
      </c>
      <c r="D1475" s="11"/>
      <c r="E1475" s="11"/>
    </row>
    <row r="1476" spans="1:5">
      <c r="A1476" s="12" t="s">
        <v>12462</v>
      </c>
      <c r="B1476" s="12" t="s">
        <v>14409</v>
      </c>
      <c r="C1476" s="13" t="str">
        <f>HYPERLINK("https://audio.iskcondesiretree.com/02_-_ISKCON_Swamis/ISKCON_Swamis_-_R_to_Y/His_Holiness_Radhanath_Swami/Lectures/00_-_Year_wise/Devotional_Nectar_-_1999/1999-029_Devotee_Must_be_Grateful_SB-03_19_36_Mumbai_-_Radhanath_Swami_1999-06-18_IDesireTree.mp3", "1999-029_Devotee_Must_be_Grateful_SB-03_19_36_Mumbai_-_Radhanath_Swami_1999-06-18_IDesireTree.mp3")</f>
        <v>1999-029_Devotee_Must_be_Grateful_SB-03_19_36_Mumbai_-_Radhanath_Swami_1999-06-18_IDesireTree.mp3</v>
      </c>
      <c r="D1476" s="11"/>
      <c r="E1476" s="11"/>
    </row>
    <row r="1477" spans="1:5">
      <c r="A1477" s="12" t="s">
        <v>12462</v>
      </c>
      <c r="B1477" s="12" t="s">
        <v>14410</v>
      </c>
      <c r="C1477" s="13" t="str">
        <f>HYPERLINK("https://audio.iskcondesiretree.com/02_-_ISKCON_Swamis/ISKCON_Swamis_-_R_to_Y/His_Holiness_Radhanath_Swami/Lectures/00_-_Year_wise/Devotional_Nectar_-_1999/1999-030_Krsna%27s_Violent_Act_Purifies_Our_Heart_SB-03_19_37_Mumbai_-_19-06-99_IDesireTree.mp3", "1999-030_Krsna%27s_Violent_Act_Purifies_Our_Heart_SB-03_19_37_Mumbai_-_19-06-99_IDesireTree.mp3")</f>
        <v>1999-030_Krsna%27s_Violent_Act_Purifies_Our_Heart_SB-03_19_37_Mumbai_-_19-06-99_IDesireTree.mp3</v>
      </c>
      <c r="D1477" s="11"/>
      <c r="E1477" s="11"/>
    </row>
    <row r="1478" spans="1:5">
      <c r="A1478" s="12" t="s">
        <v>12462</v>
      </c>
      <c r="B1478" s="12" t="s">
        <v>14411</v>
      </c>
      <c r="C1478" s="13" t="str">
        <f>HYPERLINK("https://audio.iskcondesiretree.com/02_-_ISKCON_Swamis/ISKCON_Swamis_-_R_to_Y/His_Holiness_Radhanath_Swami/Lectures/00_-_Year_wise/Devotional_Nectar_-_1999/1999-031_Benefits_of_Hearing_Srimad_Bhagavatam_SB-03_19_38_Mumbai_-_20-06-99_IDesireTree.mp3", "1999-031_Benefits_of_Hearing_Srimad_Bhagavatam_SB-03_19_38_Mumbai_-_20-06-99_IDesireTree.mp3")</f>
        <v>1999-031_Benefits_of_Hearing_Srimad_Bhagavatam_SB-03_19_38_Mumbai_-_20-06-99_IDesireTree.mp3</v>
      </c>
      <c r="D1478" s="11"/>
      <c r="E1478" s="11"/>
    </row>
    <row r="1479" spans="1:5">
      <c r="A1479" s="12" t="s">
        <v>12462</v>
      </c>
      <c r="B1479" s="12" t="e">
        <v>#VALUE!</v>
      </c>
      <c r="C1479" s="13" t="e">
        <f>HYPERLINK("https://audio.iskcondesiretree.com/02_-_ISKCON_Swamis/ISKCON_Swamis_-_R_to_Y/His_Holiness_Radhanath_Swami/Lectures/00_-_Year_wise/Devotional_Nectar_-_1999/1999-032_Every_Power_Brings_Tremendous_Responsibilities_SB-04_04_27_Mumbai_-_20-06-99_IDesireTree.mp"&amp;"3", "1999-032_Every_Power_Brings_Tremendous_Responsibilities_SB-04_04_27_Mumbai_-_20-06-99_IDesireTree.mp3")</f>
        <v>#VALUE!</v>
      </c>
      <c r="D1479" s="11"/>
      <c r="E1479" s="11"/>
    </row>
    <row r="1480" spans="1:5">
      <c r="A1480" s="12" t="s">
        <v>12462</v>
      </c>
      <c r="B1480" s="12" t="s">
        <v>14412</v>
      </c>
      <c r="C1480" s="13" t="str">
        <f>HYPERLINK("https://audio.iskcondesiretree.com/02_-_ISKCON_Swamis/ISKCON_Swamis_-_R_to_Y/His_Holiness_Radhanath_Swami/Lectures/00_-_Year_wise/Devotional_Nectar_-_1999/1999-033_Pride_Cometh_Before_the_Fall_BG-18_26_Mumbai_-_Radhanath_Swami_1999-06-22_IDesireTree.mp3", "1999-033_Pride_Cometh_Before_the_Fall_BG-18_26_Mumbai_-_Radhanath_Swami_1999-06-22_IDesireTree.mp3")</f>
        <v>1999-033_Pride_Cometh_Before_the_Fall_BG-18_26_Mumbai_-_Radhanath_Swami_1999-06-22_IDesireTree.mp3</v>
      </c>
      <c r="D1480" s="11"/>
      <c r="E1480" s="11"/>
    </row>
    <row r="1481" spans="1:5">
      <c r="A1481" s="12" t="s">
        <v>12462</v>
      </c>
      <c r="B1481" s="12" t="s">
        <v>14413</v>
      </c>
      <c r="C1481" s="13" t="str">
        <f>HYPERLINK("https://audio.iskcondesiretree.com/02_-_ISKCON_Swamis/ISKCON_Swamis_-_R_to_Y/His_Holiness_Radhanath_Swami/Lectures/00_-_Year_wise/Devotional_Nectar_-_1999/1999-034_Srila_Prabhupada_Lilamrita_Reading_Lecture_Mumbai_-_24-06-99_IDesireTree.mp3", "1999-034_Srila_Prabhupada_Lilamrita_Reading_Lecture_Mumbai_-_24-06-99_IDesireTree.mp3")</f>
        <v>1999-034_Srila_Prabhupada_Lilamrita_Reading_Lecture_Mumbai_-_24-06-99_IDesireTree.mp3</v>
      </c>
      <c r="D1481" s="11"/>
      <c r="E1481" s="11"/>
    </row>
    <row r="1482" spans="1:5">
      <c r="A1482" s="12" t="s">
        <v>12462</v>
      </c>
      <c r="B1482" s="12" t="s">
        <v>14414</v>
      </c>
      <c r="C1482" s="13" t="str">
        <f>HYPERLINK("https://audio.iskcondesiretree.com/02_-_ISKCON_Swamis/ISKCON_Swamis_-_R_to_Y/His_Holiness_Radhanath_Swami/Lectures/00_-_Year_wise/Devotional_Nectar_-_1999/1999-035_Hare_Krsna_Lecture_Belgaum_-_Radhanath_Swami_1999-07-01_IDesireTree.mp3", "1999-035_Hare_Krsna_Lecture_Belgaum_-_Radhanath_Swami_1999-07-01_IDesireTree.mp3")</f>
        <v>1999-035_Hare_Krsna_Lecture_Belgaum_-_Radhanath_Swami_1999-07-01_IDesireTree.mp3</v>
      </c>
      <c r="D1482" s="11"/>
      <c r="E1482" s="11"/>
    </row>
    <row r="1483" spans="1:5">
      <c r="A1483" s="12" t="s">
        <v>12462</v>
      </c>
      <c r="B1483" s="12" t="e">
        <v>#VALUE!</v>
      </c>
      <c r="C1483" s="13" t="e">
        <f>HYPERLINK("https://audio.iskcondesiretree.com/02_-_ISKCON_Swamis/ISKCON_Swamis_-_R_to_Y/His_Holiness_Radhanath_Swami/Lectures/00_-_Year_wise/Devotional_Nectar_-_1999/1999-036_Soul_Searching_For_Krsna%27s_Love_Lecture_Mumbai_-_Radhanath_Swami_1999-07-03_IDesireTree.m"&amp;"p3", "1999-036_Soul_Searching_For_Krsna%27s_Love_Lecture_Mumbai_-_Radhanath_Swami_1999-07-03_IDesireTree.mp3")</f>
        <v>#VALUE!</v>
      </c>
      <c r="D1483" s="11"/>
      <c r="E1483" s="11"/>
    </row>
    <row r="1484" spans="1:5">
      <c r="A1484" s="12" t="s">
        <v>12462</v>
      </c>
      <c r="B1484" s="12" t="s">
        <v>14415</v>
      </c>
      <c r="C1484" s="13" t="str">
        <f>HYPERLINK("https://audio.iskcondesiretree.com/02_-_ISKCON_Swamis/ISKCON_Swamis_-_R_to_Y/His_Holiness_Radhanath_Swami/Lectures/00_-_Year_wise/Devotional_Nectar_-_1999/1999-037_Danger_at_Every_Step_BG-__Mumbai_-_Radhanath_Swami_1999-07-04_IDesireTree.mp3", "1999-037_Danger_at_Every_Step_BG-__Mumbai_-_Radhanath_Swami_1999-07-04_IDesireTree.mp3")</f>
        <v>1999-037_Danger_at_Every_Step_BG-__Mumbai_-_Radhanath_Swami_1999-07-04_IDesireTree.mp3</v>
      </c>
      <c r="D1484" s="11"/>
      <c r="E1484" s="11"/>
    </row>
    <row r="1485" spans="1:5">
      <c r="A1485" s="12" t="s">
        <v>12462</v>
      </c>
      <c r="B1485" s="12" t="s">
        <v>14416</v>
      </c>
      <c r="C1485" s="13" t="str">
        <f>HYPERLINK("https://audio.iskcondesiretree.com/02_-_ISKCON_Swamis/ISKCON_Swamis_-_R_to_Y/His_Holiness_Radhanath_Swami/Lectures/00_-_Year_wise/Devotional_Nectar_-_1999/1999-038_Everything_Is_Dependent_On_Krsna_SB-03-20-16_Mumbai_-_04-07-99_IDesireTree.mp3", "1999-038_Everything_Is_Dependent_On_Krsna_SB-03-20-16_Mumbai_-_04-07-99_IDesireTree.mp3")</f>
        <v>1999-038_Everything_Is_Dependent_On_Krsna_SB-03-20-16_Mumbai_-_04-07-99_IDesireTree.mp3</v>
      </c>
      <c r="D1485" s="11"/>
      <c r="E1485" s="11"/>
    </row>
    <row r="1486" spans="1:5">
      <c r="A1486" s="12" t="s">
        <v>12462</v>
      </c>
      <c r="B1486" s="12" t="s">
        <v>14417</v>
      </c>
      <c r="C1486" s="13" t="str">
        <f>HYPERLINK("https://audio.iskcondesiretree.com/02_-_ISKCON_Swamis/ISKCON_Swamis_-_R_to_Y/His_Holiness_Radhanath_Swami/Lectures/00_-_Year_wise/Devotional_Nectar_-_1999/1999-039_Surrendering_Krsna_With_Full_Devotion_Lecture_Nasik_-_07-07-99_IDesireTree.mp3", "1999-039_Surrendering_Krsna_With_Full_Devotion_Lecture_Nasik_-_07-07-99_IDesireTree.mp3")</f>
        <v>1999-039_Surrendering_Krsna_With_Full_Devotion_Lecture_Nasik_-_07-07-99_IDesireTree.mp3</v>
      </c>
      <c r="D1486" s="11"/>
      <c r="E1486" s="11"/>
    </row>
    <row r="1487" spans="1:5">
      <c r="A1487" s="12" t="s">
        <v>12462</v>
      </c>
      <c r="B1487" s="12" t="s">
        <v>14418</v>
      </c>
      <c r="C1487" s="13" t="str">
        <f>HYPERLINK("https://audio.iskcondesiretree.com/02_-_ISKCON_Swamis/ISKCON_Swamis_-_R_to_Y/His_Holiness_Radhanath_Swami/Lectures/00_-_Year_wise/Devotional_Nectar_-_1999/1999-040_Focussing_Our_Energy_In_Service_of_the_Lord_BG-05_12_Mumbai_-_09-07-99_IDesireTree.mp3", "1999-040_Focussing_Our_Energy_In_Service_of_the_Lord_BG-05_12_Mumbai_-_09-07-99_IDesireTree.mp3")</f>
        <v>1999-040_Focussing_Our_Energy_In_Service_of_the_Lord_BG-05_12_Mumbai_-_09-07-99_IDesireTree.mp3</v>
      </c>
      <c r="D1487" s="11"/>
      <c r="E1487" s="11"/>
    </row>
    <row r="1488" spans="1:5">
      <c r="A1488" s="12" t="s">
        <v>12462</v>
      </c>
      <c r="B1488" s="12" t="e">
        <v>#VALUE!</v>
      </c>
      <c r="C1488" s="13" t="e">
        <f>HYPERLINK("https://audio.iskcondesiretree.com/02_-_ISKCON_Swamis/ISKCON_Swamis_-_R_to_Y/His_Holiness_Radhanath_Swami/Lectures/00_-_Year_wise/Devotional_Nectar_-_1999/1999-041_Sex_Life-_The_Most_Critical_Expression_of_Envy_to_God_SB-03_20_23_Mumbai_-_10-07-99_IDesire"&amp;"Tree.mp3", "1999-041_Sex_Life-_The_Most_Critical_Expression_of_Envy_to_God_SB-03_20_23_Mumbai_-_10-07-99_IDesireTree.mp3")</f>
        <v>#VALUE!</v>
      </c>
      <c r="D1488" s="11"/>
      <c r="E1488" s="11"/>
    </row>
    <row r="1489" spans="1:5">
      <c r="A1489" s="12" t="s">
        <v>12462</v>
      </c>
      <c r="B1489" s="12" t="s">
        <v>14419</v>
      </c>
      <c r="C1489" s="13" t="str">
        <f>HYPERLINK("https://audio.iskcondesiretree.com/02_-_ISKCON_Swamis/ISKCON_Swamis_-_R_to_Y/His_Holiness_Radhanath_Swami/Lectures/00_-_Year_wise/Devotional_Nectar_-_1999/1999-042_Happiness_in_Krishna_Consciousness_BG-09_13_Mumbai_-_10-07-99_IDesireTree.mp3", "1999-042_Happiness_in_Krishna_Consciousness_BG-09_13_Mumbai_-_10-07-99_IDesireTree.mp3")</f>
        <v>1999-042_Happiness_in_Krishna_Consciousness_BG-09_13_Mumbai_-_10-07-99_IDesireTree.mp3</v>
      </c>
      <c r="D1489" s="11"/>
      <c r="E1489" s="11"/>
    </row>
    <row r="1490" spans="1:5">
      <c r="A1490" s="12" t="s">
        <v>12462</v>
      </c>
      <c r="B1490" s="12" t="s">
        <v>14420</v>
      </c>
      <c r="C1490" s="13" t="str">
        <f>HYPERLINK("https://audio.iskcondesiretree.com/02_-_ISKCON_Swamis/ISKCON_Swamis_-_R_to_Y/His_Holiness_Radhanath_Swami/Lectures/00_-_Year_wise/Devotional_Nectar_-_1999/1999-043_Eager_%26_Enthusiastic_to_Serve_the_Deity_Lecture_Mumbai_-_18-07-99_IDesireTree.mp3", "1999-043_Eager_%26_Enthusiastic_to_Serve_the_Deity_Lecture_Mumbai_-_18-07-99_IDesireTree.mp3")</f>
        <v>1999-043_Eager_%26_Enthusiastic_to_Serve_the_Deity_Lecture_Mumbai_-_18-07-99_IDesireTree.mp3</v>
      </c>
      <c r="D1490" s="11"/>
      <c r="E1490" s="11"/>
    </row>
    <row r="1491" spans="1:5">
      <c r="A1491" s="12" t="s">
        <v>12462</v>
      </c>
      <c r="B1491" s="12" t="s">
        <v>14421</v>
      </c>
      <c r="C1491" s="13" t="str">
        <f>HYPERLINK("https://audio.iskcondesiretree.com/02_-_ISKCON_Swamis/ISKCON_Swamis_-_R_to_Y/His_Holiness_Radhanath_Swami/Lectures/00_-_Year_wise/Devotional_Nectar_-_1999/1999-044_Offering_to_HG_Abhiram_Gopal_Thakur_Lecture_Mumbai_-_19-07-99_IDesireTree.mp3", "1999-044_Offering_to_HG_Abhiram_Gopal_Thakur_Lecture_Mumbai_-_19-07-99_IDesireTree.mp3")</f>
        <v>1999-044_Offering_to_HG_Abhiram_Gopal_Thakur_Lecture_Mumbai_-_19-07-99_IDesireTree.mp3</v>
      </c>
      <c r="D1491" s="11"/>
      <c r="E1491" s="11"/>
    </row>
    <row r="1492" spans="1:5">
      <c r="A1492" s="12" t="s">
        <v>12462</v>
      </c>
      <c r="B1492" s="12" t="s">
        <v>14422</v>
      </c>
      <c r="C1492" s="13" t="str">
        <f>HYPERLINK("https://audio.iskcondesiretree.com/02_-_ISKCON_Swamis/ISKCON_Swamis_-_R_to_Y/His_Holiness_Radhanath_Swami/Lectures/00_-_Year_wise/Devotional_Nectar_-_1999/1999-045_Hare_Krishna_SB-03_20_32_Mumbai_-_Radhanath_Swami_1999-07-20_IDesireTree.mp3", "1999-045_Hare_Krishna_SB-03_20_32_Mumbai_-_Radhanath_Swami_1999-07-20_IDesireTree.mp3")</f>
        <v>1999-045_Hare_Krishna_SB-03_20_32_Mumbai_-_Radhanath_Swami_1999-07-20_IDesireTree.mp3</v>
      </c>
      <c r="D1492" s="11"/>
      <c r="E1492" s="11"/>
    </row>
    <row r="1493" spans="1:5">
      <c r="A1493" s="12" t="s">
        <v>12462</v>
      </c>
      <c r="B1493" s="12" t="s">
        <v>14423</v>
      </c>
      <c r="C1493" s="13" t="str">
        <f>HYPERLINK("https://audio.iskcondesiretree.com/02_-_ISKCON_Swamis/ISKCON_Swamis_-_R_to_Y/His_Holiness_Radhanath_Swami/Lectures/00_-_Year_wise/Devotional_Nectar_-_1999/1999-046_Realization_of_Jagannath_Puri_Yatra_Lecture_Mumbai_-_20-07-99_IDesireTree.mp3", "1999-046_Realization_of_Jagannath_Puri_Yatra_Lecture_Mumbai_-_20-07-99_IDesireTree.mp3")</f>
        <v>1999-046_Realization_of_Jagannath_Puri_Yatra_Lecture_Mumbai_-_20-07-99_IDesireTree.mp3</v>
      </c>
      <c r="D1493" s="11"/>
      <c r="E1493" s="11"/>
    </row>
    <row r="1494" spans="1:5">
      <c r="A1494" s="12" t="s">
        <v>12462</v>
      </c>
      <c r="B1494" s="12" t="s">
        <v>14424</v>
      </c>
      <c r="C1494" s="13" t="str">
        <f>HYPERLINK("https://audio.iskcondesiretree.com/02_-_ISKCON_Swamis/ISKCON_Swamis_-_R_to_Y/His_Holiness_Radhanath_Swami/Lectures/00_-_Year_wise/Devotional_Nectar_-_1999/1999-047_Tapasya_Is_The_Basic_Element_Of_Bhakti_SB-03_20_32-34_Mumbai_-_20-07-99_IDesireTree.mp3", "1999-047_Tapasya_Is_The_Basic_Element_Of_Bhakti_SB-03_20_32-34_Mumbai_-_20-07-99_IDesireTree.mp3")</f>
        <v>1999-047_Tapasya_Is_The_Basic_Element_Of_Bhakti_SB-03_20_32-34_Mumbai_-_20-07-99_IDesireTree.mp3</v>
      </c>
      <c r="D1494" s="11"/>
      <c r="E1494" s="11"/>
    </row>
    <row r="1495" spans="1:5">
      <c r="A1495" s="12" t="s">
        <v>12462</v>
      </c>
      <c r="B1495" s="12" t="s">
        <v>14425</v>
      </c>
      <c r="C1495" s="13" t="str">
        <f>HYPERLINK("https://audio.iskcondesiretree.com/02_-_ISKCON_Swamis/ISKCON_Swamis_-_R_to_Y/His_Holiness_Radhanath_Swami/Lectures/00_-_Year_wise/Devotional_Nectar_-_1999/1999-048_Apperance_of_Radha_Kund_Lecture_Mumbai_-_Radhanath_Swami_1999-10-31_IDesireTree.mp3", "1999-048_Apperance_of_Radha_Kund_Lecture_Mumbai_-_Radhanath_Swami_1999-10-31_IDesireTree.mp3")</f>
        <v>1999-048_Apperance_of_Radha_Kund_Lecture_Mumbai_-_Radhanath_Swami_1999-10-31_IDesireTree.mp3</v>
      </c>
      <c r="D1495" s="11"/>
      <c r="E1495" s="11"/>
    </row>
    <row r="1496" spans="1:5">
      <c r="A1496" s="12" t="s">
        <v>12462</v>
      </c>
      <c r="B1496" s="12" t="s">
        <v>14426</v>
      </c>
      <c r="C1496" s="13" t="str">
        <f>HYPERLINK("https://audio.iskcondesiretree.com/02_-_ISKCON_Swamis/ISKCON_Swamis_-_R_to_Y/His_Holiness_Radhanath_Swami/Lectures/00_-_Year_wise/Devotional_Nectar_-_1999/1999-049_Relation_Between_Husband_%26_Wife_-_Radhanath_Swami_IDesireTree.mp3", "1999-049_Relation_Between_Husband_%26_Wife_-_Radhanath_Swami_IDesireTree.mp3")</f>
        <v>1999-049_Relation_Between_Husband_%26_Wife_-_Radhanath_Swami_IDesireTree.mp3</v>
      </c>
      <c r="D1496" s="11"/>
      <c r="E1496" s="11"/>
    </row>
    <row r="1497" spans="1:5">
      <c r="A1497" s="12" t="s">
        <v>12462</v>
      </c>
      <c r="B1497" s="12" t="e">
        <v>#VALUE!</v>
      </c>
      <c r="C1497" s="13" t="e">
        <f>HYPERLINK("https://audio.iskcondesiretree.com/02_-_ISKCON_Swamis/ISKCON_Swamis_-_R_to_Y/His_Holiness_Radhanath_Swami/Lectures/00_-_Year_wise/Devotional_Nectar_-_1999/1999-050_Our_Advancement_is_in_Proportion_to_our_Faith_Sunday_Festival_Lecture_Mumbai_-_18-11-99_IDe"&amp;"sireTree.mp3", "1999-050_Our_Advancement_is_in_Proportion_to_our_Faith_Sunday_Festival_Lecture_Mumbai_-_18-11-99_IDesireTree.mp3")</f>
        <v>#VALUE!</v>
      </c>
      <c r="D1497" s="11"/>
      <c r="E1497" s="11"/>
    </row>
    <row r="1498" spans="1:5">
      <c r="A1498" s="12" t="s">
        <v>12462</v>
      </c>
      <c r="B1498" s="12" t="s">
        <v>14427</v>
      </c>
      <c r="C1498" s="13" t="str">
        <f>HYPERLINK("https://audio.iskcondesiretree.com/02_-_ISKCON_Swamis/ISKCON_Swamis_-_R_to_Y/His_Holiness_Radhanath_Swami/Lectures/00_-_Year_wise/Devotional_Nectar_-_1999/1999-051_Preaching_is_the_Basis_of_our_Movement_SB-10_02_19_Vrindavan_-_20-11-99_IDesireTree.mp3", "1999-051_Preaching_is_the_Basis_of_our_Movement_SB-10_02_19_Vrindavan_-_20-11-99_IDesireTree.mp3")</f>
        <v>1999-051_Preaching_is_the_Basis_of_our_Movement_SB-10_02_19_Vrindavan_-_20-11-99_IDesireTree.mp3</v>
      </c>
      <c r="D1498" s="11"/>
      <c r="E1498" s="11"/>
    </row>
    <row r="1499" spans="1:5">
      <c r="A1499" s="12" t="s">
        <v>12462</v>
      </c>
      <c r="B1499" s="12" t="s">
        <v>14428</v>
      </c>
      <c r="C1499" s="13" t="str">
        <f>HYPERLINK("https://audio.iskcondesiretree.com/02_-_ISKCON_Swamis/ISKCON_Swamis_-_R_to_Y/His_Holiness_Radhanath_Swami/Lectures/00_-_Year_wise/Devotional_Nectar_-_1999/1999-052_Glories_of_Bhismadev_Lecture_Kurukshetra_-_Radhanath_Swami_1999-11-25_IDesireTree.mp3", "1999-052_Glories_of_Bhismadev_Lecture_Kurukshetra_-_Radhanath_Swami_1999-11-25_IDesireTree.mp3")</f>
        <v>1999-052_Glories_of_Bhismadev_Lecture_Kurukshetra_-_Radhanath_Swami_1999-11-25_IDesireTree.mp3</v>
      </c>
      <c r="D1499" s="11"/>
      <c r="E1499" s="11"/>
    </row>
    <row r="1500" spans="1:5">
      <c r="A1500" s="12" t="s">
        <v>12462</v>
      </c>
      <c r="B1500" s="12" t="s">
        <v>14429</v>
      </c>
      <c r="C1500" s="13" t="str">
        <f>HYPERLINK("https://audio.iskcondesiretree.com/02_-_ISKCON_Swamis/ISKCON_Swamis_-_R_to_Y/His_Holiness_Radhanath_Swami/Lectures/00_-_Year_wise/Devotional_Nectar_-_1999/1999-053_Exemplary_Life_of_Maharaj_Janak_BG-03_20_Kurukshetra_-_25-11-99_IDesireTree.mp3", "1999-053_Exemplary_Life_of_Maharaj_Janak_BG-03_20_Kurukshetra_-_25-11-99_IDesireTree.mp3")</f>
        <v>1999-053_Exemplary_Life_of_Maharaj_Janak_BG-03_20_Kurukshetra_-_25-11-99_IDesireTree.mp3</v>
      </c>
      <c r="D1500" s="11"/>
      <c r="E1500" s="11"/>
    </row>
    <row r="1501" spans="1:5">
      <c r="A1501" s="12" t="s">
        <v>12462</v>
      </c>
      <c r="B1501" s="12" t="s">
        <v>14430</v>
      </c>
      <c r="C1501" s="13" t="str">
        <f>HYPERLINK("https://audio.iskcondesiretree.com/02_-_ISKCON_Swamis/ISKCON_Swamis_-_R_to_Y/His_Holiness_Radhanath_Swami/Lectures/00_-_Year_wise/Devotional_Nectar_-_1999/1999-054_History_%26_Contents_of_Bhagavad_Gita_BG-01_01_Kurukshetra_-_25-11-99_IDesireTree.mp3", "1999-054_History_%26_Contents_of_Bhagavad_Gita_BG-01_01_Kurukshetra_-_25-11-99_IDesireTree.mp3")</f>
        <v>1999-054_History_%26_Contents_of_Bhagavad_Gita_BG-01_01_Kurukshetra_-_25-11-99_IDesireTree.mp3</v>
      </c>
      <c r="D1501" s="11"/>
      <c r="E1501" s="11"/>
    </row>
    <row r="1502" spans="1:5">
      <c r="A1502" s="12" t="s">
        <v>12462</v>
      </c>
      <c r="B1502" s="12" t="s">
        <v>14431</v>
      </c>
      <c r="C1502" s="13" t="str">
        <f>HYPERLINK("https://audio.iskcondesiretree.com/02_-_ISKCON_Swamis/ISKCON_Swamis_-_R_to_Y/His_Holiness_Radhanath_Swami/Lectures/00_-_Year_wise/Devotional_Nectar_-_1999/1999-055_Lords_Mercy_to_Cross_this_Material_World_BG-07_14_Kurukshetra_-_26-11-99_IDesireTree.mp3", "1999-055_Lords_Mercy_to_Cross_this_Material_World_BG-07_14_Kurukshetra_-_26-11-99_IDesireTree.mp3")</f>
        <v>1999-055_Lords_Mercy_to_Cross_this_Material_World_BG-07_14_Kurukshetra_-_26-11-99_IDesireTree.mp3</v>
      </c>
      <c r="D1502" s="11"/>
      <c r="E1502" s="11"/>
    </row>
    <row r="1503" spans="1:5">
      <c r="A1503" s="12" t="s">
        <v>12462</v>
      </c>
      <c r="B1503" s="12" t="s">
        <v>14432</v>
      </c>
      <c r="C1503" s="13" t="str">
        <f>HYPERLINK("https://audio.iskcondesiretree.com/02_-_ISKCON_Swamis/ISKCON_Swamis_-_R_to_Y/His_Holiness_Radhanath_Swami/Lectures/00_-_Year_wise/Devotional_Nectar_-_1999/1999-056_Lecture_Mumbai_-_Radhanath_Swami_1999-12-04_IDesireTree.mp3", "1999-056_Lecture_Mumbai_-_Radhanath_Swami_1999-12-04_IDesireTree.mp3")</f>
        <v>1999-056_Lecture_Mumbai_-_Radhanath_Swami_1999-12-04_IDesireTree.mp3</v>
      </c>
      <c r="D1503" s="11"/>
      <c r="E1503" s="11"/>
    </row>
    <row r="1504" spans="1:5">
      <c r="A1504" s="12" t="s">
        <v>12462</v>
      </c>
      <c r="B1504" s="12" t="e">
        <v>#VALUE!</v>
      </c>
      <c r="C1504" s="13" t="e">
        <f>HYPERLINK("https://audio.iskcondesiretree.com/02_-_ISKCON_Swamis/ISKCON_Swamis_-_R_to_Y/His_Holiness_Radhanath_Swami/Lectures/00_-_Year_wise/Devotional_Nectar_-_1999/1999-057_Absorbing_Ourselves_Fully_in_Thinking_of_Krishna_SB-03_25_36_Kolhapur_-_05-12-99_IDesireTre"&amp;"e.mp3", "1999-057_Absorbing_Ourselves_Fully_in_Thinking_of_Krishna_SB-03_25_36_Kolhapur_-_05-12-99_IDesireTree.mp3")</f>
        <v>#VALUE!</v>
      </c>
      <c r="D1504" s="11"/>
      <c r="E1504" s="11"/>
    </row>
    <row r="1505" spans="1:5">
      <c r="A1505" s="12" t="s">
        <v>12462</v>
      </c>
      <c r="B1505" s="12" t="s">
        <v>14433</v>
      </c>
      <c r="C1505" s="13" t="str">
        <f>HYPERLINK("https://audio.iskcondesiretree.com/02_-_ISKCON_Swamis/ISKCON_Swamis_-_R_to_Y/His_Holiness_Radhanath_Swami/Lectures/00_-_Year_wise/Devotional_Nectar_-_1999/1999-058_Krishna_Gives_What_is_Best_for_His_Devotees_Lecture_Kolhapur_-_05-12-99_IDesireTree.mp3", "1999-058_Krishna_Gives_What_is_Best_for_His_Devotees_Lecture_Kolhapur_-_05-12-99_IDesireTree.mp3")</f>
        <v>1999-058_Krishna_Gives_What_is_Best_for_His_Devotees_Lecture_Kolhapur_-_05-12-99_IDesireTree.mp3</v>
      </c>
      <c r="D1505" s="11"/>
      <c r="E1505" s="11"/>
    </row>
    <row r="1506" spans="1:5">
      <c r="A1506" s="12" t="s">
        <v>12462</v>
      </c>
      <c r="B1506" s="12" t="s">
        <v>14434</v>
      </c>
      <c r="C1506" s="13" t="str">
        <f>HYPERLINK("https://audio.iskcondesiretree.com/02_-_ISKCON_Swamis/ISKCON_Swamis_-_R_to_Y/His_Holiness_Radhanath_Swami/Lectures/00_-_Year_wise/Devotional_Nectar_-_1999/1999-059_Treasure_Of_The_Lotus_Feet_Of_Lord_Krsna_Lecture_Mumbai_-_05-12-99_IDesireTree.mp3", "1999-059_Treasure_Of_The_Lotus_Feet_Of_Lord_Krsna_Lecture_Mumbai_-_05-12-99_IDesireTree.mp3")</f>
        <v>1999-059_Treasure_Of_The_Lotus_Feet_Of_Lord_Krsna_Lecture_Mumbai_-_05-12-99_IDesireTree.mp3</v>
      </c>
      <c r="D1506" s="11"/>
      <c r="E1506" s="11"/>
    </row>
    <row r="1507" spans="1:5">
      <c r="A1507" s="12" t="s">
        <v>12462</v>
      </c>
      <c r="B1507" s="12" t="s">
        <v>14435</v>
      </c>
      <c r="C1507" s="13" t="str">
        <f>HYPERLINK("https://audio.iskcondesiretree.com/02_-_ISKCON_Swamis/ISKCON_Swamis_-_R_to_Y/His_Holiness_Radhanath_Swami/Lectures/00_-_Year_wise/Devotional_Nectar_-_1999/1999-060_Lecture_Mumbai_-_Radhanath_Swami_1999-12-07_IDesireTree.mp3", "1999-060_Lecture_Mumbai_-_Radhanath_Swami_1999-12-07_IDesireTree.mp3")</f>
        <v>1999-060_Lecture_Mumbai_-_Radhanath_Swami_1999-12-07_IDesireTree.mp3</v>
      </c>
      <c r="D1507" s="11"/>
      <c r="E1507" s="11"/>
    </row>
    <row r="1508" spans="1:5">
      <c r="A1508" s="12" t="s">
        <v>12462</v>
      </c>
      <c r="B1508" s="12" t="s">
        <v>14436</v>
      </c>
      <c r="C1508" s="13" t="str">
        <f>HYPERLINK("https://audio.iskcondesiretree.com/02_-_ISKCON_Swamis/ISKCON_Swamis_-_R_to_Y/His_Holiness_Radhanath_Swami/Lectures/00_-_Year_wise/Devotional_Nectar_-_1999/1999-061_Original_Book_Distribution_BG-07_27_Mumbai_-_Radhanath_Swami_1999-12-12_IDesireTree.mp3", "1999-061_Original_Book_Distribution_BG-07_27_Mumbai_-_Radhanath_Swami_1999-12-12_IDesireTree.mp3")</f>
        <v>1999-061_Original_Book_Distribution_BG-07_27_Mumbai_-_Radhanath_Swami_1999-12-12_IDesireTree.mp3</v>
      </c>
      <c r="D1508" s="11"/>
      <c r="E1508" s="11"/>
    </row>
    <row r="1509" spans="1:5">
      <c r="A1509" s="12" t="s">
        <v>12462</v>
      </c>
      <c r="B1509" s="12" t="s">
        <v>14437</v>
      </c>
      <c r="C1509" s="13" t="str">
        <f>HYPERLINK("https://audio.iskcondesiretree.com/02_-_ISKCON_Swamis/ISKCON_Swamis_-_R_to_Y/His_Holiness_Radhanath_Swami/Lectures/00_-_Year_wise/Devotional_Nectar_-_1999/1999-062_Following_In_The_Footstep_Of_Arjuna_I_BG_18_64-66_Mumbai_-_19-12-99_IDesireTree.mp3", "1999-062_Following_In_The_Footstep_Of_Arjuna_I_BG_18_64-66_Mumbai_-_19-12-99_IDesireTree.mp3")</f>
        <v>1999-062_Following_In_The_Footstep_Of_Arjuna_I_BG_18_64-66_Mumbai_-_19-12-99_IDesireTree.mp3</v>
      </c>
      <c r="D1509" s="11"/>
      <c r="E1509" s="11"/>
    </row>
    <row r="1510" spans="1:5">
      <c r="A1510" s="12" t="s">
        <v>12462</v>
      </c>
      <c r="B1510" s="12" t="s">
        <v>14438</v>
      </c>
      <c r="C1510" s="13" t="str">
        <f>HYPERLINK("https://audio.iskcondesiretree.com/02_-_ISKCON_Swamis/ISKCON_Swamis_-_R_to_Y/His_Holiness_Radhanath_Swami/Lectures/00_-_Year_wise/Devotional_Nectar_-_1999/1999-063_Deliverance_of_Nalakuvera_%26_Manigriva_Lecture_Mumbai_-_24-12-99_IDesireTree.mp3", "1999-063_Deliverance_of_Nalakuvera_%26_Manigriva_Lecture_Mumbai_-_24-12-99_IDesireTree.mp3")</f>
        <v>1999-063_Deliverance_of_Nalakuvera_%26_Manigriva_Lecture_Mumbai_-_24-12-99_IDesireTree.mp3</v>
      </c>
      <c r="D1510" s="11"/>
      <c r="E1510" s="11"/>
    </row>
    <row r="1511" spans="1:5">
      <c r="A1511" s="12" t="s">
        <v>12462</v>
      </c>
      <c r="B1511" s="12" t="s">
        <v>14439</v>
      </c>
      <c r="C1511" s="13" t="str">
        <f>HYPERLINK("https://audio.iskcondesiretree.com/02_-_ISKCON_Swamis/ISKCON_Swamis_-_R_to_Y/His_Holiness_Radhanath_Swami/Lectures/00_-_Year_wise/Devotional_Nectar_-_1999/1999-064_Maya_Seizes_an_Offender_SB-06_09_43_Mumbai_-_Radhanath_Swami_1999-12-27_IDesireTree.mp3", "1999-064_Maya_Seizes_an_Offender_SB-06_09_43_Mumbai_-_Radhanath_Swami_1999-12-27_IDesireTree.mp3")</f>
        <v>1999-064_Maya_Seizes_an_Offender_SB-06_09_43_Mumbai_-_Radhanath_Swami_1999-12-27_IDesireTree.mp3</v>
      </c>
      <c r="D1511" s="11"/>
      <c r="E1511" s="11"/>
    </row>
    <row r="1512" spans="1:5">
      <c r="A1512" s="12" t="s">
        <v>12462</v>
      </c>
      <c r="B1512" s="12" t="s">
        <v>14440</v>
      </c>
      <c r="C1512" s="13" t="str">
        <f>HYPERLINK("https://audio.iskcondesiretree.com/02_-_ISKCON_Swamis/ISKCON_Swamis_-_R_to_Y/His_Holiness_Radhanath_Swami/Lectures/00_-_Year_wise/Devotional_Nectar_-_1999/1999-065_Kaliyuga_Gets_Maximum_Mercy_Lecture_Mumbai_-_Radhanath_Swami_1999-12-31_IDesireTree.mp3", "1999-065_Kaliyuga_Gets_Maximum_Mercy_Lecture_Mumbai_-_Radhanath_Swami_1999-12-31_IDesireTree.mp3")</f>
        <v>1999-065_Kaliyuga_Gets_Maximum_Mercy_Lecture_Mumbai_-_Radhanath_Swami_1999-12-31_IDesireTree.mp3</v>
      </c>
      <c r="D1512" s="11"/>
      <c r="E1512" s="11"/>
    </row>
    <row r="1513" spans="1:5">
      <c r="A1513" s="12" t="s">
        <v>12462</v>
      </c>
      <c r="B1513" s="12" t="s">
        <v>14441</v>
      </c>
      <c r="C1513" s="13" t="str">
        <f>HYPERLINK("https://audio.iskcondesiretree.com/02_-_ISKCON_Swamis/ISKCON_Swamis_-_R_to_Y/His_Holiness_Radhanath_Swami/Lectures/00_-_Year_wise/Devotional_Nectar_-_1999/1999-066_Marriage_Ceremony_Nityalila_M_-_Radhanath_Swami_IDesireTree.mp3", "1999-066_Marriage_Ceremony_Nityalila_M_-_Radhanath_Swami_IDesireTree.mp3")</f>
        <v>1999-066_Marriage_Ceremony_Nityalila_M_-_Radhanath_Swami_IDesireTree.mp3</v>
      </c>
      <c r="D1513" s="11"/>
      <c r="E1513" s="11"/>
    </row>
    <row r="1514" spans="1:5">
      <c r="A1514" s="12" t="s">
        <v>12462</v>
      </c>
      <c r="B1514" s="12" t="e">
        <v>#VALUE!</v>
      </c>
      <c r="C1514" s="13" t="e">
        <f>HYPERLINK("https://audio.iskcondesiretree.com/02_-_ISKCON_Swamis/ISKCON_Swamis_-_R_to_Y/His_Holiness_Radhanath_Swami/Lectures/00_-_Year_wise/Devotional_Nectar_-_2000/2000-001_Marriage_Address-_HG_Rupa_Vilas_P_%26_Nitya_Lila_M_Lecture_Mumbai_-_01-01-00_IDesireTree.mp"&amp;"3", "2000-001_Marriage_Address-_HG_Rupa_Vilas_P_%26_Nitya_Lila_M_Lecture_Mumbai_-_01-01-00_IDesireTree.mp3")</f>
        <v>#VALUE!</v>
      </c>
      <c r="D1514" s="11"/>
      <c r="E1514" s="11"/>
    </row>
    <row r="1515" spans="1:5">
      <c r="A1515" s="12" t="s">
        <v>12462</v>
      </c>
      <c r="B1515" s="12" t="s">
        <v>14442</v>
      </c>
      <c r="C1515" s="13" t="str">
        <f>HYPERLINK("https://audio.iskcondesiretree.com/02_-_ISKCON_Swamis/ISKCON_Swamis_-_R_to_Y/His_Holiness_Radhanath_Swami/Lectures/00_-_Year_wise/Devotional_Nectar_-_2000/2000-002_Marriage_Ceremony_Address_Lecture_Mumbai_-_Radhanath_Swami_2000-01-01_IDesireTree.mp3", "2000-002_Marriage_Ceremony_Address_Lecture_Mumbai_-_Radhanath_Swami_2000-01-01_IDesireTree.mp3")</f>
        <v>2000-002_Marriage_Ceremony_Address_Lecture_Mumbai_-_Radhanath_Swami_2000-01-01_IDesireTree.mp3</v>
      </c>
      <c r="D1515" s="11"/>
      <c r="E1515" s="11"/>
    </row>
    <row r="1516" spans="1:5">
      <c r="A1516" s="12" t="s">
        <v>12462</v>
      </c>
      <c r="B1516" s="12" t="e">
        <v>#VALUE!</v>
      </c>
      <c r="C1516" s="13" t="e">
        <f>HYPERLINK("https://audio.iskcondesiretree.com/02_-_ISKCON_Swamis/ISKCON_Swamis_-_R_to_Y/His_Holiness_Radhanath_Swami/Lectures/00_-_Year_wise/Devotional_Nectar_-_2000/2000-002_The_True_Purpose_of_Life-_MT_Sachin_%26_Preeti_Marriage_Address_Mumbai_-_01-01-00_IDesireTr"&amp;"ee.mp3", "2000-002_The_True_Purpose_of_Life-_MT_Sachin_%26_Preeti_Marriage_Address_Mumbai_-_01-01-00_IDesireTree.mp3")</f>
        <v>#VALUE!</v>
      </c>
      <c r="D1516" s="11"/>
      <c r="E1516" s="11"/>
    </row>
    <row r="1517" spans="1:5">
      <c r="A1517" s="12" t="s">
        <v>12462</v>
      </c>
      <c r="B1517" s="12" t="e">
        <v>#VALUE!</v>
      </c>
      <c r="C1517" s="13" t="e">
        <f>HYPERLINK("https://audio.iskcondesiretree.com/02_-_ISKCON_Swamis/ISKCON_Swamis_-_R_to_Y/His_Holiness_Radhanath_Swami/Lectures/00_-_Year_wise/Devotional_Nectar_-_2000/2000-003_Leaders_Should_Enlighten_People_To_Take_Shelter_Of_Krsna_Lecture_Mumbai_-_06-01-00_IDesireT"&amp;"ree.mp3", "2000-003_Leaders_Should_Enlighten_People_To_Take_Shelter_Of_Krsna_Lecture_Mumbai_-_06-01-00_IDesireTree.mp3")</f>
        <v>#VALUE!</v>
      </c>
      <c r="D1517" s="11"/>
      <c r="E1517" s="11"/>
    </row>
    <row r="1518" spans="1:5">
      <c r="A1518" s="12" t="s">
        <v>12462</v>
      </c>
      <c r="B1518" s="12" t="s">
        <v>14443</v>
      </c>
      <c r="C1518" s="13" t="str">
        <f>HYPERLINK("https://audio.iskcondesiretree.com/02_-_ISKCON_Swamis/ISKCON_Swamis_-_R_to_Y/His_Holiness_Radhanath_Swami/Lectures/00_-_Year_wise/Devotional_Nectar_-_2000/2000-003_The_True_Purpose_of_Life-_MT_Marriage_Address_Mumbai_-_01-01-00_IDesireTree.mp3", "2000-003_The_True_Purpose_of_Life-_MT_Marriage_Address_Mumbai_-_01-01-00_IDesireTree.mp3")</f>
        <v>2000-003_The_True_Purpose_of_Life-_MT_Marriage_Address_Mumbai_-_01-01-00_IDesireTree.mp3</v>
      </c>
      <c r="D1518" s="11"/>
      <c r="E1518" s="11"/>
    </row>
    <row r="1519" spans="1:5">
      <c r="A1519" s="12" t="s">
        <v>12462</v>
      </c>
      <c r="B1519" s="12" t="s">
        <v>14444</v>
      </c>
      <c r="C1519" s="13" t="str">
        <f>HYPERLINK("https://audio.iskcondesiretree.com/02_-_ISKCON_Swamis/ISKCON_Swamis_-_R_to_Y/His_Holiness_Radhanath_Swami/Lectures/00_-_Year_wise/Devotional_Nectar_-_2000/2000-004_Our_Lives_In_Chaos_Lecture_Mumbai_-_Radhanath_Swami_2000-01-08_IDesireTree.mp3", "2000-004_Our_Lives_In_Chaos_Lecture_Mumbai_-_Radhanath_Swami_2000-01-08_IDesireTree.mp3")</f>
        <v>2000-004_Our_Lives_In_Chaos_Lecture_Mumbai_-_Radhanath_Swami_2000-01-08_IDesireTree.mp3</v>
      </c>
      <c r="D1519" s="11"/>
      <c r="E1519" s="11"/>
    </row>
    <row r="1520" spans="1:5">
      <c r="A1520" s="12" t="s">
        <v>12462</v>
      </c>
      <c r="B1520" s="12" t="s">
        <v>14445</v>
      </c>
      <c r="C1520" s="13" t="str">
        <f>HYPERLINK("https://audio.iskcondesiretree.com/02_-_ISKCON_Swamis/ISKCON_Swamis_-_R_to_Y/His_Holiness_Radhanath_Swami/Lectures/00_-_Year_wise/Devotional_Nectar_-_2000/2000-005_Life_of_Srila_Jiva_Goswami_Lecture_Mumbai_-_Radhanath_Swami_2000-01-09_IDesireTree.mp3", "2000-005_Life_of_Srila_Jiva_Goswami_Lecture_Mumbai_-_Radhanath_Swami_2000-01-09_IDesireTree.mp3")</f>
        <v>2000-005_Life_of_Srila_Jiva_Goswami_Lecture_Mumbai_-_Radhanath_Swami_2000-01-09_IDesireTree.mp3</v>
      </c>
      <c r="D1520" s="11"/>
      <c r="E1520" s="11"/>
    </row>
    <row r="1521" spans="1:5">
      <c r="A1521" s="12" t="s">
        <v>12462</v>
      </c>
      <c r="B1521" s="12" t="s">
        <v>14446</v>
      </c>
      <c r="C1521" s="13" t="str">
        <f>HYPERLINK("https://audio.iskcondesiretree.com/02_-_ISKCON_Swamis/ISKCON_Swamis_-_R_to_Y/His_Holiness_Radhanath_Swami/Lectures/00_-_Year_wise/Devotional_Nectar_-_2000/2000-006_Beware_of_Maya%27s_Hijackers_Lecture_Mumbai_-_Radhanath_Swami_2000-01-12_IDesireTree.mp3", "2000-006_Beware_of_Maya%27s_Hijackers_Lecture_Mumbai_-_Radhanath_Swami_2000-01-12_IDesireTree.mp3")</f>
        <v>2000-006_Beware_of_Maya%27s_Hijackers_Lecture_Mumbai_-_Radhanath_Swami_2000-01-12_IDesireTree.mp3</v>
      </c>
      <c r="D1521" s="11"/>
      <c r="E1521" s="11"/>
    </row>
    <row r="1522" spans="1:5">
      <c r="A1522" s="12" t="s">
        <v>12462</v>
      </c>
      <c r="B1522" s="12" t="s">
        <v>14447</v>
      </c>
      <c r="C1522" s="13" t="str">
        <f>HYPERLINK("https://audio.iskcondesiretree.com/02_-_ISKCON_Swamis/ISKCON_Swamis_-_R_to_Y/His_Holiness_Radhanath_Swami/Lectures/00_-_Year_wise/Devotional_Nectar_-_2000/2000-007_Don%27t_be_Like_Dogs_Hogs_Camels_%26_Asses_SB-3_2_19_Mumbai_-_13-01-00_IDesireTree.mp3", "2000-007_Don%27t_be_Like_Dogs_Hogs_Camels_%26_Asses_SB-3_2_19_Mumbai_-_13-01-00_IDesireTree.mp3")</f>
        <v>2000-007_Don%27t_be_Like_Dogs_Hogs_Camels_%26_Asses_SB-3_2_19_Mumbai_-_13-01-00_IDesireTree.mp3</v>
      </c>
      <c r="D1522" s="11"/>
      <c r="E1522" s="11"/>
    </row>
    <row r="1523" spans="1:5">
      <c r="A1523" s="12" t="s">
        <v>12462</v>
      </c>
      <c r="B1523" s="12" t="s">
        <v>14448</v>
      </c>
      <c r="C1523" s="13" t="str">
        <f>HYPERLINK("https://audio.iskcondesiretree.com/02_-_ISKCON_Swamis/ISKCON_Swamis_-_R_to_Y/His_Holiness_Radhanath_Swami/Lectures/00_-_Year_wise/Devotional_Nectar_-_2000/2000-008_The_Age_of_Kali_Lecture_Mumbai_-_Radhanath_Swami_2000-01-14_IDesireTree.mp3", "2000-008_The_Age_of_Kali_Lecture_Mumbai_-_Radhanath_Swami_2000-01-14_IDesireTree.mp3")</f>
        <v>2000-008_The_Age_of_Kali_Lecture_Mumbai_-_Radhanath_Swami_2000-01-14_IDesireTree.mp3</v>
      </c>
      <c r="D1523" s="11"/>
      <c r="E1523" s="11"/>
    </row>
    <row r="1524" spans="1:5">
      <c r="A1524" s="12" t="s">
        <v>12462</v>
      </c>
      <c r="B1524" s="12" t="s">
        <v>14449</v>
      </c>
      <c r="C1524" s="13" t="str">
        <f>HYPERLINK("https://audio.iskcondesiretree.com/02_-_ISKCON_Swamis/ISKCON_Swamis_-_R_to_Y/His_Holiness_Radhanath_Swami/Lectures/00_-_Year_wise/Devotional_Nectar_-_2000/2000-009_Questions_%26_Answers_Q%26A_Udipi_-_Radhanath_Swami_2000-01-18_IDesireTree.mp3", "2000-009_Questions_%26_Answers_Q%26A_Udipi_-_Radhanath_Swami_2000-01-18_IDesireTree.mp3")</f>
        <v>2000-009_Questions_%26_Answers_Q%26A_Udipi_-_Radhanath_Swami_2000-01-18_IDesireTree.mp3</v>
      </c>
      <c r="D1524" s="11"/>
      <c r="E1524" s="11"/>
    </row>
    <row r="1525" spans="1:5">
      <c r="A1525" s="12" t="s">
        <v>12462</v>
      </c>
      <c r="B1525" s="12" t="s">
        <v>14450</v>
      </c>
      <c r="C1525" s="13" t="str">
        <f>HYPERLINK("https://audio.iskcondesiretree.com/02_-_ISKCON_Swamis/ISKCON_Swamis_-_R_to_Y/His_Holiness_Radhanath_Swami/Lectures/00_-_Year_wise/Devotional_Nectar_-_2000/2000-010_Life_%26_Teachings_of_Srila_Madhavacarya-_Part_1_Lecture_Udipi_-_20-01-00_IDesireTree.mp3", "2000-010_Life_%26_Teachings_of_Srila_Madhavacarya-_Part_1_Lecture_Udipi_-_20-01-00_IDesireTree.mp3")</f>
        <v>2000-010_Life_%26_Teachings_of_Srila_Madhavacarya-_Part_1_Lecture_Udipi_-_20-01-00_IDesireTree.mp3</v>
      </c>
      <c r="D1525" s="11"/>
      <c r="E1525" s="11"/>
    </row>
    <row r="1526" spans="1:5">
      <c r="A1526" s="12" t="s">
        <v>12462</v>
      </c>
      <c r="B1526" s="12" t="s">
        <v>14451</v>
      </c>
      <c r="C1526" s="13" t="str">
        <f>HYPERLINK("https://audio.iskcondesiretree.com/02_-_ISKCON_Swamis/ISKCON_Swamis_-_R_to_Y/His_Holiness_Radhanath_Swami/Lectures/00_-_Year_wise/Devotional_Nectar_-_2000/2000-011_Life_%26_Teachings_of_Srila_Madhavacarya-_Part_2_Lecture_Udipi_-_20-01-00_IDesireTree.mp3", "2000-011_Life_%26_Teachings_of_Srila_Madhavacarya-_Part_2_Lecture_Udipi_-_20-01-00_IDesireTree.mp3")</f>
        <v>2000-011_Life_%26_Teachings_of_Srila_Madhavacarya-_Part_2_Lecture_Udipi_-_20-01-00_IDesireTree.mp3</v>
      </c>
      <c r="D1526" s="11"/>
      <c r="E1526" s="11"/>
    </row>
    <row r="1527" spans="1:5">
      <c r="A1527" s="12" t="s">
        <v>12462</v>
      </c>
      <c r="B1527" s="12" t="s">
        <v>14452</v>
      </c>
      <c r="C1527" s="13" t="str">
        <f>HYPERLINK("https://audio.iskcondesiretree.com/02_-_ISKCON_Swamis/ISKCON_Swamis_-_R_to_Y/His_Holiness_Radhanath_Swami/Lectures/00_-_Year_wise/Devotional_Nectar_-_2000/2000-012_Hare_Krishna_LectureKarnataka_-_Radhanath_Swami_2000-01-21_IDesireTree.mp3", "2000-012_Hare_Krishna_LectureKarnataka_-_Radhanath_Swami_2000-01-21_IDesireTree.mp3")</f>
        <v>2000-012_Hare_Krishna_LectureKarnataka_-_Radhanath_Swami_2000-01-21_IDesireTree.mp3</v>
      </c>
      <c r="D1527" s="11"/>
      <c r="E1527" s="11"/>
    </row>
    <row r="1528" spans="1:5">
      <c r="A1528" s="12" t="s">
        <v>12462</v>
      </c>
      <c r="B1528" s="12" t="e">
        <v>#VALUE!</v>
      </c>
      <c r="C1528" s="13" t="e">
        <f>HYPERLINK("https://audio.iskcondesiretree.com/02_-_ISKCON_Swamis/ISKCON_Swamis_-_R_to_Y/His_Holiness_Radhanath_Swami/Lectures/00_-_Year_wise/Devotional_Nectar_-_2000/2000-013_Problems-_Opportunities_for_Self_Realization_HT_-_SB_04_14_39-40_Belgaum_-_23-01-00_IDesire"&amp;"Tree.mp3", "2000-013_Problems-_Opportunities_for_Self_Realization_HT_-_SB_04_14_39-40_Belgaum_-_23-01-00_IDesireTree.mp3")</f>
        <v>#VALUE!</v>
      </c>
      <c r="D1528" s="11"/>
      <c r="E1528" s="11"/>
    </row>
    <row r="1529" spans="1:5">
      <c r="A1529" s="12" t="s">
        <v>12462</v>
      </c>
      <c r="B1529" s="12" t="s">
        <v>14453</v>
      </c>
      <c r="C1529" s="13" t="str">
        <f>HYPERLINK("https://audio.iskcondesiretree.com/02_-_ISKCON_Swamis/ISKCON_Swamis_-_R_to_Y/His_Holiness_Radhanath_Swami/Lectures/00_-_Year_wise/Devotional_Nectar_-_2000/2000-014_No_Newspapers_in_Hell_Lecture_Belgaum_-_Radhanath_Swami_2000-01-23_IDesireTree.mp3", "2000-014_No_Newspapers_in_Hell_Lecture_Belgaum_-_Radhanath_Swami_2000-01-23_IDesireTree.mp3")</f>
        <v>2000-014_No_Newspapers_in_Hell_Lecture_Belgaum_-_Radhanath_Swami_2000-01-23_IDesireTree.mp3</v>
      </c>
      <c r="D1529" s="11"/>
      <c r="E1529" s="11"/>
    </row>
    <row r="1530" spans="1:5">
      <c r="A1530" s="12" t="s">
        <v>12462</v>
      </c>
      <c r="B1530" s="12" t="s">
        <v>14454</v>
      </c>
      <c r="C1530" s="13" t="str">
        <f>HYPERLINK("https://audio.iskcondesiretree.com/02_-_ISKCON_Swamis/ISKCON_Swamis_-_R_to_Y/His_Holiness_Radhanath_Swami/Lectures/00_-_Year_wise/Devotional_Nectar_-_2000/2000-015_Marriage_Address_Lecture_Mumbai_-_Radhanath_Swami_2000-01-26_doubtful_IDesireTree.mp3", "2000-015_Marriage_Address_Lecture_Mumbai_-_Radhanath_Swami_2000-01-26_doubtful_IDesireTree.mp3")</f>
        <v>2000-015_Marriage_Address_Lecture_Mumbai_-_Radhanath_Swami_2000-01-26_doubtful_IDesireTree.mp3</v>
      </c>
      <c r="D1530" s="11"/>
      <c r="E1530" s="11"/>
    </row>
    <row r="1531" spans="1:5">
      <c r="A1531" s="12" t="s">
        <v>12462</v>
      </c>
      <c r="B1531" s="12" t="s">
        <v>14455</v>
      </c>
      <c r="C1531" s="13" t="str">
        <f>HYPERLINK("https://audio.iskcondesiretree.com/02_-_ISKCON_Swamis/ISKCON_Swamis_-_R_to_Y/His_Holiness_Radhanath_Swami/Lectures/00_-_Year_wise/Devotional_Nectar_-_2000/2000-016_LNHO-_A_Real_Example_of_True_Indians-_Lecture_Mumbai_-_26-01-00_IDesireTree.mp3", "2000-016_LNHO-_A_Real_Example_of_True_Indians-_Lecture_Mumbai_-_26-01-00_IDesireTree.mp3")</f>
        <v>2000-016_LNHO-_A_Real_Example_of_True_Indians-_Lecture_Mumbai_-_26-01-00_IDesireTree.mp3</v>
      </c>
      <c r="D1531" s="11"/>
      <c r="E1531" s="11"/>
    </row>
    <row r="1532" spans="1:5">
      <c r="A1532" s="12" t="s">
        <v>12462</v>
      </c>
      <c r="B1532" s="12" t="s">
        <v>14456</v>
      </c>
      <c r="C1532" s="13" t="str">
        <f>HYPERLINK("https://audio.iskcondesiretree.com/02_-_ISKCON_Swamis/ISKCON_Swamis_-_R_to_Y/His_Holiness_Radhanath_Swami/Lectures/00_-_Year_wise/Devotional_Nectar_-_2000/2000-017_Contribution_of_The_Gaudiya_Vaisnava_Acharyas_Lecture_Mumbai_-_2000-01-29_IDesireTree.mp3", "2000-017_Contribution_of_The_Gaudiya_Vaisnava_Acharyas_Lecture_Mumbai_-_2000-01-29_IDesireTree.mp3")</f>
        <v>2000-017_Contribution_of_The_Gaudiya_Vaisnava_Acharyas_Lecture_Mumbai_-_2000-01-29_IDesireTree.mp3</v>
      </c>
      <c r="D1532" s="11"/>
      <c r="E1532" s="11"/>
    </row>
    <row r="1533" spans="1:5">
      <c r="A1533" s="12" t="s">
        <v>12462</v>
      </c>
      <c r="B1533" s="12" t="s">
        <v>14457</v>
      </c>
      <c r="C1533" s="13" t="str">
        <f>HYPERLINK("https://audio.iskcondesiretree.com/02_-_ISKCON_Swamis/ISKCON_Swamis_-_R_to_Y/His_Holiness_Radhanath_Swami/Lectures/00_-_Year_wise/Devotional_Nectar_-_2000/2000-018_Pushya_Abhishek_Lecture_Mumbai_-_Radhanath_Swami_2000-01-31_IDesireTree.mp3", "2000-018_Pushya_Abhishek_Lecture_Mumbai_-_Radhanath_Swami_2000-01-31_IDesireTree.mp3")</f>
        <v>2000-018_Pushya_Abhishek_Lecture_Mumbai_-_Radhanath_Swami_2000-01-31_IDesireTree.mp3</v>
      </c>
      <c r="D1533" s="11"/>
      <c r="E1533" s="11"/>
    </row>
    <row r="1534" spans="1:5">
      <c r="A1534" s="12" t="s">
        <v>12462</v>
      </c>
      <c r="B1534" s="12" t="s">
        <v>14458</v>
      </c>
      <c r="C1534" s="13" t="str">
        <f>HYPERLINK("https://audio.iskcondesiretree.com/02_-_ISKCON_Swamis/ISKCON_Swamis_-_R_to_Y/His_Holiness_Radhanath_Swami/Lectures/00_-_Year_wise/Devotional_Nectar_-_2000/2000-019_Following_Guru_Parampara_SB-01_03_42_Mumbai_-_Radhanath_Swami_2000-02-03_IDesireTree.mp3", "2000-019_Following_Guru_Parampara_SB-01_03_42_Mumbai_-_Radhanath_Swami_2000-02-03_IDesireTree.mp3")</f>
        <v>2000-019_Following_Guru_Parampara_SB-01_03_42_Mumbai_-_Radhanath_Swami_2000-02-03_IDesireTree.mp3</v>
      </c>
      <c r="D1534" s="11"/>
      <c r="E1534" s="11"/>
    </row>
    <row r="1535" spans="1:5">
      <c r="A1535" s="12" t="s">
        <v>12462</v>
      </c>
      <c r="B1535" s="12" t="s">
        <v>14459</v>
      </c>
      <c r="C1535" s="13" t="str">
        <f>HYPERLINK("https://audio.iskcondesiretree.com/02_-_ISKCON_Swamis/ISKCON_Swamis_-_R_to_Y/His_Holiness_Radhanath_Swami/Lectures/00_-_Year_wise/Devotional_Nectar_-_2000/2000-020_Futility_of_Material_Pleasure_SB-3_25_13_Mumbai_-_05-02-00_IDesireTree.mp3", "2000-020_Futility_of_Material_Pleasure_SB-3_25_13_Mumbai_-_05-02-00_IDesireTree.mp3")</f>
        <v>2000-020_Futility_of_Material_Pleasure_SB-3_25_13_Mumbai_-_05-02-00_IDesireTree.mp3</v>
      </c>
      <c r="D1535" s="11"/>
      <c r="E1535" s="11"/>
    </row>
    <row r="1536" spans="1:5">
      <c r="A1536" s="12" t="s">
        <v>12462</v>
      </c>
      <c r="B1536" s="12" t="s">
        <v>14460</v>
      </c>
      <c r="C1536" s="13" t="str">
        <f>HYPERLINK("https://audio.iskcondesiretree.com/02_-_ISKCON_Swamis/ISKCON_Swamis_-_R_to_Y/His_Holiness_Radhanath_Swami/Lectures/00_-_Year_wise/Devotional_Nectar_-_2000/2000-021_Marriage_ceremony_address_Lecture_Mumbai_-_Radhanath_Swami_2000-02-05_IDesireTree.mp3", "2000-021_Marriage_ceremony_address_Lecture_Mumbai_-_Radhanath_Swami_2000-02-05_IDesireTree.mp3")</f>
        <v>2000-021_Marriage_ceremony_address_Lecture_Mumbai_-_Radhanath_Swami_2000-02-05_IDesireTree.mp3</v>
      </c>
      <c r="D1536" s="11"/>
      <c r="E1536" s="11"/>
    </row>
    <row r="1537" spans="1:5">
      <c r="A1537" s="12" t="s">
        <v>12462</v>
      </c>
      <c r="B1537" s="12" t="s">
        <v>14461</v>
      </c>
      <c r="C1537" s="13" t="str">
        <f>HYPERLINK("https://audio.iskcondesiretree.com/02_-_ISKCON_Swamis/ISKCON_Swamis_-_R_to_Y/His_Holiness_Radhanath_Swami/Lectures/00_-_Year_wise/Devotional_Nectar_-_2000/2000-022_Qualification_to_Understand_the_Truth_SB-03_25_14_Mumbai_-_06-02-00_IDesireTree.mp3", "2000-022_Qualification_to_Understand_the_Truth_SB-03_25_14_Mumbai_-_06-02-00_IDesireTree.mp3")</f>
        <v>2000-022_Qualification_to_Understand_the_Truth_SB-03_25_14_Mumbai_-_06-02-00_IDesireTree.mp3</v>
      </c>
      <c r="D1537" s="11"/>
      <c r="E1537" s="11"/>
    </row>
    <row r="1538" spans="1:5">
      <c r="A1538" s="12" t="s">
        <v>12462</v>
      </c>
      <c r="B1538" s="12" t="s">
        <v>14462</v>
      </c>
      <c r="C1538" s="13" t="str">
        <f>HYPERLINK("https://audio.iskcondesiretree.com/02_-_ISKCON_Swamis/ISKCON_Swamis_-_R_to_Y/His_Holiness_Radhanath_Swami/Lectures/00_-_Year_wise/Devotional_Nectar_-_2000/2000-023_Glories_of_the_Hare_Krishna_Movement_Lecture_Mumbai_-_06-02-00_IDesireTree.mp3", "2000-023_Glories_of_the_Hare_Krishna_Movement_Lecture_Mumbai_-_06-02-00_IDesireTree.mp3")</f>
        <v>2000-023_Glories_of_the_Hare_Krishna_Movement_Lecture_Mumbai_-_06-02-00_IDesireTree.mp3</v>
      </c>
      <c r="D1538" s="11"/>
      <c r="E1538" s="11"/>
    </row>
    <row r="1539" spans="1:5">
      <c r="A1539" s="12" t="s">
        <v>12462</v>
      </c>
      <c r="B1539" s="12" t="s">
        <v>14463</v>
      </c>
      <c r="C1539" s="13" t="str">
        <f>HYPERLINK("https://audio.iskcondesiretree.com/02_-_ISKCON_Swamis/ISKCON_Swamis_-_R_to_Y/His_Holiness_Radhanath_Swami/Lectures/00_-_Year_wise/Devotional_Nectar_-_2000/2000-024_Marriage_In_Krsna_Conscious_Is_Renunciation_Lecture_Mumbai_-_07-02-2000_IDesireTree.mp3", "2000-024_Marriage_In_Krsna_Conscious_Is_Renunciation_Lecture_Mumbai_-_07-02-2000_IDesireTree.mp3")</f>
        <v>2000-024_Marriage_In_Krsna_Conscious_Is_Renunciation_Lecture_Mumbai_-_07-02-2000_IDesireTree.mp3</v>
      </c>
      <c r="D1539" s="11"/>
      <c r="E1539" s="11"/>
    </row>
    <row r="1540" spans="1:5">
      <c r="A1540" s="12" t="s">
        <v>12462</v>
      </c>
      <c r="B1540" s="12" t="s">
        <v>14464</v>
      </c>
      <c r="C1540" s="13" t="str">
        <f>HYPERLINK("https://audio.iskcondesiretree.com/02_-_ISKCON_Swamis/ISKCON_Swamis_-_R_to_Y/His_Holiness_Radhanath_Swami/Lectures/00_-_Year_wise/Devotional_Nectar_-_2000/2000-025_Seeing_Everything_Positively_Lecture_Mumbai_-_Radhanath_Swami_2000-02-08_IDesireTree.mp3", "2000-025_Seeing_Everything_Positively_Lecture_Mumbai_-_Radhanath_Swami_2000-02-08_IDesireTree.mp3")</f>
        <v>2000-025_Seeing_Everything_Positively_Lecture_Mumbai_-_Radhanath_Swami_2000-02-08_IDesireTree.mp3</v>
      </c>
      <c r="D1540" s="11"/>
      <c r="E1540" s="11"/>
    </row>
    <row r="1541" spans="1:5">
      <c r="A1541" s="12" t="s">
        <v>12462</v>
      </c>
      <c r="B1541" s="12" t="s">
        <v>14465</v>
      </c>
      <c r="C1541" s="13" t="str">
        <f>HYPERLINK("https://audio.iskcondesiretree.com/02_-_ISKCON_Swamis/ISKCON_Swamis_-_R_to_Y/His_Holiness_Radhanath_Swami/Lectures/00_-_Year_wise/Devotional_Nectar_-_2000/2000-026_Unlimited_Happiness_by_Surrendering_to_Krsna_SB_1_-_Radhanath_Swami_IDesireTree.mp3", "2000-026_Unlimited_Happiness_by_Surrendering_to_Krsna_SB_1_-_Radhanath_Swami_IDesireTree.mp3")</f>
        <v>2000-026_Unlimited_Happiness_by_Surrendering_to_Krsna_SB_1_-_Radhanath_Swami_IDesireTree.mp3</v>
      </c>
      <c r="D1541" s="11"/>
      <c r="E1541" s="11"/>
    </row>
    <row r="1542" spans="1:5">
      <c r="A1542" s="12" t="s">
        <v>12462</v>
      </c>
      <c r="B1542" s="12" t="s">
        <v>14466</v>
      </c>
      <c r="C1542" s="13" t="str">
        <f>HYPERLINK("https://audio.iskcondesiretree.com/02_-_ISKCON_Swamis/ISKCON_Swamis_-_R_to_Y/His_Holiness_Radhanath_Swami/Lectures/00_-_Year_wise/Devotional_Nectar_-_2000/2000-027_Lecture_Los_Angeles_-_Radhanath_Swami_2000-02-10_IDesireTree.mp3", "2000-027_Lecture_Los_Angeles_-_Radhanath_Swami_2000-02-10_IDesireTree.mp3")</f>
        <v>2000-027_Lecture_Los_Angeles_-_Radhanath_Swami_2000-02-10_IDesireTree.mp3</v>
      </c>
      <c r="D1542" s="11"/>
      <c r="E1542" s="11"/>
    </row>
    <row r="1543" spans="1:5">
      <c r="A1543" s="12" t="s">
        <v>12462</v>
      </c>
      <c r="B1543" s="12" t="s">
        <v>14467</v>
      </c>
      <c r="C1543" s="13" t="str">
        <f>HYPERLINK("https://audio.iskcondesiretree.com/02_-_ISKCON_Swamis/ISKCON_Swamis_-_R_to_Y/His_Holiness_Radhanath_Swami/Lectures/00_-_Year_wise/Devotional_Nectar_-_2000/2000-028_Arrival_Address_Lecture_Pune_-_Radhanath_Swami_2000-02-10_IDesireTree.mp3", "2000-028_Arrival_Address_Lecture_Pune_-_Radhanath_Swami_2000-02-10_IDesireTree.mp3")</f>
        <v>2000-028_Arrival_Address_Lecture_Pune_-_Radhanath_Swami_2000-02-10_IDesireTree.mp3</v>
      </c>
      <c r="D1543" s="11"/>
      <c r="E1543" s="11"/>
    </row>
    <row r="1544" spans="1:5">
      <c r="A1544" s="12" t="s">
        <v>12462</v>
      </c>
      <c r="B1544" s="12" t="s">
        <v>14468</v>
      </c>
      <c r="C1544" s="13" t="str">
        <f>HYPERLINK("https://audio.iskcondesiretree.com/02_-_ISKCON_Swamis/ISKCON_Swamis_-_R_to_Y/His_Holiness_Radhanath_Swami/Lectures/00_-_Year_wise/Devotional_Nectar_-_2000/2000-029_Life_%26_Teachings_of_Srila_Sanatana_Goswami_Lecture_Pune_-_12-02-00_Part_1_IDesireTree.mp3", "2000-029_Life_%26_Teachings_of_Srila_Sanatana_Goswami_Lecture_Pune_-_12-02-00_Part_1_IDesireTree.mp3")</f>
        <v>2000-029_Life_%26_Teachings_of_Srila_Sanatana_Goswami_Lecture_Pune_-_12-02-00_Part_1_IDesireTree.mp3</v>
      </c>
      <c r="D1544" s="11"/>
      <c r="E1544" s="11"/>
    </row>
    <row r="1545" spans="1:5">
      <c r="A1545" s="12" t="s">
        <v>12462</v>
      </c>
      <c r="B1545" s="12" t="s">
        <v>14469</v>
      </c>
      <c r="C1545" s="13" t="str">
        <f>HYPERLINK("https://audio.iskcondesiretree.com/02_-_ISKCON_Swamis/ISKCON_Swamis_-_R_to_Y/His_Holiness_Radhanath_Swami/Lectures/00_-_Year_wise/Devotional_Nectar_-_2000/2000-030_Life_%26_Teachings_of_Srila_Sanatana_Goswami_Lecture_Pune_-_12-02-00_Part_2_IDesireTree.mp3", "2000-030_Life_%26_Teachings_of_Srila_Sanatana_Goswami_Lecture_Pune_-_12-02-00_Part_2_IDesireTree.mp3")</f>
        <v>2000-030_Life_%26_Teachings_of_Srila_Sanatana_Goswami_Lecture_Pune_-_12-02-00_Part_2_IDesireTree.mp3</v>
      </c>
      <c r="D1545" s="11"/>
      <c r="E1545" s="11"/>
    </row>
    <row r="1546" spans="1:5">
      <c r="A1546" s="12" t="s">
        <v>12462</v>
      </c>
      <c r="B1546" s="12" t="s">
        <v>14470</v>
      </c>
      <c r="C1546" s="13" t="str">
        <f>HYPERLINK("https://audio.iskcondesiretree.com/02_-_ISKCON_Swamis/ISKCON_Swamis_-_R_to_Y/His_Holiness_Radhanath_Swami/Lectures/00_-_Year_wise/Devotional_Nectar_-_2000/2000-031_Questions_%26_Answers-_I_Q%26A_Pune_-_Radhanath_Swami_2000-02-13_Part_1_IDesireTree.mp3", "2000-031_Questions_%26_Answers-_I_Q%26A_Pune_-_Radhanath_Swami_2000-02-13_Part_1_IDesireTree.mp3")</f>
        <v>2000-031_Questions_%26_Answers-_I_Q%26A_Pune_-_Radhanath_Swami_2000-02-13_Part_1_IDesireTree.mp3</v>
      </c>
      <c r="D1546" s="11"/>
      <c r="E1546" s="11"/>
    </row>
    <row r="1547" spans="1:5">
      <c r="A1547" s="12" t="s">
        <v>12462</v>
      </c>
      <c r="B1547" s="12" t="s">
        <v>14471</v>
      </c>
      <c r="C1547" s="13" t="str">
        <f>HYPERLINK("https://audio.iskcondesiretree.com/02_-_ISKCON_Swamis/ISKCON_Swamis_-_R_to_Y/His_Holiness_Radhanath_Swami/Lectures/00_-_Year_wise/Devotional_Nectar_-_2000/2000-032_Questions_%26_Answers-_I_Q%26A_Pune_-_Radhanath_Swami_2000-02-13_Part_2_IDesireTree.mp3", "2000-032_Questions_%26_Answers-_I_Q%26A_Pune_-_Radhanath_Swami_2000-02-13_Part_2_IDesireTree.mp3")</f>
        <v>2000-032_Questions_%26_Answers-_I_Q%26A_Pune_-_Radhanath_Swami_2000-02-13_Part_2_IDesireTree.mp3</v>
      </c>
      <c r="D1547" s="11"/>
      <c r="E1547" s="11"/>
    </row>
    <row r="1548" spans="1:5">
      <c r="A1548" s="12" t="s">
        <v>12462</v>
      </c>
      <c r="B1548" s="12" t="s">
        <v>14472</v>
      </c>
      <c r="C1548" s="13" t="str">
        <f>HYPERLINK("https://audio.iskcondesiretree.com/02_-_ISKCON_Swamis/ISKCON_Swamis_-_R_to_Y/His_Holiness_Radhanath_Swami/Lectures/00_-_Year_wise/Devotional_Nectar_-_2000/2000-033_Glories_of_Lord_Nityananda_Lecture_Mumbai_-_Radhanath_Swami_2000-02-17_IDesireTree.mp3", "2000-033_Glories_of_Lord_Nityananda_Lecture_Mumbai_-_Radhanath_Swami_2000-02-17_IDesireTree.mp3")</f>
        <v>2000-033_Glories_of_Lord_Nityananda_Lecture_Mumbai_-_Radhanath_Swami_2000-02-17_IDesireTree.mp3</v>
      </c>
      <c r="D1548" s="11"/>
      <c r="E1548" s="11"/>
    </row>
    <row r="1549" spans="1:5">
      <c r="A1549" s="12" t="s">
        <v>12462</v>
      </c>
      <c r="B1549" s="12" t="s">
        <v>14473</v>
      </c>
      <c r="C1549" s="13" t="str">
        <f>HYPERLINK("https://audio.iskcondesiretree.com/02_-_ISKCON_Swamis/ISKCON_Swamis_-_R_to_Y/His_Holiness_Radhanath_Swami/Lectures/00_-_Year_wise/Devotional_Nectar_-_2000/2000-034_Real_Control_of_Mind_BG-06_-_Radhanath_Swami_IDesireTree.mp3", "2000-034_Real_Control_of_Mind_BG-06_-_Radhanath_Swami_IDesireTree.mp3")</f>
        <v>2000-034_Real_Control_of_Mind_BG-06_-_Radhanath_Swami_IDesireTree.mp3</v>
      </c>
      <c r="D1549" s="11"/>
      <c r="E1549" s="11"/>
    </row>
    <row r="1550" spans="1:5">
      <c r="A1550" s="12" t="s">
        <v>12462</v>
      </c>
      <c r="B1550" s="12" t="s">
        <v>14474</v>
      </c>
      <c r="C1550" s="13" t="str">
        <f>HYPERLINK("https://audio.iskcondesiretree.com/02_-_ISKCON_Swamis/ISKCON_Swamis_-_R_to_Y/His_Holiness_Radhanath_Swami/Lectures/00_-_Year_wise/Devotional_Nectar_-_2000/2000-035_Srila_Narottam_Das_Thakur_Lecture_Mumbai_-_Radhanath_Swami_2000-02-20_IDesireTree.mp3", "2000-035_Srila_Narottam_Das_Thakur_Lecture_Mumbai_-_Radhanath_Swami_2000-02-20_IDesireTree.mp3")</f>
        <v>2000-035_Srila_Narottam_Das_Thakur_Lecture_Mumbai_-_Radhanath_Swami_2000-02-20_IDesireTree.mp3</v>
      </c>
      <c r="D1550" s="11"/>
      <c r="E1550" s="11"/>
    </row>
    <row r="1551" spans="1:5">
      <c r="A1551" s="12" t="s">
        <v>12462</v>
      </c>
      <c r="B1551" s="12" t="s">
        <v>14475</v>
      </c>
      <c r="C1551" s="13" t="str">
        <f>HYPERLINK("https://audio.iskcondesiretree.com/02_-_ISKCON_Swamis/ISKCON_Swamis_-_R_to_Y/His_Holiness_Radhanath_Swami/Lectures/00_-_Year_wise/Devotional_Nectar_-_2000/2000-036_Line_2000-02-24_-_Radhanath_Swami_IDesireTree.mp3", "2000-036_Line_2000-02-24_-_Radhanath_Swami_IDesireTree.mp3")</f>
        <v>2000-036_Line_2000-02-24_-_Radhanath_Swami_IDesireTree.mp3</v>
      </c>
      <c r="D1551" s="11"/>
      <c r="E1551" s="11"/>
    </row>
    <row r="1552" spans="1:5">
      <c r="A1552" s="12" t="s">
        <v>12462</v>
      </c>
      <c r="B1552" s="12" t="s">
        <v>14476</v>
      </c>
      <c r="C1552" s="13" t="str">
        <f>HYPERLINK("https://audio.iskcondesiretree.com/02_-_ISKCON_Swamis/ISKCON_Swamis_-_R_to_Y/His_Holiness_Radhanath_Swami/Lectures/00_-_Year_wise/Devotional_Nectar_-_2000/2000-037_Pre_Initiation_Lec_Lecture_Mumbai_-_Radhanath_Swami_2000-03-05_IDesireTree.mp3", "2000-037_Pre_Initiation_Lec_Lecture_Mumbai_-_Radhanath_Swami_2000-03-05_IDesireTree.mp3")</f>
        <v>2000-037_Pre_Initiation_Lec_Lecture_Mumbai_-_Radhanath_Swami_2000-03-05_IDesireTree.mp3</v>
      </c>
      <c r="D1552" s="11"/>
      <c r="E1552" s="11"/>
    </row>
    <row r="1553" spans="1:5">
      <c r="A1553" s="12" t="s">
        <v>12462</v>
      </c>
      <c r="B1553" s="12" t="s">
        <v>14477</v>
      </c>
      <c r="C1553" s="13" t="str">
        <f>HYPERLINK("https://audio.iskcondesiretree.com/02_-_ISKCON_Swamis/ISKCON_Swamis_-_R_to_Y/His_Holiness_Radhanath_Swami/Lectures/00_-_Year_wise/Devotional_Nectar_-_2000/2000-038_Questions_%26_Answers_Q%26A_Mumbai_-_Radhanath_Swami_2000-03-05_IDesireTree.mp3", "2000-038_Questions_%26_Answers_Q%26A_Mumbai_-_Radhanath_Swami_2000-03-05_IDesireTree.mp3")</f>
        <v>2000-038_Questions_%26_Answers_Q%26A_Mumbai_-_Radhanath_Swami_2000-03-05_IDesireTree.mp3</v>
      </c>
      <c r="D1553" s="11"/>
      <c r="E1553" s="11"/>
    </row>
    <row r="1554" spans="1:5">
      <c r="A1554" s="12" t="s">
        <v>12462</v>
      </c>
      <c r="B1554" s="12" t="s">
        <v>14478</v>
      </c>
      <c r="C1554" s="13" t="str">
        <f>HYPERLINK("https://audio.iskcondesiretree.com/02_-_ISKCON_Swamis/ISKCON_Swamis_-_R_to_Y/His_Holiness_Radhanath_Swami/Lectures/00_-_Year_wise/Devotional_Nectar_-_2000/2000-039_How_Bhagavad_Gita_is_an_Open_Secret_Lecture_Mumbai_-_12-03-00_IDesireTree.mp3", "2000-039_How_Bhagavad_Gita_is_an_Open_Secret_Lecture_Mumbai_-_12-03-00_IDesireTree.mp3")</f>
        <v>2000-039_How_Bhagavad_Gita_is_an_Open_Secret_Lecture_Mumbai_-_12-03-00_IDesireTree.mp3</v>
      </c>
      <c r="D1554" s="11"/>
      <c r="E1554" s="11"/>
    </row>
    <row r="1555" spans="1:5">
      <c r="A1555" s="12" t="s">
        <v>12462</v>
      </c>
      <c r="B1555" s="12" t="s">
        <v>14479</v>
      </c>
      <c r="C1555" s="13" t="str">
        <f>HYPERLINK("https://audio.iskcondesiretree.com/02_-_ISKCON_Swamis/ISKCON_Swamis_-_R_to_Y/His_Holiness_Radhanath_Swami/Lectures/00_-_Year_wise/Devotional_Nectar_-_2000/2000-040_Condolence_Message_Mrs_Dalal_Lecture_Mumbai_-_Radhanath_Swami_2000-03-16_IDesireTree.mp3", "2000-040_Condolence_Message_Mrs_Dalal_Lecture_Mumbai_-_Radhanath_Swami_2000-03-16_IDesireTree.mp3")</f>
        <v>2000-040_Condolence_Message_Mrs_Dalal_Lecture_Mumbai_-_Radhanath_Swami_2000-03-16_IDesireTree.mp3</v>
      </c>
      <c r="D1555" s="11"/>
      <c r="E1555" s="11"/>
    </row>
    <row r="1556" spans="1:5">
      <c r="A1556" s="12" t="s">
        <v>12462</v>
      </c>
      <c r="B1556" s="12" t="s">
        <v>14480</v>
      </c>
      <c r="C1556" s="13" t="str">
        <f>HYPERLINK("https://audio.iskcondesiretree.com/02_-_ISKCON_Swamis/ISKCON_Swamis_-_R_to_Y/His_Holiness_Radhanath_Swami/Lectures/00_-_Year_wise/Devotional_Nectar_-_2000/2000-041_Gaura_Poornima_Celebrations_Lecture_Mumbai_-_Radhanath_Swami_2000-03-19_IDesireTree.mp3", "2000-041_Gaura_Poornima_Celebrations_Lecture_Mumbai_-_Radhanath_Swami_2000-03-19_IDesireTree.mp3")</f>
        <v>2000-041_Gaura_Poornima_Celebrations_Lecture_Mumbai_-_Radhanath_Swami_2000-03-19_IDesireTree.mp3</v>
      </c>
      <c r="D1556" s="11"/>
      <c r="E1556" s="11"/>
    </row>
    <row r="1557" spans="1:5">
      <c r="A1557" s="12" t="s">
        <v>12462</v>
      </c>
      <c r="B1557" s="12" t="s">
        <v>14481</v>
      </c>
      <c r="C1557" s="13" t="str">
        <f>HYPERLINK("https://audio.iskcondesiretree.com/02_-_ISKCON_Swamis/ISKCON_Swamis_-_R_to_Y/His_Holiness_Radhanath_Swami/Lectures/00_-_Year_wise/Devotional_Nectar_-_2000/2000-042_Gaura_Poornima_Celebrations_Lecture_Mumbai_-_Radhanath_Swami_2000-03-20_IDesireTree.mp3", "2000-042_Gaura_Poornima_Celebrations_Lecture_Mumbai_-_Radhanath_Swami_2000-03-20_IDesireTree.mp3")</f>
        <v>2000-042_Gaura_Poornima_Celebrations_Lecture_Mumbai_-_Radhanath_Swami_2000-03-20_IDesireTree.mp3</v>
      </c>
      <c r="D1557" s="11"/>
      <c r="E1557" s="11"/>
    </row>
    <row r="1558" spans="1:5">
      <c r="A1558" s="12" t="s">
        <v>12462</v>
      </c>
      <c r="B1558" s="12" t="s">
        <v>14482</v>
      </c>
      <c r="C1558" s="13" t="str">
        <f>HYPERLINK("https://audio.iskcondesiretree.com/02_-_ISKCON_Swamis/ISKCON_Swamis_-_R_to_Y/His_Holiness_Radhanath_Swami/Lectures/00_-_Year_wise/Devotional_Nectar_-_2000/2000-043_Initiation_Lecture_Lecture_Mumbai_-_Radhanath_Swami_2000-03-21_IDesireTree.mp3", "2000-043_Initiation_Lecture_Lecture_Mumbai_-_Radhanath_Swami_2000-03-21_IDesireTree.mp3")</f>
        <v>2000-043_Initiation_Lecture_Lecture_Mumbai_-_Radhanath_Swami_2000-03-21_IDesireTree.mp3</v>
      </c>
      <c r="D1558" s="11"/>
      <c r="E1558" s="11"/>
    </row>
    <row r="1559" spans="1:5">
      <c r="A1559" s="12" t="s">
        <v>12462</v>
      </c>
      <c r="B1559" s="12" t="s">
        <v>14483</v>
      </c>
      <c r="C1559" s="13" t="str">
        <f>HYPERLINK("https://audio.iskcondesiretree.com/02_-_ISKCON_Swamis/ISKCON_Swamis_-_R_to_Y/His_Holiness_Radhanath_Swami/Lectures/00_-_Year_wise/Devotional_Nectar_-_2000/2000-044_Jagannath_Misra_Festival_Initiation_Lecture-_I_-_21-03-00_Chek_IDesireTree.mp3", "2000-044_Jagannath_Misra_Festival_Initiation_Lecture-_I_-_21-03-00_Chek_IDesireTree.mp3")</f>
        <v>2000-044_Jagannath_Misra_Festival_Initiation_Lecture-_I_-_21-03-00_Chek_IDesireTree.mp3</v>
      </c>
      <c r="D1559" s="11"/>
      <c r="E1559" s="11"/>
    </row>
    <row r="1560" spans="1:5">
      <c r="A1560" s="12" t="s">
        <v>12462</v>
      </c>
      <c r="B1560" s="12" t="s">
        <v>14484</v>
      </c>
      <c r="C1560" s="13" t="str">
        <f>HYPERLINK("https://audio.iskcondesiretree.com/02_-_ISKCON_Swamis/ISKCON_Swamis_-_R_to_Y/His_Holiness_Radhanath_Swami/Lectures/00_-_Year_wise/Devotional_Nectar_-_2000/2000-045_Placing_Our_Full_Faith_in_Krishna_SB-03_26_07_Mumbai_-_25-03-00_IDesireTree.mp3", "2000-045_Placing_Our_Full_Faith_in_Krishna_SB-03_26_07_Mumbai_-_25-03-00_IDesireTree.mp3")</f>
        <v>2000-045_Placing_Our_Full_Faith_in_Krishna_SB-03_26_07_Mumbai_-_25-03-00_IDesireTree.mp3</v>
      </c>
      <c r="D1560" s="11"/>
      <c r="E1560" s="11"/>
    </row>
    <row r="1561" spans="1:5">
      <c r="A1561" s="12" t="s">
        <v>12462</v>
      </c>
      <c r="B1561" s="12" t="s">
        <v>14485</v>
      </c>
      <c r="C1561" s="13" t="str">
        <f>HYPERLINK("https://audio.iskcondesiretree.com/02_-_ISKCON_Swamis/ISKCON_Swamis_-_R_to_Y/His_Holiness_Radhanath_Swami/Lectures/00_-_Year_wise/Devotional_Nectar_-_2000/2000-046_Marriage_Ceremony_Address_Lecture_Mumbai_-_Radhanath_Swami_2000-03-25_IDesireTree.mp3", "2000-046_Marriage_Ceremony_Address_Lecture_Mumbai_-_Radhanath_Swami_2000-03-25_IDesireTree.mp3")</f>
        <v>2000-046_Marriage_Ceremony_Address_Lecture_Mumbai_-_Radhanath_Swami_2000-03-25_IDesireTree.mp3</v>
      </c>
      <c r="D1561" s="11"/>
      <c r="E1561" s="11"/>
    </row>
    <row r="1562" spans="1:5">
      <c r="A1562" s="12" t="s">
        <v>12462</v>
      </c>
      <c r="B1562" s="12" t="s">
        <v>14486</v>
      </c>
      <c r="C1562" s="13" t="str">
        <f>HYPERLINK("https://audio.iskcondesiretree.com/02_-_ISKCON_Swamis/ISKCON_Swamis_-_R_to_Y/His_Holiness_Radhanath_Swami/Lectures/00_-_Year_wise/Devotional_Nectar_-_2000/2000-047_Lecture_Chicago_-_Radhanath_Swami_2000-04-24_IDesireTree.mp3", "2000-047_Lecture_Chicago_-_Radhanath_Swami_2000-04-24_IDesireTree.mp3")</f>
        <v>2000-047_Lecture_Chicago_-_Radhanath_Swami_2000-04-24_IDesireTree.mp3</v>
      </c>
      <c r="D1562" s="11"/>
      <c r="E1562" s="11"/>
    </row>
    <row r="1563" spans="1:5">
      <c r="A1563" s="12" t="s">
        <v>12462</v>
      </c>
      <c r="B1563" s="12" t="s">
        <v>14487</v>
      </c>
      <c r="C1563" s="13" t="str">
        <f>HYPERLINK("https://audio.iskcondesiretree.com/02_-_ISKCON_Swamis/ISKCON_Swamis_-_R_to_Y/His_Holiness_Radhanath_Swami/Lectures/00_-_Year_wise/Devotional_Nectar_-_2000/2000-048_SB-08_-_Radhanath_Swami_IDesireTree.mp3", "2000-048_SB-08_-_Radhanath_Swami_IDesireTree.mp3")</f>
        <v>2000-048_SB-08_-_Radhanath_Swami_IDesireTree.mp3</v>
      </c>
      <c r="D1563" s="11"/>
      <c r="E1563" s="11"/>
    </row>
    <row r="1564" spans="1:5">
      <c r="A1564" s="12" t="s">
        <v>12462</v>
      </c>
      <c r="B1564" s="12" t="s">
        <v>14488</v>
      </c>
      <c r="C1564" s="13" t="str">
        <f>HYPERLINK("https://audio.iskcondesiretree.com/02_-_ISKCON_Swamis/ISKCON_Swamis_-_R_to_Y/His_Holiness_Radhanath_Swami/Lectures/00_-_Year_wise/Devotional_Nectar_-_2000/2000-049_BG-09_-_Radhanath_Swami_IDesireTree.mp3", "2000-049_BG-09_-_Radhanath_Swami_IDesireTree.mp3")</f>
        <v>2000-049_BG-09_-_Radhanath_Swami_IDesireTree.mp3</v>
      </c>
      <c r="D1564" s="11"/>
      <c r="E1564" s="11"/>
    </row>
    <row r="1565" spans="1:5">
      <c r="A1565" s="12" t="s">
        <v>12462</v>
      </c>
      <c r="B1565" s="12" t="s">
        <v>14489</v>
      </c>
      <c r="C1565" s="13" t="str">
        <f>HYPERLINK("https://audio.iskcondesiretree.com/02_-_ISKCON_Swamis/ISKCON_Swamis_-_R_to_Y/His_Holiness_Radhanath_Swami/Lectures/00_-_Year_wise/Devotional_Nectar_-_2000/2000-050_SB_-_Radhanath_Swami_IDesireTree.mp3", "2000-050_SB_-_Radhanath_Swami_IDesireTree.mp3")</f>
        <v>2000-050_SB_-_Radhanath_Swami_IDesireTree.mp3</v>
      </c>
      <c r="D1565" s="11"/>
      <c r="E1565" s="11"/>
    </row>
    <row r="1566" spans="1:5">
      <c r="A1566" s="12" t="s">
        <v>12462</v>
      </c>
      <c r="B1566" s="12" t="e">
        <v>#VALUE!</v>
      </c>
      <c r="C1566" s="13" t="e">
        <f>HYPERLINK("https://audio.iskcondesiretree.com/02_-_ISKCON_Swamis/ISKCON_Swamis_-_R_to_Y/His_Holiness_Radhanath_Swami/Lectures/00_-_Year_wise/Devotional_Nectar_-_2000/2000-051_Real_Compassion_Is_Done_in_the_Mood_of_Service_SB-03_29_06_Mumbai_-_09-08-00_IDesireTree.mp"&amp;"3", "2000-051_Real_Compassion_Is_Done_in_the_Mood_of_Service_SB-03_29_06_Mumbai_-_09-08-00_IDesireTree.mp3")</f>
        <v>#VALUE!</v>
      </c>
      <c r="D1566" s="11"/>
      <c r="E1566" s="11"/>
    </row>
    <row r="1567" spans="1:5">
      <c r="A1567" s="12" t="s">
        <v>12462</v>
      </c>
      <c r="B1567" s="12" t="s">
        <v>14490</v>
      </c>
      <c r="C1567" s="13" t="str">
        <f>HYPERLINK("https://audio.iskcondesiretree.com/02_-_ISKCON_Swamis/ISKCON_Swamis_-_R_to_Y/His_Holiness_Radhanath_Swami/Lectures/00_-_Year_wise/Devotional_Nectar_-_2000/2000-053_Simplicity_%26_Sincerity_of_the_Heart_SB-01_08_20_Mumbai_-_17-08-00_IDesireTree.mp3", "2000-053_Simplicity_%26_Sincerity_of_the_Heart_SB-01_08_20_Mumbai_-_17-08-00_IDesireTree.mp3")</f>
        <v>2000-053_Simplicity_%26_Sincerity_of_the_Heart_SB-01_08_20_Mumbai_-_17-08-00_IDesireTree.mp3</v>
      </c>
      <c r="D1567" s="11"/>
      <c r="E1567" s="11"/>
    </row>
    <row r="1568" spans="1:5">
      <c r="A1568" s="12" t="s">
        <v>12462</v>
      </c>
      <c r="B1568" s="12" t="e">
        <v>#VALUE!</v>
      </c>
      <c r="C1568" s="13" t="e">
        <f>HYPERLINK("https://audio.iskcondesiretree.com/02_-_ISKCON_Swamis/ISKCON_Swamis_-_R_to_Y/His_Holiness_Radhanath_Swami/Lectures/00_-_Year_wise/Devotional_Nectar_-_2000/2000-054_Properly_Worshipping_the_Deity_%26_Vaishnava-_I_SB-03_29_16_Mumbai_-_19-08-00_IDesireTree.m"&amp;"p3", "2000-054_Properly_Worshipping_the_Deity_%26_Vaishnava-_I_SB-03_29_16_Mumbai_-_19-08-00_IDesireTree.mp3")</f>
        <v>#VALUE!</v>
      </c>
      <c r="D1568" s="11"/>
      <c r="E1568" s="11"/>
    </row>
    <row r="1569" spans="1:5">
      <c r="A1569" s="12" t="s">
        <v>12462</v>
      </c>
      <c r="B1569" s="12" t="s">
        <v>14491</v>
      </c>
      <c r="C1569" s="13" t="str">
        <f>HYPERLINK("https://audio.iskcondesiretree.com/02_-_ISKCON_Swamis/ISKCON_Swamis_-_R_to_Y/His_Holiness_Radhanath_Swami/Lectures/00_-_Year_wise/Devotional_Nectar_-_2000/2000-055_Poverty_of_the_Heart_SB-03_29_17_Mumbai_-_Radhanath_Swami_2000-08-20_IDesireTree.mp3", "2000-055_Poverty_of_the_Heart_SB-03_29_17_Mumbai_-_Radhanath_Swami_2000-08-20_IDesireTree.mp3")</f>
        <v>2000-055_Poverty_of_the_Heart_SB-03_29_17_Mumbai_-_Radhanath_Swami_2000-08-20_IDesireTree.mp3</v>
      </c>
      <c r="D1569" s="11"/>
      <c r="E1569" s="11"/>
    </row>
    <row r="1570" spans="1:5">
      <c r="A1570" s="12" t="s">
        <v>12462</v>
      </c>
      <c r="B1570" s="12" t="e">
        <v>#VALUE!</v>
      </c>
      <c r="C1570" s="13" t="e">
        <f>HYPERLINK("https://audio.iskcondesiretree.com/02_-_ISKCON_Swamis/ISKCON_Swamis_-_R_to_Y/His_Holiness_Radhanath_Swami/Lectures/00_-_Year_wise/Devotional_Nectar_-_2000/2000-056_Charming_Vrindavan_Pastimes_of_Lord_Krishna-_I_Sunday_Feast_Lecture_-_20-08-00_IDesireTree."&amp;"mp3", "2000-056_Charming_Vrindavan_Pastimes_of_Lord_Krishna-_I_Sunday_Feast_Lecture_-_20-08-00_IDesireTree.mp3")</f>
        <v>#VALUE!</v>
      </c>
      <c r="D1570" s="11"/>
      <c r="E1570" s="11"/>
    </row>
    <row r="1571" spans="1:5">
      <c r="A1571" s="12" t="s">
        <v>12462</v>
      </c>
      <c r="B1571" s="12" t="s">
        <v>14492</v>
      </c>
      <c r="C1571" s="13" t="str">
        <f>HYPERLINK("https://audio.iskcondesiretree.com/02_-_ISKCON_Swamis/ISKCON_Swamis_-_R_to_Y/His_Holiness_Radhanath_Swami/Lectures/00_-_Year_wise/Devotional_Nectar_-_2000/2000-057_The_Appearance_of_Lord_Krishna-_I_SB-10_-_Radhanath_Swami_IDesireTree.mp3", "2000-057_The_Appearance_of_Lord_Krishna-_I_SB-10_-_Radhanath_Swami_IDesireTree.mp3")</f>
        <v>2000-057_The_Appearance_of_Lord_Krishna-_I_SB-10_-_Radhanath_Swami_IDesireTree.mp3</v>
      </c>
      <c r="D1571" s="11"/>
      <c r="E1571" s="11"/>
    </row>
    <row r="1572" spans="1:5">
      <c r="A1572" s="12" t="s">
        <v>12462</v>
      </c>
      <c r="B1572" s="12" t="s">
        <v>14493</v>
      </c>
      <c r="C1572" s="13" t="str">
        <f>HYPERLINK("https://audio.iskcondesiretree.com/02_-_ISKCON_Swamis/ISKCON_Swamis_-_R_to_Y/His_Holiness_Radhanath_Swami/Lectures/00_-_Year_wise/Devotional_Nectar_-_2000/2000-058_Vyas_Puja_Offering_Lecture_Mumbai_-_Radhanath_Swami_2000-08-24_IDesireTree.mp3", "2000-058_Vyas_Puja_Offering_Lecture_Mumbai_-_Radhanath_Swami_2000-08-24_IDesireTree.mp3")</f>
        <v>2000-058_Vyas_Puja_Offering_Lecture_Mumbai_-_Radhanath_Swami_2000-08-24_IDesireTree.mp3</v>
      </c>
      <c r="D1572" s="11"/>
      <c r="E1572" s="11"/>
    </row>
    <row r="1573" spans="1:5">
      <c r="A1573" s="12" t="s">
        <v>12462</v>
      </c>
      <c r="B1573" s="12" t="s">
        <v>14494</v>
      </c>
      <c r="C1573" s="13" t="str">
        <f>HYPERLINK("https://audio.iskcondesiretree.com/02_-_ISKCON_Swamis/ISKCON_Swamis_-_R_to_Y/His_Holiness_Radhanath_Swami/Lectures/00_-_Year_wise/Devotional_Nectar_-_2000/2000-059_Wonderful_Appearance_of_Lord_Krishna_Lecture_Mumbai_-_25-08-00_IDesireTree.mp3", "2000-059_Wonderful_Appearance_of_Lord_Krishna_Lecture_Mumbai_-_25-08-00_IDesireTree.mp3")</f>
        <v>2000-059_Wonderful_Appearance_of_Lord_Krishna_Lecture_Mumbai_-_25-08-00_IDesireTree.mp3</v>
      </c>
      <c r="D1573" s="11"/>
      <c r="E1573" s="11"/>
    </row>
    <row r="1574" spans="1:5">
      <c r="A1574" s="12" t="s">
        <v>12462</v>
      </c>
      <c r="B1574" s="12" t="s">
        <v>14495</v>
      </c>
      <c r="C1574" s="13" t="str">
        <f>HYPERLINK("https://audio.iskcondesiretree.com/02_-_ISKCON_Swamis/ISKCON_Swamis_-_R_to_Y/His_Holiness_Radhanath_Swami/Lectures/00_-_Year_wise/Devotional_Nectar_-_2000/2000-060_Firm_Conviction_in_Lord_Krishna_BG-07_30_Mumbai_-_26-08-00_IDesireTree.mp3", "2000-060_Firm_Conviction_in_Lord_Krishna_BG-07_30_Mumbai_-_26-08-00_IDesireTree.mp3")</f>
        <v>2000-060_Firm_Conviction_in_Lord_Krishna_BG-07_30_Mumbai_-_26-08-00_IDesireTree.mp3</v>
      </c>
      <c r="D1574" s="11"/>
      <c r="E1574" s="11"/>
    </row>
    <row r="1575" spans="1:5">
      <c r="A1575" s="12" t="s">
        <v>12462</v>
      </c>
      <c r="B1575" s="12" t="s">
        <v>14496</v>
      </c>
      <c r="C1575" s="13" t="str">
        <f>HYPERLINK("https://audio.iskcondesiretree.com/02_-_ISKCON_Swamis/ISKCON_Swamis_-_R_to_Y/His_Holiness_Radhanath_Swami/Lectures/00_-_Year_wise/Devotional_Nectar_-_2000/2000-061_Charming_Vrindavan_Pastimes_of_Lord_Krishna-_II_S_Feast_Lecture_-_27-08-00_IDesireTree.mp3", "2000-061_Charming_Vrindavan_Pastimes_of_Lord_Krishna-_II_S_Feast_Lecture_-_27-08-00_IDesireTree.mp3")</f>
        <v>2000-061_Charming_Vrindavan_Pastimes_of_Lord_Krishna-_II_S_Feast_Lecture_-_27-08-00_IDesireTree.mp3</v>
      </c>
      <c r="D1575" s="11"/>
      <c r="E1575" s="11"/>
    </row>
    <row r="1576" spans="1:5">
      <c r="A1576" s="12" t="s">
        <v>12462</v>
      </c>
      <c r="B1576" s="12" t="s">
        <v>14497</v>
      </c>
      <c r="C1576" s="13" t="str">
        <f>HYPERLINK("https://audio.iskcondesiretree.com/02_-_ISKCON_Swamis/ISKCON_Swamis_-_R_to_Y/His_Holiness_Radhanath_Swami/Lectures/00_-_Year_wise/Devotional_Nectar_-_2000/2000-062_The_Only_True_Wealth_Is_Bhakti_SB-03_29_20_Mumbai_-_27-8-2000_IDesireTree.mp3", "2000-062_The_Only_True_Wealth_Is_Bhakti_SB-03_29_20_Mumbai_-_27-8-2000_IDesireTree.mp3")</f>
        <v>2000-062_The_Only_True_Wealth_Is_Bhakti_SB-03_29_20_Mumbai_-_27-8-2000_IDesireTree.mp3</v>
      </c>
      <c r="D1576" s="11"/>
      <c r="E1576" s="11"/>
    </row>
    <row r="1577" spans="1:5">
      <c r="A1577" s="12" t="s">
        <v>12462</v>
      </c>
      <c r="B1577" s="12" t="s">
        <v>14498</v>
      </c>
      <c r="C1577" s="13" t="str">
        <f>HYPERLINK("https://audio.iskcondesiretree.com/02_-_ISKCON_Swamis/ISKCON_Swamis_-_R_to_Y/His_Holiness_Radhanath_Swami/Lectures/00_-_Year_wise/Devotional_Nectar_-_2000/2000-063_Genuine_Compassion_Please_Krishna_SB-03_29_26_Mumbai_-_03-09-00_IDesireTree.mp3", "2000-063_Genuine_Compassion_Please_Krishna_SB-03_29_26_Mumbai_-_03-09-00_IDesireTree.mp3")</f>
        <v>2000-063_Genuine_Compassion_Please_Krishna_SB-03_29_26_Mumbai_-_03-09-00_IDesireTree.mp3</v>
      </c>
      <c r="D1577" s="11"/>
      <c r="E1577" s="11"/>
    </row>
    <row r="1578" spans="1:5">
      <c r="A1578" s="12" t="s">
        <v>12462</v>
      </c>
      <c r="B1578" s="12" t="s">
        <v>14499</v>
      </c>
      <c r="C1578" s="13" t="str">
        <f>HYPERLINK("https://audio.iskcondesiretree.com/02_-_ISKCON_Swamis/ISKCON_Swamis_-_R_to_Y/His_Holiness_Radhanath_Swami/Lectures/00_-_Year_wise/Devotional_Nectar_-_2000/2000-064_Taking_Care_of_Each_%26_Every_Devotee_Sunday_Feast_Mumbai_-_03-09-00_IDesireTree.mp3", "2000-064_Taking_Care_of_Each_%26_Every_Devotee_Sunday_Feast_Mumbai_-_03-09-00_IDesireTree.mp3")</f>
        <v>2000-064_Taking_Care_of_Each_%26_Every_Devotee_Sunday_Feast_Mumbai_-_03-09-00_IDesireTree.mp3</v>
      </c>
      <c r="D1578" s="11"/>
      <c r="E1578" s="11"/>
    </row>
    <row r="1579" spans="1:5">
      <c r="A1579" s="12" t="s">
        <v>12462</v>
      </c>
      <c r="B1579" s="12" t="e">
        <v>#VALUE!</v>
      </c>
      <c r="C1579" s="13" t="e">
        <f>HYPERLINK("https://audio.iskcondesiretree.com/02_-_ISKCON_Swamis/ISKCON_Swamis_-_R_to_Y/His_Holiness_Radhanath_Swami/Lectures/00_-_Year_wise/Devotional_Nectar_-_2000/2000-065_Charming_Pastimes_of_Radha_%26_Krishna_I_Radhashtami_CC_Adi-01_05_Mumbai_-_06-09-00_IDesire"&amp;"Tree.mp3", "2000-065_Charming_Pastimes_of_Radha_%26_Krishna_I_Radhashtami_CC_Adi-01_05_Mumbai_-_06-09-00_IDesireTree.mp3")</f>
        <v>#VALUE!</v>
      </c>
      <c r="D1579" s="11"/>
      <c r="E1579" s="11"/>
    </row>
    <row r="1580" spans="1:5">
      <c r="A1580" s="12" t="s">
        <v>12462</v>
      </c>
      <c r="B1580" s="12" t="e">
        <v>#VALUE!</v>
      </c>
      <c r="C1580" s="13" t="e">
        <f>HYPERLINK("https://audio.iskcondesiretree.com/02_-_ISKCON_Swamis/ISKCON_Swamis_-_R_to_Y/His_Holiness_Radhanath_Swami/Lectures/00_-_Year_wise/Devotional_Nectar_-_2000/2000-066_Charming_Pastimes_of_Radha_%26_Krishna_II_Radhashtami_CC_Adi-01_05_Mumbai_-_06-09-00_IDesir"&amp;"eTree.mp3", "2000-066_Charming_Pastimes_of_Radha_%26_Krishna_II_Radhashtami_CC_Adi-01_05_Mumbai_-_06-09-00_IDesireTree.mp3")</f>
        <v>#VALUE!</v>
      </c>
      <c r="D1580" s="11"/>
      <c r="E1580" s="11"/>
    </row>
    <row r="1581" spans="1:5">
      <c r="A1581" s="12" t="s">
        <v>12462</v>
      </c>
      <c r="B1581" s="12" t="s">
        <v>14500</v>
      </c>
      <c r="C1581" s="13" t="str">
        <f>HYPERLINK("https://audio.iskcondesiretree.com/02_-_ISKCON_Swamis/ISKCON_Swamis_-_R_to_Y/His_Holiness_Radhanath_Swami/Lectures/00_-_Year_wise/Devotional_Nectar_-_2000/2000-068_SB_05_-_Radhanath_Swami_IDesireTree.mp3", "2000-068_SB_05_-_Radhanath_Swami_IDesireTree.mp3")</f>
        <v>2000-068_SB_05_-_Radhanath_Swami_IDesireTree.mp3</v>
      </c>
      <c r="D1581" s="11"/>
      <c r="E1581" s="11"/>
    </row>
    <row r="1582" spans="1:5">
      <c r="A1582" s="12" t="s">
        <v>12462</v>
      </c>
      <c r="B1582" s="12" t="s">
        <v>14501</v>
      </c>
      <c r="C1582" s="13" t="str">
        <f>HYPERLINK("https://audio.iskcondesiretree.com/02_-_ISKCON_Swamis/ISKCON_Swamis_-_R_to_Y/His_Holiness_Radhanath_Swami/Lectures/00_-_Year_wise/Devotional_Nectar_-_2000/2000-069_BG_03_-_Radhanath_Swami_IDesireTree.mp3", "2000-069_BG_03_-_Radhanath_Swami_IDesireTree.mp3")</f>
        <v>2000-069_BG_03_-_Radhanath_Swami_IDesireTree.mp3</v>
      </c>
      <c r="D1582" s="11"/>
      <c r="E1582" s="11"/>
    </row>
    <row r="1583" spans="1:5">
      <c r="A1583" s="12" t="s">
        <v>12462</v>
      </c>
      <c r="B1583" s="12" t="s">
        <v>14502</v>
      </c>
      <c r="C1583" s="13" t="str">
        <f>HYPERLINK("https://audio.iskcondesiretree.com/02_-_ISKCON_Swamis/ISKCON_Swamis_-_R_to_Y/His_Holiness_Radhanath_Swami/Lectures/00_-_Year_wise/Devotional_Nectar_-_2000/2000-070_SB_05_-_Radhanath_Swami_IDesireTree.mp3", "2000-070_SB_05_-_Radhanath_Swami_IDesireTree.mp3")</f>
        <v>2000-070_SB_05_-_Radhanath_Swami_IDesireTree.mp3</v>
      </c>
      <c r="D1583" s="11"/>
      <c r="E1583" s="11"/>
    </row>
    <row r="1584" spans="1:5">
      <c r="A1584" s="12" t="s">
        <v>12462</v>
      </c>
      <c r="B1584" s="12" t="s">
        <v>14503</v>
      </c>
      <c r="C1584" s="13" t="str">
        <f>HYPERLINK("https://audio.iskcondesiretree.com/02_-_ISKCON_Swamis/ISKCON_Swamis_-_R_to_Y/His_Holiness_Radhanath_Swami/Lectures/00_-_Year_wise/Devotional_Nectar_-_2000/2000-071_SB_05_-_Radhanath_Swami_IDesireTree.mp3", "2000-071_SB_05_-_Radhanath_Swami_IDesireTree.mp3")</f>
        <v>2000-071_SB_05_-_Radhanath_Swami_IDesireTree.mp3</v>
      </c>
      <c r="D1584" s="11"/>
      <c r="E1584" s="11"/>
    </row>
    <row r="1585" spans="1:5">
      <c r="A1585" s="12" t="s">
        <v>12462</v>
      </c>
      <c r="B1585" s="12" t="s">
        <v>14504</v>
      </c>
      <c r="C1585" s="13" t="str">
        <f>HYPERLINK("https://audio.iskcondesiretree.com/02_-_ISKCON_Swamis/ISKCON_Swamis_-_R_to_Y/His_Holiness_Radhanath_Swami/Lectures/00_-_Year_wise/Devotional_Nectar_-_2000/2000-072_SB_05_-_Radhanath_Swami_IDesireTree.mp3", "2000-072_SB_05_-_Radhanath_Swami_IDesireTree.mp3")</f>
        <v>2000-072_SB_05_-_Radhanath_Swami_IDesireTree.mp3</v>
      </c>
      <c r="D1585" s="11"/>
      <c r="E1585" s="11"/>
    </row>
    <row r="1586" spans="1:5">
      <c r="A1586" s="12" t="s">
        <v>12462</v>
      </c>
      <c r="B1586" s="12" t="s">
        <v>14505</v>
      </c>
      <c r="C1586" s="13" t="str">
        <f>HYPERLINK("https://audio.iskcondesiretree.com/02_-_ISKCON_Swamis/ISKCON_Swamis_-_R_to_Y/His_Holiness_Radhanath_Swami/Lectures/00_-_Year_wise/Devotional_Nectar_-_2000/2000-073_Lecture_Oskorblenie_Predannogo_-_Radhanath_Swami_2000-10-14_IDesireTree.mp3", "2000-073_Lecture_Oskorblenie_Predannogo_-_Radhanath_Swami_2000-10-14_IDesireTree.mp3")</f>
        <v>2000-073_Lecture_Oskorblenie_Predannogo_-_Radhanath_Swami_2000-10-14_IDesireTree.mp3</v>
      </c>
      <c r="D1586" s="11"/>
      <c r="E1586" s="11"/>
    </row>
    <row r="1587" spans="1:5">
      <c r="A1587" s="12" t="s">
        <v>12462</v>
      </c>
      <c r="B1587" s="12" t="s">
        <v>14506</v>
      </c>
      <c r="C1587" s="13" t="str">
        <f>HYPERLINK("https://audio.iskcondesiretree.com/02_-_ISKCON_Swamis/ISKCON_Swamis_-_R_to_Y/His_Holiness_Radhanath_Swami/Lectures/00_-_Year_wise/Devotional_Nectar_-_2000/2000-074_Lecture_-_Radhanath_Swami_2000-10-15_IDesireTree.mp3", "2000-074_Lecture_-_Radhanath_Swami_2000-10-15_IDesireTree.mp3")</f>
        <v>2000-074_Lecture_-_Radhanath_Swami_2000-10-15_IDesireTree.mp3</v>
      </c>
      <c r="D1587" s="11"/>
      <c r="E1587" s="11"/>
    </row>
    <row r="1588" spans="1:5">
      <c r="A1588" s="12" t="s">
        <v>12462</v>
      </c>
      <c r="B1588" s="12" t="s">
        <v>14507</v>
      </c>
      <c r="C1588" s="13" t="str">
        <f>HYPERLINK("https://audio.iskcondesiretree.com/02_-_ISKCON_Swamis/ISKCON_Swamis_-_R_to_Y/His_Holiness_Radhanath_Swami/Lectures/00_-_Year_wise/Devotional_Nectar_-_2000/2000-075_SB_05_-_Radhanath_Swami_IDesireTree.mp3", "2000-075_SB_05_-_Radhanath_Swami_IDesireTree.mp3")</f>
        <v>2000-075_SB_05_-_Radhanath_Swami_IDesireTree.mp3</v>
      </c>
      <c r="D1588" s="11"/>
      <c r="E1588" s="11"/>
    </row>
    <row r="1589" spans="1:5">
      <c r="A1589" s="12" t="s">
        <v>12462</v>
      </c>
      <c r="B1589" s="12" t="s">
        <v>14508</v>
      </c>
      <c r="C1589" s="13" t="str">
        <f>HYPERLINK("https://audio.iskcondesiretree.com/02_-_ISKCON_Swamis/ISKCON_Swamis_-_R_to_Y/His_Holiness_Radhanath_Swami/Lectures/00_-_Year_wise/Devotional_Nectar_-_2000/2000-076_Lecture_-_Radhanath_Swami_2000-10-17_IDesireTree.mp3", "2000-076_Lecture_-_Radhanath_Swami_2000-10-17_IDesireTree.mp3")</f>
        <v>2000-076_Lecture_-_Radhanath_Swami_2000-10-17_IDesireTree.mp3</v>
      </c>
      <c r="D1589" s="11"/>
      <c r="E1589" s="11"/>
    </row>
    <row r="1590" spans="1:5">
      <c r="A1590" s="12" t="s">
        <v>12462</v>
      </c>
      <c r="B1590" s="12" t="s">
        <v>14509</v>
      </c>
      <c r="C1590" s="13" t="str">
        <f>HYPERLINK("https://audio.iskcondesiretree.com/02_-_ISKCON_Swamis/ISKCON_Swamis_-_R_to_Y/His_Holiness_Radhanath_Swami/Lectures/00_-_Year_wise/Devotional_Nectar_-_2000/2000-077_Narottam_Das_Thakur_Lecture_-_Radhanath_Swami_2000-10-17_IDesireTree.mp3", "2000-077_Narottam_Das_Thakur_Lecture_-_Radhanath_Swami_2000-10-17_IDesireTree.mp3")</f>
        <v>2000-077_Narottam_Das_Thakur_Lecture_-_Radhanath_Swami_2000-10-17_IDesireTree.mp3</v>
      </c>
      <c r="D1590" s="11"/>
      <c r="E1590" s="11"/>
    </row>
    <row r="1591" spans="1:5">
      <c r="A1591" s="12" t="s">
        <v>12462</v>
      </c>
      <c r="B1591" s="12" t="s">
        <v>14510</v>
      </c>
      <c r="C1591" s="13" t="str">
        <f>HYPERLINK("https://audio.iskcondesiretree.com/02_-_ISKCON_Swamis/ISKCON_Swamis_-_R_to_Y/His_Holiness_Radhanath_Swami/Lectures/00_-_Year_wise/Devotional_Nectar_-_2000/2000-078_Narottam_Das_Thakur_Lecture_-_Radhanath_Swami_2000-10-17_IDesireTree.mp3", "2000-078_Narottam_Das_Thakur_Lecture_-_Radhanath_Swami_2000-10-17_IDesireTree.mp3")</f>
        <v>2000-078_Narottam_Das_Thakur_Lecture_-_Radhanath_Swami_2000-10-17_IDesireTree.mp3</v>
      </c>
      <c r="D1591" s="11"/>
      <c r="E1591" s="11"/>
    </row>
    <row r="1592" spans="1:5">
      <c r="A1592" s="12" t="s">
        <v>12462</v>
      </c>
      <c r="B1592" s="12" t="s">
        <v>14511</v>
      </c>
      <c r="C1592" s="13" t="str">
        <f>HYPERLINK("https://audio.iskcondesiretree.com/02_-_ISKCON_Swamis/ISKCON_Swamis_-_R_to_Y/His_Holiness_Radhanath_Swami/Lectures/00_-_Year_wise/Devotional_Nectar_-_2000/2000-079_Lecture_Iniciacia_-_Radhanath_Swami_2000-10-18_Nir_IDesireTree.mp3", "2000-079_Lecture_Iniciacia_-_Radhanath_Swami_2000-10-18_Nir_IDesireTree.mp3")</f>
        <v>2000-079_Lecture_Iniciacia_-_Radhanath_Swami_2000-10-18_Nir_IDesireTree.mp3</v>
      </c>
      <c r="D1592" s="11"/>
      <c r="E1592" s="11"/>
    </row>
    <row r="1593" spans="1:5">
      <c r="A1593" s="12" t="s">
        <v>12462</v>
      </c>
      <c r="B1593" s="12" t="s">
        <v>14512</v>
      </c>
      <c r="C1593" s="13" t="str">
        <f>HYPERLINK("https://audio.iskcondesiretree.com/02_-_ISKCON_Swamis/ISKCON_Swamis_-_R_to_Y/His_Holiness_Radhanath_Swami/Lectures/00_-_Year_wise/Devotional_Nectar_-_2000/2000-080_Krishna_-_The_Lifter_of_Govardhan_Hill-I_SB-10_26_05_Mumbai_-_28-10-00_IDesireTree.mp3", "2000-080_Krishna_-_The_Lifter_of_Govardhan_Hill-I_SB-10_26_05_Mumbai_-_28-10-00_IDesireTree.mp3")</f>
        <v>2000-080_Krishna_-_The_Lifter_of_Govardhan_Hill-I_SB-10_26_05_Mumbai_-_28-10-00_IDesireTree.mp3</v>
      </c>
      <c r="D1593" s="11"/>
      <c r="E1593" s="11"/>
    </row>
    <row r="1594" spans="1:5">
      <c r="A1594" s="12" t="s">
        <v>12462</v>
      </c>
      <c r="B1594" s="12" t="s">
        <v>14513</v>
      </c>
      <c r="C1594" s="13" t="str">
        <f>HYPERLINK("https://audio.iskcondesiretree.com/02_-_ISKCON_Swamis/ISKCON_Swamis_-_R_to_Y/His_Holiness_Radhanath_Swami/Lectures/00_-_Year_wise/Devotional_Nectar_-_2000/2000-081_Krishna_-_The_Lifter_of_Govardhan_Hill-II_SB-10_26_05_Mumbai_-_28-10-00_IDesireTree.mp3", "2000-081_Krishna_-_The_Lifter_of_Govardhan_Hill-II_SB-10_26_05_Mumbai_-_28-10-00_IDesireTree.mp3")</f>
        <v>2000-081_Krishna_-_The_Lifter_of_Govardhan_Hill-II_SB-10_26_05_Mumbai_-_28-10-00_IDesireTree.mp3</v>
      </c>
      <c r="D1594" s="11"/>
      <c r="E1594" s="11"/>
    </row>
    <row r="1595" spans="1:5">
      <c r="A1595" s="12" t="s">
        <v>12462</v>
      </c>
      <c r="B1595" s="12" t="s">
        <v>14514</v>
      </c>
      <c r="C1595" s="13" t="str">
        <f>HYPERLINK("https://audio.iskcondesiretree.com/02_-_ISKCON_Swamis/ISKCON_Swamis_-_R_to_Y/His_Holiness_Radhanath_Swami/Lectures/00_-_Year_wise/Devotional_Nectar_-_2000/2000-082_What_it_Means_to_be_Para_Dukh-Dukhi_SB-03_31_02_Mumbai_-_29-10-00_IDesireTree.mp3", "2000-082_What_it_Means_to_be_Para_Dukh-Dukhi_SB-03_31_02_Mumbai_-_29-10-00_IDesireTree.mp3")</f>
        <v>2000-082_What_it_Means_to_be_Para_Dukh-Dukhi_SB-03_31_02_Mumbai_-_29-10-00_IDesireTree.mp3</v>
      </c>
      <c r="D1595" s="11"/>
      <c r="E1595" s="11"/>
    </row>
    <row r="1596" spans="1:5">
      <c r="A1596" s="12" t="s">
        <v>12462</v>
      </c>
      <c r="B1596" s="12" t="s">
        <v>14515</v>
      </c>
      <c r="C1596" s="13" t="str">
        <f>HYPERLINK("https://audio.iskcondesiretree.com/02_-_ISKCON_Swamis/ISKCON_Swamis_-_R_to_Y/His_Holiness_Radhanath_Swami/Lectures/00_-_Year_wise/Devotional_Nectar_-_2000/2000-083_Lalashmayi_Prarthana-_I_Sun_Feast_Mumbai_-_Radhanath_Swami_2000-10-29_IDesireTree.mp3", "2000-083_Lalashmayi_Prarthana-_I_Sun_Feast_Mumbai_-_Radhanath_Swami_2000-10-29_IDesireTree.mp3")</f>
        <v>2000-083_Lalashmayi_Prarthana-_I_Sun_Feast_Mumbai_-_Radhanath_Swami_2000-10-29_IDesireTree.mp3</v>
      </c>
      <c r="D1596" s="11"/>
      <c r="E1596" s="11"/>
    </row>
    <row r="1597" spans="1:5">
      <c r="A1597" s="12" t="s">
        <v>12462</v>
      </c>
      <c r="B1597" s="12" t="s">
        <v>14516</v>
      </c>
      <c r="C1597" s="13" t="str">
        <f>HYPERLINK("https://audio.iskcondesiretree.com/02_-_ISKCON_Swamis/ISKCON_Swamis_-_R_to_Y/His_Holiness_Radhanath_Swami/Lectures/00_-_Year_wise/Devotional_Nectar_-_2000/2000-084_Lalashmayi_Prarthana-_II_Sun_Feast_Mumbai_-_Radhanath_Swami_2000-10-29_IDesireTree.mp3", "2000-084_Lalashmayi_Prarthana-_II_Sun_Feast_Mumbai_-_Radhanath_Swami_2000-10-29_IDesireTree.mp3")</f>
        <v>2000-084_Lalashmayi_Prarthana-_II_Sun_Feast_Mumbai_-_Radhanath_Swami_2000-10-29_IDesireTree.mp3</v>
      </c>
      <c r="D1597" s="11"/>
      <c r="E1597" s="11"/>
    </row>
    <row r="1598" spans="1:5">
      <c r="A1598" s="12" t="s">
        <v>12462</v>
      </c>
      <c r="B1598" s="12" t="s">
        <v>14517</v>
      </c>
      <c r="C1598" s="13" t="str">
        <f>HYPERLINK("https://audio.iskcondesiretree.com/02_-_ISKCON_Swamis/ISKCON_Swamis_-_R_to_Y/His_Holiness_Radhanath_Swami/Lectures/00_-_Year_wise/Devotional_Nectar_-_2000/2000-085_Offering_to_Srila_Prabhupada_At_Radha_Gopinath_Temple_-_31-10-00_IDesireTree.mp3", "2000-085_Offering_to_Srila_Prabhupada_At_Radha_Gopinath_Temple_-_31-10-00_IDesireTree.mp3")</f>
        <v>2000-085_Offering_to_Srila_Prabhupada_At_Radha_Gopinath_Temple_-_31-10-00_IDesireTree.mp3</v>
      </c>
      <c r="D1598" s="11"/>
      <c r="E1598" s="11"/>
    </row>
    <row r="1599" spans="1:5">
      <c r="A1599" s="12" t="s">
        <v>12462</v>
      </c>
      <c r="B1599" s="12" t="e">
        <v>#VALUE!</v>
      </c>
      <c r="C1599" s="13" t="e">
        <f>HYPERLINK("https://audio.iskcondesiretree.com/02_-_ISKCON_Swamis/ISKCON_Swamis_-_R_to_Y/His_Holiness_Radhanath_Swami/Lectures/00_-_Year_wise/Devotional_Nectar_-_2000/2000-086_Giving_Up_Enjoying_Spirit_to_Relish_Krishna_Katha_SB-03_31_08_Mumbai_-_04-11-00_IDesireTree"&amp;".mp3", "2000-086_Giving_Up_Enjoying_Spirit_to_Relish_Krishna_Katha_SB-03_31_08_Mumbai_-_04-11-00_IDesireTree.mp3")</f>
        <v>#VALUE!</v>
      </c>
      <c r="D1599" s="11"/>
      <c r="E1599" s="11"/>
    </row>
    <row r="1600" spans="1:5">
      <c r="A1600" s="12" t="s">
        <v>12462</v>
      </c>
      <c r="B1600" s="12" t="s">
        <v>14518</v>
      </c>
      <c r="C1600" s="13" t="str">
        <f>HYPERLINK("https://audio.iskcondesiretree.com/02_-_ISKCON_Swamis/ISKCON_Swamis_-_R_to_Y/His_Holiness_Radhanath_Swami/Lectures/00_-_Year_wise/Devotional_Nectar_-_2000/2000-087_Gadadhar_Pandit_%26_Shrinivas_Acharya_Lecture_Mumbai_-_05-11-00_IDesireTree.mp3", "2000-087_Gadadhar_Pandit_%26_Shrinivas_Acharya_Lecture_Mumbai_-_05-11-00_IDesireTree.mp3")</f>
        <v>2000-087_Gadadhar_Pandit_%26_Shrinivas_Acharya_Lecture_Mumbai_-_05-11-00_IDesireTree.mp3</v>
      </c>
      <c r="D1600" s="11"/>
      <c r="E1600" s="11"/>
    </row>
    <row r="1601" spans="1:5">
      <c r="A1601" s="12" t="s">
        <v>12462</v>
      </c>
      <c r="B1601" s="12" t="s">
        <v>14519</v>
      </c>
      <c r="C1601" s="13" t="str">
        <f>HYPERLINK("https://audio.iskcondesiretree.com/02_-_ISKCON_Swamis/ISKCON_Swamis_-_R_to_Y/His_Holiness_Radhanath_Swami/Lectures/00_-_Year_wise/Devotional_Nectar_-_2000/2000-088_Drama_Realisation_Lecture_Mumbai_-_Radhanath_Swami_2000-11-10_IDesireTree.mp3", "2000-088_Drama_Realisation_Lecture_Mumbai_-_Radhanath_Swami_2000-11-10_IDesireTree.mp3")</f>
        <v>2000-088_Drama_Realisation_Lecture_Mumbai_-_Radhanath_Swami_2000-11-10_IDesireTree.mp3</v>
      </c>
      <c r="D1601" s="11"/>
      <c r="E1601" s="11"/>
    </row>
    <row r="1602" spans="1:5">
      <c r="A1602" s="12" t="s">
        <v>12462</v>
      </c>
      <c r="B1602" s="12" t="s">
        <v>14520</v>
      </c>
      <c r="C1602" s="13" t="str">
        <f>HYPERLINK("https://audio.iskcondesiretree.com/02_-_ISKCON_Swamis/ISKCON_Swamis_-_R_to_Y/His_Holiness_Radhanath_Swami/Lectures/00_-_Year_wise/Devotional_Nectar_-_2000/2000-089_Krishna_is_the_Friend_of_all_Living_Entity_SB-03_31_14_Mumbai_-_11-11-00_IDesireTree.mp3", "2000-089_Krishna_is_the_Friend_of_all_Living_Entity_SB-03_31_14_Mumbai_-_11-11-00_IDesireTree.mp3")</f>
        <v>2000-089_Krishna_is_the_Friend_of_all_Living_Entity_SB-03_31_14_Mumbai_-_11-11-00_IDesireTree.mp3</v>
      </c>
      <c r="D1602" s="11"/>
      <c r="E1602" s="11"/>
    </row>
    <row r="1603" spans="1:5">
      <c r="A1603" s="12" t="s">
        <v>12462</v>
      </c>
      <c r="B1603" s="12" t="e">
        <v>#VALUE!</v>
      </c>
      <c r="C1603" s="13" t="e">
        <f>HYPERLINK("https://audio.iskcondesiretree.com/02_-_ISKCON_Swamis/ISKCON_Swamis_-_R_to_Y/His_Holiness_Radhanath_Swami/Lectures/00_-_Year_wise/Devotional_Nectar_-_2000/2000-090_Worshipping_Krishna_With_the_Lamp_of_Our_LoveSun_Feast_SB-10_22_4_-_Mumbai_-_12-11-00_IDesi"&amp;"reTree.mp3", "2000-090_Worshipping_Krishna_With_the_Lamp_of_Our_LoveSun_Feast_SB-10_22_4_-_Mumbai_-_12-11-00_IDesireTree.mp3")</f>
        <v>#VALUE!</v>
      </c>
      <c r="D1603" s="11"/>
      <c r="E1603" s="11"/>
    </row>
    <row r="1604" spans="1:5">
      <c r="A1604" s="12" t="s">
        <v>12462</v>
      </c>
      <c r="B1604" s="12" t="s">
        <v>14521</v>
      </c>
      <c r="C1604" s="13" t="str">
        <f>HYPERLINK("https://audio.iskcondesiretree.com/02_-_ISKCON_Swamis/ISKCON_Swamis_-_R_to_Y/His_Holiness_Radhanath_Swami/Lectures/00_-_Year_wise/Devotional_Nectar_-_2000/2000-091_Offering_to_HG_Gopi_Vallabh_Prabhu_Lecture_Mumbai_-_12-11-00_IDesireTree.mp3", "2000-091_Offering_to_HG_Gopi_Vallabh_Prabhu_Lecture_Mumbai_-_12-11-00_IDesireTree.mp3")</f>
        <v>2000-091_Offering_to_HG_Gopi_Vallabh_Prabhu_Lecture_Mumbai_-_12-11-00_IDesireTree.mp3</v>
      </c>
      <c r="D1604" s="11"/>
      <c r="E1604" s="11"/>
    </row>
    <row r="1605" spans="1:5">
      <c r="A1605" s="12" t="s">
        <v>12462</v>
      </c>
      <c r="B1605" s="12" t="e">
        <v>#VALUE!</v>
      </c>
      <c r="C1605" s="13" t="e">
        <f>HYPERLINK("https://audio.iskcondesiretree.com/02_-_ISKCON_Swamis/ISKCON_Swamis_-_R_to_Y/His_Holiness_Radhanath_Swami/Lectures/00_-_Year_wise/Devotional_Nectar_-_2000/2000-092_Only_by_Devotion_One_Can_Attract_Krishna%27s_Mercy_SB-03_31_15_Mumbai_-_12-11-00_IDesireTre"&amp;"e.mp3", "2000-092_Only_by_Devotion_One_Can_Attract_Krishna%27s_Mercy_SB-03_31_15_Mumbai_-_12-11-00_IDesireTree.mp3")</f>
        <v>#VALUE!</v>
      </c>
      <c r="D1605" s="11"/>
      <c r="E1605" s="11"/>
    </row>
    <row r="1606" spans="1:5">
      <c r="A1606" s="12" t="s">
        <v>12462</v>
      </c>
      <c r="B1606" s="12" t="s">
        <v>14522</v>
      </c>
      <c r="C1606" s="13" t="str">
        <f>HYPERLINK("https://audio.iskcondesiretree.com/02_-_ISKCON_Swamis/ISKCON_Swamis_-_R_to_Y/His_Holiness_Radhanath_Swami/Lectures/00_-_Year_wise/Devotional_Nectar_-_2000/2000-093_Grihastha_Life_Meance_To_Sacrifice_For_Krsna_Lecture_Mumbai_-_24-11-2000_IDesireTree.mp3", "2000-093_Grihastha_Life_Meance_To_Sacrifice_For_Krsna_Lecture_Mumbai_-_24-11-2000_IDesireTree.mp3")</f>
        <v>2000-093_Grihastha_Life_Meance_To_Sacrifice_For_Krsna_Lecture_Mumbai_-_24-11-2000_IDesireTree.mp3</v>
      </c>
      <c r="D1606" s="11"/>
      <c r="E1606" s="11"/>
    </row>
    <row r="1607" spans="1:5">
      <c r="A1607" s="12" t="s">
        <v>12462</v>
      </c>
      <c r="B1607" s="12" t="s">
        <v>14523</v>
      </c>
      <c r="C1607" s="13" t="str">
        <f>HYPERLINK("https://audio.iskcondesiretree.com/02_-_ISKCON_Swamis/ISKCON_Swamis_-_R_to_Y/His_Holiness_Radhanath_Swami/Lectures/00_-_Year_wise/Devotional_Nectar_-_2000/2000-094_Loving_Relationship_Between_Lord_%26_his_devotees_LectureMumbai_-_25-11-00_IDesireTree.mp3", "2000-094_Loving_Relationship_Between_Lord_%26_his_devotees_LectureMumbai_-_25-11-00_IDesireTree.mp3")</f>
        <v>2000-094_Loving_Relationship_Between_Lord_%26_his_devotees_LectureMumbai_-_25-11-00_IDesireTree.mp3</v>
      </c>
      <c r="D1607" s="11"/>
      <c r="E1607" s="11"/>
    </row>
    <row r="1608" spans="1:5">
      <c r="A1608" s="12" t="s">
        <v>12462</v>
      </c>
      <c r="B1608" s="12" t="e">
        <v>#VALUE!</v>
      </c>
      <c r="C1608" s="13" t="e">
        <f>HYPERLINK("https://audio.iskcondesiretree.com/02_-_ISKCON_Swamis/ISKCON_Swamis_-_R_to_Y/His_Holiness_Radhanath_Swami/Lectures/00_-_Year_wise/Devotional_Nectar_-_2000/2000-095_Only_Bhakti_Can_Eradicate_All_Sinful_Disires_SB-03_31_29_Mumbai_-_25-11-2000_IDesireTree.mp"&amp;"3", "2000-095_Only_Bhakti_Can_Eradicate_All_Sinful_Disires_SB-03_31_29_Mumbai_-_25-11-2000_IDesireTree.mp3")</f>
        <v>#VALUE!</v>
      </c>
      <c r="D1608" s="11"/>
      <c r="E1608" s="11"/>
    </row>
    <row r="1609" spans="1:5">
      <c r="A1609" s="12" t="s">
        <v>12462</v>
      </c>
      <c r="B1609" s="12" t="e">
        <v>#VALUE!</v>
      </c>
      <c r="C1609" s="13" t="e">
        <f>HYPERLINK("https://audio.iskcondesiretree.com/02_-_ISKCON_Swamis/ISKCON_Swamis_-_R_to_Y/His_Holiness_Radhanath_Swami/Lectures/00_-_Year_wise/Devotional_Nectar_-_2000/2000-096_Replace_bodily_attachment_By_Attachment_to_Krsna_SB-03_31_30_Mumbai_-_26-11-00_IDesireTree."&amp;"mp3", "2000-096_Replace_bodily_attachment_By_Attachment_to_Krsna_SB-03_31_30_Mumbai_-_26-11-00_IDesireTree.mp3")</f>
        <v>#VALUE!</v>
      </c>
      <c r="D1609" s="11"/>
      <c r="E1609" s="11"/>
    </row>
    <row r="1610" spans="1:5">
      <c r="A1610" s="12" t="s">
        <v>12462</v>
      </c>
      <c r="B1610" s="12" t="s">
        <v>14524</v>
      </c>
      <c r="C1610" s="13" t="str">
        <f>HYPERLINK("https://audio.iskcondesiretree.com/02_-_ISKCON_Swamis/ISKCON_Swamis_-_R_to_Y/His_Holiness_Radhanath_Swami/Lectures/00_-_Year_wise/Devotional_Nectar_-_2000/2000-097_Marriage_address_Lecture_Mumbai_-_Radhanath_Swami_2000-12-02_IDesireTree.mp3", "2000-097_Marriage_address_Lecture_Mumbai_-_Radhanath_Swami_2000-12-02_IDesireTree.mp3")</f>
        <v>2000-097_Marriage_address_Lecture_Mumbai_-_Radhanath_Swami_2000-12-02_IDesireTree.mp3</v>
      </c>
      <c r="D1610" s="11"/>
      <c r="E1610" s="11"/>
    </row>
    <row r="1611" spans="1:5">
      <c r="A1611" s="12" t="s">
        <v>12462</v>
      </c>
      <c r="B1611" s="12" t="e">
        <v>#VALUE!</v>
      </c>
      <c r="C1611" s="13" t="e">
        <f>HYPERLINK("https://audio.iskcondesiretree.com/02_-_ISKCON_Swamis/ISKCON_Swamis_-_R_to_Y/His_Holiness_Radhanath_Swami/Lectures/00_-_Year_wise/Devotional_Nectar_-_2000/2000-098_Serving_Guru_Parampara_By_Serving_Srila_Prabhupada_Lecture_Mumbai_-_07-12-00_IDesireTree.mp"&amp;"3", "2000-098_Serving_Guru_Parampara_By_Serving_Srila_Prabhupada_Lecture_Mumbai_-_07-12-00_IDesireTree.mp3")</f>
        <v>#VALUE!</v>
      </c>
      <c r="D1611" s="11"/>
      <c r="E1611" s="11"/>
    </row>
    <row r="1612" spans="1:5">
      <c r="A1612" s="12" t="s">
        <v>12462</v>
      </c>
      <c r="B1612" s="12" t="s">
        <v>14525</v>
      </c>
      <c r="C1612" s="13" t="str">
        <f>HYPERLINK("https://audio.iskcondesiretree.com/02_-_ISKCON_Swamis/ISKCON_Swamis_-_R_to_Y/His_Holiness_Radhanath_Swami/Lectures/00_-_Year_wise/Devotional_Nectar_-_2000/2000-099_Depending_Fully_upon_krsnas_Mercy_BG-03_30_Mumbai_-_09-12-00_IDesireTree.mp3", "2000-099_Depending_Fully_upon_krsnas_Mercy_BG-03_30_Mumbai_-_09-12-00_IDesireTree.mp3")</f>
        <v>2000-099_Depending_Fully_upon_krsnas_Mercy_BG-03_30_Mumbai_-_09-12-00_IDesireTree.mp3</v>
      </c>
      <c r="D1612" s="11"/>
      <c r="E1612" s="11"/>
    </row>
    <row r="1613" spans="1:5">
      <c r="A1613" s="12" t="s">
        <v>12462</v>
      </c>
      <c r="B1613" s="12" t="s">
        <v>14526</v>
      </c>
      <c r="C1613" s="13" t="str">
        <f>HYPERLINK("https://audio.iskcondesiretree.com/02_-_ISKCON_Swamis/ISKCON_Swamis_-_R_to_Y/His_Holiness_Radhanath_Swami/Lectures/00_-_Year_wise/Devotional_Nectar_-_2000/2000-100_Devotee_Simply_Wants_to_Serve_KrsnaLecture_Mumbai_-_10-12-00_IDesireTree.mp3", "2000-100_Devotee_Simply_Wants_to_Serve_KrsnaLecture_Mumbai_-_10-12-00_IDesireTree.mp3")</f>
        <v>2000-100_Devotee_Simply_Wants_to_Serve_KrsnaLecture_Mumbai_-_10-12-00_IDesireTree.mp3</v>
      </c>
      <c r="D1613" s="11"/>
      <c r="E1613" s="11"/>
    </row>
    <row r="1614" spans="1:5">
      <c r="A1614" s="12" t="s">
        <v>12462</v>
      </c>
      <c r="B1614" s="12" t="s">
        <v>14527</v>
      </c>
      <c r="C1614" s="13" t="str">
        <f>HYPERLINK("https://audio.iskcondesiretree.com/02_-_ISKCON_Swamis/ISKCON_Swamis_-_R_to_Y/His_Holiness_Radhanath_Swami/Lectures/00_-_Year_wise/Devotional_Nectar_-_2000/2000-101_Glories_of_Srila_Bhaktisiddhanta_Sraswati_Thakur_Lecture_Mumbai_-_14-12-00_IDesireTree.mp3", "2000-101_Glories_of_Srila_Bhaktisiddhanta_Sraswati_Thakur_Lecture_Mumbai_-_14-12-00_IDesireTree.mp3")</f>
        <v>2000-101_Glories_of_Srila_Bhaktisiddhanta_Sraswati_Thakur_Lecture_Mumbai_-_14-12-00_IDesireTree.mp3</v>
      </c>
      <c r="D1614" s="11"/>
      <c r="E1614" s="11"/>
    </row>
    <row r="1615" spans="1:5">
      <c r="A1615" s="12" t="s">
        <v>12462</v>
      </c>
      <c r="B1615" s="12" t="s">
        <v>14528</v>
      </c>
      <c r="C1615" s="13" t="str">
        <f>HYPERLINK("https://audio.iskcondesiretree.com/02_-_ISKCON_Swamis/ISKCON_Swamis_-_R_to_Y/His_Holiness_Radhanath_Swami/Lectures/00_-_Year_wise/Devotional_Nectar_-_2000/2000-102_Marriage_Address_Lecture_Mumbai_-_Radhanath_Swami_2000-12-16_IDesireTree.mp3", "2000-102_Marriage_Address_Lecture_Mumbai_-_Radhanath_Swami_2000-12-16_IDesireTree.mp3")</f>
        <v>2000-102_Marriage_Address_Lecture_Mumbai_-_Radhanath_Swami_2000-12-16_IDesireTree.mp3</v>
      </c>
      <c r="D1615" s="11"/>
      <c r="E1615" s="11"/>
    </row>
    <row r="1616" spans="1:5">
      <c r="A1616" s="12" t="s">
        <v>12462</v>
      </c>
      <c r="B1616" s="12" t="s">
        <v>14529</v>
      </c>
      <c r="C1616" s="13" t="str">
        <f>HYPERLINK("https://audio.iskcondesiretree.com/02_-_ISKCON_Swamis/ISKCON_Swamis_-_R_to_Y/His_Holiness_Radhanath_Swami/Lectures/00_-_Year_wise/Devotional_Nectar_-_2000/2000-103_Lord_Caitanya_Relishing_The_Love_Of_Sri_Radha_CC_-_Radhanath_Swami_IDesireTree.mp3", "2000-103_Lord_Caitanya_Relishing_The_Love_Of_Sri_Radha_CC_-_Radhanath_Swami_IDesireTree.mp3")</f>
        <v>2000-103_Lord_Caitanya_Relishing_The_Love_Of_Sri_Radha_CC_-_Radhanath_Swami_IDesireTree.mp3</v>
      </c>
      <c r="D1616" s="11"/>
      <c r="E1616" s="11"/>
    </row>
    <row r="1617" spans="1:5">
      <c r="A1617" s="12" t="s">
        <v>12462</v>
      </c>
      <c r="B1617" s="12" t="s">
        <v>14530</v>
      </c>
      <c r="C1617" s="13" t="str">
        <f>HYPERLINK("https://audio.iskcondesiretree.com/02_-_ISKCON_Swamis/ISKCON_Swamis_-_R_to_Y/His_Holiness_Radhanath_Swami/Lectures/00_-_Year_wise/Devotional_Nectar_-_2000/2000-104_Marriage_Ceremony_Address_Lecture_Mumbai_-_Radhanath_Swami_2000-12-01_IDesireTree.mp3", "2000-104_Marriage_Ceremony_Address_Lecture_Mumbai_-_Radhanath_Swami_2000-12-01_IDesireTree.mp3")</f>
        <v>2000-104_Marriage_Ceremony_Address_Lecture_Mumbai_-_Radhanath_Swami_2000-12-01_IDesireTree.mp3</v>
      </c>
      <c r="D1617" s="11"/>
      <c r="E1617" s="11"/>
    </row>
    <row r="1618" spans="1:5">
      <c r="A1618" s="12" t="s">
        <v>12462</v>
      </c>
      <c r="B1618" s="12" t="s">
        <v>14531</v>
      </c>
      <c r="C1618" s="13" t="str">
        <f>HYPERLINK("https://audio.iskcondesiretree.com/02_-_ISKCON_Swamis/ISKCON_Swamis_-_R_to_Y/His_Holiness_Radhanath_Swami/Lectures/00_-_Year_wise/Devotional_Nectar_-_2000/2000-105_Marriage_Ceremony_Address_Lecture_Mumbai_-_Radhanath_Swami_2000-12-02_IDesireTree.mp3", "2000-105_Marriage_Ceremony_Address_Lecture_Mumbai_-_Radhanath_Swami_2000-12-02_IDesireTree.mp3")</f>
        <v>2000-105_Marriage_Ceremony_Address_Lecture_Mumbai_-_Radhanath_Swami_2000-12-02_IDesireTree.mp3</v>
      </c>
      <c r="D1618" s="11"/>
      <c r="E1618" s="11"/>
    </row>
    <row r="1619" spans="1:5">
      <c r="A1619" s="12" t="s">
        <v>12462</v>
      </c>
      <c r="B1619" s="12" t="s">
        <v>14532</v>
      </c>
      <c r="C1619" s="13" t="str">
        <f>HYPERLINK("https://audio.iskcondesiretree.com/02_-_ISKCON_Swamis/ISKCON_Swamis_-_R_to_Y/His_Holiness_Radhanath_Swami/Lectures/00_-_Year_wise/Devotional_Nectar_-_2000/2000-106_Renouncing_Sexlife_For_the_Service_Of_Krsna_SB-03_31_35_Mumbai_-_02-12-00_IDesireTree.mp3", "2000-106_Renouncing_Sexlife_For_the_Service_Of_Krsna_SB-03_31_35_Mumbai_-_02-12-00_IDesireTree.mp3")</f>
        <v>2000-106_Renouncing_Sexlife_For_the_Service_Of_Krsna_SB-03_31_35_Mumbai_-_02-12-00_IDesireTree.mp3</v>
      </c>
      <c r="D1619" s="11"/>
      <c r="E1619" s="11"/>
    </row>
    <row r="1620" spans="1:5">
      <c r="A1620" s="12" t="s">
        <v>12462</v>
      </c>
      <c r="B1620" s="12" t="s">
        <v>14533</v>
      </c>
      <c r="C1620" s="13" t="str">
        <f>HYPERLINK("https://audio.iskcondesiretree.com/02_-_ISKCON_Swamis/ISKCON_Swamis_-_R_to_Y/His_Holiness_Radhanath_Swami/Lectures/00_-_Year_wise/Devotional_Nectar_-_2000/2000-107_Marriage_Ceremony_Address_Lecture_Mumbai_-_Radhanath_Swami_2000-12-16_IDesireTree.mp3", "2000-107_Marriage_Ceremony_Address_Lecture_Mumbai_-_Radhanath_Swami_2000-12-16_IDesireTree.mp3")</f>
        <v>2000-107_Marriage_Ceremony_Address_Lecture_Mumbai_-_Radhanath_Swami_2000-12-16_IDesireTree.mp3</v>
      </c>
      <c r="D1620" s="11"/>
      <c r="E1620" s="11"/>
    </row>
    <row r="1621" spans="1:5">
      <c r="A1621" s="12" t="s">
        <v>12462</v>
      </c>
      <c r="B1621" s="12" t="s">
        <v>14534</v>
      </c>
      <c r="C1621" s="13" t="str">
        <f>HYPERLINK("https://audio.iskcondesiretree.com/02_-_ISKCON_Swamis/ISKCON_Swamis_-_R_to_Y/His_Holiness_Radhanath_Swami/Lectures/00_-_Year_wise/Devotional_Nectar_-_2001/2001-001_Rath_Yatra_Lec_Lecture_-_Radhanath_Swami_2001-01-05_IDesireTree.mp3", "2001-001_Rath_Yatra_Lec_Lecture_-_Radhanath_Swami_2001-01-05_IDesireTree.mp3")</f>
        <v>2001-001_Rath_Yatra_Lec_Lecture_-_Radhanath_Swami_2001-01-05_IDesireTree.mp3</v>
      </c>
      <c r="D1621" s="11"/>
      <c r="E1621" s="11"/>
    </row>
    <row r="1622" spans="1:5">
      <c r="A1622" s="12" t="s">
        <v>12462</v>
      </c>
      <c r="B1622" s="12" t="s">
        <v>14535</v>
      </c>
      <c r="C1622" s="13" t="str">
        <f>HYPERLINK("https://audio.iskcondesiretree.com/02_-_ISKCON_Swamis/ISKCON_Swamis_-_R_to_Y/His_Holiness_Radhanath_Swami/Lectures/00_-_Year_wise/Devotional_Nectar_-_2001/2001-002_Real_Renunciation_Means_To_Please_Krishna_SB-03_32_23_Mumbai_-_07-01-01_IDesireTree.mp3", "2001-002_Real_Renunciation_Means_To_Please_Krishna_SB-03_32_23_Mumbai_-_07-01-01_IDesireTree.mp3")</f>
        <v>2001-002_Real_Renunciation_Means_To_Please_Krishna_SB-03_32_23_Mumbai_-_07-01-01_IDesireTree.mp3</v>
      </c>
      <c r="D1622" s="11"/>
      <c r="E1622" s="11"/>
    </row>
    <row r="1623" spans="1:5">
      <c r="A1623" s="12" t="s">
        <v>12462</v>
      </c>
      <c r="B1623" s="12" t="s">
        <v>14536</v>
      </c>
      <c r="C1623" s="13" t="str">
        <f>HYPERLINK("https://audio.iskcondesiretree.com/02_-_ISKCON_Swamis/ISKCON_Swamis_-_R_to_Y/His_Holiness_Radhanath_Swami/Lectures/00_-_Year_wise/Devotional_Nectar_-_2001/2001-003_SB-10_15_12_Vrindavan_-_Radhanath_Swami_2001-01-11_IDesireTree.mp3", "2001-003_SB-10_15_12_Vrindavan_-_Radhanath_Swami_2001-01-11_IDesireTree.mp3")</f>
        <v>2001-003_SB-10_15_12_Vrindavan_-_Radhanath_Swami_2001-01-11_IDesireTree.mp3</v>
      </c>
      <c r="D1623" s="11"/>
      <c r="E1623" s="11"/>
    </row>
    <row r="1624" spans="1:5">
      <c r="A1624" s="12" t="s">
        <v>12462</v>
      </c>
      <c r="B1624" s="12" t="s">
        <v>14537</v>
      </c>
      <c r="C1624" s="13" t="str">
        <f>HYPERLINK("https://audio.iskcondesiretree.com/02_-_ISKCON_Swamis/ISKCON_Swamis_-_R_to_Y/His_Holiness_Radhanath_Swami/Lectures/00_-_Year_wise/Devotional_Nectar_-_2001/2001-004_SB_Class_Allahabad_-_Radhanath_Swami_2001-01-13_IDesireTree.mp3", "2001-004_SB_Class_Allahabad_-_Radhanath_Swami_2001-01-13_IDesireTree.mp3")</f>
        <v>2001-004_SB_Class_Allahabad_-_Radhanath_Swami_2001-01-13_IDesireTree.mp3</v>
      </c>
      <c r="D1624" s="11"/>
      <c r="E1624" s="11"/>
    </row>
    <row r="1625" spans="1:5">
      <c r="A1625" s="12" t="s">
        <v>12462</v>
      </c>
      <c r="B1625" s="12" t="s">
        <v>14538</v>
      </c>
      <c r="C1625" s="13" t="str">
        <f>HYPERLINK("https://audio.iskcondesiretree.com/02_-_ISKCON_Swamis/ISKCON_Swamis_-_R_to_Y/His_Holiness_Radhanath_Swami/Lectures/00_-_Year_wise/Devotional_Nectar_-_2001/2001-005_Lecture_-_Radhanath_Swami_2001-01-13_IDesireTree.mp3", "2001-005_Lecture_-_Radhanath_Swami_2001-01-13_IDesireTree.mp3")</f>
        <v>2001-005_Lecture_-_Radhanath_Swami_2001-01-13_IDesireTree.mp3</v>
      </c>
      <c r="D1625" s="11"/>
      <c r="E1625" s="11"/>
    </row>
    <row r="1626" spans="1:5">
      <c r="A1626" s="12" t="s">
        <v>12462</v>
      </c>
      <c r="B1626" s="12" t="s">
        <v>14539</v>
      </c>
      <c r="C1626" s="13" t="str">
        <f>HYPERLINK("https://audio.iskcondesiretree.com/02_-_ISKCON_Swamis/ISKCON_Swamis_-_R_to_Y/His_Holiness_Radhanath_Swami/Lectures/00_-_Year_wise/Devotional_Nectar_-_2001/2001-006_Lecture_Allahabad_-_Radhanath_Swami_2001-01-15_IDesireTree.mp3", "2001-006_Lecture_Allahabad_-_Radhanath_Swami_2001-01-15_IDesireTree.mp3")</f>
        <v>2001-006_Lecture_Allahabad_-_Radhanath_Swami_2001-01-15_IDesireTree.mp3</v>
      </c>
      <c r="D1626" s="11"/>
      <c r="E1626" s="11"/>
    </row>
    <row r="1627" spans="1:5">
      <c r="A1627" s="12" t="s">
        <v>12462</v>
      </c>
      <c r="B1627" s="12" t="s">
        <v>14540</v>
      </c>
      <c r="C1627" s="13" t="str">
        <f>HYPERLINK("https://audio.iskcondesiretree.com/02_-_ISKCON_Swamis/ISKCON_Swamis_-_R_to_Y/His_Holiness_Radhanath_Swami/Lectures/00_-_Year_wise/Devotional_Nectar_-_2001/2001-007_Lecture_-_Radhanath_Swami_2001-01-17_IDesireTree.mp3", "2001-007_Lecture_-_Radhanath_Swami_2001-01-17_IDesireTree.mp3")</f>
        <v>2001-007_Lecture_-_Radhanath_Swami_2001-01-17_IDesireTree.mp3</v>
      </c>
      <c r="D1627" s="11"/>
      <c r="E1627" s="11"/>
    </row>
    <row r="1628" spans="1:5">
      <c r="A1628" s="12" t="s">
        <v>12462</v>
      </c>
      <c r="B1628" s="12" t="s">
        <v>14541</v>
      </c>
      <c r="C1628" s="13" t="str">
        <f>HYPERLINK("https://audio.iskcondesiretree.com/02_-_ISKCON_Swamis/ISKCON_Swamis_-_R_to_Y/His_Holiness_Radhanath_Swami/Lectures/00_-_Year_wise/Devotional_Nectar_-_2001/2001-008_Lecture_Mumbai_-_Radhanath_Swami_2001-01-21_IDesireTree.mp3", "2001-008_Lecture_Mumbai_-_Radhanath_Swami_2001-01-21_IDesireTree.mp3")</f>
        <v>2001-008_Lecture_Mumbai_-_Radhanath_Swami_2001-01-21_IDesireTree.mp3</v>
      </c>
      <c r="D1628" s="11"/>
      <c r="E1628" s="11"/>
    </row>
    <row r="1629" spans="1:5">
      <c r="A1629" s="12" t="s">
        <v>12462</v>
      </c>
      <c r="B1629" s="12" t="s">
        <v>14542</v>
      </c>
      <c r="C1629" s="13" t="str">
        <f>HYPERLINK("https://audio.iskcondesiretree.com/02_-_ISKCON_Swamis/ISKCON_Swamis_-_R_to_Y/His_Holiness_Radhanath_Swami/Lectures/00_-_Year_wise/Devotional_Nectar_-_2001/2001-009_Pastimes_Of_Lord_Caitanya-1_SB_-_Pune_-_Radhanath_Swami_2001-01-27_IDesireTree.mp3", "2001-009_Pastimes_Of_Lord_Caitanya-1_SB_-_Pune_-_Radhanath_Swami_2001-01-27_IDesireTree.mp3")</f>
        <v>2001-009_Pastimes_Of_Lord_Caitanya-1_SB_-_Pune_-_Radhanath_Swami_2001-01-27_IDesireTree.mp3</v>
      </c>
      <c r="D1629" s="11"/>
      <c r="E1629" s="11"/>
    </row>
    <row r="1630" spans="1:5">
      <c r="A1630" s="12" t="s">
        <v>12462</v>
      </c>
      <c r="B1630" s="12" t="s">
        <v>14543</v>
      </c>
      <c r="C1630" s="13" t="str">
        <f>HYPERLINK("https://audio.iskcondesiretree.com/02_-_ISKCON_Swamis/ISKCON_Swamis_-_R_to_Y/His_Holiness_Radhanath_Swami/Lectures/00_-_Year_wise/Devotional_Nectar_-_2001/2001-010_Pastimes_Of_Lord_Caitanya-2_SB_-_Pune_-_Radhanath_Swami_2001-01-27_IDesireTree.mp3", "2001-010_Pastimes_Of_Lord_Caitanya-2_SB_-_Pune_-_Radhanath_Swami_2001-01-27_IDesireTree.mp3")</f>
        <v>2001-010_Pastimes_Of_Lord_Caitanya-2_SB_-_Pune_-_Radhanath_Swami_2001-01-27_IDesireTree.mp3</v>
      </c>
      <c r="D1630" s="11"/>
      <c r="E1630" s="11"/>
    </row>
    <row r="1631" spans="1:5">
      <c r="A1631" s="12" t="s">
        <v>12462</v>
      </c>
      <c r="B1631" s="12" t="s">
        <v>14544</v>
      </c>
      <c r="C1631" s="13" t="str">
        <f>HYPERLINK("https://audio.iskcondesiretree.com/02_-_ISKCON_Swamis/ISKCON_Swamis_-_R_to_Y/His_Holiness_Radhanath_Swami/Lectures/00_-_Year_wise/Devotional_Nectar_-_2001/2001-011_Understanding_What_Is_Real_Happiness_BG_-_Radhanath_Swami_IDesireTree.mp3", "2001-011_Understanding_What_Is_Real_Happiness_BG_-_Radhanath_Swami_IDesireTree.mp3")</f>
        <v>2001-011_Understanding_What_Is_Real_Happiness_BG_-_Radhanath_Swami_IDesireTree.mp3</v>
      </c>
      <c r="D1631" s="11"/>
      <c r="E1631" s="11"/>
    </row>
    <row r="1632" spans="1:5">
      <c r="A1632" s="12" t="s">
        <v>12462</v>
      </c>
      <c r="B1632" s="12" t="s">
        <v>14545</v>
      </c>
      <c r="C1632" s="13" t="str">
        <f>HYPERLINK("https://audio.iskcondesiretree.com/02_-_ISKCON_Swamis/ISKCON_Swamis_-_R_to_Y/His_Holiness_Radhanath_Swami/Lectures/00_-_Year_wise/Devotional_Nectar_-_2001/2001-012_Advaita_Acharya_The_Real_Acharya_SB-03_33_06_Mumbai_-_01-02-2001_IDesireTree.mp3", "2001-012_Advaita_Acharya_The_Real_Acharya_SB-03_33_06_Mumbai_-_01-02-2001_IDesireTree.mp3")</f>
        <v>2001-012_Advaita_Acharya_The_Real_Acharya_SB-03_33_06_Mumbai_-_01-02-2001_IDesireTree.mp3</v>
      </c>
      <c r="D1632" s="11"/>
      <c r="E1632" s="11"/>
    </row>
    <row r="1633" spans="1:5">
      <c r="A1633" s="12" t="s">
        <v>12462</v>
      </c>
      <c r="B1633" s="12" t="s">
        <v>14546</v>
      </c>
      <c r="C1633" s="13" t="str">
        <f>HYPERLINK("https://audio.iskcondesiretree.com/02_-_ISKCON_Swamis/ISKCON_Swamis_-_R_to_Y/His_Holiness_Radhanath_Swami/Lectures/00_-_Year_wise/Devotional_Nectar_-_2001/2001-013_3_Kinds_Of_Devotees_Benedicted_Lecture_Mumbai_-_Radhanath_Swami_2001-02-03_IDesireTree.mp3", "2001-013_3_Kinds_Of_Devotees_Benedicted_Lecture_Mumbai_-_Radhanath_Swami_2001-02-03_IDesireTree.mp3")</f>
        <v>2001-013_3_Kinds_Of_Devotees_Benedicted_Lecture_Mumbai_-_Radhanath_Swami_2001-02-03_IDesireTree.mp3</v>
      </c>
      <c r="D1633" s="11"/>
      <c r="E1633" s="11"/>
    </row>
    <row r="1634" spans="1:5">
      <c r="A1634" s="12" t="s">
        <v>12462</v>
      </c>
      <c r="B1634" s="12" t="s">
        <v>14547</v>
      </c>
      <c r="C1634" s="13" t="str">
        <f>HYPERLINK("https://audio.iskcondesiretree.com/02_-_ISKCON_Swamis/ISKCON_Swamis_-_R_to_Y/His_Holiness_Radhanath_Swami/Lectures/00_-_Year_wise/Devotional_Nectar_-_2001/2001-014_Bhakti_Free_From_Motivations_Lecture_Mumbai_-_Radhanath_Swami_2001-02-04_IDesireTree.mp3", "2001-014_Bhakti_Free_From_Motivations_Lecture_Mumbai_-_Radhanath_Swami_2001-02-04_IDesireTree.mp3")</f>
        <v>2001-014_Bhakti_Free_From_Motivations_Lecture_Mumbai_-_Radhanath_Swami_2001-02-04_IDesireTree.mp3</v>
      </c>
      <c r="D1634" s="11"/>
      <c r="E1634" s="11"/>
    </row>
    <row r="1635" spans="1:5">
      <c r="A1635" s="12" t="s">
        <v>12462</v>
      </c>
      <c r="B1635" s="12" t="s">
        <v>14548</v>
      </c>
      <c r="C1635" s="13" t="str">
        <f>HYPERLINK("https://audio.iskcondesiretree.com/02_-_ISKCON_Swamis/ISKCON_Swamis_-_R_to_Y/His_Holiness_Radhanath_Swami/Lectures/00_-_Year_wise/Devotional_Nectar_-_2001/2001-015_Krishna_The_Reservoir_Of_Pleasure_Lecture_Mayapur_-_09-02-01_IDesireTree.mp3", "2001-015_Krishna_The_Reservoir_Of_Pleasure_Lecture_Mayapur_-_09-02-01_IDesireTree.mp3")</f>
        <v>2001-015_Krishna_The_Reservoir_Of_Pleasure_Lecture_Mayapur_-_09-02-01_IDesireTree.mp3</v>
      </c>
      <c r="D1635" s="11"/>
      <c r="E1635" s="11"/>
    </row>
    <row r="1636" spans="1:5">
      <c r="A1636" s="12" t="s">
        <v>12462</v>
      </c>
      <c r="B1636" s="12" t="s">
        <v>14549</v>
      </c>
      <c r="C1636" s="13" t="str">
        <f>HYPERLINK("https://audio.iskcondesiretree.com/02_-_ISKCON_Swamis/ISKCON_Swamis_-_R_to_Y/His_Holiness_Radhanath_Swami/Lectures/00_-_Year_wise/Devotional_Nectar_-_2001/2001-016_Establishing_Unity_In_Diversity_SB-04_01_04_Mumbai_-_03-03-01_IDesireTree.mp3", "2001-016_Establishing_Unity_In_Diversity_SB-04_01_04_Mumbai_-_03-03-01_IDesireTree.mp3")</f>
        <v>2001-016_Establishing_Unity_In_Diversity_SB-04_01_04_Mumbai_-_03-03-01_IDesireTree.mp3</v>
      </c>
      <c r="D1636" s="11"/>
      <c r="E1636" s="11"/>
    </row>
    <row r="1637" spans="1:5">
      <c r="A1637" s="12" t="s">
        <v>12462</v>
      </c>
      <c r="B1637" s="12" t="s">
        <v>14550</v>
      </c>
      <c r="C1637" s="13" t="str">
        <f>HYPERLINK("https://audio.iskcondesiretree.com/02_-_ISKCON_Swamis/ISKCON_Swamis_-_R_to_Y/His_Holiness_Radhanath_Swami/Lectures/00_-_Year_wise/Devotional_Nectar_-_2001/2001-017_Why_Study_The_Life_Of_Great_Souls_SB-01_13_05_Mumbai_-_12-04-01_IDesireTree.mp3", "2001-017_Why_Study_The_Life_Of_Great_Souls_SB-01_13_05_Mumbai_-_12-04-01_IDesireTree.mp3")</f>
        <v>2001-017_Why_Study_The_Life_Of_Great_Souls_SB-01_13_05_Mumbai_-_12-04-01_IDesireTree.mp3</v>
      </c>
      <c r="D1637" s="11"/>
      <c r="E1637" s="11"/>
    </row>
    <row r="1638" spans="1:5">
      <c r="A1638" s="12" t="s">
        <v>12462</v>
      </c>
      <c r="B1638" s="12" t="e">
        <v>#VALUE!</v>
      </c>
      <c r="C1638" s="13" t="e">
        <f>HYPERLINK("https://audio.iskcondesiretree.com/02_-_ISKCON_Swamis/ISKCON_Swamis_-_R_to_Y/His_Holiness_Radhanath_Swami/Lectures/00_-_Year_wise/Devotional_Nectar_-_2001/2001-018_Everything_Is_Relative_To_Once_Own_Consciousness_SB-04_02_22_Mumbai_-_14-04-01_IDesireTree."&amp;"mp3", "2001-018_Everything_Is_Relative_To_Once_Own_Consciousness_SB-04_02_22_Mumbai_-_14-04-01_IDesireTree.mp3")</f>
        <v>#VALUE!</v>
      </c>
      <c r="D1638" s="11"/>
      <c r="E1638" s="11"/>
    </row>
    <row r="1639" spans="1:5">
      <c r="A1639" s="12" t="s">
        <v>12462</v>
      </c>
      <c r="B1639" s="12" t="s">
        <v>14551</v>
      </c>
      <c r="C1639" s="13" t="str">
        <f>HYPERLINK("https://audio.iskcondesiretree.com/02_-_ISKCON_Swamis/ISKCON_Swamis_-_R_to_Y/His_Holiness_Radhanath_Swami/Lectures/00_-_Year_wise/Devotional_Nectar_-_2001/2001-019_Effects_And_Consequence_Of_Anger_On_Daksha_SB-04_02_23-24_Mumbai_-_15-04-01_IDesireTree.mp3", "2001-019_Effects_And_Consequence_Of_Anger_On_Daksha_SB-04_02_23-24_Mumbai_-_15-04-01_IDesireTree.mp3")</f>
        <v>2001-019_Effects_And_Consequence_Of_Anger_On_Daksha_SB-04_02_23-24_Mumbai_-_15-04-01_IDesireTree.mp3</v>
      </c>
      <c r="D1639" s="11"/>
      <c r="E1639" s="11"/>
    </row>
    <row r="1640" spans="1:5">
      <c r="A1640" s="12" t="s">
        <v>12462</v>
      </c>
      <c r="B1640" s="12" t="s">
        <v>14552</v>
      </c>
      <c r="C1640" s="13" t="str">
        <f>HYPERLINK("https://audio.iskcondesiretree.com/02_-_ISKCON_Swamis/ISKCON_Swamis_-_R_to_Y/His_Holiness_Radhanath_Swami/Lectures/00_-_Year_wise/Devotional_Nectar_-_2001/2001-020_Glories_Of_Srila_Prabhupad_And_Abhiram_Thakur_Lecture_Mumbai_-_15-04-2001_IDesireTree.mp3", "2001-020_Glories_Of_Srila_Prabhupad_And_Abhiram_Thakur_Lecture_Mumbai_-_15-04-2001_IDesireTree.mp3")</f>
        <v>2001-020_Glories_Of_Srila_Prabhupad_And_Abhiram_Thakur_Lecture_Mumbai_-_15-04-2001_IDesireTree.mp3</v>
      </c>
      <c r="D1640" s="11"/>
      <c r="E1640" s="11"/>
    </row>
    <row r="1641" spans="1:5">
      <c r="A1641" s="12" t="s">
        <v>12462</v>
      </c>
      <c r="B1641" s="12" t="s">
        <v>14553</v>
      </c>
      <c r="C1641" s="13" t="str">
        <f>HYPERLINK("https://audio.iskcondesiretree.com/02_-_ISKCON_Swamis/ISKCON_Swamis_-_R_to_Y/His_Holiness_Radhanath_Swami/Lectures/00_-_Year_wise/Devotional_Nectar_-_2001/2001-021_The_Inner_mood_of_lord_shiva_SB-03_02_29_Mumbai_-_21-04-01_IDesireTree.mp3", "2001-021_The_Inner_mood_of_lord_shiva_SB-03_02_29_Mumbai_-_21-04-01_IDesireTree.mp3")</f>
        <v>2001-021_The_Inner_mood_of_lord_shiva_SB-03_02_29_Mumbai_-_21-04-01_IDesireTree.mp3</v>
      </c>
      <c r="D1641" s="11"/>
      <c r="E1641" s="11"/>
    </row>
    <row r="1642" spans="1:5">
      <c r="A1642" s="12" t="s">
        <v>12462</v>
      </c>
      <c r="B1642" s="12" t="e">
        <v>#VALUE!</v>
      </c>
      <c r="C1642" s="13" t="e">
        <f>HYPERLINK("https://audio.iskcondesiretree.com/02_-_ISKCON_Swamis/ISKCON_Swamis_-_R_to_Y/His_Holiness_Radhanath_Swami/Lectures/00_-_Year_wise/Devotional_Nectar_-_2001/2001-022_Performing_Our_Services_With_Full_Responsibility_SB-04_02_30_Mumbai_-_22-04-01_IDesireTree."&amp;"mp3", "2001-022_Performing_Our_Services_With_Full_Responsibility_SB-04_02_30_Mumbai_-_22-04-01_IDesireTree.mp3")</f>
        <v>#VALUE!</v>
      </c>
      <c r="D1642" s="11"/>
      <c r="E1642" s="11"/>
    </row>
    <row r="1643" spans="1:5">
      <c r="A1643" s="12" t="s">
        <v>12462</v>
      </c>
      <c r="B1643" s="12" t="s">
        <v>14554</v>
      </c>
      <c r="C1643" s="13" t="str">
        <f>HYPERLINK("https://audio.iskcondesiretree.com/02_-_ISKCON_Swamis/ISKCON_Swamis_-_R_to_Y/His_Holiness_Radhanath_Swami/Lectures/00_-_Year_wise/Devotional_Nectar_-_2001/2001-023_Durlabha_Manav_Janma_Lecture_Mumbai_-_Radhanath_Swami_2001-04-22_IDesireTree.mp3", "2001-023_Durlabha_Manav_Janma_Lecture_Mumbai_-_Radhanath_Swami_2001-04-22_IDesireTree.mp3")</f>
        <v>2001-023_Durlabha_Manav_Janma_Lecture_Mumbai_-_Radhanath_Swami_2001-04-22_IDesireTree.mp3</v>
      </c>
      <c r="D1643" s="11"/>
      <c r="E1643" s="11"/>
    </row>
    <row r="1644" spans="1:5">
      <c r="A1644" s="12" t="s">
        <v>12462</v>
      </c>
      <c r="B1644" s="12" t="s">
        <v>14555</v>
      </c>
      <c r="C1644" s="13" t="str">
        <f>HYPERLINK("https://audio.iskcondesiretree.com/02_-_ISKCON_Swamis/ISKCON_Swamis_-_R_to_Y/His_Holiness_Radhanath_Swami/Lectures/00_-_Year_wise/Devotional_Nectar_-_2001/2001-024_Lecture_London_-_Radhanath_Swami_2001-04-25_IDesireTree.mp3", "2001-024_Lecture_London_-_Radhanath_Swami_2001-04-25_IDesireTree.mp3")</f>
        <v>2001-024_Lecture_London_-_Radhanath_Swami_2001-04-25_IDesireTree.mp3</v>
      </c>
      <c r="D1644" s="11"/>
      <c r="E1644" s="11"/>
    </row>
    <row r="1645" spans="1:5">
      <c r="A1645" s="12" t="s">
        <v>12462</v>
      </c>
      <c r="B1645" s="12" t="s">
        <v>14556</v>
      </c>
      <c r="C1645" s="13" t="str">
        <f>HYPERLINK("https://audio.iskcondesiretree.com/02_-_ISKCON_Swamis/ISKCON_Swamis_-_R_to_Y/His_Holiness_Radhanath_Swami/Lectures/00_-_Year_wise/Devotional_Nectar_-_2001/2001-025_Living_By_The_Principle_Die_To_Live_SB-04_04_24_Mumbai_-_17-6-01_IDesireTree.mp3", "2001-025_Living_By_The_Principle_Die_To_Live_SB-04_04_24_Mumbai_-_17-6-01_IDesireTree.mp3")</f>
        <v>2001-025_Living_By_The_Principle_Die_To_Live_SB-04_04_24_Mumbai_-_17-6-01_IDesireTree.mp3</v>
      </c>
      <c r="D1645" s="11"/>
      <c r="E1645" s="11"/>
    </row>
    <row r="1646" spans="1:5">
      <c r="A1646" s="12" t="s">
        <v>12462</v>
      </c>
      <c r="B1646" s="12" t="s">
        <v>14557</v>
      </c>
      <c r="C1646" s="13" t="str">
        <f>HYPERLINK("https://audio.iskcondesiretree.com/02_-_ISKCON_Swamis/ISKCON_Swamis_-_R_to_Y/His_Holiness_Radhanath_Swami/Lectures/00_-_Year_wise/Devotional_Nectar_-_2001/2001-026_Secrets_Of_Revealed_Thru_Srivas_Thakur_I_Lecture_Mumbai_-_17-06-01_IDesireTree.mp3", "2001-026_Secrets_Of_Revealed_Thru_Srivas_Thakur_I_Lecture_Mumbai_-_17-06-01_IDesireTree.mp3")</f>
        <v>2001-026_Secrets_Of_Revealed_Thru_Srivas_Thakur_I_Lecture_Mumbai_-_17-06-01_IDesireTree.mp3</v>
      </c>
      <c r="D1646" s="11"/>
      <c r="E1646" s="11"/>
    </row>
    <row r="1647" spans="1:5">
      <c r="A1647" s="12" t="s">
        <v>12462</v>
      </c>
      <c r="B1647" s="12" t="s">
        <v>14558</v>
      </c>
      <c r="C1647" s="13" t="str">
        <f>HYPERLINK("https://audio.iskcondesiretree.com/02_-_ISKCON_Swamis/ISKCON_Swamis_-_R_to_Y/His_Holiness_Radhanath_Swami/Lectures/00_-_Year_wise/Devotional_Nectar_-_2001/2001-027_Lord_Caitanya_And_Rath_Yatra_Lecture_Mumbai_-_Radhanath_Swami_2001-06-17_IDesireTree.mp3", "2001-027_Lord_Caitanya_And_Rath_Yatra_Lecture_Mumbai_-_Radhanath_Swami_2001-06-17_IDesireTree.mp3")</f>
        <v>2001-027_Lord_Caitanya_And_Rath_Yatra_Lecture_Mumbai_-_Radhanath_Swami_2001-06-17_IDesireTree.mp3</v>
      </c>
      <c r="D1647" s="11"/>
      <c r="E1647" s="11"/>
    </row>
    <row r="1648" spans="1:5">
      <c r="A1648" s="12" t="s">
        <v>12462</v>
      </c>
      <c r="B1648" s="12" t="s">
        <v>14559</v>
      </c>
      <c r="C1648" s="13" t="str">
        <f>HYPERLINK("https://audio.iskcondesiretree.com/02_-_ISKCON_Swamis/ISKCON_Swamis_-_R_to_Y/His_Holiness_Radhanath_Swami/Lectures/00_-_Year_wise/Devotional_Nectar_-_2001/2001-028_Wonderful_Lila_Of_Lord_Krishna_SB-04_05_13-21_Mumbai_-_07-07_-2001_IDesireTree.mp3", "2001-028_Wonderful_Lila_Of_Lord_Krishna_SB-04_05_13-21_Mumbai_-_07-07_-2001_IDesireTree.mp3")</f>
        <v>2001-028_Wonderful_Lila_Of_Lord_Krishna_SB-04_05_13-21_Mumbai_-_07-07_-2001_IDesireTree.mp3</v>
      </c>
      <c r="D1648" s="11"/>
      <c r="E1648" s="11"/>
    </row>
    <row r="1649" spans="1:5">
      <c r="A1649" s="12" t="s">
        <v>12462</v>
      </c>
      <c r="B1649" s="12" t="s">
        <v>14560</v>
      </c>
      <c r="C1649" s="13" t="str">
        <f>HYPERLINK("https://audio.iskcondesiretree.com/02_-_ISKCON_Swamis/ISKCON_Swamis_-_R_to_Y/His_Holiness_Radhanath_Swami/Lectures/00_-_Year_wise/Devotional_Nectar_-_2001/2001-029_Become_Loyal_To_Srila_Prabhupad_lecture_Mumbai_-_Radhanath_Swami_2001-07-08_IDesireTree.mp3", "2001-029_Become_Loyal_To_Srila_Prabhupad_lecture_Mumbai_-_Radhanath_Swami_2001-07-08_IDesireTree.mp3")</f>
        <v>2001-029_Become_Loyal_To_Srila_Prabhupad_lecture_Mumbai_-_Radhanath_Swami_2001-07-08_IDesireTree.mp3</v>
      </c>
      <c r="D1649" s="11"/>
      <c r="E1649" s="11"/>
    </row>
    <row r="1650" spans="1:5">
      <c r="A1650" s="12" t="s">
        <v>12462</v>
      </c>
      <c r="B1650" s="12" t="e">
        <v>#VALUE!</v>
      </c>
      <c r="C1650" s="13" t="e">
        <f>HYPERLINK("https://audio.iskcondesiretree.com/02_-_ISKCON_Swamis/ISKCON_Swamis_-_R_to_Y/His_Holiness_Radhanath_Swami/Lectures/00_-_Year_wise/Devotional_Nectar_-_2001/2001-030_Mental_%26_Spiritual_Health_Challenge_Facing_New_Millenium_Lecture_Mumbai_-_12-07-01_IDesir"&amp;"eTree.mp3", "2001-030_Mental_%26_Spiritual_Health_Challenge_Facing_New_Millenium_Lecture_Mumbai_-_12-07-01_IDesireTree.mp3")</f>
        <v>#VALUE!</v>
      </c>
      <c r="D1650" s="11"/>
      <c r="E1650" s="11"/>
    </row>
    <row r="1651" spans="1:5">
      <c r="A1651" s="12" t="s">
        <v>12462</v>
      </c>
      <c r="B1651" s="12" t="s">
        <v>14561</v>
      </c>
      <c r="C1651" s="13" t="str">
        <f>HYPERLINK("https://audio.iskcondesiretree.com/02_-_ISKCON_Swamis/ISKCON_Swamis_-_R_to_Y/His_Holiness_Radhanath_Swami/Lectures/00_-_Year_wise/Devotional_Nectar_-_2001/2001-031_Initiation_Lecture_Mumbai_-_Radhanath_Swami_2001-07-14_IDesireTree.mp3", "2001-031_Initiation_Lecture_Mumbai_-_Radhanath_Swami_2001-07-14_IDesireTree.mp3")</f>
        <v>2001-031_Initiation_Lecture_Mumbai_-_Radhanath_Swami_2001-07-14_IDesireTree.mp3</v>
      </c>
      <c r="D1651" s="11"/>
      <c r="E1651" s="11"/>
    </row>
    <row r="1652" spans="1:5">
      <c r="A1652" s="12" t="s">
        <v>12462</v>
      </c>
      <c r="B1652" s="12" t="s">
        <v>14562</v>
      </c>
      <c r="C1652" s="13" t="str">
        <f>HYPERLINK("https://audio.iskcondesiretree.com/02_-_ISKCON_Swamis/ISKCON_Swamis_-_R_to_Y/His_Holiness_Radhanath_Swami/Lectures/00_-_Year_wise/Devotional_Nectar_-_2001/2001-032_Inititation_Lecture_Mumbai_-_Radhanath_Swami_2001-07-15_IDesireTree.mp3", "2001-032_Inititation_Lecture_Mumbai_-_Radhanath_Swami_2001-07-15_IDesireTree.mp3")</f>
        <v>2001-032_Inititation_Lecture_Mumbai_-_Radhanath_Swami_2001-07-15_IDesireTree.mp3</v>
      </c>
      <c r="D1652" s="11"/>
      <c r="E1652" s="11"/>
    </row>
    <row r="1653" spans="1:5">
      <c r="A1653" s="12" t="s">
        <v>12462</v>
      </c>
      <c r="B1653" s="12" t="s">
        <v>14563</v>
      </c>
      <c r="C1653" s="13" t="str">
        <f>HYPERLINK("https://audio.iskcondesiretree.com/02_-_ISKCON_Swamis/ISKCON_Swamis_-_R_to_Y/His_Holiness_Radhanath_Swami/Lectures/00_-_Year_wise/Devotional_Nectar_-_2001/2001-033_Cultivate_Right_Spirit_For_Chanting_Lecture_Mumbai_-_15_07_01_IDesireTree.mp3", "2001-033_Cultivate_Right_Spirit_For_Chanting_Lecture_Mumbai_-_15_07_01_IDesireTree.mp3")</f>
        <v>2001-033_Cultivate_Right_Spirit_For_Chanting_Lecture_Mumbai_-_15_07_01_IDesireTree.mp3</v>
      </c>
      <c r="D1653" s="11"/>
      <c r="E1653" s="11"/>
    </row>
    <row r="1654" spans="1:5">
      <c r="A1654" s="12" t="s">
        <v>12462</v>
      </c>
      <c r="B1654" s="12" t="s">
        <v>14564</v>
      </c>
      <c r="C1654" s="13" t="str">
        <f>HYPERLINK("https://audio.iskcondesiretree.com/02_-_ISKCON_Swamis/ISKCON_Swamis_-_R_to_Y/His_Holiness_Radhanath_Swami/Lectures/00_-_Year_wise/Devotional_Nectar_-_2001/2001-034_SB-06_01_44_Moscow_-_Radhanath_Swami_2001-07-30_IDesireTree.mp3", "2001-034_SB-06_01_44_Moscow_-_Radhanath_Swami_2001-07-30_IDesireTree.mp3")</f>
        <v>2001-034_SB-06_01_44_Moscow_-_Radhanath_Swami_2001-07-30_IDesireTree.mp3</v>
      </c>
      <c r="D1654" s="11"/>
      <c r="E1654" s="11"/>
    </row>
    <row r="1655" spans="1:5">
      <c r="A1655" s="12" t="s">
        <v>12462</v>
      </c>
      <c r="B1655" s="12" t="s">
        <v>14565</v>
      </c>
      <c r="C1655" s="13" t="str">
        <f>HYPERLINK("https://audio.iskcondesiretree.com/02_-_ISKCON_Swamis/ISKCON_Swamis_-_R_to_Y/His_Holiness_Radhanath_Swami/Lectures/00_-_Year_wise/Devotional_Nectar_-_2001/2001-035_Remember_Srila_Prabhupada_Lecture_Moscow_-_Radhanath_Swami_2001-07-30_IDesireTree.mp3", "2001-035_Remember_Srila_Prabhupada_Lecture_Moscow_-_Radhanath_Swami_2001-07-30_IDesireTree.mp3")</f>
        <v>2001-035_Remember_Srila_Prabhupada_Lecture_Moscow_-_Radhanath_Swami_2001-07-30_IDesireTree.mp3</v>
      </c>
      <c r="D1655" s="11"/>
      <c r="E1655" s="11"/>
    </row>
    <row r="1656" spans="1:5">
      <c r="A1656" s="12" t="s">
        <v>12462</v>
      </c>
      <c r="B1656" s="12" t="s">
        <v>14566</v>
      </c>
      <c r="C1656" s="13" t="str">
        <f>HYPERLINK("https://audio.iskcondesiretree.com/02_-_ISKCON_Swamis/ISKCON_Swamis_-_R_to_Y/His_Holiness_Radhanath_Swami/Lectures/00_-_Year_wise/Devotional_Nectar_-_2001/2001-036_Rupa_Goswami_Lecture_Moscow_-_Radhanath_Swami_2001-07-31_IDesireTree.mp3", "2001-036_Rupa_Goswami_Lecture_Moscow_-_Radhanath_Swami_2001-07-31_IDesireTree.mp3")</f>
        <v>2001-036_Rupa_Goswami_Lecture_Moscow_-_Radhanath_Swami_2001-07-31_IDesireTree.mp3</v>
      </c>
      <c r="D1656" s="11"/>
      <c r="E1656" s="11"/>
    </row>
    <row r="1657" spans="1:5">
      <c r="A1657" s="12" t="s">
        <v>12462</v>
      </c>
      <c r="B1657" s="12" t="s">
        <v>14567</v>
      </c>
      <c r="C1657" s="13" t="str">
        <f>HYPERLINK("https://audio.iskcondesiretree.com/02_-_ISKCON_Swamis/ISKCON_Swamis_-_R_to_Y/His_Holiness_Radhanath_Swami/Lectures/00_-_Year_wise/Devotional_Nectar_-_2001/2001-037_Rupa_Goswami_Lecture_Moscow_-_Radhanath_Swami_31_IDesireTree.mp3", "2001-037_Rupa_Goswami_Lecture_Moscow_-_Radhanath_Swami_31_IDesireTree.mp3")</f>
        <v>2001-037_Rupa_Goswami_Lecture_Moscow_-_Radhanath_Swami_31_IDesireTree.mp3</v>
      </c>
      <c r="D1657" s="11"/>
      <c r="E1657" s="11"/>
    </row>
    <row r="1658" spans="1:5">
      <c r="A1658" s="12" t="s">
        <v>12462</v>
      </c>
      <c r="B1658" s="12" t="s">
        <v>14568</v>
      </c>
      <c r="C1658" s="13" t="str">
        <f>HYPERLINK("https://audio.iskcondesiretree.com/02_-_ISKCON_Swamis/ISKCON_Swamis_-_R_to_Y/His_Holiness_Radhanath_Swami/Lectures/00_-_Year_wise/Devotional_Nectar_-_2001/2001-038_Rupa_Goswami_Lecture_Moscow_-_Radhanath_Swami_2001-08-01_IDesireTree.mp3", "2001-038_Rupa_Goswami_Lecture_Moscow_-_Radhanath_Swami_2001-08-01_IDesireTree.mp3")</f>
        <v>2001-038_Rupa_Goswami_Lecture_Moscow_-_Radhanath_Swami_2001-08-01_IDesireTree.mp3</v>
      </c>
      <c r="D1658" s="11"/>
      <c r="E1658" s="11"/>
    </row>
    <row r="1659" spans="1:5">
      <c r="A1659" s="12" t="s">
        <v>12462</v>
      </c>
      <c r="B1659" s="12" t="s">
        <v>14569</v>
      </c>
      <c r="C1659" s="13" t="str">
        <f>HYPERLINK("https://audio.iskcondesiretree.com/02_-_ISKCON_Swamis/ISKCON_Swamis_-_R_to_Y/His_Holiness_Radhanath_Swami/Lectures/00_-_Year_wise/Devotional_Nectar_-_2001/2001-039_Lecture_Mosocw_-_Radhanath_Swami_2001-08-03_IDesireTree.mp3", "2001-039_Lecture_Mosocw_-_Radhanath_Swami_2001-08-03_IDesireTree.mp3")</f>
        <v>2001-039_Lecture_Mosocw_-_Radhanath_Swami_2001-08-03_IDesireTree.mp3</v>
      </c>
      <c r="D1659" s="11"/>
      <c r="E1659" s="11"/>
    </row>
    <row r="1660" spans="1:5">
      <c r="A1660" s="12" t="s">
        <v>12462</v>
      </c>
      <c r="B1660" s="12" t="s">
        <v>14570</v>
      </c>
      <c r="C1660" s="13" t="str">
        <f>HYPERLINK("https://audio.iskcondesiretree.com/02_-_ISKCON_Swamis/ISKCON_Swamis_-_R_to_Y/His_Holiness_Radhanath_Swami/Lectures/00_-_Year_wise/Devotional_Nectar_-_2001/2001-040_Saniyas_Initiation_Lecture_Moscow_-_2001-08-04_IDesireTree.mp3", "2001-040_Saniyas_Initiation_Lecture_Moscow_-_2001-08-04_IDesireTree.mp3")</f>
        <v>2001-040_Saniyas_Initiation_Lecture_Moscow_-_2001-08-04_IDesireTree.mp3</v>
      </c>
      <c r="D1660" s="11"/>
      <c r="E1660" s="11"/>
    </row>
    <row r="1661" spans="1:5">
      <c r="A1661" s="12" t="s">
        <v>12462</v>
      </c>
      <c r="B1661" s="12" t="s">
        <v>14571</v>
      </c>
      <c r="C1661" s="13" t="str">
        <f>HYPERLINK("https://audio.iskcondesiretree.com/02_-_ISKCON_Swamis/ISKCON_Swamis_-_R_to_Y/His_Holiness_Radhanath_Swami/Lectures/00_-_Year_wise/Devotional_Nectar_-_2001/2001-041_SB-60_01_47_Moscow_-_Radhanath_Swami_2001-08-05_IDesireTree.mp3", "2001-041_SB-60_01_47_Moscow_-_Radhanath_Swami_2001-08-05_IDesireTree.mp3")</f>
        <v>2001-041_SB-60_01_47_Moscow_-_Radhanath_Swami_2001-08-05_IDesireTree.mp3</v>
      </c>
      <c r="D1661" s="11"/>
      <c r="E1661" s="11"/>
    </row>
    <row r="1662" spans="1:5">
      <c r="A1662" s="12" t="s">
        <v>12462</v>
      </c>
      <c r="B1662" s="12" t="s">
        <v>14572</v>
      </c>
      <c r="C1662" s="13" t="str">
        <f>HYPERLINK("https://audio.iskcondesiretree.com/02_-_ISKCON_Swamis/ISKCON_Swamis_-_R_to_Y/His_Holiness_Radhanath_Swami/Lectures/00_-_Year_wise/Devotional_Nectar_-_2001/2001-042_Lecture_Kiev_-_Radhanath_Swami_2001-08-06_IDesireTree.mp3", "2001-042_Lecture_Kiev_-_Radhanath_Swami_2001-08-06_IDesireTree.mp3")</f>
        <v>2001-042_Lecture_Kiev_-_Radhanath_Swami_2001-08-06_IDesireTree.mp3</v>
      </c>
      <c r="D1662" s="11"/>
      <c r="E1662" s="11"/>
    </row>
    <row r="1663" spans="1:5">
      <c r="A1663" s="12" t="s">
        <v>12462</v>
      </c>
      <c r="B1663" s="12" t="s">
        <v>14573</v>
      </c>
      <c r="C1663" s="13" t="str">
        <f>HYPERLINK("https://audio.iskcondesiretree.com/02_-_ISKCON_Swamis/ISKCON_Swamis_-_R_to_Y/His_Holiness_Radhanath_Swami/Lectures/00_-_Year_wise/Devotional_Nectar_-_2001/2001-043_Lecture_Kiev_-_Radhanath_Swami_2001-08-07_IDesireTree.mp3", "2001-043_Lecture_Kiev_-_Radhanath_Swami_2001-08-07_IDesireTree.mp3")</f>
        <v>2001-043_Lecture_Kiev_-_Radhanath_Swami_2001-08-07_IDesireTree.mp3</v>
      </c>
      <c r="D1663" s="11"/>
      <c r="E1663" s="11"/>
    </row>
    <row r="1664" spans="1:5">
      <c r="A1664" s="12" t="s">
        <v>12462</v>
      </c>
      <c r="B1664" s="12" t="s">
        <v>14574</v>
      </c>
      <c r="C1664" s="13" t="str">
        <f>HYPERLINK("https://audio.iskcondesiretree.com/02_-_ISKCON_Swamis/ISKCON_Swamis_-_R_to_Y/His_Holiness_Radhanath_Swami/Lectures/00_-_Year_wise/Devotional_Nectar_-_2001/2001-044_SB-07_09_19_Kiev_-_Radhanath_Swami_2001-08-08_IDesireTree.mp3", "2001-044_SB-07_09_19_Kiev_-_Radhanath_Swami_2001-08-08_IDesireTree.mp3")</f>
        <v>2001-044_SB-07_09_19_Kiev_-_Radhanath_Swami_2001-08-08_IDesireTree.mp3</v>
      </c>
      <c r="D1664" s="11"/>
      <c r="E1664" s="11"/>
    </row>
    <row r="1665" spans="1:5">
      <c r="A1665" s="12" t="s">
        <v>12462</v>
      </c>
      <c r="B1665" s="12" t="s">
        <v>14575</v>
      </c>
      <c r="C1665" s="13" t="str">
        <f>HYPERLINK("https://audio.iskcondesiretree.com/02_-_ISKCON_Swamis/ISKCON_Swamis_-_R_to_Y/His_Holiness_Radhanath_Swami/Lectures/00_-_Year_wise/Devotional_Nectar_-_2001/2001-045_Lecture_Kiev_-_Radhanath_Swami_2001-08-08_IDesireTree.mp3", "2001-045_Lecture_Kiev_-_Radhanath_Swami_2001-08-08_IDesireTree.mp3")</f>
        <v>2001-045_Lecture_Kiev_-_Radhanath_Swami_2001-08-08_IDesireTree.mp3</v>
      </c>
      <c r="D1665" s="11"/>
      <c r="E1665" s="11"/>
    </row>
    <row r="1666" spans="1:5">
      <c r="A1666" s="12" t="s">
        <v>12462</v>
      </c>
      <c r="B1666" s="12" t="s">
        <v>14576</v>
      </c>
      <c r="C1666" s="13" t="str">
        <f>HYPERLINK("https://audio.iskcondesiretree.com/02_-_ISKCON_Swamis/ISKCON_Swamis_-_R_to_Y/His_Holiness_Radhanath_Swami/Lectures/00_-_Year_wise/Devotional_Nectar_-_2001/2001-046_SB-07_09_20_Kiev_-_Radhanath_Swami_2001-08-09_IDesireTree.mp3", "2001-046_SB-07_09_20_Kiev_-_Radhanath_Swami_2001-08-09_IDesireTree.mp3")</f>
        <v>2001-046_SB-07_09_20_Kiev_-_Radhanath_Swami_2001-08-09_IDesireTree.mp3</v>
      </c>
      <c r="D1666" s="11"/>
      <c r="E1666" s="11"/>
    </row>
    <row r="1667" spans="1:5">
      <c r="A1667" s="12" t="s">
        <v>12462</v>
      </c>
      <c r="B1667" s="12" t="s">
        <v>14577</v>
      </c>
      <c r="C1667" s="13" t="str">
        <f>HYPERLINK("https://audio.iskcondesiretree.com/02_-_ISKCON_Swamis/ISKCON_Swamis_-_R_to_Y/His_Holiness_Radhanath_Swami/Lectures/00_-_Year_wise/Devotional_Nectar_-_2001/2001-047_Arrival_Lec_Lecture_Mumbai_-_Radhanath_Swami_2001-10-31_IDesireTree.mp3", "2001-047_Arrival_Lec_Lecture_Mumbai_-_Radhanath_Swami_2001-10-31_IDesireTree.mp3")</f>
        <v>2001-047_Arrival_Lec_Lecture_Mumbai_-_Radhanath_Swami_2001-10-31_IDesireTree.mp3</v>
      </c>
      <c r="D1667" s="11"/>
      <c r="E1667" s="11"/>
    </row>
    <row r="1668" spans="1:5">
      <c r="A1668" s="12" t="s">
        <v>12462</v>
      </c>
      <c r="B1668" s="12" t="s">
        <v>14578</v>
      </c>
      <c r="C1668" s="13" t="str">
        <f>HYPERLINK("https://audio.iskcondesiretree.com/02_-_ISKCON_Swamis/ISKCON_Swamis_-_R_to_Y/His_Holiness_Radhanath_Swami/Lectures/00_-_Year_wise/Devotional_Nectar_-_2001/2001-048_Extingushing_The_Fire_Of_Material_Exsistance_Lecture_Mumbai_-_31-10-01_IDesireTree.mp3", "2001-048_Extingushing_The_Fire_Of_Material_Exsistance_Lecture_Mumbai_-_31-10-01_IDesireTree.mp3")</f>
        <v>2001-048_Extingushing_The_Fire_Of_Material_Exsistance_Lecture_Mumbai_-_31-10-01_IDesireTree.mp3</v>
      </c>
      <c r="D1668" s="11"/>
      <c r="E1668" s="11"/>
    </row>
    <row r="1669" spans="1:5">
      <c r="A1669" s="12" t="s">
        <v>12462</v>
      </c>
      <c r="B1669" s="12" t="e">
        <v>#VALUE!</v>
      </c>
      <c r="C1669" s="13" t="e">
        <f>HYPERLINK("https://audio.iskcondesiretree.com/02_-_ISKCON_Swamis/ISKCON_Swamis_-_R_to_Y/His_Holiness_Radhanath_Swami/Lectures/00_-_Year_wise/Devotional_Nectar_-_2001/2001-049_Advancement_In_Life_Depends_Upon_How_You_Please_Krishna_SB-04_08_34_Mumbai_-_01-11-01_IDesi"&amp;"reTree.mp3", "2001-049_Advancement_In_Life_Depends_Upon_How_You_Please_Krishna_SB-04_08_34_Mumbai_-_01-11-01_IDesireTree.mp3")</f>
        <v>#VALUE!</v>
      </c>
      <c r="D1669" s="11"/>
      <c r="E1669" s="11"/>
    </row>
    <row r="1670" spans="1:5">
      <c r="A1670" s="12" t="s">
        <v>12462</v>
      </c>
      <c r="B1670" s="12" t="s">
        <v>14579</v>
      </c>
      <c r="C1670" s="13" t="str">
        <f>HYPERLINK("https://audio.iskcondesiretree.com/02_-_ISKCON_Swamis/ISKCON_Swamis_-_R_to_Y/His_Holiness_Radhanath_Swami/Lectures/00_-_Year_wise/Devotional_Nectar_-_2001/2001-050_Meaning_Of_Rasa_Lila_Lecture_Mumbai_-_Radhanath_Swami_2001-11-01_IDesireTree.mp3", "2001-050_Meaning_Of_Rasa_Lila_Lecture_Mumbai_-_Radhanath_Swami_2001-11-01_IDesireTree.mp3")</f>
        <v>2001-050_Meaning_Of_Rasa_Lila_Lecture_Mumbai_-_Radhanath_Swami_2001-11-01_IDesireTree.mp3</v>
      </c>
      <c r="D1670" s="11"/>
      <c r="E1670" s="11"/>
    </row>
    <row r="1671" spans="1:5">
      <c r="A1671" s="12" t="s">
        <v>12462</v>
      </c>
      <c r="B1671" s="12" t="s">
        <v>14580</v>
      </c>
      <c r="C1671" s="13" t="str">
        <f>HYPERLINK("https://audio.iskcondesiretree.com/02_-_ISKCON_Swamis/ISKCON_Swamis_-_R_to_Y/His_Holiness_Radhanath_Swami/Lectures/00_-_Year_wise/Devotional_Nectar_-_2001/2001-051_Importance_Of_Training_%26_Discipline_SB-04_08_36_Mumbai_-_03-11-01_IDesireTree.mp3", "2001-051_Importance_Of_Training_%26_Discipline_SB-04_08_36_Mumbai_-_03-11-01_IDesireTree.mp3")</f>
        <v>2001-051_Importance_Of_Training_%26_Discipline_SB-04_08_36_Mumbai_-_03-11-01_IDesireTree.mp3</v>
      </c>
      <c r="D1671" s="11"/>
      <c r="E1671" s="11"/>
    </row>
    <row r="1672" spans="1:5">
      <c r="A1672" s="12" t="s">
        <v>12462</v>
      </c>
      <c r="B1672" s="12" t="s">
        <v>14581</v>
      </c>
      <c r="C1672" s="13" t="str">
        <f>HYPERLINK("https://audio.iskcondesiretree.com/02_-_ISKCON_Swamis/ISKCON_Swamis_-_R_to_Y/His_Holiness_Radhanath_Swami/Lectures/00_-_Year_wise/Devotional_Nectar_-_2001/2001-052_Damodar_Lila_Of_Krsna_Lecture_London_-_Radhanath_Swami_2001-11-04_IDesireTree.mp3", "2001-052_Damodar_Lila_Of_Krsna_Lecture_London_-_Radhanath_Swami_2001-11-04_IDesireTree.mp3")</f>
        <v>2001-052_Damodar_Lila_Of_Krsna_Lecture_London_-_Radhanath_Swami_2001-11-04_IDesireTree.mp3</v>
      </c>
      <c r="D1672" s="11"/>
      <c r="E1672" s="11"/>
    </row>
    <row r="1673" spans="1:5">
      <c r="A1673" s="12" t="s">
        <v>12462</v>
      </c>
      <c r="B1673" s="12" t="s">
        <v>14582</v>
      </c>
      <c r="C1673" s="13" t="str">
        <f>HYPERLINK("https://audio.iskcondesiretree.com/02_-_ISKCON_Swamis/ISKCON_Swamis_-_R_to_Y/His_Holiness_Radhanath_Swami/Lectures/00_-_Year_wise/Devotional_Nectar_-_2001/2001-053_Drama_Realisation_Lec_Lecture_Mumbai_-_Radhanath_Swami_2001-12-01_IDesireTree.mp3", "2001-053_Drama_Realisation_Lec_Lecture_Mumbai_-_Radhanath_Swami_2001-12-01_IDesireTree.mp3")</f>
        <v>2001-053_Drama_Realisation_Lec_Lecture_Mumbai_-_Radhanath_Swami_2001-12-01_IDesireTree.mp3</v>
      </c>
      <c r="D1673" s="11"/>
      <c r="E1673" s="11"/>
    </row>
    <row r="1674" spans="1:5">
      <c r="A1674" s="12" t="s">
        <v>12462</v>
      </c>
      <c r="B1674" s="12" t="s">
        <v>14583</v>
      </c>
      <c r="C1674" s="13" t="str">
        <f>HYPERLINK("https://audio.iskcondesiretree.com/02_-_ISKCON_Swamis/ISKCON_Swamis_-_R_to_Y/His_Holiness_Radhanath_Swami/Lectures/00_-_Year_wise/Devotional_Nectar_-_2001/2001-054_Memories_Of_George_Harrison_Lecture_Mumbai_-_Radhanath_Swami_2001-12-02_IDesireTree.mp3", "2001-054_Memories_Of_George_Harrison_Lecture_Mumbai_-_Radhanath_Swami_2001-12-02_IDesireTree.mp3")</f>
        <v>2001-054_Memories_Of_George_Harrison_Lecture_Mumbai_-_Radhanath_Swami_2001-12-02_IDesireTree.mp3</v>
      </c>
      <c r="D1674" s="11"/>
      <c r="E1674" s="11"/>
    </row>
    <row r="1675" spans="1:5">
      <c r="A1675" s="12" t="s">
        <v>12462</v>
      </c>
      <c r="B1675" s="12" t="s">
        <v>14584</v>
      </c>
      <c r="C1675" s="13" t="str">
        <f>HYPERLINK("https://audio.iskcondesiretree.com/02_-_ISKCON_Swamis/ISKCON_Swamis_-_R_to_Y/His_Holiness_Radhanath_Swami/Lectures/00_-_Year_wise/Devotional_Nectar_-_2001/2001-055_Real_Fortune_Is_Bhakti_Lecture_Mumbai_-_Radhanath_Swami_2001-12-07_IDesireTree.mp3", "2001-055_Real_Fortune_Is_Bhakti_Lecture_Mumbai_-_Radhanath_Swami_2001-12-07_IDesireTree.mp3")</f>
        <v>2001-055_Real_Fortune_Is_Bhakti_Lecture_Mumbai_-_Radhanath_Swami_2001-12-07_IDesireTree.mp3</v>
      </c>
      <c r="D1675" s="11"/>
      <c r="E1675" s="11"/>
    </row>
    <row r="1676" spans="1:5">
      <c r="A1676" s="12" t="s">
        <v>12462</v>
      </c>
      <c r="B1676" s="12" t="s">
        <v>14585</v>
      </c>
      <c r="C1676" s="13" t="str">
        <f>HYPERLINK("https://audio.iskcondesiretree.com/02_-_ISKCON_Swamis/ISKCON_Swamis_-_R_to_Y/His_Holiness_Radhanath_Swami/Lectures/00_-_Year_wise/Devotional_Nectar_-_2001/2001-056_The_Desperate_Need_To_Take_Shelter_Of_Krsna_SB-04_08_79_Mumbai_-_08-12-01_IDesireTree.mp3", "2001-056_The_Desperate_Need_To_Take_Shelter_Of_Krsna_SB-04_08_79_Mumbai_-_08-12-01_IDesireTree.mp3")</f>
        <v>2001-056_The_Desperate_Need_To_Take_Shelter_Of_Krsna_SB-04_08_79_Mumbai_-_08-12-01_IDesireTree.mp3</v>
      </c>
      <c r="D1676" s="11"/>
      <c r="E1676" s="11"/>
    </row>
    <row r="1677" spans="1:5">
      <c r="A1677" s="12" t="s">
        <v>12462</v>
      </c>
      <c r="B1677" s="12" t="e">
        <v>#VALUE!</v>
      </c>
      <c r="C1677" s="13" t="e">
        <f>HYPERLINK("https://audio.iskcondesiretree.com/02_-_ISKCON_Swamis/ISKCON_Swamis_-_R_to_Y/His_Holiness_Radhanath_Swami/Lectures/00_-_Year_wise/Devotional_Nectar_-_2001/2001-057_Krsna_Empowering_His_Devotee_In_A_Wonderful_Way_SB-04_08_80_Mumbai_-_09-12-01_IDesireTree.m"&amp;"p3", "2001-057_Krsna_Empowering_His_Devotee_In_A_Wonderful_Way_SB-04_08_80_Mumbai_-_09-12-01_IDesireTree.mp3")</f>
        <v>#VALUE!</v>
      </c>
      <c r="D1677" s="11"/>
      <c r="E1677" s="11"/>
    </row>
    <row r="1678" spans="1:5">
      <c r="A1678" s="12" t="s">
        <v>12462</v>
      </c>
      <c r="B1678" s="12" t="s">
        <v>14586</v>
      </c>
      <c r="C1678" s="13" t="str">
        <f>HYPERLINK("https://audio.iskcondesiretree.com/02_-_ISKCON_Swamis/ISKCON_Swamis_-_R_to_Y/His_Holiness_Radhanath_Swami/Lectures/00_-_Year_wise/Devotional_Nectar_-_2001/2001-058_Real_Opulance_Is_Association_Of_Devotees_BG-01_08_Mumbai_-_09-12-01_IDesireTree.mp3", "2001-058_Real_Opulance_Is_Association_Of_Devotees_BG-01_08_Mumbai_-_09-12-01_IDesireTree.mp3")</f>
        <v>2001-058_Real_Opulance_Is_Association_Of_Devotees_BG-01_08_Mumbai_-_09-12-01_IDesireTree.mp3</v>
      </c>
      <c r="D1678" s="11"/>
      <c r="E1678" s="11"/>
    </row>
    <row r="1679" spans="1:5">
      <c r="A1679" s="12" t="s">
        <v>12462</v>
      </c>
      <c r="B1679" s="12" t="s">
        <v>14587</v>
      </c>
      <c r="C1679" s="13" t="str">
        <f>HYPERLINK("https://audio.iskcondesiretree.com/02_-_ISKCON_Swamis/ISKCON_Swamis_-_R_to_Y/His_Holiness_Radhanath_Swami/Lectures/00_-_Year_wise/Devotional_Nectar_-_2001/2001-059_Vyas_Puja_Add_Lecture_Mumbai_-_Radhanath_Swami_2001-12-131_IDesireTree.mp3", "2001-059_Vyas_Puja_Add_Lecture_Mumbai_-_Radhanath_Swami_2001-12-131_IDesireTree.mp3")</f>
        <v>2001-059_Vyas_Puja_Add_Lecture_Mumbai_-_Radhanath_Swami_2001-12-131_IDesireTree.mp3</v>
      </c>
      <c r="D1679" s="11"/>
      <c r="E1679" s="11"/>
    </row>
    <row r="1680" spans="1:5">
      <c r="A1680" s="12" t="s">
        <v>12462</v>
      </c>
      <c r="B1680" s="12" t="s">
        <v>14588</v>
      </c>
      <c r="C1680" s="13" t="str">
        <f>HYPERLINK("https://audio.iskcondesiretree.com/02_-_ISKCON_Swamis/ISKCON_Swamis_-_R_to_Y/His_Holiness_Radhanath_Swami/Lectures/00_-_Year_wise/Devotional_Nectar_-_2001/2001-06-16_Various_-_Devotee_care_system_for_the_UK-01_-_Radhanath_Swami_London.mp3", "2001-06-16_Various_-_Devotee_care_system_for_the_UK-01_-_Radhanath_Swami_London.mp3")</f>
        <v>2001-06-16_Various_-_Devotee_care_system_for_the_UK-01_-_Radhanath_Swami_London.mp3</v>
      </c>
      <c r="D1680" s="11"/>
      <c r="E1680" s="11"/>
    </row>
    <row r="1681" spans="1:5">
      <c r="A1681" s="12" t="s">
        <v>12462</v>
      </c>
      <c r="B1681" s="12" t="s">
        <v>14589</v>
      </c>
      <c r="C1681" s="13" t="str">
        <f>HYPERLINK("https://audio.iskcondesiretree.com/02_-_ISKCON_Swamis/ISKCON_Swamis_-_R_to_Y/His_Holiness_Radhanath_Swami/Lectures/00_-_Year_wise/Devotional_Nectar_-_2001/2001-06-16_Various_-_Devotee_care_system_for_the_UK-02_-_Radhanath_Swami_London.mp3", "2001-06-16_Various_-_Devotee_care_system_for_the_UK-02_-_Radhanath_Swami_London.mp3")</f>
        <v>2001-06-16_Various_-_Devotee_care_system_for_the_UK-02_-_Radhanath_Swami_London.mp3</v>
      </c>
      <c r="D1681" s="11"/>
      <c r="E1681" s="11"/>
    </row>
    <row r="1682" spans="1:5">
      <c r="A1682" s="12" t="s">
        <v>12462</v>
      </c>
      <c r="B1682" s="12" t="s">
        <v>14590</v>
      </c>
      <c r="C1682" s="13" t="str">
        <f>HYPERLINK("https://audio.iskcondesiretree.com/02_-_ISKCON_Swamis/ISKCON_Swamis_-_R_to_Y/His_Holiness_Radhanath_Swami/Lectures/00_-_Year_wise/Devotional_Nectar_-_2001/2001-060_Seeing_Krishna_Through_Faith_SB-04_09_02_-_Radhanath_Swami_2001-12-15_IDesireTree.mp3", "2001-060_Seeing_Krishna_Through_Faith_SB-04_09_02_-_Radhanath_Swami_2001-12-15_IDesireTree.mp3")</f>
        <v>2001-060_Seeing_Krishna_Through_Faith_SB-04_09_02_-_Radhanath_Swami_2001-12-15_IDesireTree.mp3</v>
      </c>
      <c r="D1682" s="11"/>
      <c r="E1682" s="11"/>
    </row>
    <row r="1683" spans="1:5">
      <c r="A1683" s="12" t="s">
        <v>12462</v>
      </c>
      <c r="B1683" s="12" t="s">
        <v>14591</v>
      </c>
      <c r="C1683" s="13" t="str">
        <f>HYPERLINK("https://audio.iskcondesiretree.com/02_-_ISKCON_Swamis/ISKCON_Swamis_-_R_to_Y/His_Holiness_Radhanath_Swami/Lectures/00_-_Year_wise/Devotional_Nectar_-_2001/2001-061_Ecstacy_Through_Spiritualised_Senses_SB-04_09_03_Mumbai_-_16-12-01_IDesireTree.mp3", "2001-061_Ecstacy_Through_Spiritualised_Senses_SB-04_09_03_Mumbai_-_16-12-01_IDesireTree.mp3")</f>
        <v>2001-061_Ecstacy_Through_Spiritualised_Senses_SB-04_09_03_Mumbai_-_16-12-01_IDesireTree.mp3</v>
      </c>
      <c r="D1683" s="11"/>
      <c r="E1683" s="11"/>
    </row>
    <row r="1684" spans="1:5">
      <c r="A1684" s="12" t="s">
        <v>12462</v>
      </c>
      <c r="B1684" s="12" t="s">
        <v>14592</v>
      </c>
      <c r="C1684" s="13" t="str">
        <f>HYPERLINK("https://audio.iskcondesiretree.com/02_-_ISKCON_Swamis/ISKCON_Swamis_-_R_to_Y/His_Holiness_Radhanath_Swami/Lectures/00_-_Year_wise/Devotional_Nectar_-_2001/2001-062_Killing_The_Serpent_Of_Impersonalism_Lecture_Mumbai_-_16-12-01_IDesireTree.mp3", "2001-062_Killing_The_Serpent_Of_Impersonalism_Lecture_Mumbai_-_16-12-01_IDesireTree.mp3")</f>
        <v>2001-062_Killing_The_Serpent_Of_Impersonalism_Lecture_Mumbai_-_16-12-01_IDesireTree.mp3</v>
      </c>
      <c r="D1684" s="11"/>
      <c r="E1684" s="11"/>
    </row>
    <row r="1685" spans="1:5">
      <c r="A1685" s="12" t="s">
        <v>12462</v>
      </c>
      <c r="B1685" s="12" t="s">
        <v>14593</v>
      </c>
      <c r="C1685" s="13" t="str">
        <f>HYPERLINK("https://audio.iskcondesiretree.com/02_-_ISKCON_Swamis/ISKCON_Swamis_-_R_to_Y/His_Holiness_Radhanath_Swami/Lectures/00_-_Year_wise/Devotional_Nectar_-_2001/2001-063_Value_Of_Association_Of_Devotees_SB-01_18_13_Mumbai_-_20-12-01_IDesireTree.mp3", "2001-063_Value_Of_Association_Of_Devotees_SB-01_18_13_Mumbai_-_20-12-01_IDesireTree.mp3")</f>
        <v>2001-063_Value_Of_Association_Of_Devotees_SB-01_18_13_Mumbai_-_20-12-01_IDesireTree.mp3</v>
      </c>
      <c r="D1685" s="11"/>
      <c r="E1685" s="11"/>
    </row>
    <row r="1686" spans="1:5">
      <c r="A1686" s="12" t="s">
        <v>12462</v>
      </c>
      <c r="B1686" s="12" t="s">
        <v>14594</v>
      </c>
      <c r="C1686" s="13" t="str">
        <f>HYPERLINK("https://audio.iskcondesiretree.com/02_-_ISKCON_Swamis/ISKCON_Swamis_-_R_to_Y/His_Holiness_Radhanath_Swami/Lectures/00_-_Year_wise/Devotional_Nectar_-_2001/2001-064_Make_Your_Desire_One_With_Krsna_SB_Class_Mumbai_-_22-12-01_IDesireTree.mp3", "2001-064_Make_Your_Desire_One_With_Krsna_SB_Class_Mumbai_-_22-12-01_IDesireTree.mp3")</f>
        <v>2001-064_Make_Your_Desire_One_With_Krsna_SB_Class_Mumbai_-_22-12-01_IDesireTree.mp3</v>
      </c>
      <c r="D1686" s="11"/>
      <c r="E1686" s="11"/>
    </row>
    <row r="1687" spans="1:5">
      <c r="A1687" s="12" t="s">
        <v>12462</v>
      </c>
      <c r="B1687" s="12" t="e">
        <v>#VALUE!</v>
      </c>
      <c r="C1687" s="13" t="e">
        <f>HYPERLINK("https://audio.iskcondesiretree.com/02_-_ISKCON_Swamis/ISKCON_Swamis_-_R_to_Y/His_Holiness_Radhanath_Swami/Lectures/00_-_Year_wise/Devotional_Nectar_-_2001/2001-065_Worshippping_the_Lord_For_Material_Benifits_Is_Folishness_SB-04_09_09_Mumbai_-_23-12-01_IDe"&amp;"sireTree.mp3", "2001-065_Worshippping_the_Lord_For_Material_Benifits_Is_Folishness_SB-04_09_09_Mumbai_-_23-12-01_IDesireTree.mp3")</f>
        <v>#VALUE!</v>
      </c>
      <c r="D1687" s="11"/>
      <c r="E1687" s="11"/>
    </row>
    <row r="1688" spans="1:5">
      <c r="A1688" s="12" t="s">
        <v>12462</v>
      </c>
      <c r="B1688" s="12" t="e">
        <v>#VALUE!</v>
      </c>
      <c r="C1688" s="13" t="e">
        <f>HYPERLINK("https://audio.iskcondesiretree.com/02_-_ISKCON_Swamis/ISKCON_Swamis_-_R_to_Y/His_Holiness_Radhanath_Swami/Lectures/00_-_Year_wise/Devotional_Nectar_-_2001/2001-066_Thakur_Bhaktivinod_Teaches_The_Process_Of_Devotional_Service_Lecture_Mumbai_-_23-12-01_IDes"&amp;"ireTree.mp3", "2001-066_Thakur_Bhaktivinod_Teaches_The_Process_Of_Devotional_Service_Lecture_Mumbai_-_23-12-01_IDesireTree.mp3")</f>
        <v>#VALUE!</v>
      </c>
      <c r="D1688" s="11"/>
      <c r="E1688" s="11"/>
    </row>
    <row r="1689" spans="1:5">
      <c r="A1689" s="12" t="s">
        <v>12462</v>
      </c>
      <c r="B1689" s="12" t="s">
        <v>14595</v>
      </c>
      <c r="C1689" s="13" t="str">
        <f>HYPERLINK("https://audio.iskcondesiretree.com/02_-_ISKCON_Swamis/ISKCON_Swamis_-_R_to_Y/His_Holiness_Radhanath_Swami/Lectures/00_-_Year_wise/Devotional_Nectar_-_2001/2001-067_Power_Of_The_Mercy_Of_The_Holy_Name_SB-01_18_19_Mumbai_-_27-12-01_IDesireTree.mp3", "2001-067_Power_Of_The_Mercy_Of_The_Holy_Name_SB-01_18_19_Mumbai_-_27-12-01_IDesireTree.mp3")</f>
        <v>2001-067_Power_Of_The_Mercy_Of_The_Holy_Name_SB-01_18_19_Mumbai_-_27-12-01_IDesireTree.mp3</v>
      </c>
      <c r="D1689" s="11"/>
      <c r="E1689" s="11"/>
    </row>
    <row r="1690" spans="1:5">
      <c r="A1690" s="12" t="s">
        <v>12462</v>
      </c>
      <c r="B1690" s="12" t="e">
        <v>#VALUE!</v>
      </c>
      <c r="C1690" s="13" t="e">
        <f>HYPERLINK("https://audio.iskcondesiretree.com/02_-_ISKCON_Swamis/ISKCON_Swamis_-_R_to_Y/His_Holiness_Radhanath_Swami/Lectures/00_-_Year_wise/Devotional_Nectar_-_2001/2001-068_Knowledge_%26_Realisation_By_The_Grace_Of_Lord_SB-04_09_14_Mumbai_-_29-12-01_IDesireTree.mp"&amp;"3", "2001-068_Knowledge_%26_Realisation_By_The_Grace_Of_Lord_SB-04_09_14_Mumbai_-_29-12-01_IDesireTree.mp3")</f>
        <v>#VALUE!</v>
      </c>
      <c r="D1690" s="11"/>
      <c r="E1690" s="11"/>
    </row>
    <row r="1691" spans="1:5">
      <c r="A1691" s="12" t="s">
        <v>12462</v>
      </c>
      <c r="B1691" s="12" t="s">
        <v>14596</v>
      </c>
      <c r="C1691" s="13" t="str">
        <f>HYPERLINK("https://audio.iskcondesiretree.com/02_-_ISKCON_Swamis/ISKCON_Swamis_-_R_to_Y/His_Holiness_Radhanath_Swami/Lectures/00_-_Year_wise/Devotional_Nectar_-_2001/2001-069_Book_Distribution_Nectar_Lecture_Mumbai_-_Radhanath_Swami_2001-12-29_IDesireTree.mp3", "2001-069_Book_Distribution_Nectar_Lecture_Mumbai_-_Radhanath_Swami_2001-12-29_IDesireTree.mp3")</f>
        <v>2001-069_Book_Distribution_Nectar_Lecture_Mumbai_-_Radhanath_Swami_2001-12-29_IDesireTree.mp3</v>
      </c>
      <c r="D1691" s="11"/>
      <c r="E1691" s="11"/>
    </row>
    <row r="1692" spans="1:5">
      <c r="A1692" s="12" t="s">
        <v>12462</v>
      </c>
      <c r="B1692" s="12" t="e">
        <v>#VALUE!</v>
      </c>
      <c r="C1692" s="13" t="e">
        <f>HYPERLINK("https://audio.iskcondesiretree.com/02_-_ISKCON_Swamis/ISKCON_Swamis_-_R_to_Y/His_Holiness_Radhanath_Swami/Lectures/00_-_Year_wise/Devotional_Nectar_-_2001/2001-070_Supreme_Greatness_Of_Krsna_%26_Insignificant_Jivas_SB-04_09_15_Mumbai_-_30-12-01_IDesireTre"&amp;"e.mp3", "2001-070_Supreme_Greatness_Of_Krsna_%26_Insignificant_Jivas_SB-04_09_15_Mumbai_-_30-12-01_IDesireTree.mp3")</f>
        <v>#VALUE!</v>
      </c>
      <c r="D1692" s="11"/>
      <c r="E1692" s="11"/>
    </row>
    <row r="1693" spans="1:5">
      <c r="A1693" s="12" t="s">
        <v>12462</v>
      </c>
      <c r="B1693" s="12" t="s">
        <v>14597</v>
      </c>
      <c r="C1693" s="13" t="str">
        <f>HYPERLINK("https://audio.iskcondesiretree.com/02_-_ISKCON_Swamis/ISKCON_Swamis_-_R_to_Y/His_Holiness_Radhanath_Swami/Lectures/00_-_Year_wise/Devotional_Nectar_-_2001/2001-071_Overcoming_Sankachuda_Lecture_Mumbai_-_Radhanath_Swami_2001-12-30_IDesireTree.mp3", "2001-071_Overcoming_Sankachuda_Lecture_Mumbai_-_Radhanath_Swami_2001-12-30_IDesireTree.mp3")</f>
        <v>2001-071_Overcoming_Sankachuda_Lecture_Mumbai_-_Radhanath_Swami_2001-12-30_IDesireTree.mp3</v>
      </c>
      <c r="D1693" s="11"/>
      <c r="E1693" s="11"/>
    </row>
    <row r="1694" spans="1:5">
      <c r="A1694" s="12" t="s">
        <v>12462</v>
      </c>
      <c r="B1694" s="12" t="s">
        <v>14598</v>
      </c>
      <c r="C1694" s="13" t="str">
        <f>HYPERLINK("https://audio.iskcondesiretree.com/02_-_ISKCON_Swamis/ISKCON_Swamis_-_R_to_Y/His_Holiness_Radhanath_Swami/Lectures/00_-_Year_wise/Devotional_Nectar_-_2001/2001-072_Getting_Purified_On_New_Years_Eve_Lecture_Mumbai_-_31-12-01_IDesireTree.mp3", "2001-072_Getting_Purified_On_New_Years_Eve_Lecture_Mumbai_-_31-12-01_IDesireTree.mp3")</f>
        <v>2001-072_Getting_Purified_On_New_Years_Eve_Lecture_Mumbai_-_31-12-01_IDesireTree.mp3</v>
      </c>
      <c r="D1694" s="11"/>
      <c r="E1694" s="11"/>
    </row>
    <row r="1695" spans="1:5">
      <c r="A1695" s="12" t="s">
        <v>12462</v>
      </c>
      <c r="B1695" s="12" t="s">
        <v>14599</v>
      </c>
      <c r="C1695" s="13" t="str">
        <f>HYPERLINK("https://audio.iskcondesiretree.com/02_-_ISKCON_Swamis/ISKCON_Swamis_-_R_to_Y/His_Holiness_Radhanath_Swami/Lectures/00_-_Year_wise/Devotional_Nectar_-_2001/2001-08-03_Various_-_Developing_the_Consciousness_of_Family_Spirit_-_Radhanath_Swami_Moscow.mp3", "2001-08-03_Various_-_Developing_the_Consciousness_of_Family_Spirit_-_Radhanath_Swami_Moscow.mp3")</f>
        <v>2001-08-03_Various_-_Developing_the_Consciousness_of_Family_Spirit_-_Radhanath_Swami_Moscow.mp3</v>
      </c>
      <c r="D1695" s="11"/>
      <c r="E1695" s="11"/>
    </row>
    <row r="1696" spans="1:5">
      <c r="A1696" s="12" t="s">
        <v>12462</v>
      </c>
      <c r="B1696" s="12" t="s">
        <v>14600</v>
      </c>
      <c r="C1696" s="13" t="str">
        <f>HYPERLINK("https://audio.iskcondesiretree.com/02_-_ISKCON_Swamis/ISKCON_Swamis_-_R_to_Y/His_Holiness_Radhanath_Swami/Lectures/00_-_Year_wise/Devotional_Nectar_-_2001/2001-08-10_Various_-_Devotees_are_the_Goldest_Assets-01_-_Radhanath_Swami_New_Vraj_Dham.mp3", "2001-08-10_Various_-_Devotees_are_the_Goldest_Assets-01_-_Radhanath_Swami_New_Vraj_Dham.mp3")</f>
        <v>2001-08-10_Various_-_Devotees_are_the_Goldest_Assets-01_-_Radhanath_Swami_New_Vraj_Dham.mp3</v>
      </c>
      <c r="D1696" s="11"/>
      <c r="E1696" s="11"/>
    </row>
    <row r="1697" spans="1:5">
      <c r="A1697" s="12" t="s">
        <v>12462</v>
      </c>
      <c r="B1697" s="12" t="s">
        <v>14601</v>
      </c>
      <c r="C1697" s="13" t="str">
        <f>HYPERLINK("https://audio.iskcondesiretree.com/02_-_ISKCON_Swamis/ISKCON_Swamis_-_R_to_Y/His_Holiness_Radhanath_Swami/Lectures/00_-_Year_wise/Devotional_Nectar_-_2001/2001-08-10_Various_-_Devotees_are_the_Goldest_Assets-02_-_Radhanath_Swami_New_Vraj_Dham.mp3", "2001-08-10_Various_-_Devotees_are_the_Goldest_Assets-02_-_Radhanath_Swami_New_Vraj_Dham.mp3")</f>
        <v>2001-08-10_Various_-_Devotees_are_the_Goldest_Assets-02_-_Radhanath_Swami_New_Vraj_Dham.mp3</v>
      </c>
      <c r="D1697" s="11"/>
      <c r="E1697" s="11"/>
    </row>
    <row r="1698" spans="1:5">
      <c r="A1698" s="12" t="s">
        <v>12462</v>
      </c>
      <c r="B1698" s="12" t="s">
        <v>14602</v>
      </c>
      <c r="C1698" s="13" t="str">
        <f>HYPERLINK("https://audio.iskcondesiretree.com/02_-_ISKCON_Swamis/ISKCON_Swamis_-_R_to_Y/His_Holiness_Radhanath_Swami/Lectures/00_-_Year_wise/Devotional_Nectar_-_2001/2001-08-25_SB_04-30-08_-_Developing_Proper_Relationship_Amongst_Devotees_-_Radhanath_Swami_Italy.mp3", "2001-08-25_SB_04-30-08_-_Developing_Proper_Relationship_Amongst_Devotees_-_Radhanath_Swami_Italy.mp3")</f>
        <v>2001-08-25_SB_04-30-08_-_Developing_Proper_Relationship_Amongst_Devotees_-_Radhanath_Swami_Italy.mp3</v>
      </c>
      <c r="D1698" s="11"/>
      <c r="E1698" s="11"/>
    </row>
    <row r="1699" spans="1:5">
      <c r="A1699" s="12" t="s">
        <v>12462</v>
      </c>
      <c r="B1699" s="12" t="s">
        <v>14603</v>
      </c>
      <c r="C1699" s="13" t="str">
        <f>HYPERLINK("https://audio.iskcondesiretree.com/02_-_ISKCON_Swamis/ISKCON_Swamis_-_R_to_Y/His_Holiness_Radhanath_Swami/Lectures/00_-_Year_wise/Devotional_Nectar_-_2002/2002-001_Srila_Bhaktisiddhanta_Saraswati_Disapp_-_Radhanath_Swami_IDesireTree.mp3", "2002-001_Srila_Bhaktisiddhanta_Saraswati_Disapp_-_Radhanath_Swami_IDesireTree.mp3")</f>
        <v>2002-001_Srila_Bhaktisiddhanta_Saraswati_Disapp_-_Radhanath_Swami_IDesireTree.mp3</v>
      </c>
      <c r="D1699" s="11"/>
      <c r="E1699" s="11"/>
    </row>
    <row r="1700" spans="1:5">
      <c r="A1700" s="12" t="s">
        <v>12462</v>
      </c>
      <c r="B1700" s="12" t="s">
        <v>14604</v>
      </c>
      <c r="C1700" s="13" t="str">
        <f>HYPERLINK("https://audio.iskcondesiretree.com/02_-_ISKCON_Swamis/ISKCON_Swamis_-_R_to_Y/His_Holiness_Radhanath_Swami/Lectures/00_-_Year_wise/Devotional_Nectar_-_2002/2002-002_Sweet_Memories_of_George_Harrison_SB-01_18_26_Mumbai_-_03-01-02_IDesireTree.mp3", "2002-002_Sweet_Memories_of_George_Harrison_SB-01_18_26_Mumbai_-_03-01-02_IDesireTree.mp3")</f>
        <v>2002-002_Sweet_Memories_of_George_Harrison_SB-01_18_26_Mumbai_-_03-01-02_IDesireTree.mp3</v>
      </c>
      <c r="D1700" s="11"/>
      <c r="E1700" s="11"/>
    </row>
    <row r="1701" spans="1:5">
      <c r="A1701" s="12" t="s">
        <v>12462</v>
      </c>
      <c r="B1701" s="12" t="s">
        <v>14605</v>
      </c>
      <c r="C1701" s="13" t="str">
        <f>HYPERLINK("https://audio.iskcondesiretree.com/02_-_ISKCON_Swamis/ISKCON_Swamis_-_R_to_Y/His_Holiness_Radhanath_Swami/Lectures/00_-_Year_wise/Devotional_Nectar_-_2002/2002-004_Lord_Caitanya_%26_Rath_Yatra_Lecture_Mumbai_-_Radhanath_Swami_2002-01-05_IDesireTree.mp3", "2002-004_Lord_Caitanya_%26_Rath_Yatra_Lecture_Mumbai_-_Radhanath_Swami_2002-01-05_IDesireTree.mp3")</f>
        <v>2002-004_Lord_Caitanya_%26_Rath_Yatra_Lecture_Mumbai_-_Radhanath_Swami_2002-01-05_IDesireTree.mp3</v>
      </c>
      <c r="D1701" s="11"/>
      <c r="E1701" s="11"/>
    </row>
    <row r="1702" spans="1:5">
      <c r="A1702" s="12" t="s">
        <v>12462</v>
      </c>
      <c r="B1702" s="12" t="s">
        <v>14606</v>
      </c>
      <c r="C1702" s="13" t="str">
        <f>HYPERLINK("https://audio.iskcondesiretree.com/02_-_ISKCON_Swamis/ISKCON_Swamis_-_R_to_Y/His_Holiness_Radhanath_Swami/Lectures/00_-_Year_wise/Devotional_Nectar_-_2002/2002-005_Lord_Caitanya_Celebrating_Rath_Yatra_CC_Mumbai_-_Radhanath_Swami_2002-01-05_IDesireTree.mp3", "2002-005_Lord_Caitanya_Celebrating_Rath_Yatra_CC_Mumbai_-_Radhanath_Swami_2002-01-05_IDesireTree.mp3")</f>
        <v>2002-005_Lord_Caitanya_Celebrating_Rath_Yatra_CC_Mumbai_-_Radhanath_Swami_2002-01-05_IDesireTree.mp3</v>
      </c>
      <c r="D1702" s="11"/>
      <c r="E1702" s="11"/>
    </row>
    <row r="1703" spans="1:5">
      <c r="A1703" s="12" t="s">
        <v>12462</v>
      </c>
      <c r="B1703" s="12" t="s">
        <v>14607</v>
      </c>
      <c r="C1703" s="13" t="str">
        <f>HYPERLINK("https://audio.iskcondesiretree.com/02_-_ISKCON_Swamis/ISKCON_Swamis_-_R_to_Y/His_Holiness_Radhanath_Swami/Lectures/00_-_Year_wise/Devotional_Nectar_-_2002/2002-006_Nature_of_spiritual_Anxiety_SB_04_09_22_Mumbai_-_Radhanath_Swami_2002-01-06_IDesireTree.mp3", "2002-006_Nature_of_spiritual_Anxiety_SB_04_09_22_Mumbai_-_Radhanath_Swami_2002-01-06_IDesireTree.mp3")</f>
        <v>2002-006_Nature_of_spiritual_Anxiety_SB_04_09_22_Mumbai_-_Radhanath_Swami_2002-01-06_IDesireTree.mp3</v>
      </c>
      <c r="D1703" s="11"/>
      <c r="E1703" s="11"/>
    </row>
    <row r="1704" spans="1:5">
      <c r="A1704" s="12" t="s">
        <v>12462</v>
      </c>
      <c r="B1704" s="12" t="s">
        <v>14608</v>
      </c>
      <c r="C1704" s="13" t="str">
        <f>HYPERLINK("https://audio.iskcondesiretree.com/02_-_ISKCON_Swamis/ISKCON_Swamis_-_R_to_Y/His_Holiness_Radhanath_Swami/Lectures/00_-_Year_wise/Devotional_Nectar_-_2002/2002-007_Shyamsunder_Prabhu_Remembers_George_Harrison_Lecture_Mumbai_-_06-01-02_IDesireTree.mp3", "2002-007_Shyamsunder_Prabhu_Remembers_George_Harrison_Lecture_Mumbai_-_06-01-02_IDesireTree.mp3")</f>
        <v>2002-007_Shyamsunder_Prabhu_Remembers_George_Harrison_Lecture_Mumbai_-_06-01-02_IDesireTree.mp3</v>
      </c>
      <c r="D1704" s="11"/>
      <c r="E1704" s="11"/>
    </row>
    <row r="1705" spans="1:5">
      <c r="A1705" s="12" t="s">
        <v>12462</v>
      </c>
      <c r="B1705" s="12" t="s">
        <v>14609</v>
      </c>
      <c r="C1705" s="13" t="str">
        <f>HYPERLINK("https://audio.iskcondesiretree.com/02_-_ISKCON_Swamis/ISKCON_Swamis_-_R_to_Y/His_Holiness_Radhanath_Swami/Lectures/00_-_Year_wise/Devotional_Nectar_-_2002/2002-008_Looking_For_An_Every_Opportunity_To_See_Krsna_Lecture_Mumbai_-_08-01-02_IDesireTree.mp3", "2002-008_Looking_For_An_Every_Opportunity_To_See_Krsna_Lecture_Mumbai_-_08-01-02_IDesireTree.mp3")</f>
        <v>2002-008_Looking_For_An_Every_Opportunity_To_See_Krsna_Lecture_Mumbai_-_08-01-02_IDesireTree.mp3</v>
      </c>
      <c r="D1705" s="11"/>
      <c r="E1705" s="11"/>
    </row>
    <row r="1706" spans="1:5">
      <c r="A1706" s="12" t="s">
        <v>12462</v>
      </c>
      <c r="B1706" s="12" t="s">
        <v>14610</v>
      </c>
      <c r="C1706" s="13" t="str">
        <f>HYPERLINK("https://audio.iskcondesiretree.com/02_-_ISKCON_Swamis/ISKCON_Swamis_-_R_to_Y/His_Holiness_Radhanath_Swami/Lectures/00_-_Year_wise/Devotional_Nectar_-_2002/2002-009_Book_Distribution_Of_Address_Lecture_Mumbai_-_Radhanath_Swami_2002-01-10_IDesireTree.mp3", "2002-009_Book_Distribution_Of_Address_Lecture_Mumbai_-_Radhanath_Swami_2002-01-10_IDesireTree.mp3")</f>
        <v>2002-009_Book_Distribution_Of_Address_Lecture_Mumbai_-_Radhanath_Swami_2002-01-10_IDesireTree.mp3</v>
      </c>
      <c r="D1706" s="11"/>
      <c r="E1706" s="11"/>
    </row>
    <row r="1707" spans="1:5">
      <c r="A1707" s="12" t="s">
        <v>12462</v>
      </c>
      <c r="B1707" s="12" t="s">
        <v>14611</v>
      </c>
      <c r="C1707" s="13" t="str">
        <f>HYPERLINK("https://audio.iskcondesiretree.com/02_-_ISKCON_Swamis/ISKCON_Swamis_-_R_to_Y/His_Holiness_Radhanath_Swami/Lectures/00_-_Year_wise/Devotional_Nectar_-_2002/2002-01-13_SB_04-09-29_-_What_is_a_true_Substance_of_a_Vaishnava_-_Radhanath_Swami_Mumbai.mp3", "2002-01-13_SB_04-09-29_-_What_is_a_true_Substance_of_a_Vaishnava_-_Radhanath_Swami_Mumbai.mp3")</f>
        <v>2002-01-13_SB_04-09-29_-_What_is_a_true_Substance_of_a_Vaishnava_-_Radhanath_Swami_Mumbai.mp3</v>
      </c>
      <c r="D1707" s="11"/>
      <c r="E1707" s="11"/>
    </row>
    <row r="1708" spans="1:5">
      <c r="A1708" s="12" t="s">
        <v>12462</v>
      </c>
      <c r="B1708" s="12" t="s">
        <v>14612</v>
      </c>
      <c r="C1708" s="13" t="str">
        <f>HYPERLINK("https://audio.iskcondesiretree.com/02_-_ISKCON_Swamis/ISKCON_Swamis_-_R_to_Y/His_Holiness_Radhanath_Swami/Lectures/00_-_Year_wise/Devotional_Nectar_-_2002/2002-010_Lamentation_Of_Dhruva_Maharaj_SB-04_93_28_Mumbai_-_12-01-02_IDesireTree.mp3", "2002-010_Lamentation_Of_Dhruva_Maharaj_SB-04_93_28_Mumbai_-_12-01-02_IDesireTree.mp3")</f>
        <v>2002-010_Lamentation_Of_Dhruva_Maharaj_SB-04_93_28_Mumbai_-_12-01-02_IDesireTree.mp3</v>
      </c>
      <c r="D1708" s="11"/>
      <c r="E1708" s="11"/>
    </row>
    <row r="1709" spans="1:5">
      <c r="A1709" s="12" t="s">
        <v>12462</v>
      </c>
      <c r="B1709" s="12" t="s">
        <v>14613</v>
      </c>
      <c r="C1709" s="13" t="str">
        <f>HYPERLINK("https://audio.iskcondesiretree.com/02_-_ISKCON_Swamis/ISKCON_Swamis_-_R_to_Y/His_Holiness_Radhanath_Swami/Lectures/00_-_Year_wise/Devotional_Nectar_-_2002/2002-011_Real_Solution_For_World_Peace_Juhu_Rath_Yatra_Lecture_Mumbai_-_12-01-02_IDesireTree.mp3", "2002-011_Real_Solution_For_World_Peace_Juhu_Rath_Yatra_Lecture_Mumbai_-_12-01-02_IDesireTree.mp3")</f>
        <v>2002-011_Real_Solution_For_World_Peace_Juhu_Rath_Yatra_Lecture_Mumbai_-_12-01-02_IDesireTree.mp3</v>
      </c>
      <c r="D1709" s="11"/>
      <c r="E1709" s="11"/>
    </row>
    <row r="1710" spans="1:5">
      <c r="A1710" s="12" t="s">
        <v>12462</v>
      </c>
      <c r="B1710" s="12" t="s">
        <v>14614</v>
      </c>
      <c r="C1710" s="13" t="str">
        <f>HYPERLINK("https://audio.iskcondesiretree.com/02_-_ISKCON_Swamis/ISKCON_Swamis_-_R_to_Y/His_Holiness_Radhanath_Swami/Lectures/00_-_Year_wise/Devotional_Nectar_-_2002/2002-012_True_Substance_Of_Vaishnava_SB-04_-_Radhanath_Swami_IDesireTree.mp3", "2002-012_True_Substance_Of_Vaishnava_SB-04_-_Radhanath_Swami_IDesireTree.mp3")</f>
        <v>2002-012_True_Substance_Of_Vaishnava_SB-04_-_Radhanath_Swami_IDesireTree.mp3</v>
      </c>
      <c r="D1710" s="11"/>
      <c r="E1710" s="11"/>
    </row>
    <row r="1711" spans="1:5">
      <c r="A1711" s="12" t="s">
        <v>12462</v>
      </c>
      <c r="B1711" s="12" t="s">
        <v>14615</v>
      </c>
      <c r="C1711" s="13" t="str">
        <f>HYPERLINK("https://audio.iskcondesiretree.com/02_-_ISKCON_Swamis/ISKCON_Swamis_-_R_to_Y/His_Holiness_Radhanath_Swami/Lectures/00_-_Year_wise/Devotional_Nectar_-_2002/2002-013_Preaching_History_of_Russia_Lecture_Mumbai_-_Radhanath_Swami_2002-01-13_IDesireTree.mp3", "2002-013_Preaching_History_of_Russia_Lecture_Mumbai_-_Radhanath_Swami_2002-01-13_IDesireTree.mp3")</f>
        <v>2002-013_Preaching_History_of_Russia_Lecture_Mumbai_-_Radhanath_Swami_2002-01-13_IDesireTree.mp3</v>
      </c>
      <c r="D1711" s="11"/>
      <c r="E1711" s="11"/>
    </row>
    <row r="1712" spans="1:5">
      <c r="A1712" s="12" t="s">
        <v>12462</v>
      </c>
      <c r="B1712" s="12" t="e">
        <v>#VALUE!</v>
      </c>
      <c r="C1712" s="13" t="e">
        <f>HYPERLINK("https://audio.iskcondesiretree.com/02_-_ISKCON_Swamis/ISKCON_Swamis_-_R_to_Y/His_Holiness_Radhanath_Swami/Lectures/00_-_Year_wise/Devotional_Nectar_-_2002/2002-014_Holding_Unto_The_Life_Boat_Of_Devotional_Service_SB-04_09_34_Mumbai_-_18-01-02_IDesireTree."&amp;"mp3", "2002-014_Holding_Unto_The_Life_Boat_Of_Devotional_Service_SB-04_09_34_Mumbai_-_18-01-02_IDesireTree.mp3")</f>
        <v>#VALUE!</v>
      </c>
      <c r="D1712" s="11"/>
      <c r="E1712" s="11"/>
    </row>
    <row r="1713" spans="1:5">
      <c r="A1713" s="12" t="s">
        <v>12462</v>
      </c>
      <c r="B1713" s="12" t="s">
        <v>14616</v>
      </c>
      <c r="C1713" s="13" t="str">
        <f>HYPERLINK("https://audio.iskcondesiretree.com/02_-_ISKCON_Swamis/ISKCON_Swamis_-_R_to_Y/His_Holiness_Radhanath_Swami/Lectures/00_-_Year_wise/Devotional_Nectar_-_2002/2002-015_SB_04_30_18_Mumbai_-_Radhanath_Swami_2002-01-19_IDesireTree.mp3", "2002-015_SB_04_30_18_Mumbai_-_Radhanath_Swami_2002-01-19_IDesireTree.mp3")</f>
        <v>2002-015_SB_04_30_18_Mumbai_-_Radhanath_Swami_2002-01-19_IDesireTree.mp3</v>
      </c>
      <c r="D1713" s="11"/>
      <c r="E1713" s="11"/>
    </row>
    <row r="1714" spans="1:5">
      <c r="A1714" s="12" t="s">
        <v>12462</v>
      </c>
      <c r="B1714" s="12" t="s">
        <v>14617</v>
      </c>
      <c r="C1714" s="13" t="str">
        <f>HYPERLINK("https://audio.iskcondesiretree.com/02_-_ISKCON_Swamis/ISKCON_Swamis_-_R_to_Y/His_Holiness_Radhanath_Swami/Lectures/00_-_Year_wise/Devotional_Nectar_-_2002/2002-016_Pandal_Programme_Lecture_Belgaum_-_Radhanath_Swami_2002-01-19_IDesireTree.mp3", "2002-016_Pandal_Programme_Lecture_Belgaum_-_Radhanath_Swami_2002-01-19_IDesireTree.mp3")</f>
        <v>2002-016_Pandal_Programme_Lecture_Belgaum_-_Radhanath_Swami_2002-01-19_IDesireTree.mp3</v>
      </c>
      <c r="D1714" s="11"/>
      <c r="E1714" s="11"/>
    </row>
    <row r="1715" spans="1:5">
      <c r="A1715" s="12" t="s">
        <v>12462</v>
      </c>
      <c r="B1715" s="12" t="s">
        <v>14618</v>
      </c>
      <c r="C1715" s="13" t="str">
        <f>HYPERLINK("https://audio.iskcondesiretree.com/02_-_ISKCON_Swamis/ISKCON_Swamis_-_R_to_Y/His_Holiness_Radhanath_Swami/Lectures/00_-_Year_wise/Devotional_Nectar_-_2002/2002-017_Q_and_A_With_Belgaum_Devotees_Q_%26_A_Belgaum_-_Radhanath_Swami_2002-01-21_IDesireTree.mp3", "2002-017_Q_and_A_With_Belgaum_Devotees_Q_%26_A_Belgaum_-_Radhanath_Swami_2002-01-21_IDesireTree.mp3")</f>
        <v>2002-017_Q_and_A_With_Belgaum_Devotees_Q_%26_A_Belgaum_-_Radhanath_Swami_2002-01-21_IDesireTree.mp3</v>
      </c>
      <c r="D1715" s="11"/>
      <c r="E1715" s="11"/>
    </row>
    <row r="1716" spans="1:5">
      <c r="A1716" s="12" t="s">
        <v>12462</v>
      </c>
      <c r="B1716" s="12" t="s">
        <v>14619</v>
      </c>
      <c r="C1716" s="13" t="str">
        <f>HYPERLINK("https://audio.iskcondesiretree.com/02_-_ISKCON_Swamis/ISKCON_Swamis_-_R_to_Y/His_Holiness_Radhanath_Swami/Lectures/00_-_Year_wise/Devotional_Nectar_-_2002/2002-018_What_It_Means_To_Be_Forgiving_SB-01_18_49_Mumbai_-_24-01-02_IDesireTree.mp3", "2002-018_What_It_Means_To_Be_Forgiving_SB-01_18_49_Mumbai_-_24-01-02_IDesireTree.mp3")</f>
        <v>2002-018_What_It_Means_To_Be_Forgiving_SB-01_18_49_Mumbai_-_24-01-02_IDesireTree.mp3</v>
      </c>
      <c r="D1716" s="11"/>
      <c r="E1716" s="11"/>
    </row>
    <row r="1717" spans="1:5">
      <c r="A1717" s="12" t="s">
        <v>12462</v>
      </c>
      <c r="B1717" s="12" t="s">
        <v>14620</v>
      </c>
      <c r="C1717" s="13" t="str">
        <f>HYPERLINK("https://audio.iskcondesiretree.com/02_-_ISKCON_Swamis/ISKCON_Swamis_-_R_to_Y/His_Holiness_Radhanath_Swami/Lectures/00_-_Year_wise/Devotional_Nectar_-_2002/2002-019_Dhruva_Maharaj_An_Ideal_Hero_SB-04_09_48-50_Mumbai_-_26-01-02_IDesireTree.mp3", "2002-019_Dhruva_Maharaj_An_Ideal_Hero_SB-04_09_48-50_Mumbai_-_26-01-02_IDesireTree.mp3")</f>
        <v>2002-019_Dhruva_Maharaj_An_Ideal_Hero_SB-04_09_48-50_Mumbai_-_26-01-02_IDesireTree.mp3</v>
      </c>
      <c r="D1717" s="11"/>
      <c r="E1717" s="11"/>
    </row>
    <row r="1718" spans="1:5">
      <c r="A1718" s="12" t="s">
        <v>12462</v>
      </c>
      <c r="B1718" s="12" t="e">
        <v>#VALUE!</v>
      </c>
      <c r="C1718" s="13" t="e">
        <f>HYPERLINK("https://audio.iskcondesiretree.com/02_-_ISKCON_Swamis/ISKCON_Swamis_-_R_to_Y/His_Holiness_Radhanath_Swami/Lectures/00_-_Year_wise/Devotional_Nectar_-_2002/2002-020_Develop_Concern_For_Spiritual_Welfare_For_Other_SB-04_09_51-52_Mumbai_-_27-01-02_IDesireTre"&amp;"e.mp3", "2002-020_Develop_Concern_For_Spiritual_Welfare_For_Other_SB-04_09_51-52_Mumbai_-_27-01-02_IDesireTree.mp3")</f>
        <v>#VALUE!</v>
      </c>
      <c r="D1718" s="11"/>
      <c r="E1718" s="11"/>
    </row>
    <row r="1719" spans="1:5">
      <c r="A1719" s="12" t="s">
        <v>12462</v>
      </c>
      <c r="B1719" s="12" t="s">
        <v>14621</v>
      </c>
      <c r="C1719" s="13" t="str">
        <f>HYPERLINK("https://audio.iskcondesiretree.com/02_-_ISKCON_Swamis/ISKCON_Swamis_-_R_to_Y/His_Holiness_Radhanath_Swami/Lectures/00_-_Year_wise/Devotional_Nectar_-_2002/2002-021_Motherly_Love_Knows_No_Bounds_SB-04_09_51-52_Mumbai_-_27-01-02_IDesireTree.mp3", "2002-021_Motherly_Love_Knows_No_Bounds_SB-04_09_51-52_Mumbai_-_27-01-02_IDesireTree.mp3")</f>
        <v>2002-021_Motherly_Love_Knows_No_Bounds_SB-04_09_51-52_Mumbai_-_27-01-02_IDesireTree.mp3</v>
      </c>
      <c r="D1719" s="11"/>
      <c r="E1719" s="11"/>
    </row>
    <row r="1720" spans="1:5">
      <c r="A1720" s="12" t="s">
        <v>12462</v>
      </c>
      <c r="B1720" s="12" t="s">
        <v>14622</v>
      </c>
      <c r="C1720" s="13" t="str">
        <f>HYPERLINK("https://audio.iskcondesiretree.com/02_-_ISKCON_Swamis/ISKCON_Swamis_-_R_to_Y/His_Holiness_Radhanath_Swami/Lectures/00_-_Year_wise/Devotional_Nectar_-_2002/2002-022_The_Simple_Process_Of_Krsna_Consciousness_Lecture_Mumbai_-_27-01-02_IDesireTree.mp3", "2002-022_The_Simple_Process_Of_Krsna_Consciousness_Lecture_Mumbai_-_27-01-02_IDesireTree.mp3")</f>
        <v>2002-022_The_Simple_Process_Of_Krsna_Consciousness_Lecture_Mumbai_-_27-01-02_IDesireTree.mp3</v>
      </c>
      <c r="D1720" s="11"/>
      <c r="E1720" s="11"/>
    </row>
    <row r="1721" spans="1:5">
      <c r="A1721" s="12" t="s">
        <v>12462</v>
      </c>
      <c r="B1721" s="12" t="s">
        <v>14623</v>
      </c>
      <c r="C1721" s="13" t="str">
        <f>HYPERLINK("https://audio.iskcondesiretree.com/02_-_ISKCON_Swamis/ISKCON_Swamis_-_R_to_Y/His_Holiness_Radhanath_Swami/Lectures/00_-_Year_wise/Devotional_Nectar_-_2002/2002-023_Pushpa_Abhishek_Lect_-_Radhanath_Swami_IDesireTree.mp3", "2002-023_Pushpa_Abhishek_Lect_-_Radhanath_Swami_IDesireTree.mp3")</f>
        <v>2002-023_Pushpa_Abhishek_Lect_-_Radhanath_Swami_IDesireTree.mp3</v>
      </c>
      <c r="D1721" s="11"/>
      <c r="E1721" s="11"/>
    </row>
    <row r="1722" spans="1:5">
      <c r="A1722" s="12" t="s">
        <v>12462</v>
      </c>
      <c r="B1722" s="12" t="s">
        <v>14624</v>
      </c>
      <c r="C1722" s="13" t="str">
        <f>HYPERLINK("https://audio.iskcondesiretree.com/02_-_ISKCON_Swamis/ISKCON_Swamis_-_R_to_Y/His_Holiness_Radhanath_Swami/Lectures/00_-_Year_wise/Devotional_Nectar_-_2002/2002-024_Deity_Welcoming_Address_Lecture_Mumbai_-_Radhanath_Swami_2002-01-29_IDesireTree.mp3", "2002-024_Deity_Welcoming_Address_Lecture_Mumbai_-_Radhanath_Swami_2002-01-29_IDesireTree.mp3")</f>
        <v>2002-024_Deity_Welcoming_Address_Lecture_Mumbai_-_Radhanath_Swami_2002-01-29_IDesireTree.mp3</v>
      </c>
      <c r="D1722" s="11"/>
      <c r="E1722" s="11"/>
    </row>
    <row r="1723" spans="1:5">
      <c r="A1723" s="12" t="s">
        <v>12462</v>
      </c>
      <c r="B1723" s="12" t="e">
        <v>#VALUE!</v>
      </c>
      <c r="C1723" s="13" t="e">
        <f>HYPERLINK("https://audio.iskcondesiretree.com/02_-_ISKCON_Swamis/ISKCON_Swamis_-_R_to_Y/His_Holiness_Radhanath_Swami/Lectures/00_-_Year_wise/Devotional_Nectar_-_2002/2002-025_Extend_Srila_Prabhupada%27s_Compassion_LNHO_Function_Lecure_Mumbai_-_30-01-02_IDesireTree.m"&amp;"p3", "2002-025_Extend_Srila_Prabhupada%27s_Compassion_LNHO_Function_Lecure_Mumbai_-_30-01-02_IDesireTree.mp3")</f>
        <v>#VALUE!</v>
      </c>
      <c r="D1723" s="11"/>
      <c r="E1723" s="11"/>
    </row>
    <row r="1724" spans="1:5">
      <c r="A1724" s="12" t="s">
        <v>12462</v>
      </c>
      <c r="B1724" s="12" t="s">
        <v>14625</v>
      </c>
      <c r="C1724" s="13" t="str">
        <f>HYPERLINK("https://audio.iskcondesiretree.com/02_-_ISKCON_Swamis/ISKCON_Swamis_-_R_to_Y/His_Holiness_Radhanath_Swami/Lectures/00_-_Year_wise/Devotional_Nectar_-_2002/2002-026_To_Seek_Blessing_Is_a_Sign_Of_Humility_Lecture_Mumbai_-_31-01-02_IDesireTree.mp3", "2002-026_To_Seek_Blessing_Is_a_Sign_Of_Humility_Lecture_Mumbai_-_31-01-02_IDesireTree.mp3")</f>
        <v>2002-026_To_Seek_Blessing_Is_a_Sign_Of_Humility_Lecture_Mumbai_-_31-01-02_IDesireTree.mp3</v>
      </c>
      <c r="D1724" s="11"/>
      <c r="E1724" s="11"/>
    </row>
    <row r="1725" spans="1:5">
      <c r="A1725" s="12" t="s">
        <v>12462</v>
      </c>
      <c r="B1725" s="12" t="s">
        <v>14626</v>
      </c>
      <c r="C1725" s="13" t="str">
        <f>HYPERLINK("https://audio.iskcondesiretree.com/02_-_ISKCON_Swamis/ISKCON_Swamis_-_R_to_Y/His_Holiness_Radhanath_Swami/Lectures/00_-_Year_wise/Devotional_Nectar_-_2002/2002-027_Today%27s_Society_Requires_Leaders_Like_Uttanupada_SB-04_-_Radhanath_Swami_IDesireTree.mp3", "2002-027_Today%27s_Society_Requires_Leaders_Like_Uttanupada_SB-04_-_Radhanath_Swami_IDesireTree.mp3")</f>
        <v>2002-027_Today%27s_Society_Requires_Leaders_Like_Uttanupada_SB-04_-_Radhanath_Swami_IDesireTree.mp3</v>
      </c>
      <c r="D1725" s="11"/>
      <c r="E1725" s="11"/>
    </row>
    <row r="1726" spans="1:5">
      <c r="A1726" s="12" t="s">
        <v>12462</v>
      </c>
      <c r="B1726" s="12" t="e">
        <v>#VALUE!</v>
      </c>
      <c r="C1726" s="13" t="e">
        <f>HYPERLINK("https://audio.iskcondesiretree.com/02_-_ISKCON_Swamis/ISKCON_Swamis_-_R_to_Y/His_Holiness_Radhanath_Swami/Lectures/00_-_Year_wise/Devotional_Nectar_-_2002/2002-028_Dissipating_The_Cloud_Of_Illusion_Through_Love_Of_God_NSCI_Lecture_Mumbai_-_02-02-02_IDesir"&amp;"eTree.mp3", "2002-028_Dissipating_The_Cloud_Of_Illusion_Through_Love_Of_God_NSCI_Lecture_Mumbai_-_02-02-02_IDesireTree.mp3")</f>
        <v>#VALUE!</v>
      </c>
      <c r="D1726" s="11"/>
      <c r="E1726" s="11"/>
    </row>
    <row r="1727" spans="1:5">
      <c r="A1727" s="12" t="s">
        <v>12462</v>
      </c>
      <c r="B1727" s="12" t="s">
        <v>14627</v>
      </c>
      <c r="C1727" s="13" t="str">
        <f>HYPERLINK("https://audio.iskcondesiretree.com/02_-_ISKCON_Swamis/ISKCON_Swamis_-_R_to_Y/His_Holiness_Radhanath_Swami/Lectures/00_-_Year_wise/Devotional_Nectar_-_2002/2002-029_Beauty_Of_Old_Age_SB-04_09_67_Mumbai_-_Radhanath_Swami_2002-02-03_IDesireTree.mp3", "2002-029_Beauty_Of_Old_Age_SB-04_09_67_Mumbai_-_Radhanath_Swami_2002-02-03_IDesireTree.mp3")</f>
        <v>2002-029_Beauty_Of_Old_Age_SB-04_09_67_Mumbai_-_Radhanath_Swami_2002-02-03_IDesireTree.mp3</v>
      </c>
      <c r="D1727" s="11"/>
      <c r="E1727" s="11"/>
    </row>
    <row r="1728" spans="1:5">
      <c r="A1728" s="12" t="s">
        <v>12462</v>
      </c>
      <c r="B1728" s="12" t="e">
        <v>#VALUE!</v>
      </c>
      <c r="C1728" s="13" t="e">
        <f>HYPERLINK("https://audio.iskcondesiretree.com/02_-_ISKCON_Swamis/ISKCON_Swamis_-_R_to_Y/His_Holiness_Radhanath_Swami/Lectures/00_-_Year_wise/Devotional_Nectar_-_2002/2002-030_Maharaj_Parikshit_setting_the_perfect_example_SB-01_19_09_10_Mumbai_-_07-02-02_IDesireTree."&amp;"mp3", "2002-030_Maharaj_Parikshit_setting_the_perfect_example_SB-01_19_09_10_Mumbai_-_07-02-02_IDesireTree.mp3")</f>
        <v>#VALUE!</v>
      </c>
      <c r="D1728" s="11"/>
      <c r="E1728" s="11"/>
    </row>
    <row r="1729" spans="1:5">
      <c r="A1729" s="12" t="s">
        <v>12462</v>
      </c>
      <c r="B1729" s="12" t="s">
        <v>14628</v>
      </c>
      <c r="C1729" s="13" t="str">
        <f>HYPERLINK("https://audio.iskcondesiretree.com/02_-_ISKCON_Swamis/ISKCON_Swamis_-_R_to_Y/His_Holiness_Radhanath_Swami/Lectures/00_-_Year_wise/Devotional_Nectar_-_2002/2002-031_Krsna_Always_Protects_His_Devotees_SB-04_10_14_Mumbai_-_Radhanath_Swami_09_IDesireTree.mp3", "2002-031_Krsna_Always_Protects_His_Devotees_SB-04_10_14_Mumbai_-_Radhanath_Swami_09_IDesireTree.mp3")</f>
        <v>2002-031_Krsna_Always_Protects_His_Devotees_SB-04_10_14_Mumbai_-_Radhanath_Swami_09_IDesireTree.mp3</v>
      </c>
      <c r="D1729" s="11"/>
      <c r="E1729" s="11"/>
    </row>
    <row r="1730" spans="1:5">
      <c r="A1730" s="12" t="s">
        <v>12462</v>
      </c>
      <c r="B1730" s="12" t="s">
        <v>14629</v>
      </c>
      <c r="C1730" s="13" t="str">
        <f>HYPERLINK("https://audio.iskcondesiretree.com/02_-_ISKCON_Swamis/ISKCON_Swamis_-_R_to_Y/His_Holiness_Radhanath_Swami/Lectures/00_-_Year_wise/Devotional_Nectar_-_2002/2002-032_Disspating_The_Cloud_Of_Material_Illusion_SB-04_10_14_Mumbay_-_10-02-02_IDesireTree.mp3", "2002-032_Disspating_The_Cloud_Of_Material_Illusion_SB-04_10_14_Mumbay_-_10-02-02_IDesireTree.mp3")</f>
        <v>2002-032_Disspating_The_Cloud_Of_Material_Illusion_SB-04_10_14_Mumbay_-_10-02-02_IDesireTree.mp3</v>
      </c>
      <c r="D1730" s="11"/>
      <c r="E1730" s="11"/>
    </row>
    <row r="1731" spans="1:5">
      <c r="A1731" s="12" t="s">
        <v>12462</v>
      </c>
      <c r="B1731" s="12" t="s">
        <v>14630</v>
      </c>
      <c r="C1731" s="13" t="str">
        <f>HYPERLINK("https://audio.iskcondesiretree.com/02_-_ISKCON_Swamis/ISKCON_Swamis_-_R_to_Y/His_Holiness_Radhanath_Swami/Lectures/00_-_Year_wise/Devotional_Nectar_-_2002/2002-033_Glories_Of_Srila_Jayadeva_Goswami_-_Radhanath_Swami_IDesireTree.mp3", "2002-033_Glories_Of_Srila_Jayadeva_Goswami_-_Radhanath_Swami_IDesireTree.mp3")</f>
        <v>2002-033_Glories_Of_Srila_Jayadeva_Goswami_-_Radhanath_Swami_IDesireTree.mp3</v>
      </c>
      <c r="D1731" s="11"/>
      <c r="E1731" s="11"/>
    </row>
    <row r="1732" spans="1:5">
      <c r="A1732" s="12" t="s">
        <v>12462</v>
      </c>
      <c r="B1732" s="12" t="s">
        <v>14631</v>
      </c>
      <c r="C1732" s="13" t="str">
        <f>HYPERLINK("https://audio.iskcondesiretree.com/02_-_ISKCON_Swamis/ISKCON_Swamis_-_R_to_Y/His_Holiness_Radhanath_Swami/Lectures/00_-_Year_wise/Devotional_Nectar_-_2002/2002-034_Fearlessly_Surrender_Our_Lives_To_Krsna_SB-01_19_15_Mumbai_-_14-02-02_IDesireTree.mp3", "2002-034_Fearlessly_Surrender_Our_Lives_To_Krsna_SB-01_19_15_Mumbai_-_14-02-02_IDesireTree.mp3")</f>
        <v>2002-034_Fearlessly_Surrender_Our_Lives_To_Krsna_SB-01_19_15_Mumbai_-_14-02-02_IDesireTree.mp3</v>
      </c>
      <c r="D1732" s="11"/>
      <c r="E1732" s="11"/>
    </row>
    <row r="1733" spans="1:5">
      <c r="A1733" s="12" t="s">
        <v>12462</v>
      </c>
      <c r="B1733" s="12" t="s">
        <v>14632</v>
      </c>
      <c r="C1733" s="13" t="str">
        <f>HYPERLINK("https://audio.iskcondesiretree.com/02_-_ISKCON_Swamis/ISKCON_Swamis_-_R_to_Y/His_Holiness_Radhanath_Swami/Lectures/00_-_Year_wise/Devotional_Nectar_-_2002/2002-035_Pastime_of_Baby_Krsna_Lecture_Mumbai_-_Radhanath_Swami_2002-02-15_IDesireTree.mp3", "2002-035_Pastime_of_Baby_Krsna_Lecture_Mumbai_-_Radhanath_Swami_2002-02-15_IDesireTree.mp3")</f>
        <v>2002-035_Pastime_of_Baby_Krsna_Lecture_Mumbai_-_Radhanath_Swami_2002-02-15_IDesireTree.mp3</v>
      </c>
      <c r="D1733" s="11"/>
      <c r="E1733" s="11"/>
    </row>
    <row r="1734" spans="1:5">
      <c r="A1734" s="12" t="s">
        <v>12462</v>
      </c>
      <c r="B1734" s="12" t="e">
        <v>#VALUE!</v>
      </c>
      <c r="C1734" s="13" t="e">
        <f>HYPERLINK("https://audio.iskcondesiretree.com/02_-_ISKCON_Swamis/ISKCON_Swamis_-_R_to_Y/His_Holiness_Radhanath_Swami/Lectures/00_-_Year_wise/Devotional_Nectar_-_2002/2002-036_Understanding_The_Real_Meaning_Of_Valentines_Day_SB-04_11_03-05_Mumbai_-_16-02-02_IDesireTr"&amp;"ee.mp3", "2002-036_Understanding_The_Real_Meaning_Of_Valentines_Day_SB-04_11_03-05_Mumbai_-_16-02-02_IDesireTree.mp3")</f>
        <v>#VALUE!</v>
      </c>
      <c r="D1734" s="11"/>
      <c r="E1734" s="11"/>
    </row>
    <row r="1735" spans="1:5">
      <c r="A1735" s="12" t="s">
        <v>12462</v>
      </c>
      <c r="B1735" s="12" t="e">
        <v>#VALUE!</v>
      </c>
      <c r="C1735" s="13" t="e">
        <f>HYPERLINK("https://audio.iskcondesiretree.com/02_-_ISKCON_Swamis/ISKCON_Swamis_-_R_to_Y/His_Holiness_Radhanath_Swami/Lectures/00_-_Year_wise/Devotional_Nectar_-_2002/2002-037_Vishwanath_Chakrvaty_-_Creator_Of_Spiritual_Renaissance_SB-04_11_06_Mumbai_-_17_IDesireTree"&amp;".mp3", "2002-037_Vishwanath_Chakrvaty_-_Creator_Of_Spiritual_Renaissance_SB-04_11_06_Mumbai_-_17_IDesireTree.mp3")</f>
        <v>#VALUE!</v>
      </c>
      <c r="D1735" s="11"/>
      <c r="E1735" s="11"/>
    </row>
    <row r="1736" spans="1:5">
      <c r="A1736" s="12" t="s">
        <v>12462</v>
      </c>
      <c r="B1736" s="12" t="s">
        <v>14633</v>
      </c>
      <c r="C1736" s="13" t="str">
        <f>HYPERLINK("https://audio.iskcondesiretree.com/02_-_ISKCON_Swamis/ISKCON_Swamis_-_R_to_Y/His_Holiness_Radhanath_Swami/Lectures/00_-_Year_wise/Devotional_Nectar_-_2002/2002-038_quality_Of_Compassion_that_Decorates_Devotee_Lecture_Mumbai_-_17-02-02_IDesireTree.mp3", "2002-038_quality_Of_Compassion_that_Decorates_Devotee_Lecture_Mumbai_-_17-02-02_IDesireTree.mp3")</f>
        <v>2002-038_quality_Of_Compassion_that_Decorates_Devotee_Lecture_Mumbai_-_17-02-02_IDesireTree.mp3</v>
      </c>
      <c r="D1736" s="11"/>
      <c r="E1736" s="11"/>
    </row>
    <row r="1737" spans="1:5">
      <c r="A1737" s="12" t="s">
        <v>12462</v>
      </c>
      <c r="B1737" s="12" t="s">
        <v>14634</v>
      </c>
      <c r="C1737" s="13" t="str">
        <f>HYPERLINK("https://audio.iskcondesiretree.com/02_-_ISKCON_Swamis/ISKCON_Swamis_-_R_to_Y/His_Holiness_Radhanath_Swami/Lectures/00_-_Year_wise/Devotional_Nectar_-_2002/2002-039_Advaita_Acharya_App_-_Radhanath_Swami_IDesireTree.mp3", "2002-039_Advaita_Acharya_App_-_Radhanath_Swami_IDesireTree.mp3")</f>
        <v>2002-039_Advaita_Acharya_App_-_Radhanath_Swami_IDesireTree.mp3</v>
      </c>
      <c r="D1737" s="11"/>
      <c r="E1737" s="11"/>
    </row>
    <row r="1738" spans="1:5">
      <c r="A1738" s="12" t="s">
        <v>12462</v>
      </c>
      <c r="B1738" s="12" t="s">
        <v>14635</v>
      </c>
      <c r="C1738" s="13" t="str">
        <f>HYPERLINK("https://audio.iskcondesiretree.com/02_-_ISKCON_Swamis/ISKCON_Swamis_-_R_to_Y/His_Holiness_Radhanath_Swami/Lectures/00_-_Year_wise/Devotional_Nectar_-_2002/2002-040_Four_Essential_Qualities_of_a_Vaisnava_-_Radhanath_Swami_I_23_IDesireTree.mp3", "2002-040_Four_Essential_Qualities_of_a_Vaisnava_-_Radhanath_Swami_I_23_IDesireTree.mp3")</f>
        <v>2002-040_Four_Essential_Qualities_of_a_Vaisnava_-_Radhanath_Swami_I_23_IDesireTree.mp3</v>
      </c>
      <c r="D1738" s="11"/>
      <c r="E1738" s="11"/>
    </row>
    <row r="1739" spans="1:5">
      <c r="A1739" s="12" t="s">
        <v>12462</v>
      </c>
      <c r="B1739" s="12" t="s">
        <v>14636</v>
      </c>
      <c r="C1739" s="13" t="str">
        <f>HYPERLINK("https://audio.iskcondesiretree.com/02_-_ISKCON_Swamis/ISKCON_Swamis_-_R_to_Y/His_Holiness_Radhanath_Swami/Lectures/00_-_Year_wise/Devotional_Nectar_-_2002/2002-041_Four_Essential_Qualities_of_a_Vaisnava_-_Radhanath_Swami_I_23_IDesireTree.mp3", "2002-041_Four_Essential_Qualities_of_a_Vaisnava_-_Radhanath_Swami_I_23_IDesireTree.mp3")</f>
        <v>2002-041_Four_Essential_Qualities_of_a_Vaisnava_-_Radhanath_Swami_I_23_IDesireTree.mp3</v>
      </c>
      <c r="D1739" s="11"/>
      <c r="E1739" s="11"/>
    </row>
    <row r="1740" spans="1:5">
      <c r="A1740" s="12" t="s">
        <v>12462</v>
      </c>
      <c r="B1740" s="12" t="s">
        <v>14637</v>
      </c>
      <c r="C1740" s="13" t="str">
        <f>HYPERLINK("https://audio.iskcondesiretree.com/02_-_ISKCON_Swamis/ISKCON_Swamis_-_R_to_Y/His_Holiness_Radhanath_Swami/Lectures/00_-_Year_wise/Devotional_Nectar_-_2002/2002-042_Four_Essential_Qualities_of_a_Vaisnava_-_Radhanath_Swami_I_23_IDesireTree.mp3", "2002-042_Four_Essential_Qualities_of_a_Vaisnava_-_Radhanath_Swami_I_23_IDesireTree.mp3")</f>
        <v>2002-042_Four_Essential_Qualities_of_a_Vaisnava_-_Radhanath_Swami_I_23_IDesireTree.mp3</v>
      </c>
      <c r="D1740" s="11"/>
      <c r="E1740" s="11"/>
    </row>
    <row r="1741" spans="1:5">
      <c r="A1741" s="12" t="s">
        <v>12462</v>
      </c>
      <c r="B1741" s="12" t="s">
        <v>14638</v>
      </c>
      <c r="C1741" s="13" t="str">
        <f>HYPERLINK("https://audio.iskcondesiretree.com/02_-_ISKCON_Swamis/ISKCON_Swamis_-_R_to_Y/His_Holiness_Radhanath_Swami/Lectures/00_-_Year_wise/Devotional_Nectar_-_2002/2002-043_Pastimes_%26_Teachings_Of_Lord_Nityananda_Lecture_Mumbai_-_25_02_02_IDesireTree.mp3", "2002-043_Pastimes_%26_Teachings_Of_Lord_Nityananda_Lecture_Mumbai_-_25_02_02_IDesireTree.mp3")</f>
        <v>2002-043_Pastimes_%26_Teachings_Of_Lord_Nityananda_Lecture_Mumbai_-_25_02_02_IDesireTree.mp3</v>
      </c>
      <c r="D1741" s="11"/>
      <c r="E1741" s="11"/>
    </row>
    <row r="1742" spans="1:5">
      <c r="A1742" s="12" t="s">
        <v>12462</v>
      </c>
      <c r="B1742" s="12" t="s">
        <v>14639</v>
      </c>
      <c r="C1742" s="13" t="str">
        <f>HYPERLINK("https://audio.iskcondesiretree.com/02_-_ISKCON_Swamis/ISKCON_Swamis_-_R_to_Y/His_Holiness_Radhanath_Swami/Lectures/00_-_Year_wise/Devotional_Nectar_-_2002/2002-044_Real_Purpose_Of_Performing_Yagya_Lecture_Mumbai_-_22-03-02_IDesireTree.mp3", "2002-044_Real_Purpose_Of_Performing_Yagya_Lecture_Mumbai_-_22-03-02_IDesireTree.mp3")</f>
        <v>2002-044_Real_Purpose_Of_Performing_Yagya_Lecture_Mumbai_-_22-03-02_IDesireTree.mp3</v>
      </c>
      <c r="D1742" s="11"/>
      <c r="E1742" s="11"/>
    </row>
    <row r="1743" spans="1:5">
      <c r="A1743" s="12" t="s">
        <v>12462</v>
      </c>
      <c r="B1743" s="12" t="e">
        <v>#VALUE!</v>
      </c>
      <c r="C1743" s="13" t="e">
        <f>HYPERLINK("https://audio.iskcondesiretree.com/02_-_ISKCON_Swamis/ISKCON_Swamis_-_R_to_Y/His_Holiness_Radhanath_Swami/Lectures/00_-_Year_wise/Devotional_Nectar_-_2002/2002-045_Real_Renunciation_Means_Using_Everything_For_Krsna_SB-04_12_06_Mumbai_-_23-03-02_IDesireTre"&amp;"e.mp3", "2002-045_Real_Renunciation_Means_Using_Everything_For_Krsna_SB-04_12_06_Mumbai_-_23-03-02_IDesireTree.mp3")</f>
        <v>#VALUE!</v>
      </c>
      <c r="D1743" s="11"/>
      <c r="E1743" s="11"/>
    </row>
    <row r="1744" spans="1:5">
      <c r="A1744" s="12" t="s">
        <v>12462</v>
      </c>
      <c r="B1744" s="12" t="s">
        <v>14640</v>
      </c>
      <c r="C1744" s="13" t="str">
        <f>HYPERLINK("https://audio.iskcondesiretree.com/02_-_ISKCON_Swamis/ISKCON_Swamis_-_R_to_Y/His_Holiness_Radhanath_Swami/Lectures/00_-_Year_wise/Devotional_Nectar_-_2002/2002-046_SB-10_40_06_Vrindavan_-_Radhanath_Swami_2002-03-31_IDesireTree.mp3", "2002-046_SB-10_40_06_Vrindavan_-_Radhanath_Swami_2002-03-31_IDesireTree.mp3")</f>
        <v>2002-046_SB-10_40_06_Vrindavan_-_Radhanath_Swami_2002-03-31_IDesireTree.mp3</v>
      </c>
      <c r="D1744" s="11"/>
      <c r="E1744" s="11"/>
    </row>
    <row r="1745" spans="1:5">
      <c r="A1745" s="12" t="s">
        <v>12462</v>
      </c>
      <c r="B1745" s="12" t="s">
        <v>14641</v>
      </c>
      <c r="C1745" s="13" t="str">
        <f>HYPERLINK("https://audio.iskcondesiretree.com/02_-_ISKCON_Swamis/ISKCON_Swamis_-_R_to_Y/His_Holiness_Radhanath_Swami/Lectures/00_-_Year_wise/Devotional_Nectar_-_2002/2002-047_Getting_Priorities_right_Lecture_Mumbai_-_Radhanath_Swami_2002-04-06_IDesireTree.mp3", "2002-047_Getting_Priorities_right_Lecture_Mumbai_-_Radhanath_Swami_2002-04-06_IDesireTree.mp3")</f>
        <v>2002-047_Getting_Priorities_right_Lecture_Mumbai_-_Radhanath_Swami_2002-04-06_IDesireTree.mp3</v>
      </c>
      <c r="D1745" s="11"/>
      <c r="E1745" s="11"/>
    </row>
    <row r="1746" spans="1:5">
      <c r="A1746" s="12" t="s">
        <v>12462</v>
      </c>
      <c r="B1746" s="12" t="s">
        <v>14642</v>
      </c>
      <c r="C1746" s="13" t="str">
        <f>HYPERLINK("https://audio.iskcondesiretree.com/02_-_ISKCON_Swamis/ISKCON_Swamis_-_R_to_Y/His_Holiness_Radhanath_Swami/Lectures/00_-_Year_wise/Devotional_Nectar_-_2002/2002-048_Devotee_Should_Be_Duty_Bound_SB-04_12_16_Mumbai_-_07-04-02_IDesireTree.mp3", "2002-048_Devotee_Should_Be_Duty_Bound_SB-04_12_16_Mumbai_-_07-04-02_IDesireTree.mp3")</f>
        <v>2002-048_Devotee_Should_Be_Duty_Bound_SB-04_12_16_Mumbai_-_07-04-02_IDesireTree.mp3</v>
      </c>
      <c r="D1746" s="11"/>
      <c r="E1746" s="11"/>
    </row>
    <row r="1747" spans="1:5">
      <c r="A1747" s="12" t="s">
        <v>12462</v>
      </c>
      <c r="B1747" s="12" t="s">
        <v>14643</v>
      </c>
      <c r="C1747" s="13" t="str">
        <f>HYPERLINK("https://audio.iskcondesiretree.com/02_-_ISKCON_Swamis/ISKCON_Swamis_-_R_to_Y/His_Holiness_Radhanath_Swami/Lectures/00_-_Year_wise/Devotional_Nectar_-_2002/2002-049_Remembering_HH_Tamal_Krsna_Goswami_Maharaj_Lecture_Mumbai_-_07-04-02_IDesireTree.mp3", "2002-049_Remembering_HH_Tamal_Krsna_Goswami_Maharaj_Lecture_Mumbai_-_07-04-02_IDesireTree.mp3")</f>
        <v>2002-049_Remembering_HH_Tamal_Krsna_Goswami_Maharaj_Lecture_Mumbai_-_07-04-02_IDesireTree.mp3</v>
      </c>
      <c r="D1747" s="11"/>
      <c r="E1747" s="11"/>
    </row>
    <row r="1748" spans="1:5">
      <c r="A1748" s="12" t="s">
        <v>12462</v>
      </c>
      <c r="B1748" s="12" t="s">
        <v>14644</v>
      </c>
      <c r="C1748" s="13" t="str">
        <f>HYPERLINK("https://audio.iskcondesiretree.com/02_-_ISKCON_Swamis/ISKCON_Swamis_-_R_to_Y/His_Holiness_Radhanath_Swami/Lectures/00_-_Year_wise/Devotional_Nectar_-_2002/2002-050_Stress_Management_Lecture_Mumbai_-_Radhanath_Swami_2002-04-12_IDesireTree.mp3", "2002-050_Stress_Management_Lecture_Mumbai_-_Radhanath_Swami_2002-04-12_IDesireTree.mp3")</f>
        <v>2002-050_Stress_Management_Lecture_Mumbai_-_Radhanath_Swami_2002-04-12_IDesireTree.mp3</v>
      </c>
      <c r="D1748" s="11"/>
      <c r="E1748" s="11"/>
    </row>
    <row r="1749" spans="1:5">
      <c r="A1749" s="12" t="s">
        <v>12462</v>
      </c>
      <c r="B1749" s="12" t="s">
        <v>14645</v>
      </c>
      <c r="C1749" s="13" t="str">
        <f>HYPERLINK("https://audio.iskcondesiretree.com/02_-_ISKCON_Swamis/ISKCON_Swamis_-_R_to_Y/His_Holiness_Radhanath_Swami/Lectures/00_-_Year_wise/Devotional_Nectar_-_2002/2002-051_Imbibing_The_Conscious_Of_Humlity_SB-04_12_22_Mumbai_-_13-04-02_IDesireTree.mp3", "2002-051_Imbibing_The_Conscious_Of_Humlity_SB-04_12_22_Mumbai_-_13-04-02_IDesireTree.mp3")</f>
        <v>2002-051_Imbibing_The_Conscious_Of_Humlity_SB-04_12_22_Mumbai_-_13-04-02_IDesireTree.mp3</v>
      </c>
      <c r="D1749" s="11"/>
      <c r="E1749" s="11"/>
    </row>
    <row r="1750" spans="1:5">
      <c r="A1750" s="12" t="s">
        <v>12462</v>
      </c>
      <c r="B1750" s="12" t="s">
        <v>14646</v>
      </c>
      <c r="C1750" s="13" t="str">
        <f>HYPERLINK("https://audio.iskcondesiretree.com/02_-_ISKCON_Swamis/ISKCON_Swamis_-_R_to_Y/His_Holiness_Radhanath_Swami/Lectures/00_-_Year_wise/Devotional_Nectar_-_2002/2002-052_Bhakti_Is_the_Only_Real_Fortune_SB-04_12_23_Mumbai_-_14-04-02_IDesireTree.mp3", "2002-052_Bhakti_Is_the_Only_Real_Fortune_SB-04_12_23_Mumbai_-_14-04-02_IDesireTree.mp3")</f>
        <v>2002-052_Bhakti_Is_the_Only_Real_Fortune_SB-04_12_23_Mumbai_-_14-04-02_IDesireTree.mp3</v>
      </c>
      <c r="D1750" s="11"/>
      <c r="E1750" s="11"/>
    </row>
    <row r="1751" spans="1:5">
      <c r="A1751" s="12" t="s">
        <v>12462</v>
      </c>
      <c r="B1751" s="12" t="e">
        <v>#VALUE!</v>
      </c>
      <c r="C1751" s="13" t="e">
        <f>HYPERLINK("https://audio.iskcondesiretree.com/02_-_ISKCON_Swamis/ISKCON_Swamis_-_R_to_Y/His_Holiness_Radhanath_Swami/Lectures/00_-_Year_wise/Devotional_Nectar_-_2002/2002-053_Learning_To_see_The_Lord_In_everything_%26_Everywhere_SB-02_01_24_Mumbai_-_15-04-02_IDesire"&amp;"Tree.mp3", "2002-053_Learning_To_see_The_Lord_In_everything_%26_Everywhere_SB-02_01_24_Mumbai_-_15-04-02_IDesireTree.mp3")</f>
        <v>#VALUE!</v>
      </c>
      <c r="D1751" s="11"/>
      <c r="E1751" s="11"/>
    </row>
    <row r="1752" spans="1:5">
      <c r="A1752" s="12" t="s">
        <v>12462</v>
      </c>
      <c r="B1752" s="12" t="s">
        <v>14647</v>
      </c>
      <c r="C1752" s="13" t="str">
        <f>HYPERLINK("https://audio.iskcondesiretree.com/02_-_ISKCON_Swamis/ISKCON_Swamis_-_R_to_Y/His_Holiness_Radhanath_Swami/Lectures/00_-_Year_wise/Devotional_Nectar_-_2002/2002-054_SB_Class_New_Vrindavan_-_Radhanath_Swami_2002-05-19_IDesireTree.mp3", "2002-054_SB_Class_New_Vrindavan_-_Radhanath_Swami_2002-05-19_IDesireTree.mp3")</f>
        <v>2002-054_SB_Class_New_Vrindavan_-_Radhanath_Swami_2002-05-19_IDesireTree.mp3</v>
      </c>
      <c r="D1752" s="11"/>
      <c r="E1752" s="11"/>
    </row>
    <row r="1753" spans="1:5">
      <c r="A1753" s="12" t="s">
        <v>12462</v>
      </c>
      <c r="B1753" s="12" t="s">
        <v>14648</v>
      </c>
      <c r="C1753" s="13" t="str">
        <f>HYPERLINK("https://audio.iskcondesiretree.com/02_-_ISKCON_Swamis/ISKCON_Swamis_-_R_to_Y/His_Holiness_Radhanath_Swami/Lectures/00_-_Year_wise/Devotional_Nectar_-_2002/2002-056_Sunday_Feast_New_Vrindavan_-_Radhanath_Swami_2002-06-16_IDesireTree.mp3", "2002-056_Sunday_Feast_New_Vrindavan_-_Radhanath_Swami_2002-06-16_IDesireTree.mp3")</f>
        <v>2002-056_Sunday_Feast_New_Vrindavan_-_Radhanath_Swami_2002-06-16_IDesireTree.mp3</v>
      </c>
      <c r="D1753" s="11"/>
      <c r="E1753" s="11"/>
    </row>
    <row r="1754" spans="1:5">
      <c r="A1754" s="12" t="s">
        <v>12462</v>
      </c>
      <c r="B1754" s="12" t="s">
        <v>14649</v>
      </c>
      <c r="C1754" s="13" t="str">
        <f>HYPERLINK("https://audio.iskcondesiretree.com/02_-_ISKCON_Swamis/ISKCON_Swamis_-_R_to_Y/His_Holiness_Radhanath_Swami/Lectures/00_-_Year_wise/Devotional_Nectar_-_2002/2002-057_SB-04_30_-_Radhanath_Swami_IDesireTree.mp3", "2002-057_SB-04_30_-_Radhanath_Swami_IDesireTree.mp3")</f>
        <v>2002-057_SB-04_30_-_Radhanath_Swami_IDesireTree.mp3</v>
      </c>
      <c r="D1754" s="11"/>
      <c r="E1754" s="11"/>
    </row>
    <row r="1755" spans="1:5">
      <c r="A1755" s="12" t="s">
        <v>12462</v>
      </c>
      <c r="B1755" s="12" t="s">
        <v>14650</v>
      </c>
      <c r="C1755" s="13" t="str">
        <f>HYPERLINK("https://audio.iskcondesiretree.com/02_-_ISKCON_Swamis/ISKCON_Swamis_-_R_to_Y/His_Holiness_Radhanath_Swami/Lectures/00_-_Year_wise/Devotional_Nectar_-_2002/2002-058_SB-04_30_22_New_Vrindavan_-_Radhanath_Swami_2002-06-23_IDesireTree.mp3", "2002-058_SB-04_30_22_New_Vrindavan_-_Radhanath_Swami_2002-06-23_IDesireTree.mp3")</f>
        <v>2002-058_SB-04_30_22_New_Vrindavan_-_Radhanath_Swami_2002-06-23_IDesireTree.mp3</v>
      </c>
      <c r="D1755" s="11"/>
      <c r="E1755" s="11"/>
    </row>
    <row r="1756" spans="1:5">
      <c r="A1756" s="12" t="s">
        <v>12462</v>
      </c>
      <c r="B1756" s="12" t="s">
        <v>14651</v>
      </c>
      <c r="C1756" s="13" t="str">
        <f>HYPERLINK("https://audio.iskcondesiretree.com/02_-_ISKCON_Swamis/ISKCON_Swamis_-_R_to_Y/His_Holiness_Radhanath_Swami/Lectures/00_-_Year_wise/Devotional_Nectar_-_2002/2002-059_Vanamalis_Lecture_Washington_DC_-_Radhanath_Swami_2002-06-25_IDesireTree.mp3", "2002-059_Vanamalis_Lecture_Washington_DC_-_Radhanath_Swami_2002-06-25_IDesireTree.mp3")</f>
        <v>2002-059_Vanamalis_Lecture_Washington_DC_-_Radhanath_Swami_2002-06-25_IDesireTree.mp3</v>
      </c>
      <c r="D1756" s="11"/>
      <c r="E1756" s="11"/>
    </row>
    <row r="1757" spans="1:5">
      <c r="A1757" s="12" t="s">
        <v>12462</v>
      </c>
      <c r="B1757" s="12" t="e">
        <v>#VALUE!</v>
      </c>
      <c r="C1757" s="13" t="e">
        <f>HYPERLINK("https://audio.iskcondesiretree.com/02_-_ISKCON_Swamis/ISKCON_Swamis_-_R_to_Y/His_Holiness_Radhanath_Swami/Lectures/00_-_Year_wise/Devotional_Nectar_-_2002/2002-06-16_SB_04-30-15_-_Proper_Culture_of_Co-operation_and_Respect_-_Radhanath_Swami_New_Vrindavan."&amp;"mp3", "2002-06-16_SB_04-30-15_-_Proper_Culture_of_Co-operation_and_Respect_-_Radhanath_Swami_New_Vrindavan.mp3")</f>
        <v>#VALUE!</v>
      </c>
      <c r="D1757" s="11"/>
      <c r="E1757" s="11"/>
    </row>
    <row r="1758" spans="1:5">
      <c r="A1758" s="12" t="s">
        <v>12462</v>
      </c>
      <c r="B1758" s="12" t="s">
        <v>14652</v>
      </c>
      <c r="C1758" s="13" t="str">
        <f>HYPERLINK("https://audio.iskcondesiretree.com/02_-_ISKCON_Swamis/ISKCON_Swamis_-_R_to_Y/His_Holiness_Radhanath_Swami/Lectures/00_-_Year_wise/Devotional_Nectar_-_2002/2002-060_Potomac_SB-05_06_09_Washington_DC_-_Radhanath_Swami_2002-06-262_IDesireTree.mp3", "2002-060_Potomac_SB-05_06_09_Washington_DC_-_Radhanath_Swami_2002-06-262_IDesireTree.mp3")</f>
        <v>2002-060_Potomac_SB-05_06_09_Washington_DC_-_Radhanath_Swami_2002-06-262_IDesireTree.mp3</v>
      </c>
      <c r="D1758" s="11"/>
      <c r="E1758" s="11"/>
    </row>
    <row r="1759" spans="1:5">
      <c r="A1759" s="12" t="s">
        <v>12462</v>
      </c>
      <c r="B1759" s="12" t="s">
        <v>14653</v>
      </c>
      <c r="C1759" s="13" t="str">
        <f>HYPERLINK("https://audio.iskcondesiretree.com/02_-_ISKCON_Swamis/ISKCON_Swamis_-_R_to_Y/His_Holiness_Radhanath_Swami/Lectures/00_-_Year_wise/Devotional_Nectar_-_2002/2002-061_Potomac_Jagannatha_Lecture_Washington_DC_-_Radhanath_Swami_2002-06-26_IDesireTree.mp3", "2002-061_Potomac_Jagannatha_Lecture_Washington_DC_-_Radhanath_Swami_2002-06-26_IDesireTree.mp3")</f>
        <v>2002-061_Potomac_Jagannatha_Lecture_Washington_DC_-_Radhanath_Swami_2002-06-26_IDesireTree.mp3</v>
      </c>
      <c r="D1759" s="11"/>
      <c r="E1759" s="11"/>
    </row>
    <row r="1760" spans="1:5">
      <c r="A1760" s="12" t="s">
        <v>12462</v>
      </c>
      <c r="B1760" s="12" t="s">
        <v>14654</v>
      </c>
      <c r="C1760" s="13" t="str">
        <f>HYPERLINK("https://audio.iskcondesiretree.com/02_-_ISKCON_Swamis/ISKCON_Swamis_-_R_to_Y/His_Holiness_Radhanath_Swami/Lectures/00_-_Year_wise/Devotional_Nectar_-_2002/2002-062_SB-05_06_10_Washington_DC_-_Radhanath_Swami_2002-06-27_IDesireTree.mp3", "2002-062_SB-05_06_10_Washington_DC_-_Radhanath_Swami_2002-06-27_IDesireTree.mp3")</f>
        <v>2002-062_SB-05_06_10_Washington_DC_-_Radhanath_Swami_2002-06-27_IDesireTree.mp3</v>
      </c>
      <c r="D1760" s="11"/>
      <c r="E1760" s="11"/>
    </row>
    <row r="1761" spans="1:5">
      <c r="A1761" s="12" t="s">
        <v>12462</v>
      </c>
      <c r="B1761" s="12" t="s">
        <v>14655</v>
      </c>
      <c r="C1761" s="13" t="str">
        <f>HYPERLINK("https://audio.iskcondesiretree.com/02_-_ISKCON_Swamis/ISKCON_Swamis_-_R_to_Y/His_Holiness_Radhanath_Swami/Lectures/00_-_Year_wise/Devotional_Nectar_-_2002/2002-063_Lecture_Washington_DC_-_Radhanath_Swami_2002-06-27_IDesireTree.mp3", "2002-063_Lecture_Washington_DC_-_Radhanath_Swami_2002-06-27_IDesireTree.mp3")</f>
        <v>2002-063_Lecture_Washington_DC_-_Radhanath_Swami_2002-06-27_IDesireTree.mp3</v>
      </c>
      <c r="D1761" s="11"/>
      <c r="E1761" s="11"/>
    </row>
    <row r="1762" spans="1:5">
      <c r="A1762" s="12" t="s">
        <v>12462</v>
      </c>
      <c r="B1762" s="12" t="s">
        <v>14656</v>
      </c>
      <c r="C1762" s="13" t="str">
        <f>HYPERLINK("https://audio.iskcondesiretree.com/02_-_ISKCON_Swamis/ISKCON_Swamis_-_R_to_Y/His_Holiness_Radhanath_Swami/Lectures/00_-_Year_wise/Devotional_Nectar_-_2002/2002-064_Initiation_Lecture_New_Vrindavan_-_Radhanath_Swami_2002-07-04_IDesireTree.mp3", "2002-064_Initiation_Lecture_New_Vrindavan_-_Radhanath_Swami_2002-07-04_IDesireTree.mp3")</f>
        <v>2002-064_Initiation_Lecture_New_Vrindavan_-_Radhanath_Swami_2002-07-04_IDesireTree.mp3</v>
      </c>
      <c r="D1762" s="11"/>
      <c r="E1762" s="11"/>
    </row>
    <row r="1763" spans="1:5">
      <c r="A1763" s="12" t="s">
        <v>12462</v>
      </c>
      <c r="B1763" s="12" t="s">
        <v>14657</v>
      </c>
      <c r="C1763" s="13" t="str">
        <f>HYPERLINK("https://audio.iskcondesiretree.com/02_-_ISKCON_Swamis/ISKCON_Swamis_-_R_to_Y/His_Holiness_Radhanath_Swami/Lectures/00_-_Year_wise/Devotional_Nectar_-_2002/2002-065_SB-04_30_34_New_Vrindavan_-_Radhanath_Swami_2002-07-05_IDesireTree.mp3", "2002-065_SB-04_30_34_New_Vrindavan_-_Radhanath_Swami_2002-07-05_IDesireTree.mp3")</f>
        <v>2002-065_SB-04_30_34_New_Vrindavan_-_Radhanath_Swami_2002-07-05_IDesireTree.mp3</v>
      </c>
      <c r="D1763" s="11"/>
      <c r="E1763" s="11"/>
    </row>
    <row r="1764" spans="1:5">
      <c r="A1764" s="12" t="s">
        <v>12462</v>
      </c>
      <c r="B1764" s="12" t="s">
        <v>14658</v>
      </c>
      <c r="C1764" s="13" t="str">
        <f>HYPERLINK("https://audio.iskcondesiretree.com/02_-_ISKCON_Swamis/ISKCON_Swamis_-_R_to_Y/His_Holiness_Radhanath_Swami/Lectures/00_-_Year_wise/Devotional_Nectar_-_2002/2002-066_SB-04_30_35_New_Vrindavan_-_Radhanath_Swami_2002-07-06_IDesireTree.mp3", "2002-066_SB-04_30_35_New_Vrindavan_-_Radhanath_Swami_2002-07-06_IDesireTree.mp3")</f>
        <v>2002-066_SB-04_30_35_New_Vrindavan_-_Radhanath_Swami_2002-07-06_IDesireTree.mp3</v>
      </c>
      <c r="D1764" s="11"/>
      <c r="E1764" s="11"/>
    </row>
    <row r="1765" spans="1:5">
      <c r="A1765" s="12" t="s">
        <v>12462</v>
      </c>
      <c r="B1765" s="12" t="s">
        <v>14659</v>
      </c>
      <c r="C1765" s="13" t="str">
        <f>HYPERLINK("https://audio.iskcondesiretree.com/02_-_ISKCON_Swamis/ISKCON_Swamis_-_R_to_Y/His_Holiness_Radhanath_Swami/Lectures/00_-_Year_wise/Devotional_Nectar_-_2002/2002-067_SB_04_30_36_New_Vrindavan_-_Radhanath_Swami_2002-07-07_IDesireTree.mp3", "2002-067_SB_04_30_36_New_Vrindavan_-_Radhanath_Swami_2002-07-07_IDesireTree.mp3")</f>
        <v>2002-067_SB_04_30_36_New_Vrindavan_-_Radhanath_Swami_2002-07-07_IDesireTree.mp3</v>
      </c>
      <c r="D1765" s="11"/>
      <c r="E1765" s="11"/>
    </row>
    <row r="1766" spans="1:5">
      <c r="A1766" s="12" t="s">
        <v>12462</v>
      </c>
      <c r="B1766" s="12" t="s">
        <v>14660</v>
      </c>
      <c r="C1766" s="13" t="str">
        <f>HYPERLINK("https://audio.iskcondesiretree.com/02_-_ISKCON_Swamis/ISKCON_Swamis_-_R_to_Y/His_Holiness_Radhanath_Swami/Lectures/00_-_Year_wise/Devotional_Nectar_-_2002/2002-068_Lecture_2nd_AVE_New_Vrindavan_-_Radhanath_Swami_2002-07-09_IDesireTree.mp3", "2002-068_Lecture_2nd_AVE_New_Vrindavan_-_Radhanath_Swami_2002-07-09_IDesireTree.mp3")</f>
        <v>2002-068_Lecture_2nd_AVE_New_Vrindavan_-_Radhanath_Swami_2002-07-09_IDesireTree.mp3</v>
      </c>
      <c r="D1766" s="11"/>
      <c r="E1766" s="11"/>
    </row>
    <row r="1767" spans="1:5">
      <c r="A1767" s="12" t="s">
        <v>12462</v>
      </c>
      <c r="B1767" s="12" t="s">
        <v>14661</v>
      </c>
      <c r="C1767" s="13" t="str">
        <f>HYPERLINK("https://audio.iskcondesiretree.com/02_-_ISKCON_Swamis/ISKCON_Swamis_-_R_to_Y/His_Holiness_Radhanath_Swami/Lectures/00_-_Year_wise/Devotional_Nectar_-_2002/2002-069_Lecture_26_2nd_AVE_-_Radhanath_Swami_2002-07-12_IDesireTree.mp3", "2002-069_Lecture_26_2nd_AVE_-_Radhanath_Swami_2002-07-12_IDesireTree.mp3")</f>
        <v>2002-069_Lecture_26_2nd_AVE_-_Radhanath_Swami_2002-07-12_IDesireTree.mp3</v>
      </c>
      <c r="D1767" s="11"/>
      <c r="E1767" s="11"/>
    </row>
    <row r="1768" spans="1:5">
      <c r="A1768" s="12" t="s">
        <v>12462</v>
      </c>
      <c r="B1768" s="12" t="s">
        <v>14662</v>
      </c>
      <c r="C1768" s="13" t="str">
        <f>HYPERLINK("https://audio.iskcondesiretree.com/02_-_ISKCON_Swamis/ISKCON_Swamis_-_R_to_Y/His_Holiness_Radhanath_Swami/Lectures/00_-_Year_wise/Devotional_Nectar_-_2002/2002-070_Lecture_Italy_-_Radhanath_Swami_2002-09-03_IDesireTree.mp3", "2002-070_Lecture_Italy_-_Radhanath_Swami_2002-09-03_IDesireTree.mp3")</f>
        <v>2002-070_Lecture_Italy_-_Radhanath_Swami_2002-09-03_IDesireTree.mp3</v>
      </c>
      <c r="D1768" s="11"/>
      <c r="E1768" s="11"/>
    </row>
    <row r="1769" spans="1:5">
      <c r="A1769" s="12" t="s">
        <v>12462</v>
      </c>
      <c r="B1769" s="12" t="s">
        <v>14663</v>
      </c>
      <c r="C1769" s="13" t="str">
        <f>HYPERLINK("https://audio.iskcondesiretree.com/02_-_ISKCON_Swamis/ISKCON_Swamis_-_R_to_Y/His_Holiness_Radhanath_Swami/Lectures/00_-_Year_wise/Devotional_Nectar_-_2002/2002-071_SB-04_29_71_New_Vrindavan_-_Radhanath_Swami_2002-08-15_IDesireTree.mp3", "2002-071_SB-04_29_71_New_Vrindavan_-_Radhanath_Swami_2002-08-15_IDesireTree.mp3")</f>
        <v>2002-071_SB-04_29_71_New_Vrindavan_-_Radhanath_Swami_2002-08-15_IDesireTree.mp3</v>
      </c>
      <c r="D1769" s="11"/>
      <c r="E1769" s="11"/>
    </row>
    <row r="1770" spans="1:5">
      <c r="A1770" s="12" t="s">
        <v>12462</v>
      </c>
      <c r="B1770" s="12" t="s">
        <v>14664</v>
      </c>
      <c r="C1770" s="13" t="str">
        <f>HYPERLINK("https://audio.iskcondesiretree.com/02_-_ISKCON_Swamis/ISKCON_Swamis_-_R_to_Y/His_Holiness_Radhanath_Swami/Lectures/00_-_Year_wise/Devotional_Nectar_-_2002/2002-072_Lecture_Italy_-_Radhanath_Swami_2002-09-04_IDesireTree.mp3", "2002-072_Lecture_Italy_-_Radhanath_Swami_2002-09-04_IDesireTree.mp3")</f>
        <v>2002-072_Lecture_Italy_-_Radhanath_Swami_2002-09-04_IDesireTree.mp3</v>
      </c>
      <c r="D1770" s="11"/>
      <c r="E1770" s="11"/>
    </row>
    <row r="1771" spans="1:5">
      <c r="A1771" s="12" t="s">
        <v>12462</v>
      </c>
      <c r="B1771" s="12" t="s">
        <v>14665</v>
      </c>
      <c r="C1771" s="13" t="str">
        <f>HYPERLINK("https://audio.iskcondesiretree.com/02_-_ISKCON_Swamis/ISKCON_Swamis_-_R_to_Y/His_Holiness_Radhanath_Swami/Lectures/00_-_Year_wise/Devotional_Nectar_-_2002/2002-073_Lecture_Italy_-_Radhanath_Swami_2002-09-04_IDesireTree.mp3", "2002-073_Lecture_Italy_-_Radhanath_Swami_2002-09-04_IDesireTree.mp3")</f>
        <v>2002-073_Lecture_Italy_-_Radhanath_Swami_2002-09-04_IDesireTree.mp3</v>
      </c>
      <c r="D1771" s="11"/>
      <c r="E1771" s="11"/>
    </row>
    <row r="1772" spans="1:5">
      <c r="A1772" s="12" t="s">
        <v>12462</v>
      </c>
      <c r="B1772" s="12" t="s">
        <v>14666</v>
      </c>
      <c r="C1772" s="13" t="str">
        <f>HYPERLINK("https://audio.iskcondesiretree.com/02_-_ISKCON_Swamis/ISKCON_Swamis_-_R_to_Y/His_Holiness_Radhanath_Swami/Lectures/00_-_Year_wise/Devotional_Nectar_-_2002/2002-074_Lecture_Italy_-_Radhanath_Swami_2002-09-04_IDesireTree.mp3", "2002-074_Lecture_Italy_-_Radhanath_Swami_2002-09-04_IDesireTree.mp3")</f>
        <v>2002-074_Lecture_Italy_-_Radhanath_Swami_2002-09-04_IDesireTree.mp3</v>
      </c>
      <c r="D1772" s="11"/>
      <c r="E1772" s="11"/>
    </row>
    <row r="1773" spans="1:5">
      <c r="A1773" s="12" t="s">
        <v>12462</v>
      </c>
      <c r="B1773" s="12" t="s">
        <v>14667</v>
      </c>
      <c r="C1773" s="13" t="str">
        <f>HYPERLINK("https://audio.iskcondesiretree.com/02_-_ISKCON_Swamis/ISKCON_Swamis_-_R_to_Y/His_Holiness_Radhanath_Swami/Lectures/00_-_Year_wise/Devotional_Nectar_-_2002/2002-075_Lecture_Italy_-_Radhanath_Swami_2002-09-16_IDesireTree.mp3", "2002-075_Lecture_Italy_-_Radhanath_Swami_2002-09-16_IDesireTree.mp3")</f>
        <v>2002-075_Lecture_Italy_-_Radhanath_Swami_2002-09-16_IDesireTree.mp3</v>
      </c>
      <c r="D1773" s="11"/>
      <c r="E1773" s="11"/>
    </row>
    <row r="1774" spans="1:5">
      <c r="A1774" s="12" t="s">
        <v>12462</v>
      </c>
      <c r="B1774" s="12" t="s">
        <v>14668</v>
      </c>
      <c r="C1774" s="13" t="str">
        <f>HYPERLINK("https://audio.iskcondesiretree.com/02_-_ISKCON_Swamis/ISKCON_Swamis_-_R_to_Y/His_Holiness_Radhanath_Swami/Lectures/00_-_Year_wise/Devotional_Nectar_-_2002/2002-076_Lecture_Italy_-_Radhanath_Swami_2002-09-18_IDesireTree.mp3", "2002-076_Lecture_Italy_-_Radhanath_Swami_2002-09-18_IDesireTree.mp3")</f>
        <v>2002-076_Lecture_Italy_-_Radhanath_Swami_2002-09-18_IDesireTree.mp3</v>
      </c>
      <c r="D1774" s="11"/>
      <c r="E1774" s="11"/>
    </row>
    <row r="1775" spans="1:5">
      <c r="A1775" s="12" t="s">
        <v>12462</v>
      </c>
      <c r="B1775" s="12" t="s">
        <v>14669</v>
      </c>
      <c r="C1775" s="13" t="str">
        <f>HYPERLINK("https://audio.iskcondesiretree.com/02_-_ISKCON_Swamis/ISKCON_Swamis_-_R_to_Y/His_Holiness_Radhanath_Swami/Lectures/00_-_Year_wise/Devotional_Nectar_-_2002/2002-077_Lecture_Italy_-_Radhanath_Swami_2002-09-18_IDesireTree.mp3", "2002-077_Lecture_Italy_-_Radhanath_Swami_2002-09-18_IDesireTree.mp3")</f>
        <v>2002-077_Lecture_Italy_-_Radhanath_Swami_2002-09-18_IDesireTree.mp3</v>
      </c>
      <c r="D1775" s="11"/>
      <c r="E1775" s="11"/>
    </row>
    <row r="1776" spans="1:5">
      <c r="A1776" s="12" t="s">
        <v>12462</v>
      </c>
      <c r="B1776" s="12" t="s">
        <v>14670</v>
      </c>
      <c r="C1776" s="13" t="str">
        <f>HYPERLINK("https://audio.iskcondesiretree.com/02_-_ISKCON_Swamis/ISKCON_Swamis_-_R_to_Y/His_Holiness_Radhanath_Swami/Lectures/00_-_Year_wise/Devotional_Nectar_-_2002/2002-078_Lecture_Italy_-_Radhanath_Swami_2002-09-18_IDesireTree.mp3", "2002-078_Lecture_Italy_-_Radhanath_Swami_2002-09-18_IDesireTree.mp3")</f>
        <v>2002-078_Lecture_Italy_-_Radhanath_Swami_2002-09-18_IDesireTree.mp3</v>
      </c>
      <c r="D1776" s="11"/>
      <c r="E1776" s="11"/>
    </row>
    <row r="1777" spans="1:5">
      <c r="A1777" s="12" t="s">
        <v>12462</v>
      </c>
      <c r="B1777" s="12" t="s">
        <v>14671</v>
      </c>
      <c r="C1777" s="13" t="str">
        <f>HYPERLINK("https://audio.iskcondesiretree.com/02_-_ISKCON_Swamis/ISKCON_Swamis_-_R_to_Y/His_Holiness_Radhanath_Swami/Lectures/00_-_Year_wise/Devotional_Nectar_-_2002/2002-079_Lecture_Italy_-_Radhanath_Swami_2002-09-19_IDesireTree.mp3", "2002-079_Lecture_Italy_-_Radhanath_Swami_2002-09-19_IDesireTree.mp3")</f>
        <v>2002-079_Lecture_Italy_-_Radhanath_Swami_2002-09-19_IDesireTree.mp3</v>
      </c>
      <c r="D1777" s="11"/>
      <c r="E1777" s="11"/>
    </row>
    <row r="1778" spans="1:5">
      <c r="A1778" s="12" t="s">
        <v>12462</v>
      </c>
      <c r="B1778" s="12" t="s">
        <v>14672</v>
      </c>
      <c r="C1778" s="13" t="str">
        <f>HYPERLINK("https://audio.iskcondesiretree.com/02_-_ISKCON_Swamis/ISKCON_Swamis_-_R_to_Y/His_Holiness_Radhanath_Swami/Lectures/00_-_Year_wise/Devotional_Nectar_-_2002/2002-080_Lecture_Italy_-_Radhanath_Swami_2002-09-21_IDesireTree.mp3", "2002-080_Lecture_Italy_-_Radhanath_Swami_2002-09-21_IDesireTree.mp3")</f>
        <v>2002-080_Lecture_Italy_-_Radhanath_Swami_2002-09-21_IDesireTree.mp3</v>
      </c>
      <c r="D1778" s="11"/>
      <c r="E1778" s="11"/>
    </row>
    <row r="1779" spans="1:5">
      <c r="A1779" s="12" t="s">
        <v>12462</v>
      </c>
      <c r="B1779" s="12" t="s">
        <v>14673</v>
      </c>
      <c r="C1779" s="13" t="str">
        <f>HYPERLINK("https://audio.iskcondesiretree.com/02_-_ISKCON_Swamis/ISKCON_Swamis_-_R_to_Y/His_Holiness_Radhanath_Swami/Lectures/00_-_Year_wise/Devotional_Nectar_-_2002/2002-081_Lecture_Italy_-_Radhanath_Swami_2002-09-22_IDesireTree.mp3", "2002-081_Lecture_Italy_-_Radhanath_Swami_2002-09-22_IDesireTree.mp3")</f>
        <v>2002-081_Lecture_Italy_-_Radhanath_Swami_2002-09-22_IDesireTree.mp3</v>
      </c>
      <c r="D1779" s="11"/>
      <c r="E1779" s="11"/>
    </row>
    <row r="1780" spans="1:5">
      <c r="A1780" s="12" t="s">
        <v>12462</v>
      </c>
      <c r="B1780" s="12" t="s">
        <v>14674</v>
      </c>
      <c r="C1780" s="13" t="str">
        <f>HYPERLINK("https://audio.iskcondesiretree.com/02_-_ISKCON_Swamis/ISKCON_Swamis_-_R_to_Y/His_Holiness_Radhanath_Swami/Lectures/00_-_Year_wise/Devotional_Nectar_-_2002/2002-082_Lecture_Italy_-_Radhanath_Swami_2002-09-22_IDesireTree.mp3", "2002-082_Lecture_Italy_-_Radhanath_Swami_2002-09-22_IDesireTree.mp3")</f>
        <v>2002-082_Lecture_Italy_-_Radhanath_Swami_2002-09-22_IDesireTree.mp3</v>
      </c>
      <c r="D1780" s="11"/>
      <c r="E1780" s="11"/>
    </row>
    <row r="1781" spans="1:5">
      <c r="A1781" s="12" t="s">
        <v>12462</v>
      </c>
      <c r="B1781" s="12" t="s">
        <v>14675</v>
      </c>
      <c r="C1781" s="13" t="str">
        <f>HYPERLINK("https://audio.iskcondesiretree.com/02_-_ISKCON_Swamis/ISKCON_Swamis_-_R_to_Y/His_Holiness_Radhanath_Swami/Lectures/00_-_Year_wise/Devotional_Nectar_-_2002/2002-083_Lecture_Italy_-_Radhanath_Swami_2002-09-23_IDesireTree.mp3", "2002-083_Lecture_Italy_-_Radhanath_Swami_2002-09-23_IDesireTree.mp3")</f>
        <v>2002-083_Lecture_Italy_-_Radhanath_Swami_2002-09-23_IDesireTree.mp3</v>
      </c>
      <c r="D1781" s="11"/>
      <c r="E1781" s="11"/>
    </row>
    <row r="1782" spans="1:5">
      <c r="A1782" s="12" t="s">
        <v>12462</v>
      </c>
      <c r="B1782" s="12" t="s">
        <v>14676</v>
      </c>
      <c r="C1782" s="13" t="str">
        <f>HYPERLINK("https://audio.iskcondesiretree.com/02_-_ISKCON_Swamis/ISKCON_Swamis_-_R_to_Y/His_Holiness_Radhanath_Swami/Lectures/00_-_Year_wise/Devotional_Nectar_-_2002/2002-084_Lecture_Italy_-_Radhanath_Swami_2002-09-23_IDesireTree.mp3", "2002-084_Lecture_Italy_-_Radhanath_Swami_2002-09-23_IDesireTree.mp3")</f>
        <v>2002-084_Lecture_Italy_-_Radhanath_Swami_2002-09-23_IDesireTree.mp3</v>
      </c>
      <c r="D1782" s="11"/>
      <c r="E1782" s="11"/>
    </row>
    <row r="1783" spans="1:5">
      <c r="A1783" s="12" t="s">
        <v>12462</v>
      </c>
      <c r="B1783" s="12" t="s">
        <v>14677</v>
      </c>
      <c r="C1783" s="13" t="str">
        <f>HYPERLINK("https://audio.iskcondesiretree.com/02_-_ISKCON_Swamis/ISKCON_Swamis_-_R_to_Y/His_Holiness_Radhanath_Swami/Lectures/00_-_Year_wise/Devotional_Nectar_-_2002/2002-085_Lecture_Italy_-_Radhanath_Swami_2002-09-23_IDesireTree.mp3", "2002-085_Lecture_Italy_-_Radhanath_Swami_2002-09-23_IDesireTree.mp3")</f>
        <v>2002-085_Lecture_Italy_-_Radhanath_Swami_2002-09-23_IDesireTree.mp3</v>
      </c>
      <c r="D1783" s="11"/>
      <c r="E1783" s="11"/>
    </row>
    <row r="1784" spans="1:5">
      <c r="A1784" s="12" t="s">
        <v>12462</v>
      </c>
      <c r="B1784" s="12" t="s">
        <v>14678</v>
      </c>
      <c r="C1784" s="13" t="str">
        <f>HYPERLINK("https://audio.iskcondesiretree.com/02_-_ISKCON_Swamis/ISKCON_Swamis_-_R_to_Y/His_Holiness_Radhanath_Swami/Lectures/00_-_Year_wise/Devotional_Nectar_-_2002/2002-086_Lecture_Italy_-_Radhanath_Swami_2002-09-24_IDesireTree.mp3", "2002-086_Lecture_Italy_-_Radhanath_Swami_2002-09-24_IDesireTree.mp3")</f>
        <v>2002-086_Lecture_Italy_-_Radhanath_Swami_2002-09-24_IDesireTree.mp3</v>
      </c>
      <c r="D1784" s="11"/>
      <c r="E1784" s="11"/>
    </row>
    <row r="1785" spans="1:5">
      <c r="A1785" s="12" t="s">
        <v>12462</v>
      </c>
      <c r="B1785" s="12" t="s">
        <v>14679</v>
      </c>
      <c r="C1785" s="13" t="str">
        <f>HYPERLINK("https://audio.iskcondesiretree.com/02_-_ISKCON_Swamis/ISKCON_Swamis_-_R_to_Y/His_Holiness_Radhanath_Swami/Lectures/00_-_Year_wise/Devotional_Nectar_-_2002/2002-087_Lecture_Italy_-_Radhanath_Swami_2002-09-24_IDesireTree.mp3", "2002-087_Lecture_Italy_-_Radhanath_Swami_2002-09-24_IDesireTree.mp3")</f>
        <v>2002-087_Lecture_Italy_-_Radhanath_Swami_2002-09-24_IDesireTree.mp3</v>
      </c>
      <c r="D1785" s="11"/>
      <c r="E1785" s="11"/>
    </row>
    <row r="1786" spans="1:5">
      <c r="A1786" s="12" t="s">
        <v>12462</v>
      </c>
      <c r="B1786" s="12" t="s">
        <v>14680</v>
      </c>
      <c r="C1786" s="13" t="str">
        <f>HYPERLINK("https://audio.iskcondesiretree.com/02_-_ISKCON_Swamis/ISKCON_Swamis_-_R_to_Y/His_Holiness_Radhanath_Swami/Lectures/00_-_Year_wise/Devotional_Nectar_-_2002/2002-088_Lecture_Italy_-_Radhanath_Swami_2002-09-24_IDesireTree.mp3", "2002-088_Lecture_Italy_-_Radhanath_Swami_2002-09-24_IDesireTree.mp3")</f>
        <v>2002-088_Lecture_Italy_-_Radhanath_Swami_2002-09-24_IDesireTree.mp3</v>
      </c>
      <c r="D1786" s="11"/>
      <c r="E1786" s="11"/>
    </row>
    <row r="1787" spans="1:5">
      <c r="A1787" s="12" t="s">
        <v>12462</v>
      </c>
      <c r="B1787" s="12" t="s">
        <v>14681</v>
      </c>
      <c r="C1787" s="13" t="str">
        <f>HYPERLINK("https://audio.iskcondesiretree.com/02_-_ISKCON_Swamis/ISKCON_Swamis_-_R_to_Y/His_Holiness_Radhanath_Swami/Lectures/00_-_Year_wise/Devotional_Nectar_-_2002/2002-089_SB-03_25_20_Moscow_-_Radhanath_Swami_2002-09-26_IDesireTree.mp3", "2002-089_SB-03_25_20_Moscow_-_Radhanath_Swami_2002-09-26_IDesireTree.mp3")</f>
        <v>2002-089_SB-03_25_20_Moscow_-_Radhanath_Swami_2002-09-26_IDesireTree.mp3</v>
      </c>
      <c r="D1787" s="11"/>
      <c r="E1787" s="11"/>
    </row>
    <row r="1788" spans="1:5">
      <c r="A1788" s="12" t="s">
        <v>12462</v>
      </c>
      <c r="B1788" s="12" t="s">
        <v>14682</v>
      </c>
      <c r="C1788" s="13" t="str">
        <f>HYPERLINK("https://audio.iskcondesiretree.com/02_-_ISKCON_Swamis/ISKCON_Swamis_-_R_to_Y/His_Holiness_Radhanath_Swami/Lectures/00_-_Year_wise/Devotional_Nectar_-_2002/2002-09-05_SB_03-07-14_-_Different_Stages_of_Sadhana_Bhakti-01_-_Radhanath_Swami_Radhadesh.mp3", "2002-09-05_SB_03-07-14_-_Different_Stages_of_Sadhana_Bhakti-01_-_Radhanath_Swami_Radhadesh.mp3")</f>
        <v>2002-09-05_SB_03-07-14_-_Different_Stages_of_Sadhana_Bhakti-01_-_Radhanath_Swami_Radhadesh.mp3</v>
      </c>
      <c r="D1788" s="11"/>
      <c r="E1788" s="11"/>
    </row>
    <row r="1789" spans="1:5">
      <c r="A1789" s="12" t="s">
        <v>12462</v>
      </c>
      <c r="B1789" s="12" t="s">
        <v>14683</v>
      </c>
      <c r="C1789" s="13" t="str">
        <f>HYPERLINK("https://audio.iskcondesiretree.com/02_-_ISKCON_Swamis/ISKCON_Swamis_-_R_to_Y/His_Holiness_Radhanath_Swami/Lectures/00_-_Year_wise/Devotional_Nectar_-_2002/2002-09-05_SB_03-07-14_-_Different_Stages_of_Sadhana_Bhakti-02_-_Radhanath_Swami_Radhadesh.mp3", "2002-09-05_SB_03-07-14_-_Different_Stages_of_Sadhana_Bhakti-02_-_Radhanath_Swami_Radhadesh.mp3")</f>
        <v>2002-09-05_SB_03-07-14_-_Different_Stages_of_Sadhana_Bhakti-02_-_Radhanath_Swami_Radhadesh.mp3</v>
      </c>
      <c r="D1789" s="11"/>
      <c r="E1789" s="11"/>
    </row>
    <row r="1790" spans="1:5">
      <c r="A1790" s="12" t="s">
        <v>12462</v>
      </c>
      <c r="B1790" s="12" t="s">
        <v>14684</v>
      </c>
      <c r="C1790" s="13" t="str">
        <f>HYPERLINK("https://audio.iskcondesiretree.com/02_-_ISKCON_Swamis/ISKCON_Swamis_-_R_to_Y/His_Holiness_Radhanath_Swami/Lectures/00_-_Year_wise/Devotional_Nectar_-_2002/2002-09-06_Various_-_Volunteers_Program_-_Radhanath_Swami_London.mp3", "2002-09-06_Various_-_Volunteers_Program_-_Radhanath_Swami_London.mp3")</f>
        <v>2002-09-06_Various_-_Volunteers_Program_-_Radhanath_Swami_London.mp3</v>
      </c>
      <c r="D1790" s="11"/>
      <c r="E1790" s="11"/>
    </row>
    <row r="1791" spans="1:5">
      <c r="A1791" s="12" t="s">
        <v>12462</v>
      </c>
      <c r="B1791" s="12" t="s">
        <v>14685</v>
      </c>
      <c r="C1791" s="13" t="str">
        <f>HYPERLINK("https://audio.iskcondesiretree.com/02_-_ISKCON_Swamis/ISKCON_Swamis_-_R_to_Y/His_Holiness_Radhanath_Swami/Lectures/00_-_Year_wise/Devotional_Nectar_-_2002/2002-090_Darshan_Lecture_Moscow_-_Radhanath_Swami_2002-09-27_IDesireTree.mp3", "2002-090_Darshan_Lecture_Moscow_-_Radhanath_Swami_2002-09-27_IDesireTree.mp3")</f>
        <v>2002-090_Darshan_Lecture_Moscow_-_Radhanath_Swami_2002-09-27_IDesireTree.mp3</v>
      </c>
      <c r="D1791" s="11"/>
      <c r="E1791" s="11"/>
    </row>
    <row r="1792" spans="1:5">
      <c r="A1792" s="12" t="s">
        <v>12462</v>
      </c>
      <c r="B1792" s="12" t="s">
        <v>14686</v>
      </c>
      <c r="C1792" s="13" t="str">
        <f>HYPERLINK("https://audio.iskcondesiretree.com/02_-_ISKCON_Swamis/ISKCON_Swamis_-_R_to_Y/His_Holiness_Radhanath_Swami/Lectures/00_-_Year_wise/Devotional_Nectar_-_2002/2002-091_SB-03_25_21_Moscow_-_Radhanath_Swami_2002-09-27_IDesireTree.mp3", "2002-091_SB-03_25_21_Moscow_-_Radhanath_Swami_2002-09-27_IDesireTree.mp3")</f>
        <v>2002-091_SB-03_25_21_Moscow_-_Radhanath_Swami_2002-09-27_IDesireTree.mp3</v>
      </c>
      <c r="D1792" s="11"/>
      <c r="E1792" s="11"/>
    </row>
    <row r="1793" spans="1:5">
      <c r="A1793" s="12" t="s">
        <v>12462</v>
      </c>
      <c r="B1793" s="12" t="s">
        <v>14687</v>
      </c>
      <c r="C1793" s="13" t="str">
        <f>HYPERLINK("https://audio.iskcondesiretree.com/02_-_ISKCON_Swamis/ISKCON_Swamis_-_R_to_Y/His_Holiness_Radhanath_Swami/Lectures/00_-_Year_wise/Devotional_Nectar_-_2002/2002-092_SB-03_25_22_Moscow_-_Radhanath_Swami_2002-09-28_IDesireTree.mp3", "2002-092_SB-03_25_22_Moscow_-_Radhanath_Swami_2002-09-28_IDesireTree.mp3")</f>
        <v>2002-092_SB-03_25_22_Moscow_-_Radhanath_Swami_2002-09-28_IDesireTree.mp3</v>
      </c>
      <c r="D1793" s="11"/>
      <c r="E1793" s="11"/>
    </row>
    <row r="1794" spans="1:5">
      <c r="A1794" s="12" t="s">
        <v>12462</v>
      </c>
      <c r="B1794" s="12" t="s">
        <v>14688</v>
      </c>
      <c r="C1794" s="13" t="str">
        <f>HYPERLINK("https://audio.iskcondesiretree.com/02_-_ISKCON_Swamis/ISKCON_Swamis_-_R_to_Y/His_Holiness_Radhanath_Swami/Lectures/00_-_Year_wise/Devotional_Nectar_-_2002/2002-093_Lecture_Moscow_-_Radhanath_Swami_2002-09-28_IDesireTree.mp3", "2002-093_Lecture_Moscow_-_Radhanath_Swami_2002-09-28_IDesireTree.mp3")</f>
        <v>2002-093_Lecture_Moscow_-_Radhanath_Swami_2002-09-28_IDesireTree.mp3</v>
      </c>
      <c r="D1794" s="11"/>
      <c r="E1794" s="11"/>
    </row>
    <row r="1795" spans="1:5">
      <c r="A1795" s="12" t="s">
        <v>12462</v>
      </c>
      <c r="B1795" s="12" t="s">
        <v>14689</v>
      </c>
      <c r="C1795" s="13" t="str">
        <f>HYPERLINK("https://audio.iskcondesiretree.com/02_-_ISKCON_Swamis/ISKCON_Swamis_-_R_to_Y/His_Holiness_Radhanath_Swami/Lectures/00_-_Year_wise/Devotional_Nectar_-_2002/2002-094_SB-03_25_23_Moscow_-_Radhanath_Swami_2002-09-29_IDesireTree.mp3", "2002-094_SB-03_25_23_Moscow_-_Radhanath_Swami_2002-09-29_IDesireTree.mp3")</f>
        <v>2002-094_SB-03_25_23_Moscow_-_Radhanath_Swami_2002-09-29_IDesireTree.mp3</v>
      </c>
      <c r="D1795" s="11"/>
      <c r="E1795" s="11"/>
    </row>
    <row r="1796" spans="1:5">
      <c r="A1796" s="12" t="s">
        <v>12462</v>
      </c>
      <c r="B1796" s="12" t="s">
        <v>14690</v>
      </c>
      <c r="C1796" s="13" t="str">
        <f>HYPERLINK("https://audio.iskcondesiretree.com/02_-_ISKCON_Swamis/ISKCON_Swamis_-_R_to_Y/His_Holiness_Radhanath_Swami/Lectures/00_-_Year_wise/Devotional_Nectar_-_2002/2002-095_Lecture_Moscow_-_Radhanath_Swami_2002-09-302_IDesireTree.mp3", "2002-095_Lecture_Moscow_-_Radhanath_Swami_2002-09-302_IDesireTree.mp3")</f>
        <v>2002-095_Lecture_Moscow_-_Radhanath_Swami_2002-09-302_IDesireTree.mp3</v>
      </c>
      <c r="D1796" s="11"/>
      <c r="E1796" s="11"/>
    </row>
    <row r="1797" spans="1:5">
      <c r="A1797" s="12" t="s">
        <v>12462</v>
      </c>
      <c r="B1797" s="12" t="s">
        <v>14691</v>
      </c>
      <c r="C1797" s="13" t="str">
        <f>HYPERLINK("https://audio.iskcondesiretree.com/02_-_ISKCON_Swamis/ISKCON_Swamis_-_R_to_Y/His_Holiness_Radhanath_Swami/Lectures/00_-_Year_wise/Devotional_Nectar_-_2002/2002-096_SB-03_25_24_Moscow_-_Radhanath_Swami_2002-09-30_IDesireTree.mp3", "2002-096_SB-03_25_24_Moscow_-_Radhanath_Swami_2002-09-30_IDesireTree.mp3")</f>
        <v>2002-096_SB-03_25_24_Moscow_-_Radhanath_Swami_2002-09-30_IDesireTree.mp3</v>
      </c>
      <c r="D1797" s="11"/>
      <c r="E1797" s="11"/>
    </row>
    <row r="1798" spans="1:5">
      <c r="A1798" s="12" t="s">
        <v>12462</v>
      </c>
      <c r="B1798" s="12" t="s">
        <v>14692</v>
      </c>
      <c r="C1798" s="13" t="str">
        <f>HYPERLINK("https://audio.iskcondesiretree.com/02_-_ISKCON_Swamis/ISKCON_Swamis_-_R_to_Y/His_Holiness_Radhanath_Swami/Lectures/00_-_Year_wise/Devotional_Nectar_-_2002/2002-097_Initiation_Lecture_Moscow_-_Radhanath_Swami_2002-09-30_IDesireTree.mp3", "2002-097_Initiation_Lecture_Moscow_-_Radhanath_Swami_2002-09-30_IDesireTree.mp3")</f>
        <v>2002-097_Initiation_Lecture_Moscow_-_Radhanath_Swami_2002-09-30_IDesireTree.mp3</v>
      </c>
      <c r="D1798" s="11"/>
      <c r="E1798" s="11"/>
    </row>
    <row r="1799" spans="1:5">
      <c r="A1799" s="12" t="s">
        <v>12462</v>
      </c>
      <c r="B1799" s="12" t="s">
        <v>14693</v>
      </c>
      <c r="C1799" s="13" t="str">
        <f>HYPERLINK("https://audio.iskcondesiretree.com/02_-_ISKCON_Swamis/ISKCON_Swamis_-_R_to_Y/His_Holiness_Radhanath_Swami/Lectures/00_-_Year_wise/Devotional_Nectar_-_2002/2002-098_Lecture_Kiev_-_Radhanath_Swami_2002-10-01_IDesireTree.mp3", "2002-098_Lecture_Kiev_-_Radhanath_Swami_2002-10-01_IDesireTree.mp3")</f>
        <v>2002-098_Lecture_Kiev_-_Radhanath_Swami_2002-10-01_IDesireTree.mp3</v>
      </c>
      <c r="D1799" s="11"/>
      <c r="E1799" s="11"/>
    </row>
    <row r="1800" spans="1:5">
      <c r="A1800" s="12" t="s">
        <v>12462</v>
      </c>
      <c r="B1800" s="12" t="s">
        <v>14694</v>
      </c>
      <c r="C1800" s="13" t="str">
        <f>HYPERLINK("https://audio.iskcondesiretree.com/02_-_ISKCON_Swamis/ISKCON_Swamis_-_R_to_Y/His_Holiness_Radhanath_Swami/Lectures/00_-_Year_wise/Devotional_Nectar_-_2002/2002-099_Converting_the_mind_SB-04_10_08_Mumbai_-_Radhanath_Swami_2002-10-01_IDesireTree.mp3", "2002-099_Converting_the_mind_SB-04_10_08_Mumbai_-_Radhanath_Swami_2002-10-01_IDesireTree.mp3")</f>
        <v>2002-099_Converting_the_mind_SB-04_10_08_Mumbai_-_Radhanath_Swami_2002-10-01_IDesireTree.mp3</v>
      </c>
      <c r="D1800" s="11"/>
      <c r="E1800" s="11"/>
    </row>
    <row r="1801" spans="1:5">
      <c r="A1801" s="12" t="s">
        <v>12462</v>
      </c>
      <c r="B1801" s="12" t="s">
        <v>14695</v>
      </c>
      <c r="C1801" s="13" t="str">
        <f>HYPERLINK("https://audio.iskcondesiretree.com/02_-_ISKCON_Swamis/ISKCON_Swamis_-_R_to_Y/His_Holiness_Radhanath_Swami/Lectures/00_-_Year_wise/Devotional_Nectar_-_2002/2002-100_Arrival_Address_Lecture_Mumbai_-_Radhanath_Swami_2002-10-12_IDesireTree.mp3", "2002-100_Arrival_Address_Lecture_Mumbai_-_Radhanath_Swami_2002-10-12_IDesireTree.mp3")</f>
        <v>2002-100_Arrival_Address_Lecture_Mumbai_-_Radhanath_Swami_2002-10-12_IDesireTree.mp3</v>
      </c>
      <c r="D1801" s="11"/>
      <c r="E1801" s="11"/>
    </row>
    <row r="1802" spans="1:5">
      <c r="A1802" s="12" t="s">
        <v>12462</v>
      </c>
      <c r="B1802" s="12" t="s">
        <v>14696</v>
      </c>
      <c r="C1802" s="13" t="str">
        <f>HYPERLINK("https://audio.iskcondesiretree.com/02_-_ISKCON_Swamis/ISKCON_Swamis_-_R_to_Y/His_Holiness_Radhanath_Swami/Lectures/00_-_Year_wise/Devotional_Nectar_-_2002/2002-101_Higher_Intoxication_Of_The_Holy_Name_SB-04_18_15_Mumbai_-_13-10-02_IDesireTree.mp3", "2002-101_Higher_Intoxication_Of_The_Holy_Name_SB-04_18_15_Mumbai_-_13-10-02_IDesireTree.mp3")</f>
        <v>2002-101_Higher_Intoxication_Of_The_Holy_Name_SB-04_18_15_Mumbai_-_13-10-02_IDesireTree.mp3</v>
      </c>
      <c r="D1802" s="11"/>
      <c r="E1802" s="11"/>
    </row>
    <row r="1803" spans="1:5">
      <c r="A1803" s="12" t="s">
        <v>12462</v>
      </c>
      <c r="B1803" s="12" t="s">
        <v>14697</v>
      </c>
      <c r="C1803" s="13" t="str">
        <f>HYPERLINK("https://audio.iskcondesiretree.com/02_-_ISKCON_Swamis/ISKCON_Swamis_-_R_to_Y/His_Holiness_Radhanath_Swami/Lectures/00_-_Year_wise/Devotional_Nectar_-_2002/2002-102_Sunday_Feast_Mumbai_-_Radhanath_Swami_2002-10-13_IDesireTree.mp3", "2002-102_Sunday_Feast_Mumbai_-_Radhanath_Swami_2002-10-13_IDesireTree.mp3")</f>
        <v>2002-102_Sunday_Feast_Mumbai_-_Radhanath_Swami_2002-10-13_IDesireTree.mp3</v>
      </c>
      <c r="D1803" s="11"/>
      <c r="E1803" s="11"/>
    </row>
    <row r="1804" spans="1:5">
      <c r="A1804" s="12" t="s">
        <v>12462</v>
      </c>
      <c r="B1804" s="12" t="s">
        <v>14698</v>
      </c>
      <c r="C1804" s="13" t="str">
        <f>HYPERLINK("https://audio.iskcondesiretree.com/02_-_ISKCON_Swamis/ISKCON_Swamis_-_R_to_Y/His_Holiness_Radhanath_Swami/Lectures/00_-_Year_wise/Devotional_Nectar_-_2002/2002-103_Conflict_resolution_Lecture_Mumbai_-_Radhanath_Swami_2002-10-17_IDesireTree.mp3", "2002-103_Conflict_resolution_Lecture_Mumbai_-_Radhanath_Swami_2002-10-17_IDesireTree.mp3")</f>
        <v>2002-103_Conflict_resolution_Lecture_Mumbai_-_Radhanath_Swami_2002-10-17_IDesireTree.mp3</v>
      </c>
      <c r="D1804" s="11"/>
      <c r="E1804" s="11"/>
    </row>
    <row r="1805" spans="1:5">
      <c r="A1805" s="12" t="s">
        <v>12462</v>
      </c>
      <c r="B1805" s="12" t="e">
        <v>#VALUE!</v>
      </c>
      <c r="C1805" s="13" t="e">
        <f>HYPERLINK("https://audio.iskcondesiretree.com/02_-_ISKCON_Swamis/ISKCON_Swamis_-_R_to_Y/His_Holiness_Radhanath_Swami/Lectures/00_-_Year_wise/Devotional_Nectar_-_2002/2002-104_Bhutanath_The_Lord_Of_Vaskas_Raksas_%26_Pisacasas_SB-04_18_21_Mumbai_-_19-10-02_IDesireTree"&amp;".mp3", "2002-104_Bhutanath_The_Lord_Of_Vaskas_Raksas_%26_Pisacasas_SB-04_18_21_Mumbai_-_19-10-02_IDesireTree.mp3")</f>
        <v>#VALUE!</v>
      </c>
      <c r="D1805" s="11"/>
      <c r="E1805" s="11"/>
    </row>
    <row r="1806" spans="1:5">
      <c r="A1806" s="12" t="s">
        <v>12462</v>
      </c>
      <c r="B1806" s="12" t="s">
        <v>14699</v>
      </c>
      <c r="C1806" s="13" t="str">
        <f>HYPERLINK("https://audio.iskcondesiretree.com/02_-_ISKCON_Swamis/ISKCON_Swamis_-_R_to_Y/His_Holiness_Radhanath_Swami/Lectures/00_-_Year_wise/Devotional_Nectar_-_2002/2002-105_Conquering_the_Greast_Enemy_Lecture_Mumbai_-_Radhanath_Swami_2002-10-19_IDesireTree.mp3", "2002-105_Conquering_the_Greast_Enemy_Lecture_Mumbai_-_Radhanath_Swami_2002-10-19_IDesireTree.mp3")</f>
        <v>2002-105_Conquering_the_Greast_Enemy_Lecture_Mumbai_-_Radhanath_Swami_2002-10-19_IDesireTree.mp3</v>
      </c>
      <c r="D1806" s="11"/>
      <c r="E1806" s="11"/>
    </row>
    <row r="1807" spans="1:5">
      <c r="A1807" s="12" t="s">
        <v>12462</v>
      </c>
      <c r="B1807" s="12" t="s">
        <v>14700</v>
      </c>
      <c r="C1807" s="13" t="str">
        <f>HYPERLINK("https://audio.iskcondesiretree.com/02_-_ISKCON_Swamis/ISKCON_Swamis_-_R_to_Y/His_Holiness_Radhanath_Swami/Lectures/00_-_Year_wise/Devotional_Nectar_-_2002/2002-106_Spreading_Krsna_Consciousness_All_Over_I_Sunday_Feast_Mumbai_-_24-11-02_IDesireTree.mp3", "2002-106_Spreading_Krsna_Consciousness_All_Over_I_Sunday_Feast_Mumbai_-_24-11-02_IDesireTree.mp3")</f>
        <v>2002-106_Spreading_Krsna_Consciousness_All_Over_I_Sunday_Feast_Mumbai_-_24-11-02_IDesireTree.mp3</v>
      </c>
      <c r="D1807" s="11"/>
      <c r="E1807" s="11"/>
    </row>
    <row r="1808" spans="1:5">
      <c r="A1808" s="12" t="s">
        <v>12462</v>
      </c>
      <c r="B1808" s="12" t="s">
        <v>14701</v>
      </c>
      <c r="C1808" s="13" t="str">
        <f>HYPERLINK("https://audio.iskcondesiretree.com/02_-_ISKCON_Swamis/ISKCON_Swamis_-_R_to_Y/His_Holiness_Radhanath_Swami/Lectures/00_-_Year_wise/Devotional_Nectar_-_2002/2002-107_Mother_Earth_Reciprocates_As_You_Approach_SB-04_18_22_Mumbai_-_20-10-02_IDesireTree.mp3", "2002-107_Mother_Earth_Reciprocates_As_You_Approach_SB-04_18_22_Mumbai_-_20-10-02_IDesireTree.mp3")</f>
        <v>2002-107_Mother_Earth_Reciprocates_As_You_Approach_SB-04_18_22_Mumbai_-_20-10-02_IDesireTree.mp3</v>
      </c>
      <c r="D1808" s="11"/>
      <c r="E1808" s="11"/>
    </row>
    <row r="1809" spans="1:5">
      <c r="A1809" s="12" t="s">
        <v>12462</v>
      </c>
      <c r="B1809" s="12" t="s">
        <v>14702</v>
      </c>
      <c r="C1809" s="13" t="str">
        <f>HYPERLINK("https://audio.iskcondesiretree.com/02_-_ISKCON_Swamis/ISKCON_Swamis_-_R_to_Y/His_Holiness_Radhanath_Swami/Lectures/00_-_Year_wise/Devotional_Nectar_-_2002/2002-108_Utilising_Human_Body_For_The_Greatest_Gift_Sunday_Feast_Mumbai_-_20_10_02_IDesireTree.mp3", "2002-108_Utilising_Human_Body_For_The_Greatest_Gift_Sunday_Feast_Mumbai_-_20_10_02_IDesireTree.mp3")</f>
        <v>2002-108_Utilising_Human_Body_For_The_Greatest_Gift_Sunday_Feast_Mumbai_-_20_10_02_IDesireTree.mp3</v>
      </c>
      <c r="D1809" s="11"/>
      <c r="E1809" s="11"/>
    </row>
    <row r="1810" spans="1:5">
      <c r="A1810" s="12" t="s">
        <v>12462</v>
      </c>
      <c r="B1810" s="12" t="s">
        <v>14703</v>
      </c>
      <c r="C1810" s="13" t="str">
        <f>HYPERLINK("https://audio.iskcondesiretree.com/02_-_ISKCON_Swamis/ISKCON_Swamis_-_R_to_Y/His_Holiness_Radhanath_Swami/Lectures/00_-_Year_wise/Devotional_Nectar_-_2002/2002-109_Sharad_Purnima_Lecture_Mumbai_-_Radhanath_Swami_2002-10-21_IDesireTree.mp3", "2002-109_Sharad_Purnima_Lecture_Mumbai_-_Radhanath_Swami_2002-10-21_IDesireTree.mp3")</f>
        <v>2002-109_Sharad_Purnima_Lecture_Mumbai_-_Radhanath_Swami_2002-10-21_IDesireTree.mp3</v>
      </c>
      <c r="D1810" s="11"/>
      <c r="E1810" s="11"/>
    </row>
    <row r="1811" spans="1:5">
      <c r="A1811" s="12" t="s">
        <v>12462</v>
      </c>
      <c r="B1811" s="12" t="s">
        <v>14704</v>
      </c>
      <c r="C1811" s="13" t="str">
        <f>HYPERLINK("https://audio.iskcondesiretree.com/02_-_ISKCON_Swamis/ISKCON_Swamis_-_R_to_Y/His_Holiness_Radhanath_Swami/Lectures/00_-_Year_wise/Devotional_Nectar_-_2002/2002-110_Sacrifice_For_The_Welfare_Of_Others_SB-02_06_08_Mumbai_-_24-10-02_IDesireTree.mp3", "2002-110_Sacrifice_For_The_Welfare_Of_Others_SB-02_06_08_Mumbai_-_24-10-02_IDesireTree.mp3")</f>
        <v>2002-110_Sacrifice_For_The_Welfare_Of_Others_SB-02_06_08_Mumbai_-_24-10-02_IDesireTree.mp3</v>
      </c>
      <c r="D1811" s="11"/>
      <c r="E1811" s="11"/>
    </row>
    <row r="1812" spans="1:5">
      <c r="A1812" s="12" t="s">
        <v>12462</v>
      </c>
      <c r="B1812" s="12" t="s">
        <v>14705</v>
      </c>
      <c r="C1812" s="13" t="str">
        <f>HYPERLINK("https://audio.iskcondesiretree.com/02_-_ISKCON_Swamis/ISKCON_Swamis_-_R_to_Y/His_Holiness_Radhanath_Swami/Lectures/00_-_Year_wise/Devotional_Nectar_-_2002/2002-111_Lessons_From_The_Life_Of_Narottam_Das_Sunday_Feast_Mumbai_-_27-10-02_IDesireTree.mp3", "2002-111_Lessons_From_The_Life_Of_Narottam_Das_Sunday_Feast_Mumbai_-_27-10-02_IDesireTree.mp3")</f>
        <v>2002-111_Lessons_From_The_Life_Of_Narottam_Das_Sunday_Feast_Mumbai_-_27-10-02_IDesireTree.mp3</v>
      </c>
      <c r="D1812" s="11"/>
      <c r="E1812" s="11"/>
    </row>
    <row r="1813" spans="1:5">
      <c r="A1813" s="12" t="s">
        <v>12462</v>
      </c>
      <c r="B1813" s="12" t="s">
        <v>14706</v>
      </c>
      <c r="C1813" s="13" t="str">
        <f>HYPERLINK("https://audio.iskcondesiretree.com/02_-_ISKCON_Swamis/ISKCON_Swamis_-_R_to_Y/His_Holiness_Radhanath_Swami/Lectures/00_-_Year_wise/Devotional_Nectar_-_2002/2002-112_We_Want_To_Welcome_That_Wealth_Of_Love_Lecture_Mumbai_-_23-11-02_IDesireTree.mp3", "2002-112_We_Want_To_Welcome_That_Wealth_Of_Love_Lecture_Mumbai_-_23-11-02_IDesireTree.mp3")</f>
        <v>2002-112_We_Want_To_Welcome_That_Wealth_Of_Love_Lecture_Mumbai_-_23-11-02_IDesireTree.mp3</v>
      </c>
      <c r="D1813" s="11"/>
      <c r="E1813" s="11"/>
    </row>
    <row r="1814" spans="1:5">
      <c r="A1814" s="12" t="s">
        <v>12462</v>
      </c>
      <c r="B1814" s="12" t="s">
        <v>14707</v>
      </c>
      <c r="C1814" s="13" t="str">
        <f>HYPERLINK("https://audio.iskcondesiretree.com/02_-_ISKCON_Swamis/ISKCON_Swamis_-_R_to_Y/His_Holiness_Radhanath_Swami/Lectures/00_-_Year_wise/Devotional_Nectar_-_2002/2002-113_Lord_Conquered_By_Devotees_Love_Lecture_Mumbai_-_Radhanath_Swami_2002-11-23_IDesireTree.mp3", "2002-113_Lord_Conquered_By_Devotees_Love_Lecture_Mumbai_-_Radhanath_Swami_2002-11-23_IDesireTree.mp3")</f>
        <v>2002-113_Lord_Conquered_By_Devotees_Love_Lecture_Mumbai_-_Radhanath_Swami_2002-11-23_IDesireTree.mp3</v>
      </c>
      <c r="D1814" s="11"/>
      <c r="E1814" s="11"/>
    </row>
    <row r="1815" spans="1:5">
      <c r="A1815" s="12" t="s">
        <v>12462</v>
      </c>
      <c r="B1815" s="12" t="s">
        <v>14708</v>
      </c>
      <c r="C1815" s="13" t="str">
        <f>HYPERLINK("https://audio.iskcondesiretree.com/02_-_ISKCON_Swamis/ISKCON_Swamis_-_R_to_Y/His_Holiness_Radhanath_Swami/Lectures/00_-_Year_wise/Devotional_Nectar_-_2002/2002-114_Spreading_Krsna_Consciousness_All_Over_II_Sunday_Feast_Mumbai_-_24-11-02_IDesireTree.mp3", "2002-114_Spreading_Krsna_Consciousness_All_Over_II_Sunday_Feast_Mumbai_-_24-11-02_IDesireTree.mp3")</f>
        <v>2002-114_Spreading_Krsna_Consciousness_All_Over_II_Sunday_Feast_Mumbai_-_24-11-02_IDesireTree.mp3</v>
      </c>
      <c r="D1815" s="11"/>
      <c r="E1815" s="11"/>
    </row>
    <row r="1816" spans="1:5">
      <c r="A1816" s="12" t="s">
        <v>12462</v>
      </c>
      <c r="B1816" s="12" t="s">
        <v>14709</v>
      </c>
      <c r="C1816" s="13" t="str">
        <f>HYPERLINK("https://audio.iskcondesiretree.com/02_-_ISKCON_Swamis/ISKCON_Swamis_-_R_to_Y/His_Holiness_Radhanath_Swami/Lectures/00_-_Year_wise/Devotional_Nectar_-_2002/2002-115_Teachings_Of_Rshibhdev_SB-02_07_10_Mumbai_-_Radhanath_Swami_2002-11-28_IDesireTree.mp3", "2002-115_Teachings_Of_Rshibhdev_SB-02_07_10_Mumbai_-_Radhanath_Swami_2002-11-28_IDesireTree.mp3")</f>
        <v>2002-115_Teachings_Of_Rshibhdev_SB-02_07_10_Mumbai_-_Radhanath_Swami_2002-11-28_IDesireTree.mp3</v>
      </c>
      <c r="D1816" s="11"/>
      <c r="E1816" s="11"/>
    </row>
    <row r="1817" spans="1:5">
      <c r="A1817" s="12" t="s">
        <v>12462</v>
      </c>
      <c r="B1817" s="12" t="s">
        <v>14710</v>
      </c>
      <c r="C1817" s="13" t="str">
        <f>HYPERLINK("https://audio.iskcondesiretree.com/02_-_ISKCON_Swamis/ISKCON_Swamis_-_R_to_Y/His_Holiness_Radhanath_Swami/Lectures/00_-_Year_wise/Devotional_Nectar_-_2002/2002-116_The_Power_Of_Love_Prerna_Lecture_Mumbai_-_Radhanath_Swami_2002-11-29_IDesireTree.mp3", "2002-116_The_Power_Of_Love_Prerna_Lecture_Mumbai_-_Radhanath_Swami_2002-11-29_IDesireTree.mp3")</f>
        <v>2002-116_The_Power_Of_Love_Prerna_Lecture_Mumbai_-_Radhanath_Swami_2002-11-29_IDesireTree.mp3</v>
      </c>
      <c r="D1817" s="11"/>
      <c r="E1817" s="11"/>
    </row>
    <row r="1818" spans="1:5">
      <c r="A1818" s="12" t="s">
        <v>12462</v>
      </c>
      <c r="B1818" s="12" t="s">
        <v>14711</v>
      </c>
      <c r="C1818" s="13" t="str">
        <f>HYPERLINK("https://audio.iskcondesiretree.com/02_-_ISKCON_Swamis/ISKCON_Swamis_-_R_to_Y/His_Holiness_Radhanath_Swami/Lectures/00_-_Year_wise/Devotional_Nectar_-_2002/2002-117_Absorbing_Our_Mind_BY_Taking_Responsibility_SB-04_20_12_Mumbai_-_30-11-02_IDesireTree.mp3", "2002-117_Absorbing_Our_Mind_BY_Taking_Responsibility_SB-04_20_12_Mumbai_-_30-11-02_IDesireTree.mp3")</f>
        <v>2002-117_Absorbing_Our_Mind_BY_Taking_Responsibility_SB-04_20_12_Mumbai_-_30-11-02_IDesireTree.mp3</v>
      </c>
      <c r="D1818" s="11"/>
      <c r="E1818" s="11"/>
    </row>
    <row r="1819" spans="1:5">
      <c r="A1819" s="12" t="s">
        <v>12462</v>
      </c>
      <c r="B1819" s="12" t="e">
        <v>#VALUE!</v>
      </c>
      <c r="C1819" s="13" t="e">
        <f>HYPERLINK("https://audio.iskcondesiretree.com/02_-_ISKCON_Swamis/ISKCON_Swamis_-_R_to_Y/His_Holiness_Radhanath_Swami/Lectures/00_-_Year_wise/Devotional_Nectar_-_2002/2002-118_Glories_of_Srila_Narhari_Sarkar_SB-04_12_13_Mumbai_-_Radhanath_Swami_2002-12-01_IDesireTree"&amp;".mp3", "2002-118_Glories_of_Srila_Narhari_Sarkar_SB-04_12_13_Mumbai_-_Radhanath_Swami_2002-12-01_IDesireTree.mp3")</f>
        <v>#VALUE!</v>
      </c>
      <c r="D1819" s="11"/>
      <c r="E1819" s="11"/>
    </row>
    <row r="1820" spans="1:5">
      <c r="A1820" s="12" t="s">
        <v>12462</v>
      </c>
      <c r="B1820" s="12" t="s">
        <v>14712</v>
      </c>
      <c r="C1820" s="13" t="str">
        <f>HYPERLINK("https://audio.iskcondesiretree.com/02_-_ISKCON_Swamis/ISKCON_Swamis_-_R_to_Y/His_Holiness_Radhanath_Swami/Lectures/00_-_Year_wise/Devotional_Nectar_-_2002/2002-12-22_SB_03-15-39_-_Radhanath_Swami_Los_Angeles.mp3", "2002-12-22_SB_03-15-39_-_Radhanath_Swami_Los_Angeles.mp3")</f>
        <v>2002-12-22_SB_03-15-39_-_Radhanath_Swami_Los_Angeles.mp3</v>
      </c>
      <c r="D1820" s="11"/>
      <c r="E1820" s="11"/>
    </row>
    <row r="1821" spans="1:5">
      <c r="A1821" s="12" t="s">
        <v>12462</v>
      </c>
      <c r="B1821" s="12" t="s">
        <v>14713</v>
      </c>
      <c r="C1821" s="13" t="str">
        <f>HYPERLINK("https://audio.iskcondesiretree.com/02_-_ISKCON_Swamis/ISKCON_Swamis_-_R_to_Y/His_Holiness_Radhanath_Swami/Lectures/00_-_Year_wise/Devotional_Nectar_-_2002/2002-120_Vyas_Puja_Address_Lecture_Mumbai_-_Radhanath_Swami_2002-13-03_IDesireTree.mp3", "2002-120_Vyas_Puja_Address_Lecture_Mumbai_-_Radhanath_Swami_2002-13-03_IDesireTree.mp3")</f>
        <v>2002-120_Vyas_Puja_Address_Lecture_Mumbai_-_Radhanath_Swami_2002-13-03_IDesireTree.mp3</v>
      </c>
      <c r="D1821" s="11"/>
      <c r="E1821" s="11"/>
    </row>
    <row r="1822" spans="1:5">
      <c r="A1822" s="12" t="s">
        <v>12462</v>
      </c>
      <c r="B1822" s="12" t="s">
        <v>14714</v>
      </c>
      <c r="C1822" s="13" t="str">
        <f>HYPERLINK("https://audio.iskcondesiretree.com/02_-_ISKCON_Swamis/ISKCON_Swamis_-_R_to_Y/His_Holiness_Radhanath_Swami/Lectures/00_-_Year_wise/Devotional_Nectar_-_2002/2002-121_Drama_Realisation_Lecture_Mumbai_-_Radhanath_Swami_2002-12-05_IDesireTree.mp3", "2002-121_Drama_Realisation_Lecture_Mumbai_-_Radhanath_Swami_2002-12-05_IDesireTree.mp3")</f>
        <v>2002-121_Drama_Realisation_Lecture_Mumbai_-_Radhanath_Swami_2002-12-05_IDesireTree.mp3</v>
      </c>
      <c r="D1822" s="11"/>
      <c r="E1822" s="11"/>
    </row>
    <row r="1823" spans="1:5">
      <c r="A1823" s="12" t="s">
        <v>12462</v>
      </c>
      <c r="B1823" s="12" t="e">
        <v>#VALUE!</v>
      </c>
      <c r="C1823" s="13" t="e">
        <f>HYPERLINK("https://audio.iskcondesiretree.com/02_-_ISKCON_Swamis/ISKCON_Swamis_-_R_to_Y/His_Holiness_Radhanath_Swami/Lectures/00_-_Year_wise/Devotional_Nectar_-_2002/2002-122_Surrender_Means_Submitting_Fully_To_The_Will_Of_The_Lord_SB-04_20_17_Mumbai_-_07-12-02_IDes"&amp;"ireTree.mp3", "2002-122_Surrender_Means_Submitting_Fully_To_The_Will_Of_The_Lord_SB-04_20_17_Mumbai_-_07-12-02_IDesireTree.mp3")</f>
        <v>#VALUE!</v>
      </c>
      <c r="D1823" s="11"/>
      <c r="E1823" s="11"/>
    </row>
    <row r="1824" spans="1:5">
      <c r="A1824" s="12" t="s">
        <v>12462</v>
      </c>
      <c r="B1824" s="12" t="e">
        <v>#VALUE!</v>
      </c>
      <c r="C1824" s="13" t="e">
        <f>HYPERLINK("https://audio.iskcondesiretree.com/02_-_ISKCON_Swamis/ISKCON_Swamis_-_R_to_Y/His_Holiness_Radhanath_Swami/Lectures/00_-_Year_wise/Devotional_Nectar_-_2002/2002-123_Performing_Selfless_Service_for_The_Welfare_of_Others_Lecture_Mumbai_-_08-12-02_IDesireTree"&amp;".mp3", "2002-123_Performing_Selfless_Service_for_The_Welfare_of_Others_Lecture_Mumbai_-_08-12-02_IDesireTree.mp3")</f>
        <v>#VALUE!</v>
      </c>
      <c r="D1824" s="11"/>
      <c r="E1824" s="11"/>
    </row>
    <row r="1825" spans="1:5">
      <c r="A1825" s="12" t="s">
        <v>12462</v>
      </c>
      <c r="B1825" s="12" t="s">
        <v>14715</v>
      </c>
      <c r="C1825" s="13" t="str">
        <f>HYPERLINK("https://audio.iskcondesiretree.com/02_-_ISKCON_Swamis/ISKCON_Swamis_-_R_to_Y/His_Holiness_Radhanath_Swami/Lectures/00_-_Year_wise/Devotional_Nectar_-_2002/2002-124_Become_Conditioned_to_Chant_The_Holy_Name_Lecture_Mumbai_-_29-12-02_IDesireTree.mp3", "2002-124_Become_Conditioned_to_Chant_The_Holy_Name_Lecture_Mumbai_-_29-12-02_IDesireTree.mp3")</f>
        <v>2002-124_Become_Conditioned_to_Chant_The_Holy_Name_Lecture_Mumbai_-_29-12-02_IDesireTree.mp3</v>
      </c>
      <c r="D1825" s="11"/>
      <c r="E1825" s="11"/>
    </row>
    <row r="1826" spans="1:5">
      <c r="A1826" s="12" t="s">
        <v>12462</v>
      </c>
      <c r="B1826" s="12" t="s">
        <v>14716</v>
      </c>
      <c r="C1826" s="13" t="str">
        <f>HYPERLINK("https://audio.iskcondesiretree.com/02_-_ISKCON_Swamis/ISKCON_Swamis_-_R_to_Y/His_Holiness_Radhanath_Swami/Lectures/00_-_Year_wise/Devotional_Nectar_-_2002/2002-125_To_Utilise_Everything_to_Serve_The_Lord_Lecture_Mumbai_-_31-12-02_IDesireTree.mp3", "2002-125_To_Utilise_Everything_to_Serve_The_Lord_Lecture_Mumbai_-_31-12-02_IDesireTree.mp3")</f>
        <v>2002-125_To_Utilise_Everything_to_Serve_The_Lord_Lecture_Mumbai_-_31-12-02_IDesireTree.mp3</v>
      </c>
      <c r="D1826" s="11"/>
      <c r="E1826" s="11"/>
    </row>
    <row r="1827" spans="1:5">
      <c r="A1827" s="12" t="s">
        <v>12462</v>
      </c>
      <c r="B1827" s="12" t="s">
        <v>14717</v>
      </c>
      <c r="C1827" s="13" t="str">
        <f>HYPERLINK("https://audio.iskcondesiretree.com/02_-_ISKCON_Swamis/ISKCON_Swamis_-_R_to_Y/His_Holiness_Radhanath_Swami/Lectures/00_-_Year_wise/Devotional_Nectar_-_2003/2003-001_What_Exactly_is_Non_Violence_SB-02_07_37_Mumbai_-_02-01-03_IDesireTree.mp3", "2003-001_What_Exactly_is_Non_Violence_SB-02_07_37_Mumbai_-_02-01-03_IDesireTree.mp3")</f>
        <v>2003-001_What_Exactly_is_Non_Violence_SB-02_07_37_Mumbai_-_02-01-03_IDesireTree.mp3</v>
      </c>
      <c r="D1827" s="11"/>
      <c r="E1827" s="11"/>
    </row>
    <row r="1828" spans="1:5">
      <c r="A1828" s="12" t="s">
        <v>12462</v>
      </c>
      <c r="B1828" s="12" t="s">
        <v>14718</v>
      </c>
      <c r="C1828" s="13" t="str">
        <f>HYPERLINK("https://audio.iskcondesiretree.com/02_-_ISKCON_Swamis/ISKCON_Swamis_-_R_to_Y/His_Holiness_Radhanath_Swami/Lectures/00_-_Year_wise/Devotional_Nectar_-_2003/2003-002_Utilising_Human_Body_Lecture_Mumbai_-_Radhanath_Swami_2003-01-03_IDesireTree.mp3", "2003-002_Utilising_Human_Body_Lecture_Mumbai_-_Radhanath_Swami_2003-01-03_IDesireTree.mp3")</f>
        <v>2003-002_Utilising_Human_Body_Lecture_Mumbai_-_Radhanath_Swami_2003-01-03_IDesireTree.mp3</v>
      </c>
      <c r="D1828" s="11"/>
      <c r="E1828" s="11"/>
    </row>
    <row r="1829" spans="1:5">
      <c r="A1829" s="12" t="s">
        <v>12462</v>
      </c>
      <c r="B1829" s="12" t="s">
        <v>14719</v>
      </c>
      <c r="C1829" s="13" t="str">
        <f>HYPERLINK("https://audio.iskcondesiretree.com/02_-_ISKCON_Swamis/ISKCON_Swamis_-_R_to_Y/His_Holiness_Radhanath_Swami/Lectures/00_-_Year_wise/Devotional_Nectar_-_2003/2003-003_Prthu_Maharaj_an_Ideal_Responsible_King_SB-04_21_06_Mumbai_-_04-01-03_IDesireTree.mp3", "2003-003_Prthu_Maharaj_an_Ideal_Responsible_King_SB-04_21_06_Mumbai_-_04-01-03_IDesireTree.mp3")</f>
        <v>2003-003_Prthu_Maharaj_an_Ideal_Responsible_King_SB-04_21_06_Mumbai_-_04-01-03_IDesireTree.mp3</v>
      </c>
      <c r="D1829" s="11"/>
      <c r="E1829" s="11"/>
    </row>
    <row r="1830" spans="1:5">
      <c r="A1830" s="12" t="s">
        <v>12462</v>
      </c>
      <c r="B1830" s="12" t="s">
        <v>14720</v>
      </c>
      <c r="C1830" s="13" t="str">
        <f>HYPERLINK("https://audio.iskcondesiretree.com/02_-_ISKCON_Swamis/ISKCON_Swamis_-_R_to_Y/His_Holiness_Radhanath_Swami/Lectures/00_-_Year_wise/Devotional_Nectar_-_2003/2003-004_Surpassing_Material_Conditioning_Sunday_feast_Pune_-_05-01-03_IDesireTree.mp3", "2003-004_Surpassing_Material_Conditioning_Sunday_feast_Pune_-_05-01-03_IDesireTree.mp3")</f>
        <v>2003-004_Surpassing_Material_Conditioning_Sunday_feast_Pune_-_05-01-03_IDesireTree.mp3</v>
      </c>
      <c r="D1830" s="11"/>
      <c r="E1830" s="11"/>
    </row>
    <row r="1831" spans="1:5">
      <c r="A1831" s="12" t="s">
        <v>12462</v>
      </c>
      <c r="B1831" s="12" t="s">
        <v>14721</v>
      </c>
      <c r="C1831" s="13" t="str">
        <f>HYPERLINK("https://audio.iskcondesiretree.com/02_-_ISKCON_Swamis/ISKCON_Swamis_-_R_to_Y/His_Holiness_Radhanath_Swami/Lectures/00_-_Year_wise/Devotional_Nectar_-_2003/2003-005_Tamal_Tree_Plantation_Ceremony_Lecture_Mumbai_-_Radhanath_Swami_2003-01-07_IDesireTree.mp3", "2003-005_Tamal_Tree_Plantation_Ceremony_Lecture_Mumbai_-_Radhanath_Swami_2003-01-07_IDesireTree.mp3")</f>
        <v>2003-005_Tamal_Tree_Plantation_Ceremony_Lecture_Mumbai_-_Radhanath_Swami_2003-01-07_IDesireTree.mp3</v>
      </c>
      <c r="D1831" s="11"/>
      <c r="E1831" s="11"/>
    </row>
    <row r="1832" spans="1:5">
      <c r="A1832" s="12" t="s">
        <v>12462</v>
      </c>
      <c r="B1832" s="12" t="s">
        <v>14722</v>
      </c>
      <c r="C1832" s="13" t="str">
        <f>HYPERLINK("https://audio.iskcondesiretree.com/02_-_ISKCON_Swamis/ISKCON_Swamis_-_R_to_Y/His_Holiness_Radhanath_Swami/Lectures/00_-_Year_wise/Devotional_Nectar_-_2003/2003-006_Deity_Welcoming_Lecture_Mumbai_-_Radhanath_Swami_2003-01-07_IDesireTree.mp3", "2003-006_Deity_Welcoming_Lecture_Mumbai_-_Radhanath_Swami_2003-01-07_IDesireTree.mp3")</f>
        <v>2003-006_Deity_Welcoming_Lecture_Mumbai_-_Radhanath_Swami_2003-01-07_IDesireTree.mp3</v>
      </c>
      <c r="D1832" s="11"/>
      <c r="E1832" s="11"/>
    </row>
    <row r="1833" spans="1:5">
      <c r="A1833" s="12" t="s">
        <v>12462</v>
      </c>
      <c r="B1833" s="12" t="s">
        <v>14723</v>
      </c>
      <c r="C1833" s="13" t="str">
        <f>HYPERLINK("https://audio.iskcondesiretree.com/02_-_ISKCON_Swamis/ISKCON_Swamis_-_R_to_Y/His_Holiness_Radhanath_Swami/Lectures/00_-_Year_wise/Devotional_Nectar_-_2003/2003-007_Intricacies_of_Subtle_Science_SB-04_21_13_Mumbai_-_11-01-03_IDesireTree.mp3", "2003-007_Intricacies_of_Subtle_Science_SB-04_21_13_Mumbai_-_11-01-03_IDesireTree.mp3")</f>
        <v>2003-007_Intricacies_of_Subtle_Science_SB-04_21_13_Mumbai_-_11-01-03_IDesireTree.mp3</v>
      </c>
      <c r="D1833" s="11"/>
      <c r="E1833" s="11"/>
    </row>
    <row r="1834" spans="1:5">
      <c r="A1834" s="12" t="s">
        <v>12462</v>
      </c>
      <c r="B1834" s="12" t="s">
        <v>14724</v>
      </c>
      <c r="C1834" s="13" t="str">
        <f>HYPERLINK("https://audio.iskcondesiretree.com/02_-_ISKCON_Swamis/ISKCON_Swamis_-_R_to_Y/His_Holiness_Radhanath_Swami/Lectures/00_-_Year_wise/Devotional_Nectar_-_2003/2003-008_The_Culture_of_how_to_Respect_Others_SB-04_21_14_Mumbai_-_12-01-03_IDesireTree.mp3", "2003-008_The_Culture_of_how_to_Respect_Others_SB-04_21_14_Mumbai_-_12-01-03_IDesireTree.mp3")</f>
        <v>2003-008_The_Culture_of_how_to_Respect_Others_SB-04_21_14_Mumbai_-_12-01-03_IDesireTree.mp3</v>
      </c>
      <c r="D1834" s="11"/>
      <c r="E1834" s="11"/>
    </row>
    <row r="1835" spans="1:5">
      <c r="A1835" s="12" t="s">
        <v>12462</v>
      </c>
      <c r="B1835" s="12" t="s">
        <v>14725</v>
      </c>
      <c r="C1835" s="13" t="str">
        <f>HYPERLINK("https://audio.iskcondesiretree.com/02_-_ISKCON_Swamis/ISKCON_Swamis_-_R_to_Y/His_Holiness_Radhanath_Swami/Lectures/00_-_Year_wise/Devotional_Nectar_-_2003/2003-009_Coming_Before_Sri_Radha_Gopinath_Sunday_Feast_Mumbai_-_12-01-03_IDesireTree.mp3", "2003-009_Coming_Before_Sri_Radha_Gopinath_Sunday_Feast_Mumbai_-_12-01-03_IDesireTree.mp3")</f>
        <v>2003-009_Coming_Before_Sri_Radha_Gopinath_Sunday_Feast_Mumbai_-_12-01-03_IDesireTree.mp3</v>
      </c>
      <c r="D1835" s="11"/>
      <c r="E1835" s="11"/>
    </row>
    <row r="1836" spans="1:5">
      <c r="A1836" s="12" t="s">
        <v>12462</v>
      </c>
      <c r="B1836" s="12" t="e">
        <v>#VALUE!</v>
      </c>
      <c r="C1836" s="13" t="e">
        <f>HYPERLINK("https://audio.iskcondesiretree.com/02_-_ISKCON_Swamis/ISKCON_Swamis_-_R_to_Y/His_Holiness_Radhanath_Swami/Lectures/00_-_Year_wise/Devotional_Nectar_-_2003/2003-010_Taking_Responsibility_for_the_Benefit_of_Others_SB-04_21_24_Mumbai_-_19-01-03_IDesireTree.m"&amp;"p3", "2003-010_Taking_Responsibility_for_the_Benefit_of_Others_SB-04_21_24_Mumbai_-_19-01-03_IDesireTree.mp3")</f>
        <v>#VALUE!</v>
      </c>
      <c r="D1836" s="11"/>
      <c r="E1836" s="11"/>
    </row>
    <row r="1837" spans="1:5">
      <c r="A1837" s="12" t="s">
        <v>12462</v>
      </c>
      <c r="B1837" s="12" t="s">
        <v>14726</v>
      </c>
      <c r="C1837" s="13" t="str">
        <f>HYPERLINK("https://audio.iskcondesiretree.com/02_-_ISKCON_Swamis/ISKCON_Swamis_-_R_to_Y/His_Holiness_Radhanath_Swami/Lectures/00_-_Year_wise/Devotional_Nectar_-_2003/2003-011_Srila_Prabhupada_Memories_Lecture_Mumbai_-_Radhanath_Swami_2003-01-19_IDesireTree.mp3", "2003-011_Srila_Prabhupada_Memories_Lecture_Mumbai_-_Radhanath_Swami_2003-01-19_IDesireTree.mp3")</f>
        <v>2003-011_Srila_Prabhupada_Memories_Lecture_Mumbai_-_Radhanath_Swami_2003-01-19_IDesireTree.mp3</v>
      </c>
      <c r="D1837" s="11"/>
      <c r="E1837" s="11"/>
    </row>
    <row r="1838" spans="1:5">
      <c r="A1838" s="12" t="s">
        <v>12462</v>
      </c>
      <c r="B1838" s="12" t="s">
        <v>14727</v>
      </c>
      <c r="C1838" s="13" t="str">
        <f>HYPERLINK("https://audio.iskcondesiretree.com/02_-_ISKCON_Swamis/ISKCON_Swamis_-_R_to_Y/His_Holiness_Radhanath_Swami/Lectures/00_-_Year_wise/Devotional_Nectar_-_2003/2003-012_Glories_of_the_Lord_%26_His_Devotees_Mercy_Lecture_Mumbai_-_16-03-03_IDesireTree.mp3", "2003-012_Glories_of_the_Lord_%26_His_Devotees_Mercy_Lecture_Mumbai_-_16-03-03_IDesireTree.mp3")</f>
        <v>2003-012_Glories_of_the_Lord_%26_His_Devotees_Mercy_Lecture_Mumbai_-_16-03-03_IDesireTree.mp3</v>
      </c>
      <c r="D1838" s="11"/>
      <c r="E1838" s="11"/>
    </row>
    <row r="1839" spans="1:5">
      <c r="A1839" s="12" t="s">
        <v>12462</v>
      </c>
      <c r="B1839" s="12" t="s">
        <v>14728</v>
      </c>
      <c r="C1839" s="13" t="str">
        <f>HYPERLINK("https://audio.iskcondesiretree.com/02_-_ISKCON_Swamis/ISKCON_Swamis_-_R_to_Y/His_Holiness_Radhanath_Swami/Lectures/00_-_Year_wise/Devotional_Nectar_-_2003/2003-013_Compassion_Melts_Heart_SB-06_01_01_Mumbai_-_Radhanath_Swami_2003-03-17_IDesireTree.mp3", "2003-013_Compassion_Melts_Heart_SB-06_01_01_Mumbai_-_Radhanath_Swami_2003-03-17_IDesireTree.mp3")</f>
        <v>2003-013_Compassion_Melts_Heart_SB-06_01_01_Mumbai_-_Radhanath_Swami_2003-03-17_IDesireTree.mp3</v>
      </c>
      <c r="D1839" s="11"/>
      <c r="E1839" s="11"/>
    </row>
    <row r="1840" spans="1:5">
      <c r="A1840" s="12" t="s">
        <v>12462</v>
      </c>
      <c r="B1840" s="12" t="s">
        <v>14729</v>
      </c>
      <c r="C1840" s="13" t="str">
        <f>HYPERLINK("https://audio.iskcondesiretree.com/02_-_ISKCON_Swamis/ISKCON_Swamis_-_R_to_Y/His_Holiness_Radhanath_Swami/Lectures/00_-_Year_wise/Devotional_Nectar_-_2003/2003-014_Introducing_the_Great_Devotees_Lecture_Mumbai_-_Radhanath_Swami_2003-03-17_IDesireTree.mp3", "2003-014_Introducing_the_Great_Devotees_Lecture_Mumbai_-_Radhanath_Swami_2003-03-17_IDesireTree.mp3")</f>
        <v>2003-014_Introducing_the_Great_Devotees_Lecture_Mumbai_-_Radhanath_Swami_2003-03-17_IDesireTree.mp3</v>
      </c>
      <c r="D1840" s="11"/>
      <c r="E1840" s="11"/>
    </row>
    <row r="1841" spans="1:5">
      <c r="A1841" s="12" t="s">
        <v>12462</v>
      </c>
      <c r="B1841" s="12" t="s">
        <v>14730</v>
      </c>
      <c r="C1841" s="13" t="str">
        <f>HYPERLINK("https://audio.iskcondesiretree.com/02_-_ISKCON_Swamis/ISKCON_Swamis_-_R_to_Y/His_Holiness_Radhanath_Swami/Lectures/00_-_Year_wise/Devotional_Nectar_-_2003/2003-015_Appearance_of_Lord_Caitanya_Lecture_Mumbai_-_Radhanath_Swami_2003-03-18_IDesireTree.mp3", "2003-015_Appearance_of_Lord_Caitanya_Lecture_Mumbai_-_Radhanath_Swami_2003-03-18_IDesireTree.mp3")</f>
        <v>2003-015_Appearance_of_Lord_Caitanya_Lecture_Mumbai_-_Radhanath_Swami_2003-03-18_IDesireTree.mp3</v>
      </c>
      <c r="D1841" s="11"/>
      <c r="E1841" s="11"/>
    </row>
    <row r="1842" spans="1:5">
      <c r="A1842" s="12" t="s">
        <v>12462</v>
      </c>
      <c r="B1842" s="12" t="s">
        <v>14731</v>
      </c>
      <c r="C1842" s="13" t="str">
        <f>HYPERLINK("https://audio.iskcondesiretree.com/02_-_ISKCON_Swamis/ISKCON_Swamis_-_R_to_Y/His_Holiness_Radhanath_Swami/Lectures/00_-_Year_wise/Devotional_Nectar_-_2003/2003-016_Mahaprakash_lila_Lecture_Mumbai_-_Radhanath_Swami_2003-03-18_IDesireTree.mp3", "2003-016_Mahaprakash_lila_Lecture_Mumbai_-_Radhanath_Swami_2003-03-18_IDesireTree.mp3")</f>
        <v>2003-016_Mahaprakash_lila_Lecture_Mumbai_-_Radhanath_Swami_2003-03-18_IDesireTree.mp3</v>
      </c>
      <c r="D1842" s="11"/>
      <c r="E1842" s="11"/>
    </row>
    <row r="1843" spans="1:5">
      <c r="A1843" s="12" t="s">
        <v>12462</v>
      </c>
      <c r="B1843" s="12" t="s">
        <v>14732</v>
      </c>
      <c r="C1843" s="13" t="str">
        <f>HYPERLINK("https://audio.iskcondesiretree.com/02_-_ISKCON_Swamis/ISKCON_Swamis_-_R_to_Y/His_Holiness_Radhanath_Swami/Lectures/00_-_Year_wise/Devotional_Nectar_-_2003/2003-017_Giving_a_Loving_Gift_to_Mahaprabhu_Lecture_Mumbai_-_18-03-03_IDesireTree.mp3", "2003-017_Giving_a_Loving_Gift_to_Mahaprabhu_Lecture_Mumbai_-_18-03-03_IDesireTree.mp3")</f>
        <v>2003-017_Giving_a_Loving_Gift_to_Mahaprabhu_Lecture_Mumbai_-_18-03-03_IDesireTree.mp3</v>
      </c>
      <c r="D1843" s="11"/>
      <c r="E1843" s="11"/>
    </row>
    <row r="1844" spans="1:5">
      <c r="A1844" s="12" t="s">
        <v>12462</v>
      </c>
      <c r="B1844" s="12" t="s">
        <v>14733</v>
      </c>
      <c r="C1844" s="13" t="str">
        <f>HYPERLINK("https://audio.iskcondesiretree.com/02_-_ISKCON_Swamis/ISKCON_Swamis_-_R_to_Y/His_Holiness_Radhanath_Swami/Lectures/00_-_Year_wise/Devotional_Nectar_-_2003/2003-018_Jagannatha_Mishra_Festival_Lecture_Mumbai_-_Radhanath_Swami_2003-03-19_IDesireTree.mp3", "2003-018_Jagannatha_Mishra_Festival_Lecture_Mumbai_-_Radhanath_Swami_2003-03-19_IDesireTree.mp3")</f>
        <v>2003-018_Jagannatha_Mishra_Festival_Lecture_Mumbai_-_Radhanath_Swami_2003-03-19_IDesireTree.mp3</v>
      </c>
      <c r="D1844" s="11"/>
      <c r="E1844" s="11"/>
    </row>
    <row r="1845" spans="1:5">
      <c r="A1845" s="12" t="s">
        <v>12462</v>
      </c>
      <c r="B1845" s="12" t="e">
        <v>#VALUE!</v>
      </c>
      <c r="C1845" s="13" t="e">
        <f>HYPERLINK("https://audio.iskcondesiretree.com/02_-_ISKCON_Swamis/ISKCON_Swamis_-_R_to_Y/His_Holiness_Radhanath_Swami/Lectures/00_-_Year_wise/Devotional_Nectar_-_2003/2003-019_Association_of_Devotees_is_the_Greatest_Benediction_SB-04_22_20_Mumbai_-_22-03-03_IDesireTr"&amp;"ee.mp3", "2003-019_Association_of_Devotees_is_the_Greatest_Benediction_SB-04_22_20_Mumbai_-_22-03-03_IDesireTree.mp3")</f>
        <v>#VALUE!</v>
      </c>
      <c r="D1845" s="11"/>
      <c r="E1845" s="11"/>
    </row>
    <row r="1846" spans="1:5">
      <c r="A1846" s="12" t="s">
        <v>12462</v>
      </c>
      <c r="B1846" s="12" t="s">
        <v>14734</v>
      </c>
      <c r="C1846" s="13" t="str">
        <f>HYPERLINK("https://audio.iskcondesiretree.com/02_-_ISKCON_Swamis/ISKCON_Swamis_-_R_to_Y/His_Holiness_Radhanath_Swami/Lectures/00_-_Year_wise/Devotional_Nectar_-_2003/2003-020_Deeply_Value_the_Rare_Human_Life_Lecture_Mumbai_-_23-03-03_IDesireTree.mp3", "2003-020_Deeply_Value_the_Rare_Human_Life_Lecture_Mumbai_-_23-03-03_IDesireTree.mp3")</f>
        <v>2003-020_Deeply_Value_the_Rare_Human_Life_Lecture_Mumbai_-_23-03-03_IDesireTree.mp3</v>
      </c>
      <c r="D1846" s="11"/>
      <c r="E1846" s="11"/>
    </row>
    <row r="1847" spans="1:5">
      <c r="A1847" s="12" t="s">
        <v>12462</v>
      </c>
      <c r="B1847" s="12" t="s">
        <v>14735</v>
      </c>
      <c r="C1847" s="13" t="str">
        <f>HYPERLINK("https://audio.iskcondesiretree.com/02_-_ISKCON_Swamis/ISKCON_Swamis_-_R_to_Y/His_Holiness_Radhanath_Swami/Lectures/00_-_Year_wise/Devotional_Nectar_-_2003/2003-021_Qualification_for_spiritual_Advancement_SB_Class_Mumbai_-_29-03-03_IDesireTree.mp3", "2003-021_Qualification_for_spiritual_Advancement_SB_Class_Mumbai_-_29-03-03_IDesireTree.mp3")</f>
        <v>2003-021_Qualification_for_spiritual_Advancement_SB_Class_Mumbai_-_29-03-03_IDesireTree.mp3</v>
      </c>
      <c r="D1847" s="11"/>
      <c r="E1847" s="11"/>
    </row>
    <row r="1848" spans="1:5">
      <c r="A1848" s="12" t="s">
        <v>12462</v>
      </c>
      <c r="B1848" s="12" t="s">
        <v>14736</v>
      </c>
      <c r="C1848" s="13" t="str">
        <f>HYPERLINK("https://audio.iskcondesiretree.com/02_-_ISKCON_Swamis/ISKCON_Swamis_-_R_to_Y/His_Holiness_Radhanath_Swami/Lectures/00_-_Year_wise/Devotional_Nectar_-_2003/2003-022_Overcoming_Depression_Prerna_Lecture_Mumbai_-_Radhanath_Swami_2003-03-29_IDesireTree.mp3", "2003-022_Overcoming_Depression_Prerna_Lecture_Mumbai_-_Radhanath_Swami_2003-03-29_IDesireTree.mp3")</f>
        <v>2003-022_Overcoming_Depression_Prerna_Lecture_Mumbai_-_Radhanath_Swami_2003-03-29_IDesireTree.mp3</v>
      </c>
      <c r="D1848" s="11"/>
      <c r="E1848" s="11"/>
    </row>
    <row r="1849" spans="1:5">
      <c r="A1849" s="12" t="s">
        <v>12462</v>
      </c>
      <c r="B1849" s="12" t="s">
        <v>14737</v>
      </c>
      <c r="C1849" s="13" t="str">
        <f>HYPERLINK("https://audio.iskcondesiretree.com/02_-_ISKCON_Swamis/ISKCON_Swamis_-_R_to_Y/His_Holiness_Radhanath_Swami/Lectures/00_-_Year_wise/Devotional_Nectar_-_2003/2003-023_Increase_Attachment_to_Devotional_Service_SB-04_22_25_Mumbai_-_30-03-03_IDesireTree.mp3", "2003-023_Increase_Attachment_to_Devotional_Service_SB-04_22_25_Mumbai_-_30-03-03_IDesireTree.mp3")</f>
        <v>2003-023_Increase_Attachment_to_Devotional_Service_SB-04_22_25_Mumbai_-_30-03-03_IDesireTree.mp3</v>
      </c>
      <c r="D1849" s="11"/>
      <c r="E1849" s="11"/>
    </row>
    <row r="1850" spans="1:5">
      <c r="A1850" s="12" t="s">
        <v>12462</v>
      </c>
      <c r="B1850" s="12" t="s">
        <v>14738</v>
      </c>
      <c r="C1850" s="13" t="str">
        <f>HYPERLINK("https://audio.iskcondesiretree.com/02_-_ISKCON_Swamis/ISKCON_Swamis_-_R_to_Y/His_Holiness_Radhanath_Swami/Lectures/00_-_Year_wise/Devotional_Nectar_-_2003/2003-024_Improtance_of_the_Institution_of_ISKCON_Lecture_Mumbai_-_30-03-03_IDesireTree.mp3", "2003-024_Improtance_of_the_Institution_of_ISKCON_Lecture_Mumbai_-_30-03-03_IDesireTree.mp3")</f>
        <v>2003-024_Improtance_of_the_Institution_of_ISKCON_Lecture_Mumbai_-_30-03-03_IDesireTree.mp3</v>
      </c>
      <c r="D1850" s="11"/>
      <c r="E1850" s="11"/>
    </row>
    <row r="1851" spans="1:5">
      <c r="A1851" s="12" t="s">
        <v>12462</v>
      </c>
      <c r="B1851" s="12" t="s">
        <v>14739</v>
      </c>
      <c r="C1851" s="13" t="str">
        <f>HYPERLINK("https://audio.iskcondesiretree.com/02_-_ISKCON_Swamis/ISKCON_Swamis_-_R_to_Y/His_Holiness_Radhanath_Swami/Lectures/00_-_Year_wise/Devotional_Nectar_-_2003/2003-025_Initiation_Lec_Lecture_Pune_-_Radhanath_Swami_2003-04-04_IDesireTree.mp3", "2003-025_Initiation_Lec_Lecture_Pune_-_Radhanath_Swami_2003-04-04_IDesireTree.mp3")</f>
        <v>2003-025_Initiation_Lec_Lecture_Pune_-_Radhanath_Swami_2003-04-04_IDesireTree.mp3</v>
      </c>
      <c r="D1851" s="11"/>
      <c r="E1851" s="11"/>
    </row>
    <row r="1852" spans="1:5">
      <c r="A1852" s="12" t="s">
        <v>12462</v>
      </c>
      <c r="B1852" s="12" t="s">
        <v>14740</v>
      </c>
      <c r="C1852" s="13" t="str">
        <f>HYPERLINK("https://audio.iskcondesiretree.com/02_-_ISKCON_Swamis/ISKCON_Swamis_-_R_to_Y/His_Holiness_Radhanath_Swami/Lectures/00_-_Year_wise/Devotional_Nectar_-_2003/2003-026_We_should_depend_only_on_the_mercy_of_Krsna_SB_Class_Mumbai_-_06-04-03_IDesireTree.mp3", "2003-026_We_should_depend_only_on_the_mercy_of_Krsna_SB_Class_Mumbai_-_06-04-03_IDesireTree.mp3")</f>
        <v>2003-026_We_should_depend_only_on_the_mercy_of_Krsna_SB_Class_Mumbai_-_06-04-03_IDesireTree.mp3</v>
      </c>
      <c r="D1852" s="11"/>
      <c r="E1852" s="11"/>
    </row>
    <row r="1853" spans="1:5">
      <c r="A1853" s="12" t="s">
        <v>12462</v>
      </c>
      <c r="B1853" s="12" t="s">
        <v>14741</v>
      </c>
      <c r="C1853" s="13" t="str">
        <f>HYPERLINK("https://audio.iskcondesiretree.com/02_-_ISKCON_Swamis/ISKCON_Swamis_-_R_to_Y/His_Holiness_Radhanath_Swami/Lectures/00_-_Year_wise/Devotional_Nectar_-_2003/2003-027_Love_and_Devotion_of_Bharat_to_Lord_Sri_Ram_Lecture_Mumbai_-_06-04-03_IDesireTree.mp3", "2003-027_Love_and_Devotion_of_Bharat_to_Lord_Sri_Ram_Lecture_Mumbai_-_06-04-03_IDesireTree.mp3")</f>
        <v>2003-027_Love_and_Devotion_of_Bharat_to_Lord_Sri_Ram_Lecture_Mumbai_-_06-04-03_IDesireTree.mp3</v>
      </c>
      <c r="D1853" s="11"/>
      <c r="E1853" s="11"/>
    </row>
    <row r="1854" spans="1:5">
      <c r="A1854" s="12" t="s">
        <v>12462</v>
      </c>
      <c r="B1854" s="12" t="s">
        <v>14742</v>
      </c>
      <c r="C1854" s="13" t="str">
        <f>HYPERLINK("https://audio.iskcondesiretree.com/02_-_ISKCON_Swamis/ISKCON_Swamis_-_R_to_Y/His_Holiness_Radhanath_Swami/Lectures/00_-_Year_wise/Devotional_Nectar_-_2003/2003-028_Teachings_from_Ramayan_SB-02_09_33_Mumbai_-_Radhanath_Swami_2003-04-08_IDesireTree.mp3", "2003-028_Teachings_from_Ramayan_SB-02_09_33_Mumbai_-_Radhanath_Swami_2003-04-08_IDesireTree.mp3")</f>
        <v>2003-028_Teachings_from_Ramayan_SB-02_09_33_Mumbai_-_Radhanath_Swami_2003-04-08_IDesireTree.mp3</v>
      </c>
      <c r="D1854" s="11"/>
      <c r="E1854" s="11"/>
    </row>
    <row r="1855" spans="1:5">
      <c r="A1855" s="12" t="s">
        <v>12462</v>
      </c>
      <c r="B1855" s="12" t="s">
        <v>14743</v>
      </c>
      <c r="C1855" s="13" t="str">
        <f>HYPERLINK("https://audio.iskcondesiretree.com/02_-_ISKCON_Swamis/ISKCON_Swamis_-_R_to_Y/His_Holiness_Radhanath_Swami/Lectures/00_-_Year_wise/Devotional_Nectar_-_2003/2003-029_Perfect_Questions_Perfect_Answers_Lecture_Mumbai_-_08-04-03_IDesireTree.mp3", "2003-029_Perfect_Questions_Perfect_Answers_Lecture_Mumbai_-_08-04-03_IDesireTree.mp3")</f>
        <v>2003-029_Perfect_Questions_Perfect_Answers_Lecture_Mumbai_-_08-04-03_IDesireTree.mp3</v>
      </c>
      <c r="D1855" s="11"/>
      <c r="E1855" s="11"/>
    </row>
    <row r="1856" spans="1:5">
      <c r="A1856" s="12" t="s">
        <v>12462</v>
      </c>
      <c r="B1856" s="12" t="s">
        <v>14744</v>
      </c>
      <c r="C1856" s="13" t="str">
        <f>HYPERLINK("https://audio.iskcondesiretree.com/02_-_ISKCON_Swamis/ISKCON_Swamis_-_R_to_Y/His_Holiness_Radhanath_Swami/Lectures/00_-_Year_wise/Devotional_Nectar_-_2003/2003-030_Responsibility_of_a_Disciple_Initiation_Lec_Mumbai_-_11-04-03_IDesireTree.mp3", "2003-030_Responsibility_of_a_Disciple_Initiation_Lec_Mumbai_-_11-04-03_IDesireTree.mp3")</f>
        <v>2003-030_Responsibility_of_a_Disciple_Initiation_Lec_Mumbai_-_11-04-03_IDesireTree.mp3</v>
      </c>
      <c r="D1856" s="11"/>
      <c r="E1856" s="11"/>
    </row>
    <row r="1857" spans="1:5">
      <c r="A1857" s="12" t="s">
        <v>12462</v>
      </c>
      <c r="B1857" s="12" t="s">
        <v>14745</v>
      </c>
      <c r="C1857" s="13" t="str">
        <f>HYPERLINK("https://audio.iskcondesiretree.com/02_-_ISKCON_Swamis/ISKCON_Swamis_-_R_to_Y/His_Holiness_Radhanath_Swami/Lectures/00_-_Year_wise/Devotional_Nectar_-_2003/2003-031_Ramayan_Contains_Examples_of_Ideals_Lecture_Mumbai_-_11-04-03_IDesireTree.mp3", "2003-031_Ramayan_Contains_Examples_of_Ideals_Lecture_Mumbai_-_11-04-03_IDesireTree.mp3")</f>
        <v>2003-031_Ramayan_Contains_Examples_of_Ideals_Lecture_Mumbai_-_11-04-03_IDesireTree.mp3</v>
      </c>
      <c r="D1857" s="11"/>
      <c r="E1857" s="11"/>
    </row>
    <row r="1858" spans="1:5">
      <c r="A1858" s="12" t="s">
        <v>12462</v>
      </c>
      <c r="B1858" s="12" t="s">
        <v>14746</v>
      </c>
      <c r="C1858" s="13" t="str">
        <f>HYPERLINK("https://audio.iskcondesiretree.com/02_-_ISKCON_Swamis/ISKCON_Swamis_-_R_to_Y/His_Holiness_Radhanath_Swami/Lectures/00_-_Year_wise/Devotional_Nectar_-_2003/2003-032_HH_RNS_App_of_Jahnava_Devi_SB-05_14_26_New_Vrindavan_-_10-05-03_IDesireTree.mp3", "2003-032_HH_RNS_App_of_Jahnava_Devi_SB-05_14_26_New_Vrindavan_-_10-05-03_IDesireTree.mp3")</f>
        <v>2003-032_HH_RNS_App_of_Jahnava_Devi_SB-05_14_26_New_Vrindavan_-_10-05-03_IDesireTree.mp3</v>
      </c>
      <c r="D1858" s="11"/>
      <c r="E1858" s="11"/>
    </row>
    <row r="1859" spans="1:5">
      <c r="A1859" s="12" t="s">
        <v>12462</v>
      </c>
      <c r="B1859" s="12" t="s">
        <v>14747</v>
      </c>
      <c r="C1859" s="13" t="str">
        <f>HYPERLINK("https://audio.iskcondesiretree.com/02_-_ISKCON_Swamis/ISKCON_Swamis_-_R_to_Y/His_Holiness_Radhanath_Swami/Lectures/00_-_Year_wise/Devotional_Nectar_-_2003/2003-033_HH_RNS_Darshan_Lecture_New_Vrindavan_-_Radhanath_Swami_2003-05-17_IDesireTree.mp3", "2003-033_HH_RNS_Darshan_Lecture_New_Vrindavan_-_Radhanath_Swami_2003-05-17_IDesireTree.mp3")</f>
        <v>2003-033_HH_RNS_Darshan_Lecture_New_Vrindavan_-_Radhanath_Swami_2003-05-17_IDesireTree.mp3</v>
      </c>
      <c r="D1859" s="11"/>
      <c r="E1859" s="11"/>
    </row>
    <row r="1860" spans="1:5">
      <c r="A1860" s="12" t="s">
        <v>12462</v>
      </c>
      <c r="B1860" s="12" t="s">
        <v>14748</v>
      </c>
      <c r="C1860" s="13" t="str">
        <f>HYPERLINK("https://audio.iskcondesiretree.com/02_-_ISKCON_Swamis/ISKCON_Swamis_-_R_to_Y/His_Holiness_Radhanath_Swami/Lectures/00_-_Year_wise/Devotional_Nectar_-_2003/2003-034_HH_RNS_Bhag_Class_SB-05_14_33_New_Vrindavan_-_Radhanath_Swami_2003-05-17_IDesireTree.mp3", "2003-034_HH_RNS_Bhag_Class_SB-05_14_33_New_Vrindavan_-_Radhanath_Swami_2003-05-17_IDesireTree.mp3")</f>
        <v>2003-034_HH_RNS_Bhag_Class_SB-05_14_33_New_Vrindavan_-_Radhanath_Swami_2003-05-17_IDesireTree.mp3</v>
      </c>
      <c r="D1860" s="11"/>
      <c r="E1860" s="11"/>
    </row>
    <row r="1861" spans="1:5">
      <c r="A1861" s="12" t="s">
        <v>12462</v>
      </c>
      <c r="B1861" s="12" t="s">
        <v>14749</v>
      </c>
      <c r="C1861" s="13" t="str">
        <f>HYPERLINK("https://audio.iskcondesiretree.com/02_-_ISKCON_Swamis/ISKCON_Swamis_-_R_to_Y/His_Holiness_Radhanath_Swami/Lectures/00_-_Year_wise/Devotional_Nectar_-_2003/2003-035_HH_RNS_NV_Parikrama_Lecture_New_Vrindavan_-_Radhanath_Swami_2003-05-17_IDesireTree.mp3", "2003-035_HH_RNS_NV_Parikrama_Lecture_New_Vrindavan_-_Radhanath_Swami_2003-05-17_IDesireTree.mp3")</f>
        <v>2003-035_HH_RNS_NV_Parikrama_Lecture_New_Vrindavan_-_Radhanath_Swami_2003-05-17_IDesireTree.mp3</v>
      </c>
      <c r="D1861" s="11"/>
      <c r="E1861" s="11"/>
    </row>
    <row r="1862" spans="1:5">
      <c r="A1862" s="12" t="s">
        <v>12462</v>
      </c>
      <c r="B1862" s="12" t="s">
        <v>14750</v>
      </c>
      <c r="C1862" s="13" t="str">
        <f>HYPERLINK("https://audio.iskcondesiretree.com/02_-_ISKCON_Swamis/ISKCON_Swamis_-_R_to_Y/His_Holiness_Radhanath_Swami/Lectures/00_-_Year_wise/Devotional_Nectar_-_2003/2003-036_HG_TP_HH_RNS_HH_VS_NV_Parikrama_Lecture_New_Vrindavan_-_18-05-03_IDesireTree.mp3", "2003-036_HG_TP_HH_RNS_HH_VS_NV_Parikrama_Lecture_New_Vrindavan_-_18-05-03_IDesireTree.mp3")</f>
        <v>2003-036_HG_TP_HH_RNS_HH_VS_NV_Parikrama_Lecture_New_Vrindavan_-_18-05-03_IDesireTree.mp3</v>
      </c>
      <c r="D1862" s="11"/>
      <c r="E1862" s="11"/>
    </row>
    <row r="1863" spans="1:5">
      <c r="A1863" s="12" t="s">
        <v>12462</v>
      </c>
      <c r="B1863" s="12" t="s">
        <v>14751</v>
      </c>
      <c r="C1863" s="13" t="str">
        <f>HYPERLINK("https://audio.iskcondesiretree.com/02_-_ISKCON_Swamis/ISKCON_Swamis_-_R_to_Y/His_Holiness_Radhanath_Swami/Lectures/00_-_Year_wise/Devotional_Nectar_-_2003/2003-037_Old_Vrindavan_Memorial_Day_Lecture_New_Vrindavan_-_26-05-03_IDesireTree.mp3", "2003-037_Old_Vrindavan_Memorial_Day_Lecture_New_Vrindavan_-_26-05-03_IDesireTree.mp3")</f>
        <v>2003-037_Old_Vrindavan_Memorial_Day_Lecture_New_Vrindavan_-_26-05-03_IDesireTree.mp3</v>
      </c>
      <c r="D1863" s="11"/>
      <c r="E1863" s="11"/>
    </row>
    <row r="1864" spans="1:5">
      <c r="A1864" s="12" t="s">
        <v>12462</v>
      </c>
      <c r="B1864" s="12" t="s">
        <v>14752</v>
      </c>
      <c r="C1864" s="13" t="str">
        <f>HYPERLINK("https://audio.iskcondesiretree.com/02_-_ISKCON_Swamis/ISKCON_Swamis_-_R_to_Y/His_Holiness_Radhanath_Swami/Lectures/00_-_Year_wise/Devotional_Nectar_-_2003/2003-038_HRS_SB_Class_CC-Adi_lila_07_50_Alachua_-_Radhanath_Swami_June_2003_IDesireTree.mp3", "2003-038_HRS_SB_Class_CC-Adi_lila_07_50_Alachua_-_Radhanath_Swami_June_2003_IDesireTree.mp3")</f>
        <v>2003-038_HRS_SB_Class_CC-Adi_lila_07_50_Alachua_-_Radhanath_Swami_June_2003_IDesireTree.mp3</v>
      </c>
      <c r="D1864" s="11"/>
      <c r="E1864" s="11"/>
    </row>
    <row r="1865" spans="1:5">
      <c r="A1865" s="12" t="s">
        <v>12462</v>
      </c>
      <c r="B1865" s="12" t="s">
        <v>14753</v>
      </c>
      <c r="C1865" s="13" t="str">
        <f>HYPERLINK("https://audio.iskcondesiretree.com/02_-_ISKCON_Swamis/ISKCON_Swamis_-_R_to_Y/His_Holiness_Radhanath_Swami/Lectures/00_-_Year_wise/Devotional_Nectar_-_2003/2003-039_Panihati_Festival-_Glories_of_Raghunath_Das_Goswami_Lecture_US_-_07-06-03_IDesireTree.mp3", "2003-039_Panihati_Festival-_Glories_of_Raghunath_Das_Goswami_Lecture_US_-_07-06-03_IDesireTree.mp3")</f>
        <v>2003-039_Panihati_Festival-_Glories_of_Raghunath_Das_Goswami_Lecture_US_-_07-06-03_IDesireTree.mp3</v>
      </c>
      <c r="D1865" s="11"/>
      <c r="E1865" s="11"/>
    </row>
    <row r="1866" spans="1:5">
      <c r="A1866" s="12" t="s">
        <v>12462</v>
      </c>
      <c r="B1866" s="12" t="s">
        <v>14754</v>
      </c>
      <c r="C1866" s="13" t="str">
        <f>HYPERLINK("https://audio.iskcondesiretree.com/02_-_ISKCON_Swamis/ISKCON_Swamis_-_R_to_Y/His_Holiness_Radhanath_Swami/Lectures/00_-_Year_wise/Devotional_Nectar_-_2003/2003-040_Ratha_Yatra_Lecture_New_York_-_Radhanath_Swami_2003-06-08_IDesireTree.mp3", "2003-040_Ratha_Yatra_Lecture_New_York_-_Radhanath_Swami_2003-06-08_IDesireTree.mp3")</f>
        <v>2003-040_Ratha_Yatra_Lecture_New_York_-_Radhanath_Swami_2003-06-08_IDesireTree.mp3</v>
      </c>
      <c r="D1866" s="11"/>
      <c r="E1866" s="11"/>
    </row>
    <row r="1867" spans="1:5">
      <c r="A1867" s="12" t="s">
        <v>12462</v>
      </c>
      <c r="B1867" s="12" t="s">
        <v>14755</v>
      </c>
      <c r="C1867" s="13" t="str">
        <f>HYPERLINK("https://audio.iskcondesiretree.com/02_-_ISKCON_Swamis/ISKCON_Swamis_-_R_to_Y/His_Holiness_Radhanath_Swami/Lectures/00_-_Year_wise/Devotional_Nectar_-_2003/2003-041_NY_Ashram_Darshan_Lecture_New_York_-_Radhanath_Swami_2003-06-12_IDesireTree.mp3", "2003-041_NY_Ashram_Darshan_Lecture_New_York_-_Radhanath_Swami_2003-06-12_IDesireTree.mp3")</f>
        <v>2003-041_NY_Ashram_Darshan_Lecture_New_York_-_Radhanath_Swami_2003-06-12_IDesireTree.mp3</v>
      </c>
      <c r="D1867" s="11"/>
      <c r="E1867" s="11"/>
    </row>
    <row r="1868" spans="1:5">
      <c r="A1868" s="12" t="s">
        <v>12462</v>
      </c>
      <c r="B1868" s="12" t="s">
        <v>14756</v>
      </c>
      <c r="C1868" s="13" t="str">
        <f>HYPERLINK("https://audio.iskcondesiretree.com/02_-_ISKCON_Swamis/ISKCON_Swamis_-_R_to_Y/His_Holiness_Radhanath_Swami/Lectures/00_-_Year_wise/Devotional_Nectar_-_2003/2003-042_HHRS_SB-03_29_19_Gita_Nagari_-_Radhanath_Swami_2003-06-29_IDesireTree.mp3", "2003-042_HHRS_SB-03_29_19_Gita_Nagari_-_Radhanath_Swami_2003-06-29_IDesireTree.mp3")</f>
        <v>2003-042_HHRS_SB-03_29_19_Gita_Nagari_-_Radhanath_Swami_2003-06-29_IDesireTree.mp3</v>
      </c>
      <c r="D1868" s="11"/>
      <c r="E1868" s="11"/>
    </row>
    <row r="1869" spans="1:5">
      <c r="A1869" s="12" t="s">
        <v>12462</v>
      </c>
      <c r="B1869" s="12" t="s">
        <v>14757</v>
      </c>
      <c r="C1869" s="13" t="str">
        <f>HYPERLINK("https://audio.iskcondesiretree.com/02_-_ISKCON_Swamis/ISKCON_Swamis_-_R_to_Y/His_Holiness_Radhanath_Swami/Lectures/00_-_Year_wise/Devotional_Nectar_-_2003/2003-043_Preparing_for_Ratha_Yatra_LectureNew_Vrindavan_-_Radhanath_Swami_2003-07-20_IDesireTree.mp3", "2003-043_Preparing_for_Ratha_Yatra_LectureNew_Vrindavan_-_Radhanath_Swami_2003-07-20_IDesireTree.mp3")</f>
        <v>2003-043_Preparing_for_Ratha_Yatra_LectureNew_Vrindavan_-_Radhanath_Swami_2003-07-20_IDesireTree.mp3</v>
      </c>
      <c r="D1869" s="11"/>
      <c r="E1869" s="11"/>
    </row>
    <row r="1870" spans="1:5">
      <c r="A1870" s="12" t="s">
        <v>12462</v>
      </c>
      <c r="B1870" s="12" t="s">
        <v>14758</v>
      </c>
      <c r="C1870" s="13" t="str">
        <f>HYPERLINK("https://audio.iskcondesiretree.com/02_-_ISKCON_Swamis/ISKCON_Swamis_-_R_to_Y/His_Holiness_Radhanath_Swami/Lectures/00_-_Year_wise/Devotional_Nectar_-_2003/2003-044_Never_Trust_Maya%27s_Promises_SB-05_18_26_US_-_Radhanath_Swami_2003-07-25_IDesireTree.mp3", "2003-044_Never_Trust_Maya%27s_Promises_SB-05_18_26_US_-_Radhanath_Swami_2003-07-25_IDesireTree.mp3")</f>
        <v>2003-044_Never_Trust_Maya%27s_Promises_SB-05_18_26_US_-_Radhanath_Swami_2003-07-25_IDesireTree.mp3</v>
      </c>
      <c r="D1870" s="11"/>
      <c r="E1870" s="11"/>
    </row>
    <row r="1871" spans="1:5">
      <c r="A1871" s="12" t="s">
        <v>12462</v>
      </c>
      <c r="B1871" s="12" t="s">
        <v>14759</v>
      </c>
      <c r="C1871" s="13" t="str">
        <f>HYPERLINK("https://audio.iskcondesiretree.com/02_-_ISKCON_Swamis/ISKCON_Swamis_-_R_to_Y/His_Holiness_Radhanath_Swami/Lectures/00_-_Year_wise/Devotional_Nectar_-_2003/2003-045_What_is_Real_Greatness_Sunday_Feast_New_Vrindavan_-_27-07-03_IDesireTree.mp3", "2003-045_What_is_Real_Greatness_Sunday_Feast_New_Vrindavan_-_27-07-03_IDesireTree.mp3")</f>
        <v>2003-045_What_is_Real_Greatness_Sunday_Feast_New_Vrindavan_-_27-07-03_IDesireTree.mp3</v>
      </c>
      <c r="D1871" s="11"/>
      <c r="E1871" s="11"/>
    </row>
    <row r="1872" spans="1:5">
      <c r="A1872" s="12" t="s">
        <v>12462</v>
      </c>
      <c r="B1872" s="12" t="s">
        <v>14760</v>
      </c>
      <c r="C1872" s="13" t="str">
        <f>HYPERLINK("https://audio.iskcondesiretree.com/02_-_ISKCON_Swamis/ISKCON_Swamis_-_R_to_Y/His_Holiness_Radhanath_Swami/Lectures/00_-_Year_wise/Devotional_Nectar_-_2003/2003-046_Krishna%27s_Beauty_is_the_Ultimate_Reality_SB-04_24_49_Mumbai_-_16-08-03_IDesireTree.mp3", "2003-046_Krishna%27s_Beauty_is_the_Ultimate_Reality_SB-04_24_49_Mumbai_-_16-08-03_IDesireTree.mp3")</f>
        <v>2003-046_Krishna%27s_Beauty_is_the_Ultimate_Reality_SB-04_24_49_Mumbai_-_16-08-03_IDesireTree.mp3</v>
      </c>
      <c r="D1872" s="11"/>
      <c r="E1872" s="11"/>
    </row>
    <row r="1873" spans="1:5">
      <c r="A1873" s="12" t="s">
        <v>12462</v>
      </c>
      <c r="B1873" s="12" t="s">
        <v>14761</v>
      </c>
      <c r="C1873" s="13" t="str">
        <f>HYPERLINK("https://audio.iskcondesiretree.com/02_-_ISKCON_Swamis/ISKCON_Swamis_-_R_to_Y/His_Holiness_Radhanath_Swami/Lectures/00_-_Year_wise/Devotional_Nectar_-_2003/2003-047_Lord_Krishna%27s_Various_Forms_of_Mercy_SB-04_24_50_Mumbai_-_17-08-03_IDesireTree.mp3", "2003-047_Lord_Krishna%27s_Various_Forms_of_Mercy_SB-04_24_50_Mumbai_-_17-08-03_IDesireTree.mp3")</f>
        <v>2003-047_Lord_Krishna%27s_Various_Forms_of_Mercy_SB-04_24_50_Mumbai_-_17-08-03_IDesireTree.mp3</v>
      </c>
      <c r="D1873" s="11"/>
      <c r="E1873" s="11"/>
    </row>
    <row r="1874" spans="1:5">
      <c r="A1874" s="12" t="s">
        <v>12462</v>
      </c>
      <c r="B1874" s="12" t="s">
        <v>14762</v>
      </c>
      <c r="C1874" s="13" t="str">
        <f>HYPERLINK("https://audio.iskcondesiretree.com/02_-_ISKCON_Swamis/ISKCON_Swamis_-_R_to_Y/His_Holiness_Radhanath_Swami/Lectures/00_-_Year_wise/Devotional_Nectar_-_2003/2003-048_Tolerating_the_Porvoking_Situation_Sunday_Feast_Mumbai_-_17-08-03_IDesireTree.mp3", "2003-048_Tolerating_the_Porvoking_Situation_Sunday_Feast_Mumbai_-_17-08-03_IDesireTree.mp3")</f>
        <v>2003-048_Tolerating_the_Porvoking_Situation_Sunday_Feast_Mumbai_-_17-08-03_IDesireTree.mp3</v>
      </c>
      <c r="D1874" s="11"/>
      <c r="E1874" s="11"/>
    </row>
    <row r="1875" spans="1:5">
      <c r="A1875" s="12" t="s">
        <v>12462</v>
      </c>
      <c r="B1875" s="12" t="e">
        <v>#VALUE!</v>
      </c>
      <c r="C1875" s="13" t="e">
        <f>HYPERLINK("https://audio.iskcondesiretree.com/02_-_ISKCON_Swamis/ISKCON_Swamis_-_R_to_Y/His_Holiness_Radhanath_Swami/Lectures/00_-_Year_wise/Devotional_Nectar_-_2003/2003-049_Appearance_%26_Pastimes_of_Lord_Krishna_-_I_Janmashtami_SB-10_03_31_Mumbai_-_20-08-03_IDesi"&amp;"reTree.mp3", "2003-049_Appearance_%26_Pastimes_of_Lord_Krishna_-_I_Janmashtami_SB-10_03_31_Mumbai_-_20-08-03_IDesireTree.mp3")</f>
        <v>#VALUE!</v>
      </c>
      <c r="D1875" s="11"/>
      <c r="E1875" s="11"/>
    </row>
    <row r="1876" spans="1:5">
      <c r="A1876" s="12" t="s">
        <v>12462</v>
      </c>
      <c r="B1876" s="12" t="e">
        <v>#VALUE!</v>
      </c>
      <c r="C1876" s="13" t="e">
        <f>HYPERLINK("https://audio.iskcondesiretree.com/02_-_ISKCON_Swamis/ISKCON_Swamis_-_R_to_Y/His_Holiness_Radhanath_Swami/Lectures/00_-_Year_wise/Devotional_Nectar_-_2003/2003-050_Appearance_%26_Pastimes_of_Lord_Krishna_-_II_Janmashtami_SB-10_03_31_Mumbai_-_20-08-03_IDes"&amp;"ireTree.mp3", "2003-050_Appearance_%26_Pastimes_of_Lord_Krishna_-_II_Janmashtami_SB-10_03_31_Mumbai_-_20-08-03_IDesireTree.mp3")</f>
        <v>#VALUE!</v>
      </c>
      <c r="D1876" s="11"/>
      <c r="E1876" s="11"/>
    </row>
    <row r="1877" spans="1:5">
      <c r="A1877" s="12" t="s">
        <v>12462</v>
      </c>
      <c r="B1877" s="12" t="s">
        <v>14763</v>
      </c>
      <c r="C1877" s="13" t="str">
        <f>HYPERLINK("https://audio.iskcondesiretree.com/02_-_ISKCON_Swamis/ISKCON_Swamis_-_R_to_Y/His_Holiness_Radhanath_Swami/Lectures/00_-_Year_wise/Devotional_Nectar_-_2003/2003-051_Vyas_Puja_Offering_Lecture_Mumbai_-_Radhanath_Swami_2003-08-21_IDesireTree.mp3", "2003-051_Vyas_Puja_Offering_Lecture_Mumbai_-_Radhanath_Swami_2003-08-21_IDesireTree.mp3")</f>
        <v>2003-051_Vyas_Puja_Offering_Lecture_Mumbai_-_Radhanath_Swami_2003-08-21_IDesireTree.mp3</v>
      </c>
      <c r="D1877" s="11"/>
      <c r="E1877" s="11"/>
    </row>
    <row r="1878" spans="1:5">
      <c r="A1878" s="12" t="s">
        <v>12462</v>
      </c>
      <c r="B1878" s="12" t="s">
        <v>14764</v>
      </c>
      <c r="C1878" s="13" t="str">
        <f>HYPERLINK("https://audio.iskcondesiretree.com/02_-_ISKCON_Swamis/ISKCON_Swamis_-_R_to_Y/His_Holiness_Radhanath_Swami/Lectures/00_-_Year_wise/Devotional_Nectar_-_2003/2003-052_Mahaprabhus_House_Lecture_Mumbai_-_Radhanath_Swami_2003-08-22_IDesireTree.mp3", "2003-052_Mahaprabhus_House_Lecture_Mumbai_-_Radhanath_Swami_2003-08-22_IDesireTree.mp3")</f>
        <v>2003-052_Mahaprabhus_House_Lecture_Mumbai_-_Radhanath_Swami_2003-08-22_IDesireTree.mp3</v>
      </c>
      <c r="D1878" s="11"/>
      <c r="E1878" s="11"/>
    </row>
    <row r="1879" spans="1:5">
      <c r="A1879" s="12" t="s">
        <v>12462</v>
      </c>
      <c r="B1879" s="12" t="s">
        <v>14765</v>
      </c>
      <c r="C1879" s="13" t="str">
        <f>HYPERLINK("https://audio.iskcondesiretree.com/02_-_ISKCON_Swamis/ISKCON_Swamis_-_R_to_Y/His_Holiness_Radhanath_Swami/Lectures/00_-_Year_wise/Devotional_Nectar_-_2003/2003-053_Bhakti_is_the_Highest_form_of_Meditation_SB-04_24_53_Mumbai_-_23-08-03_IDesireTree.mp3", "2003-053_Bhakti_is_the_Highest_form_of_Meditation_SB-04_24_53_Mumbai_-_23-08-03_IDesireTree.mp3")</f>
        <v>2003-053_Bhakti_is_the_Highest_form_of_Meditation_SB-04_24_53_Mumbai_-_23-08-03_IDesireTree.mp3</v>
      </c>
      <c r="D1879" s="11"/>
      <c r="E1879" s="11"/>
    </row>
    <row r="1880" spans="1:5">
      <c r="A1880" s="12" t="s">
        <v>12462</v>
      </c>
      <c r="B1880" s="12" t="e">
        <v>#VALUE!</v>
      </c>
      <c r="C1880" s="13" t="e">
        <f>HYPERLINK("https://audio.iskcondesiretree.com/02_-_ISKCON_Swamis/ISKCON_Swamis_-_R_to_Y/His_Holiness_Radhanath_Swami/Lectures/00_-_Year_wise/Devotional_Nectar_-_2003/2003-054_Shabri%27s_Unflinching_Faith_in_the_Words_of_her_Guru_SB-04_24_54_Mumbai_-_24-08-03_IDesire"&amp;"Tree.mp3", "2003-054_Shabri%27s_Unflinching_Faith_in_the_Words_of_her_Guru_SB-04_24_54_Mumbai_-_24-08-03_IDesireTree.mp3")</f>
        <v>#VALUE!</v>
      </c>
      <c r="D1880" s="11"/>
      <c r="E1880" s="11"/>
    </row>
    <row r="1881" spans="1:5">
      <c r="A1881" s="12" t="s">
        <v>12462</v>
      </c>
      <c r="B1881" s="12" t="e">
        <v>#VALUE!</v>
      </c>
      <c r="C1881" s="13" t="e">
        <f>HYPERLINK("https://audio.iskcondesiretree.com/02_-_ISKCON_Swamis/ISKCON_Swamis_-_R_to_Y/His_Holiness_Radhanath_Swami/Lectures/00_-_Year_wise/Devotional_Nectar_-_2003/2003-055_Getting_attracted_to_the_enchanting_beauty_of_Krsna_Lecture_Mumbai_-_24-08-03_IDesireTree.m"&amp;"p3", "2003-055_Getting_attracted_to_the_enchanting_beauty_of_Krsna_Lecture_Mumbai_-_24-08-03_IDesireTree.mp3")</f>
        <v>#VALUE!</v>
      </c>
      <c r="D1881" s="11"/>
      <c r="E1881" s="11"/>
    </row>
    <row r="1882" spans="1:5">
      <c r="A1882" s="12" t="s">
        <v>12462</v>
      </c>
      <c r="B1882" s="12" t="e">
        <v>#VALUE!</v>
      </c>
      <c r="C1882" s="13" t="e">
        <f>HYPERLINK("https://audio.iskcondesiretree.com/02_-_ISKCON_Swamis/ISKCON_Swamis_-_R_to_Y/His_Holiness_Radhanath_Swami/Lectures/00_-_Year_wise/Devotional_Nectar_-_2003/2003-056_Associate_with_Devotees_Striving_for_Devotional_Service_SB-04_24_59_Mumbai_-_30-08-03_IDesi"&amp;"reTree.mp3", "2003-056_Associate_with_Devotees_Striving_for_Devotional_Service_SB-04_24_59_Mumbai_-_30-08-03_IDesireTree.mp3")</f>
        <v>#VALUE!</v>
      </c>
      <c r="D1882" s="11"/>
      <c r="E1882" s="11"/>
    </row>
    <row r="1883" spans="1:5">
      <c r="A1883" s="12" t="s">
        <v>12462</v>
      </c>
      <c r="B1883" s="12" t="s">
        <v>14766</v>
      </c>
      <c r="C1883" s="13" t="str">
        <f>HYPERLINK("https://audio.iskcondesiretree.com/02_-_ISKCON_Swamis/ISKCON_Swamis_-_R_to_Y/His_Holiness_Radhanath_Swami/Lectures/00_-_Year_wise/Devotional_Nectar_-_2003/2003-057_Power_of_habits_Prerna_Lecture_Mumbai_-_Radhanath_Swami_2003-08-30_IDesireTree.mp3", "2003-057_Power_of_habits_Prerna_Lecture_Mumbai_-_Radhanath_Swami_2003-08-30_IDesireTree.mp3")</f>
        <v>2003-057_Power_of_habits_Prerna_Lecture_Mumbai_-_Radhanath_Swami_2003-08-30_IDesireTree.mp3</v>
      </c>
      <c r="D1883" s="11"/>
      <c r="E1883" s="11"/>
    </row>
    <row r="1884" spans="1:5">
      <c r="A1884" s="12" t="s">
        <v>12462</v>
      </c>
      <c r="B1884" s="12" t="s">
        <v>14767</v>
      </c>
      <c r="C1884" s="13" t="str">
        <f>HYPERLINK("https://audio.iskcondesiretree.com/02_-_ISKCON_Swamis/ISKCON_Swamis_-_R_to_Y/His_Holiness_Radhanath_Swami/Lectures/00_-_Year_wise/Devotional_Nectar_-_2003/2003-058_Seeing_everything_in_relation_to_Krsna_SB_Class_Mumbai_-_31-08-03_IDesireTree.mp3", "2003-058_Seeing_everything_in_relation_to_Krsna_SB_Class_Mumbai_-_31-08-03_IDesireTree.mp3")</f>
        <v>2003-058_Seeing_everything_in_relation_to_Krsna_SB_Class_Mumbai_-_31-08-03_IDesireTree.mp3</v>
      </c>
      <c r="D1884" s="11"/>
      <c r="E1884" s="11"/>
    </row>
    <row r="1885" spans="1:5">
      <c r="A1885" s="12" t="s">
        <v>12462</v>
      </c>
      <c r="B1885" s="12" t="s">
        <v>14768</v>
      </c>
      <c r="C1885" s="13" t="str">
        <f>HYPERLINK("https://audio.iskcondesiretree.com/02_-_ISKCON_Swamis/ISKCON_Swamis_-_R_to_Y/His_Holiness_Radhanath_Swami/Lectures/00_-_Year_wise/Devotional_Nectar_-_2003/2003-059_Being_Compassionate_to_all_Living_Entities_Lecture_Mumbai_-_31-08-03_IDesireTree.mp3", "2003-059_Being_Compassionate_to_all_Living_Entities_Lecture_Mumbai_-_31-08-03_IDesireTree.mp3")</f>
        <v>2003-059_Being_Compassionate_to_all_Living_Entities_Lecture_Mumbai_-_31-08-03_IDesireTree.mp3</v>
      </c>
      <c r="D1885" s="11"/>
      <c r="E1885" s="11"/>
    </row>
    <row r="1886" spans="1:5">
      <c r="A1886" s="12" t="s">
        <v>12462</v>
      </c>
      <c r="B1886" s="12" t="s">
        <v>14769</v>
      </c>
      <c r="C1886" s="13" t="str">
        <f>HYPERLINK("https://audio.iskcondesiretree.com/02_-_ISKCON_Swamis/ISKCON_Swamis_-_R_to_Y/His_Holiness_Radhanath_Swami/Lectures/00_-_Year_wise/Devotional_Nectar_-_2003/2003-060_Brahman_Initation_Lecture_Mumbai_-_Radhanath_Swami_2003-09-02_IDesireTree.mp3", "2003-060_Brahman_Initation_Lecture_Mumbai_-_Radhanath_Swami_2003-09-02_IDesireTree.mp3")</f>
        <v>2003-060_Brahman_Initation_Lecture_Mumbai_-_Radhanath_Swami_2003-09-02_IDesireTree.mp3</v>
      </c>
      <c r="D1886" s="11"/>
      <c r="E1886" s="11"/>
    </row>
    <row r="1887" spans="1:5">
      <c r="A1887" s="12" t="s">
        <v>12462</v>
      </c>
      <c r="B1887" s="12" t="s">
        <v>14770</v>
      </c>
      <c r="C1887" s="13" t="str">
        <f>HYPERLINK("https://audio.iskcondesiretree.com/02_-_ISKCON_Swamis/ISKCON_Swamis_-_R_to_Y/His_Holiness_Radhanath_Swami/Lectures/00_-_Year_wise/Devotional_Nectar_-_2003/2003-061_How_to_Approach_Srimati_Radharani_CC_madhya_08_209_Mumbai_-_04-09-03_IDesireTree.mp3", "2003-061_How_to_Approach_Srimati_Radharani_CC_madhya_08_209_Mumbai_-_04-09-03_IDesireTree.mp3")</f>
        <v>2003-061_How_to_Approach_Srimati_Radharani_CC_madhya_08_209_Mumbai_-_04-09-03_IDesireTree.mp3</v>
      </c>
      <c r="D1887" s="11"/>
      <c r="E1887" s="11"/>
    </row>
    <row r="1888" spans="1:5">
      <c r="A1888" s="12" t="s">
        <v>12462</v>
      </c>
      <c r="B1888" s="12" t="s">
        <v>14771</v>
      </c>
      <c r="C1888" s="13" t="str">
        <f>HYPERLINK("https://audio.iskcondesiretree.com/02_-_ISKCON_Swamis/ISKCON_Swamis_-_R_to_Y/His_Holiness_Radhanath_Swami/Lectures/00_-_Year_wise/Devotional_Nectar_-_2003/2003-062_We_Need_Blessings_of_Srimati_Radharani_Lecture_Mumbai_-_04-09-03_IDesireTree.mp3", "2003-062_We_Need_Blessings_of_Srimati_Radharani_Lecture_Mumbai_-_04-09-03_IDesireTree.mp3")</f>
        <v>2003-062_We_Need_Blessings_of_Srimati_Radharani_Lecture_Mumbai_-_04-09-03_IDesireTree.mp3</v>
      </c>
      <c r="D1888" s="11"/>
      <c r="E1888" s="11"/>
    </row>
    <row r="1889" spans="1:5">
      <c r="A1889" s="12" t="s">
        <v>12462</v>
      </c>
      <c r="B1889" s="12" t="s">
        <v>14772</v>
      </c>
      <c r="C1889" s="13" t="str">
        <f>HYPERLINK("https://audio.iskcondesiretree.com/02_-_ISKCON_Swamis/ISKCON_Swamis_-_R_to_Y/His_Holiness_Radhanath_Swami/Lectures/00_-_Year_wise/Devotional_Nectar_-_2003/2003-064_Failures_as_stepping_stones_to_success_Lecture_Mumbai_-_20-09-03_IDesireTree.mp3", "2003-064_Failures_as_stepping_stones_to_success_Lecture_Mumbai_-_20-09-03_IDesireTree.mp3")</f>
        <v>2003-064_Failures_as_stepping_stones_to_success_Lecture_Mumbai_-_20-09-03_IDesireTree.mp3</v>
      </c>
      <c r="D1889" s="11"/>
      <c r="E1889" s="11"/>
    </row>
    <row r="1890" spans="1:5">
      <c r="A1890" s="12" t="s">
        <v>12462</v>
      </c>
      <c r="B1890" s="12" t="s">
        <v>14773</v>
      </c>
      <c r="C1890" s="13" t="str">
        <f>HYPERLINK("https://audio.iskcondesiretree.com/02_-_ISKCON_Swamis/ISKCON_Swamis_-_R_to_Y/His_Holiness_Radhanath_Swami/Lectures/00_-_Year_wise/Devotional_Nectar_-_2003/2003-065_Bhakti_Caru_M_Lecture_Sunday_feast_Mumbai_-_Radhanath_Swami_2003-09-21_IDesireTree.mp3", "2003-065_Bhakti_Caru_M_Lecture_Sunday_feast_Mumbai_-_Radhanath_Swami_2003-09-21_IDesireTree.mp3")</f>
        <v>2003-065_Bhakti_Caru_M_Lecture_Sunday_feast_Mumbai_-_Radhanath_Swami_2003-09-21_IDesireTree.mp3</v>
      </c>
      <c r="D1890" s="11"/>
      <c r="E1890" s="11"/>
    </row>
    <row r="1891" spans="1:5">
      <c r="A1891" s="12" t="s">
        <v>12462</v>
      </c>
      <c r="B1891" s="12" t="e">
        <v>#VALUE!</v>
      </c>
      <c r="C1891" s="13" t="e">
        <f>HYPERLINK("https://audio.iskcondesiretree.com/02_-_ISKCON_Swamis/ISKCON_Swamis_-_R_to_Y/His_Holiness_Radhanath_Swami/Lectures/00_-_Year_wise/Devotional_Nectar_-_2003/2003-066_Compassion_of_Narad_Muni_on_King_Prachinibarishat_SB-04_25_08_Mumbai_-_4-10-03_IDesireTree."&amp;"mp3", "2003-066_Compassion_of_Narad_Muni_on_King_Prachinibarishat_SB-04_25_08_Mumbai_-_4-10-03_IDesireTree.mp3")</f>
        <v>#VALUE!</v>
      </c>
      <c r="D1891" s="11"/>
      <c r="E1891" s="11"/>
    </row>
    <row r="1892" spans="1:5">
      <c r="A1892" s="12" t="s">
        <v>12462</v>
      </c>
      <c r="B1892" s="12" t="s">
        <v>14774</v>
      </c>
      <c r="C1892" s="13" t="str">
        <f>HYPERLINK("https://audio.iskcondesiretree.com/02_-_ISKCON_Swamis/ISKCON_Swamis_-_R_to_Y/His_Holiness_Radhanath_Swami/Lectures/00_-_Year_wise/Devotional_Nectar_-_2003/2003-067_Offering_to_HG_Caitanya_Vallabh_Prabhu_Lecture_Mumbai_-_04-10-03_IDesireTree.mp3", "2003-067_Offering_to_HG_Caitanya_Vallabh_Prabhu_Lecture_Mumbai_-_04-10-03_IDesireTree.mp3")</f>
        <v>2003-067_Offering_to_HG_Caitanya_Vallabh_Prabhu_Lecture_Mumbai_-_04-10-03_IDesireTree.mp3</v>
      </c>
      <c r="D1892" s="11"/>
      <c r="E1892" s="11"/>
    </row>
    <row r="1893" spans="1:5">
      <c r="A1893" s="12" t="s">
        <v>12462</v>
      </c>
      <c r="B1893" s="12" t="e">
        <v>#VALUE!</v>
      </c>
      <c r="C1893" s="13" t="e">
        <f>HYPERLINK("https://audio.iskcondesiretree.com/02_-_ISKCON_Swamis/ISKCON_Swamis_-_R_to_Y/His_Holiness_Radhanath_Swami/Lectures/00_-_Year_wise/Devotional_Nectar_-_2003/2003-068_Expert_Preaching_of_Narad_Muni_%26_Madhavacarya_SB-04_25_09_Mumbai_-_05-10-03_IDesireTree.m"&amp;"p3", "2003-068_Expert_Preaching_of_Narad_Muni_%26_Madhavacarya_SB-04_25_09_Mumbai_-_05-10-03_IDesireTree.mp3")</f>
        <v>#VALUE!</v>
      </c>
      <c r="D1893" s="11"/>
      <c r="E1893" s="11"/>
    </row>
    <row r="1894" spans="1:5">
      <c r="A1894" s="12" t="s">
        <v>12462</v>
      </c>
      <c r="B1894" s="12" t="s">
        <v>14775</v>
      </c>
      <c r="C1894" s="13" t="str">
        <f>HYPERLINK("https://audio.iskcondesiretree.com/02_-_ISKCON_Swamis/ISKCON_Swamis_-_R_to_Y/His_Holiness_Radhanath_Swami/Lectures/00_-_Year_wise/Devotional_Nectar_-_2003/2003-069_Sri_Ramacandra_Vijayotsava_Sunday_Feast_Mumbai_-_Radhanath_Swami_2003-10-05_IDesireTree.mp3", "2003-069_Sri_Ramacandra_Vijayotsava_Sunday_Feast_Mumbai_-_Radhanath_Swami_2003-10-05_IDesireTree.mp3")</f>
        <v>2003-069_Sri_Ramacandra_Vijayotsava_Sunday_Feast_Mumbai_-_Radhanath_Swami_2003-10-05_IDesireTree.mp3</v>
      </c>
      <c r="D1894" s="11"/>
      <c r="E1894" s="11"/>
    </row>
    <row r="1895" spans="1:5">
      <c r="A1895" s="12" t="s">
        <v>12462</v>
      </c>
      <c r="B1895" s="12" t="s">
        <v>14776</v>
      </c>
      <c r="C1895" s="13" t="str">
        <f>HYPERLINK("https://audio.iskcondesiretree.com/02_-_ISKCON_Swamis/ISKCON_Swamis_-_R_to_Y/His_Holiness_Radhanath_Swami/Lectures/00_-_Year_wise/Devotional_Nectar_-_2003/2003-070_Goswamis_Disappearance_Lecture_Mumbai_-_Radhanath_Swami_2003-10-07_IDesireTree.mp3", "2003-070_Goswamis_Disappearance_Lecture_Mumbai_-_Radhanath_Swami_2003-10-07_IDesireTree.mp3")</f>
        <v>2003-070_Goswamis_Disappearance_Lecture_Mumbai_-_Radhanath_Swami_2003-10-07_IDesireTree.mp3</v>
      </c>
      <c r="D1895" s="11"/>
      <c r="E1895" s="11"/>
    </row>
    <row r="1896" spans="1:5">
      <c r="A1896" s="12" t="s">
        <v>12462</v>
      </c>
      <c r="B1896" s="12" t="s">
        <v>14777</v>
      </c>
      <c r="C1896" s="13" t="str">
        <f>HYPERLINK("https://audio.iskcondesiretree.com/02_-_ISKCON_Swamis/ISKCON_Swamis_-_R_to_Y/His_Holiness_Radhanath_Swami/Lectures/00_-_Year_wise/Devotional_Nectar_-_2003/2003-071_Lord_Krishna%27s_Damodar_Lila_Lecture_Mumbai_-_Radhanath_Swami_2003-10-10_IDesireTree.mp3", "2003-071_Lord_Krishna%27s_Damodar_Lila_Lecture_Mumbai_-_Radhanath_Swami_2003-10-10_IDesireTree.mp3")</f>
        <v>2003-071_Lord_Krishna%27s_Damodar_Lila_Lecture_Mumbai_-_Radhanath_Swami_2003-10-10_IDesireTree.mp3</v>
      </c>
      <c r="D1896" s="11"/>
      <c r="E1896" s="11"/>
    </row>
    <row r="1897" spans="1:5">
      <c r="A1897" s="12" t="s">
        <v>12462</v>
      </c>
      <c r="B1897" s="12" t="e">
        <v>#VALUE!</v>
      </c>
      <c r="C1897" s="13" t="e">
        <f>HYPERLINK("https://audio.iskcondesiretree.com/02_-_ISKCON_Swamis/ISKCON_Swamis_-_R_to_Y/His_Holiness_Radhanath_Swami/Lectures/00_-_Year_wise/Devotional_Nectar_-_2003/2003-072_Spititual_Life_Means_Transforming_our_Consciousness_SB-04_25_14_Mumbai_-_12-10-03_IDesireTr"&amp;"ee.mp3", "2003-072_Spititual_Life_Means_Transforming_our_Consciousness_SB-04_25_14_Mumbai_-_12-10-03_IDesireTree.mp3")</f>
        <v>#VALUE!</v>
      </c>
      <c r="D1897" s="11"/>
      <c r="E1897" s="11"/>
    </row>
    <row r="1898" spans="1:5">
      <c r="A1898" s="12" t="s">
        <v>12462</v>
      </c>
      <c r="B1898" s="12" t="s">
        <v>14778</v>
      </c>
      <c r="C1898" s="13" t="str">
        <f>HYPERLINK("https://audio.iskcondesiretree.com/02_-_ISKCON_Swamis/ISKCON_Swamis_-_R_to_Y/His_Holiness_Radhanath_Swami/Lectures/00_-_Year_wise/Devotional_Nectar_-_2003/2003-073_Sunday_Feast_Mumbai_-_Radhanath_Swami_2003-10-12_IDesireTree.mp3", "2003-073_Sunday_Feast_Mumbai_-_Radhanath_Swami_2003-10-12_IDesireTree.mp3")</f>
        <v>2003-073_Sunday_Feast_Mumbai_-_Radhanath_Swami_2003-10-12_IDesireTree.mp3</v>
      </c>
      <c r="D1898" s="11"/>
      <c r="E1898" s="11"/>
    </row>
    <row r="1899" spans="1:5">
      <c r="A1899" s="12" t="s">
        <v>12462</v>
      </c>
      <c r="B1899" s="12" t="e">
        <v>#VALUE!</v>
      </c>
      <c r="C1899" s="13" t="e">
        <f>HYPERLINK("https://audio.iskcondesiretree.com/02_-_ISKCON_Swamis/ISKCON_Swamis_-_R_to_Y/His_Holiness_Radhanath_Swami/Lectures/00_-_Year_wise/Devotional_Nectar_-_2003/2003-074_Intelligence_should_be_Chaste_%26_Faithful_to_the_soul_SB-04_25_21_Mumbai_-_19-10-03_IDesir"&amp;"eTree.mp3", "2003-074_Intelligence_should_be_Chaste_%26_Faithful_to_the_soul_SB-04_25_21_Mumbai_-_19-10-03_IDesireTree.mp3")</f>
        <v>#VALUE!</v>
      </c>
      <c r="D1899" s="11"/>
      <c r="E1899" s="11"/>
    </row>
    <row r="1900" spans="1:5">
      <c r="A1900" s="12" t="s">
        <v>12462</v>
      </c>
      <c r="B1900" s="12" t="s">
        <v>14779</v>
      </c>
      <c r="C1900" s="13" t="str">
        <f>HYPERLINK("https://audio.iskcondesiretree.com/02_-_ISKCON_Swamis/ISKCON_Swamis_-_R_to_Y/His_Holiness_Radhanath_Swami/Lectures/00_-_Year_wise/Devotional_Nectar_-_2003/2003-075_Supreme_Love_of_the_Vrajavasis_Sunday_Feast_Mumbai_-_19-10-03_IDesireTree.mp3", "2003-075_Supreme_Love_of_the_Vrajavasis_Sunday_Feast_Mumbai_-_19-10-03_IDesireTree.mp3")</f>
        <v>2003-075_Supreme_Love_of_the_Vrajavasis_Sunday_Feast_Mumbai_-_19-10-03_IDesireTree.mp3</v>
      </c>
      <c r="D1900" s="11"/>
      <c r="E1900" s="11"/>
    </row>
    <row r="1901" spans="1:5">
      <c r="A1901" s="12" t="s">
        <v>12462</v>
      </c>
      <c r="B1901" s="12" t="s">
        <v>14780</v>
      </c>
      <c r="C1901" s="13" t="str">
        <f>HYPERLINK("https://audio.iskcondesiretree.com/02_-_ISKCON_Swamis/ISKCON_Swamis_-_R_to_Y/His_Holiness_Radhanath_Swami/Lectures/00_-_Year_wise/Devotional_Nectar_-_2003/2003-076_Govardhan_Puja_SB-10_21_18_New_Vrindavan_-_Radhanath_Swami_2003-10-25_IDesireTree.mp3", "2003-076_Govardhan_Puja_SB-10_21_18_New_Vrindavan_-_Radhanath_Swami_2003-10-25_IDesireTree.mp3")</f>
        <v>2003-076_Govardhan_Puja_SB-10_21_18_New_Vrindavan_-_Radhanath_Swami_2003-10-25_IDesireTree.mp3</v>
      </c>
      <c r="D1901" s="11"/>
      <c r="E1901" s="11"/>
    </row>
    <row r="1902" spans="1:5">
      <c r="A1902" s="12" t="s">
        <v>12462</v>
      </c>
      <c r="B1902" s="12" t="s">
        <v>14781</v>
      </c>
      <c r="C1902" s="13" t="str">
        <f>HYPERLINK("https://audio.iskcondesiretree.com/02_-_ISKCON_Swamis/ISKCON_Swamis_-_R_to_Y/His_Holiness_Radhanath_Swami/Lectures/00_-_Year_wise/Devotional_Nectar_-_2003/2003-077_Krishna%27s_All-Attractive_Damodara-Lila_Lecture_New_Vrindavan_-_26-10-03_IDesireTree.mp3", "2003-077_Krishna%27s_All-Attractive_Damodara-Lila_Lecture_New_Vrindavan_-_26-10-03_IDesireTree.mp3")</f>
        <v>2003-077_Krishna%27s_All-Attractive_Damodara-Lila_Lecture_New_Vrindavan_-_26-10-03_IDesireTree.mp3</v>
      </c>
      <c r="D1902" s="11"/>
      <c r="E1902" s="11"/>
    </row>
    <row r="1903" spans="1:5">
      <c r="A1903" s="12" t="s">
        <v>12462</v>
      </c>
      <c r="B1903" s="12" t="s">
        <v>14782</v>
      </c>
      <c r="C1903" s="13" t="str">
        <f>HYPERLINK("https://audio.iskcondesiretree.com/02_-_ISKCON_Swamis/ISKCON_Swamis_-_R_to_Y/His_Holiness_Radhanath_Swami/Lectures/00_-_Year_wise/Devotional_Nectar_-_2003/2003-078_Offering_to_Srila_Prabhupad_Lecture_New_Vrindavan_-_28-10-03_IDesireTree.mp3", "2003-078_Offering_to_Srila_Prabhupad_Lecture_New_Vrindavan_-_28-10-03_IDesireTree.mp3")</f>
        <v>2003-078_Offering_to_Srila_Prabhupad_Lecture_New_Vrindavan_-_28-10-03_IDesireTree.mp3</v>
      </c>
      <c r="D1903" s="11"/>
      <c r="E1903" s="11"/>
    </row>
    <row r="1904" spans="1:5">
      <c r="A1904" s="12" t="s">
        <v>12462</v>
      </c>
      <c r="B1904" s="12" t="s">
        <v>14783</v>
      </c>
      <c r="C1904" s="13" t="str">
        <f>HYPERLINK("https://audio.iskcondesiretree.com/02_-_ISKCON_Swamis/ISKCON_Swamis_-_R_to_Y/His_Holiness_Radhanath_Swami/Lectures/00_-_Year_wise/Devotional_Nectar_-_2003/2003-079_Lilamrta_Lecture_New_Vrindavan_-_Radhanath_Swami_2003-10-29_IDesireTree.mp3", "2003-079_Lilamrta_Lecture_New_Vrindavan_-_Radhanath_Swami_2003-10-29_IDesireTree.mp3")</f>
        <v>2003-079_Lilamrta_Lecture_New_Vrindavan_-_Radhanath_Swami_2003-10-29_IDesireTree.mp3</v>
      </c>
      <c r="D1904" s="11"/>
      <c r="E1904" s="11"/>
    </row>
    <row r="1905" spans="1:5">
      <c r="A1905" s="12" t="s">
        <v>12462</v>
      </c>
      <c r="B1905" s="12" t="s">
        <v>14784</v>
      </c>
      <c r="C1905" s="13" t="str">
        <f>HYPERLINK("https://audio.iskcondesiretree.com/02_-_ISKCON_Swamis/ISKCON_Swamis_-_R_to_Y/His_Holiness_Radhanath_Swami/Lectures/00_-_Year_wise/Devotional_Nectar_-_2003/2003-08-03_Various_-_Lesson_to_Govinda_-_Radhanath_Swami_Rome.mp3", "2003-08-03_Various_-_Lesson_to_Govinda_-_Radhanath_Swami_Rome.mp3")</f>
        <v>2003-08-03_Various_-_Lesson_to_Govinda_-_Radhanath_Swami_Rome.mp3</v>
      </c>
      <c r="D1905" s="11"/>
      <c r="E1905" s="11"/>
    </row>
    <row r="1906" spans="1:5">
      <c r="A1906" s="12" t="s">
        <v>12462</v>
      </c>
      <c r="B1906" s="12" t="s">
        <v>14785</v>
      </c>
      <c r="C1906" s="13" t="str">
        <f>HYPERLINK("https://audio.iskcondesiretree.com/02_-_ISKCON_Swamis/ISKCON_Swamis_-_R_to_Y/His_Holiness_Radhanath_Swami/Lectures/00_-_Year_wise/Devotional_Nectar_-_2003/2003-080_The_Nature_of_Prabhupada%27s_Love_Lecture_New_Vrindavan_-_29-10-03_IDesireTree.mp3", "2003-080_The_Nature_of_Prabhupada%27s_Love_Lecture_New_Vrindavan_-_29-10-03_IDesireTree.mp3")</f>
        <v>2003-080_The_Nature_of_Prabhupada%27s_Love_Lecture_New_Vrindavan_-_29-10-03_IDesireTree.mp3</v>
      </c>
      <c r="D1906" s="11"/>
      <c r="E1906" s="11"/>
    </row>
    <row r="1907" spans="1:5">
      <c r="A1907" s="12" t="s">
        <v>12462</v>
      </c>
      <c r="B1907" s="12" t="s">
        <v>14786</v>
      </c>
      <c r="C1907" s="13" t="str">
        <f>HYPERLINK("https://audio.iskcondesiretree.com/02_-_ISKCON_Swamis/ISKCON_Swamis_-_R_to_Y/His_Holiness_Radhanath_Swami/Lectures/00_-_Year_wise/Devotional_Nectar_-_2003/2003-081_Diwali_-_Lord_Rama%27s_Return_to_Ayodhya_Lecture_New_Vrindavan_-_30-10-03_IDesireTree.mp3", "2003-081_Diwali_-_Lord_Rama%27s_Return_to_Ayodhya_Lecture_New_Vrindavan_-_30-10-03_IDesireTree.mp3")</f>
        <v>2003-081_Diwali_-_Lord_Rama%27s_Return_to_Ayodhya_Lecture_New_Vrindavan_-_30-10-03_IDesireTree.mp3</v>
      </c>
      <c r="D1907" s="11"/>
      <c r="E1907" s="11"/>
    </row>
    <row r="1908" spans="1:5">
      <c r="A1908" s="12" t="s">
        <v>12462</v>
      </c>
      <c r="B1908" s="12" t="e">
        <v>#VALUE!</v>
      </c>
      <c r="C1908" s="13" t="e">
        <f>HYPERLINK("https://audio.iskcondesiretree.com/02_-_ISKCON_Swamis/ISKCON_Swamis_-_R_to_Y/His_Holiness_Radhanath_Swami/Lectures/00_-_Year_wise/Devotional_Nectar_-_2003/2003-082_Lord_Nityananda%27s_Mercy_Lecture_New_Vrindavan_-_Radhanath_Swami_2003-10-31_IDesireTree.mp"&amp;"3", "2003-082_Lord_Nityananda%27s_Mercy_Lecture_New_Vrindavan_-_Radhanath_Swami_2003-10-31_IDesireTree.mp3")</f>
        <v>#VALUE!</v>
      </c>
      <c r="D1908" s="11"/>
      <c r="E1908" s="11"/>
    </row>
    <row r="1909" spans="1:5">
      <c r="A1909" s="12" t="s">
        <v>12462</v>
      </c>
      <c r="B1909" s="12" t="e">
        <v>#VALUE!</v>
      </c>
      <c r="C1909" s="13" t="e">
        <f>HYPERLINK("https://audio.iskcondesiretree.com/02_-_ISKCON_Swamis/ISKCON_Swamis_-_R_to_Y/His_Holiness_Radhanath_Swami/Lectures/00_-_Year_wise/Devotional_Nectar_-_2003/2003-083_Spirituality_-_The_essence_of_Life-RNS_LECTURE_Lecture_Albany_-_November_2003_-_IDesireTree"&amp;".mp3", "2003-083_Spirituality_-_The_essence_of_Life-RNS_LECTURE_Lecture_Albany_-_November_2003_-_IDesireTree.mp3")</f>
        <v>#VALUE!</v>
      </c>
      <c r="D1909" s="11"/>
      <c r="E1909" s="11"/>
    </row>
    <row r="1910" spans="1:5">
      <c r="A1910" s="12" t="s">
        <v>12462</v>
      </c>
      <c r="B1910" s="12" t="s">
        <v>14787</v>
      </c>
      <c r="C1910" s="13" t="str">
        <f>HYPERLINK("https://audio.iskcondesiretree.com/02_-_ISKCON_Swamis/ISKCON_Swamis_-_R_to_Y/His_Holiness_Radhanath_Swami/Lectures/00_-_Year_wise/Devotional_Nectar_-_2003/2003-084_Lecture_26_2nd_ave_-_Radhanath_Swami_2003-11-04_IDesireTree.mp3", "2003-084_Lecture_26_2nd_ave_-_Radhanath_Swami_2003-11-04_IDesireTree.mp3")</f>
        <v>2003-084_Lecture_26_2nd_ave_-_Radhanath_Swami_2003-11-04_IDesireTree.mp3</v>
      </c>
      <c r="D1910" s="11"/>
      <c r="E1910" s="11"/>
    </row>
    <row r="1911" spans="1:5">
      <c r="A1911" s="12" t="s">
        <v>12462</v>
      </c>
      <c r="B1911" s="12" t="s">
        <v>14788</v>
      </c>
      <c r="C1911" s="13" t="str">
        <f>HYPERLINK("https://audio.iskcondesiretree.com/02_-_ISKCON_Swamis/ISKCON_Swamis_-_R_to_Y/His_Holiness_Radhanath_Swami/Lectures/00_-_Year_wise/Devotional_Nectar_-_2003/2003-085_Lecture_26_2nd_Ave_-_Radhanath_Swami_2003-11-04_IDesireTree.mp3", "2003-085_Lecture_26_2nd_Ave_-_Radhanath_Swami_2003-11-04_IDesireTree.mp3")</f>
        <v>2003-085_Lecture_26_2nd_Ave_-_Radhanath_Swami_2003-11-04_IDesireTree.mp3</v>
      </c>
      <c r="D1911" s="11"/>
      <c r="E1911" s="11"/>
    </row>
    <row r="1912" spans="1:5">
      <c r="A1912" s="12" t="s">
        <v>12462</v>
      </c>
      <c r="B1912" s="12" t="s">
        <v>14789</v>
      </c>
      <c r="C1912" s="13" t="str">
        <f>HYPERLINK("https://audio.iskcondesiretree.com/02_-_ISKCON_Swamis/ISKCON_Swamis_-_R_to_Y/His_Holiness_Radhanath_Swami/Lectures/00_-_Year_wise/Devotional_Nectar_-_2003/2003-086_SB-10_01_64_San_Diego_-_Radhanath_Swami_2003-11-21_IDesireTree.mp3", "2003-086_SB-10_01_64_San_Diego_-_Radhanath_Swami_2003-11-21_IDesireTree.mp3")</f>
        <v>2003-086_SB-10_01_64_San_Diego_-_Radhanath_Swami_2003-11-21_IDesireTree.mp3</v>
      </c>
      <c r="D1912" s="11"/>
      <c r="E1912" s="11"/>
    </row>
    <row r="1913" spans="1:5">
      <c r="A1913" s="12" t="s">
        <v>12462</v>
      </c>
      <c r="B1913" s="12" t="s">
        <v>14790</v>
      </c>
      <c r="C1913" s="13" t="str">
        <f>HYPERLINK("https://audio.iskcondesiretree.com/02_-_ISKCON_Swamis/ISKCON_Swamis_-_R_to_Y/His_Holiness_Radhanath_Swami/Lectures/00_-_Year_wise/Devotional_Nectar_-_2003/2003-087_Sri_Giridhari%27s_Home_Lecture_US_-_Radhanath_Swami_2003-11-21_IDesireTree.mp3", "2003-087_Sri_Giridhari%27s_Home_Lecture_US_-_Radhanath_Swami_2003-11-21_IDesireTree.mp3")</f>
        <v>2003-087_Sri_Giridhari%27s_Home_Lecture_US_-_Radhanath_Swami_2003-11-21_IDesireTree.mp3</v>
      </c>
      <c r="D1913" s="11"/>
      <c r="E1913" s="11"/>
    </row>
    <row r="1914" spans="1:5">
      <c r="A1914" s="12" t="s">
        <v>12462</v>
      </c>
      <c r="B1914" s="12" t="s">
        <v>14791</v>
      </c>
      <c r="C1914" s="13" t="str">
        <f>HYPERLINK("https://audio.iskcondesiretree.com/02_-_ISKCON_Swamis/ISKCON_Swamis_-_R_to_Y/His_Holiness_Radhanath_Swami/Lectures/00_-_Year_wise/Devotional_Nectar_-_2003/2003-088_SB_10_01_65-66_San_Diego_-_Radhanath_Swami_2003-11-22_IDesireTree.mp3", "2003-088_SB_10_01_65-66_San_Diego_-_Radhanath_Swami_2003-11-22_IDesireTree.mp3")</f>
        <v>2003-088_SB_10_01_65-66_San_Diego_-_Radhanath_Swami_2003-11-22_IDesireTree.mp3</v>
      </c>
      <c r="D1914" s="11"/>
      <c r="E1914" s="11"/>
    </row>
    <row r="1915" spans="1:5">
      <c r="A1915" s="12" t="s">
        <v>12462</v>
      </c>
      <c r="B1915" s="12" t="s">
        <v>14792</v>
      </c>
      <c r="C1915" s="13" t="str">
        <f>HYPERLINK("https://audio.iskcondesiretree.com/02_-_ISKCON_Swamis/ISKCON_Swamis_-_R_to_Y/His_Holiness_Radhanath_Swami/Lectures/00_-_Year_wise/Devotional_Nectar_-_2003/2003-089_Initiation_Initiation_Lecture_San_Diego_-_Radhanath_Swami_2003-11-22_IDesireTree.mp3", "2003-089_Initiation_Initiation_Lecture_San_Diego_-_Radhanath_Swami_2003-11-22_IDesireTree.mp3")</f>
        <v>2003-089_Initiation_Initiation_Lecture_San_Diego_-_Radhanath_Swami_2003-11-22_IDesireTree.mp3</v>
      </c>
      <c r="D1915" s="11"/>
      <c r="E1915" s="11"/>
    </row>
    <row r="1916" spans="1:5">
      <c r="A1916" s="12" t="s">
        <v>12462</v>
      </c>
      <c r="B1916" s="12" t="s">
        <v>14793</v>
      </c>
      <c r="C1916" s="13" t="str">
        <f>HYPERLINK("https://audio.iskcondesiretree.com/02_-_ISKCON_Swamis/ISKCON_Swamis_-_R_to_Y/His_Holiness_Radhanath_Swami/Lectures/00_-_Year_wise/Devotional_Nectar_-_2003/2003-090_SB_10_01_67_San_Diego_-_Radhanath_Swami_2003-11-23_IDesireTree.mp3", "2003-090_SB_10_01_67_San_Diego_-_Radhanath_Swami_2003-11-23_IDesireTree.mp3")</f>
        <v>2003-090_SB_10_01_67_San_Diego_-_Radhanath_Swami_2003-11-23_IDesireTree.mp3</v>
      </c>
      <c r="D1916" s="11"/>
      <c r="E1916" s="11"/>
    </row>
    <row r="1917" spans="1:5">
      <c r="A1917" s="12" t="s">
        <v>12462</v>
      </c>
      <c r="B1917" s="12" t="s">
        <v>14794</v>
      </c>
      <c r="C1917" s="13" t="str">
        <f>HYPERLINK("https://audio.iskcondesiretree.com/02_-_ISKCON_Swamis/ISKCON_Swamis_-_R_to_Y/His_Holiness_Radhanath_Swami/Lectures/00_-_Year_wise/Devotional_Nectar_-_2003/2003-091_Sunday_Feast_Laguna_Beach_-_Radhanath_Swami_2003-11-23_IDesireTree.mp3", "2003-091_Sunday_Feast_Laguna_Beach_-_Radhanath_Swami_2003-11-23_IDesireTree.mp3")</f>
        <v>2003-091_Sunday_Feast_Laguna_Beach_-_Radhanath_Swami_2003-11-23_IDesireTree.mp3</v>
      </c>
      <c r="D1917" s="11"/>
      <c r="E1917" s="11"/>
    </row>
    <row r="1918" spans="1:5">
      <c r="A1918" s="12" t="s">
        <v>12462</v>
      </c>
      <c r="B1918" s="12" t="s">
        <v>14795</v>
      </c>
      <c r="C1918" s="13" t="str">
        <f>HYPERLINK("https://audio.iskcondesiretree.com/02_-_ISKCON_Swamis/ISKCON_Swamis_-_R_to_Y/His_Holiness_Radhanath_Swami/Lectures/00_-_Year_wise/Devotional_Nectar_-_2003/2003-092_SB_03_14_19_Laguna_Beach_-_Radhanath_Swami_2003-11-24_IDesireTree.mp3", "2003-092_SB_03_14_19_Laguna_Beach_-_Radhanath_Swami_2003-11-24_IDesireTree.mp3")</f>
        <v>2003-092_SB_03_14_19_Laguna_Beach_-_Radhanath_Swami_2003-11-24_IDesireTree.mp3</v>
      </c>
      <c r="D1918" s="11"/>
      <c r="E1918" s="11"/>
    </row>
    <row r="1919" spans="1:5">
      <c r="A1919" s="12" t="s">
        <v>12462</v>
      </c>
      <c r="B1919" s="12" t="s">
        <v>14796</v>
      </c>
      <c r="C1919" s="13" t="str">
        <f>HYPERLINK("https://audio.iskcondesiretree.com/02_-_ISKCON_Swamis/ISKCON_Swamis_-_R_to_Y/His_Holiness_Radhanath_Swami/Lectures/00_-_Year_wise/Devotional_Nectar_-_2003/2003-093_SB-03_14_20_Laguna_Beach_-_Radhanath_Swami_2003-11-25_IDesireTree.mp3", "2003-093_SB-03_14_20_Laguna_Beach_-_Radhanath_Swami_2003-11-25_IDesireTree.mp3")</f>
        <v>2003-093_SB-03_14_20_Laguna_Beach_-_Radhanath_Swami_2003-11-25_IDesireTree.mp3</v>
      </c>
      <c r="D1919" s="11"/>
      <c r="E1919" s="11"/>
    </row>
    <row r="1920" spans="1:5">
      <c r="A1920" s="12" t="s">
        <v>12462</v>
      </c>
      <c r="B1920" s="12" t="s">
        <v>14797</v>
      </c>
      <c r="C1920" s="13" t="str">
        <f>HYPERLINK("https://audio.iskcondesiretree.com/02_-_ISKCON_Swamis/ISKCON_Swamis_-_R_to_Y/His_Holiness_Radhanath_Swami/Lectures/00_-_Year_wise/Devotional_Nectar_-_2003/2003-094_SB-03_24_40_LA_-_Radhanath_Swami_2003-11-26_IDesireTree.mp3", "2003-094_SB-03_24_40_LA_-_Radhanath_Swami_2003-11-26_IDesireTree.mp3")</f>
        <v>2003-094_SB-03_24_40_LA_-_Radhanath_Swami_2003-11-26_IDesireTree.mp3</v>
      </c>
      <c r="D1920" s="11"/>
      <c r="E1920" s="11"/>
    </row>
    <row r="1921" spans="1:5">
      <c r="A1921" s="12" t="s">
        <v>12462</v>
      </c>
      <c r="B1921" s="12" t="s">
        <v>14798</v>
      </c>
      <c r="C1921" s="13" t="str">
        <f>HYPERLINK("https://audio.iskcondesiretree.com/02_-_ISKCON_Swamis/ISKCON_Swamis_-_R_to_Y/His_Holiness_Radhanath_Swami/Lectures/00_-_Year_wise/Devotional_Nectar_-_2003/2003-095_Lecture_Yatra%27s_Nama_Hatta_-_Radhanath_Swami_2003-11-26_IDesireTree.mp3", "2003-095_Lecture_Yatra%27s_Nama_Hatta_-_Radhanath_Swami_2003-11-26_IDesireTree.mp3")</f>
        <v>2003-095_Lecture_Yatra%27s_Nama_Hatta_-_Radhanath_Swami_2003-11-26_IDesireTree.mp3</v>
      </c>
      <c r="D1921" s="11"/>
      <c r="E1921" s="11"/>
    </row>
    <row r="1922" spans="1:5">
      <c r="A1922" s="12" t="s">
        <v>12462</v>
      </c>
      <c r="B1922" s="12" t="s">
        <v>14799</v>
      </c>
      <c r="C1922" s="13" t="str">
        <f>HYPERLINK("https://audio.iskcondesiretree.com/02_-_ISKCON_Swamis/ISKCON_Swamis_-_R_to_Y/His_Holiness_Radhanath_Swami/Lectures/00_-_Year_wise/Devotional_Nectar_-_2003/2003-096_SB-03_24_41_Los_Angeles_-_Radhanath_Swami_2003-11-27_IDesireTree.mp3", "2003-096_SB-03_24_41_Los_Angeles_-_Radhanath_Swami_2003-11-27_IDesireTree.mp3")</f>
        <v>2003-096_SB-03_24_41_Los_Angeles_-_Radhanath_Swami_2003-11-27_IDesireTree.mp3</v>
      </c>
      <c r="D1922" s="11"/>
      <c r="E1922" s="11"/>
    </row>
    <row r="1923" spans="1:5">
      <c r="A1923" s="12" t="s">
        <v>12462</v>
      </c>
      <c r="B1923" s="12" t="s">
        <v>14800</v>
      </c>
      <c r="C1923" s="13" t="str">
        <f>HYPERLINK("https://audio.iskcondesiretree.com/02_-_ISKCON_Swamis/ISKCON_Swamis_-_R_to_Y/His_Holiness_Radhanath_Swami/Lectures/00_-_Year_wise/Devotional_Nectar_-_2003/2003-097_Nama_Hatta_Thanksgiving_Lecture_US_-_Radhanath_Swami_2003-11-27_IDesireTree.mp3", "2003-097_Nama_Hatta_Thanksgiving_Lecture_US_-_Radhanath_Swami_2003-11-27_IDesireTree.mp3")</f>
        <v>2003-097_Nama_Hatta_Thanksgiving_Lecture_US_-_Radhanath_Swami_2003-11-27_IDesireTree.mp3</v>
      </c>
      <c r="D1923" s="11"/>
      <c r="E1923" s="11"/>
    </row>
    <row r="1924" spans="1:5">
      <c r="A1924" s="12" t="s">
        <v>12462</v>
      </c>
      <c r="B1924" s="12" t="s">
        <v>14801</v>
      </c>
      <c r="C1924" s="13" t="str">
        <f>HYPERLINK("https://audio.iskcondesiretree.com/02_-_ISKCON_Swamis/ISKCON_Swamis_-_R_to_Y/His_Holiness_Radhanath_Swami/Lectures/00_-_Year_wise/Devotional_Nectar_-_2003/2003-098_SB-03_24_42_LA_-_Radhanath_Swami_2003-11-28_IDesireTree.mp3", "2003-098_SB-03_24_42_LA_-_Radhanath_Swami_2003-11-28_IDesireTree.mp3")</f>
        <v>2003-098_SB-03_24_42_LA_-_Radhanath_Swami_2003-11-28_IDesireTree.mp3</v>
      </c>
      <c r="D1924" s="11"/>
      <c r="E1924" s="11"/>
    </row>
    <row r="1925" spans="1:5">
      <c r="A1925" s="12" t="s">
        <v>12462</v>
      </c>
      <c r="B1925" s="12" t="s">
        <v>14802</v>
      </c>
      <c r="C1925" s="13" t="str">
        <f>HYPERLINK("https://audio.iskcondesiretree.com/02_-_ISKCON_Swamis/ISKCON_Swamis_-_R_to_Y/His_Holiness_Radhanath_Swami/Lectures/00_-_Year_wise/Devotional_Nectar_-_2003/2003-099_SB-03_24_43_Los_Angeles_-_Radhanath_Swami_2003-11-29_IDesireTree.mp3", "2003-099_SB-03_24_43_Los_Angeles_-_Radhanath_Swami_2003-11-29_IDesireTree.mp3")</f>
        <v>2003-099_SB-03_24_43_Los_Angeles_-_Radhanath_Swami_2003-11-29_IDesireTree.mp3</v>
      </c>
      <c r="D1925" s="11"/>
      <c r="E1925" s="11"/>
    </row>
    <row r="1926" spans="1:5">
      <c r="A1926" s="12" t="s">
        <v>12462</v>
      </c>
      <c r="B1926" s="12" t="e">
        <v>#VALUE!</v>
      </c>
      <c r="C1926" s="13" t="e">
        <f>HYPERLINK("https://audio.iskcondesiretree.com/02_-_ISKCON_Swamis/ISKCON_Swamis_-_R_to_Y/His_Holiness_Radhanath_Swami/Lectures/00_-_Year_wise/Devotional_Nectar_-_2003/2003-100_Giriraja_Swami_%26_RNS_Swami_Lecture_Nama_Hatta_-_Radhanath_Swami_2003-11-29_IDesireTree.mp"&amp;"3", "2003-100_Giriraja_Swami_%26_RNS_Swami_Lecture_Nama_Hatta_-_Radhanath_Swami_2003-11-29_IDesireTree.mp3")</f>
        <v>#VALUE!</v>
      </c>
      <c r="D1926" s="11"/>
      <c r="E1926" s="11"/>
    </row>
    <row r="1927" spans="1:5">
      <c r="A1927" s="12" t="s">
        <v>12462</v>
      </c>
      <c r="B1927" s="12" t="s">
        <v>14803</v>
      </c>
      <c r="C1927" s="13" t="str">
        <f>HYPERLINK("https://audio.iskcondesiretree.com/02_-_ISKCON_Swamis/ISKCON_Swamis_-_R_to_Y/His_Holiness_Radhanath_Swami/Lectures/00_-_Year_wise/Devotional_Nectar_-_2003/2003-101_Gita_Jayanti_Sunday_Feast_US_-_Radhanath_Swami_2003-11-30_IDesireTree.mp3", "2003-101_Gita_Jayanti_Sunday_Feast_US_-_Radhanath_Swami_2003-11-30_IDesireTree.mp3")</f>
        <v>2003-101_Gita_Jayanti_Sunday_Feast_US_-_Radhanath_Swami_2003-11-30_IDesireTree.mp3</v>
      </c>
      <c r="D1927" s="11"/>
      <c r="E1927" s="11"/>
    </row>
    <row r="1928" spans="1:5">
      <c r="A1928" s="12" t="s">
        <v>12462</v>
      </c>
      <c r="B1928" s="12" t="s">
        <v>14804</v>
      </c>
      <c r="C1928" s="13" t="str">
        <f>HYPERLINK("https://audio.iskcondesiretree.com/02_-_ISKCON_Swamis/ISKCON_Swamis_-_R_to_Y/His_Holiness_Radhanath_Swami/Lectures/00_-_Year_wise/Devotional_Nectar_-_2003/2003-102_Gita_Jayanti_Initiation_Lecture_US_-_Radhanath_Swami_2003-11-30_IDesireTree.mp3", "2003-102_Gita_Jayanti_Initiation_Lecture_US_-_Radhanath_Swami_2003-11-30_IDesireTree.mp3")</f>
        <v>2003-102_Gita_Jayanti_Initiation_Lecture_US_-_Radhanath_Swami_2003-11-30_IDesireTree.mp3</v>
      </c>
      <c r="D1928" s="11"/>
      <c r="E1928" s="11"/>
    </row>
    <row r="1929" spans="1:5">
      <c r="A1929" s="12" t="s">
        <v>12462</v>
      </c>
      <c r="B1929" s="12" t="s">
        <v>14805</v>
      </c>
      <c r="C1929" s="13" t="str">
        <f>HYPERLINK("https://audio.iskcondesiretree.com/02_-_ISKCON_Swamis/ISKCON_Swamis_-_R_to_Y/His_Holiness_Radhanath_Swami/Lectures/00_-_Year_wise/Devotional_Nectar_-_2003/2003-103_Offering_to_H_-_Radhanath_Swami_IDesireTree.mp3", "2003-103_Offering_to_H_-_Radhanath_Swami_IDesireTree.mp3")</f>
        <v>2003-103_Offering_to_H_-_Radhanath_Swami_IDesireTree.mp3</v>
      </c>
      <c r="D1929" s="11"/>
      <c r="E1929" s="11"/>
    </row>
    <row r="1930" spans="1:5">
      <c r="A1930" s="12" t="s">
        <v>12462</v>
      </c>
      <c r="B1930" s="12" t="s">
        <v>14806</v>
      </c>
      <c r="C1930" s="13" t="str">
        <f>HYPERLINK("https://audio.iskcondesiretree.com/02_-_ISKCON_Swamis/ISKCON_Swamis_-_R_to_Y/His_Holiness_Radhanath_Swami/Lectures/00_-_Year_wise/Devotional_Nectar_-_2003/2003-104_Vyas_Puja_Address_Lecture_Mumbai_-_Radhanath_Swami_2003-12-12_IDesireTree.mp3", "2003-104_Vyas_Puja_Address_Lecture_Mumbai_-_Radhanath_Swami_2003-12-12_IDesireTree.mp3")</f>
        <v>2003-104_Vyas_Puja_Address_Lecture_Mumbai_-_Radhanath_Swami_2003-12-12_IDesireTree.mp3</v>
      </c>
      <c r="D1930" s="11"/>
      <c r="E1930" s="11"/>
    </row>
    <row r="1931" spans="1:5">
      <c r="A1931" s="12" t="s">
        <v>12462</v>
      </c>
      <c r="B1931" s="12" t="s">
        <v>14807</v>
      </c>
      <c r="C1931" s="13" t="str">
        <f>HYPERLINK("https://audio.iskcondesiretree.com/02_-_ISKCON_Swamis/ISKCON_Swamis_-_R_to_Y/His_Holiness_Radhanath_Swami/Lectures/00_-_Year_wise/Devotional_Nectar_-_2003/2003-105_Cutting_Down_the_Weed_of_False_Ego_SB-04_26_08_Mumbai_-_14-12-03_IDesireTree.mp3", "2003-105_Cutting_Down_the_Weed_of_False_Ego_SB-04_26_08_Mumbai_-_14-12-03_IDesireTree.mp3")</f>
        <v>2003-105_Cutting_Down_the_Weed_of_False_Ego_SB-04_26_08_Mumbai_-_14-12-03_IDesireTree.mp3</v>
      </c>
      <c r="D1931" s="11"/>
      <c r="E1931" s="11"/>
    </row>
    <row r="1932" spans="1:5">
      <c r="A1932" s="12" t="s">
        <v>12462</v>
      </c>
      <c r="B1932" s="12" t="s">
        <v>14808</v>
      </c>
      <c r="C1932" s="13" t="str">
        <f>HYPERLINK("https://audio.iskcondesiretree.com/02_-_ISKCON_Swamis/ISKCON_Swamis_-_R_to_Y/His_Holiness_Radhanath_Swami/Lectures/00_-_Year_wise/Devotional_Nectar_-_2003/2003-107_Memorial_of_Idelle_Slavin_Lecture_Mumbai_-_Radhanath_Swami_2003-12-14_IDesireTree.mp3", "2003-107_Memorial_of_Idelle_Slavin_Lecture_Mumbai_-_Radhanath_Swami_2003-12-14_IDesireTree.mp3")</f>
        <v>2003-107_Memorial_of_Idelle_Slavin_Lecture_Mumbai_-_Radhanath_Swami_2003-12-14_IDesireTree.mp3</v>
      </c>
      <c r="D1932" s="11"/>
      <c r="E1932" s="11"/>
    </row>
    <row r="1933" spans="1:5">
      <c r="A1933" s="12" t="s">
        <v>12462</v>
      </c>
      <c r="B1933" s="12" t="s">
        <v>14809</v>
      </c>
      <c r="C1933" s="13" t="str">
        <f>HYPERLINK("https://audio.iskcondesiretree.com/02_-_ISKCON_Swamis/ISKCON_Swamis_-_R_to_Y/His_Holiness_Radhanath_Swami/Lectures/00_-_Year_wise/Devotional_Nectar_-_2003/201540_Hare_Krsna_Lecture_Mumbai_-_Radhanath_Swami_2003-01-02_IDesireTree.mp3", "201540_Hare_Krsna_Lecture_Mumbai_-_Radhanath_Swami_2003-01-02_IDesireTree.mp3")</f>
        <v>201540_Hare_Krsna_Lecture_Mumbai_-_Radhanath_Swami_2003-01-02_IDesireTree.mp3</v>
      </c>
      <c r="D1933" s="11"/>
      <c r="E1933" s="11"/>
    </row>
    <row r="1934" spans="1:5">
      <c r="A1934" s="12" t="s">
        <v>12462</v>
      </c>
      <c r="B1934" s="12" t="s">
        <v>14810</v>
      </c>
      <c r="C1934" s="13" t="str">
        <f>HYPERLINK("https://audio.iskcondesiretree.com/02_-_ISKCON_Swamis/ISKCON_Swamis_-_R_to_Y/His_Holiness_Radhanath_Swami/Lectures/00_-_Year_wise/Devotional_Nectar_-_2003/201543_Hare_Krsna_BG-08_05_Pune_-_Radhanath_Swami_2003-01-05_IDesireTree.mp3", "201543_Hare_Krsna_BG-08_05_Pune_-_Radhanath_Swami_2003-01-05_IDesireTree.mp3")</f>
        <v>201543_Hare_Krsna_BG-08_05_Pune_-_Radhanath_Swami_2003-01-05_IDesireTree.mp3</v>
      </c>
      <c r="D1934" s="11"/>
      <c r="E1934" s="11"/>
    </row>
    <row r="1935" spans="1:5">
      <c r="A1935" s="12" t="s">
        <v>12462</v>
      </c>
      <c r="B1935" s="12" t="s">
        <v>14811</v>
      </c>
      <c r="C1935" s="13" t="str">
        <f>HYPERLINK("https://audio.iskcondesiretree.com/02_-_ISKCON_Swamis/ISKCON_Swamis_-_R_to_Y/His_Holiness_Radhanath_Swami/Lectures/00_-_Year_wise/Devotional_Nectar_-_2003/201547a_Wedding_Address_Lecture_Mumbai_-_Radhanath_Swami_2003-01-11_IDesireTree.mp3", "201547a_Wedding_Address_Lecture_Mumbai_-_Radhanath_Swami_2003-01-11_IDesireTree.mp3")</f>
        <v>201547a_Wedding_Address_Lecture_Mumbai_-_Radhanath_Swami_2003-01-11_IDesireTree.mp3</v>
      </c>
      <c r="D1935" s="11"/>
      <c r="E1935" s="11"/>
    </row>
    <row r="1936" spans="1:5">
      <c r="A1936" s="12" t="s">
        <v>12462</v>
      </c>
      <c r="B1936" s="12" t="s">
        <v>14812</v>
      </c>
      <c r="C1936" s="13" t="str">
        <f>HYPERLINK("https://audio.iskcondesiretree.com/02_-_ISKCON_Swamis/ISKCON_Swamis_-_R_to_Y/His_Holiness_Radhanath_Swami/Lectures/00_-_Year_wise/Devotional_Nectar_-_2003/201547b_Offering_To_Syamsundari_%26_TKG_Lecture_Pune_-_Radhanath_Swami_2003-01-05_IDesireTree.mp3", "201547b_Offering_To_Syamsundari_%26_TKG_Lecture_Pune_-_Radhanath_Swami_2003-01-05_IDesireTree.mp3")</f>
        <v>201547b_Offering_To_Syamsundari_%26_TKG_Lecture_Pune_-_Radhanath_Swami_2003-01-05_IDesireTree.mp3</v>
      </c>
      <c r="D1936" s="11"/>
      <c r="E1936" s="11"/>
    </row>
    <row r="1937" spans="1:5">
      <c r="A1937" s="12" t="s">
        <v>12462</v>
      </c>
      <c r="B1937" s="12" t="s">
        <v>14813</v>
      </c>
      <c r="C1937" s="13" t="str">
        <f>HYPERLINK("https://audio.iskcondesiretree.com/02_-_ISKCON_Swamis/ISKCON_Swamis_-_R_to_Y/His_Holiness_Radhanath_Swami/Lectures/00_-_Year_wise/Devotional_Nectar_-_2003/201560_Mahaprakash_Lila_Of_Lord_Caitanya_Lecture_Mumbai_-_Radhanath_Swami_2003-03-18_IDesireTree.mp3", "201560_Mahaprakash_Lila_Of_Lord_Caitanya_Lecture_Mumbai_-_Radhanath_Swami_2003-03-18_IDesireTree.mp3")</f>
        <v>201560_Mahaprakash_Lila_Of_Lord_Caitanya_Lecture_Mumbai_-_Radhanath_Swami_2003-03-18_IDesireTree.mp3</v>
      </c>
      <c r="D1937" s="11"/>
      <c r="E1937" s="11"/>
    </row>
    <row r="1938" spans="1:5">
      <c r="A1938" s="12" t="s">
        <v>12462</v>
      </c>
      <c r="B1938" s="12" t="s">
        <v>14814</v>
      </c>
      <c r="C1938" s="13" t="str">
        <f>HYPERLINK("https://audio.iskcondesiretree.com/02_-_ISKCON_Swamis/ISKCON_Swamis_-_R_to_Y/His_Holiness_Radhanath_Swami/Lectures/00_-_Year_wise/Devotional_Nectar_-_2003/201569_Overcoming_Depression_Lecture_Mumbai_-_Radhanath_Swami_2003-03-29_IDesireTree.mp3", "201569_Overcoming_Depression_Lecture_Mumbai_-_Radhanath_Swami_2003-03-29_IDesireTree.mp3")</f>
        <v>201569_Overcoming_Depression_Lecture_Mumbai_-_Radhanath_Swami_2003-03-29_IDesireTree.mp3</v>
      </c>
      <c r="D1938" s="11"/>
      <c r="E1938" s="11"/>
    </row>
    <row r="1939" spans="1:5">
      <c r="A1939" s="12" t="s">
        <v>12462</v>
      </c>
      <c r="B1939" s="12" t="s">
        <v>14815</v>
      </c>
      <c r="C1939" s="13" t="str">
        <f>HYPERLINK("https://audio.iskcondesiretree.com/02_-_ISKCON_Swamis/ISKCON_Swamis_-_R_to_Y/His_Holiness_Radhanath_Swami/Lectures/00_-_Year_wise/Devotional_Nectar_-_2003/201584_Ramayan_Contains_Examples_Of_Ideals_Lecture_Mumbai_-_11-04-03_IDesireTree.mp3", "201584_Ramayan_Contains_Examples_Of_Ideals_Lecture_Mumbai_-_11-04-03_IDesireTree.mp3")</f>
        <v>201584_Ramayan_Contains_Examples_Of_Ideals_Lecture_Mumbai_-_11-04-03_IDesireTree.mp3</v>
      </c>
      <c r="D1939" s="11"/>
      <c r="E1939" s="11"/>
    </row>
    <row r="1940" spans="1:5">
      <c r="A1940" s="12" t="s">
        <v>12462</v>
      </c>
      <c r="B1940" s="12" t="s">
        <v>14816</v>
      </c>
      <c r="C1940" s="13" t="str">
        <f>HYPERLINK("https://audio.iskcondesiretree.com/02_-_ISKCON_Swamis/ISKCON_Swamis_-_R_to_Y/His_Holiness_Radhanath_Swami/Lectures/00_-_Year_wise/Devotional_Nectar_-_2003/201599_Medicine_for_Kaliyuga_Lecture_Mumbai_-_Radhanath_Swami_2003-08-31_IDesireTree.mp3", "201599_Medicine_for_Kaliyuga_Lecture_Mumbai_-_Radhanath_Swami_2003-08-31_IDesireTree.mp3")</f>
        <v>201599_Medicine_for_Kaliyuga_Lecture_Mumbai_-_Radhanath_Swami_2003-08-31_IDesireTree.mp3</v>
      </c>
      <c r="D1940" s="11"/>
      <c r="E1940" s="11"/>
    </row>
    <row r="1941" spans="1:5">
      <c r="A1941" s="12" t="s">
        <v>12462</v>
      </c>
      <c r="B1941" s="12" t="s">
        <v>14817</v>
      </c>
      <c r="C1941" s="13" t="str">
        <f>HYPERLINK("https://audio.iskcondesiretree.com/02_-_ISKCON_Swamis/ISKCON_Swamis_-_R_to_Y/His_Holiness_Radhanath_Swami/Lectures/00_-_Year_wise/Devotional_Nectar_-_2004/More/2004-08-27_Festivals_-_Disappearance_of_Rupa_Goswami_-_Radhanath_Swami_San_Casciano.mp3", "2004-08-27_Festivals_-_Disappearance_of_Rupa_Goswami_-_Radhanath_Swami_San_Casciano.mp3")</f>
        <v>2004-08-27_Festivals_-_Disappearance_of_Rupa_Goswami_-_Radhanath_Swami_San_Casciano.mp3</v>
      </c>
      <c r="D1941" s="11"/>
      <c r="E1941" s="11"/>
    </row>
    <row r="1942" spans="1:5">
      <c r="A1942" s="12" t="s">
        <v>12462</v>
      </c>
      <c r="B1942" s="12" t="s">
        <v>14818</v>
      </c>
      <c r="C1942" s="13" t="str">
        <f>HYPERLINK("https://audio.iskcondesiretree.com/02_-_ISKCON_Swamis/ISKCON_Swamis_-_R_to_Y/His_Holiness_Radhanath_Swami/Lectures/00_-_Year_wise/Devotional_Nectar_-_2004/More/2004-08-28_SB_03-16-09_-_Radhanath_Swami_San_Casciano.mp3", "2004-08-28_SB_03-16-09_-_Radhanath_Swami_San_Casciano.mp3")</f>
        <v>2004-08-28_SB_03-16-09_-_Radhanath_Swami_San_Casciano.mp3</v>
      </c>
      <c r="D1942" s="11"/>
      <c r="E1942" s="11"/>
    </row>
    <row r="1943" spans="1:5">
      <c r="A1943" s="12" t="s">
        <v>12462</v>
      </c>
      <c r="B1943" s="12" t="s">
        <v>14819</v>
      </c>
      <c r="C1943" s="13" t="str">
        <f>HYPERLINK("https://audio.iskcondesiretree.com/02_-_ISKCON_Swamis/ISKCON_Swamis_-_R_to_Y/His_Holiness_Radhanath_Swami/Lectures/00_-_Year_wise/Devotional_Nectar_-_2004/More/2004-08-30_Various_-_Lord_CM_could_be_understood_by_those_who_recieved_his_Special_Mercy.mp3", "2004-08-30_Various_-_Lord_CM_could_be_understood_by_those_who_recieved_his_Special_Mercy.mp3")</f>
        <v>2004-08-30_Various_-_Lord_CM_could_be_understood_by_those_who_recieved_his_Special_Mercy.mp3</v>
      </c>
      <c r="D1943" s="11"/>
      <c r="E1943" s="11"/>
    </row>
    <row r="1944" spans="1:5">
      <c r="A1944" s="12" t="s">
        <v>12462</v>
      </c>
      <c r="B1944" s="12" t="s">
        <v>14820</v>
      </c>
      <c r="C1944" s="13" t="str">
        <f>HYPERLINK("https://audio.iskcondesiretree.com/02_-_ISKCON_Swamis/ISKCON_Swamis_-_R_to_Y/His_Holiness_Radhanath_Swami/Lectures/00_-_Year_wise/Devotional_Nectar_-_2004/More/2004-08-31_Various_-_Chant_the_holy_names_with_the_Holy_Scriptures_-_Radhanath_Swami_Nepi.mp3", "2004-08-31_Various_-_Chant_the_holy_names_with_the_Holy_Scriptures_-_Radhanath_Swami_Nepi.mp3")</f>
        <v>2004-08-31_Various_-_Chant_the_holy_names_with_the_Holy_Scriptures_-_Radhanath_Swami_Nepi.mp3</v>
      </c>
      <c r="D1944" s="11"/>
      <c r="E1944" s="11"/>
    </row>
    <row r="1945" spans="1:5">
      <c r="A1945" s="12" t="s">
        <v>12462</v>
      </c>
      <c r="B1945" s="12" t="s">
        <v>14821</v>
      </c>
      <c r="C1945" s="13" t="str">
        <f>HYPERLINK("https://audio.iskcondesiretree.com/02_-_ISKCON_Swamis/ISKCON_Swamis_-_R_to_Y/His_Holiness_Radhanath_Swami/Lectures/00_-_Year_wise/Devotional_Nectar_-_2004/More/2004-09-01_Various_-_Story_of_Sukhdev_Goswami_-_Radhanath_Swami_Nepi.mp3", "2004-09-01_Various_-_Story_of_Sukhdev_Goswami_-_Radhanath_Swami_Nepi.mp3")</f>
        <v>2004-09-01_Various_-_Story_of_Sukhdev_Goswami_-_Radhanath_Swami_Nepi.mp3</v>
      </c>
      <c r="D1945" s="11"/>
      <c r="E1945" s="11"/>
    </row>
    <row r="1946" spans="1:5">
      <c r="A1946" s="12" t="s">
        <v>12462</v>
      </c>
      <c r="B1946" s="12" t="s">
        <v>14822</v>
      </c>
      <c r="C1946" s="13" t="str">
        <f>HYPERLINK("https://audio.iskcondesiretree.com/02_-_ISKCON_Swamis/ISKCON_Swamis_-_R_to_Y/His_Holiness_Radhanath_Swami/Lectures/00_-_Year_wise/Devotional_Nectar_-_2004/More/2004-09-01_Various_-_The_Story_of_Dorothy_-_Radhanath_Swami_Nepi.mp3", "2004-09-01_Various_-_The_Story_of_Dorothy_-_Radhanath_Swami_Nepi.mp3")</f>
        <v>2004-09-01_Various_-_The_Story_of_Dorothy_-_Radhanath_Swami_Nepi.mp3</v>
      </c>
      <c r="D1946" s="11"/>
      <c r="E1946" s="11"/>
    </row>
    <row r="1947" spans="1:5">
      <c r="A1947" s="12" t="s">
        <v>12462</v>
      </c>
      <c r="B1947" s="12" t="s">
        <v>14823</v>
      </c>
      <c r="C1947" s="13" t="str">
        <f>HYPERLINK("https://audio.iskcondesiretree.com/02_-_ISKCON_Swamis/ISKCON_Swamis_-_R_to_Y/His_Holiness_Radhanath_Swami/Lectures/00_-_Year_wise/Devotional_Nectar_-_2004/VOL_01/01_The_Art_of_Tolerance_Prerana_Mumbai_-_Radhanath_Swami_2004-01-15_IDesireTree.mp3", "01_The_Art_of_Tolerance_Prerana_Mumbai_-_Radhanath_Swami_2004-01-15_IDesireTree.mp3")</f>
        <v>01_The_Art_of_Tolerance_Prerana_Mumbai_-_Radhanath_Swami_2004-01-15_IDesireTree.mp3</v>
      </c>
      <c r="D1947" s="11"/>
      <c r="E1947" s="11"/>
    </row>
    <row r="1948" spans="1:5">
      <c r="A1948" s="12" t="s">
        <v>12462</v>
      </c>
      <c r="B1948" s="12" t="s">
        <v>14824</v>
      </c>
      <c r="C1948" s="13" t="str">
        <f>HYPERLINK("https://audio.iskcondesiretree.com/02_-_ISKCON_Swamis/ISKCON_Swamis_-_R_to_Y/His_Holiness_Radhanath_Swami/Lectures/00_-_Year_wise/Devotional_Nectar_-_2004/VOL_01/02_The_Appearance_%26_Pastimes_of_Lord_Jagannath_Rath_Yatra_Mumbai_-_16-01-04_IDesireTree.mp3", "02_The_Appearance_%26_Pastimes_of_Lord_Jagannath_Rath_Yatra_Mumbai_-_16-01-04_IDesireTree.mp3")</f>
        <v>02_The_Appearance_%26_Pastimes_of_Lord_Jagannath_Rath_Yatra_Mumbai_-_16-01-04_IDesireTree.mp3</v>
      </c>
      <c r="D1948" s="11"/>
      <c r="E1948" s="11"/>
    </row>
    <row r="1949" spans="1:5">
      <c r="A1949" s="12" t="s">
        <v>12462</v>
      </c>
      <c r="B1949" s="12" t="s">
        <v>14825</v>
      </c>
      <c r="C1949" s="13" t="str">
        <f>HYPERLINK("https://audio.iskcondesiretree.com/02_-_ISKCON_Swamis/ISKCON_Swamis_-_R_to_Y/His_Holiness_Radhanath_Swami/Lectures/00_-_Year_wise/Devotional_Nectar_-_2004/VOL_01/03_Becoming_Instrument_of_Real_Compassion_SB-04_27_11_Mumbai_-_17-01-04_IDesireTree.mp3", "03_Becoming_Instrument_of_Real_Compassion_SB-04_27_11_Mumbai_-_17-01-04_IDesireTree.mp3")</f>
        <v>03_Becoming_Instrument_of_Real_Compassion_SB-04_27_11_Mumbai_-_17-01-04_IDesireTree.mp3</v>
      </c>
      <c r="D1949" s="11"/>
      <c r="E1949" s="11"/>
    </row>
    <row r="1950" spans="1:5">
      <c r="A1950" s="12" t="s">
        <v>12462</v>
      </c>
      <c r="B1950" s="12" t="s">
        <v>14826</v>
      </c>
      <c r="C1950" s="13" t="str">
        <f>HYPERLINK("https://audio.iskcondesiretree.com/02_-_ISKCON_Swamis/ISKCON_Swamis_-_R_to_Y/His_Holiness_Radhanath_Swami/Lectures/00_-_Year_wise/Devotional_Nectar_-_2004/VOL_01/04_Maintaining_Our_Integrity_in_All_Circumstances_Lecture_Mumbai_-_17-01-04_IDesireTree.mp3", "04_Maintaining_Our_Integrity_in_All_Circumstances_Lecture_Mumbai_-_17-01-04_IDesireTree.mp3")</f>
        <v>04_Maintaining_Our_Integrity_in_All_Circumstances_Lecture_Mumbai_-_17-01-04_IDesireTree.mp3</v>
      </c>
      <c r="D1950" s="11"/>
      <c r="E1950" s="11"/>
    </row>
    <row r="1951" spans="1:5">
      <c r="A1951" s="12" t="s">
        <v>12462</v>
      </c>
      <c r="B1951" s="12" t="e">
        <v>#VALUE!</v>
      </c>
      <c r="C1951" s="13" t="e">
        <f>HYPERLINK("https://audio.iskcondesiretree.com/02_-_ISKCON_Swamis/ISKCON_Swamis_-_R_to_Y/His_Holiness_Radhanath_Swami/Lectures/00_-_Year_wise/Devotional_Nectar_-_2004/VOL_01/05_Hearing_Krishna%27s_Glories_Assures_Ultimate_Perfection_Sunday_Feast_Mumbai_-_18-01-04_IDe"&amp;"sireTree.mp3", "05_Hearing_Krishna%27s_Glories_Assures_Ultimate_Perfection_Sunday_Feast_Mumbai_-_18-01-04_IDesireTree.mp3")</f>
        <v>#VALUE!</v>
      </c>
      <c r="D1951" s="11"/>
      <c r="E1951" s="11"/>
    </row>
    <row r="1952" spans="1:5">
      <c r="A1952" s="12" t="s">
        <v>12462</v>
      </c>
      <c r="B1952" s="12" t="s">
        <v>14827</v>
      </c>
      <c r="C1952" s="13" t="str">
        <f>HYPERLINK("https://audio.iskcondesiretree.com/02_-_ISKCON_Swamis/ISKCON_Swamis_-_R_to_Y/His_Holiness_Radhanath_Swami/Lectures/00_-_Year_wise/Devotional_Nectar_-_2004/VOL_01/06_Knowing_Our_Real_Shelter_LNHO_Address_Mumbai_-_Radhanath_Swami_2004-01-28_IDesireTree.mp3", "06_Knowing_Our_Real_Shelter_LNHO_Address_Mumbai_-_Radhanath_Swami_2004-01-28_IDesireTree.mp3")</f>
        <v>06_Knowing_Our_Real_Shelter_LNHO_Address_Mumbai_-_Radhanath_Swami_2004-01-28_IDesireTree.mp3</v>
      </c>
      <c r="D1952" s="11"/>
      <c r="E1952" s="11"/>
    </row>
    <row r="1953" spans="1:5">
      <c r="A1953" s="12" t="s">
        <v>12462</v>
      </c>
      <c r="B1953" s="12" t="e">
        <v>#VALUE!</v>
      </c>
      <c r="C1953" s="13" t="e">
        <f>HYPERLINK("https://audio.iskcondesiretree.com/02_-_ISKCON_Swamis/ISKCON_Swamis_-_R_to_Y/His_Holiness_Radhanath_Swami/Lectures/00_-_Year_wise/Devotional_Nectar_-_2004/VOL_01/07_Simply_Love_%26_Devotion_Pushya_Abhishek_Mumbai_-_Radhanath_Swami_2004-01-29_IDesireTree.m"&amp;"p3", "07_Simply_Love_%26_Devotion_Pushya_Abhishek_Mumbai_-_Radhanath_Swami_2004-01-29_IDesireTree.mp3")</f>
        <v>#VALUE!</v>
      </c>
      <c r="D1953" s="11"/>
      <c r="E1953" s="11"/>
    </row>
    <row r="1954" spans="1:5">
      <c r="A1954" s="12" t="s">
        <v>12462</v>
      </c>
      <c r="B1954" s="12" t="s">
        <v>14828</v>
      </c>
      <c r="C1954" s="13" t="str">
        <f>HYPERLINK("https://audio.iskcondesiretree.com/02_-_ISKCON_Swamis/ISKCON_Swamis_-_R_to_Y/His_Holiness_Radhanath_Swami/Lectures/00_-_Year_wise/Devotional_Nectar_-_2004/VOL_01/08_Overcoming_The_Influence_of_Time_SB-4_27_24_Mumbai_-_31-01-04_IDesireTree.mp3", "08_Overcoming_The_Influence_of_Time_SB-4_27_24_Mumbai_-_31-01-04_IDesireTree.mp3")</f>
        <v>08_Overcoming_The_Influence_of_Time_SB-4_27_24_Mumbai_-_31-01-04_IDesireTree.mp3</v>
      </c>
      <c r="D1954" s="11"/>
      <c r="E1954" s="11"/>
    </row>
    <row r="1955" spans="1:5">
      <c r="A1955" s="12" t="s">
        <v>12462</v>
      </c>
      <c r="B1955" s="12" t="e">
        <v>#VALUE!</v>
      </c>
      <c r="C1955" s="13" t="e">
        <f>HYPERLINK("https://audio.iskcondesiretree.com/02_-_ISKCON_Swamis/ISKCON_Swamis_-_R_to_Y/His_Holiness_Radhanath_Swami/Lectures/00_-_Year_wise/Devotional_Nectar_-_2004/VOL_01/09_Sripad_Ramanujacarya-_The_Embodiment_of_Compassion_Sunday_Feast_Mumbai_-_01-02-04_IDesireT"&amp;"ree.mp3", "09_Sripad_Ramanujacarya-_The_Embodiment_of_Compassion_Sunday_Feast_Mumbai_-_01-02-04_IDesireTree.mp3")</f>
        <v>#VALUE!</v>
      </c>
      <c r="D1955" s="11"/>
      <c r="E1955" s="11"/>
    </row>
    <row r="1956" spans="1:5">
      <c r="A1956" s="12" t="s">
        <v>12462</v>
      </c>
      <c r="B1956" s="12" t="s">
        <v>14829</v>
      </c>
      <c r="C1956" s="13" t="str">
        <f>HYPERLINK("https://audio.iskcondesiretree.com/02_-_ISKCON_Swamis/ISKCON_Swamis_-_R_to_Y/His_Holiness_Radhanath_Swami/Lectures/00_-_Year_wise/Devotional_Nectar_-_2004/VOL_02/01_Awakening_Our_Transcendental_Love_for_Krishna_Lecture_Mumbai_-_03-02-04_IDesireTree.mp3", "01_Awakening_Our_Transcendental_Love_for_Krishna_Lecture_Mumbai_-_03-02-04_IDesireTree.mp3")</f>
        <v>01_Awakening_Our_Transcendental_Love_for_Krishna_Lecture_Mumbai_-_03-02-04_IDesireTree.mp3</v>
      </c>
      <c r="D1956" s="11"/>
      <c r="E1956" s="11"/>
    </row>
    <row r="1957" spans="1:5">
      <c r="A1957" s="12" t="s">
        <v>12462</v>
      </c>
      <c r="B1957" s="12" t="e">
        <v>#VALUE!</v>
      </c>
      <c r="C1957" s="13" t="e">
        <f>HYPERLINK("https://audio.iskcondesiretree.com/02_-_ISKCON_Swamis/ISKCON_Swamis_-_R_to_Y/His_Holiness_Radhanath_Swami/Lectures/00_-_Year_wise/Devotional_Nectar_-_2004/VOL_02/02_Nityananda_Trayodasi_Lecture_HH_Niranjan_Maharaj_HH_Devamrita_Maharaj_Mumbai_-_04-02-04_ID"&amp;"esireTree.mp3", "02_Nityananda_Trayodasi_Lecture_HH_Niranjan_Maharaj_HH_Devamrita_Maharaj_Mumbai_-_04-02-04_IDesireTree.mp3")</f>
        <v>#VALUE!</v>
      </c>
      <c r="D1957" s="11"/>
      <c r="E1957" s="11"/>
    </row>
    <row r="1958" spans="1:5">
      <c r="A1958" s="12" t="s">
        <v>12462</v>
      </c>
      <c r="B1958" s="12" t="e">
        <v>#VALUE!</v>
      </c>
      <c r="C1958" s="13" t="e">
        <f>HYPERLINK("https://audio.iskcondesiretree.com/02_-_ISKCON_Swamis/ISKCON_Swamis_-_R_to_Y/His_Holiness_Radhanath_Swami/Lectures/00_-_Year_wise/Devotional_Nectar_-_2004/VOL_02/05_Lessons_From_The_Glorious_Departure_of_Parikshit_Maharaj_SB-01_16_02_Vrndavan_-_08-02-04_I"&amp;"DesireTree.mp3", "05_Lessons_From_The_Glorious_Departure_of_Parikshit_Maharaj_SB-01_16_02_Vrndavan_-_08-02-04_IDesireTree.mp3")</f>
        <v>#VALUE!</v>
      </c>
      <c r="D1958" s="11"/>
      <c r="E1958" s="11"/>
    </row>
    <row r="1959" spans="1:5">
      <c r="A1959" s="12" t="s">
        <v>12462</v>
      </c>
      <c r="B1959" s="12" t="s">
        <v>14830</v>
      </c>
      <c r="C1959" s="13" t="str">
        <f>HYPERLINK("https://audio.iskcondesiretree.com/02_-_ISKCON_Swamis/ISKCON_Swamis_-_R_to_Y/His_Holiness_Radhanath_Swami/Lectures/00_-_Year_wise/Devotional_Nectar_-_2004/VOL_02/06_Cultivating_Our_Attachment_Towards_Krsna_SB-04_28_16_Mumbai_-_28-02-04_IDesireTree.mp3", "06_Cultivating_Our_Attachment_Towards_Krsna_SB-04_28_16_Mumbai_-_28-02-04_IDesireTree.mp3")</f>
        <v>06_Cultivating_Our_Attachment_Towards_Krsna_SB-04_28_16_Mumbai_-_28-02-04_IDesireTree.mp3</v>
      </c>
      <c r="D1959" s="11"/>
      <c r="E1959" s="11"/>
    </row>
    <row r="1960" spans="1:5">
      <c r="A1960" s="12" t="s">
        <v>12462</v>
      </c>
      <c r="B1960" s="12" t="s">
        <v>14831</v>
      </c>
      <c r="C1960" s="13" t="str">
        <f>HYPERLINK("https://audio.iskcondesiretree.com/02_-_ISKCON_Swamis/ISKCON_Swamis_-_R_to_Y/His_Holiness_Radhanath_Swami/Lectures/00_-_Year_wise/Devotional_Nectar_-_2004/VOL_02/07_The_Art_Of_Self_Confidence_Prerana_Mumbai_-_Radhanath_Swami_2004-02-28_IDesireTree.mp3", "07_The_Art_Of_Self_Confidence_Prerana_Mumbai_-_Radhanath_Swami_2004-02-28_IDesireTree.mp3")</f>
        <v>07_The_Art_Of_Self_Confidence_Prerana_Mumbai_-_Radhanath_Swami_2004-02-28_IDesireTree.mp3</v>
      </c>
      <c r="D1960" s="11"/>
      <c r="E1960" s="11"/>
    </row>
    <row r="1961" spans="1:5">
      <c r="A1961" s="12" t="s">
        <v>12462</v>
      </c>
      <c r="B1961" s="12" t="s">
        <v>14832</v>
      </c>
      <c r="C1961" s="13" t="str">
        <f>HYPERLINK("https://audio.iskcondesiretree.com/02_-_ISKCON_Swamis/ISKCON_Swamis_-_R_to_Y/His_Holiness_Radhanath_Swami/Lectures/00_-_Year_wise/Devotional_Nectar_-_2004/VOL_02/08_Investing_Time_In_Truth_%26_Eternity_SB-04_28_17_Mumbai_-_29-02-04_IDesireTree.mp3", "08_Investing_Time_In_Truth_%26_Eternity_SB-04_28_17_Mumbai_-_29-02-04_IDesireTree.mp3")</f>
        <v>08_Investing_Time_In_Truth_%26_Eternity_SB-04_28_17_Mumbai_-_29-02-04_IDesireTree.mp3</v>
      </c>
      <c r="D1961" s="11"/>
      <c r="E1961" s="11"/>
    </row>
    <row r="1962" spans="1:5">
      <c r="A1962" s="12" t="s">
        <v>12462</v>
      </c>
      <c r="B1962" s="12" t="s">
        <v>14833</v>
      </c>
      <c r="C1962" s="13" t="str">
        <f>HYPERLINK("https://audio.iskcondesiretree.com/02_-_ISKCON_Swamis/ISKCON_Swamis_-_R_to_Y/His_Holiness_Radhanath_Swami/Lectures/00_-_Year_wise/Devotional_Nectar_-_2004/VOL_02/09_Following_in_the_Footsteps_of_Great_Souls_Sunday_Feast_Mumbai_-_29-02-04_IDesireTree.mp3", "09_Following_in_the_Footsteps_of_Great_Souls_Sunday_Feast_Mumbai_-_29-02-04_IDesireTree.mp3")</f>
        <v>09_Following_in_the_Footsteps_of_Great_Souls_Sunday_Feast_Mumbai_-_29-02-04_IDesireTree.mp3</v>
      </c>
      <c r="D1962" s="11"/>
      <c r="E1962" s="11"/>
    </row>
    <row r="1963" spans="1:5">
      <c r="A1963" s="12" t="s">
        <v>12462</v>
      </c>
      <c r="B1963" s="12" t="e">
        <v>#VALUE!</v>
      </c>
      <c r="C1963" s="13" t="e">
        <f>HYPERLINK("https://audio.iskcondesiretree.com/02_-_ISKCON_Swamis/ISKCON_Swamis_-_R_to_Y/His_Holiness_Radhanath_Swami/Lectures/00_-_Year_wise/Devotional_Nectar_-_2004/VOL_02/10_Lord_Caitanya-_The_Supreme_Munificent_Gaur_Purnima_CC_ML-02_81_Mumbai_-_04-03-04_IDesireTr"&amp;"ee.mp3", "10_Lord_Caitanya-_The_Supreme_Munificent_Gaur_Purnima_CC_ML-02_81_Mumbai_-_04-03-04_IDesireTree.mp3")</f>
        <v>#VALUE!</v>
      </c>
      <c r="D1963" s="11"/>
      <c r="E1963" s="11"/>
    </row>
    <row r="1964" spans="1:5">
      <c r="A1964" s="12" t="s">
        <v>12462</v>
      </c>
      <c r="B1964" s="12" t="s">
        <v>14834</v>
      </c>
      <c r="C1964" s="13" t="str">
        <f>HYPERLINK("https://audio.iskcondesiretree.com/02_-_ISKCON_Swamis/ISKCON_Swamis_-_R_to_Y/His_Holiness_Radhanath_Swami/Lectures/00_-_Year_wise/Devotional_Nectar_-_2004/VOL_03/01_Srila_Prabhupada_Conquers_Russia_Gaur_Purnima_Mumbai_-_04-03-04_IDesireTree.mp3", "01_Srila_Prabhupada_Conquers_Russia_Gaur_Purnima_Mumbai_-_04-03-04_IDesireTree.mp3")</f>
        <v>01_Srila_Prabhupada_Conquers_Russia_Gaur_Purnima_Mumbai_-_04-03-04_IDesireTree.mp3</v>
      </c>
      <c r="D1964" s="11"/>
      <c r="E1964" s="11"/>
    </row>
    <row r="1965" spans="1:5">
      <c r="A1965" s="12" t="s">
        <v>12462</v>
      </c>
      <c r="B1965" s="12" t="s">
        <v>14835</v>
      </c>
      <c r="C1965" s="13" t="str">
        <f>HYPERLINK("https://audio.iskcondesiretree.com/02_-_ISKCON_Swamis/ISKCON_Swamis_-_R_to_Y/His_Holiness_Radhanath_Swami/Lectures/00_-_Year_wise/Devotional_Nectar_-_2004/VOL_03/02_Lord_Caitanya-_The_Most_Magnanimous-I_Gaur_Purnima_Mumbai_-_05-03-04_IDesireTree.mp3", "02_Lord_Caitanya-_The_Most_Magnanimous-I_Gaur_Purnima_Mumbai_-_05-03-04_IDesireTree.mp3")</f>
        <v>02_Lord_Caitanya-_The_Most_Magnanimous-I_Gaur_Purnima_Mumbai_-_05-03-04_IDesireTree.mp3</v>
      </c>
      <c r="D1965" s="11"/>
      <c r="E1965" s="11"/>
    </row>
    <row r="1966" spans="1:5">
      <c r="A1966" s="12" t="s">
        <v>12462</v>
      </c>
      <c r="B1966" s="12" t="s">
        <v>14836</v>
      </c>
      <c r="C1966" s="13" t="str">
        <f>HYPERLINK("https://audio.iskcondesiretree.com/02_-_ISKCON_Swamis/ISKCON_Swamis_-_R_to_Y/His_Holiness_Radhanath_Swami/Lectures/00_-_Year_wise/Devotional_Nectar_-_2004/VOL_03/03_Lord_Caitanya_-The_Most_Magnanimous-II_Gaur_Purnima_Mumbai_-_05-03-04_IDesireTree.mp3", "03_Lord_Caitanya_-The_Most_Magnanimous-II_Gaur_Purnima_Mumbai_-_05-03-04_IDesireTree.mp3")</f>
        <v>03_Lord_Caitanya_-The_Most_Magnanimous-II_Gaur_Purnima_Mumbai_-_05-03-04_IDesireTree.mp3</v>
      </c>
      <c r="D1966" s="11"/>
      <c r="E1966" s="11"/>
    </row>
    <row r="1967" spans="1:5">
      <c r="A1967" s="12" t="s">
        <v>12462</v>
      </c>
      <c r="B1967" s="12" t="s">
        <v>14837</v>
      </c>
      <c r="C1967" s="13" t="str">
        <f>HYPERLINK("https://audio.iskcondesiretree.com/02_-_ISKCON_Swamis/ISKCON_Swamis_-_R_to_Y/His_Holiness_Radhanath_Swami/Lectures/00_-_Year_wise/Devotional_Nectar_-_2004/VOL_03/04_Lord_Caitanya%27s_Tour_of_South_India_Gaur_Purnima_Mumbai_-_05-03-04_IDesireTree.mp3", "04_Lord_Caitanya%27s_Tour_of_South_India_Gaur_Purnima_Mumbai_-_05-03-04_IDesireTree.mp3")</f>
        <v>04_Lord_Caitanya%27s_Tour_of_South_India_Gaur_Purnima_Mumbai_-_05-03-04_IDesireTree.mp3</v>
      </c>
      <c r="D1967" s="11"/>
      <c r="E1967" s="11"/>
    </row>
    <row r="1968" spans="1:5">
      <c r="A1968" s="12" t="s">
        <v>12462</v>
      </c>
      <c r="B1968" s="12" t="e">
        <v>#VALUE!</v>
      </c>
      <c r="C1968" s="13" t="e">
        <f>HYPERLINK("https://audio.iskcondesiretree.com/02_-_ISKCON_Swamis/ISKCON_Swamis_-_R_to_Y/His_Holiness_Radhanath_Swami/Lectures/00_-_Year_wise/Devotional_Nectar_-_2004/VOL_03/05_Lord_Caitanya%E2%80%99s_Childhood_Pastimes-I_Gaur_Purnima_Mumbai_-_06-03-04_IDesireTree.mp"&amp;"3", "05_Lord_Caitanya%E2%80%99s_Childhood_Pastimes-I_Gaur_Purnima_Mumbai_-_06-03-04_IDesireTree.mp3")</f>
        <v>#VALUE!</v>
      </c>
      <c r="D1968" s="11"/>
      <c r="E1968" s="11"/>
    </row>
    <row r="1969" spans="1:5">
      <c r="A1969" s="12" t="s">
        <v>12462</v>
      </c>
      <c r="B1969" s="12" t="e">
        <v>#VALUE!</v>
      </c>
      <c r="C1969" s="13" t="e">
        <f>HYPERLINK("https://audio.iskcondesiretree.com/02_-_ISKCON_Swamis/ISKCON_Swamis_-_R_to_Y/His_Holiness_Radhanath_Swami/Lectures/00_-_Year_wise/Devotional_Nectar_-_2004/VOL_03/06_Lord_Caitanya%E2%80%99s_Childhood_Pastimes-II_Gaur_Purnima_Mumbai_-_06-03-04_IDesireTree.m"&amp;"p3", "06_Lord_Caitanya%E2%80%99s_Childhood_Pastimes-II_Gaur_Purnima_Mumbai_-_06-03-04_IDesireTree.mp3")</f>
        <v>#VALUE!</v>
      </c>
      <c r="D1969" s="11"/>
      <c r="E1969" s="11"/>
    </row>
    <row r="1970" spans="1:5">
      <c r="A1970" s="12" t="s">
        <v>12462</v>
      </c>
      <c r="B1970" s="12" t="e">
        <v>#VALUE!</v>
      </c>
      <c r="C1970" s="13" t="e">
        <f>HYPERLINK("https://audio.iskcondesiretree.com/02_-_ISKCON_Swamis/ISKCON_Swamis_-_R_to_Y/His_Holiness_Radhanath_Swami/Lectures/00_-_Year_wise/Devotional_Nectar_-_2004/VOL_03/07_Lord_Caitanya%E2%80%99s_Childhood_Pastimes-III_Gaur_Purnima_Mumbai_-_06-03-04_IDesireTree."&amp;"mp3", "07_Lord_Caitanya%E2%80%99s_Childhood_Pastimes-III_Gaur_Purnima_Mumbai_-_06-03-04_IDesireTree.mp3")</f>
        <v>#VALUE!</v>
      </c>
      <c r="D1970" s="11"/>
      <c r="E1970" s="11"/>
    </row>
    <row r="1971" spans="1:5">
      <c r="A1971" s="12" t="s">
        <v>12462</v>
      </c>
      <c r="B1971" s="12" t="e">
        <v>#VALUE!</v>
      </c>
      <c r="C1971" s="13" t="e">
        <f>HYPERLINK("https://audio.iskcondesiretree.com/02_-_ISKCON_Swamis/ISKCON_Swamis_-_R_to_Y/His_Holiness_Radhanath_Swami/Lectures/00_-_Year_wise/Devotional_Nectar_-_2004/VOL_03/08_Narottama_Das_Thakur_The_Pioneer_of_Gaur_Purnima_Festival_Gaur_Purnima_Mumbai_-_06-03-04_I"&amp;"DesireTree.mp3", "08_Narottama_Das_Thakur_The_Pioneer_of_Gaur_Purnima_Festival_Gaur_Purnima_Mumbai_-_06-03-04_IDesireTree.mp3")</f>
        <v>#VALUE!</v>
      </c>
      <c r="D1971" s="11"/>
      <c r="E1971" s="11"/>
    </row>
    <row r="1972" spans="1:5">
      <c r="A1972" s="12" t="s">
        <v>12462</v>
      </c>
      <c r="B1972" s="12" t="s">
        <v>14838</v>
      </c>
      <c r="C1972" s="13" t="str">
        <f>HYPERLINK("https://audio.iskcondesiretree.com/02_-_ISKCON_Swamis/ISKCON_Swamis_-_R_to_Y/His_Holiness_Radhanath_Swami/Lectures/00_-_Year_wise/Devotional_Nectar_-_2004/VOL_04/01_Balancing_Grhastha_Life_With_Spiritual_Life_Lecture_Mumbai_-_12-03-04_IDesireTree.mp3", "01_Balancing_Grhastha_Life_With_Spiritual_Life_Lecture_Mumbai_-_12-03-04_IDesireTree.mp3")</f>
        <v>01_Balancing_Grhastha_Life_With_Spiritual_Life_Lecture_Mumbai_-_12-03-04_IDesireTree.mp3</v>
      </c>
      <c r="D1972" s="11"/>
      <c r="E1972" s="11"/>
    </row>
    <row r="1973" spans="1:5">
      <c r="A1973" s="12" t="s">
        <v>12462</v>
      </c>
      <c r="B1973" s="12" t="e">
        <v>#VALUE!</v>
      </c>
      <c r="C1973" s="13" t="e">
        <f>HYPERLINK("https://audio.iskcondesiretree.com/02_-_ISKCON_Swamis/ISKCON_Swamis_-_R_to_Y/His_Holiness_Radhanath_Swami/Lectures/00_-_Year_wise/Devotional_Nectar_-_2004/VOL_04/02_Selfless_Service_Attitude-_An_Expression_of_Real_Love_SB-04_28_24_Mumbai_-_13-03-04_IDesir"&amp;"eTree.mp3", "02_Selfless_Service_Attitude-_An_Expression_of_Real_Love_SB-04_28_24_Mumbai_-_13-03-04_IDesireTree.mp3")</f>
        <v>#VALUE!</v>
      </c>
      <c r="D1973" s="11"/>
      <c r="E1973" s="11"/>
    </row>
    <row r="1974" spans="1:5">
      <c r="A1974" s="12" t="s">
        <v>12462</v>
      </c>
      <c r="B1974" s="12" t="s">
        <v>14839</v>
      </c>
      <c r="C1974" s="13" t="str">
        <f>HYPERLINK("https://audio.iskcondesiretree.com/02_-_ISKCON_Swamis/ISKCON_Swamis_-_R_to_Y/His_Holiness_Radhanath_Swami/Lectures/00_-_Year_wise/Devotional_Nectar_-_2004/VOL_04/03_Identity_Crisis_Chetana_Mumbai_-_Radhanath_Swami_2004-03-13_IDesireTree.mp3", "03_Identity_Crisis_Chetana_Mumbai_-_Radhanath_Swami_2004-03-13_IDesireTree.mp3")</f>
        <v>03_Identity_Crisis_Chetana_Mumbai_-_Radhanath_Swami_2004-03-13_IDesireTree.mp3</v>
      </c>
      <c r="D1974" s="11"/>
      <c r="E1974" s="11"/>
    </row>
    <row r="1975" spans="1:5">
      <c r="A1975" s="12" t="s">
        <v>12462</v>
      </c>
      <c r="B1975" s="12" t="s">
        <v>14840</v>
      </c>
      <c r="C1975" s="13" t="str">
        <f>HYPERLINK("https://audio.iskcondesiretree.com/02_-_ISKCON_Swamis/ISKCON_Swamis_-_R_to_Y/His_Holiness_Radhanath_Swami/Lectures/00_-_Year_wise/Devotional_Nectar_-_2004/VOL_04/04_HH_Sridhar_Maharaj-_Srila_Prabhupad%27s_Man_Sunday_Feast_Mumbai_-_14-03-04_IDesireTree.mp3", "04_HH_Sridhar_Maharaj-_Srila_Prabhupad%27s_Man_Sunday_Feast_Mumbai_-_14-03-04_IDesireTree.mp3")</f>
        <v>04_HH_Sridhar_Maharaj-_Srila_Prabhupad%27s_Man_Sunday_Feast_Mumbai_-_14-03-04_IDesireTree.mp3</v>
      </c>
      <c r="D1975" s="11"/>
      <c r="E1975" s="11"/>
    </row>
    <row r="1976" spans="1:5">
      <c r="A1976" s="12" t="s">
        <v>12462</v>
      </c>
      <c r="B1976" s="12" t="s">
        <v>14841</v>
      </c>
      <c r="C1976" s="13" t="str">
        <f>HYPERLINK("https://audio.iskcondesiretree.com/02_-_ISKCON_Swamis/ISKCON_Swamis_-_R_to_Y/His_Holiness_Radhanath_Swami/Lectures/00_-_Year_wise/Devotional_Nectar_-_2004/VOL_04/05_The_Power_of_Bhakti_Lecture_Mumbai_-_Radhanath_Swami_2004-03-15_IDesireTree.mp3", "05_The_Power_of_Bhakti_Lecture_Mumbai_-_Radhanath_Swami_2004-03-15_IDesireTree.mp3")</f>
        <v>05_The_Power_of_Bhakti_Lecture_Mumbai_-_Radhanath_Swami_2004-03-15_IDesireTree.mp3</v>
      </c>
      <c r="D1976" s="11"/>
      <c r="E1976" s="11"/>
    </row>
    <row r="1977" spans="1:5">
      <c r="A1977" s="12" t="s">
        <v>12462</v>
      </c>
      <c r="B1977" s="12" t="s">
        <v>14842</v>
      </c>
      <c r="C1977" s="13" t="str">
        <f>HYPERLINK("https://audio.iskcondesiretree.com/02_-_ISKCON_Swamis/ISKCON_Swamis_-_R_to_Y/His_Holiness_Radhanath_Swami/Lectures/00_-_Year_wise/Devotional_Nectar_-_2004/VOL_04/06_Nimai_Accepts_Mendicant_Brahamana%27s_Offerings_Lecture_Mumbai_-_16-03-04_IDesireTree.mp3", "06_Nimai_Accepts_Mendicant_Brahamana%27s_Offerings_Lecture_Mumbai_-_16-03-04_IDesireTree.mp3")</f>
        <v>06_Nimai_Accepts_Mendicant_Brahamana%27s_Offerings_Lecture_Mumbai_-_16-03-04_IDesireTree.mp3</v>
      </c>
      <c r="D1977" s="11"/>
      <c r="E1977" s="11"/>
    </row>
    <row r="1978" spans="1:5">
      <c r="A1978" s="12" t="s">
        <v>12462</v>
      </c>
      <c r="B1978" s="12" t="s">
        <v>14843</v>
      </c>
      <c r="C1978" s="13" t="str">
        <f>HYPERLINK("https://audio.iskcondesiretree.com/02_-_ISKCON_Swamis/ISKCON_Swamis_-_R_to_Y/His_Holiness_Radhanath_Swami/Lectures/00_-_Year_wise/Devotional_Nectar_-_2004/VOL_04/07_Reawakening_Our_Transcendental_Consciousness_SB-03_07_13_Mumbai_-_19-03-04_IDesireTree.mp3", "07_Reawakening_Our_Transcendental_Consciousness_SB-03_07_13_Mumbai_-_19-03-04_IDesireTree.mp3")</f>
        <v>07_Reawakening_Our_Transcendental_Consciousness_SB-03_07_13_Mumbai_-_19-03-04_IDesireTree.mp3</v>
      </c>
      <c r="D1978" s="11"/>
      <c r="E1978" s="11"/>
    </row>
    <row r="1979" spans="1:5">
      <c r="A1979" s="12" t="s">
        <v>12462</v>
      </c>
      <c r="B1979" s="12" t="s">
        <v>14844</v>
      </c>
      <c r="C1979" s="13" t="str">
        <f>HYPERLINK("https://audio.iskcondesiretree.com/02_-_ISKCON_Swamis/ISKCON_Swamis_-_R_to_Y/His_Holiness_Radhanath_Swami/Lectures/00_-_Year_wise/Devotional_Nectar_-_2004/VOL_04/08_Principles_of_Leadership_Seminar_Mumbai_-_Radhanath_Swami_2004-03-19_IDesireTree.mp3", "08_Principles_of_Leadership_Seminar_Mumbai_-_Radhanath_Swami_2004-03-19_IDesireTree.mp3")</f>
        <v>08_Principles_of_Leadership_Seminar_Mumbai_-_Radhanath_Swami_2004-03-19_IDesireTree.mp3</v>
      </c>
      <c r="D1979" s="11"/>
      <c r="E1979" s="11"/>
    </row>
    <row r="1980" spans="1:5">
      <c r="A1980" s="12" t="s">
        <v>12462</v>
      </c>
      <c r="B1980" s="12" t="e">
        <v>#VALUE!</v>
      </c>
      <c r="C1980" s="13" t="e">
        <f>HYPERLINK("https://audio.iskcondesiretree.com/02_-_ISKCON_Swamis/ISKCON_Swamis_-_R_to_Y/His_Holiness_Radhanath_Swami/Lectures/00_-_Year_wise/Devotional_Nectar_-_2004/VOL_04/09_How_Srila_Prabhupada_Established_Worldwide_Ratha_Yatra_Rath_Yatra_Pune_-_20-03-04_IDesireT"&amp;"ree.mp3", "09_How_Srila_Prabhupada_Established_Worldwide_Ratha_Yatra_Rath_Yatra_Pune_-_20-03-04_IDesireTree.mp3")</f>
        <v>#VALUE!</v>
      </c>
      <c r="D1980" s="11"/>
      <c r="E1980" s="11"/>
    </row>
    <row r="1981" spans="1:5">
      <c r="A1981" s="12" t="s">
        <v>12462</v>
      </c>
      <c r="B1981" s="12" t="s">
        <v>14845</v>
      </c>
      <c r="C1981" s="13" t="str">
        <f>HYPERLINK("https://audio.iskcondesiretree.com/02_-_ISKCON_Swamis/ISKCON_Swamis_-_R_to_Y/His_Holiness_Radhanath_Swami/Lectures/00_-_Year_wise/Devotional_Nectar_-_2004/VOL_04/10_We_Are_Always_Servants_Initiation_Lec_Pune_-_Radhanath_Swami_2004-03-21_IDesireTree.mp3", "10_We_Are_Always_Servants_Initiation_Lec_Pune_-_Radhanath_Swami_2004-03-21_IDesireTree.mp3")</f>
        <v>10_We_Are_Always_Servants_Initiation_Lec_Pune_-_Radhanath_Swami_2004-03-21_IDesireTree.mp3</v>
      </c>
      <c r="D1981" s="11"/>
      <c r="E1981" s="11"/>
    </row>
    <row r="1982" spans="1:5">
      <c r="A1982" s="12" t="s">
        <v>12462</v>
      </c>
      <c r="B1982" s="12" t="e">
        <v>#VALUE!</v>
      </c>
      <c r="C1982" s="13" t="e">
        <f>HYPERLINK("https://audio.iskcondesiretree.com/02_-_ISKCON_Swamis/ISKCON_Swamis_-_R_to_Y/His_Holiness_Radhanath_Swami/Lectures/00_-_Year_wise/Devotional_Nectar_-_2004/VOL_04/11_HH_Sridhar_Maharaj-_Embodiment_of_Selfless_Service_Lecture_Mumbai_-_27-03-04_IDesireTree.m"&amp;"p3", "11_HH_Sridhar_Maharaj-_Embodiment_of_Selfless_Service_Lecture_Mumbai_-_27-03-04_IDesireTree.mp3")</f>
        <v>#VALUE!</v>
      </c>
      <c r="D1982" s="11"/>
      <c r="E1982" s="11"/>
    </row>
    <row r="1983" spans="1:5">
      <c r="A1983" s="12" t="s">
        <v>12462</v>
      </c>
      <c r="B1983" s="12" t="s">
        <v>14846</v>
      </c>
      <c r="C1983" s="13" t="str">
        <f>HYPERLINK("https://audio.iskcondesiretree.com/02_-_ISKCON_Swamis/ISKCON_Swamis_-_R_to_Y/His_Holiness_Radhanath_Swami/Lectures/00_-_Year_wise/Devotional_Nectar_-_2004/VOL_04/12_Offering_To_HG_Saranagati_Mataji_Memorial_Offering_Mumbai_-_27-03-04_IDesireTree.mp3", "12_Offering_To_HG_Saranagati_Mataji_Memorial_Offering_Mumbai_-_27-03-04_IDesireTree.mp3")</f>
        <v>12_Offering_To_HG_Saranagati_Mataji_Memorial_Offering_Mumbai_-_27-03-04_IDesireTree.mp3</v>
      </c>
      <c r="D1983" s="11"/>
      <c r="E1983" s="11"/>
    </row>
    <row r="1984" spans="1:5">
      <c r="A1984" s="12" t="s">
        <v>12462</v>
      </c>
      <c r="B1984" s="12" t="e">
        <v>#VALUE!</v>
      </c>
      <c r="C1984" s="13" t="e">
        <f>HYPERLINK("https://audio.iskcondesiretree.com/02_-_ISKCON_Swamis/ISKCON_Swamis_-_R_to_Y/His_Holiness_Radhanath_Swami/Lectures/00_-_Year_wise/Devotional_Nectar_-_2004/VOL_04/13_Service_of_Vrajvasis_is_Obtained_Through_Causeless_Mercy_Lecture_Mumbai_-_28-03-04_IDesire"&amp;"Tree.mp3", "13_Service_of_Vrajvasis_is_Obtained_Through_Causeless_Mercy_Lecture_Mumbai_-_28-03-04_IDesireTree.mp3")</f>
        <v>#VALUE!</v>
      </c>
      <c r="D1984" s="11"/>
      <c r="E1984" s="11"/>
    </row>
    <row r="1985" spans="1:5">
      <c r="A1985" s="12" t="s">
        <v>12462</v>
      </c>
      <c r="B1985" s="12" t="s">
        <v>14847</v>
      </c>
      <c r="C1985" s="13" t="str">
        <f>HYPERLINK("https://audio.iskcondesiretree.com/02_-_ISKCON_Swamis/ISKCON_Swamis_-_R_to_Y/His_Holiness_Radhanath_Swami/Lectures/00_-_Year_wise/Devotional_Nectar_-_2004/VOL_05/01_Unity_is_Strength_Prerana_Mumbai_-_27-03-04_IDesireTree.mp3", "01_Unity_is_Strength_Prerana_Mumbai_-_27-03-04_IDesireTree.mp3")</f>
        <v>01_Unity_is_Strength_Prerana_Mumbai_-_27-03-04_IDesireTree.mp3</v>
      </c>
      <c r="D1985" s="11"/>
      <c r="E1985" s="11"/>
    </row>
    <row r="1986" spans="1:5">
      <c r="A1986" s="12" t="s">
        <v>12462</v>
      </c>
      <c r="B1986" s="12" t="e">
        <v>#VALUE!</v>
      </c>
      <c r="C1986" s="13" t="e">
        <f>HYPERLINK("https://audio.iskcondesiretree.com/02_-_ISKCON_Swamis/ISKCON_Swamis_-_R_to_Y/His_Holiness_Radhanath_Swami/Lectures/00_-_Year_wise/Devotional_Nectar_-_2004/VOL_05/02_Bhakti_The_Only_Means_To_Attain_Spiritual_Perfection_SB-04_28_38_Mumbai_-_28-03-04_IDesire"&amp;"Tree.mp3", "02_Bhakti_The_Only_Means_To_Attain_Spiritual_Perfection_SB-04_28_38_Mumbai_-_28-03-04_IDesireTree.mp3")</f>
        <v>#VALUE!</v>
      </c>
      <c r="D1986" s="11"/>
      <c r="E1986" s="11"/>
    </row>
    <row r="1987" spans="1:5">
      <c r="A1987" s="12" t="s">
        <v>12462</v>
      </c>
      <c r="B1987" s="12" t="s">
        <v>14848</v>
      </c>
      <c r="C1987" s="13" t="str">
        <f>HYPERLINK("https://audio.iskcondesiretree.com/02_-_ISKCON_Swamis/ISKCON_Swamis_-_R_to_Y/His_Holiness_Radhanath_Swami/Lectures/00_-_Year_wise/Devotional_Nectar_-_2004/VOL_05/03_Entering_The_Spiritual_Realm_Through_Faith_Sunday_Feast_Mumbai_-_28-03-04_IDesireTree.mp3", "03_Entering_The_Spiritual_Realm_Through_Faith_Sunday_Feast_Mumbai_-_28-03-04_IDesireTree.mp3")</f>
        <v>03_Entering_The_Spiritual_Realm_Through_Faith_Sunday_Feast_Mumbai_-_28-03-04_IDesireTree.mp3</v>
      </c>
      <c r="D1987" s="11"/>
      <c r="E1987" s="11"/>
    </row>
    <row r="1988" spans="1:5">
      <c r="A1988" s="12" t="s">
        <v>12462</v>
      </c>
      <c r="B1988" s="12" t="s">
        <v>14849</v>
      </c>
      <c r="C1988" s="13" t="str">
        <f>HYPERLINK("https://audio.iskcondesiretree.com/02_-_ISKCON_Swamis/ISKCON_Swamis_-_R_to_Y/His_Holiness_Radhanath_Swami/Lectures/00_-_Year_wise/Devotional_Nectar_-_2004/VOL_05/04_Taking_Vow_of_Dedication_%26_Service_Initiation_Lec_Mumbai_-_30-03-04_IDesireTree.mp3", "04_Taking_Vow_of_Dedication_%26_Service_Initiation_Lec_Mumbai_-_30-03-04_IDesireTree.mp3")</f>
        <v>04_Taking_Vow_of_Dedication_%26_Service_Initiation_Lec_Mumbai_-_30-03-04_IDesireTree.mp3</v>
      </c>
      <c r="D1988" s="11"/>
      <c r="E1988" s="11"/>
    </row>
    <row r="1989" spans="1:5">
      <c r="A1989" s="12" t="s">
        <v>12462</v>
      </c>
      <c r="B1989" s="12" t="s">
        <v>14850</v>
      </c>
      <c r="C1989" s="13" t="str">
        <f>HYPERLINK("https://audio.iskcondesiretree.com/02_-_ISKCON_Swamis/ISKCON_Swamis_-_R_to_Y/His_Holiness_Radhanath_Swami/Lectures/00_-_Year_wise/Devotional_Nectar_-_2004/VOL_05/05_Determination_of_Ahilya_Ram_Navami_Lec_Mumbai_-_30-03-04_IDesireTree.mp3", "05_Determination_of_Ahilya_Ram_Navami_Lec_Mumbai_-_30-03-04_IDesireTree.mp3")</f>
        <v>05_Determination_of_Ahilya_Ram_Navami_Lec_Mumbai_-_30-03-04_IDesireTree.mp3</v>
      </c>
      <c r="D1989" s="11"/>
      <c r="E1989" s="11"/>
    </row>
    <row r="1990" spans="1:5">
      <c r="A1990" s="12" t="s">
        <v>12462</v>
      </c>
      <c r="B1990" s="12" t="s">
        <v>14851</v>
      </c>
      <c r="C1990" s="13" t="str">
        <f>HYPERLINK("https://audio.iskcondesiretree.com/02_-_ISKCON_Swamis/ISKCON_Swamis_-_R_to_Y/His_Holiness_Radhanath_Swami/Lectures/00_-_Year_wise/Devotional_Nectar_-_2004/VOL_05/06_Ramayan-_The_Legend_of_Selfless_Pure_Devotion_Lecture_Mumbai_-_31-03-04_IDesireTree.mp3", "06_Ramayan-_The_Legend_of_Selfless_Pure_Devotion_Lecture_Mumbai_-_31-03-04_IDesireTree.mp3")</f>
        <v>06_Ramayan-_The_Legend_of_Selfless_Pure_Devotion_Lecture_Mumbai_-_31-03-04_IDesireTree.mp3</v>
      </c>
      <c r="D1990" s="11"/>
      <c r="E1990" s="11"/>
    </row>
    <row r="1991" spans="1:5">
      <c r="A1991" s="12" t="s">
        <v>12462</v>
      </c>
      <c r="B1991" s="12" t="s">
        <v>14852</v>
      </c>
      <c r="C1991" s="13" t="str">
        <f>HYPERLINK("https://audio.iskcondesiretree.com/02_-_ISKCON_Swamis/ISKCON_Swamis_-_R_to_Y/His_Holiness_Radhanath_Swami/Lectures/00_-_Year_wise/Devotional_Nectar_-_2004/VOL_05/07_Establishing_The_Spirit_of_Initiation_Initiation_Lec_Mumbai_-_02-04-04_IDesireTree.mp3", "07_Establishing_The_Spirit_of_Initiation_Initiation_Lec_Mumbai_-_02-04-04_IDesireTree.mp3")</f>
        <v>07_Establishing_The_Spirit_of_Initiation_Initiation_Lec_Mumbai_-_02-04-04_IDesireTree.mp3</v>
      </c>
      <c r="D1991" s="11"/>
      <c r="E1991" s="11"/>
    </row>
    <row r="1992" spans="1:5">
      <c r="A1992" s="12" t="s">
        <v>12462</v>
      </c>
      <c r="B1992" s="12" t="s">
        <v>14853</v>
      </c>
      <c r="C1992" s="13" t="str">
        <f>HYPERLINK("https://audio.iskcondesiretree.com/02_-_ISKCON_Swamis/ISKCON_Swamis_-_R_to_Y/His_Holiness_Radhanath_Swami/Lectures/00_-_Year_wise/Devotional_Nectar_-_2004/VOL_05/08_Aspiring_To_Serve_Birth_After_Birth_SB-04_30_33_Mumbai_-_04-09-04_IDesireTree.mp3", "08_Aspiring_To_Serve_Birth_After_Birth_SB-04_30_33_Mumbai_-_04-09-04_IDesireTree.mp3")</f>
        <v>08_Aspiring_To_Serve_Birth_After_Birth_SB-04_30_33_Mumbai_-_04-09-04_IDesireTree.mp3</v>
      </c>
      <c r="D1992" s="11"/>
      <c r="E1992" s="11"/>
    </row>
    <row r="1993" spans="1:5">
      <c r="A1993" s="12" t="s">
        <v>12462</v>
      </c>
      <c r="B1993" s="12" t="s">
        <v>14854</v>
      </c>
      <c r="C1993" s="13" t="str">
        <f>HYPERLINK("https://audio.iskcondesiretree.com/02_-_ISKCON_Swamis/ISKCON_Swamis_-_R_to_Y/His_Holiness_Radhanath_Swami/Lectures/00_-_Year_wise/Devotional_Nectar_-_2004/VOL_05/09_The_Immense_Value_of_Association_SB-04_30_34_Mumbai_-_05-09-04_IDesireTree.mp3", "09_The_Immense_Value_of_Association_SB-04_30_34_Mumbai_-_05-09-04_IDesireTree.mp3")</f>
        <v>09_The_Immense_Value_of_Association_SB-04_30_34_Mumbai_-_05-09-04_IDesireTree.mp3</v>
      </c>
      <c r="D1993" s="11"/>
      <c r="E1993" s="11"/>
    </row>
    <row r="1994" spans="1:5">
      <c r="A1994" s="12" t="s">
        <v>12462</v>
      </c>
      <c r="B1994" s="12" t="s">
        <v>14855</v>
      </c>
      <c r="C1994" s="13" t="str">
        <f>HYPERLINK("https://audio.iskcondesiretree.com/02_-_ISKCON_Swamis/ISKCON_Swamis_-_R_to_Y/His_Holiness_Radhanath_Swami/Lectures/00_-_Year_wise/Devotional_Nectar_-_2004/VOL_06/01_Unity_is_Strength_Prerana_Mumbai_-_Radhanath_Swami_2004-03-27_IDesireTree.mp3", "01_Unity_is_Strength_Prerana_Mumbai_-_Radhanath_Swami_2004-03-27_IDesireTree.mp3")</f>
        <v>01_Unity_is_Strength_Prerana_Mumbai_-_Radhanath_Swami_2004-03-27_IDesireTree.mp3</v>
      </c>
      <c r="D1994" s="11"/>
      <c r="E1994" s="11"/>
    </row>
    <row r="1995" spans="1:5">
      <c r="A1995" s="12" t="s">
        <v>12462</v>
      </c>
      <c r="B1995" s="12" t="e">
        <v>#VALUE!</v>
      </c>
      <c r="C1995" s="13" t="e">
        <f>HYPERLINK("https://audio.iskcondesiretree.com/02_-_ISKCON_Swamis/ISKCON_Swamis_-_R_to_Y/His_Holiness_Radhanath_Swami/Lectures/00_-_Year_wise/Devotional_Nectar_-_2004/VOL_06/02_Bhakti_The_Only_Means_To_Attain_Spiritual_Perfection_SB-04_28_38_Mumbai_-_28-03-04_IDesire"&amp;"Tree.mp3", "02_Bhakti_The_Only_Means_To_Attain_Spiritual_Perfection_SB-04_28_38_Mumbai_-_28-03-04_IDesireTree.mp3")</f>
        <v>#VALUE!</v>
      </c>
      <c r="D1995" s="11"/>
      <c r="E1995" s="11"/>
    </row>
    <row r="1996" spans="1:5">
      <c r="A1996" s="12" t="s">
        <v>12462</v>
      </c>
      <c r="B1996" s="12" t="s">
        <v>14848</v>
      </c>
      <c r="C1996" s="13" t="str">
        <f>HYPERLINK("https://audio.iskcondesiretree.com/02_-_ISKCON_Swamis/ISKCON_Swamis_-_R_to_Y/His_Holiness_Radhanath_Swami/Lectures/00_-_Year_wise/Devotional_Nectar_-_2004/VOL_06/03_Entering_The_Spiritual_Realm_Through_Faith_Sunday_Feast_Mumbai_-_28-03-04_IDesireTree.mp3", "03_Entering_The_Spiritual_Realm_Through_Faith_Sunday_Feast_Mumbai_-_28-03-04_IDesireTree.mp3")</f>
        <v>03_Entering_The_Spiritual_Realm_Through_Faith_Sunday_Feast_Mumbai_-_28-03-04_IDesireTree.mp3</v>
      </c>
      <c r="D1996" s="11"/>
      <c r="E1996" s="11"/>
    </row>
    <row r="1997" spans="1:5">
      <c r="A1997" s="12" t="s">
        <v>12462</v>
      </c>
      <c r="B1997" s="12" t="s">
        <v>14849</v>
      </c>
      <c r="C1997" s="13" t="str">
        <f>HYPERLINK("https://audio.iskcondesiretree.com/02_-_ISKCON_Swamis/ISKCON_Swamis_-_R_to_Y/His_Holiness_Radhanath_Swami/Lectures/00_-_Year_wise/Devotional_Nectar_-_2004/VOL_06/04_Taking_Vow_of_Dedication_%26_Service_Initiation_Lec_Mumbai_-_30-03-04_IDesireTree.mp3", "04_Taking_Vow_of_Dedication_%26_Service_Initiation_Lec_Mumbai_-_30-03-04_IDesireTree.mp3")</f>
        <v>04_Taking_Vow_of_Dedication_%26_Service_Initiation_Lec_Mumbai_-_30-03-04_IDesireTree.mp3</v>
      </c>
      <c r="D1997" s="11"/>
      <c r="E1997" s="11"/>
    </row>
    <row r="1998" spans="1:5">
      <c r="A1998" s="12" t="s">
        <v>12462</v>
      </c>
      <c r="B1998" s="12" t="s">
        <v>14856</v>
      </c>
      <c r="C1998" s="13" t="str">
        <f>HYPERLINK("https://audio.iskcondesiretree.com/02_-_ISKCON_Swamis/ISKCON_Swamis_-_R_to_Y/His_Holiness_Radhanath_Swami/Lectures/00_-_Year_wise/Devotional_Nectar_-_2004/VOL_06/05_Determination_of_Ahilya_Ram_Navami_Lec_Mumbai_-_Radhanath_Swami_2004-03-30_IDesireTree.mp3", "05_Determination_of_Ahilya_Ram_Navami_Lec_Mumbai_-_Radhanath_Swami_2004-03-30_IDesireTree.mp3")</f>
        <v>05_Determination_of_Ahilya_Ram_Navami_Lec_Mumbai_-_Radhanath_Swami_2004-03-30_IDesireTree.mp3</v>
      </c>
      <c r="D1998" s="11"/>
      <c r="E1998" s="11"/>
    </row>
    <row r="1999" spans="1:5">
      <c r="A1999" s="12" t="s">
        <v>12462</v>
      </c>
      <c r="B1999" s="12" t="s">
        <v>14851</v>
      </c>
      <c r="C1999" s="13" t="str">
        <f>HYPERLINK("https://audio.iskcondesiretree.com/02_-_ISKCON_Swamis/ISKCON_Swamis_-_R_to_Y/His_Holiness_Radhanath_Swami/Lectures/00_-_Year_wise/Devotional_Nectar_-_2004/VOL_06/06_Ramayan-_The_Legend_of_Selfless_Pure_Devotion_Lecture_Mumbai_-_31-03-04_IDesireTree.mp3", "06_Ramayan-_The_Legend_of_Selfless_Pure_Devotion_Lecture_Mumbai_-_31-03-04_IDesireTree.mp3")</f>
        <v>06_Ramayan-_The_Legend_of_Selfless_Pure_Devotion_Lecture_Mumbai_-_31-03-04_IDesireTree.mp3</v>
      </c>
      <c r="D1999" s="11"/>
      <c r="E1999" s="11"/>
    </row>
    <row r="2000" spans="1:5">
      <c r="A2000" s="12" t="s">
        <v>12462</v>
      </c>
      <c r="B2000" s="12" t="s">
        <v>14852</v>
      </c>
      <c r="C2000" s="13" t="str">
        <f>HYPERLINK("https://audio.iskcondesiretree.com/02_-_ISKCON_Swamis/ISKCON_Swamis_-_R_to_Y/His_Holiness_Radhanath_Swami/Lectures/00_-_Year_wise/Devotional_Nectar_-_2004/VOL_06/07_Establishing_The_Spirit_of_Initiation_Initiation_Lec_Mumbai_-_02-04-04_IDesireTree.mp3", "07_Establishing_The_Spirit_of_Initiation_Initiation_Lec_Mumbai_-_02-04-04_IDesireTree.mp3")</f>
        <v>07_Establishing_The_Spirit_of_Initiation_Initiation_Lec_Mumbai_-_02-04-04_IDesireTree.mp3</v>
      </c>
      <c r="D2000" s="11"/>
      <c r="E2000" s="11"/>
    </row>
    <row r="2001" spans="1:5">
      <c r="A2001" s="12" t="s">
        <v>12462</v>
      </c>
      <c r="B2001" s="12" t="s">
        <v>14857</v>
      </c>
      <c r="C2001" s="13" t="str">
        <f>HYPERLINK("https://audio.iskcondesiretree.com/02_-_ISKCON_Swamis/ISKCON_Swamis_-_R_to_Y/His_Holiness_Radhanath_Swami/Lectures/00_-_Year_wise/Devotional_Nectar_-_2004/VOL_06/08_Overcoming_Obstacles_in_Spiritual_Life_Lecture_New_York_-_11-04-04_IDesireTree.mp3", "08_Overcoming_Obstacles_in_Spiritual_Life_Lecture_New_York_-_11-04-04_IDesireTree.mp3")</f>
        <v>08_Overcoming_Obstacles_in_Spiritual_Life_Lecture_New_York_-_11-04-04_IDesireTree.mp3</v>
      </c>
      <c r="D2001" s="11"/>
      <c r="E2001" s="11"/>
    </row>
    <row r="2002" spans="1:5">
      <c r="A2002" s="12" t="s">
        <v>12462</v>
      </c>
      <c r="B2002" s="12" t="s">
        <v>14858</v>
      </c>
      <c r="C2002" s="13" t="str">
        <f>HYPERLINK("https://audio.iskcondesiretree.com/02_-_ISKCON_Swamis/ISKCON_Swamis_-_R_to_Y/His_Holiness_Radhanath_Swami/Lectures/00_-_Year_wise/Devotional_Nectar_-_2004/VOL_06/09_Spirituality_And_Vegetarianism_Lecture_New_York_University_-_12-04-04_IDesireTree.mp3", "09_Spirituality_And_Vegetarianism_Lecture_New_York_University_-_12-04-04_IDesireTree.mp3")</f>
        <v>09_Spirituality_And_Vegetarianism_Lecture_New_York_University_-_12-04-04_IDesireTree.mp3</v>
      </c>
      <c r="D2002" s="11"/>
      <c r="E2002" s="11"/>
    </row>
    <row r="2003" spans="1:5">
      <c r="A2003" s="12" t="s">
        <v>12462</v>
      </c>
      <c r="B2003" s="12" t="s">
        <v>14859</v>
      </c>
      <c r="C2003" s="13" t="str">
        <f>HYPERLINK("https://audio.iskcondesiretree.com/02_-_ISKCON_Swamis/ISKCON_Swamis_-_R_to_Y/His_Holiness_Radhanath_Swami/Lectures/00_-_Year_wise/Devotional_Nectar_-_2004/VOL_07/01_Srila_Prabhupada-_The_Embodiment_of_Compassion_Lecture_New_York_-_13-04-04_IDesireTree.mp3", "01_Srila_Prabhupada-_The_Embodiment_of_Compassion_Lecture_New_York_-_13-04-04_IDesireTree.mp3")</f>
        <v>01_Srila_Prabhupada-_The_Embodiment_of_Compassion_Lecture_New_York_-_13-04-04_IDesireTree.mp3</v>
      </c>
      <c r="D2003" s="11"/>
      <c r="E2003" s="11"/>
    </row>
    <row r="2004" spans="1:5">
      <c r="A2004" s="12" t="s">
        <v>12462</v>
      </c>
      <c r="B2004" s="12" t="s">
        <v>14860</v>
      </c>
      <c r="C2004" s="13" t="str">
        <f>HYPERLINK("https://audio.iskcondesiretree.com/02_-_ISKCON_Swamis/ISKCON_Swamis_-_R_to_Y/His_Holiness_Radhanath_Swami/Lectures/00_-_Year_wise/Devotional_Nectar_-_2004/VOL_07/02_Quest_for_Inner_Happiness_Lecture_Chicago_-_Radhanath_Swami_2004-04-24_IDesireTree.mp3", "02_Quest_for_Inner_Happiness_Lecture_Chicago_-_Radhanath_Swami_2004-04-24_IDesireTree.mp3")</f>
        <v>02_Quest_for_Inner_Happiness_Lecture_Chicago_-_Radhanath_Swami_2004-04-24_IDesireTree.mp3</v>
      </c>
      <c r="D2004" s="11"/>
      <c r="E2004" s="11"/>
    </row>
    <row r="2005" spans="1:5">
      <c r="A2005" s="12" t="s">
        <v>12462</v>
      </c>
      <c r="B2005" s="12" t="s">
        <v>14861</v>
      </c>
      <c r="C2005" s="13" t="str">
        <f>HYPERLINK("https://audio.iskcondesiretree.com/02_-_ISKCON_Swamis/ISKCON_Swamis_-_R_to_Y/His_Holiness_Radhanath_Swami/Lectures/00_-_Year_wise/Devotional_Nectar_-_2004/VOL_07/03_Five_Potent_Forms_of_Devotional_Service_Lecture_Chicago_-_25-04-04_IDesireTree.mp3", "03_Five_Potent_Forms_of_Devotional_Service_Lecture_Chicago_-_25-04-04_IDesireTree.mp3")</f>
        <v>03_Five_Potent_Forms_of_Devotional_Service_Lecture_Chicago_-_25-04-04_IDesireTree.mp3</v>
      </c>
      <c r="D2005" s="11"/>
      <c r="E2005" s="11"/>
    </row>
    <row r="2006" spans="1:5">
      <c r="A2006" s="12" t="s">
        <v>12462</v>
      </c>
      <c r="B2006" s="12" t="e">
        <v>#VALUE!</v>
      </c>
      <c r="C2006" s="13" t="e">
        <f>HYPERLINK("https://audio.iskcondesiretree.com/02_-_ISKCON_Swamis/ISKCON_Swamis_-_R_to_Y/His_Holiness_Radhanath_Swami/Lectures/00_-_Year_wise/Devotional_Nectar_-_2004/VOL_07/04_Lord_Caitanya%27s_Instructions_to_Mukunda_Sarkar_Lecture_Chicago_-_26-04-04_IDesireTree.mp"&amp;"3", "04_Lord_Caitanya%27s_Instructions_to_Mukunda_Sarkar_Lecture_Chicago_-_26-04-04_IDesireTree.mp3")</f>
        <v>#VALUE!</v>
      </c>
      <c r="D2006" s="11"/>
      <c r="E2006" s="11"/>
    </row>
    <row r="2007" spans="1:5">
      <c r="A2007" s="12" t="s">
        <v>12462</v>
      </c>
      <c r="B2007" s="12" t="s">
        <v>14862</v>
      </c>
      <c r="C2007" s="13" t="str">
        <f>HYPERLINK("https://audio.iskcondesiretree.com/02_-_ISKCON_Swamis/ISKCON_Swamis_-_R_to_Y/His_Holiness_Radhanath_Swami/Lectures/00_-_Year_wise/Devotional_Nectar_-_2004/VOL_07/05_Glorious_Departure_of_Bhisma_Dev_SB-01_09_43_Chicago_-_27-04-04_IDesireTree.mp3", "05_Glorious_Departure_of_Bhisma_Dev_SB-01_09_43_Chicago_-_27-04-04_IDesireTree.mp3")</f>
        <v>05_Glorious_Departure_of_Bhisma_Dev_SB-01_09_43_Chicago_-_27-04-04_IDesireTree.mp3</v>
      </c>
      <c r="D2007" s="11"/>
      <c r="E2007" s="11"/>
    </row>
    <row r="2008" spans="1:5">
      <c r="A2008" s="12" t="s">
        <v>12462</v>
      </c>
      <c r="B2008" s="12" t="s">
        <v>14863</v>
      </c>
      <c r="C2008" s="13" t="str">
        <f>HYPERLINK("https://audio.iskcondesiretree.com/02_-_ISKCON_Swamis/ISKCON_Swamis_-_R_to_Y/His_Holiness_Radhanath_Swami/Lectures/00_-_Year_wise/Devotional_Nectar_-_2004/VOL_07/06_The_Power_of_Holy_Name_Lecture_Chicago_-_Radhanath_Swami_2004-04-27_IDesireTree.mp3", "06_The_Power_of_Holy_Name_Lecture_Chicago_-_Radhanath_Swami_2004-04-27_IDesireTree.mp3")</f>
        <v>06_The_Power_of_Holy_Name_Lecture_Chicago_-_Radhanath_Swami_2004-04-27_IDesireTree.mp3</v>
      </c>
      <c r="D2008" s="11"/>
      <c r="E2008" s="11"/>
    </row>
    <row r="2009" spans="1:5">
      <c r="A2009" s="12" t="s">
        <v>12462</v>
      </c>
      <c r="B2009" s="12" t="s">
        <v>14864</v>
      </c>
      <c r="C2009" s="13" t="str">
        <f>HYPERLINK("https://audio.iskcondesiretree.com/02_-_ISKCON_Swamis/ISKCON_Swamis_-_R_to_Y/His_Holiness_Radhanath_Swami/Lectures/00_-_Year_wise/Devotional_Nectar_-_2004/VOL_07/07_Glories_of_Jahnava_Devi_SB-01_09_44_Chicago_-_Radhanath_Swami_2004-04-28_IDesireTree.mp3", "07_Glories_of_Jahnava_Devi_SB-01_09_44_Chicago_-_Radhanath_Swami_2004-04-28_IDesireTree.mp3")</f>
        <v>07_Glories_of_Jahnava_Devi_SB-01_09_44_Chicago_-_Radhanath_Swami_2004-04-28_IDesireTree.mp3</v>
      </c>
      <c r="D2009" s="11"/>
      <c r="E2009" s="11"/>
    </row>
    <row r="2010" spans="1:5">
      <c r="A2010" s="12" t="s">
        <v>12462</v>
      </c>
      <c r="B2010" s="12" t="s">
        <v>14865</v>
      </c>
      <c r="C2010" s="13" t="str">
        <f>HYPERLINK("https://audio.iskcondesiretree.com/02_-_ISKCON_Swamis/ISKCON_Swamis_-_R_to_Y/His_Holiness_Radhanath_Swami/Lectures/00_-_Year_wise/Devotional_Nectar_-_2004/VOL_07/08_Living_in_Material_World_Honestly_Lecture_Chicago_-_30-04-04_IDesireTree.mp3", "08_Living_in_Material_World_Honestly_Lecture_Chicago_-_30-04-04_IDesireTree.mp3")</f>
        <v>08_Living_in_Material_World_Honestly_Lecture_Chicago_-_30-04-04_IDesireTree.mp3</v>
      </c>
      <c r="D2010" s="11"/>
      <c r="E2010" s="11"/>
    </row>
    <row r="2011" spans="1:5">
      <c r="A2011" s="12" t="s">
        <v>12462</v>
      </c>
      <c r="B2011" s="12" t="s">
        <v>14866</v>
      </c>
      <c r="C2011" s="13" t="str">
        <f>HYPERLINK("https://audio.iskcondesiretree.com/02_-_ISKCON_Swamis/ISKCON_Swamis_-_R_to_Y/His_Holiness_Radhanath_Swami/Lectures/00_-_Year_wise/Devotional_Nectar_-_2004/VOL_07/10_Appearance_of_Lord_Narsimhadeva_Lecture_New_Vrindavan_-_03-05-04_IDesireTree.mp3", "10_Appearance_of_Lord_Narsimhadeva_Lecture_New_Vrindavan_-_03-05-04_IDesireTree.mp3")</f>
        <v>10_Appearance_of_Lord_Narsimhadeva_Lecture_New_Vrindavan_-_03-05-04_IDesireTree.mp3</v>
      </c>
      <c r="D2011" s="11"/>
      <c r="E2011" s="11"/>
    </row>
    <row r="2012" spans="1:5">
      <c r="A2012" s="12" t="s">
        <v>12462</v>
      </c>
      <c r="B2012" s="12" t="s">
        <v>14867</v>
      </c>
      <c r="C2012" s="13" t="str">
        <f>HYPERLINK("https://audio.iskcondesiretree.com/02_-_ISKCON_Swamis/ISKCON_Swamis_-_R_to_Y/His_Holiness_Radhanath_Swami/Lectures/00_-_Year_wise/Devotional_Nectar_-_2004/VOL_07/11_A_Sadhu_is_Tolerant_and_Compassionate_SB-06_05_43_New_Vrindavan_-_08-05-04_IDesireTree.mp3", "11_A_Sadhu_is_Tolerant_and_Compassionate_SB-06_05_43_New_Vrindavan_-_08-05-04_IDesireTree.mp3")</f>
        <v>11_A_Sadhu_is_Tolerant_and_Compassionate_SB-06_05_43_New_Vrindavan_-_08-05-04_IDesireTree.mp3</v>
      </c>
      <c r="D2012" s="11"/>
      <c r="E2012" s="11"/>
    </row>
    <row r="2013" spans="1:5">
      <c r="A2013" s="12" t="s">
        <v>12462</v>
      </c>
      <c r="B2013" s="12" t="s">
        <v>14868</v>
      </c>
      <c r="C2013" s="13" t="str">
        <f>HYPERLINK("https://audio.iskcondesiretree.com/02_-_ISKCON_Swamis/ISKCON_Swamis_-_R_to_Y/His_Holiness_Radhanath_Swami/Lectures/00_-_Year_wise/Devotional_Nectar_-_2004/VOL_07/12_The_Installation_of_Sri_Panca_Tattva_Sunday_Feast_New_Vrindavan_-_16-05-04_IDesireTree.mp3", "12_The_Installation_of_Sri_Panca_Tattva_Sunday_Feast_New_Vrindavan_-_16-05-04_IDesireTree.mp3")</f>
        <v>12_The_Installation_of_Sri_Panca_Tattva_Sunday_Feast_New_Vrindavan_-_16-05-04_IDesireTree.mp3</v>
      </c>
      <c r="D2013" s="11"/>
      <c r="E2013" s="11"/>
    </row>
    <row r="2014" spans="1:5">
      <c r="A2014" s="12" t="s">
        <v>12462</v>
      </c>
      <c r="B2014" s="12" t="e">
        <v>#VALUE!</v>
      </c>
      <c r="C2014" s="13" t="e">
        <f>HYPERLINK("https://audio.iskcondesiretree.com/02_-_ISKCON_Swamis/ISKCON_Swamis_-_R_to_Y/His_Holiness_Radhanath_Swami/Lectures/00_-_Year_wise/Devotional_Nectar_-_2004/VOL_07/13_Cultivating_Enthusiasm_for_Hearing_Krishna_Katha_Lecture_Pittsburg_-_16-05-04_IDesireTree."&amp;"mp3", "13_Cultivating_Enthusiasm_for_Hearing_Krishna_Katha_Lecture_Pittsburg_-_16-05-04_IDesireTree.mp3")</f>
        <v>#VALUE!</v>
      </c>
      <c r="D2014" s="11"/>
      <c r="E2014" s="11"/>
    </row>
    <row r="2015" spans="1:5">
      <c r="A2015" s="12" t="s">
        <v>12462</v>
      </c>
      <c r="B2015" s="12" t="s">
        <v>14869</v>
      </c>
      <c r="C2015" s="13" t="str">
        <f>HYPERLINK("https://audio.iskcondesiretree.com/02_-_ISKCON_Swamis/ISKCON_Swamis_-_R_to_Y/His_Holiness_Radhanath_Swami/Lectures/00_-_Year_wise/Devotional_Nectar_-_2004/VOL_08/01_Questions_%26_Answers_Lecture_Chicago_-_Radhanath_Swami_2004-05-01_IDesireTree.mp3", "01_Questions_%26_Answers_Lecture_Chicago_-_Radhanath_Swami_2004-05-01_IDesireTree.mp3")</f>
        <v>01_Questions_%26_Answers_Lecture_Chicago_-_Radhanath_Swami_2004-05-01_IDesireTree.mp3</v>
      </c>
      <c r="D2015" s="11"/>
      <c r="E2015" s="11"/>
    </row>
    <row r="2016" spans="1:5">
      <c r="A2016" s="12" t="s">
        <v>12462</v>
      </c>
      <c r="B2016" s="12" t="s">
        <v>14870</v>
      </c>
      <c r="C2016" s="13" t="str">
        <f>HYPERLINK("https://audio.iskcondesiretree.com/02_-_ISKCON_Swamis/ISKCON_Swamis_-_R_to_Y/His_Holiness_Radhanath_Swami/Lectures/00_-_Year_wise/Devotional_Nectar_-_2004/VOL_08/02_Developing_our_Krishna_Consciousness_Lecture_New_Vrindavan_-_12-05-04_IDesireTree.mp3", "02_Developing_our_Krishna_Consciousness_Lecture_New_Vrindavan_-_12-05-04_IDesireTree.mp3")</f>
        <v>02_Developing_our_Krishna_Consciousness_Lecture_New_Vrindavan_-_12-05-04_IDesireTree.mp3</v>
      </c>
      <c r="D2016" s="11"/>
      <c r="E2016" s="11"/>
    </row>
    <row r="2017" spans="1:5">
      <c r="A2017" s="12" t="s">
        <v>12462</v>
      </c>
      <c r="B2017" s="12" t="e">
        <v>#VALUE!</v>
      </c>
      <c r="C2017" s="13" t="e">
        <f>HYPERLINK("https://audio.iskcondesiretree.com/02_-_ISKCON_Swamis/ISKCON_Swamis_-_R_to_Y/His_Holiness_Radhanath_Swami/Lectures/00_-_Year_wise/Devotional_Nectar_-_2004/VOL_08/03_Life_and_Pastimes_of_Srila_Narrotam_Das_Thakur-I_Lecture_New_Vrindavan_-_13-05-04_IDesireT"&amp;"ree.mp3", "03_Life_and_Pastimes_of_Srila_Narrotam_Das_Thakur-I_Lecture_New_Vrindavan_-_13-05-04_IDesireTree.mp3")</f>
        <v>#VALUE!</v>
      </c>
      <c r="D2017" s="11"/>
      <c r="E2017" s="11"/>
    </row>
    <row r="2018" spans="1:5">
      <c r="A2018" s="12" t="s">
        <v>12462</v>
      </c>
      <c r="B2018" s="12" t="e">
        <v>#VALUE!</v>
      </c>
      <c r="C2018" s="13" t="e">
        <f>HYPERLINK("https://audio.iskcondesiretree.com/02_-_ISKCON_Swamis/ISKCON_Swamis_-_R_to_Y/His_Holiness_Radhanath_Swami/Lectures/00_-_Year_wise/Devotional_Nectar_-_2004/VOL_08/04_Life_and_Pastimes_of_Srila_Narrotam_Das_Thakur-II_Lecture_New_Vrindavan_-_19-05-04_IDesire"&amp;"Tree.mp3", "04_Life_and_Pastimes_of_Srila_Narrotam_Das_Thakur-II_Lecture_New_Vrindavan_-_19-05-04_IDesireTree.mp3")</f>
        <v>#VALUE!</v>
      </c>
      <c r="D2018" s="11"/>
      <c r="E2018" s="11"/>
    </row>
    <row r="2019" spans="1:5">
      <c r="A2019" s="12" t="s">
        <v>12462</v>
      </c>
      <c r="B2019" s="12" t="e">
        <v>#VALUE!</v>
      </c>
      <c r="C2019" s="13" t="e">
        <f>HYPERLINK("https://audio.iskcondesiretree.com/02_-_ISKCON_Swamis/ISKCON_Swamis_-_R_to_Y/His_Holiness_Radhanath_Swami/Lectures/00_-_Year_wise/Devotional_Nectar_-_2004/VOL_08/05_Life_and_Pastimes_of_Srila_Narrotam_Das_Thakur-III_Lecture_New_Vrindavan_-_20-05-04_IDesir"&amp;"eTree.mp3", "05_Life_and_Pastimes_of_Srila_Narrotam_Das_Thakur-III_Lecture_New_Vrindavan_-_20-05-04_IDesireTree.mp3")</f>
        <v>#VALUE!</v>
      </c>
      <c r="D2019" s="11"/>
      <c r="E2019" s="11"/>
    </row>
    <row r="2020" spans="1:5">
      <c r="A2020" s="12" t="s">
        <v>12462</v>
      </c>
      <c r="B2020" s="12" t="e">
        <v>#VALUE!</v>
      </c>
      <c r="C2020" s="13" t="e">
        <f>HYPERLINK("https://audio.iskcondesiretree.com/02_-_ISKCON_Swamis/ISKCON_Swamis_-_R_to_Y/His_Holiness_Radhanath_Swami/Lectures/00_-_Year_wise/Devotional_Nectar_-_2004/VOL_08/06_Developing_Culture_of_Respecting_Others_SB-06_07_33_New_Vrindavan_-_22-05-04_IDesireTree.m"&amp;"p3", "06_Developing_Culture_of_Respecting_Others_SB-06_07_33_New_Vrindavan_-_22-05-04_IDesireTree.mp3")</f>
        <v>#VALUE!</v>
      </c>
      <c r="D2020" s="11"/>
      <c r="E2020" s="11"/>
    </row>
    <row r="2021" spans="1:5">
      <c r="A2021" s="12" t="s">
        <v>12462</v>
      </c>
      <c r="B2021" s="12" t="e">
        <v>#VALUE!</v>
      </c>
      <c r="C2021" s="13" t="e">
        <f>HYPERLINK("https://audio.iskcondesiretree.com/02_-_ISKCON_Swamis/ISKCON_Swamis_-_R_to_Y/His_Holiness_Radhanath_Swami/Lectures/00_-_Year_wise/Devotional_Nectar_-_2004/VOL_08/07_Indra_Offends_His_Spiritual_Master_Brhaspati_SB-06_07_34-35_New_Vrindavan_-_23-05-04_IDesi"&amp;"reTree.mp3", "07_Indra_Offends_His_Spiritual_Master_Brhaspati_SB-06_07_34-35_New_Vrindavan_-_23-05-04_IDesireTree.mp3")</f>
        <v>#VALUE!</v>
      </c>
      <c r="D2021" s="11"/>
      <c r="E2021" s="11"/>
    </row>
    <row r="2022" spans="1:5">
      <c r="A2022" s="12" t="s">
        <v>12462</v>
      </c>
      <c r="B2022" s="12" t="s">
        <v>14871</v>
      </c>
      <c r="C2022" s="13" t="str">
        <f>HYPERLINK("https://audio.iskcondesiretree.com/02_-_ISKCON_Swamis/ISKCON_Swamis_-_R_to_Y/His_Holiness_Radhanath_Swami/Lectures/00_-_Year_wise/Devotional_Nectar_-_2004/VOL_08/08_Krishna_is_The_Supreme_Proprietor_Sunday_Feast_New_Vrindavan_-_23-05-04_IDesireTree.mp3", "08_Krishna_is_The_Supreme_Proprietor_Sunday_Feast_New_Vrindavan_-_23-05-04_IDesireTree.mp3")</f>
        <v>08_Krishna_is_The_Supreme_Proprietor_Sunday_Feast_New_Vrindavan_-_23-05-04_IDesireTree.mp3</v>
      </c>
      <c r="D2022" s="11"/>
      <c r="E2022" s="11"/>
    </row>
    <row r="2023" spans="1:5">
      <c r="A2023" s="12" t="s">
        <v>12462</v>
      </c>
      <c r="B2023" s="12" t="e">
        <v>#VALUE!</v>
      </c>
      <c r="C2023" s="13" t="e">
        <f>HYPERLINK("https://audio.iskcondesiretree.com/02_-_ISKCON_Swamis/ISKCON_Swamis_-_R_to_Y/His_Holiness_Radhanath_Swami/Lectures/00_-_Year_wise/Devotional_Nectar_-_2004/VOL_08/09_Life_and_Pastimes_of_Srila_Narrotam_Das_Thakur-IV_Lecture_New_Vrindavan_-_24-05-04_IDesire"&amp;"Tree.mp3", "09_Life_and_Pastimes_of_Srila_Narrotam_Das_Thakur-IV_Lecture_New_Vrindavan_-_24-05-04_IDesireTree.mp3")</f>
        <v>#VALUE!</v>
      </c>
      <c r="D2023" s="11"/>
      <c r="E2023" s="11"/>
    </row>
    <row r="2024" spans="1:5">
      <c r="A2024" s="12" t="s">
        <v>12462</v>
      </c>
      <c r="B2024" s="12" t="e">
        <v>#VALUE!</v>
      </c>
      <c r="C2024" s="13" t="e">
        <f>HYPERLINK("https://audio.iskcondesiretree.com/02_-_ISKCON_Swamis/ISKCON_Swamis_-_R_to_Y/His_Holiness_Radhanath_Swami/Lectures/00_-_Year_wise/Devotional_Nectar_-_2004/VOL_08/10_Life_and_Pastimes_of_Srila_Narrotam_Das_Thakur-V_Lecture_New_Vrindavan_-_26-05-04_IDesireT"&amp;"ree.mp3", "10_Life_and_Pastimes_of_Srila_Narrotam_Das_Thakur-V_Lecture_New_Vrindavan_-_26-05-04_IDesireTree.mp3")</f>
        <v>#VALUE!</v>
      </c>
      <c r="D2024" s="11"/>
      <c r="E2024" s="11"/>
    </row>
    <row r="2025" spans="1:5">
      <c r="A2025" s="12" t="s">
        <v>12462</v>
      </c>
      <c r="B2025" s="12" t="s">
        <v>14872</v>
      </c>
      <c r="C2025" s="13" t="str">
        <f>HYPERLINK("https://audio.iskcondesiretree.com/02_-_ISKCON_Swamis/ISKCON_Swamis_-_R_to_Y/His_Holiness_Radhanath_Swami/Lectures/00_-_Year_wise/Devotional_Nectar_-_2004/VOL_08/11_Krishna_Sees_Only_our_Devotion_Lecture_New_Vrindavan_-_27-05-04_IDesireTree.mp3", "11_Krishna_Sees_Only_our_Devotion_Lecture_New_Vrindavan_-_27-05-04_IDesireTree.mp3")</f>
        <v>11_Krishna_Sees_Only_our_Devotion_Lecture_New_Vrindavan_-_27-05-04_IDesireTree.mp3</v>
      </c>
      <c r="D2025" s="11"/>
      <c r="E2025" s="11"/>
    </row>
    <row r="2026" spans="1:5">
      <c r="A2026" s="12" t="s">
        <v>12462</v>
      </c>
      <c r="B2026" s="12" t="e">
        <v>#VALUE!</v>
      </c>
      <c r="C2026" s="13" t="e">
        <f>HYPERLINK("https://audio.iskcondesiretree.com/02_-_ISKCON_Swamis/ISKCON_Swamis_-_R_to_Y/His_Holiness_Radhanath_Swami/Lectures/00_-_Year_wise/Devotional_Nectar_-_2004/VOL_08/12_Initiation-The_Process_of_Commitment_to_Parampara_Initiation_New_Vrindavan_-_29-05-04_IDes"&amp;"ireTree.mp3", "12_Initiation-The_Process_of_Commitment_to_Parampara_Initiation_New_Vrindavan_-_29-05-04_IDesireTree.mp3")</f>
        <v>#VALUE!</v>
      </c>
      <c r="D2026" s="11"/>
      <c r="E2026" s="11"/>
    </row>
    <row r="2027" spans="1:5">
      <c r="A2027" s="12" t="s">
        <v>12462</v>
      </c>
      <c r="B2027" s="12" t="s">
        <v>14873</v>
      </c>
      <c r="C2027" s="13" t="str">
        <f>HYPERLINK("https://audio.iskcondesiretree.com/02_-_ISKCON_Swamis/ISKCON_Swamis_-_R_to_Y/His_Holiness_Radhanath_Swami/Lectures/00_-_Year_wise/Devotional_Nectar_-_2004/VOL_08/13_The_Power_of_Holy_Name_SB-06_08_19_New_Vrindavan_-_30-05-04_IDesireTree.mp3", "13_The_Power_of_Holy_Name_SB-06_08_19_New_Vrindavan_-_30-05-04_IDesireTree.mp3")</f>
        <v>13_The_Power_of_Holy_Name_SB-06_08_19_New_Vrindavan_-_30-05-04_IDesireTree.mp3</v>
      </c>
      <c r="D2027" s="11"/>
      <c r="E2027" s="11"/>
    </row>
    <row r="2028" spans="1:5">
      <c r="A2028" s="12" t="s">
        <v>12462</v>
      </c>
      <c r="B2028" s="12" t="s">
        <v>14874</v>
      </c>
      <c r="C2028" s="13" t="str">
        <f>HYPERLINK("https://audio.iskcondesiretree.com/02_-_ISKCON_Swamis/ISKCON_Swamis_-_R_to_Y/His_Holiness_Radhanath_Swami/Lectures/00_-_Year_wise/Devotional_Nectar_-_2004/VOL_08/14_Life_of_Ganga_Mata_Goswamini_Sunday_Feast_New_Vrindavan_-_30-05-04_IDesireTree.mp3", "14_Life_of_Ganga_Mata_Goswamini_Sunday_Feast_New_Vrindavan_-_30-05-04_IDesireTree.mp3")</f>
        <v>14_Life_of_Ganga_Mata_Goswamini_Sunday_Feast_New_Vrindavan_-_30-05-04_IDesireTree.mp3</v>
      </c>
      <c r="D2028" s="11"/>
      <c r="E2028" s="11"/>
    </row>
    <row r="2029" spans="1:5">
      <c r="A2029" s="12" t="s">
        <v>12462</v>
      </c>
      <c r="B2029" s="12" t="e">
        <v>#VALUE!</v>
      </c>
      <c r="C2029" s="13" t="e">
        <f>HYPERLINK("https://audio.iskcondesiretree.com/02_-_ISKCON_Swamis/ISKCON_Swamis_-_R_to_Y/His_Holiness_Radhanath_Swami/Lectures/00_-_Year_wise/Devotional_Nectar_-_2004/VOL_09/01_Learning_to_be_Grateful_from_Dhruva_Maharaj_SB-4_12_32_Gita_Nagari_-_02-06-04_IDesireTree."&amp;"mp3", "01_Learning_to_be_Grateful_from_Dhruva_Maharaj_SB-4_12_32_Gita_Nagari_-_02-06-04_IDesireTree.mp3")</f>
        <v>#VALUE!</v>
      </c>
      <c r="D2029" s="11"/>
      <c r="E2029" s="11"/>
    </row>
    <row r="2030" spans="1:5">
      <c r="A2030" s="12" t="s">
        <v>12462</v>
      </c>
      <c r="B2030" s="12" t="s">
        <v>14875</v>
      </c>
      <c r="C2030" s="13" t="str">
        <f>HYPERLINK("https://audio.iskcondesiretree.com/02_-_ISKCON_Swamis/ISKCON_Swamis_-_R_to_Y/His_Holiness_Radhanath_Swami/Lectures/00_-_Year_wise/Devotional_Nectar_-_2004/VOL_09/02_The_Importance_of_Determination_Lecture_New_York_-_04-06-04_IDesireTree.mp3", "02_The_Importance_of_Determination_Lecture_New_York_-_04-06-04_IDesireTree.mp3")</f>
        <v>02_The_Importance_of_Determination_Lecture_New_York_-_04-06-04_IDesireTree.mp3</v>
      </c>
      <c r="D2030" s="11"/>
      <c r="E2030" s="11"/>
    </row>
    <row r="2031" spans="1:5">
      <c r="A2031" s="12" t="s">
        <v>12462</v>
      </c>
      <c r="B2031" s="12" t="s">
        <v>14876</v>
      </c>
      <c r="C2031" s="13" t="str">
        <f>HYPERLINK("https://audio.iskcondesiretree.com/02_-_ISKCON_Swamis/ISKCON_Swamis_-_R_to_Y/His_Holiness_Radhanath_Swami/Lectures/00_-_Year_wise/Devotional_Nectar_-_2004/VOL_09/03_The_Imperceptible_Nature_of_Time_SB-07_01_11_New_York_-_06-06-04_IDesireTree.mp3", "03_The_Imperceptible_Nature_of_Time_SB-07_01_11_New_York_-_06-06-04_IDesireTree.mp3")</f>
        <v>03_The_Imperceptible_Nature_of_Time_SB-07_01_11_New_York_-_06-06-04_IDesireTree.mp3</v>
      </c>
      <c r="D2031" s="11"/>
      <c r="E2031" s="11"/>
    </row>
    <row r="2032" spans="1:5">
      <c r="A2032" s="12" t="s">
        <v>12462</v>
      </c>
      <c r="B2032" s="12" t="s">
        <v>14877</v>
      </c>
      <c r="C2032" s="13" t="str">
        <f>HYPERLINK("https://audio.iskcondesiretree.com/02_-_ISKCON_Swamis/ISKCON_Swamis_-_R_to_Y/His_Holiness_Radhanath_Swami/Lectures/00_-_Year_wise/Devotional_Nectar_-_2004/VOL_09/04_Real_Religion_Teaches_Love_of_Godhead_Sunday_Feast_New_York_-_06-06-04_IDesireTree.mp3", "04_Real_Religion_Teaches_Love_of_Godhead_Sunday_Feast_New_York_-_06-06-04_IDesireTree.mp3")</f>
        <v>04_Real_Religion_Teaches_Love_of_Godhead_Sunday_Feast_New_York_-_06-06-04_IDesireTree.mp3</v>
      </c>
      <c r="D2032" s="11"/>
      <c r="E2032" s="11"/>
    </row>
    <row r="2033" spans="1:5">
      <c r="A2033" s="12" t="s">
        <v>12462</v>
      </c>
      <c r="B2033" s="12" t="s">
        <v>14878</v>
      </c>
      <c r="C2033" s="13" t="str">
        <f>HYPERLINK("https://audio.iskcondesiretree.com/02_-_ISKCON_Swamis/ISKCON_Swamis_-_R_to_Y/His_Holiness_Radhanath_Swami/Lectures/00_-_Year_wise/Devotional_Nectar_-_2004/VOL_09/05_Krishna_Always_Protects_His_Devotee_SB-07_01_12_New_York_-_07-06-04_IDesireTree.mp3", "05_Krishna_Always_Protects_His_Devotee_SB-07_01_12_New_York_-_07-06-04_IDesireTree.mp3")</f>
        <v>05_Krishna_Always_Protects_His_Devotee_SB-07_01_12_New_York_-_07-06-04_IDesireTree.mp3</v>
      </c>
      <c r="D2033" s="11"/>
      <c r="E2033" s="11"/>
    </row>
    <row r="2034" spans="1:5">
      <c r="A2034" s="12" t="s">
        <v>12462</v>
      </c>
      <c r="B2034" s="12" t="e">
        <v>#VALUE!</v>
      </c>
      <c r="C2034" s="13" t="e">
        <f>HYPERLINK("https://audio.iskcondesiretree.com/02_-_ISKCON_Swamis/ISKCON_Swamis_-_R_to_Y/His_Holiness_Radhanath_Swami/Lectures/00_-_Year_wise/Devotional_Nectar_-_2004/VOL_09/06_Maharaj_Prataprudra%27s_Eagerness_to_Serve_Lord_Caitanya_Lecture_New_York_-_10-06-04_IDesi"&amp;"reTree.mp3", "06_Maharaj_Prataprudra%27s_Eagerness_to_Serve_Lord_Caitanya_Lecture_New_York_-_10-06-04_IDesireTree.mp3")</f>
        <v>#VALUE!</v>
      </c>
      <c r="D2034" s="11"/>
      <c r="E2034" s="11"/>
    </row>
    <row r="2035" spans="1:5">
      <c r="A2035" s="12" t="s">
        <v>12462</v>
      </c>
      <c r="B2035" s="12" t="e">
        <v>#VALUE!</v>
      </c>
      <c r="C2035" s="13" t="e">
        <f>HYPERLINK("https://audio.iskcondesiretree.com/02_-_ISKCON_Swamis/ISKCON_Swamis_-_R_to_Y/His_Holiness_Radhanath_Swami/Lectures/00_-_Year_wise/Devotional_Nectar_-_2004/VOL_09/07_The_Ecstatic_Dancing_of_Lord_Caitanya_at_Ratha-yatra_Lecture_New_York_-_11-06-04_IDesireTr"&amp;"ee.mp3", "07_The_Ecstatic_Dancing_of_Lord_Caitanya_at_Ratha-yatra_Lecture_New_York_-_11-06-04_IDesireTree.mp3")</f>
        <v>#VALUE!</v>
      </c>
      <c r="D2035" s="11"/>
      <c r="E2035" s="11"/>
    </row>
    <row r="2036" spans="1:5">
      <c r="A2036" s="12" t="s">
        <v>12462</v>
      </c>
      <c r="B2036" s="12" t="s">
        <v>14879</v>
      </c>
      <c r="C2036" s="13" t="str">
        <f>HYPERLINK("https://audio.iskcondesiretree.com/02_-_ISKCON_Swamis/ISKCON_Swamis_-_R_to_Y/His_Holiness_Radhanath_Swami/Lectures/00_-_Year_wise/Devotional_Nectar_-_2004/VOL_09/09_The_Right_Mood_for_Deity_Worship_SB-03_29_16_Los_Angeles_-_18-07-04_IDesireTree.mp3", "09_The_Right_Mood_for_Deity_Worship_SB-03_29_16_Los_Angeles_-_18-07-04_IDesireTree.mp3")</f>
        <v>09_The_Right_Mood_for_Deity_Worship_SB-03_29_16_Los_Angeles_-_18-07-04_IDesireTree.mp3</v>
      </c>
      <c r="D2036" s="11"/>
      <c r="E2036" s="11"/>
    </row>
    <row r="2037" spans="1:5">
      <c r="A2037" s="12" t="s">
        <v>12462</v>
      </c>
      <c r="B2037" s="12" t="s">
        <v>14880</v>
      </c>
      <c r="C2037" s="13" t="str">
        <f>HYPERLINK("https://audio.iskcondesiretree.com/02_-_ISKCON_Swamis/ISKCON_Swamis_-_R_to_Y/His_Holiness_Radhanath_Swami/Lectures/00_-_Year_wise/Devotional_Nectar_-_2004/VOL_09/10_Snana_Yatra-_Giving_Pleasure_to_Krishna_Sunday_Feast_Los_Angeles_-_2004_IDesireTree.mp3", "10_Snana_Yatra-_Giving_Pleasure_to_Krishna_Sunday_Feast_Los_Angeles_-_2004_IDesireTree.mp3")</f>
        <v>10_Snana_Yatra-_Giving_Pleasure_to_Krishna_Sunday_Feast_Los_Angeles_-_2004_IDesireTree.mp3</v>
      </c>
      <c r="D2037" s="11"/>
      <c r="E2037" s="11"/>
    </row>
    <row r="2038" spans="1:5">
      <c r="A2038" s="12" t="s">
        <v>12462</v>
      </c>
      <c r="B2038" s="12" t="s">
        <v>14881</v>
      </c>
      <c r="C2038" s="13" t="str">
        <f>HYPERLINK("https://audio.iskcondesiretree.com/02_-_ISKCON_Swamis/ISKCON_Swamis_-_R_to_Y/His_Holiness_Radhanath_Swami/Lectures/00_-_Year_wise/Devotional_Nectar_-_2004/VOL_09/11_Serving_with_Right_Attitude_CC_Reading_Los_Angeles_-_Radhanath_Swami_2004_IDesireTree.mp3", "11_Serving_with_Right_Attitude_CC_Reading_Los_Angeles_-_Radhanath_Swami_2004_IDesireTree.mp3")</f>
        <v>11_Serving_with_Right_Attitude_CC_Reading_Los_Angeles_-_Radhanath_Swami_2004_IDesireTree.mp3</v>
      </c>
      <c r="D2038" s="11"/>
      <c r="E2038" s="11"/>
    </row>
    <row r="2039" spans="1:5">
      <c r="A2039" s="12" t="s">
        <v>12462</v>
      </c>
      <c r="B2039" s="12" t="s">
        <v>14882</v>
      </c>
      <c r="C2039" s="13" t="str">
        <f>HYPERLINK("https://audio.iskcondesiretree.com/02_-_ISKCON_Swamis/ISKCON_Swamis_-_R_to_Y/His_Holiness_Radhanath_Swami/Lectures/00_-_Year_wise/Devotional_Nectar_-_2004/VOL_09/12_The_Cleansing_of_Gundica_Temple_CC_Reading_Los_Angeles_-_2004_IDesireTree.mp3", "12_The_Cleansing_of_Gundica_Temple_CC_Reading_Los_Angeles_-_2004_IDesireTree.mp3")</f>
        <v>12_The_Cleansing_of_Gundica_Temple_CC_Reading_Los_Angeles_-_2004_IDesireTree.mp3</v>
      </c>
      <c r="D2039" s="11"/>
      <c r="E2039" s="11"/>
    </row>
    <row r="2040" spans="1:5">
      <c r="A2040" s="12" t="s">
        <v>12462</v>
      </c>
      <c r="B2040" s="12" t="s">
        <v>14883</v>
      </c>
      <c r="C2040" s="13" t="str">
        <f>HYPERLINK("https://audio.iskcondesiretree.com/02_-_ISKCON_Swamis/ISKCON_Swamis_-_R_to_Y/His_Holiness_Radhanath_Swami/Lectures/00_-_Year_wise/Devotional_Nectar_-_2004/VOL_10/01_Unalloyed_Devotional_Service_CC_Reading_Southern_California_-_2004_IDesireTree.mp3", "01_Unalloyed_Devotional_Service_CC_Reading_Southern_California_-_2004_IDesireTree.mp3")</f>
        <v>01_Unalloyed_Devotional_Service_CC_Reading_Southern_California_-_2004_IDesireTree.mp3</v>
      </c>
      <c r="D2040" s="11"/>
      <c r="E2040" s="11"/>
    </row>
    <row r="2041" spans="1:5">
      <c r="A2041" s="12" t="s">
        <v>12462</v>
      </c>
      <c r="B2041" s="12" t="s">
        <v>14884</v>
      </c>
      <c r="C2041" s="13" t="str">
        <f>HYPERLINK("https://audio.iskcondesiretree.com/02_-_ISKCON_Swamis/ISKCON_Swamis_-_R_to_Y/His_Holiness_Radhanath_Swami/Lectures/00_-_Year_wise/Devotional_Nectar_-_2004/VOL_10/02_Appearance_of_Lord_Jagannath_Lecture_Los_Angeles_-_Radhanath_Swami_2004_IDesireTree.mp3", "02_Appearance_of_Lord_Jagannath_Lecture_Los_Angeles_-_Radhanath_Swami_2004_IDesireTree.mp3")</f>
        <v>02_Appearance_of_Lord_Jagannath_Lecture_Los_Angeles_-_Radhanath_Swami_2004_IDesireTree.mp3</v>
      </c>
      <c r="D2041" s="11"/>
      <c r="E2041" s="11"/>
    </row>
    <row r="2042" spans="1:5">
      <c r="A2042" s="12" t="s">
        <v>12462</v>
      </c>
      <c r="B2042" s="12" t="s">
        <v>14885</v>
      </c>
      <c r="C2042" s="13" t="str">
        <f>HYPERLINK("https://audio.iskcondesiretree.com/02_-_ISKCON_Swamis/ISKCON_Swamis_-_R_to_Y/His_Holiness_Radhanath_Swami/Lectures/00_-_Year_wise/Devotional_Nectar_-_2004/VOL_10/04_Temptations_%26_False_Promises_of_Maya_SB-01_02_09_Saranagati_-_10-07-04_IDesireTree.mp3", "04_Temptations_%26_False_Promises_of_Maya_SB-01_02_09_Saranagati_-_10-07-04_IDesireTree.mp3")</f>
        <v>04_Temptations_%26_False_Promises_of_Maya_SB-01_02_09_Saranagati_-_10-07-04_IDesireTree.mp3</v>
      </c>
      <c r="D2042" s="11"/>
      <c r="E2042" s="11"/>
    </row>
    <row r="2043" spans="1:5">
      <c r="A2043" s="12" t="s">
        <v>12462</v>
      </c>
      <c r="B2043" s="12" t="e">
        <v>#VALUE!</v>
      </c>
      <c r="C2043" s="13" t="e">
        <f>HYPERLINK("https://audio.iskcondesiretree.com/02_-_ISKCON_Swamis/ISKCON_Swamis_-_R_to_Y/His_Holiness_Radhanath_Swami/Lectures/00_-_Year_wise/Devotional_Nectar_-_2004/VOL_10/06_The_Important_Do%27s_%26_Don%27ts_of_Krishna_Consciousness_SB-3_25_25_Saranagati_-_11-07-0"&amp;"4_IDesireTree.mp3", "06_The_Important_Do%27s_%26_Don%27ts_of_Krishna_Consciousness_SB-3_25_25_Saranagati_-_11-07-04_IDesireTree.mp3")</f>
        <v>#VALUE!</v>
      </c>
      <c r="D2043" s="11"/>
      <c r="E2043" s="11"/>
    </row>
    <row r="2044" spans="1:5">
      <c r="A2044" s="12" t="s">
        <v>12462</v>
      </c>
      <c r="B2044" s="12" t="s">
        <v>14886</v>
      </c>
      <c r="C2044" s="13" t="str">
        <f>HYPERLINK("https://audio.iskcondesiretree.com/02_-_ISKCON_Swamis/ISKCON_Swamis_-_R_to_Y/His_Holiness_Radhanath_Swami/Lectures/00_-_Year_wise/Devotional_Nectar_-_2004/VOL_10/07_The_Glories_of_Holy_Name_Sunday_Feast_Saranagati_temple_-_11-07-04_IDesireTree.mp3", "07_The_Glories_of_Holy_Name_Sunday_Feast_Saranagati_temple_-_11-07-04_IDesireTree.mp3")</f>
        <v>07_The_Glories_of_Holy_Name_Sunday_Feast_Saranagati_temple_-_11-07-04_IDesireTree.mp3</v>
      </c>
      <c r="D2044" s="11"/>
      <c r="E2044" s="11"/>
    </row>
    <row r="2045" spans="1:5">
      <c r="A2045" s="12" t="s">
        <v>12462</v>
      </c>
      <c r="B2045" s="12" t="s">
        <v>14887</v>
      </c>
      <c r="C2045" s="13" t="str">
        <f>HYPERLINK("https://audio.iskcondesiretree.com/02_-_ISKCON_Swamis/ISKCON_Swamis_-_R_to_Y/His_Holiness_Radhanath_Swami/Lectures/00_-_Year_wise/Devotional_Nectar_-_2004/VOL_10/08_Guarding_Against_Offenses_SB-9_4_68_Banabihari_Mandir_-_12-07-04_IDesireTree.mp3", "08_Guarding_Against_Offenses_SB-9_4_68_Banabihari_Mandir_-_12-07-04_IDesireTree.mp3")</f>
        <v>08_Guarding_Against_Offenses_SB-9_4_68_Banabihari_Mandir_-_12-07-04_IDesireTree.mp3</v>
      </c>
      <c r="D2045" s="11"/>
      <c r="E2045" s="11"/>
    </row>
    <row r="2046" spans="1:5">
      <c r="A2046" s="12" t="s">
        <v>12462</v>
      </c>
      <c r="B2046" s="12" t="s">
        <v>14888</v>
      </c>
      <c r="C2046" s="13" t="str">
        <f>HYPERLINK("https://audio.iskcondesiretree.com/02_-_ISKCON_Swamis/ISKCON_Swamis_-_R_to_Y/His_Holiness_Radhanath_Swami/Lectures/00_-_Year_wise/Devotional_Nectar_-_2004/VOL_10/09_Fearlessness_Attained_by_Taking_Shelter_of_Krishna_Lecture_London_-_2004_IDesireTree.mp3", "09_Fearlessness_Attained_by_Taking_Shelter_of_Krishna_Lecture_London_-_2004_IDesireTree.mp3")</f>
        <v>09_Fearlessness_Attained_by_Taking_Shelter_of_Krishna_Lecture_London_-_2004_IDesireTree.mp3</v>
      </c>
      <c r="D2046" s="11"/>
      <c r="E2046" s="11"/>
    </row>
    <row r="2047" spans="1:5">
      <c r="A2047" s="12" t="s">
        <v>12462</v>
      </c>
      <c r="B2047" s="12" t="s">
        <v>14889</v>
      </c>
      <c r="C2047" s="13" t="str">
        <f>HYPERLINK("https://audio.iskcondesiretree.com/02_-_ISKCON_Swamis/ISKCON_Swamis_-_R_to_Y/His_Holiness_Radhanath_Swami/Lectures/00_-_Year_wise/Devotional_Nectar_-_2004/VOL_11/01_Hanumanji%27s_Spirit_of_Surrender_Lecture_London_-_Radhanath_Swami_2004_IDesireTree.mp3", "01_Hanumanji%27s_Spirit_of_Surrender_Lecture_London_-_Radhanath_Swami_2004_IDesireTree.mp3")</f>
        <v>01_Hanumanji%27s_Spirit_of_Surrender_Lecture_London_-_Radhanath_Swami_2004_IDesireTree.mp3</v>
      </c>
      <c r="D2047" s="11"/>
      <c r="E2047" s="11"/>
    </row>
    <row r="2048" spans="1:5">
      <c r="A2048" s="12" t="s">
        <v>12462</v>
      </c>
      <c r="B2048" s="12" t="e">
        <v>#VALUE!</v>
      </c>
      <c r="C2048" s="13" t="e">
        <f>HYPERLINK("https://audio.iskcondesiretree.com/02_-_ISKCON_Swamis/ISKCON_Swamis_-_R_to_Y/His_Holiness_Radhanath_Swami/Lectures/00_-_Year_wise/Devotional_Nectar_-_2004/VOL_11/02_Krishna_Consciousness_Means_Taking_Responsibility_CC_ML-22_56_London_-_2004_IDesireTree.mp"&amp;"3", "02_Krishna_Consciousness_Means_Taking_Responsibility_CC_ML-22_56_London_-_2004_IDesireTree.mp3")</f>
        <v>#VALUE!</v>
      </c>
      <c r="D2048" s="11"/>
      <c r="E2048" s="11"/>
    </row>
    <row r="2049" spans="1:5">
      <c r="A2049" s="12" t="s">
        <v>12462</v>
      </c>
      <c r="B2049" s="12" t="s">
        <v>14890</v>
      </c>
      <c r="C2049" s="13" t="str">
        <f>HYPERLINK("https://audio.iskcondesiretree.com/02_-_ISKCON_Swamis/ISKCON_Swamis_-_R_to_Y/His_Holiness_Radhanath_Swami/Lectures/00_-_Year_wise/Devotional_Nectar_-_2004/VOL_11/03_Seeking_Shelter_of_Vaisnavas_CC_ML-22_53_London_-_Radhanath_Swami_2004_IDesireTree.mp3", "03_Seeking_Shelter_of_Vaisnavas_CC_ML-22_53_London_-_Radhanath_Swami_2004_IDesireTree.mp3")</f>
        <v>03_Seeking_Shelter_of_Vaisnavas_CC_ML-22_53_London_-_Radhanath_Swami_2004_IDesireTree.mp3</v>
      </c>
      <c r="D2049" s="11"/>
      <c r="E2049" s="11"/>
    </row>
    <row r="2050" spans="1:5">
      <c r="A2050" s="12" t="s">
        <v>12462</v>
      </c>
      <c r="B2050" s="12" t="s">
        <v>14891</v>
      </c>
      <c r="C2050" s="13" t="str">
        <f>HYPERLINK("https://audio.iskcondesiretree.com/02_-_ISKCON_Swamis/ISKCON_Swamis_-_R_to_Y/His_Holiness_Radhanath_Swami/Lectures/00_-_Year_wise/Devotional_Nectar_-_2004/VOL_11/04_Appearance_of_Lord_Krishna_Lecture_London_-_Radhanath_Swami_2004_IDesireTree.mp3", "04_Appearance_of_Lord_Krishna_Lecture_London_-_Radhanath_Swami_2004_IDesireTree.mp3")</f>
        <v>04_Appearance_of_Lord_Krishna_Lecture_London_-_Radhanath_Swami_2004_IDesireTree.mp3</v>
      </c>
      <c r="D2050" s="11"/>
      <c r="E2050" s="11"/>
    </row>
    <row r="2051" spans="1:5">
      <c r="A2051" s="12" t="s">
        <v>12462</v>
      </c>
      <c r="B2051" s="12" t="s">
        <v>14892</v>
      </c>
      <c r="C2051" s="13" t="str">
        <f>HYPERLINK("https://audio.iskcondesiretree.com/02_-_ISKCON_Swamis/ISKCON_Swamis_-_R_to_Y/His_Holiness_Radhanath_Swami/Lectures/00_-_Year_wise/Devotional_Nectar_-_2004/VOL_11/05_Importance_of_Sense_Control_SB-07_12_17-25_London_-_Radhanath_Swami_2004_IDesireTree.mp3", "05_Importance_of_Sense_Control_SB-07_12_17-25_London_-_Radhanath_Swami_2004_IDesireTree.mp3")</f>
        <v>05_Importance_of_Sense_Control_SB-07_12_17-25_London_-_Radhanath_Swami_2004_IDesireTree.mp3</v>
      </c>
      <c r="D2051" s="11"/>
      <c r="E2051" s="11"/>
    </row>
    <row r="2052" spans="1:5">
      <c r="A2052" s="12" t="s">
        <v>12462</v>
      </c>
      <c r="B2052" s="12" t="s">
        <v>14893</v>
      </c>
      <c r="C2052" s="13" t="str">
        <f>HYPERLINK("https://audio.iskcondesiretree.com/02_-_ISKCON_Swamis/ISKCON_Swamis_-_R_to_Y/His_Holiness_Radhanath_Swami/Lectures/00_-_Year_wise/Devotional_Nectar_-_2004/VOL_11/06_Overcoming_Fear_SB-04_28_22_London_-_Radhanath_Swami_2004_IDesireTree.mp3", "06_Overcoming_Fear_SB-04_28_22_London_-_Radhanath_Swami_2004_IDesireTree.mp3")</f>
        <v>06_Overcoming_Fear_SB-04_28_22_London_-_Radhanath_Swami_2004_IDesireTree.mp3</v>
      </c>
      <c r="D2052" s="11"/>
      <c r="E2052" s="11"/>
    </row>
    <row r="2053" spans="1:5">
      <c r="A2053" s="12" t="s">
        <v>12462</v>
      </c>
      <c r="B2053" s="12" t="s">
        <v>14894</v>
      </c>
      <c r="C2053" s="13" t="str">
        <f>HYPERLINK("https://audio.iskcondesiretree.com/02_-_ISKCON_Swamis/ISKCON_Swamis_-_R_to_Y/His_Holiness_Radhanath_Swami/Lectures/00_-_Year_wise/Devotional_Nectar_-_2004/VOL_11/07_Krishna_Consciousness_Surpasses_all_Rituals_SB-07_15_04_London_-_23-08-04_IDesireTree.mp3", "07_Krishna_Consciousness_Surpasses_all_Rituals_SB-07_15_04_London_-_23-08-04_IDesireTree.mp3")</f>
        <v>07_Krishna_Consciousness_Surpasses_all_Rituals_SB-07_15_04_London_-_23-08-04_IDesireTree.mp3</v>
      </c>
      <c r="D2053" s="11"/>
      <c r="E2053" s="11"/>
    </row>
    <row r="2054" spans="1:5">
      <c r="A2054" s="12" t="s">
        <v>12462</v>
      </c>
      <c r="B2054" s="12" t="s">
        <v>14895</v>
      </c>
      <c r="C2054" s="13" t="str">
        <f>HYPERLINK("https://audio.iskcondesiretree.com/02_-_ISKCON_Swamis/ISKCON_Swamis_-_R_to_Y/His_Holiness_Radhanath_Swami/Lectures/00_-_Year_wise/Devotional_Nectar_-_2004/VOL_11/08_Deliverance_of_Bakasura_Sunday_Feast_London_-_Radhanath_Swami_2004-08-22_IDesireTree.mp3", "08_Deliverance_of_Bakasura_Sunday_Feast_London_-_Radhanath_Swami_2004-08-22_IDesireTree.mp3")</f>
        <v>08_Deliverance_of_Bakasura_Sunday_Feast_London_-_Radhanath_Swami_2004-08-22_IDesireTree.mp3</v>
      </c>
      <c r="D2054" s="11"/>
      <c r="E2054" s="11"/>
    </row>
    <row r="2055" spans="1:5">
      <c r="A2055" s="12" t="s">
        <v>12462</v>
      </c>
      <c r="B2055" s="12" t="s">
        <v>14896</v>
      </c>
      <c r="C2055" s="13" t="str">
        <f>HYPERLINK("https://audio.iskcondesiretree.com/02_-_ISKCON_Swamis/ISKCON_Swamis_-_R_to_Y/His_Holiness_Radhanath_Swami/Lectures/00_-_Year_wise/Devotional_Nectar_-_2004/VOL_11/09_Aspiring_to_Serve_Birth_after_Birth_SB-04_30_33_Mumbai_-_04-09-04_IDesireTree.mp3", "09_Aspiring_to_Serve_Birth_after_Birth_SB-04_30_33_Mumbai_-_04-09-04_IDesireTree.mp3")</f>
        <v>09_Aspiring_to_Serve_Birth_after_Birth_SB-04_30_33_Mumbai_-_04-09-04_IDesireTree.mp3</v>
      </c>
      <c r="D2055" s="11"/>
      <c r="E2055" s="11"/>
    </row>
    <row r="2056" spans="1:5">
      <c r="A2056" s="12" t="s">
        <v>12462</v>
      </c>
      <c r="B2056" s="12" t="s">
        <v>14897</v>
      </c>
      <c r="C2056" s="13" t="str">
        <f>HYPERLINK("https://audio.iskcondesiretree.com/02_-_ISKCON_Swamis/ISKCON_Swamis_-_R_to_Y/His_Holiness_Radhanath_Swami/Lectures/00_-_Year_wise/Devotional_Nectar_-_2004/VOL_11/10_Immense_Value_of_Association_SB-4_30_34_Mumbai_-_05-09-04_IDesireTree.mp3", "10_Immense_Value_of_Association_SB-4_30_34_Mumbai_-_05-09-04_IDesireTree.mp3")</f>
        <v>10_Immense_Value_of_Association_SB-4_30_34_Mumbai_-_05-09-04_IDesireTree.mp3</v>
      </c>
      <c r="D2056" s="11"/>
      <c r="E2056" s="11"/>
    </row>
    <row r="2057" spans="1:5">
      <c r="A2057" s="12" t="s">
        <v>12462</v>
      </c>
      <c r="B2057" s="12" t="s">
        <v>14898</v>
      </c>
      <c r="C2057" s="13" t="str">
        <f>HYPERLINK("https://audio.iskcondesiretree.com/02_-_ISKCON_Swamis/ISKCON_Swamis_-_R_to_Y/His_Holiness_Radhanath_Swami/Lectures/00_-_Year_wise/Devotional_Nectar_-_2004/VOL_11/11_Benefits_of_Hearing_Transcendental_Topics_Sunday_Feast_Mumbai_-_05-09-04_IDesireTree.mp3", "11_Benefits_of_Hearing_Transcendental_Topics_Sunday_Feast_Mumbai_-_05-09-04_IDesireTree.mp3")</f>
        <v>11_Benefits_of_Hearing_Transcendental_Topics_Sunday_Feast_Mumbai_-_05-09-04_IDesireTree.mp3</v>
      </c>
      <c r="D2057" s="11"/>
      <c r="E2057" s="11"/>
    </row>
    <row r="2058" spans="1:5">
      <c r="A2058" s="12" t="s">
        <v>12462</v>
      </c>
      <c r="B2058" s="12" t="s">
        <v>14899</v>
      </c>
      <c r="C2058" s="13" t="str">
        <f>HYPERLINK("https://audio.iskcondesiretree.com/02_-_ISKCON_Swamis/ISKCON_Swamis_-_R_to_Y/His_Holiness_Radhanath_Swami/Lectures/00_-_Year_wise/Devotional_Nectar_-_2004/VOL_12/01_Appearance_of_Lord_Krishna_Janmashtami_Mumbai_-_Radhanath_Swami_2004-09-07_IDesireTree.mp3", "01_Appearance_of_Lord_Krishna_Janmashtami_Mumbai_-_Radhanath_Swami_2004-09-07_IDesireTree.mp3")</f>
        <v>01_Appearance_of_Lord_Krishna_Janmashtami_Mumbai_-_Radhanath_Swami_2004-09-07_IDesireTree.mp3</v>
      </c>
      <c r="D2058" s="11"/>
      <c r="E2058" s="11"/>
    </row>
    <row r="2059" spans="1:5">
      <c r="A2059" s="12" t="s">
        <v>12462</v>
      </c>
      <c r="B2059" s="12" t="s">
        <v>14900</v>
      </c>
      <c r="C2059" s="13" t="str">
        <f>HYPERLINK("https://audio.iskcondesiretree.com/02_-_ISKCON_Swamis/ISKCON_Swamis_-_R_to_Y/His_Holiness_Radhanath_Swami/Lectures/00_-_Year_wise/Devotional_Nectar_-_2004/VOL_12/02_Srila_Prabhupada_In_New_York_Vyas_Puja_Offering_Mumbai_-_09-09-04_IDesireTree.mp3", "02_Srila_Prabhupada_In_New_York_Vyas_Puja_Offering_Mumbai_-_09-09-04_IDesireTree.mp3")</f>
        <v>02_Srila_Prabhupada_In_New_York_Vyas_Puja_Offering_Mumbai_-_09-09-04_IDesireTree.mp3</v>
      </c>
      <c r="D2059" s="11"/>
      <c r="E2059" s="11"/>
    </row>
    <row r="2060" spans="1:5">
      <c r="A2060" s="12" t="s">
        <v>12462</v>
      </c>
      <c r="B2060" s="12" t="s">
        <v>14901</v>
      </c>
      <c r="C2060" s="13" t="str">
        <f>HYPERLINK("https://audio.iskcondesiretree.com/02_-_ISKCON_Swamis/ISKCON_Swamis_-_R_to_Y/His_Holiness_Radhanath_Swami/Lectures/00_-_Year_wise/Devotional_Nectar_-_2004/VOL_12/03_Transforming_Garage_Like_Heart_Into_VaikunthaLecture_Mumbai_-_10-09-04_IDesireTree.mp3", "03_Transforming_Garage_Like_Heart_Into_VaikunthaLecture_Mumbai_-_10-09-04_IDesireTree.mp3")</f>
        <v>03_Transforming_Garage_Like_Heart_Into_VaikunthaLecture_Mumbai_-_10-09-04_IDesireTree.mp3</v>
      </c>
      <c r="D2060" s="11"/>
      <c r="E2060" s="11"/>
    </row>
    <row r="2061" spans="1:5">
      <c r="A2061" s="12" t="s">
        <v>12462</v>
      </c>
      <c r="B2061" s="12" t="e">
        <v>#VALUE!</v>
      </c>
      <c r="C2061" s="13" t="e">
        <f>HYPERLINK("https://audio.iskcondesiretree.com/02_-_ISKCON_Swamis/ISKCON_Swamis_-_R_to_Y/His_Holiness_Radhanath_Swami/Lectures/00_-_Year_wise/Devotional_Nectar_-_2004/VOL_12/04_Eternal_Friendship-_Sridhar_Swami_%26_Giriraj_SwamiOffering_Mumbai_-_11-09-04_IDesireTree."&amp;"mp3", "04_Eternal_Friendship-_Sridhar_Swami_%26_Giriraj_SwamiOffering_Mumbai_-_11-09-04_IDesireTree.mp3")</f>
        <v>#VALUE!</v>
      </c>
      <c r="D2061" s="11"/>
      <c r="E2061" s="11"/>
    </row>
    <row r="2062" spans="1:5">
      <c r="A2062" s="12" t="s">
        <v>12462</v>
      </c>
      <c r="B2062" s="12" t="s">
        <v>14902</v>
      </c>
      <c r="C2062" s="13" t="str">
        <f>HYPERLINK("https://audio.iskcondesiretree.com/02_-_ISKCON_Swamis/ISKCON_Swamis_-_R_to_Y/His_Holiness_Radhanath_Swami/Lectures/00_-_Year_wise/Devotional_Nectar_-_2004/VOL_12/05_Who_is_Real_Aryan_SB-5_30_39_Mumbai_-_Radhanath_Swami_2004-09-12_IDesireTree.mp3", "05_Who_is_Real_Aryan_SB-5_30_39_Mumbai_-_Radhanath_Swami_2004-09-12_IDesireTree.mp3")</f>
        <v>05_Who_is_Real_Aryan_SB-5_30_39_Mumbai_-_Radhanath_Swami_2004-09-12_IDesireTree.mp3</v>
      </c>
      <c r="D2062" s="11"/>
      <c r="E2062" s="11"/>
    </row>
    <row r="2063" spans="1:5">
      <c r="A2063" s="12" t="s">
        <v>12462</v>
      </c>
      <c r="B2063" s="12" t="s">
        <v>14903</v>
      </c>
      <c r="C2063" s="13" t="str">
        <f>HYPERLINK("https://audio.iskcondesiretree.com/02_-_ISKCON_Swamis/ISKCON_Swamis_-_R_to_Y/His_Holiness_Radhanath_Swami/Lectures/00_-_Year_wise/Devotional_Nectar_-_2004/VOL_12/06_Learning_to_Take_Shelter_of_Krsna_Sunday_Feast_Mumbai_-_12-09-04_IDesireTree.mp3", "06_Learning_to_Take_Shelter_of_Krsna_Sunday_Feast_Mumbai_-_12-09-04_IDesireTree.mp3")</f>
        <v>06_Learning_to_Take_Shelter_of_Krsna_Sunday_Feast_Mumbai_-_12-09-04_IDesireTree.mp3</v>
      </c>
      <c r="D2063" s="11"/>
      <c r="E2063" s="11"/>
    </row>
    <row r="2064" spans="1:5">
      <c r="A2064" s="12" t="s">
        <v>12462</v>
      </c>
      <c r="B2064" s="12" t="s">
        <v>14904</v>
      </c>
      <c r="C2064" s="13" t="str">
        <f>HYPERLINK("https://audio.iskcondesiretree.com/02_-_ISKCON_Swamis/ISKCON_Swamis_-_R_to_Y/His_Holiness_Radhanath_Swami/Lectures/00_-_Year_wise/Devotional_Nectar_-_2004/VOL_12/07_Overcoming_the_Invisible_Strings_of_Maya_SB-04_30_45_Mumbai_-_18-09-04_IDesireTree.mp3", "07_Overcoming_the_Invisible_Strings_of_Maya_SB-04_30_45_Mumbai_-_18-09-04_IDesireTree.mp3")</f>
        <v>07_Overcoming_the_Invisible_Strings_of_Maya_SB-04_30_45_Mumbai_-_18-09-04_IDesireTree.mp3</v>
      </c>
      <c r="D2064" s="11"/>
      <c r="E2064" s="11"/>
    </row>
    <row r="2065" spans="1:5">
      <c r="A2065" s="12" t="s">
        <v>12462</v>
      </c>
      <c r="B2065" s="12" t="s">
        <v>14905</v>
      </c>
      <c r="C2065" s="13" t="str">
        <f>HYPERLINK("https://audio.iskcondesiretree.com/02_-_ISKCON_Swamis/ISKCON_Swamis_-_R_to_Y/His_Holiness_Radhanath_Swami/Lectures/00_-_Year_wise/Devotional_Nectar_-_2004/VOL_12/08_Begging_for_Compassionate_Love_Radhashtami_Mumbai_-_22-09-04_IDesireTree.mp3", "08_Begging_for_Compassionate_Love_Radhashtami_Mumbai_-_22-09-04_IDesireTree.mp3")</f>
        <v>08_Begging_for_Compassionate_Love_Radhashtami_Mumbai_-_22-09-04_IDesireTree.mp3</v>
      </c>
      <c r="D2065" s="11"/>
      <c r="E2065" s="11"/>
    </row>
    <row r="2066" spans="1:5">
      <c r="A2066" s="12" t="s">
        <v>12462</v>
      </c>
      <c r="B2066" s="12" t="s">
        <v>14906</v>
      </c>
      <c r="C2066" s="13" t="str">
        <f>HYPERLINK("https://audio.iskcondesiretree.com/02_-_ISKCON_Swamis/ISKCON_Swamis_-_R_to_Y/His_Holiness_Radhanath_Swami/Lectures/00_-_Year_wise/Devotional_Nectar_-_2004/VOL_13/01_Crying_Out_for_Mercy_Radhashtami_Mumbai_-_Radhanath_Swami_2004-09-22_IDesireTree.mp3", "01_Crying_Out_for_Mercy_Radhashtami_Mumbai_-_Radhanath_Swami_2004-09-22_IDesireTree.mp3")</f>
        <v>01_Crying_Out_for_Mercy_Radhashtami_Mumbai_-_Radhanath_Swami_2004-09-22_IDesireTree.mp3</v>
      </c>
      <c r="D2066" s="11"/>
      <c r="E2066" s="11"/>
    </row>
    <row r="2067" spans="1:5">
      <c r="A2067" s="12" t="s">
        <v>12462</v>
      </c>
      <c r="B2067" s="12" t="s">
        <v>14907</v>
      </c>
      <c r="C2067" s="13" t="str">
        <f>HYPERLINK("https://audio.iskcondesiretree.com/02_-_ISKCON_Swamis/ISKCON_Swamis_-_R_to_Y/His_Holiness_Radhanath_Swami/Lectures/00_-_Year_wise/Devotional_Nectar_-_2004/VOL_13/02_The_Art_of_Forgiveness_Prerana_Mumbai_-_Radhanath_Swami_2004-09-18_IDesireTree.mp3", "02_The_Art_of_Forgiveness_Prerana_Mumbai_-_Radhanath_Swami_2004-09-18_IDesireTree.mp3")</f>
        <v>02_The_Art_of_Forgiveness_Prerana_Mumbai_-_Radhanath_Swami_2004-09-18_IDesireTree.mp3</v>
      </c>
      <c r="D2067" s="11"/>
      <c r="E2067" s="11"/>
    </row>
    <row r="2068" spans="1:5">
      <c r="A2068" s="12" t="s">
        <v>12462</v>
      </c>
      <c r="B2068" s="12" t="s">
        <v>14908</v>
      </c>
      <c r="C2068" s="13" t="str">
        <f>HYPERLINK("https://audio.iskcondesiretree.com/02_-_ISKCON_Swamis/ISKCON_Swamis_-_R_to_Y/His_Holiness_Radhanath_Swami/Lectures/00_-_Year_wise/Devotional_Nectar_-_2004/VOL_13/03_While_in_Pandharpur_Lecture_Pandharpur_-_Radhanath_Swami_2004-09-19_IDesireTree.mp3", "03_While_in_Pandharpur_Lecture_Pandharpur_-_Radhanath_Swami_2004-09-19_IDesireTree.mp3")</f>
        <v>03_While_in_Pandharpur_Lecture_Pandharpur_-_Radhanath_Swami_2004-09-19_IDesireTree.mp3</v>
      </c>
      <c r="D2068" s="11"/>
      <c r="E2068" s="11"/>
    </row>
    <row r="2069" spans="1:5">
      <c r="A2069" s="12" t="s">
        <v>12462</v>
      </c>
      <c r="B2069" s="12" t="s">
        <v>14909</v>
      </c>
      <c r="C2069" s="13" t="str">
        <f>HYPERLINK("https://audio.iskcondesiretree.com/02_-_ISKCON_Swamis/ISKCON_Swamis_-_R_to_Y/His_Holiness_Radhanath_Swami/Lectures/00_-_Year_wise/Devotional_Nectar_-_2004/VOL_13/04_Pandharpur-_A_Place_of_Immense_Spirituality_Lecture_Pandharpur_-_20-09-04_IDesireTree.mp3", "04_Pandharpur-_A_Place_of_Immense_Spirituality_Lecture_Pandharpur_-_20-09-04_IDesireTree.mp3")</f>
        <v>04_Pandharpur-_A_Place_of_Immense_Spirituality_Lecture_Pandharpur_-_20-09-04_IDesireTree.mp3</v>
      </c>
      <c r="D2069" s="11"/>
      <c r="E2069" s="11"/>
    </row>
    <row r="2070" spans="1:5">
      <c r="A2070" s="12" t="s">
        <v>12462</v>
      </c>
      <c r="B2070" s="12" t="s">
        <v>14910</v>
      </c>
      <c r="C2070" s="13" t="str">
        <f>HYPERLINK("https://audio.iskcondesiretree.com/02_-_ISKCON_Swamis/ISKCON_Swamis_-_R_to_Y/His_Holiness_Radhanath_Swami/Lectures/00_-_Year_wise/Devotional_Nectar_-_2004/VOL_13/05_Root_of_All_Causes_SB-04_31_18_Mumbai_-_Radhanath_Swami_2004-10-16_IDesireTree.mp3", "05_Root_of_All_Causes_SB-04_31_18_Mumbai_-_Radhanath_Swami_2004-10-16_IDesireTree.mp3")</f>
        <v>05_Root_of_All_Causes_SB-04_31_18_Mumbai_-_Radhanath_Swami_2004-10-16_IDesireTree.mp3</v>
      </c>
      <c r="D2070" s="11"/>
      <c r="E2070" s="11"/>
    </row>
    <row r="2071" spans="1:5">
      <c r="A2071" s="12" t="s">
        <v>12462</v>
      </c>
      <c r="B2071" s="12" t="s">
        <v>14911</v>
      </c>
      <c r="C2071" s="13" t="str">
        <f>HYPERLINK("https://audio.iskcondesiretree.com/02_-_ISKCON_Swamis/ISKCON_Swamis_-_R_to_Y/His_Holiness_Radhanath_Swami/Lectures/00_-_Year_wise/Devotional_Nectar_-_2004/VOL_13/06_The_Power_of_Positive_Atittude_Prerana_Mumbai_-_Radhanath_Swami_2004-10-16_IDesireTree.mp3", "06_The_Power_of_Positive_Atittude_Prerana_Mumbai_-_Radhanath_Swami_2004-10-16_IDesireTree.mp3")</f>
        <v>06_The_Power_of_Positive_Atittude_Prerana_Mumbai_-_Radhanath_Swami_2004-10-16_IDesireTree.mp3</v>
      </c>
      <c r="D2071" s="11"/>
      <c r="E2071" s="11"/>
    </row>
    <row r="2072" spans="1:5">
      <c r="A2072" s="12" t="s">
        <v>12462</v>
      </c>
      <c r="B2072" s="12" t="s">
        <v>14912</v>
      </c>
      <c r="C2072" s="13" t="str">
        <f>HYPERLINK("https://audio.iskcondesiretree.com/02_-_ISKCON_Swamis/ISKCON_Swamis_-_R_to_Y/His_Holiness_Radhanath_Swami/Lectures/00_-_Year_wise/Devotional_Nectar_-_2004/VOL_13/07_Showing_Real_Compassion_Thru_Preaching_SB-04_31_19_Mumbai_-_17-10-04_IDesireTree.mp3", "07_Showing_Real_Compassion_Thru_Preaching_SB-04_31_19_Mumbai_-_17-10-04_IDesireTree.mp3")</f>
        <v>07_Showing_Real_Compassion_Thru_Preaching_SB-04_31_19_Mumbai_-_17-10-04_IDesireTree.mp3</v>
      </c>
      <c r="D2072" s="11"/>
      <c r="E2072" s="11"/>
    </row>
    <row r="2073" spans="1:5">
      <c r="A2073" s="12" t="s">
        <v>12462</v>
      </c>
      <c r="B2073" s="12" t="s">
        <v>14913</v>
      </c>
      <c r="C2073" s="13" t="str">
        <f>HYPERLINK("https://audio.iskcondesiretree.com/02_-_ISKCON_Swamis/ISKCON_Swamis_-_R_to_Y/His_Holiness_Radhanath_Swami/Lectures/00_-_Year_wise/Devotional_Nectar_-_2004/VOL_13/08_Brahma_Vimohan_Lila_Sunday_Feast_Mumbai_-_Radhanath_Swami_2004-10-17_IDesireTree.mp3", "08_Brahma_Vimohan_Lila_Sunday_Feast_Mumbai_-_Radhanath_Swami_2004-10-17_IDesireTree.mp3")</f>
        <v>08_Brahma_Vimohan_Lila_Sunday_Feast_Mumbai_-_Radhanath_Swami_2004-10-17_IDesireTree.mp3</v>
      </c>
      <c r="D2073" s="11"/>
      <c r="E2073" s="11"/>
    </row>
    <row r="2074" spans="1:5">
      <c r="A2074" s="12" t="s">
        <v>12462</v>
      </c>
      <c r="B2074" s="12" t="s">
        <v>14914</v>
      </c>
      <c r="C2074" s="13" t="str">
        <f>HYPERLINK("https://audio.iskcondesiretree.com/02_-_ISKCON_Swamis/ISKCON_Swamis_-_R_to_Y/His_Holiness_Radhanath_Swami/Lectures/00_-_Year_wise/Devotional_Nectar_-_2004/VOL_14/01_Real_Meaning_of_Yajna_Mumbai_-_Radhanath_Swami_2004-10-22_IDesireTree.mp3", "01_Real_Meaning_of_Yajna_Mumbai_-_Radhanath_Swami_2004-10-22_IDesireTree.mp3")</f>
        <v>01_Real_Meaning_of_Yajna_Mumbai_-_Radhanath_Swami_2004-10-22_IDesireTree.mp3</v>
      </c>
      <c r="D2074" s="11"/>
      <c r="E2074" s="11"/>
    </row>
    <row r="2075" spans="1:5">
      <c r="A2075" s="12" t="s">
        <v>12462</v>
      </c>
      <c r="B2075" s="12" t="s">
        <v>14915</v>
      </c>
      <c r="C2075" s="13" t="str">
        <f>HYPERLINK("https://audio.iskcondesiretree.com/02_-_ISKCON_Swamis/ISKCON_Swamis_-_R_to_Y/His_Holiness_Radhanath_Swami/Lectures/00_-_Year_wise/Devotional_Nectar_-_2004/VOL_14/02_Philosophy_Without_Good_Character_has_no_Meaning_Lecture_Mumbai_-_23-10-04_IDesireTree.mp3", "02_Philosophy_Without_Good_Character_has_no_Meaning_Lecture_Mumbai_-_23-10-04_IDesireTree.mp3")</f>
        <v>02_Philosophy_Without_Good_Character_has_no_Meaning_Lecture_Mumbai_-_23-10-04_IDesireTree.mp3</v>
      </c>
      <c r="D2075" s="11"/>
      <c r="E2075" s="11"/>
    </row>
    <row r="2076" spans="1:5">
      <c r="A2076" s="12" t="s">
        <v>12462</v>
      </c>
      <c r="B2076" s="12" t="e">
        <v>#VALUE!</v>
      </c>
      <c r="C2076" s="13" t="e">
        <f>HYPERLINK("https://audio.iskcondesiretree.com/02_-_ISKCON_Swamis/ISKCON_Swamis_-_R_to_Y/His_Holiness_Radhanath_Swami/Lectures/00_-_Year_wise/Devotional_Nectar_-_2004/VOL_14/03_Purifying_One%E2%80%99s_Existence_Through_Initiation_Initiation_Lecture_Mumbai_-_24-10-04_"&amp;"IDesireTree.mp3", "03_Purifying_One%E2%80%99s_Existence_Through_Initiation_Initiation_Lecture_Mumbai_-_24-10-04_IDesireTree.mp3")</f>
        <v>#VALUE!</v>
      </c>
      <c r="D2076" s="11"/>
      <c r="E2076" s="11"/>
    </row>
    <row r="2077" spans="1:5">
      <c r="A2077" s="12" t="s">
        <v>12462</v>
      </c>
      <c r="B2077" s="12" t="e">
        <v>#VALUE!</v>
      </c>
      <c r="C2077" s="13" t="e">
        <f>HYPERLINK("https://audio.iskcondesiretree.com/02_-_ISKCON_Swamis/ISKCON_Swamis_-_R_to_Y/His_Holiness_Radhanath_Swami/Lectures/00_-_Year_wise/Devotional_Nectar_-_2004/VOL_14/04_Willingness_to_Take_Humble_Position_%26_Forgive_Sunday_Feast_Mumbai_-_24-10-04_IDesireTree"&amp;".mp3", "04_Willingness_to_Take_Humble_Position_%26_Forgive_Sunday_Feast_Mumbai_-_24-10-04_IDesireTree.mp3")</f>
        <v>#VALUE!</v>
      </c>
      <c r="D2077" s="11"/>
      <c r="E2077" s="11"/>
    </row>
    <row r="2078" spans="1:5">
      <c r="A2078" s="12" t="s">
        <v>12462</v>
      </c>
      <c r="B2078" s="12" t="e">
        <v>#VALUE!</v>
      </c>
      <c r="C2078" s="13" t="e">
        <f>HYPERLINK("https://audio.iskcondesiretree.com/02_-_ISKCON_Swamis/ISKCON_Swamis_-_R_to_Y/His_Holiness_Radhanath_Swami/Lectures/00_-_Year_wise/Devotional_Nectar_-_2004/VOL_14/05_Preachers_Must_Have_Compassionate_Heart_like_Vidura_SB-04_31_30-31_Mumbai_-_30-10-04_IDesi"&amp;"reTree.mp3", "05_Preachers_Must_Have_Compassionate_Heart_like_Vidura_SB-04_31_30-31_Mumbai_-_30-10-04_IDesireTree.mp3")</f>
        <v>#VALUE!</v>
      </c>
      <c r="D2078" s="11"/>
      <c r="E2078" s="11"/>
    </row>
    <row r="2079" spans="1:5">
      <c r="A2079" s="12" t="s">
        <v>12462</v>
      </c>
      <c r="B2079" s="12" t="s">
        <v>14916</v>
      </c>
      <c r="C2079" s="13" t="str">
        <f>HYPERLINK("https://audio.iskcondesiretree.com/02_-_ISKCON_Swamis/ISKCON_Swamis_-_R_to_Y/His_Holiness_Radhanath_Swami/Lectures/00_-_Year_wise/Devotional_Nectar_-_2004/VOL_14/06_Service_as_Center_of_Varnashram_SB-05_01_01_Mumbai_-_31-10-04_IDesireTree.mp3", "06_Service_as_Center_of_Varnashram_SB-05_01_01_Mumbai_-_31-10-04_IDesireTree.mp3")</f>
        <v>06_Service_as_Center_of_Varnashram_SB-05_01_01_Mumbai_-_31-10-04_IDesireTree.mp3</v>
      </c>
      <c r="D2079" s="11"/>
      <c r="E2079" s="11"/>
    </row>
    <row r="2080" spans="1:5">
      <c r="A2080" s="12" t="s">
        <v>12462</v>
      </c>
      <c r="B2080" s="12" t="s">
        <v>14917</v>
      </c>
      <c r="C2080" s="13" t="str">
        <f>HYPERLINK("https://audio.iskcondesiretree.com/02_-_ISKCON_Swamis/ISKCON_Swamis_-_R_to_Y/His_Holiness_Radhanath_Swami/Lectures/00_-_Year_wise/Devotional_Nectar_-_2004/VOL_14/07_Festivals_of_Kartik_Sunday_Feast_Lecture_Mumbai_-_31-10-04_IDesireTree.mp3", "07_Festivals_of_Kartik_Sunday_Feast_Lecture_Mumbai_-_31-10-04_IDesireTree.mp3")</f>
        <v>07_Festivals_of_Kartik_Sunday_Feast_Lecture_Mumbai_-_31-10-04_IDesireTree.mp3</v>
      </c>
      <c r="D2080" s="11"/>
      <c r="E2080" s="11"/>
    </row>
    <row r="2081" spans="1:5">
      <c r="A2081" s="12" t="s">
        <v>12462</v>
      </c>
      <c r="B2081" s="12" t="e">
        <v>#VALUE!</v>
      </c>
      <c r="C2081" s="13" t="e">
        <f>HYPERLINK("https://audio.iskcondesiretree.com/02_-_ISKCON_Swamis/ISKCON_Swamis_-_R_to_Y/His_Holiness_Radhanath_Swami/Lectures/00_-_Year_wise/Devotional_Nectar_-_2004/VOL_14/08_Krishna_Controlled_by_the_Love_of_His_Devotees_SB-02_04_12_KB_Mandir_-_25-11-04_IDesireTre"&amp;"e.mp3", "08_Krishna_Controlled_by_the_Love_of_His_Devotees_SB-02_04_12_KB_Mandir_-_25-11-04_IDesireTree.mp3")</f>
        <v>#VALUE!</v>
      </c>
      <c r="D2081" s="11"/>
      <c r="E2081" s="11"/>
    </row>
    <row r="2082" spans="1:5">
      <c r="A2082" s="12" t="s">
        <v>12462</v>
      </c>
      <c r="B2082" s="12" t="e">
        <v>#VALUE!</v>
      </c>
      <c r="C2082" s="13" t="e">
        <f>HYPERLINK("https://audio.iskcondesiretree.com/02_-_ISKCON_Swamis/ISKCON_Swamis_-_R_to_Y/His_Holiness_Radhanath_Swami/Lectures/00_-_Year_wise/Devotional_Nectar_-_2004/VOL_14/09_Compassion-_The_Real_Spirit_of_Renunciation_SB-05_01_25-26_Mumbai_-_28-11-04_IDesireTree.m"&amp;"p3", "09_Compassion-_The_Real_Spirit_of_Renunciation_SB-05_01_25-26_Mumbai_-_28-11-04_IDesireTree.mp3")</f>
        <v>#VALUE!</v>
      </c>
      <c r="D2082" s="11"/>
      <c r="E2082" s="11"/>
    </row>
    <row r="2083" spans="1:5">
      <c r="A2083" s="12" t="s">
        <v>12462</v>
      </c>
      <c r="B2083" s="12" t="e">
        <v>#VALUE!</v>
      </c>
      <c r="C2083" s="13" t="e">
        <f>HYPERLINK("https://audio.iskcondesiretree.com/02_-_ISKCON_Swamis/ISKCON_Swamis_-_R_to_Y/His_Holiness_Radhanath_Swami/Lectures/00_-_Year_wise/Devotional_Nectar_-_2004/VOL_14/10_Jagadananda_Pandit%27s_Love_Conquers_Lord_Caitanya_Sunday_Feast_Mumbai_-__28-11-04_IDesire"&amp;"Tree.mp3", "10_Jagadananda_Pandit%27s_Love_Conquers_Lord_Caitanya_Sunday_Feast_Mumbai_-__28-11-04_IDesireTree.mp3")</f>
        <v>#VALUE!</v>
      </c>
      <c r="D2083" s="11"/>
      <c r="E2083" s="11"/>
    </row>
    <row r="2084" spans="1:5">
      <c r="A2084" s="12" t="s">
        <v>12462</v>
      </c>
      <c r="B2084" s="12" t="s">
        <v>14918</v>
      </c>
      <c r="C2084" s="13" t="str">
        <f>HYPERLINK("https://audio.iskcondesiretree.com/02_-_ISKCON_Swamis/ISKCON_Swamis_-_R_to_Y/His_Holiness_Radhanath_Swami/Lectures/00_-_Year_wise/Devotional_Nectar_-_2004/VOL_15/01_Why_Do_Bad_Things_Happen_to_Good_People_Prerana_Mumbai_-_30-11-04_IDesireTree.mp3", "01_Why_Do_Bad_Things_Happen_to_Good_People_Prerana_Mumbai_-_30-11-04_IDesireTree.mp3")</f>
        <v>01_Why_Do_Bad_Things_Happen_to_Good_People_Prerana_Mumbai_-_30-11-04_IDesireTree.mp3</v>
      </c>
      <c r="D2084" s="11"/>
      <c r="E2084" s="11"/>
    </row>
    <row r="2085" spans="1:5">
      <c r="A2085" s="12" t="s">
        <v>12462</v>
      </c>
      <c r="B2085" s="12" t="s">
        <v>14919</v>
      </c>
      <c r="C2085" s="13" t="str">
        <f>HYPERLINK("https://audio.iskcondesiretree.com/02_-_ISKCON_Swamis/ISKCON_Swamis_-_R_to_Y/His_Holiness_Radhanath_Swami/Lectures/00_-_Year_wise/Devotional_Nectar_-_2004/VOL_15/02_Who_is_Crazy_Chetana_Mumbai_-_Radhanath_Swami_2004-12-04_IDesireTree.mp3", "02_Who_is_Crazy_Chetana_Mumbai_-_Radhanath_Swami_2004-12-04_IDesireTree.mp3")</f>
        <v>02_Who_is_Crazy_Chetana_Mumbai_-_Radhanath_Swami_2004-12-04_IDesireTree.mp3</v>
      </c>
      <c r="D2085" s="11"/>
      <c r="E2085" s="11"/>
    </row>
    <row r="2086" spans="1:5">
      <c r="A2086" s="12" t="s">
        <v>12462</v>
      </c>
      <c r="B2086" s="12" t="e">
        <v>#VALUE!</v>
      </c>
      <c r="C2086" s="13" t="e">
        <f>HYPERLINK("https://audio.iskcondesiretree.com/02_-_ISKCON_Swamis/ISKCON_Swamis_-_R_to_Y/His_Holiness_Radhanath_Swami/Lectures/00_-_Year_wise/Devotional_Nectar_-_2004/VOL_15/03_Benefits_of_Taking_Shelter_of_Lord%27s_Lotus_Feet_SB-05_01_35_Mumbai_-_05-12-04_IDesireTre"&amp;"e.mp3", "03_Benefits_of_Taking_Shelter_of_Lord%27s_Lotus_Feet_SB-05_01_35_Mumbai_-_05-12-04_IDesireTree.mp3")</f>
        <v>#VALUE!</v>
      </c>
      <c r="D2086" s="11"/>
      <c r="E2086" s="11"/>
    </row>
    <row r="2087" spans="1:5">
      <c r="A2087" s="12" t="s">
        <v>12462</v>
      </c>
      <c r="B2087" s="12" t="s">
        <v>14920</v>
      </c>
      <c r="C2087" s="13" t="str">
        <f>HYPERLINK("https://audio.iskcondesiretree.com/02_-_ISKCON_Swamis/ISKCON_Swamis_-_R_to_Y/His_Holiness_Radhanath_Swami/Lectures/00_-_Year_wise/Devotional_Nectar_-_2004/VOL_15/04_Lord_Caitanya_Explains_Who_is_a_Vaisnava_Sunday_Feast_Mumbai_-_05-12-04_IDesireTree.mp3", "04_Lord_Caitanya_Explains_Who_is_a_Vaisnava_Sunday_Feast_Mumbai_-_05-12-04_IDesireTree.mp3")</f>
        <v>04_Lord_Caitanya_Explains_Who_is_a_Vaisnava_Sunday_Feast_Mumbai_-_05-12-04_IDesireTree.mp3</v>
      </c>
      <c r="D2087" s="11"/>
      <c r="E2087" s="11"/>
    </row>
    <row r="2088" spans="1:5">
      <c r="A2088" s="12" t="s">
        <v>12462</v>
      </c>
      <c r="B2088" s="12" t="s">
        <v>14921</v>
      </c>
      <c r="C2088" s="13" t="str">
        <f>HYPERLINK("https://audio.iskcondesiretree.com/02_-_ISKCON_Swamis/ISKCON_Swamis_-_R_to_Y/His_Holiness_Radhanath_Swami/Lectures/00_-_Year_wise/Devotional_Nectar_-_2004/VOL_15/05_The_Real_Meaning_of_Vyas_Puja_Lecture_Mumbai_-_Radhanath_Swami_2004-12-11_IDesireTree.mp3", "05_The_Real_Meaning_of_Vyas_Puja_Lecture_Mumbai_-_Radhanath_Swami_2004-12-11_IDesireTree.mp3")</f>
        <v>05_The_Real_Meaning_of_Vyas_Puja_Lecture_Mumbai_-_Radhanath_Swami_2004-12-11_IDesireTree.mp3</v>
      </c>
      <c r="D2088" s="11"/>
      <c r="E2088" s="11"/>
    </row>
    <row r="2089" spans="1:5">
      <c r="A2089" s="12" t="s">
        <v>12462</v>
      </c>
      <c r="B2089" s="12" t="s">
        <v>14922</v>
      </c>
      <c r="C2089" s="13" t="str">
        <f>HYPERLINK("https://audio.iskcondesiretree.com/02_-_ISKCON_Swamis/ISKCON_Swamis_-_R_to_Y/His_Holiness_Radhanath_Swami/Lectures/00_-_Year_wise/Devotional_Nectar_-_2004/VOL_15/06_Learning_to_Completely_Depend_on_Krishna_Lecture_Mumbai_-_11-12-04_IDesireTree.mp3", "06_Learning_to_Completely_Depend_on_Krishna_Lecture_Mumbai_-_11-12-04_IDesireTree.mp3")</f>
        <v>06_Learning_to_Completely_Depend_on_Krishna_Lecture_Mumbai_-_11-12-04_IDesireTree.mp3</v>
      </c>
      <c r="D2089" s="11"/>
      <c r="E2089" s="11"/>
    </row>
    <row r="2090" spans="1:5">
      <c r="A2090" s="12" t="s">
        <v>12462</v>
      </c>
      <c r="B2090" s="12" t="s">
        <v>14923</v>
      </c>
      <c r="C2090" s="13" t="str">
        <f>HYPERLINK("https://audio.iskcondesiretree.com/02_-_ISKCON_Swamis/ISKCON_Swamis_-_R_to_Y/His_Holiness_Radhanath_Swami/Lectures/00_-_Year_wise/Devotional_Nectar_-_2004/VOL_15/07_Cooperation_Amongst_Devotees_SB-05_01_40_Mumbai_-_12-12-04_IDesireTree.mp3", "07_Cooperation_Amongst_Devotees_SB-05_01_40_Mumbai_-_12-12-04_IDesireTree.mp3")</f>
        <v>07_Cooperation_Amongst_Devotees_SB-05_01_40_Mumbai_-_12-12-04_IDesireTree.mp3</v>
      </c>
      <c r="D2090" s="11"/>
      <c r="E2090" s="11"/>
    </row>
    <row r="2091" spans="1:5">
      <c r="A2091" s="12" t="s">
        <v>12462</v>
      </c>
      <c r="B2091" s="12" t="s">
        <v>14924</v>
      </c>
      <c r="C2091" s="13" t="str">
        <f>HYPERLINK("https://audio.iskcondesiretree.com/02_-_ISKCON_Swamis/ISKCON_Swamis_-_R_to_Y/His_Holiness_Radhanath_Swami/Lectures/00_-_Year_wise/Devotional_Nectar_-_2004/VOL_15/08_Gauri_Das_Pandit%27s_DevotionSunday_Feast_Mumbai_-_12-12-04_IDesireTree.mp3", "08_Gauri_Das_Pandit%27s_DevotionSunday_Feast_Mumbai_-_12-12-04_IDesireTree.mp3")</f>
        <v>08_Gauri_Das_Pandit%27s_DevotionSunday_Feast_Mumbai_-_12-12-04_IDesireTree.mp3</v>
      </c>
      <c r="D2091" s="11"/>
      <c r="E2091" s="11"/>
    </row>
    <row r="2092" spans="1:5">
      <c r="A2092" s="12" t="s">
        <v>12462</v>
      </c>
      <c r="B2092" s="12" t="s">
        <v>14925</v>
      </c>
      <c r="C2092" s="13" t="str">
        <f>HYPERLINK("https://audio.iskcondesiretree.com/02_-_ISKCON_Swamis/ISKCON_Swamis_-_R_to_Y/His_Holiness_Radhanath_Swami/Lectures/00_-_Year_wise/Devotional_Nectar_-_2004/VOL_15/09_Address_on_25th_Year_Celebration_of_Khar_Program_Lecture_Mumbai_-_17-12-04_IDesireTree.mp3", "09_Address_on_25th_Year_Celebration_of_Khar_Program_Lecture_Mumbai_-_17-12-04_IDesireTree.mp3")</f>
        <v>09_Address_on_25th_Year_Celebration_of_Khar_Program_Lecture_Mumbai_-_17-12-04_IDesireTree.mp3</v>
      </c>
      <c r="D2092" s="11"/>
      <c r="E2092" s="11"/>
    </row>
    <row r="2093" spans="1:5">
      <c r="A2093" s="12" t="s">
        <v>12462</v>
      </c>
      <c r="B2093" s="12" t="s">
        <v>14926</v>
      </c>
      <c r="C2093" s="13" t="str">
        <f>HYPERLINK("https://audio.iskcondesiretree.com/02_-_ISKCON_Swamis/ISKCON_Swamis_-_R_to_Y/His_Holiness_Radhanath_Swami/Lectures/00_-_Year_wise/Devotional_Nectar_-_2004/VOL_16/01_Perfection_Attained_by_Perfect_Hearing_SB-03_13_48_Mumbai_-_19-12-04_IDesireTree.mp3", "01_Perfection_Attained_by_Perfect_Hearing_SB-03_13_48_Mumbai_-_19-12-04_IDesireTree.mp3")</f>
        <v>01_Perfection_Attained_by_Perfect_Hearing_SB-03_13_48_Mumbai_-_19-12-04_IDesireTree.mp3</v>
      </c>
      <c r="D2093" s="11"/>
      <c r="E2093" s="11"/>
    </row>
    <row r="2094" spans="1:5">
      <c r="A2094" s="12" t="s">
        <v>12462</v>
      </c>
      <c r="B2094" s="12" t="e">
        <v>#VALUE!</v>
      </c>
      <c r="C2094" s="13" t="e">
        <f>HYPERLINK("https://audio.iskcondesiretree.com/02_-_ISKCON_Swamis/ISKCON_Swamis_-_R_to_Y/His_Holiness_Radhanath_Swami/Lectures/00_-_Year_wise/Devotional_Nectar_-_2004/VOL_16/02_Narasimhananda_Brahmacari%27s_Love_for_Lord_Caitanya_Sunday_Feast_Mumbai_-_19-12-04_IDesir"&amp;"eTree.mp3", "02_Narasimhananda_Brahmacari%27s_Love_for_Lord_Caitanya_Sunday_Feast_Mumbai_-_19-12-04_IDesireTree.mp3")</f>
        <v>#VALUE!</v>
      </c>
      <c r="D2094" s="11"/>
      <c r="E2094" s="11"/>
    </row>
    <row r="2095" spans="1:5">
      <c r="A2095" s="12" t="s">
        <v>12462</v>
      </c>
      <c r="B2095" s="12" t="s">
        <v>14927</v>
      </c>
      <c r="C2095" s="13" t="str">
        <f>HYPERLINK("https://audio.iskcondesiretree.com/02_-_ISKCON_Swamis/ISKCON_Swamis_-_R_to_Y/His_Holiness_Radhanath_Swami/Lectures/00_-_Year_wise/Devotional_Nectar_-_2004/VOL_16/03_Sincerity_Attracts_Krishna_SB-05_03_01_Mumbai_-_Radhanath_Swami_2004-12-25_IDesireTree.mp3", "03_Sincerity_Attracts_Krishna_SB-05_03_01_Mumbai_-_Radhanath_Swami_2004-12-25_IDesireTree.mp3")</f>
        <v>03_Sincerity_Attracts_Krishna_SB-05_03_01_Mumbai_-_Radhanath_Swami_2004-12-25_IDesireTree.mp3</v>
      </c>
      <c r="D2095" s="11"/>
      <c r="E2095" s="11"/>
    </row>
    <row r="2096" spans="1:5">
      <c r="A2096" s="12" t="s">
        <v>12462</v>
      </c>
      <c r="B2096" s="12" t="s">
        <v>14928</v>
      </c>
      <c r="C2096" s="13" t="str">
        <f>HYPERLINK("https://audio.iskcondesiretree.com/02_-_ISKCON_Swamis/ISKCON_Swamis_-_R_to_Y/His_Holiness_Radhanath_Swami/Lectures/00_-_Year_wise/Devotional_Nectar_-_2004/VOL_16/04_Teachings_of_Lord_Jesus_Christ_Lecture_Mumbai_-_Radhanath_Swami_2004-12-25_IDesireTree.mp3", "04_Teachings_of_Lord_Jesus_Christ_Lecture_Mumbai_-_Radhanath_Swami_2004-12-25_IDesireTree.mp3")</f>
        <v>04_Teachings_of_Lord_Jesus_Christ_Lecture_Mumbai_-_Radhanath_Swami_2004-12-25_IDesireTree.mp3</v>
      </c>
      <c r="D2096" s="11"/>
      <c r="E2096" s="11"/>
    </row>
    <row r="2097" spans="1:5">
      <c r="A2097" s="12" t="s">
        <v>12462</v>
      </c>
      <c r="B2097" s="12" t="s">
        <v>14929</v>
      </c>
      <c r="C2097" s="13" t="str">
        <f>HYPERLINK("https://audio.iskcondesiretree.com/02_-_ISKCON_Swamis/ISKCON_Swamis_-_R_to_Y/His_Holiness_Radhanath_Swami/Lectures/00_-_Year_wise/Devotional_Nectar_-_2004/VOL_16/05_Bhakti_The_Wealth_of_Heart_SB-05_03_02_Mumbai_-_Radhanath_Swami_2004-12-26_IDesireTree.mp3", "05_Bhakti_The_Wealth_of_Heart_SB-05_03_02_Mumbai_-_Radhanath_Swami_2004-12-26_IDesireTree.mp3")</f>
        <v>05_Bhakti_The_Wealth_of_Heart_SB-05_03_02_Mumbai_-_Radhanath_Swami_2004-12-26_IDesireTree.mp3</v>
      </c>
      <c r="D2097" s="11"/>
      <c r="E2097" s="11"/>
    </row>
    <row r="2098" spans="1:5">
      <c r="A2098" s="12" t="s">
        <v>12462</v>
      </c>
      <c r="B2098" s="12" t="s">
        <v>14930</v>
      </c>
      <c r="C2098" s="13" t="str">
        <f>HYPERLINK("https://audio.iskcondesiretree.com/02_-_ISKCON_Swamis/ISKCON_Swamis_-_R_to_Y/His_Holiness_Radhanath_Swami/Lectures/00_-_Year_wise/Devotional_Nectar_-_2004/VOL_16/06_Glories_of_Narahari_Sarkar_%26_Gadadhar_Das_Sunday_Feast_Mumbai_-_26-12-04_IDesireTree.mp3", "06_Glories_of_Narahari_Sarkar_%26_Gadadhar_Das_Sunday_Feast_Mumbai_-_26-12-04_IDesireTree.mp3")</f>
        <v>06_Glories_of_Narahari_Sarkar_%26_Gadadhar_Das_Sunday_Feast_Mumbai_-_26-12-04_IDesireTree.mp3</v>
      </c>
      <c r="D2098" s="11"/>
      <c r="E2098" s="11"/>
    </row>
    <row r="2099" spans="1:5">
      <c r="A2099" s="12" t="s">
        <v>12462</v>
      </c>
      <c r="B2099" s="12" t="e">
        <v>#VALUE!</v>
      </c>
      <c r="C2099" s="13" t="e">
        <f>HYPERLINK("https://audio.iskcondesiretree.com/02_-_ISKCON_Swamis/ISKCON_Swamis_-_R_to_Y/His_Holiness_Radhanath_Swami/Lectures/00_-_Year_wise/Devotional_Nectar_-_2004/VOL_16/07_Instructions_Of_Srila_Bhaktisiddhanta_Saraswati_Thakur_Lecture_Mumbai_-_30-12-04_IDesireTr"&amp;"ee.mp3", "07_Instructions_Of_Srila_Bhaktisiddhanta_Saraswati_Thakur_Lecture_Mumbai_-_30-12-04_IDesireTree.mp3")</f>
        <v>#VALUE!</v>
      </c>
      <c r="D2099" s="11"/>
      <c r="E2099" s="11"/>
    </row>
    <row r="2100" spans="1:5">
      <c r="A2100" s="12" t="s">
        <v>12462</v>
      </c>
      <c r="B2100" s="12" t="s">
        <v>14931</v>
      </c>
      <c r="C2100" s="13" t="str">
        <f>HYPERLINK("https://audio.iskcondesiretree.com/02_-_ISKCON_Swamis/ISKCON_Swamis_-_R_to_Y/His_Holiness_Radhanath_Swami/Lectures/00_-_Year_wise/Devotional_Nectar_-_2004/VOL_16/08_New_Year_Resolution_Prerana_Mumbai_-_Radhanath_Swami_2004-12-31_IDesireTree.mp3", "08_New_Year_Resolution_Prerana_Mumbai_-_Radhanath_Swami_2004-12-31_IDesireTree.mp3")</f>
        <v>08_New_Year_Resolution_Prerana_Mumbai_-_Radhanath_Swami_2004-12-31_IDesireTree.mp3</v>
      </c>
      <c r="D2100" s="11"/>
      <c r="E2100" s="11"/>
    </row>
    <row r="2101" spans="1:5">
      <c r="A2101" s="12" t="s">
        <v>12462</v>
      </c>
      <c r="B2101" s="12" t="s">
        <v>14932</v>
      </c>
      <c r="C2101" s="13" t="str">
        <f>HYPERLINK("https://audio.iskcondesiretree.com/02_-_ISKCON_Swamis/ISKCON_Swamis_-_R_to_Y/His_Holiness_Radhanath_Swami/Lectures/00_-_Year_wise/Devotional_Nectar_-_2004/VOL_16/09_What_is_Real_Greatness_Goloka_Dham_Germany_-_Radhanath_Swami_2004_IDesireTree.mp3", "09_What_is_Real_Greatness_Goloka_Dham_Germany_-_Radhanath_Swami_2004_IDesireTree.mp3")</f>
        <v>09_What_is_Real_Greatness_Goloka_Dham_Germany_-_Radhanath_Swami_2004_IDesireTree.mp3</v>
      </c>
      <c r="D2101" s="11"/>
      <c r="E2101" s="11"/>
    </row>
    <row r="2102" spans="1:5">
      <c r="A2102" s="12" t="s">
        <v>12462</v>
      </c>
      <c r="B2102" s="12" t="s">
        <v>14933</v>
      </c>
      <c r="C2102" s="13" t="str">
        <f>HYPERLINK("https://audio.iskcondesiretree.com/02_-_ISKCON_Swamis/ISKCON_Swamis_-_R_to_Y/His_Holiness_Radhanath_Swami/Lectures/00_-_Year_wise/Devotional_Nectar_-_2004/VOL_17/2004-11-28_Srimad_Bhagavatam_ISKCON_Chowpatty_-_Radhanath_Swami_IDesireTree.mp3", "2004-11-28_Srimad_Bhagavatam_ISKCON_Chowpatty_-_Radhanath_Swami_IDesireTree.mp3")</f>
        <v>2004-11-28_Srimad_Bhagavatam_ISKCON_Chowpatty_-_Radhanath_Swami_IDesireTree.mp3</v>
      </c>
      <c r="D2102" s="11"/>
      <c r="E2102" s="11"/>
    </row>
    <row r="2103" spans="1:5">
      <c r="A2103" s="12" t="s">
        <v>12462</v>
      </c>
      <c r="B2103" s="12" t="s">
        <v>14934</v>
      </c>
      <c r="C2103" s="13" t="str">
        <f>HYPERLINK("https://audio.iskcondesiretree.com/02_-_ISKCON_Swamis/ISKCON_Swamis_-_R_to_Y/His_Holiness_Radhanath_Swami/Lectures/00_-_Year_wise/Devotional_Nectar_-_2004/VOL_17/2004-11-28_Sunday_Feast_ISKCON_Chowpatty_-_Radhanath_Swami_IDesireTree.mp3", "2004-11-28_Sunday_Feast_ISKCON_Chowpatty_-_Radhanath_Swami_IDesireTree.mp3")</f>
        <v>2004-11-28_Sunday_Feast_ISKCON_Chowpatty_-_Radhanath_Swami_IDesireTree.mp3</v>
      </c>
      <c r="D2103" s="11"/>
      <c r="E2103" s="11"/>
    </row>
    <row r="2104" spans="1:5">
      <c r="A2104" s="12" t="s">
        <v>12462</v>
      </c>
      <c r="B2104" s="12" t="s">
        <v>14935</v>
      </c>
      <c r="C2104" s="13" t="str">
        <f>HYPERLINK("https://audio.iskcondesiretree.com/02_-_ISKCON_Swamis/ISKCON_Swamis_-_R_to_Y/His_Holiness_Radhanath_Swami/Lectures/00_-_Year_wise/Devotional_Nectar_-_2005/More/2005-04-08_SB_03-21-19_-_Radhanath_Swami_San_Casciano.mp3", "2005-04-08_SB_03-21-19_-_Radhanath_Swami_San_Casciano.mp3")</f>
        <v>2005-04-08_SB_03-21-19_-_Radhanath_Swami_San_Casciano.mp3</v>
      </c>
      <c r="D2104" s="11"/>
      <c r="E2104" s="11"/>
    </row>
    <row r="2105" spans="1:5">
      <c r="A2105" s="12" t="s">
        <v>12462</v>
      </c>
      <c r="B2105" s="12" t="e">
        <v>#VALUE!</v>
      </c>
      <c r="C2105" s="13" t="e">
        <f>HYPERLINK("https://audio.iskcondesiretree.com/02_-_ISKCON_Swamis/ISKCON_Swamis_-_R_to_Y/His_Holiness_Radhanath_Swami/Lectures/00_-_Year_wise/Devotional_Nectar_-_2005/More/2005-04-08_Various_-_Without_enthusiasm_there_is_no_life_to_our_Devotional_Service_-_RNS_San_Ca"&amp;"sciano.mp3", "2005-04-08_Various_-_Without_enthusiasm_there_is_no_life_to_our_Devotional_Service_-_RNS_San_Casciano.mp3")</f>
        <v>#VALUE!</v>
      </c>
      <c r="D2105" s="11"/>
      <c r="E2105" s="11"/>
    </row>
    <row r="2106" spans="1:5">
      <c r="A2106" s="12" t="s">
        <v>12462</v>
      </c>
      <c r="B2106" s="12" t="s">
        <v>14936</v>
      </c>
      <c r="C2106" s="13" t="str">
        <f>HYPERLINK("https://audio.iskcondesiretree.com/02_-_ISKCON_Swamis/ISKCON_Swamis_-_R_to_Y/His_Holiness_Radhanath_Swami/Lectures/00_-_Year_wise/Devotional_Nectar_-_2005/More/2005-04-09_SB_03-21-20_-_Radhanath_Swami_San_Casciano.mp3", "2005-04-09_SB_03-21-20_-_Radhanath_Swami_San_Casciano.mp3")</f>
        <v>2005-04-09_SB_03-21-20_-_Radhanath_Swami_San_Casciano.mp3</v>
      </c>
      <c r="D2106" s="11"/>
      <c r="E2106" s="11"/>
    </row>
    <row r="2107" spans="1:5">
      <c r="A2107" s="12" t="s">
        <v>12462</v>
      </c>
      <c r="B2107" s="12" t="s">
        <v>14937</v>
      </c>
      <c r="C2107" s="13" t="str">
        <f>HYPERLINK("https://audio.iskcondesiretree.com/02_-_ISKCON_Swamis/ISKCON_Swamis_-_R_to_Y/His_Holiness_Radhanath_Swami/Lectures/00_-_Year_wise/Devotional_Nectar_-_2005/More/2005-07-10_SB_07-04-40_-_Radhanath_Swami.mp3", "2005-07-10_SB_07-04-40_-_Radhanath_Swami.mp3")</f>
        <v>2005-07-10_SB_07-04-40_-_Radhanath_Swami.mp3</v>
      </c>
      <c r="D2107" s="11"/>
      <c r="E2107" s="11"/>
    </row>
    <row r="2108" spans="1:5">
      <c r="A2108" s="12" t="s">
        <v>12462</v>
      </c>
      <c r="B2108" s="12" t="s">
        <v>14938</v>
      </c>
      <c r="C2108" s="13" t="str">
        <f>HYPERLINK("https://audio.iskcondesiretree.com/02_-_ISKCON_Swamis/ISKCON_Swamis_-_R_to_Y/His_Holiness_Radhanath_Swami/Lectures/00_-_Year_wise/Devotional_Nectar_-_2005/More/2005-08-03_Various_-_The_danger_of_Pride_-_Radhanath_Swami_Albettone.mp3", "2005-08-03_Various_-_The_danger_of_Pride_-_Radhanath_Swami_Albettone.mp3")</f>
        <v>2005-08-03_Various_-_The_danger_of_Pride_-_Radhanath_Swami_Albettone.mp3</v>
      </c>
      <c r="D2108" s="11"/>
      <c r="E2108" s="11"/>
    </row>
    <row r="2109" spans="1:5">
      <c r="A2109" s="12" t="s">
        <v>12462</v>
      </c>
      <c r="B2109" s="12" t="s">
        <v>14939</v>
      </c>
      <c r="C2109" s="13" t="str">
        <f>HYPERLINK("https://audio.iskcondesiretree.com/02_-_ISKCON_Swamis/ISKCON_Swamis_-_R_to_Y/His_Holiness_Radhanath_Swami/Lectures/00_-_Year_wise/Devotional_Nectar_-_2005/More/2005-08-04_SB_02-01-07_-_Radhanath_Swami_Albettone.mp3", "2005-08-04_SB_02-01-07_-_Radhanath_Swami_Albettone.mp3")</f>
        <v>2005-08-04_SB_02-01-07_-_Radhanath_Swami_Albettone.mp3</v>
      </c>
      <c r="D2109" s="11"/>
      <c r="E2109" s="11"/>
    </row>
    <row r="2110" spans="1:5">
      <c r="A2110" s="12" t="s">
        <v>12462</v>
      </c>
      <c r="B2110" s="12" t="s">
        <v>14940</v>
      </c>
      <c r="C2110" s="13" t="str">
        <f>HYPERLINK("https://audio.iskcondesiretree.com/02_-_ISKCON_Swamis/ISKCON_Swamis_-_R_to_Y/His_Holiness_Radhanath_Swami/Lectures/00_-_Year_wise/Devotional_Nectar_-_2005/More/2005-08-04_Various_-_Recalling_Bhakti_Tirtha_Swami_-_Radhanath_Swami_Albettone.mp3", "2005-08-04_Various_-_Recalling_Bhakti_Tirtha_Swami_-_Radhanath_Swami_Albettone.mp3")</f>
        <v>2005-08-04_Various_-_Recalling_Bhakti_Tirtha_Swami_-_Radhanath_Swami_Albettone.mp3</v>
      </c>
      <c r="D2110" s="11"/>
      <c r="E2110" s="11"/>
    </row>
    <row r="2111" spans="1:5">
      <c r="A2111" s="12" t="s">
        <v>12462</v>
      </c>
      <c r="B2111" s="12" t="s">
        <v>14941</v>
      </c>
      <c r="C2111" s="13" t="str">
        <f>HYPERLINK("https://audio.iskcondesiretree.com/02_-_ISKCON_Swamis/ISKCON_Swamis_-_R_to_Y/His_Holiness_Radhanath_Swami/Lectures/00_-_Year_wise/Devotional_Nectar_-_2005/More/2005-08-05_Various_-_Humility_and_Devotion_-_Radhanath_Swami_Albettone.mp3", "2005-08-05_Various_-_Humility_and_Devotion_-_Radhanath_Swami_Albettone.mp3")</f>
        <v>2005-08-05_Various_-_Humility_and_Devotion_-_Radhanath_Swami_Albettone.mp3</v>
      </c>
      <c r="D2111" s="11"/>
      <c r="E2111" s="11"/>
    </row>
    <row r="2112" spans="1:5">
      <c r="A2112" s="12" t="s">
        <v>12462</v>
      </c>
      <c r="B2112" s="12" t="s">
        <v>14942</v>
      </c>
      <c r="C2112" s="13" t="str">
        <f>HYPERLINK("https://audio.iskcondesiretree.com/02_-_ISKCON_Swamis/ISKCON_Swamis_-_R_to_Y/His_Holiness_Radhanath_Swami/Lectures/00_-_Year_wise/Devotional_Nectar_-_2005/More/2005-08-07_Festivals_-_Snana_Yatra_-_Radhanath_Swami_San_Casciano.mp3", "2005-08-07_Festivals_-_Snana_Yatra_-_Radhanath_Swami_San_Casciano.mp3")</f>
        <v>2005-08-07_Festivals_-_Snana_Yatra_-_Radhanath_Swami_San_Casciano.mp3</v>
      </c>
      <c r="D2112" s="11"/>
      <c r="E2112" s="11"/>
    </row>
    <row r="2113" spans="1:5">
      <c r="A2113" s="12" t="s">
        <v>12462</v>
      </c>
      <c r="B2113" s="12" t="s">
        <v>14943</v>
      </c>
      <c r="C2113" s="13" t="str">
        <f>HYPERLINK("https://audio.iskcondesiretree.com/02_-_ISKCON_Swamis/ISKCON_Swamis_-_R_to_Y/His_Holiness_Radhanath_Swami/Lectures/00_-_Year_wise/Devotional_Nectar_-_2005/More/2005-08-08_Various_-_Initiations_-_Radhanath_Swami_San_Casciano.mp3", "2005-08-08_Various_-_Initiations_-_Radhanath_Swami_San_Casciano.mp3")</f>
        <v>2005-08-08_Various_-_Initiations_-_Radhanath_Swami_San_Casciano.mp3</v>
      </c>
      <c r="D2113" s="11"/>
      <c r="E2113" s="11"/>
    </row>
    <row r="2114" spans="1:5">
      <c r="A2114" s="12" t="s">
        <v>12462</v>
      </c>
      <c r="B2114" s="12" t="s">
        <v>14944</v>
      </c>
      <c r="C2114" s="13" t="str">
        <f>HYPERLINK("https://audio.iskcondesiretree.com/02_-_ISKCON_Swamis/ISKCON_Swamis_-_R_to_Y/His_Holiness_Radhanath_Swami/Lectures/00_-_Year_wise/Devotional_Nectar_-_2005/More/2005-08-09_Various_-_True_Renunciation_-_Radhanath_Swami_San_Casciano.mp3", "2005-08-09_Various_-_True_Renunciation_-_Radhanath_Swami_San_Casciano.mp3")</f>
        <v>2005-08-09_Various_-_True_Renunciation_-_Radhanath_Swami_San_Casciano.mp3</v>
      </c>
      <c r="D2114" s="11"/>
      <c r="E2114" s="11"/>
    </row>
    <row r="2115" spans="1:5">
      <c r="A2115" s="12" t="s">
        <v>12462</v>
      </c>
      <c r="B2115" s="12" t="s">
        <v>14945</v>
      </c>
      <c r="C2115" s="13" t="str">
        <f>HYPERLINK("https://audio.iskcondesiretree.com/02_-_ISKCON_Swamis/ISKCON_Swamis_-_R_to_Y/His_Holiness_Radhanath_Swami/Lectures/00_-_Year_wise/Devotional_Nectar_-_2005/More/2005-08-10_Various_-_Krishna_Know%27s_our_hearts_-_Radhanath_Swami_Nepi.mp3", "2005-08-10_Various_-_Krishna_Know%27s_our_hearts_-_Radhanath_Swami_Nepi.mp3")</f>
        <v>2005-08-10_Various_-_Krishna_Know%27s_our_hearts_-_Radhanath_Swami_Nepi.mp3</v>
      </c>
      <c r="D2115" s="11"/>
      <c r="E2115" s="11"/>
    </row>
    <row r="2116" spans="1:5">
      <c r="A2116" s="12" t="s">
        <v>12462</v>
      </c>
      <c r="B2116" s="12" t="s">
        <v>14946</v>
      </c>
      <c r="C2116" s="13" t="str">
        <f>HYPERLINK("https://audio.iskcondesiretree.com/02_-_ISKCON_Swamis/ISKCON_Swamis_-_R_to_Y/His_Holiness_Radhanath_Swami/Lectures/00_-_Year_wise/Devotional_Nectar_-_2005/More/2005-08-10_Various_-_The_Essence_of_Austerity_-_Radhanath_Swami_Nepi.mp3", "2005-08-10_Various_-_The_Essence_of_Austerity_-_Radhanath_Swami_Nepi.mp3")</f>
        <v>2005-08-10_Various_-_The_Essence_of_Austerity_-_Radhanath_Swami_Nepi.mp3</v>
      </c>
      <c r="D2116" s="11"/>
      <c r="E2116" s="11"/>
    </row>
    <row r="2117" spans="1:5">
      <c r="A2117" s="12" t="s">
        <v>12462</v>
      </c>
      <c r="B2117" s="12" t="e">
        <v>#VALUE!</v>
      </c>
      <c r="C2117" s="13" t="e">
        <f>HYPERLINK("https://audio.iskcondesiretree.com/02_-_ISKCON_Swamis/ISKCON_Swamis_-_R_to_Y/His_Holiness_Radhanath_Swami/Lectures/00_-_Year_wise/Devotional_Nectar_-_2005/More/2005-09-18_Various_-_A_Life_of_Compassion_Dedication_and_Love_HH_Bhakti_Tirtha_Swami_Maharaj_Pa"&amp;"rt_01_-_Mumbai.mp3", "2005-09-18_Various_-_A_Life_of_Compassion_Dedication_and_Love_HH_Bhakti_Tirtha_Swami_Maharaj_Part_01_-_Mumbai.mp3")</f>
        <v>#VALUE!</v>
      </c>
      <c r="D2117" s="11"/>
      <c r="E2117" s="11"/>
    </row>
    <row r="2118" spans="1:5">
      <c r="A2118" s="12" t="s">
        <v>12462</v>
      </c>
      <c r="B2118" s="12" t="e">
        <v>#VALUE!</v>
      </c>
      <c r="C2118" s="13" t="e">
        <f>HYPERLINK("https://audio.iskcondesiretree.com/02_-_ISKCON_Swamis/ISKCON_Swamis_-_R_to_Y/His_Holiness_Radhanath_Swami/Lectures/00_-_Year_wise/Devotional_Nectar_-_2005/More/2005-09-18_Various_-_A_Life_of_Compassion_Dedication_and_Love_HH_Bhakti_Tirtha_Swami_Maharaj_Pa"&amp;"rt_02_-_Mumbai.mp3", "2005-09-18_Various_-_A_Life_of_Compassion_Dedication_and_Love_HH_Bhakti_Tirtha_Swami_Maharaj_Part_02_-_Mumbai.mp3")</f>
        <v>#VALUE!</v>
      </c>
      <c r="D2118" s="11"/>
      <c r="E2118" s="11"/>
    </row>
    <row r="2119" spans="1:5">
      <c r="A2119" s="12" t="s">
        <v>12462</v>
      </c>
      <c r="B2119" s="12" t="s">
        <v>14947</v>
      </c>
      <c r="C2119" s="13" t="str">
        <f>HYPERLINK("https://audio.iskcondesiretree.com/02_-_ISKCON_Swamis/ISKCON_Swamis_-_R_to_Y/His_Holiness_Radhanath_Swami/Lectures/00_-_Year_wise/Devotional_Nectar_-_2005/Vol_01/01_Krishna_Doesn%27t_Require_Anything_SB-05_03_08_Mumbai_-_01-01-05_IDesireTree.mp3", "01_Krishna_Doesn%27t_Require_Anything_SB-05_03_08_Mumbai_-_01-01-05_IDesireTree.mp3")</f>
        <v>01_Krishna_Doesn%27t_Require_Anything_SB-05_03_08_Mumbai_-_01-01-05_IDesireTree.mp3</v>
      </c>
      <c r="D2119" s="11"/>
      <c r="E2119" s="11"/>
    </row>
    <row r="2120" spans="1:5">
      <c r="A2120" s="12" t="s">
        <v>12462</v>
      </c>
      <c r="B2120" s="12" t="s">
        <v>14948</v>
      </c>
      <c r="C2120" s="13" t="str">
        <f>HYPERLINK("https://audio.iskcondesiretree.com/02_-_ISKCON_Swamis/ISKCON_Swamis_-_R_to_Y/His_Holiness_Radhanath_Swami/Lectures/00_-_Year_wise/Devotional_Nectar_-_2005/Vol_01/02_The_Meaning_and_Richness_of_Vedic_Culture_Lecture_Mumbai_-_02-01-05_IDesireTree.mp3", "02_The_Meaning_and_Richness_of_Vedic_Culture_Lecture_Mumbai_-_02-01-05_IDesireTree.mp3")</f>
        <v>02_The_Meaning_and_Richness_of_Vedic_Culture_Lecture_Mumbai_-_02-01-05_IDesireTree.mp3</v>
      </c>
      <c r="D2120" s="11"/>
      <c r="E2120" s="11"/>
    </row>
    <row r="2121" spans="1:5">
      <c r="A2121" s="12" t="s">
        <v>12462</v>
      </c>
      <c r="B2121" s="12" t="s">
        <v>14949</v>
      </c>
      <c r="C2121" s="13" t="str">
        <f>HYPERLINK("https://audio.iskcondesiretree.com/02_-_ISKCON_Swamis/ISKCON_Swamis_-_R_to_Y/His_Holiness_Radhanath_Swami/Lectures/00_-_Year_wise/Devotional_Nectar_-_2005/Vol_01/03_The_Glories_of_Chanting_Hare_Krishna_Sunday_Feast_Mumbai_-_02-01-05_IDesireTree.mp3", "03_The_Glories_of_Chanting_Hare_Krishna_Sunday_Feast_Mumbai_-_02-01-05_IDesireTree.mp3")</f>
        <v>03_The_Glories_of_Chanting_Hare_Krishna_Sunday_Feast_Mumbai_-_02-01-05_IDesireTree.mp3</v>
      </c>
      <c r="D2121" s="11"/>
      <c r="E2121" s="11"/>
    </row>
    <row r="2122" spans="1:5">
      <c r="A2122" s="12" t="s">
        <v>12462</v>
      </c>
      <c r="B2122" s="12" t="s">
        <v>14950</v>
      </c>
      <c r="C2122" s="13" t="str">
        <f>HYPERLINK("https://audio.iskcondesiretree.com/02_-_ISKCON_Swamis/ISKCON_Swamis_-_R_to_Y/His_Holiness_Radhanath_Swami/Lectures/00_-_Year_wise/Devotional_Nectar_-_2005/Vol_01/04_Knowing_Swami_Radhanath_Lecture_Mumbai_-_Radhanath_Swami_2005-01-06_IDesireTree.mp3", "04_Knowing_Swami_Radhanath_Lecture_Mumbai_-_Radhanath_Swami_2005-01-06_IDesireTree.mp3")</f>
        <v>04_Knowing_Swami_Radhanath_Lecture_Mumbai_-_Radhanath_Swami_2005-01-06_IDesireTree.mp3</v>
      </c>
      <c r="D2122" s="11"/>
      <c r="E2122" s="11"/>
    </row>
    <row r="2123" spans="1:5">
      <c r="A2123" s="12" t="s">
        <v>12462</v>
      </c>
      <c r="B2123" s="12" t="s">
        <v>14951</v>
      </c>
      <c r="C2123" s="13" t="str">
        <f>HYPERLINK("https://audio.iskcondesiretree.com/02_-_ISKCON_Swamis/ISKCON_Swamis_-_R_to_Y/His_Holiness_Radhanath_Swami/Lectures/00_-_Year_wise/Devotional_Nectar_-_2005/Vol_01/05_The_Meaning_of_Renunciation_Lecture_Mumbai_-_Radhanath_Swami_2005-01-07_IDesireTree.mp3", "05_The_Meaning_of_Renunciation_Lecture_Mumbai_-_Radhanath_Swami_2005-01-07_IDesireTree.mp3")</f>
        <v>05_The_Meaning_of_Renunciation_Lecture_Mumbai_-_Radhanath_Swami_2005-01-07_IDesireTree.mp3</v>
      </c>
      <c r="D2123" s="11"/>
      <c r="E2123" s="11"/>
    </row>
    <row r="2124" spans="1:5">
      <c r="A2124" s="12" t="s">
        <v>12462</v>
      </c>
      <c r="B2124" s="12" t="e">
        <v>#VALUE!</v>
      </c>
      <c r="C2124" s="13" t="e">
        <f>HYPERLINK("https://audio.iskcondesiretree.com/02_-_ISKCON_Swamis/ISKCON_Swamis_-_R_to_Y/His_Holiness_Radhanath_Swami/Lectures/00_-_Year_wise/Devotional_Nectar_-_2005/Vol_01/06_The_Lesson_Lord_Caitanya_Taught_Through_Devananda_Pandit_SB-5_3_8_Mumbai_-_08-01-05_IDesir"&amp;"eTree.mp3", "06_The_Lesson_Lord_Caitanya_Taught_Through_Devananda_Pandit_SB-5_3_8_Mumbai_-_08-01-05_IDesireTree.mp3")</f>
        <v>#VALUE!</v>
      </c>
      <c r="D2124" s="11"/>
      <c r="E2124" s="11"/>
    </row>
    <row r="2125" spans="1:5">
      <c r="A2125" s="12" t="s">
        <v>12462</v>
      </c>
      <c r="B2125" s="12" t="s">
        <v>14952</v>
      </c>
      <c r="C2125" s="13" t="str">
        <f>HYPERLINK("https://audio.iskcondesiretree.com/02_-_ISKCON_Swamis/ISKCON_Swamis_-_R_to_Y/His_Holiness_Radhanath_Swami/Lectures/00_-_Year_wise/Devotional_Nectar_-_2005/Vol_01/07_Achieving_My_Path_Lecture_Mumbai_-_Radhanath_Swami_2005-01-08_IDesireTree.mp3", "07_Achieving_My_Path_Lecture_Mumbai_-_Radhanath_Swami_2005-01-08_IDesireTree.mp3")</f>
        <v>07_Achieving_My_Path_Lecture_Mumbai_-_Radhanath_Swami_2005-01-08_IDesireTree.mp3</v>
      </c>
      <c r="D2125" s="11"/>
      <c r="E2125" s="11"/>
    </row>
    <row r="2126" spans="1:5">
      <c r="A2126" s="12" t="s">
        <v>12462</v>
      </c>
      <c r="B2126" s="12" t="s">
        <v>14953</v>
      </c>
      <c r="C2126" s="13" t="str">
        <f>HYPERLINK("https://audio.iskcondesiretree.com/02_-_ISKCON_Swamis/ISKCON_Swamis_-_R_to_Y/His_Holiness_Radhanath_Swami/Lectures/00_-_Year_wise/Devotional_Nectar_-_2005/Vol_01/08_The_Secret_of_Achieving_True_Happiness_Lecture_Nigdi_-_09-01-05_IDesireTree.mp3", "08_The_Secret_of_Achieving_True_Happiness_Lecture_Nigdi_-_09-01-05_IDesireTree.mp3")</f>
        <v>08_The_Secret_of_Achieving_True_Happiness_Lecture_Nigdi_-_09-01-05_IDesireTree.mp3</v>
      </c>
      <c r="D2126" s="11"/>
      <c r="E2126" s="11"/>
    </row>
    <row r="2127" spans="1:5">
      <c r="A2127" s="12" t="s">
        <v>12462</v>
      </c>
      <c r="B2127" s="12" t="s">
        <v>14954</v>
      </c>
      <c r="C2127" s="13" t="str">
        <f>HYPERLINK("https://audio.iskcondesiretree.com/02_-_ISKCON_Swamis/ISKCON_Swamis_-_R_to_Y/His_Holiness_Radhanath_Swami/Lectures/00_-_Year_wise/Devotional_Nectar_-_2005/Vol_01/09_The_Essence_of_the_Meaning_of_Bhagavad_Gita_Lecture_Mumbai_-_10-01-05_IDesireTree.mp3", "09_The_Essence_of_the_Meaning_of_Bhagavad_Gita_Lecture_Mumbai_-_10-01-05_IDesireTree.mp3")</f>
        <v>09_The_Essence_of_the_Meaning_of_Bhagavad_Gita_Lecture_Mumbai_-_10-01-05_IDesireTree.mp3</v>
      </c>
      <c r="D2127" s="11"/>
      <c r="E2127" s="11"/>
    </row>
    <row r="2128" spans="1:5">
      <c r="A2128" s="12" t="s">
        <v>12462</v>
      </c>
      <c r="B2128" s="12" t="s">
        <v>14955</v>
      </c>
      <c r="C2128" s="13" t="str">
        <f>HYPERLINK("https://audio.iskcondesiretree.com/02_-_ISKCON_Swamis/ISKCON_Swamis_-_R_to_Y/His_Holiness_Radhanath_Swami/Lectures/00_-_Year_wise/Devotional_Nectar_-_2005/Vol_01/10_The_Variegatedness_of_Unconditional_Love_Sunday_Feast_Mumbai_-_16-01-05_IDesireTree.mp3", "10_The_Variegatedness_of_Unconditional_Love_Sunday_Feast_Mumbai_-_16-01-05_IDesireTree.mp3")</f>
        <v>10_The_Variegatedness_of_Unconditional_Love_Sunday_Feast_Mumbai_-_16-01-05_IDesireTree.mp3</v>
      </c>
      <c r="D2128" s="11"/>
      <c r="E2128" s="11"/>
    </row>
    <row r="2129" spans="1:5">
      <c r="A2129" s="12" t="s">
        <v>12462</v>
      </c>
      <c r="B2129" s="12" t="s">
        <v>14956</v>
      </c>
      <c r="C2129" s="13" t="str">
        <f>HYPERLINK("https://audio.iskcondesiretree.com/02_-_ISKCON_Swamis/ISKCON_Swamis_-_R_to_Y/His_Holiness_Radhanath_Swami/Lectures/00_-_Year_wise/Devotional_Nectar_-_2005/Vol_02/01_Life_of_Srinivas_Acarya_Lecture_Pune_-_Radhanath_Swami_2005-01-22_IDesireTree.mp3", "01_Life_of_Srinivas_Acarya_Lecture_Pune_-_Radhanath_Swami_2005-01-22_IDesireTree.mp3")</f>
        <v>01_Life_of_Srinivas_Acarya_Lecture_Pune_-_Radhanath_Swami_2005-01-22_IDesireTree.mp3</v>
      </c>
      <c r="D2129" s="11"/>
      <c r="E2129" s="11"/>
    </row>
    <row r="2130" spans="1:5">
      <c r="A2130" s="12" t="s">
        <v>12462</v>
      </c>
      <c r="B2130" s="12" t="s">
        <v>14957</v>
      </c>
      <c r="C2130" s="13" t="str">
        <f>HYPERLINK("https://audio.iskcondesiretree.com/02_-_ISKCON_Swamis/ISKCON_Swamis_-_R_to_Y/His_Holiness_Radhanath_Swami/Lectures/00_-_Year_wise/Devotional_Nectar_-_2005/Vol_02/02_Krishna_Accepts_the_Devotion_Lecture_Mumbai_-_Radhanath_Swami_2005-01-25_IDesireTree.mp3", "02_Krishna_Accepts_the_Devotion_Lecture_Mumbai_-_Radhanath_Swami_2005-01-25_IDesireTree.mp3")</f>
        <v>02_Krishna_Accepts_the_Devotion_Lecture_Mumbai_-_Radhanath_Swami_2005-01-25_IDesireTree.mp3</v>
      </c>
      <c r="D2130" s="11"/>
      <c r="E2130" s="11"/>
    </row>
    <row r="2131" spans="1:5">
      <c r="A2131" s="12" t="s">
        <v>12462</v>
      </c>
      <c r="B2131" s="12" t="e">
        <v>#VALUE!</v>
      </c>
      <c r="C2131" s="13" t="e">
        <f>HYPERLINK("https://audio.iskcondesiretree.com/02_-_ISKCON_Swamis/ISKCON_Swamis_-_R_to_Y/His_Holiness_Radhanath_Swami/Lectures/00_-_Year_wise/Devotional_Nectar_-_2005/Vol_02/03_Do_Your_Activities_Only_for_Krishna%27s_Pleasure_SB-05_04_17_Mumbai_-_29-01-05_IDesireTree"&amp;".mp3", "03_Do_Your_Activities_Only_for_Krishna%27s_Pleasure_SB-05_04_17_Mumbai_-_29-01-05_IDesireTree.mp3")</f>
        <v>#VALUE!</v>
      </c>
      <c r="D2131" s="11"/>
      <c r="E2131" s="11"/>
    </row>
    <row r="2132" spans="1:5">
      <c r="A2132" s="12" t="s">
        <v>12462</v>
      </c>
      <c r="B2132" s="12" t="e">
        <v>#VALUE!</v>
      </c>
      <c r="C2132" s="13" t="e">
        <f>HYPERLINK("https://audio.iskcondesiretree.com/02_-_ISKCON_Swamis/ISKCON_Swamis_-_R_to_Y/His_Holiness_Radhanath_Swami/Lectures/00_-_Year_wise/Devotional_Nectar_-_2005/Vol_02/04_Lady_Northcote_Hindu_Orphanage-A_Spiritual_Shelter_Lecture_Mumbai_-_29-01-05_IDesireTree.m"&amp;"p3", "04_Lady_Northcote_Hindu_Orphanage-A_Spiritual_Shelter_Lecture_Mumbai_-_29-01-05_IDesireTree.mp3")</f>
        <v>#VALUE!</v>
      </c>
      <c r="D2132" s="11"/>
      <c r="E2132" s="11"/>
    </row>
    <row r="2133" spans="1:5">
      <c r="A2133" s="12" t="s">
        <v>12462</v>
      </c>
      <c r="B2133" s="12" t="e">
        <v>#VALUE!</v>
      </c>
      <c r="C2133" s="13" t="e">
        <f>HYPERLINK("https://audio.iskcondesiretree.com/02_-_ISKCON_Swamis/ISKCON_Swamis_-_R_to_Y/His_Holiness_Radhanath_Swami/Lectures/00_-_Year_wise/Devotional_Nectar_-_2005/Vol_02/05_The_Importance_of_Encouraging_All_Despite_Differences_Sunday_Feast_Mumbai_-_30-01-05_IDesi"&amp;"reTree.mp3", "05_The_Importance_of_Encouraging_All_Despite_Differences_Sunday_Feast_Mumbai_-_30-01-05_IDesireTree.mp3")</f>
        <v>#VALUE!</v>
      </c>
      <c r="D2133" s="11"/>
      <c r="E2133" s="11"/>
    </row>
    <row r="2134" spans="1:5">
      <c r="A2134" s="12" t="s">
        <v>12462</v>
      </c>
      <c r="B2134" s="12" t="s">
        <v>14958</v>
      </c>
      <c r="C2134" s="13" t="str">
        <f>HYPERLINK("https://audio.iskcondesiretree.com/02_-_ISKCON_Swamis/ISKCON_Swamis_-_R_to_Y/His_Holiness_Radhanath_Swami/Lectures/00_-_Year_wise/Devotional_Nectar_-_2005/Vol_02/06_What_is_Real_Attonement_NSCI_Lecture_Mumbai_-_Radhanath_Swami_2005-01-31_IDesireTree.mp3", "06_What_is_Real_Attonement_NSCI_Lecture_Mumbai_-_Radhanath_Swami_2005-01-31_IDesireTree.mp3")</f>
        <v>06_What_is_Real_Attonement_NSCI_Lecture_Mumbai_-_Radhanath_Swami_2005-01-31_IDesireTree.mp3</v>
      </c>
      <c r="D2134" s="11"/>
      <c r="E2134" s="11"/>
    </row>
    <row r="2135" spans="1:5">
      <c r="A2135" s="12" t="s">
        <v>12462</v>
      </c>
      <c r="B2135" s="12" t="s">
        <v>14959</v>
      </c>
      <c r="C2135" s="13" t="str">
        <f>HYPERLINK("https://audio.iskcondesiretree.com/02_-_ISKCON_Swamis/ISKCON_Swamis_-_R_to_Y/His_Holiness_Radhanath_Swami/Lectures/00_-_Year_wise/Devotional_Nectar_-_2005/Vol_02/07_Detach_Yourself_from_Sense_Gratification_SB_-5_5_4_Mumbai_-_05-02-05_IDesireTree.mp3", "07_Detach_Yourself_from_Sense_Gratification_SB_-5_5_4_Mumbai_-_05-02-05_IDesireTree.mp3")</f>
        <v>07_Detach_Yourself_from_Sense_Gratification_SB_-5_5_4_Mumbai_-_05-02-05_IDesireTree.mp3</v>
      </c>
      <c r="D2135" s="11"/>
      <c r="E2135" s="11"/>
    </row>
    <row r="2136" spans="1:5">
      <c r="A2136" s="12" t="s">
        <v>12462</v>
      </c>
      <c r="B2136" s="12" t="s">
        <v>14960</v>
      </c>
      <c r="C2136" s="13" t="str">
        <f>HYPERLINK("https://audio.iskcondesiretree.com/02_-_ISKCON_Swamis/ISKCON_Swamis_-_R_to_Y/His_Holiness_Radhanath_Swami/Lectures/00_-_Year_wise/Devotional_Nectar_-_2005/Vol_02/08_Dying_to_Live_Prerana_Mumbai_-_Radhanath_Swami_2005-02-10_IDesireTree.mp3", "08_Dying_to_Live_Prerana_Mumbai_-_Radhanath_Swami_2005-02-10_IDesireTree.mp3")</f>
        <v>08_Dying_to_Live_Prerana_Mumbai_-_Radhanath_Swami_2005-02-10_IDesireTree.mp3</v>
      </c>
      <c r="D2136" s="11"/>
      <c r="E2136" s="11"/>
    </row>
    <row r="2137" spans="1:5">
      <c r="A2137" s="12" t="s">
        <v>12462</v>
      </c>
      <c r="B2137" s="12" t="s">
        <v>14961</v>
      </c>
      <c r="C2137" s="13" t="str">
        <f>HYPERLINK("https://audio.iskcondesiretree.com/02_-_ISKCON_Swamis/ISKCON_Swamis_-_R_to_Y/His_Holiness_Radhanath_Swami/Lectures/00_-_Year_wise/Devotional_Nectar_-_2005/Vol_02/09_The_Philosophy_of_Krishna_Consciousness_Lecture_Mumbai_-_12-02-05_IDesireTree.mp3", "09_The_Philosophy_of_Krishna_Consciousness_Lecture_Mumbai_-_12-02-05_IDesireTree.mp3")</f>
        <v>09_The_Philosophy_of_Krishna_Consciousness_Lecture_Mumbai_-_12-02-05_IDesireTree.mp3</v>
      </c>
      <c r="D2137" s="11"/>
      <c r="E2137" s="11"/>
    </row>
    <row r="2138" spans="1:5">
      <c r="A2138" s="12" t="s">
        <v>12462</v>
      </c>
      <c r="B2138" s="12" t="s">
        <v>14962</v>
      </c>
      <c r="C2138" s="13" t="str">
        <f>HYPERLINK("https://audio.iskcondesiretree.com/02_-_ISKCON_Swamis/ISKCON_Swamis_-_R_to_Y/His_Holiness_Radhanath_Swami/Lectures/00_-_Year_wise/Devotional_Nectar_-_2005/Vol_03/01_The_Medicine_of_the_Holy_Name_Sunday_Feast_Mumbai_-_13-02-05_IDesireTree.mp3", "01_The_Medicine_of_the_Holy_Name_Sunday_Feast_Mumbai_-_13-02-05_IDesireTree.mp3")</f>
        <v>01_The_Medicine_of_the_Holy_Name_Sunday_Feast_Mumbai_-_13-02-05_IDesireTree.mp3</v>
      </c>
      <c r="D2138" s="11"/>
      <c r="E2138" s="11"/>
    </row>
    <row r="2139" spans="1:5">
      <c r="A2139" s="12" t="s">
        <v>12462</v>
      </c>
      <c r="B2139" s="12" t="e">
        <v>#VALUE!</v>
      </c>
      <c r="C2139" s="13" t="e">
        <f>HYPERLINK("https://audio.iskcondesiretree.com/02_-_ISKCON_Swamis/ISKCON_Swamis_-_R_to_Y/His_Holiness_Radhanath_Swami/Lectures/00_-_Year_wise/Devotional_Nectar_-_2005/Vol_03/02_The_Glories_and_Pastimes_of_Lord_Nityananda_Prabhu_Lecture_Mumbai_-_21-02-05_IDesireTree.m"&amp;"p3", "02_The_Glories_and_Pastimes_of_Lord_Nityananda_Prabhu_Lecture_Mumbai_-_21-02-05_IDesireTree.mp3")</f>
        <v>#VALUE!</v>
      </c>
      <c r="D2139" s="11"/>
      <c r="E2139" s="11"/>
    </row>
    <row r="2140" spans="1:5">
      <c r="A2140" s="12" t="s">
        <v>12462</v>
      </c>
      <c r="B2140" s="12" t="e">
        <v>#VALUE!</v>
      </c>
      <c r="C2140" s="13" t="e">
        <f>HYPERLINK("https://audio.iskcondesiretree.com/02_-_ISKCON_Swamis/ISKCON_Swamis_-_R_to_Y/His_Holiness_Radhanath_Swami/Lectures/00_-_Year_wise/Devotional_Nectar_-_2005/Vol_03/03_Controlling_Mind_by_Attentively_Chanting_Holy_Name_SB-05_06_03_Mumbai_-_19-03-05_IDesireTr"&amp;"ee.mp3", "03_Controlling_Mind_by_Attentively_Chanting_Holy_Name_SB-05_06_03_Mumbai_-_19-03-05_IDesireTree.mp3")</f>
        <v>#VALUE!</v>
      </c>
      <c r="D2140" s="11"/>
      <c r="E2140" s="11"/>
    </row>
    <row r="2141" spans="1:5">
      <c r="A2141" s="12" t="s">
        <v>12462</v>
      </c>
      <c r="B2141" s="12" t="s">
        <v>14963</v>
      </c>
      <c r="C2141" s="13" t="str">
        <f>HYPERLINK("https://audio.iskcondesiretree.com/02_-_ISKCON_Swamis/ISKCON_Swamis_-_R_to_Y/His_Holiness_Radhanath_Swami/Lectures/00_-_Year_wise/Devotional_Nectar_-_2005/Vol_03/05_Protect_Yourself_by_Chanting_Holy_Name_SB-05_06_04_Mumbai_-_20-03-05_IDesireTree.mp3", "05_Protect_Yourself_by_Chanting_Holy_Name_SB-05_06_04_Mumbai_-_20-03-05_IDesireTree.mp3")</f>
        <v>05_Protect_Yourself_by_Chanting_Holy_Name_SB-05_06_04_Mumbai_-_20-03-05_IDesireTree.mp3</v>
      </c>
      <c r="D2141" s="11"/>
      <c r="E2141" s="11"/>
    </row>
    <row r="2142" spans="1:5">
      <c r="A2142" s="12" t="s">
        <v>12462</v>
      </c>
      <c r="B2142" s="12" t="s">
        <v>14964</v>
      </c>
      <c r="C2142" s="13" t="str">
        <f>HYPERLINK("https://audio.iskcondesiretree.com/02_-_ISKCON_Swamis/ISKCON_Swamis_-_R_to_Y/His_Holiness_Radhanath_Swami/Lectures/00_-_Year_wise/Devotional_Nectar_-_2005/Vol_03/06_Lord_Caitanya_Giving_Credit_to_Devotees_Sunday_Feast_Mumbai_-_20-03-05_IDesireTree.mp3", "06_Lord_Caitanya_Giving_Credit_to_Devotees_Sunday_Feast_Mumbai_-_20-03-05_IDesireTree.mp3")</f>
        <v>06_Lord_Caitanya_Giving_Credit_to_Devotees_Sunday_Feast_Mumbai_-_20-03-05_IDesireTree.mp3</v>
      </c>
      <c r="D2142" s="11"/>
      <c r="E2142" s="11"/>
    </row>
    <row r="2143" spans="1:5">
      <c r="A2143" s="12" t="s">
        <v>12462</v>
      </c>
      <c r="B2143" s="12" t="s">
        <v>14965</v>
      </c>
      <c r="C2143" s="13" t="str">
        <f>HYPERLINK("https://audio.iskcondesiretree.com/02_-_ISKCON_Swamis/ISKCON_Swamis_-_R_to_Y/His_Holiness_Radhanath_Swami/Lectures/00_-_Year_wise/Devotional_Nectar_-_2005/Vol_03/07_Establishing_the_Truth_of_One_Supreme_Godhead_Lecture_Mumbai_-_24-03-05_IDesireTree.mp3", "07_Establishing_the_Truth_of_One_Supreme_Godhead_Lecture_Mumbai_-_24-03-05_IDesireTree.mp3")</f>
        <v>07_Establishing_the_Truth_of_One_Supreme_Godhead_Lecture_Mumbai_-_24-03-05_IDesireTree.mp3</v>
      </c>
      <c r="D2143" s="11"/>
      <c r="E2143" s="11"/>
    </row>
    <row r="2144" spans="1:5">
      <c r="A2144" s="12" t="s">
        <v>12462</v>
      </c>
      <c r="B2144" s="12" t="s">
        <v>14966</v>
      </c>
      <c r="C2144" s="13" t="str">
        <f>HYPERLINK("https://audio.iskcondesiretree.com/02_-_ISKCON_Swamis/ISKCON_Swamis_-_R_to_Y/His_Holiness_Radhanath_Swami/Lectures/00_-_Year_wise/Devotional_Nectar_-_2005/Vol_03/08_The_Prelude_to_Caitanya_Lila_Lecture_Mumbai_-_Radhanath_Swami_2005-03-24_IDesireTree.mp3", "08_The_Prelude_to_Caitanya_Lila_Lecture_Mumbai_-_Radhanath_Swami_2005-03-24_IDesireTree.mp3")</f>
        <v>08_The_Prelude_to_Caitanya_Lila_Lecture_Mumbai_-_Radhanath_Swami_2005-03-24_IDesireTree.mp3</v>
      </c>
      <c r="D2144" s="11"/>
      <c r="E2144" s="11"/>
    </row>
    <row r="2145" spans="1:5">
      <c r="A2145" s="12" t="s">
        <v>12462</v>
      </c>
      <c r="B2145" s="12" t="s">
        <v>14962</v>
      </c>
      <c r="C2145" s="13" t="str">
        <f>HYPERLINK("https://audio.iskcondesiretree.com/02_-_ISKCON_Swamis/ISKCON_Swamis_-_R_to_Y/His_Holiness_Radhanath_Swami/Lectures/00_-_Year_wise/Devotional_Nectar_-_2005/Vol_04/01_The_Medicine_of_the_Holy_Name_Sunday_Feast_Mumbai_-_13-02-05_IDesireTree.mp3", "01_The_Medicine_of_the_Holy_Name_Sunday_Feast_Mumbai_-_13-02-05_IDesireTree.mp3")</f>
        <v>01_The_Medicine_of_the_Holy_Name_Sunday_Feast_Mumbai_-_13-02-05_IDesireTree.mp3</v>
      </c>
      <c r="D2145" s="11"/>
      <c r="E2145" s="11"/>
    </row>
    <row r="2146" spans="1:5">
      <c r="A2146" s="12" t="s">
        <v>12462</v>
      </c>
      <c r="B2146" s="12" t="e">
        <v>#VALUE!</v>
      </c>
      <c r="C2146" s="13" t="e">
        <f>HYPERLINK("https://audio.iskcondesiretree.com/02_-_ISKCON_Swamis/ISKCON_Swamis_-_R_to_Y/His_Holiness_Radhanath_Swami/Lectures/00_-_Year_wise/Devotional_Nectar_-_2005/Vol_04/02_The_Glories_and_Pastimes_of_Lord_Nityananda_Prabhu_Lecture_Mumbai_-_21-02-05_IDesireTree.m"&amp;"p3", "02_The_Glories_and_Pastimes_of_Lord_Nityananda_Prabhu_Lecture_Mumbai_-_21-02-05_IDesireTree.mp3")</f>
        <v>#VALUE!</v>
      </c>
      <c r="D2146" s="11"/>
      <c r="E2146" s="11"/>
    </row>
    <row r="2147" spans="1:5">
      <c r="A2147" s="12" t="s">
        <v>12462</v>
      </c>
      <c r="B2147" s="12" t="e">
        <v>#VALUE!</v>
      </c>
      <c r="C2147" s="13" t="e">
        <f>HYPERLINK("https://audio.iskcondesiretree.com/02_-_ISKCON_Swamis/ISKCON_Swamis_-_R_to_Y/His_Holiness_Radhanath_Swami/Lectures/00_-_Year_wise/Devotional_Nectar_-_2005/Vol_04/03_Controlling_Mind_by_Attentively_Chanting_Holy_Name_SB-05_06_03_Mumbai_-_19-03-05_IDesireTr"&amp;"ee.mp3", "03_Controlling_Mind_by_Attentively_Chanting_Holy_Name_SB-05_06_03_Mumbai_-_19-03-05_IDesireTree.mp3")</f>
        <v>#VALUE!</v>
      </c>
      <c r="D2147" s="11"/>
      <c r="E2147" s="11"/>
    </row>
    <row r="2148" spans="1:5">
      <c r="A2148" s="12" t="s">
        <v>12462</v>
      </c>
      <c r="B2148" s="12" t="s">
        <v>14967</v>
      </c>
      <c r="C2148" s="13" t="str">
        <f>HYPERLINK("https://audio.iskcondesiretree.com/02_-_ISKCON_Swamis/ISKCON_Swamis_-_R_to_Y/His_Holiness_Radhanath_Swami/Lectures/00_-_Year_wise/Devotional_Nectar_-_2005/Vol_04/04_Material_World_a_Place_to_Live_and_Learn_Chetana_Lecture_Mumbai_-_19-03-05_IDesireTree.mp3", "04_Material_World_a_Place_to_Live_and_Learn_Chetana_Lecture_Mumbai_-_19-03-05_IDesireTree.mp3")</f>
        <v>04_Material_World_a_Place_to_Live_and_Learn_Chetana_Lecture_Mumbai_-_19-03-05_IDesireTree.mp3</v>
      </c>
      <c r="D2148" s="11"/>
      <c r="E2148" s="11"/>
    </row>
    <row r="2149" spans="1:5">
      <c r="A2149" s="12" t="s">
        <v>12462</v>
      </c>
      <c r="B2149" s="12" t="s">
        <v>14963</v>
      </c>
      <c r="C2149" s="13" t="str">
        <f>HYPERLINK("https://audio.iskcondesiretree.com/02_-_ISKCON_Swamis/ISKCON_Swamis_-_R_to_Y/His_Holiness_Radhanath_Swami/Lectures/00_-_Year_wise/Devotional_Nectar_-_2005/Vol_04/05_Protect_Yourself_by_Chanting_Holy_Name_SB-05_06_04_Mumbai_-_20-03-05_IDesireTree.mp3", "05_Protect_Yourself_by_Chanting_Holy_Name_SB-05_06_04_Mumbai_-_20-03-05_IDesireTree.mp3")</f>
        <v>05_Protect_Yourself_by_Chanting_Holy_Name_SB-05_06_04_Mumbai_-_20-03-05_IDesireTree.mp3</v>
      </c>
      <c r="D2149" s="11"/>
      <c r="E2149" s="11"/>
    </row>
    <row r="2150" spans="1:5">
      <c r="A2150" s="12" t="s">
        <v>12462</v>
      </c>
      <c r="B2150" s="12" t="s">
        <v>14964</v>
      </c>
      <c r="C2150" s="13" t="str">
        <f>HYPERLINK("https://audio.iskcondesiretree.com/02_-_ISKCON_Swamis/ISKCON_Swamis_-_R_to_Y/His_Holiness_Radhanath_Swami/Lectures/00_-_Year_wise/Devotional_Nectar_-_2005/Vol_04/06_Lord_Caitanya_Giving_Credit_to_Devotees_Sunday_Feast_Mumbai_-_20-03-05_IDesireTree.mp3", "06_Lord_Caitanya_Giving_Credit_to_Devotees_Sunday_Feast_Mumbai_-_20-03-05_IDesireTree.mp3")</f>
        <v>06_Lord_Caitanya_Giving_Credit_to_Devotees_Sunday_Feast_Mumbai_-_20-03-05_IDesireTree.mp3</v>
      </c>
      <c r="D2150" s="11"/>
      <c r="E2150" s="11"/>
    </row>
    <row r="2151" spans="1:5">
      <c r="A2151" s="12" t="s">
        <v>12462</v>
      </c>
      <c r="B2151" s="12" t="s">
        <v>14965</v>
      </c>
      <c r="C2151" s="13" t="str">
        <f>HYPERLINK("https://audio.iskcondesiretree.com/02_-_ISKCON_Swamis/ISKCON_Swamis_-_R_to_Y/His_Holiness_Radhanath_Swami/Lectures/00_-_Year_wise/Devotional_Nectar_-_2005/Vol_04/07_Establishing_the_Truth_of_One_Supreme_Godhead_Lecture_Mumbai_-_24-03-05_IDesireTree.mp3", "07_Establishing_the_Truth_of_One_Supreme_Godhead_Lecture_Mumbai_-_24-03-05_IDesireTree.mp3")</f>
        <v>07_Establishing_the_Truth_of_One_Supreme_Godhead_Lecture_Mumbai_-_24-03-05_IDesireTree.mp3</v>
      </c>
      <c r="D2151" s="11"/>
      <c r="E2151" s="11"/>
    </row>
    <row r="2152" spans="1:5">
      <c r="A2152" s="12" t="s">
        <v>12462</v>
      </c>
      <c r="B2152" s="12" t="s">
        <v>14966</v>
      </c>
      <c r="C2152" s="13" t="str">
        <f>HYPERLINK("https://audio.iskcondesiretree.com/02_-_ISKCON_Swamis/ISKCON_Swamis_-_R_to_Y/His_Holiness_Radhanath_Swami/Lectures/00_-_Year_wise/Devotional_Nectar_-_2005/Vol_04/08_The_Prelude_to_Caitanya_Lila_Lecture_Mumbai_-_Radhanath_Swami_2005-03-24_IDesireTree.mp3", "08_The_Prelude_to_Caitanya_Lila_Lecture_Mumbai_-_Radhanath_Swami_2005-03-24_IDesireTree.mp3")</f>
        <v>08_The_Prelude_to_Caitanya_Lila_Lecture_Mumbai_-_Radhanath_Swami_2005-03-24_IDesireTree.mp3</v>
      </c>
      <c r="D2152" s="11"/>
      <c r="E2152" s="11"/>
    </row>
    <row r="2153" spans="1:5">
      <c r="A2153" s="12" t="s">
        <v>12462</v>
      </c>
      <c r="B2153" s="12" t="s">
        <v>14968</v>
      </c>
      <c r="C2153" s="13" t="str">
        <f>HYPERLINK("https://audio.iskcondesiretree.com/02_-_ISKCON_Swamis/ISKCON_Swamis_-_R_to_Y/His_Holiness_Radhanath_Swami/Lectures/00_-_Year_wise/Devotional_Nectar_-_2005/Vol_05/01_Lalita_Vishaka_Installation_Evening_Class_Lecture_Mumbai_-_02-04-05_IDesireTree.mp3", "01_Lalita_Vishaka_Installation_Evening_Class_Lecture_Mumbai_-_02-04-05_IDesireTree.mp3")</f>
        <v>01_Lalita_Vishaka_Installation_Evening_Class_Lecture_Mumbai_-_02-04-05_IDesireTree.mp3</v>
      </c>
      <c r="D2153" s="11"/>
      <c r="E2153" s="11"/>
    </row>
    <row r="2154" spans="1:5">
      <c r="A2154" s="12" t="s">
        <v>12462</v>
      </c>
      <c r="B2154" s="12" t="s">
        <v>14969</v>
      </c>
      <c r="C2154" s="13" t="str">
        <f>HYPERLINK("https://audio.iskcondesiretree.com/02_-_ISKCON_Swamis/ISKCON_Swamis_-_R_to_Y/His_Holiness_Radhanath_Swami/Lectures/00_-_Year_wise/Devotional_Nectar_-_2005/Vol_05/02_Developing_Selfless_Service_Attitude_Sunday_Feast_Mumbai_-_03-04-05_IDesireTree.mp3", "02_Developing_Selfless_Service_Attitude_Sunday_Feast_Mumbai_-_03-04-05_IDesireTree.mp3")</f>
        <v>02_Developing_Selfless_Service_Attitude_Sunday_Feast_Mumbai_-_03-04-05_IDesireTree.mp3</v>
      </c>
      <c r="D2154" s="11"/>
      <c r="E2154" s="11"/>
    </row>
    <row r="2155" spans="1:5">
      <c r="A2155" s="12" t="s">
        <v>12462</v>
      </c>
      <c r="B2155" s="12" t="s">
        <v>14970</v>
      </c>
      <c r="C2155" s="13" t="str">
        <f>HYPERLINK("https://audio.iskcondesiretree.com/02_-_ISKCON_Swamis/ISKCON_Swamis_-_R_to_Y/His_Holiness_Radhanath_Swami/Lectures/00_-_Year_wise/Devotional_Nectar_-_2005/Vol_05/03_Value_of_Sadhu_Sanga_Questions_%26_Answers_London_-_06-04-05_IDesireTree.mp3", "03_Value_of_Sadhu_Sanga_Questions_%26_Answers_London_-_06-04-05_IDesireTree.mp3")</f>
        <v>03_Value_of_Sadhu_Sanga_Questions_%26_Answers_London_-_06-04-05_IDesireTree.mp3</v>
      </c>
      <c r="D2155" s="11"/>
      <c r="E2155" s="11"/>
    </row>
    <row r="2156" spans="1:5">
      <c r="A2156" s="12" t="s">
        <v>12462</v>
      </c>
      <c r="B2156" s="12" t="s">
        <v>14971</v>
      </c>
      <c r="C2156" s="13" t="str">
        <f>HYPERLINK("https://audio.iskcondesiretree.com/02_-_ISKCON_Swamis/ISKCON_Swamis_-_R_to_Y/His_Holiness_Radhanath_Swami/Lectures/00_-_Year_wise/Devotional_Nectar_-_2005/Vol_05/04_Keeping_Prabhupada%27s_Family_Alive_Lecture_London_-_06-04-05_IDesireTree.mp3", "04_Keeping_Prabhupada%27s_Family_Alive_Lecture_London_-_06-04-05_IDesireTree.mp3")</f>
        <v>04_Keeping_Prabhupada%27s_Family_Alive_Lecture_London_-_06-04-05_IDesireTree.mp3</v>
      </c>
      <c r="D2156" s="11"/>
      <c r="E2156" s="11"/>
    </row>
    <row r="2157" spans="1:5">
      <c r="A2157" s="12" t="s">
        <v>12462</v>
      </c>
      <c r="B2157" s="12" t="e">
        <v>#VALUE!</v>
      </c>
      <c r="C2157" s="13" t="e">
        <f>HYPERLINK("https://audio.iskcondesiretree.com/02_-_ISKCON_Swamis/ISKCON_Swamis_-_R_to_Y/His_Holiness_Radhanath_Swami/Lectures/00_-_Year_wise/Devotional_Nectar_-_2005/Vol_05/05_Value_of_a_Moment%27s_Association_With_a_Pure_Devotee_SB-04_30_34_Germany_-_06-04-05_IDesi"&amp;"reTree.mp3", "05_Value_of_a_Moment%27s_Association_With_a_Pure_Devotee_SB-04_30_34_Germany_-_06-04-05_IDesireTree.mp3")</f>
        <v>#VALUE!</v>
      </c>
      <c r="D2157" s="11"/>
      <c r="E2157" s="11"/>
    </row>
    <row r="2158" spans="1:5">
      <c r="A2158" s="12" t="s">
        <v>12462</v>
      </c>
      <c r="B2158" s="12" t="s">
        <v>14972</v>
      </c>
      <c r="C2158" s="13" t="str">
        <f>HYPERLINK("https://audio.iskcondesiretree.com/02_-_ISKCON_Swamis/ISKCON_Swamis_-_R_to_Y/His_Holiness_Radhanath_Swami/Lectures/00_-_Year_wise/Devotional_Nectar_-_2005/Vol_05/06_Put_Your_Faith_in_Krishna_Lecture_Germany_-_Radhanath_Swami_April_2005_IDesireTree.mp3", "06_Put_Your_Faith_in_Krishna_Lecture_Germany_-_Radhanath_Swami_April_2005_IDesireTree.mp3")</f>
        <v>06_Put_Your_Faith_in_Krishna_Lecture_Germany_-_Radhanath_Swami_April_2005_IDesireTree.mp3</v>
      </c>
      <c r="D2158" s="11"/>
      <c r="E2158" s="11"/>
    </row>
    <row r="2159" spans="1:5">
      <c r="A2159" s="12" t="s">
        <v>12462</v>
      </c>
      <c r="B2159" s="12" t="s">
        <v>14973</v>
      </c>
      <c r="C2159" s="13" t="str">
        <f>HYPERLINK("https://audio.iskcondesiretree.com/02_-_ISKCON_Swamis/ISKCON_Swamis_-_R_to_Y/His_Holiness_Radhanath_Swami/Lectures/00_-_Year_wise/Devotional_Nectar_-_2005/Vol_05/07_No_Shelter_Besides_Krishna%27s_Lotus_Feet_Lecture_London_-_April_2005_IDesireTree.mp3", "07_No_Shelter_Besides_Krishna%27s_Lotus_Feet_Lecture_London_-_April_2005_IDesireTree.mp3")</f>
        <v>07_No_Shelter_Besides_Krishna%27s_Lotus_Feet_Lecture_London_-_April_2005_IDesireTree.mp3</v>
      </c>
      <c r="D2159" s="11"/>
      <c r="E2159" s="11"/>
    </row>
    <row r="2160" spans="1:5">
      <c r="A2160" s="12" t="s">
        <v>12462</v>
      </c>
      <c r="B2160" s="12" t="s">
        <v>14974</v>
      </c>
      <c r="C2160" s="13" t="str">
        <f>HYPERLINK("https://audio.iskcondesiretree.com/02_-_ISKCON_Swamis/ISKCON_Swamis_-_R_to_Y/His_Holiness_Radhanath_Swami/Lectures/00_-_Year_wise/Devotional_Nectar_-_2005/Vol_05/08_Family_Values_Lecture_London_-_Radhanath_Swami_April_2005_IDesireTree.mp3", "08_Family_Values_Lecture_London_-_Radhanath_Swami_April_2005_IDesireTree.mp3")</f>
        <v>08_Family_Values_Lecture_London_-_Radhanath_Swami_April_2005_IDesireTree.mp3</v>
      </c>
      <c r="D2160" s="11"/>
      <c r="E2160" s="11"/>
    </row>
    <row r="2161" spans="1:5">
      <c r="A2161" s="12" t="s">
        <v>12462</v>
      </c>
      <c r="B2161" s="12" t="s">
        <v>14975</v>
      </c>
      <c r="C2161" s="13" t="str">
        <f>HYPERLINK("https://audio.iskcondesiretree.com/02_-_ISKCON_Swamis/ISKCON_Swamis_-_R_to_Y/His_Holiness_Radhanath_Swami/Lectures/00_-_Year_wise/Devotional_Nectar_-_2005/Vol_05/09_House_Program-Nikunja_Prabhu_Lecture_London_-_Radhanath_Swami_April_2005_IDesireTree.mp3", "09_House_Program-Nikunja_Prabhu_Lecture_London_-_Radhanath_Swami_April_2005_IDesireTree.mp3")</f>
        <v>09_House_Program-Nikunja_Prabhu_Lecture_London_-_Radhanath_Swami_April_2005_IDesireTree.mp3</v>
      </c>
      <c r="D2161" s="11"/>
      <c r="E2161" s="11"/>
    </row>
    <row r="2162" spans="1:5">
      <c r="A2162" s="12" t="s">
        <v>12462</v>
      </c>
      <c r="B2162" s="12" t="s">
        <v>14976</v>
      </c>
      <c r="C2162" s="13" t="str">
        <f>HYPERLINK("https://audio.iskcondesiretree.com/02_-_ISKCON_Swamis/ISKCON_Swamis_-_R_to_Y/His_Holiness_Radhanath_Swami/Lectures/00_-_Year_wise/Devotional_Nectar_-_2005/Vol_05/10_Serving_the_Servants_Lecture_Gita_Nagari_-_Radhanath_Swami_June_2005_IDesireTree.mp3", "10_Serving_the_Servants_Lecture_Gita_Nagari_-_Radhanath_Swami_June_2005_IDesireTree.mp3")</f>
        <v>10_Serving_the_Servants_Lecture_Gita_Nagari_-_Radhanath_Swami_June_2005_IDesireTree.mp3</v>
      </c>
      <c r="D2162" s="11"/>
      <c r="E2162" s="11"/>
    </row>
    <row r="2163" spans="1:5">
      <c r="A2163" s="12" t="s">
        <v>12462</v>
      </c>
      <c r="B2163" s="12" t="s">
        <v>14977</v>
      </c>
      <c r="C2163" s="13" t="str">
        <f>HYPERLINK("https://audio.iskcondesiretree.com/02_-_ISKCON_Swamis/ISKCON_Swamis_-_R_to_Y/His_Holiness_Radhanath_Swami/Lectures/00_-_Year_wise/Devotional_Nectar_-_2005/Vol_05/11Cooperation_Among_Devotees_SB-04_22_32_Gita_Nagari_-_June_2005_IDesireTree.mp3", "11Cooperation_Among_Devotees_SB-04_22_32_Gita_Nagari_-_June_2005_IDesireTree.mp3")</f>
        <v>11Cooperation_Among_Devotees_SB-04_22_32_Gita_Nagari_-_June_2005_IDesireTree.mp3</v>
      </c>
      <c r="D2163" s="11"/>
      <c r="E2163" s="11"/>
    </row>
    <row r="2164" spans="1:5">
      <c r="A2164" s="12" t="s">
        <v>12462</v>
      </c>
      <c r="B2164" s="12" t="s">
        <v>14978</v>
      </c>
      <c r="C2164" s="13" t="str">
        <f>HYPERLINK("https://audio.iskcondesiretree.com/02_-_ISKCON_Swamis/ISKCON_Swamis_-_R_to_Y/His_Holiness_Radhanath_Swami/Lectures/00_-_Year_wise/Devotional_Nectar_-_2005/Vol_06/01_Overcoming_Influence_of_Materal_Modes_SB_Lecture_Gita_Nagari_-_June_2005_IDesireTree.mp3", "01_Overcoming_Influence_of_Materal_Modes_SB_Lecture_Gita_Nagari_-_June_2005_IDesireTree.mp3")</f>
        <v>01_Overcoming_Influence_of_Materal_Modes_SB_Lecture_Gita_Nagari_-_June_2005_IDesireTree.mp3</v>
      </c>
      <c r="D2164" s="11"/>
      <c r="E2164" s="11"/>
    </row>
    <row r="2165" spans="1:5">
      <c r="A2165" s="12" t="s">
        <v>12462</v>
      </c>
      <c r="B2165" s="12" t="s">
        <v>14979</v>
      </c>
      <c r="C2165" s="13" t="str">
        <f>HYPERLINK("https://audio.iskcondesiretree.com/02_-_ISKCON_Swamis/ISKCON_Swamis_-_R_to_Y/His_Holiness_Radhanath_Swami/Lectures/00_-_Year_wise/Devotional_Nectar_-_2005/Vol_06/02_Glorious_Qualities_of_Prthu_Maharaj_SB-04_22_54_Gita_Nagari_-_June_2005_IDesireTree.mp3", "02_Glorious_Qualities_of_Prthu_Maharaj_SB-04_22_54_Gita_Nagari_-_June_2005_IDesireTree.mp3")</f>
        <v>02_Glorious_Qualities_of_Prthu_Maharaj_SB-04_22_54_Gita_Nagari_-_June_2005_IDesireTree.mp3</v>
      </c>
      <c r="D2165" s="11"/>
      <c r="E2165" s="11"/>
    </row>
    <row r="2166" spans="1:5">
      <c r="A2166" s="12" t="s">
        <v>12462</v>
      </c>
      <c r="B2166" s="12" t="s">
        <v>14980</v>
      </c>
      <c r="C2166" s="13" t="str">
        <f>HYPERLINK("https://audio.iskcondesiretree.com/02_-_ISKCON_Swamis/ISKCON_Swamis_-_R_to_Y/His_Holiness_Radhanath_Swami/Lectures/00_-_Year_wise/Devotional_Nectar_-_2005/Vol_06/03_Following_in_the_Footsteps_SB-04_22_56_Gita_Nagari_-_June_2005_IDesireTree.mp3", "03_Following_in_the_Footsteps_SB-04_22_56_Gita_Nagari_-_June_2005_IDesireTree.mp3")</f>
        <v>03_Following_in_the_Footsteps_SB-04_22_56_Gita_Nagari_-_June_2005_IDesireTree.mp3</v>
      </c>
      <c r="D2166" s="11"/>
      <c r="E2166" s="11"/>
    </row>
    <row r="2167" spans="1:5">
      <c r="A2167" s="12" t="s">
        <v>12462</v>
      </c>
      <c r="B2167" s="12" t="s">
        <v>14981</v>
      </c>
      <c r="C2167" s="13" t="str">
        <f>HYPERLINK("https://audio.iskcondesiretree.com/02_-_ISKCON_Swamis/ISKCON_Swamis_-_R_to_Y/His_Holiness_Radhanath_Swami/Lectures/00_-_Year_wise/Devotional_Nectar_-_2005/Vol_06/04_Lord_Caitanya_Pleases_Haridas_Thakur_Lecture_Gita_Nagari_-_June_2005_IDesireTree.mp3", "04_Lord_Caitanya_Pleases_Haridas_Thakur_Lecture_Gita_Nagari_-_June_2005_IDesireTree.mp3")</f>
        <v>04_Lord_Caitanya_Pleases_Haridas_Thakur_Lecture_Gita_Nagari_-_June_2005_IDesireTree.mp3</v>
      </c>
      <c r="D2167" s="11"/>
      <c r="E2167" s="11"/>
    </row>
    <row r="2168" spans="1:5">
      <c r="A2168" s="12" t="s">
        <v>12462</v>
      </c>
      <c r="B2168" s="12" t="s">
        <v>14982</v>
      </c>
      <c r="C2168" s="13" t="str">
        <f>HYPERLINK("https://audio.iskcondesiretree.com/02_-_ISKCON_Swamis/ISKCON_Swamis_-_R_to_Y/His_Holiness_Radhanath_Swami/Lectures/00_-_Year_wise/Devotional_Nectar_-_2005/Vol_06/05_Jagadananda_Pandits_Loving_Relations_Lecture_Gita_Nagari_-_June_2005_IDesireTree.mp3", "05_Jagadananda_Pandits_Loving_Relations_Lecture_Gita_Nagari_-_June_2005_IDesireTree.mp3")</f>
        <v>05_Jagadananda_Pandits_Loving_Relations_Lecture_Gita_Nagari_-_June_2005_IDesireTree.mp3</v>
      </c>
      <c r="D2168" s="11"/>
      <c r="E2168" s="11"/>
    </row>
    <row r="2169" spans="1:5">
      <c r="A2169" s="12" t="s">
        <v>12462</v>
      </c>
      <c r="B2169" s="12" t="s">
        <v>14983</v>
      </c>
      <c r="C2169" s="13" t="str">
        <f>HYPERLINK("https://audio.iskcondesiretree.com/02_-_ISKCON_Swamis/ISKCON_Swamis_-_R_to_Y/His_Holiness_Radhanath_Swami/Lectures/00_-_Year_wise/Devotional_Nectar_-_2005/Vol_06/06_Bhimasena%27s_Wedding_Lecture_New_Vrindavan_-_Radhanath_Swami_Spring_2005_IDesireTree.mp3", "06_Bhimasena%27s_Wedding_Lecture_New_Vrindavan_-_Radhanath_Swami_Spring_2005_IDesireTree.mp3")</f>
        <v>06_Bhimasena%27s_Wedding_Lecture_New_Vrindavan_-_Radhanath_Swami_Spring_2005_IDesireTree.mp3</v>
      </c>
      <c r="D2169" s="11"/>
      <c r="E2169" s="11"/>
    </row>
    <row r="2170" spans="1:5">
      <c r="A2170" s="12" t="s">
        <v>12462</v>
      </c>
      <c r="B2170" s="12" t="s">
        <v>14984</v>
      </c>
      <c r="C2170" s="13" t="str">
        <f>HYPERLINK("https://audio.iskcondesiretree.com/02_-_ISKCON_Swamis/ISKCON_Swamis_-_R_to_Y/His_Holiness_Radhanath_Swami/Lectures/00_-_Year_wise/Devotional_Nectar_-_2005/Vol_06/07_Sunday_Feast_Sunday_Feast_Brooklyn_-_Radhanath_Swami_Spring_2005_IDesireTree.mp3", "07_Sunday_Feast_Sunday_Feast_Brooklyn_-_Radhanath_Swami_Spring_2005_IDesireTree.mp3")</f>
        <v>07_Sunday_Feast_Sunday_Feast_Brooklyn_-_Radhanath_Swami_Spring_2005_IDesireTree.mp3</v>
      </c>
      <c r="D2170" s="11"/>
      <c r="E2170" s="11"/>
    </row>
    <row r="2171" spans="1:5">
      <c r="A2171" s="12" t="s">
        <v>12462</v>
      </c>
      <c r="B2171" s="12" t="s">
        <v>14985</v>
      </c>
      <c r="C2171" s="13" t="str">
        <f>HYPERLINK("https://audio.iskcondesiretree.com/02_-_ISKCON_Swamis/ISKCON_Swamis_-_R_to_Y/His_Holiness_Radhanath_Swami/Lectures/00_-_Year_wise/Devotional_Nectar_-_2005/Vol_06/08_Lord_Imprisioned_in_the_Heart_of_His_DevoteeLecture_Chicago_-_Spring_2005_IDesireTree.mp3", "08_Lord_Imprisioned_in_the_Heart_of_His_DevoteeLecture_Chicago_-_Spring_2005_IDesireTree.mp3")</f>
        <v>08_Lord_Imprisioned_in_the_Heart_of_His_DevoteeLecture_Chicago_-_Spring_2005_IDesireTree.mp3</v>
      </c>
      <c r="D2171" s="11"/>
      <c r="E2171" s="11"/>
    </row>
    <row r="2172" spans="1:5">
      <c r="A2172" s="12" t="s">
        <v>12462</v>
      </c>
      <c r="B2172" s="12" t="s">
        <v>14986</v>
      </c>
      <c r="C2172" s="13" t="str">
        <f>HYPERLINK("https://audio.iskcondesiretree.com/02_-_ISKCON_Swamis/ISKCON_Swamis_-_R_to_Y/His_Holiness_Radhanath_Swami/Lectures/00_-_Year_wise/Devotional_Nectar_-_2005/Vol_06/09_Servant_Leadership_Lecture_Columbia_-_Radhanath_Swami_Spring_2005_IDesireTree.mp3", "09_Servant_Leadership_Lecture_Columbia_-_Radhanath_Swami_Spring_2005_IDesireTree.mp3")</f>
        <v>09_Servant_Leadership_Lecture_Columbia_-_Radhanath_Swami_Spring_2005_IDesireTree.mp3</v>
      </c>
      <c r="D2172" s="11"/>
      <c r="E2172" s="11"/>
    </row>
    <row r="2173" spans="1:5">
      <c r="A2173" s="12" t="s">
        <v>12462</v>
      </c>
      <c r="B2173" s="12" t="s">
        <v>14987</v>
      </c>
      <c r="C2173" s="13" t="str">
        <f>HYPERLINK("https://audio.iskcondesiretree.com/02_-_ISKCON_Swamis/ISKCON_Swamis_-_R_to_Y/His_Holiness_Radhanath_Swami/Lectures/00_-_Year_wise/Devotional_Nectar_-_2005/Vol_06/10_Festival_of_Inspiration_Final_Addres_Lecture_New_Vrindavan_-_Spring_2005_IDesireTree.mp3", "10_Festival_of_Inspiration_Final_Addres_Lecture_New_Vrindavan_-_Spring_2005_IDesireTree.mp3")</f>
        <v>10_Festival_of_Inspiration_Final_Addres_Lecture_New_Vrindavan_-_Spring_2005_IDesireTree.mp3</v>
      </c>
      <c r="D2173" s="11"/>
      <c r="E2173" s="11"/>
    </row>
    <row r="2174" spans="1:5">
      <c r="A2174" s="12" t="s">
        <v>12462</v>
      </c>
      <c r="B2174" s="12" t="e">
        <v>#VALUE!</v>
      </c>
      <c r="C2174" s="13" t="e">
        <f>HYPERLINK("https://audio.iskcondesiretree.com/02_-_ISKCON_Swamis/ISKCON_Swamis_-_R_to_Y/His_Holiness_Radhanath_Swami/Lectures/00_-_Year_wise/Devotional_Nectar_-_2005/Vol_06/11_First_Rath_Yatra-San_Francisco_Becomes_New_Jagannath_Puri_Lecture_US_-_Spring_2005_IDesire"&amp;"Tree.mp3", "11_First_Rath_Yatra-San_Francisco_Becomes_New_Jagannath_Puri_Lecture_US_-_Spring_2005_IDesireTree.mp3")</f>
        <v>#VALUE!</v>
      </c>
      <c r="D2174" s="11"/>
      <c r="E2174" s="11"/>
    </row>
    <row r="2175" spans="1:5">
      <c r="A2175" s="12" t="s">
        <v>12462</v>
      </c>
      <c r="B2175" s="12" t="s">
        <v>14988</v>
      </c>
      <c r="C2175" s="13" t="str">
        <f>HYPERLINK("https://audio.iskcondesiretree.com/02_-_ISKCON_Swamis/ISKCON_Swamis_-_R_to_Y/His_Holiness_Radhanath_Swami/Lectures/00_-_Year_wise/Devotional_Nectar_-_2005/Vol_06/12_Significance_of_Gundica_Marjanam_Lecture_US_-_Radhanath_Swami_Spring_2005_IDesireTree.mp3", "12_Significance_of_Gundica_Marjanam_Lecture_US_-_Radhanath_Swami_Spring_2005_IDesireTree.mp3")</f>
        <v>12_Significance_of_Gundica_Marjanam_Lecture_US_-_Radhanath_Swami_Spring_2005_IDesireTree.mp3</v>
      </c>
      <c r="D2175" s="11"/>
      <c r="E2175" s="11"/>
    </row>
    <row r="2176" spans="1:5">
      <c r="A2176" s="12" t="s">
        <v>12462</v>
      </c>
      <c r="B2176" s="12" t="s">
        <v>14989</v>
      </c>
      <c r="C2176" s="13" t="str">
        <f>HYPERLINK("https://audio.iskcondesiretree.com/02_-_ISKCON_Swamis/ISKCON_Swamis_-_R_to_Y/His_Holiness_Radhanath_Swami/Lectures/00_-_Year_wise/Devotional_Nectar_-_2005/Vol_06/13_Spirituality_%26_Vegetarianism_Lecture_New_York_University_-_Spring_2005_IDesireTree.mp3", "13_Spirituality_%26_Vegetarianism_Lecture_New_York_University_-_Spring_2005_IDesireTree.mp3")</f>
        <v>13_Spirituality_%26_Vegetarianism_Lecture_New_York_University_-_Spring_2005_IDesireTree.mp3</v>
      </c>
      <c r="D2176" s="11"/>
      <c r="E2176" s="11"/>
    </row>
    <row r="2177" spans="1:5">
      <c r="A2177" s="12" t="s">
        <v>12462</v>
      </c>
      <c r="B2177" s="12" t="s">
        <v>14990</v>
      </c>
      <c r="C2177" s="13" t="str">
        <f>HYPERLINK("https://audio.iskcondesiretree.com/02_-_ISKCON_Swamis/ISKCON_Swamis_-_R_to_Y/His_Holiness_Radhanath_Swami/Lectures/00_-_Year_wise/Devotional_Nectar_-_2005/Vol_06/14_Exchange_of_Hearts_SB-01_16_34_Chicago_-_Radhanath_Swami_Spring_2005_IDesireTree.mp3", "14_Exchange_of_Hearts_SB-01_16_34_Chicago_-_Radhanath_Swami_Spring_2005_IDesireTree.mp3")</f>
        <v>14_Exchange_of_Hearts_SB-01_16_34_Chicago_-_Radhanath_Swami_Spring_2005_IDesireTree.mp3</v>
      </c>
      <c r="D2177" s="11"/>
      <c r="E2177" s="11"/>
    </row>
    <row r="2178" spans="1:5">
      <c r="A2178" s="12" t="s">
        <v>12462</v>
      </c>
      <c r="B2178" s="12" t="e">
        <v>#VALUE!</v>
      </c>
      <c r="C2178" s="13" t="e">
        <f>HYPERLINK("https://audio.iskcondesiretree.com/02_-_ISKCON_Swamis/ISKCON_Swamis_-_R_to_Y/His_Holiness_Radhanath_Swami/Lectures/00_-_Year_wise/Devotional_Nectar_-_2005/Vol_07/01_Glories_of_Srila_Vrindavan_Das_Thakur_SB-07_03_01_New_Vrindavan_-_Spring_2005_IDesireTree."&amp;"mp3", "01_Glories_of_Srila_Vrindavan_Das_Thakur_SB-07_03_01_New_Vrindavan_-_Spring_2005_IDesireTree.mp3")</f>
        <v>#VALUE!</v>
      </c>
      <c r="D2178" s="11"/>
      <c r="E2178" s="11"/>
    </row>
    <row r="2179" spans="1:5">
      <c r="A2179" s="12" t="s">
        <v>12462</v>
      </c>
      <c r="B2179" s="12" t="e">
        <v>#VALUE!</v>
      </c>
      <c r="C2179" s="13" t="e">
        <f>HYPERLINK("https://audio.iskcondesiretree.com/02_-_ISKCON_Swamis/ISKCON_Swamis_-_R_to_Y/His_Holiness_Radhanath_Swami/Lectures/00_-_Year_wise/Devotional_Nectar_-_2005/Vol_07/02_Inspiring_One_Another_in_Krishna_Consciousness_SB-07_03_30_US_-_Spring_2005_IDesireTree.mp"&amp;"3", "02_Inspiring_One_Another_in_Krishna_Consciousness_SB-07_03_30_US_-_Spring_2005_IDesireTree.mp3")</f>
        <v>#VALUE!</v>
      </c>
      <c r="D2179" s="11"/>
      <c r="E2179" s="11"/>
    </row>
    <row r="2180" spans="1:5">
      <c r="A2180" s="12" t="s">
        <v>12462</v>
      </c>
      <c r="B2180" s="12" t="s">
        <v>14991</v>
      </c>
      <c r="C2180" s="13" t="str">
        <f>HYPERLINK("https://audio.iskcondesiretree.com/02_-_ISKCON_Swamis/ISKCON_Swamis_-_R_to_Y/His_Holiness_Radhanath_Swami/Lectures/00_-_Year_wise/Devotional_Nectar_-_2005/Vol_07/03_Gravity_of_Vaisnav_offense_SB-04_06_37_US_-_West_Coast_2005_IDesireTree.mp3", "03_Gravity_of_Vaisnav_offense_SB-04_06_37_US_-_West_Coast_2005_IDesireTree.mp3")</f>
        <v>03_Gravity_of_Vaisnav_offense_SB-04_06_37_US_-_West_Coast_2005_IDesireTree.mp3</v>
      </c>
      <c r="D2180" s="11"/>
      <c r="E2180" s="11"/>
    </row>
    <row r="2181" spans="1:5">
      <c r="A2181" s="12" t="s">
        <v>12462</v>
      </c>
      <c r="B2181" s="12" t="s">
        <v>14992</v>
      </c>
      <c r="C2181" s="13" t="str">
        <f>HYPERLINK("https://audio.iskcondesiretree.com/02_-_ISKCON_Swamis/ISKCON_Swamis_-_R_to_Y/His_Holiness_Radhanath_Swami/Lectures/00_-_Year_wise/Devotional_Nectar_-_2005/Vol_07/04_Do_Not_Be_Restless_Like_a_Lightning_Flash_SB-10_20_17_US_-_West_Coast_2005_IDesireTree.mp3", "04_Do_Not_Be_Restless_Like_a_Lightning_Flash_SB-10_20_17_US_-_West_Coast_2005_IDesireTree.mp3")</f>
        <v>04_Do_Not_Be_Restless_Like_a_Lightning_Flash_SB-10_20_17_US_-_West_Coast_2005_IDesireTree.mp3</v>
      </c>
      <c r="D2181" s="11"/>
      <c r="E2181" s="11"/>
    </row>
    <row r="2182" spans="1:5">
      <c r="A2182" s="12" t="s">
        <v>12462</v>
      </c>
      <c r="B2182" s="12" t="s">
        <v>14993</v>
      </c>
      <c r="C2182" s="13" t="str">
        <f>HYPERLINK("https://audio.iskcondesiretree.com/02_-_ISKCON_Swamis/ISKCON_Swamis_-_R_to_Y/His_Holiness_Radhanath_Swami/Lectures/00_-_Year_wise/Devotional_Nectar_-_2005/Vol_07/05_The_Glories_of_HH_Bhakti_Tirtha_Swami_SB_Lecture_US_-_West_Coast_2005_IDesireTree.mp3", "05_The_Glories_of_HH_Bhakti_Tirtha_Swami_SB_Lecture_US_-_West_Coast_2005_IDesireTree.mp3")</f>
        <v>05_The_Glories_of_HH_Bhakti_Tirtha_Swami_SB_Lecture_US_-_West_Coast_2005_IDesireTree.mp3</v>
      </c>
      <c r="D2182" s="11"/>
      <c r="E2182" s="11"/>
    </row>
    <row r="2183" spans="1:5">
      <c r="A2183" s="12" t="s">
        <v>12462</v>
      </c>
      <c r="B2183" s="12" t="s">
        <v>14994</v>
      </c>
      <c r="C2183" s="13" t="str">
        <f>HYPERLINK("https://audio.iskcondesiretree.com/02_-_ISKCON_Swamis/ISKCON_Swamis_-_R_to_Y/His_Holiness_Radhanath_Swami/Lectures/00_-_Year_wise/Devotional_Nectar_-_2005/Vol_07/06_The_Glories_of_Lord_Shiva_SB-04_06_42_US_-_Radhanath_Swami_West_Coast_2005_IDesireTree.mp3", "06_The_Glories_of_Lord_Shiva_SB-04_06_42_US_-_Radhanath_Swami_West_Coast_2005_IDesireTree.mp3")</f>
        <v>06_The_Glories_of_Lord_Shiva_SB-04_06_42_US_-_Radhanath_Swami_West_Coast_2005_IDesireTree.mp3</v>
      </c>
      <c r="D2183" s="11"/>
      <c r="E2183" s="11"/>
    </row>
    <row r="2184" spans="1:5">
      <c r="A2184" s="12" t="s">
        <v>12462</v>
      </c>
      <c r="B2184" s="12" t="s">
        <v>14995</v>
      </c>
      <c r="C2184" s="13" t="str">
        <f>HYPERLINK("https://audio.iskcondesiretree.com/02_-_ISKCON_Swamis/ISKCON_Swamis_-_R_to_Y/His_Holiness_Radhanath_Swami/Lectures/00_-_Year_wise/Devotional_Nectar_-_2005/Vol_07/07_Varnashrama_Dharma_SB-04_06_44_US_-_Radhanath_Swami_West_Coast_2005_IDesireTree.mp3", "07_Varnashrama_Dharma_SB-04_06_44_US_-_Radhanath_Swami_West_Coast_2005_IDesireTree.mp3")</f>
        <v>07_Varnashrama_Dharma_SB-04_06_44_US_-_Radhanath_Swami_West_Coast_2005_IDesireTree.mp3</v>
      </c>
      <c r="D2184" s="11"/>
      <c r="E2184" s="11"/>
    </row>
    <row r="2185" spans="1:5">
      <c r="A2185" s="12" t="s">
        <v>12462</v>
      </c>
      <c r="B2185" s="12" t="s">
        <v>14996</v>
      </c>
      <c r="C2185" s="13" t="str">
        <f>HYPERLINK("https://audio.iskcondesiretree.com/02_-_ISKCON_Swamis/ISKCON_Swamis_-_R_to_Y/His_Holiness_Radhanath_Swami/Lectures/00_-_Year_wise/Devotional_Nectar_-_2005/Vol_07/08_Responsibility_Lecture_London_-_Radhanath_Swami_August_2005_IDesireTree.mp3", "08_Responsibility_Lecture_London_-_Radhanath_Swami_August_2005_IDesireTree.mp3")</f>
        <v>08_Responsibility_Lecture_London_-_Radhanath_Swami_August_2005_IDesireTree.mp3</v>
      </c>
      <c r="D2185" s="11"/>
      <c r="E2185" s="11"/>
    </row>
    <row r="2186" spans="1:5">
      <c r="A2186" s="12" t="s">
        <v>12462</v>
      </c>
      <c r="B2186" s="12" t="s">
        <v>14997</v>
      </c>
      <c r="C2186" s="13" t="str">
        <f>HYPERLINK("https://audio.iskcondesiretree.com/02_-_ISKCON_Swamis/ISKCON_Swamis_-_R_to_Y/His_Holiness_Radhanath_Swami/Lectures/00_-_Year_wise/Devotional_Nectar_-_2005/Vol_07/09_Maya_Traps_The_Puffed_Up_SB-05_13_23_Mumbai_-_Radhanath_Swami_2005-09-07_IDesireTree.mp3", "09_Maya_Traps_The_Puffed_Up_SB-05_13_23_Mumbai_-_Radhanath_Swami_2005-09-07_IDesireTree.mp3")</f>
        <v>09_Maya_Traps_The_Puffed_Up_SB-05_13_23_Mumbai_-_Radhanath_Swami_2005-09-07_IDesireTree.mp3</v>
      </c>
      <c r="D2186" s="11"/>
      <c r="E2186" s="11"/>
    </row>
    <row r="2187" spans="1:5">
      <c r="A2187" s="12" t="s">
        <v>12462</v>
      </c>
      <c r="B2187" s="12" t="s">
        <v>14998</v>
      </c>
      <c r="C2187" s="13" t="str">
        <f>HYPERLINK("https://audio.iskcondesiretree.com/02_-_ISKCON_Swamis/ISKCON_Swamis_-_R_to_Y/His_Holiness_Radhanath_Swami/Lectures/00_-_Year_wise/Devotional_Nectar_-_2005/Vol_08/01_What_Janmashtami_Really_Means_Lecture_Mumbai_-_Radhanath_Swami_2005-09-09_IDesireTree.mp3", "01_What_Janmashtami_Really_Means_Lecture_Mumbai_-_Radhanath_Swami_2005-09-09_IDesireTree.mp3")</f>
        <v>01_What_Janmashtami_Really_Means_Lecture_Mumbai_-_Radhanath_Swami_2005-09-09_IDesireTree.mp3</v>
      </c>
      <c r="D2187" s="11"/>
      <c r="E2187" s="11"/>
    </row>
    <row r="2188" spans="1:5">
      <c r="A2188" s="12" t="s">
        <v>12462</v>
      </c>
      <c r="B2188" s="12" t="e">
        <v>#VALUE!</v>
      </c>
      <c r="C2188" s="13" t="e">
        <f>HYPERLINK("https://audio.iskcondesiretree.com/02_-_ISKCON_Swamis/ISKCON_Swamis_-_R_to_Y/His_Holiness_Radhanath_Swami/Lectures/00_-_Year_wise/Devotional_Nectar_-_2005/Vol_08/02_Transcending_Material_Misery_%26_Lalita_Devi%27s_Appearance_Day_SB-5_14_1_Mumbai_-_10-09-0"&amp;"5_IDesireTree.mp3", "02_Transcending_Material_Misery_%26_Lalita_Devi%27s_Appearance_Day_SB-5_14_1_Mumbai_-_10-09-05_IDesireTree.mp3")</f>
        <v>#VALUE!</v>
      </c>
      <c r="D2188" s="11"/>
      <c r="E2188" s="11"/>
    </row>
    <row r="2189" spans="1:5">
      <c r="A2189" s="12" t="s">
        <v>12462</v>
      </c>
      <c r="B2189" s="12" t="s">
        <v>14999</v>
      </c>
      <c r="C2189" s="13" t="str">
        <f>HYPERLINK("https://audio.iskcondesiretree.com/02_-_ISKCON_Swamis/ISKCON_Swamis_-_R_to_Y/His_Holiness_Radhanath_Swami/Lectures/00_-_Year_wise/Devotional_Nectar_-_2005/Vol_08/03_Glories_of_Srila_Swaroop_Damodar_Goswami_Lecture_Mumbai_-_10-09-05_IDesireTree.mp3", "03_Glories_of_Srila_Swaroop_Damodar_Goswami_Lecture_Mumbai_-_10-09-05_IDesireTree.mp3")</f>
        <v>03_Glories_of_Srila_Swaroop_Damodar_Goswami_Lecture_Mumbai_-_10-09-05_IDesireTree.mp3</v>
      </c>
      <c r="D2189" s="11"/>
      <c r="E2189" s="11"/>
    </row>
    <row r="2190" spans="1:5">
      <c r="A2190" s="12" t="s">
        <v>12462</v>
      </c>
      <c r="B2190" s="12" t="e">
        <v>#VALUE!</v>
      </c>
      <c r="C2190" s="13" t="e">
        <f>HYPERLINK("https://audio.iskcondesiretree.com/02_-_ISKCON_Swamis/ISKCON_Swamis_-_R_to_Y/His_Holiness_Radhanath_Swami/Lectures/00_-_Year_wise/Devotional_Nectar_-_2005/Vol_08/04_Srimati_Radharani-_The_Embodiment_Of_Pure_Devotional_Service_SB_Class_Mumbai_-_11-09-05_ID"&amp;"esireTree.mp3", "04_Srimati_Radharani-_The_Embodiment_Of_Pure_Devotional_Service_SB_Class_Mumbai_-_11-09-05_IDesireTree.mp3")</f>
        <v>#VALUE!</v>
      </c>
      <c r="D2190" s="11"/>
      <c r="E2190" s="11"/>
    </row>
    <row r="2191" spans="1:5">
      <c r="A2191" s="12" t="s">
        <v>12462</v>
      </c>
      <c r="B2191" s="12" t="s">
        <v>15000</v>
      </c>
      <c r="C2191" s="13" t="str">
        <f>HYPERLINK("https://audio.iskcondesiretree.com/02_-_ISKCON_Swamis/ISKCON_Swamis_-_R_to_Y/His_Holiness_Radhanath_Swami/Lectures/00_-_Year_wise/Devotional_Nectar_-_2005/Vol_08/05_Glories_of_Srimati_Radharani_Lecture_Mumbai_-_Radhanath_Swami_2005-09-11_IDesireTree.mp3", "05_Glories_of_Srimati_Radharani_Lecture_Mumbai_-_Radhanath_Swami_2005-09-11_IDesireTree.mp3")</f>
        <v>05_Glories_of_Srimati_Radharani_Lecture_Mumbai_-_Radhanath_Swami_2005-09-11_IDesireTree.mp3</v>
      </c>
      <c r="D2191" s="11"/>
      <c r="E2191" s="11"/>
    </row>
    <row r="2192" spans="1:5">
      <c r="A2192" s="12" t="s">
        <v>12462</v>
      </c>
      <c r="B2192" s="12" t="s">
        <v>15001</v>
      </c>
      <c r="C2192" s="13" t="str">
        <f>HYPERLINK("https://audio.iskcondesiretree.com/02_-_ISKCON_Swamis/ISKCON_Swamis_-_R_to_Y/His_Holiness_Radhanath_Swami/Lectures/00_-_Year_wise/Devotional_Nectar_-_2005/Vol_08/06_Vaisnava%27s_Mood_of_Studying_Bhakti_Shastri_Lecture_Mumbai_-_14-09-05_IDesireTree.mp3", "06_Vaisnava%27s_Mood_of_Studying_Bhakti_Shastri_Lecture_Mumbai_-_14-09-05_IDesireTree.mp3")</f>
        <v>06_Vaisnava%27s_Mood_of_Studying_Bhakti_Shastri_Lecture_Mumbai_-_14-09-05_IDesireTree.mp3</v>
      </c>
      <c r="D2192" s="11"/>
      <c r="E2192" s="11"/>
    </row>
    <row r="2193" spans="1:5">
      <c r="A2193" s="12" t="s">
        <v>12462</v>
      </c>
      <c r="B2193" s="12" t="e">
        <v>#VALUE!</v>
      </c>
      <c r="C2193" s="13" t="e">
        <f>HYPERLINK("https://audio.iskcondesiretree.com/02_-_ISKCON_Swamis/ISKCON_Swamis_-_R_to_Y/His_Holiness_Radhanath_Swami/Lectures/00_-_Year_wise/Devotional_Nectar_-_2005/Vol_08/07_Glories_of_Lord_Vaman_Dev_%26_Srila_Jiva_Goswami_SB-03_10_18_Mumbai_-_15-09-05_IDesireTree"&amp;".mp3", "07_Glories_of_Lord_Vaman_Dev_%26_Srila_Jiva_Goswami_SB-03_10_18_Mumbai_-_15-09-05_IDesireTree.mp3")</f>
        <v>#VALUE!</v>
      </c>
      <c r="D2193" s="11"/>
      <c r="E2193" s="11"/>
    </row>
    <row r="2194" spans="1:5">
      <c r="A2194" s="12" t="s">
        <v>12462</v>
      </c>
      <c r="B2194" s="12" t="s">
        <v>15002</v>
      </c>
      <c r="C2194" s="13" t="str">
        <f>HYPERLINK("https://audio.iskcondesiretree.com/02_-_ISKCON_Swamis/ISKCON_Swamis_-_R_to_Y/His_Holiness_Radhanath_Swami/Lectures/00_-_Year_wise/Devotional_Nectar_-_2005/Vol_09/01_Bali_Maharaj-_Emblem_of_Complete_Surrender_Lecture_Mumbai_-_15-09-05_IDesireTree.mp3", "01_Bali_Maharaj-_Emblem_of_Complete_Surrender_Lecture_Mumbai_-_15-09-05_IDesireTree.mp3")</f>
        <v>01_Bali_Maharaj-_Emblem_of_Complete_Surrender_Lecture_Mumbai_-_15-09-05_IDesireTree.mp3</v>
      </c>
      <c r="D2194" s="11"/>
      <c r="E2194" s="11"/>
    </row>
    <row r="2195" spans="1:5">
      <c r="A2195" s="12" t="s">
        <v>12462</v>
      </c>
      <c r="B2195" s="12" t="s">
        <v>15003</v>
      </c>
      <c r="C2195" s="13" t="str">
        <f>HYPERLINK("https://audio.iskcondesiretree.com/02_-_ISKCON_Swamis/ISKCON_Swamis_-_R_to_Y/His_Holiness_Radhanath_Swami/Lectures/00_-_Year_wise/Devotional_Nectar_-_2005/Vol_09/02_Glories_of_Srila_Haridas_Thakur_SB-05_14_06_Mumbai_-_17-09-05_IDesireTree.mp3", "02_Glories_of_Srila_Haridas_Thakur_SB-05_14_06_Mumbai_-_17-09-05_IDesireTree.mp3")</f>
        <v>02_Glories_of_Srila_Haridas_Thakur_SB-05_14_06_Mumbai_-_17-09-05_IDesireTree.mp3</v>
      </c>
      <c r="D2195" s="11"/>
      <c r="E2195" s="11"/>
    </row>
    <row r="2196" spans="1:5">
      <c r="A2196" s="12" t="s">
        <v>12462</v>
      </c>
      <c r="B2196" s="12" t="s">
        <v>15004</v>
      </c>
      <c r="C2196" s="13" t="str">
        <f>HYPERLINK("https://audio.iskcondesiretree.com/02_-_ISKCON_Swamis/ISKCON_Swamis_-_R_to_Y/His_Holiness_Radhanath_Swami/Lectures/00_-_Year_wise/Devotional_Nectar_-_2005/Vol_09/05_Cast_Off_the_Sinful_Mentality_SB-10_20_28_Mumbai_-_22-09-05_IDesireTree.mp3", "05_Cast_Off_the_Sinful_Mentality_SB-10_20_28_Mumbai_-_22-09-05_IDesireTree.mp3")</f>
        <v>05_Cast_Off_the_Sinful_Mentality_SB-10_20_28_Mumbai_-_22-09-05_IDesireTree.mp3</v>
      </c>
      <c r="D2196" s="11"/>
      <c r="E2196" s="11"/>
    </row>
    <row r="2197" spans="1:5">
      <c r="A2197" s="12" t="s">
        <v>12462</v>
      </c>
      <c r="B2197" s="12" t="s">
        <v>15005</v>
      </c>
      <c r="C2197" s="13" t="str">
        <f>HYPERLINK("https://audio.iskcondesiretree.com/02_-_ISKCON_Swamis/ISKCON_Swamis_-_R_to_Y/His_Holiness_Radhanath_Swami/Lectures/00_-_Year_wise/Devotional_Nectar_-_2005/Vol_09/06_Do_Not_Eat_the_Forbidden_Apple_of_Envy_SB-05_14_12_Mumbai_-_24-09-05_IDesireTree.mp3", "06_Do_Not_Eat_the_Forbidden_Apple_of_Envy_SB-05_14_12_Mumbai_-_24-09-05_IDesireTree.mp3")</f>
        <v>06_Do_Not_Eat_the_Forbidden_Apple_of_Envy_SB-05_14_12_Mumbai_-_24-09-05_IDesireTree.mp3</v>
      </c>
      <c r="D2197" s="11"/>
      <c r="E2197" s="11"/>
    </row>
    <row r="2198" spans="1:5">
      <c r="A2198" s="12" t="s">
        <v>12462</v>
      </c>
      <c r="B2198" s="12" t="s">
        <v>15006</v>
      </c>
      <c r="C2198" s="13" t="str">
        <f>HYPERLINK("https://audio.iskcondesiretree.com/02_-_ISKCON_Swamis/ISKCON_Swamis_-_R_to_Y/His_Holiness_Radhanath_Swami/Lectures/00_-_Year_wise/Devotional_Nectar_-_2005/Vol_09/07_Hurricane_or_Harinaam_Prerana_Lecture_Mumbai_-_Radhanath_Swami_2005-09-24_IDesireTree.mp3", "07_Hurricane_or_Harinaam_Prerana_Lecture_Mumbai_-_Radhanath_Swami_2005-09-24_IDesireTree.mp3")</f>
        <v>07_Hurricane_or_Harinaam_Prerana_Lecture_Mumbai_-_Radhanath_Swami_2005-09-24_IDesireTree.mp3</v>
      </c>
      <c r="D2198" s="11"/>
      <c r="E2198" s="11"/>
    </row>
    <row r="2199" spans="1:5">
      <c r="A2199" s="12" t="s">
        <v>12462</v>
      </c>
      <c r="B2199" s="12" t="s">
        <v>15007</v>
      </c>
      <c r="C2199" s="13" t="str">
        <f>HYPERLINK("https://audio.iskcondesiretree.com/02_-_ISKCON_Swamis/ISKCON_Swamis_-_R_to_Y/His_Holiness_Radhanath_Swami/Lectures/00_-_Year_wise/Devotional_Nectar_-_2005/Vol_10/01_Saints_and_Swindlers_SB-05_14_13_Mumbai_-_Radhanath_Swami_2005-09-25_IDesireTree.mp3", "01_Saints_and_Swindlers_SB-05_14_13_Mumbai_-_Radhanath_Swami_2005-09-25_IDesireTree.mp3")</f>
        <v>01_Saints_and_Swindlers_SB-05_14_13_Mumbai_-_Radhanath_Swami_2005-09-25_IDesireTree.mp3</v>
      </c>
      <c r="D2199" s="11"/>
      <c r="E2199" s="11"/>
    </row>
    <row r="2200" spans="1:5">
      <c r="A2200" s="12" t="s">
        <v>12462</v>
      </c>
      <c r="B2200" s="12" t="e">
        <v>#VALUE!</v>
      </c>
      <c r="C2200" s="13" t="e">
        <f>HYPERLINK("https://audio.iskcondesiretree.com/02_-_ISKCON_Swamis/ISKCON_Swamis_-_R_to_Y/His_Holiness_Radhanath_Swami/Lectures/00_-_Year_wise/Devotional_Nectar_-_2005/Vol_10/02_Human_Freedom_-To_Feed_the_Good_Dog_or_Bad_Dog_Sunday_Feast_Mumbai_-_25-09-05_IDesireTree."&amp;"mp3", "02_Human_Freedom_-To_Feed_the_Good_Dog_or_Bad_Dog_Sunday_Feast_Mumbai_-_25-09-05_IDesireTree.mp3")</f>
        <v>#VALUE!</v>
      </c>
      <c r="D2200" s="11"/>
      <c r="E2200" s="11"/>
    </row>
    <row r="2201" spans="1:5">
      <c r="A2201" s="12" t="s">
        <v>12462</v>
      </c>
      <c r="B2201" s="12" t="s">
        <v>15008</v>
      </c>
      <c r="C2201" s="13" t="str">
        <f>HYPERLINK("https://audio.iskcondesiretree.com/02_-_ISKCON_Swamis/ISKCON_Swamis_-_R_to_Y/His_Holiness_Radhanath_Swami/Lectures/00_-_Year_wise/Devotional_Nectar_-_2005/Vol_10/03_Dangers_and_Oppurtunities_Lecture_Mumbai_-_Radhanath_Swami_2005-09-28_IDesireTree.mp3", "03_Dangers_and_Oppurtunities_Lecture_Mumbai_-_Radhanath_Swami_2005-09-28_IDesireTree.mp3")</f>
        <v>03_Dangers_and_Oppurtunities_Lecture_Mumbai_-_Radhanath_Swami_2005-09-28_IDesireTree.mp3</v>
      </c>
      <c r="D2201" s="11"/>
      <c r="E2201" s="11"/>
    </row>
    <row r="2202" spans="1:5">
      <c r="A2202" s="12" t="s">
        <v>12462</v>
      </c>
      <c r="B2202" s="12" t="e">
        <v>#VALUE!</v>
      </c>
      <c r="C2202" s="13" t="e">
        <f>HYPERLINK("https://audio.iskcondesiretree.com/02_-_ISKCON_Swamis/ISKCON_Swamis_-_R_to_Y/His_Holiness_Radhanath_Swami/Lectures/00_-_Year_wise/Devotional_Nectar_-_2005/Vol_10/04_Don%27t_Run_After_the_Twilight_of_Material_Existence_SB-03_20_38_Mumbai_-_30-09-05_IDesire"&amp;"Tree.mp3", "04_Don%27t_Run_After_the_Twilight_of_Material_Existence_SB-03_20_38_Mumbai_-_30-09-05_IDesireTree.mp3")</f>
        <v>#VALUE!</v>
      </c>
      <c r="D2202" s="11"/>
      <c r="E2202" s="11"/>
    </row>
    <row r="2203" spans="1:5">
      <c r="A2203" s="12" t="s">
        <v>12462</v>
      </c>
      <c r="B2203" s="12" t="s">
        <v>15009</v>
      </c>
      <c r="C2203" s="13" t="str">
        <f>HYPERLINK("https://audio.iskcondesiretree.com/02_-_ISKCON_Swamis/ISKCON_Swamis_-_R_to_Y/His_Holiness_Radhanath_Swami/Lectures/00_-_Year_wise/Devotional_Nectar_-_2005/Vol_10/06_Thorns_And_Pebbles_on_the_Path_of_Grhastha_Ashram_SB-05_14_18_-_01-10-05_IDesireTree.mp3", "06_Thorns_And_Pebbles_on_the_Path_of_Grhastha_Ashram_SB-05_14_18_-_01-10-05_IDesireTree.mp3")</f>
        <v>06_Thorns_And_Pebbles_on_the_Path_of_Grhastha_Ashram_SB-05_14_18_-_01-10-05_IDesireTree.mp3</v>
      </c>
      <c r="D2203" s="11"/>
      <c r="E2203" s="11"/>
    </row>
    <row r="2204" spans="1:5">
      <c r="A2204" s="12" t="s">
        <v>12462</v>
      </c>
      <c r="B2204" s="12" t="s">
        <v>15010</v>
      </c>
      <c r="C2204" s="13" t="str">
        <f>HYPERLINK("https://audio.iskcondesiretree.com/02_-_ISKCON_Swamis/ISKCON_Swamis_-_R_to_Y/His_Holiness_Radhanath_Swami/Lectures/00_-_Year_wise/Devotional_Nectar_-_2005/Vol_10/07_Offerings_to_Nandarani_Lecture_Mumbai_-_Radhanath_Swami_2005-10-01_IDesireTree.mp3", "07_Offerings_to_Nandarani_Lecture_Mumbai_-_Radhanath_Swami_2005-10-01_IDesireTree.mp3")</f>
        <v>07_Offerings_to_Nandarani_Lecture_Mumbai_-_Radhanath_Swami_2005-10-01_IDesireTree.mp3</v>
      </c>
      <c r="D2204" s="11"/>
      <c r="E2204" s="11"/>
    </row>
    <row r="2205" spans="1:5">
      <c r="A2205" s="12" t="s">
        <v>12462</v>
      </c>
      <c r="B2205" s="12" t="s">
        <v>15011</v>
      </c>
      <c r="C2205" s="13" t="str">
        <f>HYPERLINK("https://audio.iskcondesiretree.com/02_-_ISKCON_Swamis/ISKCON_Swamis_-_R_to_Y/His_Holiness_Radhanath_Swami/Lectures/00_-_Year_wise/Devotional_Nectar_-_2005/Vol_10/08_Resolving_Conflicts_in_Grhastha_Ashram_SB-05_14_19_Mumbai_-_02-10-05_IDesireTree.mp3", "08_Resolving_Conflicts_in_Grhastha_Ashram_SB-05_14_19_Mumbai_-_02-10-05_IDesireTree.mp3")</f>
        <v>08_Resolving_Conflicts_in_Grhastha_Ashram_SB-05_14_19_Mumbai_-_02-10-05_IDesireTree.mp3</v>
      </c>
      <c r="D2205" s="11"/>
      <c r="E2205" s="11"/>
    </row>
    <row r="2206" spans="1:5">
      <c r="A2206" s="12" t="s">
        <v>12462</v>
      </c>
      <c r="B2206" s="12" t="s">
        <v>15012</v>
      </c>
      <c r="C2206" s="13" t="str">
        <f>HYPERLINK("https://audio.iskcondesiretree.com/02_-_ISKCON_Swamis/ISKCON_Swamis_-_R_to_Y/His_Holiness_Radhanath_Swami/Lectures/00_-_Year_wise/Devotional_Nectar_-_2005/Vol_10/09_Power_of_Mercy_and_Pastimes_of_H_-_Radhanath_Swami_IDesireTree.mp3", "09_Power_of_Mercy_and_Pastimes_of_H_-_Radhanath_Swami_IDesireTree.mp3")</f>
        <v>09_Power_of_Mercy_and_Pastimes_of_H_-_Radhanath_Swami_IDesireTree.mp3</v>
      </c>
      <c r="D2206" s="11"/>
      <c r="E2206" s="11"/>
    </row>
    <row r="2207" spans="1:5">
      <c r="A2207" s="12" t="s">
        <v>12462</v>
      </c>
      <c r="B2207" s="12" t="s">
        <v>15013</v>
      </c>
      <c r="C2207" s="13" t="str">
        <f>HYPERLINK("https://audio.iskcondesiretree.com/02_-_ISKCON_Swamis/ISKCON_Swamis_-_R_to_Y/His_Holiness_Radhanath_Swami/Lectures/00_-_Year_wise/Devotional_Nectar_-_2005/Vol_10/10_Yamuna_Pati_Prabhu%27s_Memorial_Lecture_Govind_Dham_Nigdi_-_06-10-05_IDesireTree.mp3", "10_Yamuna_Pati_Prabhu%27s_Memorial_Lecture_Govind_Dham_Nigdi_-_06-10-05_IDesireTree.mp3")</f>
        <v>10_Yamuna_Pati_Prabhu%27s_Memorial_Lecture_Govind_Dham_Nigdi_-_06-10-05_IDesireTree.mp3</v>
      </c>
      <c r="D2207" s="11"/>
      <c r="E2207" s="11"/>
    </row>
    <row r="2208" spans="1:5">
      <c r="A2208" s="12" t="s">
        <v>12462</v>
      </c>
      <c r="B2208" s="12" t="s">
        <v>15014</v>
      </c>
      <c r="C2208" s="13" t="str">
        <f>HYPERLINK("https://audio.iskcondesiretree.com/02_-_ISKCON_Swamis/ISKCON_Swamis_-_R_to_Y/His_Holiness_Radhanath_Swami/Lectures/00_-_Year_wise/Devotional_Nectar_-_2005/Vol_11/01_From_Illusion_to_Reality_Chetana_Mumbai_-_Radhanath_Swami_2005-10-08_IDesireTree.mp3", "01_From_Illusion_to_Reality_Chetana_Mumbai_-_Radhanath_Swami_2005-10-08_IDesireTree.mp3")</f>
        <v>01_From_Illusion_to_Reality_Chetana_Mumbai_-_Radhanath_Swami_2005-10-08_IDesireTree.mp3</v>
      </c>
      <c r="D2208" s="11"/>
      <c r="E2208" s="11"/>
    </row>
    <row r="2209" spans="1:5">
      <c r="A2209" s="12" t="s">
        <v>12462</v>
      </c>
      <c r="B2209" s="12" t="s">
        <v>15015</v>
      </c>
      <c r="C2209" s="13" t="str">
        <f>HYPERLINK("https://audio.iskcondesiretree.com/02_-_ISKCON_Swamis/ISKCON_Swamis_-_R_to_Y/His_Holiness_Radhanath_Swami/Lectures/00_-_Year_wise/Devotional_Nectar_-_2005/Vol_11/02_Greed_-_No_Satisfaction_No_Relationships_SB-05_14_26_Mumbai_-_09-10-05_IDesireTree.mp3", "02_Greed_-_No_Satisfaction_No_Relationships_SB-05_14_26_Mumbai_-_09-10-05_IDesireTree.mp3")</f>
        <v>02_Greed_-_No_Satisfaction_No_Relationships_SB-05_14_26_Mumbai_-_09-10-05_IDesireTree.mp3</v>
      </c>
      <c r="D2209" s="11"/>
      <c r="E2209" s="11"/>
    </row>
    <row r="2210" spans="1:5">
      <c r="A2210" s="12" t="s">
        <v>12462</v>
      </c>
      <c r="B2210" s="12" t="e">
        <v>#VALUE!</v>
      </c>
      <c r="C2210" s="13" t="e">
        <f>HYPERLINK("https://audio.iskcondesiretree.com/02_-_ISKCON_Swamis/ISKCON_Swamis_-_R_to_Y/His_Holiness_Radhanath_Swami/Lectures/00_-_Year_wise/Devotional_Nectar_-_2005/Vol_11/03_To_Overcome_Envy_One_Must_Give_Up_Fault_Finding_Sunday_Feast_Mumbai_-_09-10-05_IDesireTree"&amp;".mp3", "03_To_Overcome_Envy_One_Must_Give_Up_Fault_Finding_Sunday_Feast_Mumbai_-_09-10-05_IDesireTree.mp3")</f>
        <v>#VALUE!</v>
      </c>
      <c r="D2210" s="11"/>
      <c r="E2210" s="11"/>
    </row>
    <row r="2211" spans="1:5">
      <c r="A2211" s="12" t="s">
        <v>12462</v>
      </c>
      <c r="B2211" s="12" t="s">
        <v>15016</v>
      </c>
      <c r="C2211" s="13" t="str">
        <f>HYPERLINK("https://audio.iskcondesiretree.com/02_-_ISKCON_Swamis/ISKCON_Swamis_-_R_to_Y/His_Holiness_Radhanath_Swami/Lectures/00_-_Year_wise/Devotional_Nectar_-_2005/Vol_11/04_Destroying_The_Ravana_Within_37th_Prerana_Mumbai_-_15-10-05_IDesireTree.mp3", "04_Destroying_The_Ravana_Within_37th_Prerana_Mumbai_-_15-10-05_IDesireTree.mp3")</f>
        <v>04_Destroying_The_Ravana_Within_37th_Prerana_Mumbai_-_15-10-05_IDesireTree.mp3</v>
      </c>
      <c r="D2211" s="11"/>
      <c r="E2211" s="11"/>
    </row>
    <row r="2212" spans="1:5">
      <c r="A2212" s="12" t="s">
        <v>12462</v>
      </c>
      <c r="B2212" s="12" t="s">
        <v>15017</v>
      </c>
      <c r="C2212" s="13" t="str">
        <f>HYPERLINK("https://audio.iskcondesiretree.com/02_-_ISKCON_Swamis/ISKCON_Swamis_-_R_to_Y/His_Holiness_Radhanath_Swami/Lectures/00_-_Year_wise/Devotional_Nectar_-_2005/Vol_11/05_Monkey_Psychology_in_Concrete_Jungle_SB-05_14_32_Mumbai_-_16-10-05_IDesireTree.mp3", "05_Monkey_Psychology_in_Concrete_Jungle_SB-05_14_32_Mumbai_-_16-10-05_IDesireTree.mp3")</f>
        <v>05_Monkey_Psychology_in_Concrete_Jungle_SB-05_14_32_Mumbai_-_16-10-05_IDesireTree.mp3</v>
      </c>
      <c r="D2212" s="11"/>
      <c r="E2212" s="11"/>
    </row>
    <row r="2213" spans="1:5">
      <c r="A2213" s="12" t="s">
        <v>12462</v>
      </c>
      <c r="B2213" s="12" t="s">
        <v>15018</v>
      </c>
      <c r="C2213" s="13" t="str">
        <f>HYPERLINK("https://audio.iskcondesiretree.com/02_-_ISKCON_Swamis/ISKCON_Swamis_-_R_to_Y/His_Holiness_Radhanath_Swami/Lectures/00_-_Year_wise/Devotional_Nectar_-_2005/Vol_11/06_Pastimes_of_Murari_Gupta_Sunday_Feast_Mumbai_-_Radhanath_Swami_2005-10-16_IDesireTree.mp3", "06_Pastimes_of_Murari_Gupta_Sunday_Feast_Mumbai_-_Radhanath_Swami_2005-10-16_IDesireTree.mp3")</f>
        <v>06_Pastimes_of_Murari_Gupta_Sunday_Feast_Mumbai_-_Radhanath_Swami_2005-10-16_IDesireTree.mp3</v>
      </c>
      <c r="D2213" s="11"/>
      <c r="E2213" s="11"/>
    </row>
    <row r="2214" spans="1:5">
      <c r="A2214" s="12" t="s">
        <v>12462</v>
      </c>
      <c r="B2214" s="12" t="s">
        <v>15019</v>
      </c>
      <c r="C2214" s="13" t="str">
        <f>HYPERLINK("https://audio.iskcondesiretree.com/02_-_ISKCON_Swamis/ISKCON_Swamis_-_R_to_Y/His_Holiness_Radhanath_Swami/Lectures/00_-_Year_wise/Devotional_Nectar_-_2005/Vol_11/07_Glories_of_the_Month_of_Kartik_SB-3_21_30_Mumbai_-_17-10-05_IDesireTree.mp3", "07_Glories_of_the_Month_of_Kartik_SB-3_21_30_Mumbai_-_17-10-05_IDesireTree.mp3")</f>
        <v>07_Glories_of_the_Month_of_Kartik_SB-3_21_30_Mumbai_-_17-10-05_IDesireTree.mp3</v>
      </c>
      <c r="D2214" s="11"/>
      <c r="E2214" s="11"/>
    </row>
    <row r="2215" spans="1:5">
      <c r="A2215" s="12" t="s">
        <v>12462</v>
      </c>
      <c r="B2215" s="12" t="s">
        <v>15020</v>
      </c>
      <c r="C2215" s="13" t="str">
        <f>HYPERLINK("https://audio.iskcondesiretree.com/02_-_ISKCON_Swamis/ISKCON_Swamis_-_R_to_Y/His_Holiness_Radhanath_Swami/Lectures/00_-_Year_wise/Devotional_Nectar_-_2005/Vol_11/08_Sharad_Poornima_Lecture_Mumbai_-_Radhanath_Swami_2005-10-17_IDesireTree.mp3", "08_Sharad_Poornima_Lecture_Mumbai_-_Radhanath_Swami_2005-10-17_IDesireTree.mp3")</f>
        <v>08_Sharad_Poornima_Lecture_Mumbai_-_Radhanath_Swami_2005-10-17_IDesireTree.mp3</v>
      </c>
      <c r="D2215" s="11"/>
      <c r="E2215" s="11"/>
    </row>
    <row r="2216" spans="1:5">
      <c r="A2216" s="12" t="s">
        <v>12462</v>
      </c>
      <c r="B2216" s="12" t="s">
        <v>15021</v>
      </c>
      <c r="C2216" s="13" t="str">
        <f>HYPERLINK("https://audio.iskcondesiretree.com/02_-_ISKCON_Swamis/ISKCON_Swamis_-_R_to_Y/His_Holiness_Radhanath_Swami/Lectures/00_-_Year_wise/Devotional_Nectar_-_2005/Vol_11/09_Integrity_of_Lord_Ramchandra_Dipavali_Lecture_Mumbai_-_01-11-05_IDesireTree.mp3", "09_Integrity_of_Lord_Ramchandra_Dipavali_Lecture_Mumbai_-_01-11-05_IDesireTree.mp3")</f>
        <v>09_Integrity_of_Lord_Ramchandra_Dipavali_Lecture_Mumbai_-_01-11-05_IDesireTree.mp3</v>
      </c>
      <c r="D2216" s="11"/>
      <c r="E2216" s="11"/>
    </row>
    <row r="2217" spans="1:5">
      <c r="A2217" s="12" t="s">
        <v>12462</v>
      </c>
      <c r="B2217" s="12" t="s">
        <v>15022</v>
      </c>
      <c r="C2217" s="13" t="str">
        <f>HYPERLINK("https://audio.iskcondesiretree.com/02_-_ISKCON_Swamis/ISKCON_Swamis_-_R_to_Y/His_Holiness_Radhanath_Swami/Lectures/00_-_Year_wise/Devotional_Nectar_-_2005/Vol_12/01_Govardhan_Puja_Lecture_Mumbai_-_Radhanath_Swami_2005-11-03_IDesireTree.mp3", "01_Govardhan_Puja_Lecture_Mumbai_-_Radhanath_Swami_2005-11-03_IDesireTree.mp3")</f>
        <v>01_Govardhan_Puja_Lecture_Mumbai_-_Radhanath_Swami_2005-11-03_IDesireTree.mp3</v>
      </c>
      <c r="D2217" s="11"/>
      <c r="E2217" s="11"/>
    </row>
    <row r="2218" spans="1:5">
      <c r="A2218" s="12" t="s">
        <v>12462</v>
      </c>
      <c r="B2218" s="12" t="s">
        <v>15023</v>
      </c>
      <c r="C2218" s="13" t="str">
        <f>HYPERLINK("https://audio.iskcondesiretree.com/02_-_ISKCON_Swamis/ISKCON_Swamis_-_R_to_Y/His_Holiness_Radhanath_Swami/Lectures/00_-_Year_wise/Devotional_Nectar_-_2005/Vol_12/02_The_Origin_of_Mother_Ganges_SB-05_17_01_Mumbai_-_04-11-05_IDesireTree.mp3", "02_The_Origin_of_Mother_Ganges_SB-05_17_01_Mumbai_-_04-11-05_IDesireTree.mp3")</f>
        <v>02_The_Origin_of_Mother_Ganges_SB-05_17_01_Mumbai_-_04-11-05_IDesireTree.mp3</v>
      </c>
      <c r="D2218" s="11"/>
      <c r="E2218" s="11"/>
    </row>
    <row r="2219" spans="1:5">
      <c r="A2219" s="12" t="s">
        <v>12462</v>
      </c>
      <c r="B2219" s="12" t="e">
        <v>#VALUE!</v>
      </c>
      <c r="C2219" s="13" t="e">
        <f>HYPERLINK("https://audio.iskcondesiretree.com/02_-_ISKCON_Swamis/ISKCON_Swamis_-_R_to_Y/His_Holiness_Radhanath_Swami/Lectures/00_-_Year_wise/Devotional_Nectar_-_2005/Vol_12/03_Setting_the_Scene-_The_Writing_of_Caitanya_Caritamrta_Sunday_Feast_Mumbai_-_04-11-05_IDesi"&amp;"reTree.mp3", "03_Setting_the_Scene-_The_Writing_of_Caitanya_Caritamrta_Sunday_Feast_Mumbai_-_04-11-05_IDesireTree.mp3")</f>
        <v>#VALUE!</v>
      </c>
      <c r="D2219" s="11"/>
      <c r="E2219" s="11"/>
    </row>
    <row r="2220" spans="1:5">
      <c r="A2220" s="12" t="s">
        <v>12462</v>
      </c>
      <c r="B2220" s="12" t="s">
        <v>15024</v>
      </c>
      <c r="C2220" s="13" t="str">
        <f>HYPERLINK("https://audio.iskcondesiretree.com/02_-_ISKCON_Swamis/ISKCON_Swamis_-_R_to_Y/His_Holiness_Radhanath_Swami/Lectures/00_-_Year_wise/Devotional_Nectar_-_2005/Vol_12/04_Offerings_-_Radhanath_Swami_IDesireTree.mp3", "04_Offerings_-_Radhanath_Swami_IDesireTree.mp3")</f>
        <v>04_Offerings_-_Radhanath_Swami_IDesireTree.mp3</v>
      </c>
      <c r="D2220" s="11"/>
      <c r="E2220" s="11"/>
    </row>
    <row r="2221" spans="1:5">
      <c r="A2221" s="12" t="s">
        <v>12462</v>
      </c>
      <c r="B2221" s="12" t="s">
        <v>15025</v>
      </c>
      <c r="C2221" s="13" t="str">
        <f>HYPERLINK("https://audio.iskcondesiretree.com/02_-_ISKCON_Swamis/ISKCON_Swamis_-_R_to_Y/His_Holiness_Radhanath_Swami/Lectures/00_-_Year_wise/Devotional_Nectar_-_2005/Vol_12/05_Offerings_-_Radhanath_Swami_IDesireTree.mp3", "05_Offerings_-_Radhanath_Swami_IDesireTree.mp3")</f>
        <v>05_Offerings_-_Radhanath_Swami_IDesireTree.mp3</v>
      </c>
      <c r="D2221" s="11"/>
      <c r="E2221" s="11"/>
    </row>
    <row r="2222" spans="1:5">
      <c r="A2222" s="12" t="s">
        <v>12462</v>
      </c>
      <c r="B2222" s="12" t="s">
        <v>15026</v>
      </c>
      <c r="C2222" s="13" t="str">
        <f>HYPERLINK("https://audio.iskcondesiretree.com/02_-_ISKCON_Swamis/ISKCON_Swamis_-_R_to_Y/His_Holiness_Radhanath_Swami/Lectures/00_-_Year_wise/Devotional_Nectar_-_2005/Vol_12/06_Krishna%27s_Inconceivable_Varigatedness_SB-05_15_05-06_Mumbai_-_06-11-05_IDesireTree.mp3", "06_Krishna%27s_Inconceivable_Varigatedness_SB-05_15_05-06_Mumbai_-_06-11-05_IDesireTree.mp3")</f>
        <v>06_Krishna%27s_Inconceivable_Varigatedness_SB-05_15_05-06_Mumbai_-_06-11-05_IDesireTree.mp3</v>
      </c>
      <c r="D2222" s="11"/>
      <c r="E2222" s="11"/>
    </row>
    <row r="2223" spans="1:5">
      <c r="A2223" s="12" t="s">
        <v>12462</v>
      </c>
      <c r="B2223" s="12" t="s">
        <v>15027</v>
      </c>
      <c r="C2223" s="13" t="str">
        <f>HYPERLINK("https://audio.iskcondesiretree.com/02_-_ISKCON_Swamis/ISKCON_Swamis_-_R_to_Y/His_Holiness_Radhanath_Swami/Lectures/00_-_Year_wise/Devotional_Nectar_-_2005/Vol_12/07_Damodar_Lila_Sunday_Feast_Mumbai_-_Radhanath_Swami_2005-11-06_IDesireTree.mp3", "07_Damodar_Lila_Sunday_Feast_Mumbai_-_Radhanath_Swami_2005-11-06_IDesireTree.mp3")</f>
        <v>07_Damodar_Lila_Sunday_Feast_Mumbai_-_Radhanath_Swami_2005-11-06_IDesireTree.mp3</v>
      </c>
      <c r="D2223" s="11"/>
      <c r="E2223" s="11"/>
    </row>
    <row r="2224" spans="1:5">
      <c r="A2224" s="12" t="s">
        <v>12462</v>
      </c>
      <c r="B2224" s="12" t="e">
        <v>#VALUE!</v>
      </c>
      <c r="C2224" s="13" t="e">
        <f>HYPERLINK("https://audio.iskcondesiretree.com/02_-_ISKCON_Swamis/ISKCON_Swamis_-_R_to_Y/His_Holiness_Radhanath_Swami/Lectures/00_-_Year_wise/Devotional_Nectar_-_2005/Vol_12/08_Becoming_an_Ornament_of_Parampara_and_not_Blemish_SB-05_15_16_Mumbai_-_20-11-05_IDesireTre"&amp;"e.mp3", "08_Becoming_an_Ornament_of_Parampara_and_not_Blemish_SB-05_15_16_Mumbai_-_20-11-05_IDesireTree.mp3")</f>
        <v>#VALUE!</v>
      </c>
      <c r="D2224" s="11"/>
      <c r="E2224" s="11"/>
    </row>
    <row r="2225" spans="1:5">
      <c r="A2225" s="12" t="s">
        <v>12462</v>
      </c>
      <c r="B2225" s="12" t="s">
        <v>15028</v>
      </c>
      <c r="C2225" s="13" t="str">
        <f>HYPERLINK("https://audio.iskcondesiretree.com/02_-_ISKCON_Swamis/ISKCON_Swamis_-_R_to_Y/His_Holiness_Radhanath_Swami/Lectures/00_-_Year_wise/Devotional_Nectar_-_2005/Vol_12/09_Memories_of_Srila_Prabhupada_Sunday_Feast_Mumbai_-_20-11-05_IDesireTree.mp3", "09_Memories_of_Srila_Prabhupada_Sunday_Feast_Mumbai_-_20-11-05_IDesireTree.mp3")</f>
        <v>09_Memories_of_Srila_Prabhupada_Sunday_Feast_Mumbai_-_20-11-05_IDesireTree.mp3</v>
      </c>
      <c r="D2225" s="11"/>
      <c r="E2225" s="11"/>
    </row>
    <row r="2226" spans="1:5">
      <c r="A2226" s="12" t="s">
        <v>12462</v>
      </c>
      <c r="B2226" s="12" t="s">
        <v>15029</v>
      </c>
      <c r="C2226" s="13" t="str">
        <f>HYPERLINK("https://audio.iskcondesiretree.com/02_-_ISKCON_Swamis/ISKCON_Swamis_-_R_to_Y/His_Holiness_Radhanath_Swami/Lectures/00_-_Year_wise/Devotional_Nectar_-_2005/Vol_12/10_How_to_Cultivate_Attachment_to_Krsna_Lecture_Nigidi_-_20-11-05_IDesireTree.mp3", "10_How_to_Cultivate_Attachment_to_Krsna_Lecture_Nigidi_-_20-11-05_IDesireTree.mp3")</f>
        <v>10_How_to_Cultivate_Attachment_to_Krsna_Lecture_Nigidi_-_20-11-05_IDesireTree.mp3</v>
      </c>
      <c r="D2226" s="11"/>
      <c r="E2226" s="11"/>
    </row>
    <row r="2227" spans="1:5">
      <c r="A2227" s="12" t="s">
        <v>12462</v>
      </c>
      <c r="B2227" s="12" t="s">
        <v>15030</v>
      </c>
      <c r="C2227" s="13" t="str">
        <f>HYPERLINK("https://audio.iskcondesiretree.com/02_-_ISKCON_Swamis/ISKCON_Swamis_-_R_to_Y/His_Holiness_Radhanath_Swami/Lectures/00_-_Year_wise/Devotional_Nectar_-_2005/Vol_13/01_The_Power_of_Prayers_Prerana_Mumbai_-_Radhanath_Swami_2005-11-25_IDesireTree.mp3", "01_The_Power_of_Prayers_Prerana_Mumbai_-_Radhanath_Swami_2005-11-25_IDesireTree.mp3")</f>
        <v>01_The_Power_of_Prayers_Prerana_Mumbai_-_Radhanath_Swami_2005-11-25_IDesireTree.mp3</v>
      </c>
      <c r="D2227" s="11"/>
      <c r="E2227" s="11"/>
    </row>
    <row r="2228" spans="1:5">
      <c r="A2228" s="12" t="s">
        <v>12462</v>
      </c>
      <c r="B2228" s="12" t="s">
        <v>15031</v>
      </c>
      <c r="C2228" s="13" t="str">
        <f>HYPERLINK("https://audio.iskcondesiretree.com/02_-_ISKCON_Swamis/ISKCON_Swamis_-_R_to_Y/His_Holiness_Radhanath_Swami/Lectures/00_-_Year_wise/Devotional_Nectar_-_2005/Vol_13/03_Knowing_the_Inconceivable_Through_Faith_SB-05_16_08-09_Mumbai_-_27-11-05_IDesireTree.mp3", "03_Knowing_the_Inconceivable_Through_Faith_SB-05_16_08-09_Mumbai_-_27-11-05_IDesireTree.mp3")</f>
        <v>03_Knowing_the_Inconceivable_Through_Faith_SB-05_16_08-09_Mumbai_-_27-11-05_IDesireTree.mp3</v>
      </c>
      <c r="D2228" s="11"/>
      <c r="E2228" s="11"/>
    </row>
    <row r="2229" spans="1:5">
      <c r="A2229" s="12" t="s">
        <v>12462</v>
      </c>
      <c r="B2229" s="12" t="s">
        <v>15032</v>
      </c>
      <c r="C2229" s="13" t="str">
        <f>HYPERLINK("https://audio.iskcondesiretree.com/02_-_ISKCON_Swamis/ISKCON_Swamis_-_R_to_Y/His_Holiness_Radhanath_Swami/Lectures/00_-_Year_wise/Devotional_Nectar_-_2005/Vol_13/04_Glories_of_Srila_Narahari_Sarkar_Sunday_Feast_Mumbai_-_27-11-05_IDesireTree.mp3", "04_Glories_of_Srila_Narahari_Sarkar_Sunday_Feast_Mumbai_-_27-11-05_IDesireTree.mp3")</f>
        <v>04_Glories_of_Srila_Narahari_Sarkar_Sunday_Feast_Mumbai_-_27-11-05_IDesireTree.mp3</v>
      </c>
      <c r="D2229" s="11"/>
      <c r="E2229" s="11"/>
    </row>
    <row r="2230" spans="1:5">
      <c r="A2230" s="12" t="s">
        <v>12462</v>
      </c>
      <c r="B2230" s="12" t="e">
        <v>#VALUE!</v>
      </c>
      <c r="C2230" s="13" t="e">
        <f>HYPERLINK("https://audio.iskcondesiretree.com/02_-_ISKCON_Swamis/ISKCON_Swamis_-_R_to_Y/His_Holiness_Radhanath_Swami/Lectures/00_-_Year_wise/Devotional_Nectar_-_2005/Vol_13/05_Selfless_Love_%26_Selfless_Service_is_the_Essence_of_All_Lecture_Mumbai_-_30-11-05_IDesire"&amp;"Tree.mp3", "05_Selfless_Love_%26_Selfless_Service_is_the_Essence_of_All_Lecture_Mumbai_-_30-11-05_IDesireTree.mp3")</f>
        <v>#VALUE!</v>
      </c>
      <c r="D2230" s="11"/>
      <c r="E2230" s="11"/>
    </row>
    <row r="2231" spans="1:5">
      <c r="A2231" s="12" t="s">
        <v>12462</v>
      </c>
      <c r="B2231" s="12" t="s">
        <v>15033</v>
      </c>
      <c r="C2231" s="13" t="str">
        <f>HYPERLINK("https://audio.iskcondesiretree.com/02_-_ISKCON_Swamis/ISKCON_Swamis_-_R_to_Y/His_Holiness_Radhanath_Swami/Lectures/00_-_Year_wise/Devotional_Nectar_-_2005/Vol_13/06_Lord_has_Personal_Relationships_With_All_SB-03_22_04_Mumbai_-_02-12-05_IDesireTree.mp3", "06_Lord_has_Personal_Relationships_With_All_SB-03_22_04_Mumbai_-_02-12-05_IDesireTree.mp3")</f>
        <v>06_Lord_has_Personal_Relationships_With_All_SB-03_22_04_Mumbai_-_02-12-05_IDesireTree.mp3</v>
      </c>
      <c r="D2231" s="11"/>
      <c r="E2231" s="11"/>
    </row>
    <row r="2232" spans="1:5">
      <c r="A2232" s="12" t="s">
        <v>12462</v>
      </c>
      <c r="B2232" s="12" t="e">
        <v>#VALUE!</v>
      </c>
      <c r="C2232" s="13" t="e">
        <f>HYPERLINK("https://audio.iskcondesiretree.com/02_-_ISKCON_Swamis/ISKCON_Swamis_-_R_to_Y/His_Holiness_Radhanath_Swami/Lectures/00_-_Year_wise/Devotional_Nectar_-_2005/Vol_13/07_Believable_Activities_of_Unbelievable_Krishna_SB-05_16_26-29_Mumbai_-_03-12-05_IDesireTree"&amp;".mp3", "07_Believable_Activities_of_Unbelievable_Krishna_SB-05_16_26-29_Mumbai_-_03-12-05_IDesireTree.mp3")</f>
        <v>#VALUE!</v>
      </c>
      <c r="D2232" s="11"/>
      <c r="E2232" s="11"/>
    </row>
    <row r="2233" spans="1:5">
      <c r="A2233" s="12" t="s">
        <v>12462</v>
      </c>
      <c r="B2233" s="12" t="s">
        <v>15034</v>
      </c>
      <c r="C2233" s="13" t="str">
        <f>HYPERLINK("https://audio.iskcondesiretree.com/02_-_ISKCON_Swamis/ISKCON_Swamis_-_R_to_Y/His_Holiness_Radhanath_Swami/Lectures/00_-_Year_wise/Devotional_Nectar_-_2005/Vol_13/08_Knowledge_of_the_Absolute_Lecture_Mumbai_-_Radhanath_Swami_2005-12-06_IDesireTree.mp3", "08_Knowledge_of_the_Absolute_Lecture_Mumbai_-_Radhanath_Swami_2005-12-06_IDesireTree.mp3")</f>
        <v>08_Knowledge_of_the_Absolute_Lecture_Mumbai_-_Radhanath_Swami_2005-12-06_IDesireTree.mp3</v>
      </c>
      <c r="D2233" s="11"/>
      <c r="E2233" s="11"/>
    </row>
    <row r="2234" spans="1:5">
      <c r="A2234" s="12" t="s">
        <v>12462</v>
      </c>
      <c r="B2234" s="12" t="s">
        <v>15035</v>
      </c>
      <c r="C2234" s="13" t="str">
        <f>HYPERLINK("https://audio.iskcondesiretree.com/02_-_ISKCON_Swamis/ISKCON_Swamis_-_R_to_Y/His_Holiness_Radhanath_Swami/Lectures/00_-_Year_wise/Devotional_Nectar_-_2005/Vol_13/09_Real_Problems_Real_Solutions_Prerna_Lecture_Mumbai_-_10-12-05_IDesireTree.mp3", "09_Real_Problems_Real_Solutions_Prerna_Lecture_Mumbai_-_10-12-05_IDesireTree.mp3")</f>
        <v>09_Real_Problems_Real_Solutions_Prerna_Lecture_Mumbai_-_10-12-05_IDesireTree.mp3</v>
      </c>
      <c r="D2234" s="11"/>
      <c r="E2234" s="11"/>
    </row>
    <row r="2235" spans="1:5">
      <c r="A2235" s="12" t="s">
        <v>12462</v>
      </c>
      <c r="B2235" s="12" t="s">
        <v>15036</v>
      </c>
      <c r="C2235" s="13" t="str">
        <f>HYPERLINK("https://audio.iskcondesiretree.com/02_-_ISKCON_Swamis/ISKCON_Swamis_-_R_to_Y/His_Holiness_Radhanath_Swami/Lectures/00_-_Year_wise/Devotional_Nectar_-_2005/Vol_14/01_Heavenly_Pleasure_Vs_Spiritual_Pleasure_SB-05_17_10-11_Mumbai_-_11-12-05_IDesireTree.mp3", "01_Heavenly_Pleasure_Vs_Spiritual_Pleasure_SB-05_17_10-11_Mumbai_-_11-12-05_IDesireTree.mp3")</f>
        <v>01_Heavenly_Pleasure_Vs_Spiritual_Pleasure_SB-05_17_10-11_Mumbai_-_11-12-05_IDesireTree.mp3</v>
      </c>
      <c r="D2235" s="11"/>
      <c r="E2235" s="11"/>
    </row>
    <row r="2236" spans="1:5">
      <c r="A2236" s="12" t="s">
        <v>12462</v>
      </c>
      <c r="B2236" s="12" t="s">
        <v>15037</v>
      </c>
      <c r="C2236" s="13" t="str">
        <f>HYPERLINK("https://audio.iskcondesiretree.com/02_-_ISKCON_Swamis/ISKCON_Swamis_-_R_to_Y/His_Holiness_Radhanath_Swami/Lectures/00_-_Year_wise/Devotional_Nectar_-_2005/Vol_14/02_Gita_Jayanti_Lecture_Sunday_Feast_Mumbai_-_Radhanath_Swami_2005-12-11_IDesireTree.mp3", "02_Gita_Jayanti_Lecture_Sunday_Feast_Mumbai_-_Radhanath_Swami_2005-12-11_IDesireTree.mp3")</f>
        <v>02_Gita_Jayanti_Lecture_Sunday_Feast_Mumbai_-_Radhanath_Swami_2005-12-11_IDesireTree.mp3</v>
      </c>
      <c r="D2236" s="11"/>
      <c r="E2236" s="11"/>
    </row>
    <row r="2237" spans="1:5">
      <c r="A2237" s="12" t="s">
        <v>12462</v>
      </c>
      <c r="B2237" s="12" t="s">
        <v>15038</v>
      </c>
      <c r="C2237" s="13" t="str">
        <f>HYPERLINK("https://audio.iskcondesiretree.com/02_-_ISKCON_Swamis/ISKCON_Swamis_-_R_to_Y/His_Holiness_Radhanath_Swami/Lectures/00_-_Year_wise/Devotional_Nectar_-_2005/Vol_14/04_Vyas_Puja_Address_Lecture_Mumbai_-_Radhanath_Swami_2005-12-17_IDesireTree.mp3", "04_Vyas_Puja_Address_Lecture_Mumbai_-_Radhanath_Swami_2005-12-17_IDesireTree.mp3")</f>
        <v>04_Vyas_Puja_Address_Lecture_Mumbai_-_Radhanath_Swami_2005-12-17_IDesireTree.mp3</v>
      </c>
      <c r="D2237" s="11"/>
      <c r="E2237" s="11"/>
    </row>
    <row r="2238" spans="1:5">
      <c r="A2238" s="12" t="s">
        <v>12462</v>
      </c>
      <c r="B2238" s="12" t="s">
        <v>15039</v>
      </c>
      <c r="C2238" s="13" t="str">
        <f>HYPERLINK("https://audio.iskcondesiretree.com/02_-_ISKCON_Swamis/ISKCON_Swamis_-_R_to_Y/His_Holiness_Radhanath_Swami/Lectures/00_-_Year_wise/Devotional_Nectar_-_2005/Vol_14/05_Compassion_of_Lord_Shiva_SB-05_17_17-19_Mumbai_-_18-12-05_IDesireTree.mp3", "05_Compassion_of_Lord_Shiva_SB-05_17_17-19_Mumbai_-_18-12-05_IDesireTree.mp3")</f>
        <v>05_Compassion_of_Lord_Shiva_SB-05_17_17-19_Mumbai_-_18-12-05_IDesireTree.mp3</v>
      </c>
      <c r="D2238" s="11"/>
      <c r="E2238" s="11"/>
    </row>
    <row r="2239" spans="1:5">
      <c r="A2239" s="12" t="s">
        <v>12462</v>
      </c>
      <c r="B2239" s="12" t="e">
        <v>#VALUE!</v>
      </c>
      <c r="C2239" s="13" t="e">
        <f>HYPERLINK("https://audio.iskcondesiretree.com/02_-_ISKCON_Swamis/ISKCON_Swamis_-_R_to_Y/His_Holiness_Radhanath_Swami/Lectures/00_-_Year_wise/Devotional_Nectar_-_2005/Vol_14/06_Glories_Of_Srila_Bhakti_Siddanta_Saraswati_Thakur_Sunday_Feast_Mumbai_-_19-12-05_IDesireTr"&amp;"ee.mp3", "06_Glories_Of_Srila_Bhakti_Siddanta_Saraswati_Thakur_Sunday_Feast_Mumbai_-_19-12-05_IDesireTree.mp3")</f>
        <v>#VALUE!</v>
      </c>
      <c r="D2239" s="11"/>
      <c r="E2239" s="11"/>
    </row>
    <row r="2240" spans="1:5">
      <c r="A2240" s="12" t="s">
        <v>12462</v>
      </c>
      <c r="B2240" s="12" t="s">
        <v>14937</v>
      </c>
      <c r="C2240" s="13" t="str">
        <f>HYPERLINK("https://audio.iskcondesiretree.com/02_-_ISKCON_Swamis/ISKCON_Swamis_-_R_to_Y/His_Holiness_Radhanath_Swami/Lectures/00_-_Year_wise/Devotional_Nectar_-_2005/Vol_14/2005-07-10_SB_07-04-40_-_Radhanath_Swami.mp3", "2005-07-10_SB_07-04-40_-_Radhanath_Swami.mp3")</f>
        <v>2005-07-10_SB_07-04-40_-_Radhanath_Swami.mp3</v>
      </c>
      <c r="D2240" s="11"/>
      <c r="E2240" s="11"/>
    </row>
    <row r="2241" spans="1:5">
      <c r="A2241" s="12" t="s">
        <v>12462</v>
      </c>
      <c r="B2241" s="12" t="s">
        <v>15040</v>
      </c>
      <c r="C2241" s="13" t="str">
        <f>HYPERLINK("https://audio.iskcondesiretree.com/02_-_ISKCON_Swamis/ISKCON_Swamis_-_R_to_Y/His_Holiness_Radhanath_Swami/Lectures/00_-_Year_wise/Devotional_Nectar_-_2006/2006-001_Glories_Of_Srila_Anantacharya_Lecture_Mumbai_-_Radhanath_Swami_2006-01-15_IDesireTree.mp3", "2006-001_Glories_Of_Srila_Anantacharya_Lecture_Mumbai_-_Radhanath_Swami_2006-01-15_IDesireTree.mp3")</f>
        <v>2006-001_Glories_Of_Srila_Anantacharya_Lecture_Mumbai_-_Radhanath_Swami_2006-01-15_IDesireTree.mp3</v>
      </c>
      <c r="D2241" s="11"/>
      <c r="E2241" s="11"/>
    </row>
    <row r="2242" spans="1:5">
      <c r="A2242" s="12" t="s">
        <v>12462</v>
      </c>
      <c r="B2242" s="12" t="s">
        <v>15041</v>
      </c>
      <c r="C2242" s="13" t="str">
        <f>HYPERLINK("https://audio.iskcondesiretree.com/02_-_ISKCON_Swamis/ISKCON_Swamis_-_R_to_Y/His_Holiness_Radhanath_Swami/Lectures/00_-_Year_wise/Devotional_Nectar_-_2006/2006-002_Beware_Of_Paramatma%27s_Watchfull_Eyes_SB-05_18_29_Mumbai_-_21-01-06_IDesireTree.mp3", "2006-002_Beware_Of_Paramatma%27s_Watchfull_Eyes_SB-05_18_29_Mumbai_-_21-01-06_IDesireTree.mp3")</f>
        <v>2006-002_Beware_Of_Paramatma%27s_Watchfull_Eyes_SB-05_18_29_Mumbai_-_21-01-06_IDesireTree.mp3</v>
      </c>
      <c r="D2242" s="11"/>
      <c r="E2242" s="11"/>
    </row>
    <row r="2243" spans="1:5">
      <c r="A2243" s="12" t="s">
        <v>12462</v>
      </c>
      <c r="B2243" s="12" t="s">
        <v>15042</v>
      </c>
      <c r="C2243" s="13" t="str">
        <f>HYPERLINK("https://audio.iskcondesiretree.com/02_-_ISKCON_Swamis/ISKCON_Swamis_-_R_to_Y/His_Holiness_Radhanath_Swami/Lectures/00_-_Year_wise/Devotional_Nectar_-_2006/2006-003_SB-05_18_30_Mumbai_-_Radhanath_Swami_2006-01-22_IDesireTree.mp3", "2006-003_SB-05_18_30_Mumbai_-_Radhanath_Swami_2006-01-22_IDesireTree.mp3")</f>
        <v>2006-003_SB-05_18_30_Mumbai_-_Radhanath_Swami_2006-01-22_IDesireTree.mp3</v>
      </c>
      <c r="D2243" s="11"/>
      <c r="E2243" s="11"/>
    </row>
    <row r="2244" spans="1:5">
      <c r="A2244" s="12" t="s">
        <v>12462</v>
      </c>
      <c r="B2244" s="12" t="s">
        <v>15043</v>
      </c>
      <c r="C2244" s="13" t="str">
        <f>HYPERLINK("https://audio.iskcondesiretree.com/02_-_ISKCON_Swamis/ISKCON_Swamis_-_R_to_Y/His_Holiness_Radhanath_Swami/Lectures/00_-_Year_wise/Devotional_Nectar_-_2006/2006-004_Glories_Of_Srila_Locana_Das_Thakur_Lecture_Mumbai_-_22-01-06_IDesireTree.mp3", "2006-004_Glories_Of_Srila_Locana_Das_Thakur_Lecture_Mumbai_-_22-01-06_IDesireTree.mp3")</f>
        <v>2006-004_Glories_Of_Srila_Locana_Das_Thakur_Lecture_Mumbai_-_22-01-06_IDesireTree.mp3</v>
      </c>
      <c r="D2244" s="11"/>
      <c r="E2244" s="11"/>
    </row>
    <row r="2245" spans="1:5">
      <c r="A2245" s="12" t="s">
        <v>12462</v>
      </c>
      <c r="B2245" s="12" t="s">
        <v>15044</v>
      </c>
      <c r="C2245" s="13" t="str">
        <f>HYPERLINK("https://audio.iskcondesiretree.com/02_-_ISKCON_Swamis/ISKCON_Swamis_-_R_to_Y/His_Holiness_Radhanath_Swami/Lectures/00_-_Year_wise/Devotional_Nectar_-_2006/2006-005_Power_Of_Inquiry_Prerana_Lecture_Mumbai_-_Radhanath_Swami_2006-01-26_IDesireTree.mp3", "2006-005_Power_Of_Inquiry_Prerana_Lecture_Mumbai_-_Radhanath_Swami_2006-01-26_IDesireTree.mp3")</f>
        <v>2006-005_Power_Of_Inquiry_Prerana_Lecture_Mumbai_-_Radhanath_Swami_2006-01-26_IDesireTree.mp3</v>
      </c>
      <c r="D2245" s="11"/>
      <c r="E2245" s="11"/>
    </row>
    <row r="2246" spans="1:5">
      <c r="A2246" s="12" t="s">
        <v>12462</v>
      </c>
      <c r="B2246" s="12" t="s">
        <v>15045</v>
      </c>
      <c r="C2246" s="13" t="str">
        <f>HYPERLINK("https://audio.iskcondesiretree.com/02_-_ISKCON_Swamis/ISKCON_Swamis_-_R_to_Y/His_Holiness_Radhanath_Swami/Lectures/00_-_Year_wise/Devotional_Nectar_-_2006/2006-006_Lecture_Mumbai_-_Radhanath_Swami_2006-01-27_IDesireTree.mp3", "2006-006_Lecture_Mumbai_-_Radhanath_Swami_2006-01-27_IDesireTree.mp3")</f>
        <v>2006-006_Lecture_Mumbai_-_Radhanath_Swami_2006-01-27_IDesireTree.mp3</v>
      </c>
      <c r="D2246" s="11"/>
      <c r="E2246" s="11"/>
    </row>
    <row r="2247" spans="1:5">
      <c r="A2247" s="12" t="s">
        <v>12462</v>
      </c>
      <c r="B2247" s="12" t="s">
        <v>15046</v>
      </c>
      <c r="C2247" s="13" t="str">
        <f>HYPERLINK("https://audio.iskcondesiretree.com/02_-_ISKCON_Swamis/ISKCON_Swamis_-_R_to_Y/His_Holiness_Radhanath_Swami/Lectures/00_-_Year_wise/Devotional_Nectar_-_2006/2006-007_Pastimes_Related_To_Lord_Varaha_SB-05_18_35_Mumbai_-_28-01-06_IDesireTree.mp3", "2006-007_Pastimes_Related_To_Lord_Varaha_SB-05_18_35_Mumbai_-_28-01-06_IDesireTree.mp3")</f>
        <v>2006-007_Pastimes_Related_To_Lord_Varaha_SB-05_18_35_Mumbai_-_28-01-06_IDesireTree.mp3</v>
      </c>
      <c r="D2247" s="11"/>
      <c r="E2247" s="11"/>
    </row>
    <row r="2248" spans="1:5">
      <c r="A2248" s="12" t="s">
        <v>12462</v>
      </c>
      <c r="B2248" s="12" t="s">
        <v>15047</v>
      </c>
      <c r="C2248" s="13" t="str">
        <f>HYPERLINK("https://audio.iskcondesiretree.com/02_-_ISKCON_Swamis/ISKCON_Swamis_-_R_to_Y/His_Holiness_Radhanath_Swami/Lectures/00_-_Year_wise/Devotional_Nectar_-_2006/2006-008_Pushya_Abhishek_Lecture_Lecture_Mumbai_-_Radhanath_Swami_2006-01-28_IDesireTree.mp3", "2006-008_Pushya_Abhishek_Lecture_Lecture_Mumbai_-_Radhanath_Swami_2006-01-28_IDesireTree.mp3")</f>
        <v>2006-008_Pushya_Abhishek_Lecture_Lecture_Mumbai_-_Radhanath_Swami_2006-01-28_IDesireTree.mp3</v>
      </c>
      <c r="D2248" s="11"/>
      <c r="E2248" s="11"/>
    </row>
    <row r="2249" spans="1:5">
      <c r="A2249" s="12" t="s">
        <v>12462</v>
      </c>
      <c r="B2249" s="12" t="s">
        <v>15048</v>
      </c>
      <c r="C2249" s="13" t="str">
        <f>HYPERLINK("https://audio.iskcondesiretree.com/02_-_ISKCON_Swamis/ISKCON_Swamis_-_R_to_Y/His_Holiness_Radhanath_Swami/Lectures/00_-_Year_wise/Devotional_Nectar_-_2006/2006-009_Memories_Of_Srila_Prabhupada_Lecture_Mumbai_-_Radhanath_Swami_2006-01-29_IDesireTree.mp3", "2006-009_Memories_Of_Srila_Prabhupada_Lecture_Mumbai_-_Radhanath_Swami_2006-01-29_IDesireTree.mp3")</f>
        <v>2006-009_Memories_Of_Srila_Prabhupada_Lecture_Mumbai_-_Radhanath_Swami_2006-01-29_IDesireTree.mp3</v>
      </c>
      <c r="D2249" s="11"/>
      <c r="E2249" s="11"/>
    </row>
    <row r="2250" spans="1:5">
      <c r="A2250" s="12" t="s">
        <v>12462</v>
      </c>
      <c r="B2250" s="12" t="s">
        <v>15049</v>
      </c>
      <c r="C2250" s="13" t="str">
        <f>HYPERLINK("https://audio.iskcondesiretree.com/02_-_ISKCON_Swamis/ISKCON_Swamis_-_R_to_Y/His_Holiness_Radhanath_Swami/Lectures/00_-_Year_wise/Devotional_Nectar_-_2006/2006-010_Prabhupada_Memories_Lecture_Mumbai_-_Radhanath_Swami_2006-01-29_IDesireTree.mp3", "2006-010_Prabhupada_Memories_Lecture_Mumbai_-_Radhanath_Swami_2006-01-29_IDesireTree.mp3")</f>
        <v>2006-010_Prabhupada_Memories_Lecture_Mumbai_-_Radhanath_Swami_2006-01-29_IDesireTree.mp3</v>
      </c>
      <c r="D2250" s="11"/>
      <c r="E2250" s="11"/>
    </row>
    <row r="2251" spans="1:5">
      <c r="A2251" s="12" t="s">
        <v>12462</v>
      </c>
      <c r="B2251" s="12" t="s">
        <v>15050</v>
      </c>
      <c r="C2251" s="13" t="str">
        <f>HYPERLINK("https://audio.iskcondesiretree.com/02_-_ISKCON_Swamis/ISKCON_Swamis_-_R_to_Y/His_Holiness_Radhanath_Swami/Lectures/00_-_Year_wise/Devotional_Nectar_-_2006/2006-011_Prabhupada_Memories_Lec_Mumbai_-_Radhanath_Swami_2006-02-05_IDesireTree.mp3", "2006-011_Prabhupada_Memories_Lec_Mumbai_-_Radhanath_Swami_2006-02-05_IDesireTree.mp3")</f>
        <v>2006-011_Prabhupada_Memories_Lec_Mumbai_-_Radhanath_Swami_2006-02-05_IDesireTree.mp3</v>
      </c>
      <c r="D2251" s="11"/>
      <c r="E2251" s="11"/>
    </row>
    <row r="2252" spans="1:5">
      <c r="A2252" s="12" t="s">
        <v>12462</v>
      </c>
      <c r="B2252" s="12" t="e">
        <v>#VALUE!</v>
      </c>
      <c r="C2252" s="13" t="e">
        <f>HYPERLINK("https://audio.iskcondesiretree.com/02_-_ISKCON_Swamis/ISKCON_Swamis_-_R_to_Y/His_Holiness_Radhanath_Swami/Lectures/00_-_Year_wise/Devotional_Nectar_-_2006/2006-012_Marriage_Address_-_Krishna_Kaniya_Pr_%26_Anjali_Mataji_Lecture_Mumbai_-_07-02-06_IDesireTre"&amp;"e.mp3", "2006-012_Marriage_Address_-_Krishna_Kaniya_Pr_%26_Anjali_Mataji_Lecture_Mumbai_-_07-02-06_IDesireTree.mp3")</f>
        <v>#VALUE!</v>
      </c>
      <c r="D2252" s="11"/>
      <c r="E2252" s="11"/>
    </row>
    <row r="2253" spans="1:5">
      <c r="A2253" s="12" t="s">
        <v>12462</v>
      </c>
      <c r="B2253" s="12" t="s">
        <v>15051</v>
      </c>
      <c r="C2253" s="13" t="str">
        <f>HYPERLINK("https://audio.iskcondesiretree.com/02_-_ISKCON_Swamis/ISKCON_Swamis_-_R_to_Y/His_Holiness_Radhanath_Swami/Lectures/00_-_Year_wise/Devotional_Nectar_-_2006/2006-013_Every_Moment_of_Your_Life_Count_Lec_at_NSCI_Mumbai_-_08-02-06_IDesireTree.mp3", "2006-013_Every_Moment_of_Your_Life_Count_Lec_at_NSCI_Mumbai_-_08-02-06_IDesireTree.mp3")</f>
        <v>2006-013_Every_Moment_of_Your_Life_Count_Lec_at_NSCI_Mumbai_-_08-02-06_IDesireTree.mp3</v>
      </c>
      <c r="D2253" s="11"/>
      <c r="E2253" s="11"/>
    </row>
    <row r="2254" spans="1:5">
      <c r="A2254" s="12" t="s">
        <v>12462</v>
      </c>
      <c r="B2254" s="12" t="s">
        <v>15052</v>
      </c>
      <c r="C2254" s="13" t="str">
        <f>HYPERLINK("https://audio.iskcondesiretree.com/02_-_ISKCON_Swamis/ISKCON_Swamis_-_R_to_Y/His_Holiness_Radhanath_Swami/Lectures/00_-_Year_wise/Devotional_Nectar_-_2006/2006-014_Absorb_Completely_In_Whatever_One_Does_SB-05_19_13_Mumbai_-_12-02-06_IDesireTree.mp3", "2006-014_Absorb_Completely_In_Whatever_One_Does_SB-05_19_13_Mumbai_-_12-02-06_IDesireTree.mp3")</f>
        <v>2006-014_Absorb_Completely_In_Whatever_One_Does_SB-05_19_13_Mumbai_-_12-02-06_IDesireTree.mp3</v>
      </c>
      <c r="D2254" s="11"/>
      <c r="E2254" s="11"/>
    </row>
    <row r="2255" spans="1:5">
      <c r="A2255" s="12" t="s">
        <v>12462</v>
      </c>
      <c r="B2255" s="12" t="s">
        <v>15053</v>
      </c>
      <c r="C2255" s="13" t="str">
        <f>HYPERLINK("https://audio.iskcondesiretree.com/02_-_ISKCON_Swamis/ISKCON_Swamis_-_R_to_Y/His_Holiness_Radhanath_Swami/Lectures/00_-_Year_wise/Devotional_Nectar_-_2006/2006-015_Prabhupada_Memories_Lecture_Mumbai_-_Radhanath_Swami_2006-02-12_IDesireTree.mp3", "2006-015_Prabhupada_Memories_Lecture_Mumbai_-_Radhanath_Swami_2006-02-12_IDesireTree.mp3")</f>
        <v>2006-015_Prabhupada_Memories_Lecture_Mumbai_-_Radhanath_Swami_2006-02-12_IDesireTree.mp3</v>
      </c>
      <c r="D2255" s="11"/>
      <c r="E2255" s="11"/>
    </row>
    <row r="2256" spans="1:5">
      <c r="A2256" s="12" t="s">
        <v>12462</v>
      </c>
      <c r="B2256" s="12" t="e">
        <v>#VALUE!</v>
      </c>
      <c r="C2256" s="13" t="e">
        <f>HYPERLINK("https://audio.iskcondesiretree.com/02_-_ISKCON_Swamis/ISKCON_Swamis_-_R_to_Y/His_Holiness_Radhanath_Swami/Lectures/00_-_Year_wise/Devotional_Nectar_-_2006/2006-017_Srila_Prabhupada-_The_Emissary_Of_Lord_Caitanya_Mahaprabhu_Lecture_Mumbai_-_13-03-06_IDesir"&amp;"eTree.mp3", "2006-017_Srila_Prabhupada-_The_Emissary_Of_Lord_Caitanya_Mahaprabhu_Lecture_Mumbai_-_13-03-06_IDesireTree.mp3")</f>
        <v>#VALUE!</v>
      </c>
      <c r="D2256" s="11"/>
      <c r="E2256" s="11"/>
    </row>
    <row r="2257" spans="1:5">
      <c r="A2257" s="12" t="s">
        <v>12462</v>
      </c>
      <c r="B2257" s="12" t="s">
        <v>15054</v>
      </c>
      <c r="C2257" s="13" t="str">
        <f>HYPERLINK("https://audio.iskcondesiretree.com/02_-_ISKCON_Swamis/ISKCON_Swamis_-_R_to_Y/His_Holiness_Radhanath_Swami/Lectures/00_-_Year_wise/Devotional_Nectar_-_2006/2006-018_Lord_Caitanya_Manifesting_Different_Forms_Lecture_Mumbai_-_14-03-06_IDesireTree.mp3", "2006-018_Lord_Caitanya_Manifesting_Different_Forms_Lecture_Mumbai_-_14-03-06_IDesireTree.mp3")</f>
        <v>2006-018_Lord_Caitanya_Manifesting_Different_Forms_Lecture_Mumbai_-_14-03-06_IDesireTree.mp3</v>
      </c>
      <c r="D2257" s="11"/>
      <c r="E2257" s="11"/>
    </row>
    <row r="2258" spans="1:5">
      <c r="A2258" s="12" t="s">
        <v>12462</v>
      </c>
      <c r="B2258" s="12" t="s">
        <v>15055</v>
      </c>
      <c r="C2258" s="13" t="str">
        <f>HYPERLINK("https://audio.iskcondesiretree.com/02_-_ISKCON_Swamis/ISKCON_Swamis_-_R_to_Y/His_Holiness_Radhanath_Swami/Lectures/00_-_Year_wise/Devotional_Nectar_-_2006/2006-019_Sankirtan_Movement_Makes_Kaliyuga_Glorious_Lecture_Mumbai_-_14-03-06_IDesireTree.mp3", "2006-019_Sankirtan_Movement_Makes_Kaliyuga_Glorious_Lecture_Mumbai_-_14-03-06_IDesireTree.mp3")</f>
        <v>2006-019_Sankirtan_Movement_Makes_Kaliyuga_Glorious_Lecture_Mumbai_-_14-03-06_IDesireTree.mp3</v>
      </c>
      <c r="D2258" s="11"/>
      <c r="E2258" s="11"/>
    </row>
    <row r="2259" spans="1:5">
      <c r="A2259" s="12" t="s">
        <v>12462</v>
      </c>
      <c r="B2259" s="12" t="s">
        <v>15056</v>
      </c>
      <c r="C2259" s="13" t="str">
        <f>HYPERLINK("https://audio.iskcondesiretree.com/02_-_ISKCON_Swamis/ISKCON_Swamis_-_R_to_Y/His_Holiness_Radhanath_Swami/Lectures/00_-_Year_wise/Devotional_Nectar_-_2006/2006-020_The_Power_of_Holy_Name_Lecture_Mumbai_-_Radhanath_Swami_2006-03-15_IDesireTree.mp3", "2006-020_The_Power_of_Holy_Name_Lecture_Mumbai_-_Radhanath_Swami_2006-03-15_IDesireTree.mp3")</f>
        <v>2006-020_The_Power_of_Holy_Name_Lecture_Mumbai_-_Radhanath_Swami_2006-03-15_IDesireTree.mp3</v>
      </c>
      <c r="D2259" s="11"/>
      <c r="E2259" s="11"/>
    </row>
    <row r="2260" spans="1:5">
      <c r="A2260" s="12" t="s">
        <v>12462</v>
      </c>
      <c r="B2260" s="12" t="e">
        <v>#VALUE!</v>
      </c>
      <c r="C2260" s="13" t="e">
        <f>HYPERLINK("https://audio.iskcondesiretree.com/02_-_ISKCON_Swamis/ISKCON_Swamis_-_R_to_Y/His_Holiness_Radhanath_Swami/Lectures/00_-_Year_wise/Devotional_Nectar_-_2006/2006-021_Holy_Name-_The_Highest_Gift_of_Lord_Caitanya_Mahaprabhu_Lecture_Mumbai_-_15-03-06_IDesireTr"&amp;"ee.mp3", "2006-021_Holy_Name-_The_Highest_Gift_of_Lord_Caitanya_Mahaprabhu_Lecture_Mumbai_-_15-03-06_IDesireTree.mp3")</f>
        <v>#VALUE!</v>
      </c>
      <c r="D2260" s="11"/>
      <c r="E2260" s="11"/>
    </row>
    <row r="2261" spans="1:5">
      <c r="A2261" s="12" t="s">
        <v>12462</v>
      </c>
      <c r="B2261" s="12" t="s">
        <v>15057</v>
      </c>
      <c r="C2261" s="13" t="str">
        <f>HYPERLINK("https://audio.iskcondesiretree.com/02_-_ISKCON_Swamis/ISKCON_Swamis_-_R_to_Y/His_Holiness_Radhanath_Swami/Lectures/00_-_Year_wise/Devotional_Nectar_-_2006/2006-022_Lord_Caitanya%27s_Pastime_of_Sannyas_%26_After_Lecture_Mumbai_-_15-03-06_IDesireTree.mp3", "2006-022_Lord_Caitanya%27s_Pastime_of_Sannyas_%26_After_Lecture_Mumbai_-_15-03-06_IDesireTree.mp3")</f>
        <v>2006-022_Lord_Caitanya%27s_Pastime_of_Sannyas_%26_After_Lecture_Mumbai_-_15-03-06_IDesireTree.mp3</v>
      </c>
      <c r="D2261" s="11"/>
      <c r="E2261" s="11"/>
    </row>
    <row r="2262" spans="1:5">
      <c r="A2262" s="12" t="s">
        <v>12462</v>
      </c>
      <c r="B2262" s="12" t="s">
        <v>15058</v>
      </c>
      <c r="C2262" s="13" t="str">
        <f>HYPERLINK("https://audio.iskcondesiretree.com/02_-_ISKCON_Swamis/ISKCON_Swamis_-_R_to_Y/His_Holiness_Radhanath_Swami/Lectures/00_-_Year_wise/Devotional_Nectar_-_2006/2006-023_Lecture_At_Sahadev_Pr_Residence_Lecture_Mumbai_-_Radhanath_Swami_2006-03-18_IDesireTree.mp3", "2006-023_Lecture_At_Sahadev_Pr_Residence_Lecture_Mumbai_-_Radhanath_Swami_2006-03-18_IDesireTree.mp3")</f>
        <v>2006-023_Lecture_At_Sahadev_Pr_Residence_Lecture_Mumbai_-_Radhanath_Swami_2006-03-18_IDesireTree.mp3</v>
      </c>
      <c r="D2262" s="11"/>
      <c r="E2262" s="11"/>
    </row>
    <row r="2263" spans="1:5">
      <c r="A2263" s="12" t="s">
        <v>12462</v>
      </c>
      <c r="B2263" s="12" t="s">
        <v>15059</v>
      </c>
      <c r="C2263" s="13" t="str">
        <f>HYPERLINK("https://audio.iskcondesiretree.com/02_-_ISKCON_Swamis/ISKCON_Swamis_-_R_to_Y/His_Holiness_Radhanath_Swami/Lectures/00_-_Year_wise/Devotional_Nectar_-_2006/2006-024_The_Absolute_Truth_is_Inconceivable_SB-05_21_11_Mumbai_-_19-03-06_IDesireTree.mp3", "2006-024_The_Absolute_Truth_is_Inconceivable_SB-05_21_11_Mumbai_-_19-03-06_IDesireTree.mp3")</f>
        <v>2006-024_The_Absolute_Truth_is_Inconceivable_SB-05_21_11_Mumbai_-_19-03-06_IDesireTree.mp3</v>
      </c>
      <c r="D2263" s="11"/>
      <c r="E2263" s="11"/>
    </row>
    <row r="2264" spans="1:5">
      <c r="A2264" s="12" t="s">
        <v>12462</v>
      </c>
      <c r="B2264" s="12" t="s">
        <v>15060</v>
      </c>
      <c r="C2264" s="13" t="str">
        <f>HYPERLINK("https://audio.iskcondesiretree.com/02_-_ISKCON_Swamis/ISKCON_Swamis_-_R_to_Y/His_Holiness_Radhanath_Swami/Lectures/00_-_Year_wise/Devotional_Nectar_-_2006/2006-025_Krishna_Descends_To_Reawaken_Our_Dormant_Love_Lecture_Mumbai_-_19-03-06_IDesireTree.mp3", "2006-025_Krishna_Descends_To_Reawaken_Our_Dormant_Love_Lecture_Mumbai_-_19-03-06_IDesireTree.mp3")</f>
        <v>2006-025_Krishna_Descends_To_Reawaken_Our_Dormant_Love_Lecture_Mumbai_-_19-03-06_IDesireTree.mp3</v>
      </c>
      <c r="D2264" s="11"/>
      <c r="E2264" s="11"/>
    </row>
    <row r="2265" spans="1:5">
      <c r="A2265" s="12" t="s">
        <v>12462</v>
      </c>
      <c r="B2265" s="12" t="s">
        <v>15061</v>
      </c>
      <c r="C2265" s="13" t="str">
        <f>HYPERLINK("https://audio.iskcondesiretree.com/02_-_ISKCON_Swamis/ISKCON_Swamis_-_R_to_Y/His_Holiness_Radhanath_Swami/Lectures/00_-_Year_wise/Devotional_Nectar_-_2006/2006-026_Srila_Prabhupada_The_Perfect_Rupanuga_Lecture_Mumbai_-_06-08-06_IDesireTree.mp3", "2006-026_Srila_Prabhupada_The_Perfect_Rupanuga_Lecture_Mumbai_-_06-08-06_IDesireTree.mp3")</f>
        <v>2006-026_Srila_Prabhupada_The_Perfect_Rupanuga_Lecture_Mumbai_-_06-08-06_IDesireTree.mp3</v>
      </c>
      <c r="D2265" s="11"/>
      <c r="E2265" s="11"/>
    </row>
    <row r="2266" spans="1:5">
      <c r="A2266" s="12" t="s">
        <v>12462</v>
      </c>
      <c r="B2266" s="12" t="s">
        <v>15062</v>
      </c>
      <c r="C2266" s="13" t="str">
        <f>HYPERLINK("https://audio.iskcondesiretree.com/02_-_ISKCON_Swamis/ISKCON_Swamis_-_R_to_Y/His_Holiness_Radhanath_Swami/Lectures/00_-_Year_wise/Devotional_Nectar_-_2006/2006-027_Initiation_Lecture_Brahmacari_Initiation_on_Balaram_Jayanti_-_09-08-06_IDesireTree.mp3", "2006-027_Initiation_Lecture_Brahmacari_Initiation_on_Balaram_Jayanti_-_09-08-06_IDesireTree.mp3")</f>
        <v>2006-027_Initiation_Lecture_Brahmacari_Initiation_on_Balaram_Jayanti_-_09-08-06_IDesireTree.mp3</v>
      </c>
      <c r="D2266" s="11"/>
      <c r="E2266" s="11"/>
    </row>
    <row r="2267" spans="1:5">
      <c r="A2267" s="12" t="s">
        <v>12462</v>
      </c>
      <c r="B2267" s="12" t="e">
        <v>#VALUE!</v>
      </c>
      <c r="C2267" s="13" t="e">
        <f>HYPERLINK("https://audio.iskcondesiretree.com/02_-_ISKCON_Swamis/ISKCON_Swamis_-_R_to_Y/His_Holiness_Radhanath_Swami/Lectures/00_-_Year_wise/Devotional_Nectar_-_2006/2006-028_Lord_Balaram-_The_Destroyer_of_Anarthas_Lord_Balaram_Appearance_Day_-_09-08-06_IDesireTree."&amp;"mp3", "2006-028_Lord_Balaram-_The_Destroyer_of_Anarthas_Lord_Balaram_Appearance_Day_-_09-08-06_IDesireTree.mp3")</f>
        <v>#VALUE!</v>
      </c>
      <c r="D2267" s="11"/>
      <c r="E2267" s="11"/>
    </row>
    <row r="2268" spans="1:5">
      <c r="A2268" s="12" t="s">
        <v>12462</v>
      </c>
      <c r="B2268" s="12" t="s">
        <v>15063</v>
      </c>
      <c r="C2268" s="13" t="str">
        <f>HYPERLINK("https://audio.iskcondesiretree.com/02_-_ISKCON_Swamis/ISKCON_Swamis_-_R_to_Y/His_Holiness_Radhanath_Swami/Lectures/00_-_Year_wise/Devotional_Nectar_-_2006/2006-029_Tune_Your_Mind_to_Krishna_Channel_Sunday_Feast_-_Radhanath_Swami_2006-08-13_IDesireTree.mp3", "2006-029_Tune_Your_Mind_to_Krishna_Channel_Sunday_Feast_-_Radhanath_Swami_2006-08-13_IDesireTree.mp3")</f>
        <v>2006-029_Tune_Your_Mind_to_Krishna_Channel_Sunday_Feast_-_Radhanath_Swami_2006-08-13_IDesireTree.mp3</v>
      </c>
      <c r="D2268" s="11"/>
      <c r="E2268" s="11"/>
    </row>
    <row r="2269" spans="1:5">
      <c r="A2269" s="12" t="s">
        <v>12462</v>
      </c>
      <c r="B2269" s="12" t="e">
        <v>#VALUE!</v>
      </c>
      <c r="C2269" s="13" t="e">
        <f>HYPERLINK("https://audio.iskcondesiretree.com/02_-_ISKCON_Swamis/ISKCON_Swamis_-_R_to_Y/His_Holiness_Radhanath_Swami/Lectures/00_-_Year_wise/Devotional_Nectar_-_2006/2006-030_Putana-Achieves_The_Ultimate_Independence_At_Radha_Rashbihari_Temple_-_15-08-06_IDesireTree"&amp;".mp3", "2006-030_Putana-Achieves_The_Ultimate_Independence_At_Radha_Rashbihari_Temple_-_15-08-06_IDesireTree.mp3")</f>
        <v>#VALUE!</v>
      </c>
      <c r="D2269" s="11"/>
      <c r="E2269" s="11"/>
    </row>
    <row r="2270" spans="1:5">
      <c r="A2270" s="12" t="s">
        <v>12462</v>
      </c>
      <c r="B2270" s="12" t="s">
        <v>15064</v>
      </c>
      <c r="C2270" s="13" t="str">
        <f>HYPERLINK("https://audio.iskcondesiretree.com/02_-_ISKCON_Swamis/ISKCON_Swamis_-_R_to_Y/His_Holiness_Radhanath_Swami/Lectures/00_-_Year_wise/Devotional_Nectar_-_2006/2006-031_Janmashtami_Lecture_At_Bhartiya_Vidya_Bhavan_-_Radhanath_Swami_2006-08-17_IDesireTree.mp3", "2006-031_Janmashtami_Lecture_At_Bhartiya_Vidya_Bhavan_-_Radhanath_Swami_2006-08-17_IDesireTree.mp3")</f>
        <v>2006-031_Janmashtami_Lecture_At_Bhartiya_Vidya_Bhavan_-_Radhanath_Swami_2006-08-17_IDesireTree.mp3</v>
      </c>
      <c r="D2270" s="11"/>
      <c r="E2270" s="11"/>
    </row>
    <row r="2271" spans="1:5">
      <c r="A2271" s="12" t="s">
        <v>12462</v>
      </c>
      <c r="B2271" s="12" t="s">
        <v>15065</v>
      </c>
      <c r="C2271" s="13" t="str">
        <f>HYPERLINK("https://audio.iskcondesiretree.com/02_-_ISKCON_Swamis/ISKCON_Swamis_-_R_to_Y/His_Holiness_Radhanath_Swami/Lectures/00_-_Year_wise/Devotional_Nectar_-_2006/2006-032_SP_Vyas_Puja_Address_RadhaGopinath_Temple_-_Radhanath_Swami_2006-08-17_IDesireTree.mp3", "2006-032_SP_Vyas_Puja_Address_RadhaGopinath_Temple_-_Radhanath_Swami_2006-08-17_IDesireTree.mp3")</f>
        <v>2006-032_SP_Vyas_Puja_Address_RadhaGopinath_Temple_-_Radhanath_Swami_2006-08-17_IDesireTree.mp3</v>
      </c>
      <c r="D2271" s="11"/>
      <c r="E2271" s="11"/>
    </row>
    <row r="2272" spans="1:5">
      <c r="A2272" s="12" t="s">
        <v>12462</v>
      </c>
      <c r="B2272" s="12" t="s">
        <v>15066</v>
      </c>
      <c r="C2272" s="13" t="str">
        <f>HYPERLINK("https://audio.iskcondesiretree.com/02_-_ISKCON_Swamis/ISKCON_Swamis_-_R_to_Y/His_Holiness_Radhanath_Swami/Lectures/00_-_Year_wise/Devotional_Nectar_-_2006/2006-033_Prayers_of_A_Pure_Devotee-_Srila_Prabhupada_Sunday_Feast_-_20-08-06_IDesireTree.mp3", "2006-033_Prayers_of_A_Pure_Devotee-_Srila_Prabhupada_Sunday_Feast_-_20-08-06_IDesireTree.mp3")</f>
        <v>2006-033_Prayers_of_A_Pure_Devotee-_Srila_Prabhupada_Sunday_Feast_-_20-08-06_IDesireTree.mp3</v>
      </c>
      <c r="D2272" s="11"/>
      <c r="E2272" s="11"/>
    </row>
    <row r="2273" spans="1:5">
      <c r="A2273" s="12" t="s">
        <v>12462</v>
      </c>
      <c r="B2273" s="12" t="e">
        <v>#VALUE!</v>
      </c>
      <c r="C2273" s="13" t="e">
        <f>HYPERLINK("https://audio.iskcondesiretree.com/02_-_ISKCON_Swamis/ISKCON_Swamis_-_R_to_Y/His_Holiness_Radhanath_Swami/Lectures/00_-_Year_wise/Devotional_Nectar_-_2006/2006-034_Insightful_life_of_Narada_Muni_-_Sunday_Festival_Lecture_-_SB-01_06_34_-_31-12-06_IDesireTr"&amp;"ee.mp3", "2006-034_Insightful_life_of_Narada_Muni_-_Sunday_Festival_Lecture_-_SB-01_06_34_-_31-12-06_IDesireTree.mp3")</f>
        <v>#VALUE!</v>
      </c>
      <c r="D2273" s="11"/>
      <c r="E2273" s="11"/>
    </row>
    <row r="2274" spans="1:5">
      <c r="A2274" s="12" t="s">
        <v>12462</v>
      </c>
      <c r="B2274" s="12" t="s">
        <v>15067</v>
      </c>
      <c r="C2274" s="13" t="str">
        <f>HYPERLINK("https://audio.iskcondesiretree.com/02_-_ISKCON_Swamis/ISKCON_Swamis_-_R_to_Y/His_Holiness_Radhanath_Swami/Lectures/00_-_Year_wise/Devotional_Nectar_-_2006/2006_Various_-_How_to_Properly_Serve_the_Vaishnavas_-_Radhanath_Swami.mp3", "2006_Various_-_How_to_Properly_Serve_the_Vaishnavas_-_Radhanath_Swami.mp3")</f>
        <v>2006_Various_-_How_to_Properly_Serve_the_Vaishnavas_-_Radhanath_Swami.mp3</v>
      </c>
      <c r="D2274" s="11"/>
      <c r="E2274" s="11"/>
    </row>
    <row r="2275" spans="1:5">
      <c r="A2275" s="12" t="s">
        <v>12462</v>
      </c>
      <c r="B2275" s="12" t="s">
        <v>15068</v>
      </c>
      <c r="C2275" s="13" t="str">
        <f>HYPERLINK("https://audio.iskcondesiretree.com/02_-_ISKCON_Swamis/ISKCON_Swamis_-_R_to_Y/His_Holiness_Radhanath_Swami/Lectures/00_-_Year_wise/Devotional_Nectar_-_2006/2006_Various_-_Krishna_never_forgets_service_of_his_Devotees_-_Radhanath_Swami.mp3", "2006_Various_-_Krishna_never_forgets_service_of_his_Devotees_-_Radhanath_Swami.mp3")</f>
        <v>2006_Various_-_Krishna_never_forgets_service_of_his_Devotees_-_Radhanath_Swami.mp3</v>
      </c>
      <c r="D2275" s="11"/>
      <c r="E2275" s="11"/>
    </row>
    <row r="2276" spans="1:5">
      <c r="A2276" s="12" t="s">
        <v>12462</v>
      </c>
      <c r="B2276" s="12" t="s">
        <v>15069</v>
      </c>
      <c r="C2276" s="13" t="str">
        <f>HYPERLINK("https://audio.iskcondesiretree.com/02_-_ISKCON_Swamis/ISKCON_Swamis_-_R_to_Y/His_Holiness_Radhanath_Swami/Lectures/00_-_Year_wise/Devotional_Nectar_-_2006/2006_Various_-_Prabhupada_Pastimes_-_Radhanath_Swami.mp3", "2006_Various_-_Prabhupada_Pastimes_-_Radhanath_Swami.mp3")</f>
        <v>2006_Various_-_Prabhupada_Pastimes_-_Radhanath_Swami.mp3</v>
      </c>
      <c r="D2276" s="11"/>
      <c r="E2276" s="11"/>
    </row>
    <row r="2277" spans="1:5">
      <c r="A2277" s="12" t="s">
        <v>12462</v>
      </c>
      <c r="B2277" s="12" t="s">
        <v>15070</v>
      </c>
      <c r="C2277" s="13" t="str">
        <f>HYPERLINK("https://audio.iskcondesiretree.com/02_-_ISKCON_Swamis/ISKCON_Swamis_-_R_to_Y/His_Holiness_Radhanath_Swami/Lectures/00_-_Year_wise/Devotional_Nectar_-_2006/2006_Various_-_The_Principle_of_Gratitude_-_Radhanath_Swami.mp3", "2006_Various_-_The_Principle_of_Gratitude_-_Radhanath_Swami.mp3")</f>
        <v>2006_Various_-_The_Principle_of_Gratitude_-_Radhanath_Swami.mp3</v>
      </c>
      <c r="D2277" s="11"/>
      <c r="E2277" s="11"/>
    </row>
    <row r="2278" spans="1:5">
      <c r="A2278" s="12" t="s">
        <v>12462</v>
      </c>
      <c r="B2278" s="12" t="e">
        <v>#VALUE!</v>
      </c>
      <c r="C2278" s="13" t="e">
        <f>HYPERLINK("https://audio.iskcondesiretree.com/02_-_ISKCON_Swamis/ISKCON_Swamis_-_R_to_Y/His_Holiness_Radhanath_Swami/Lectures/00_-_Year_wise/Devotional_Nectar_-_2007/07-10-20_Srimad_Bhagavatam-7-1-4%2C5_Submissiveness_-_An_Essential_Qualification_-_RNS_ISKCON_Chowpa"&amp;"tty.mp3", "07-10-20_Srimad_Bhagavatam-7-1-4%2C5_Submissiveness_-_An_Essential_Qualification_-_RNS_ISKCON_Chowpatty.mp3")</f>
        <v>#VALUE!</v>
      </c>
      <c r="D2278" s="11"/>
      <c r="E2278" s="11"/>
    </row>
    <row r="2279" spans="1:5">
      <c r="A2279" s="12" t="s">
        <v>12462</v>
      </c>
      <c r="B2279" s="12" t="s">
        <v>15071</v>
      </c>
      <c r="C2279" s="13" t="str">
        <f>HYPERLINK("https://audio.iskcondesiretree.com/02_-_ISKCON_Swamis/ISKCON_Swamis_-_R_to_Y/His_Holiness_Radhanath_Swami/Lectures/00_-_Year_wise/Devotional_Nectar_-_2007/07-11-25_Hate_The_Sin_But_Love_The_Sinner_%28SB-7_1_44-46%29_HH_Radhanath_Swami.mp3", "07-11-25_Hate_The_Sin_But_Love_The_Sinner_%28SB-7_1_44-46%29_HH_Radhanath_Swami.mp3")</f>
        <v>07-11-25_Hate_The_Sin_But_Love_The_Sinner_%28SB-7_1_44-46%29_HH_Radhanath_Swami.mp3</v>
      </c>
      <c r="D2279" s="11"/>
      <c r="E2279" s="11"/>
    </row>
    <row r="2280" spans="1:5">
      <c r="A2280" s="12" t="s">
        <v>12462</v>
      </c>
      <c r="B2280" s="12" t="s">
        <v>15072</v>
      </c>
      <c r="C2280" s="13" t="str">
        <f>HYPERLINK("https://audio.iskcondesiretree.com/02_-_ISKCON_Swamis/ISKCON_Swamis_-_R_to_Y/His_Holiness_Radhanath_Swami/Lectures/00_-_Year_wise/Devotional_Nectar_-_2007/07-12-14_Krishna_sees_the_purpose_%28SB7_2_23%29_HH_Radhanath_Swami.mp3", "07-12-14_Krishna_sees_the_purpose_%28SB7_2_23%29_HH_Radhanath_Swami.mp3")</f>
        <v>07-12-14_Krishna_sees_the_purpose_%28SB7_2_23%29_HH_Radhanath_Swami.mp3</v>
      </c>
      <c r="D2280" s="11"/>
      <c r="E2280" s="11"/>
    </row>
    <row r="2281" spans="1:5">
      <c r="A2281" s="12" t="s">
        <v>12462</v>
      </c>
      <c r="B2281" s="12" t="e">
        <v>#VALUE!</v>
      </c>
      <c r="C2281" s="13" t="e">
        <f>HYPERLINK("https://audio.iskcondesiretree.com/02_-_ISKCON_Swamis/ISKCON_Swamis_-_R_to_Y/His_Holiness_Radhanath_Swami/Lectures/00_-_Year_wise/Devotional_Nectar_-_2007/07-12-16_Saving_India%27s_Future_Generations_%28Gopal%27s_Fun_School_Annual_Day%29_Radhanath_Swami.m"&amp;"p3", "07-12-16_Saving_India%27s_Future_Generations_%28Gopal%27s_Fun_School_Annual_Day%29_Radhanath_Swami.mp3")</f>
        <v>#VALUE!</v>
      </c>
      <c r="D2281" s="11"/>
      <c r="E2281" s="11"/>
    </row>
    <row r="2282" spans="1:5">
      <c r="A2282" s="12" t="s">
        <v>12462</v>
      </c>
      <c r="B2282" s="12" t="s">
        <v>15073</v>
      </c>
      <c r="C2282" s="13" t="str">
        <f>HYPERLINK("https://audio.iskcondesiretree.com/02_-_ISKCON_Swamis/ISKCON_Swamis_-_R_to_Y/His_Holiness_Radhanath_Swami/Lectures/00_-_Year_wise/Devotional_Nectar_-_2007/07-12-30_Humb_Service_Attit_TransKnowledge_To_Realisation_%28SB-7_2_42%29_Radhanath_Swami.mp3", "07-12-30_Humb_Service_Attit_TransKnowledge_To_Realisation_%28SB-7_2_42%29_Radhanath_Swami.mp3")</f>
        <v>07-12-30_Humb_Service_Attit_TransKnowledge_To_Realisation_%28SB-7_2_42%29_Radhanath_Swami.mp3</v>
      </c>
      <c r="D2282" s="11"/>
      <c r="E2282" s="11"/>
    </row>
    <row r="2283" spans="1:5">
      <c r="A2283" s="12" t="s">
        <v>12462</v>
      </c>
      <c r="B2283" s="12" t="s">
        <v>15074</v>
      </c>
      <c r="C2283" s="13" t="str">
        <f>HYPERLINK("https://audio.iskcondesiretree.com/02_-_ISKCON_Swamis/ISKCON_Swamis_-_R_to_Y/His_Holiness_Radhanath_Swami/Lectures/00_-_Year_wise/Devotional_Nectar_-_2007/07-12-30_Selfless_Service_Attracts_Lord%27s_Empowerment_%28Sunday_Feast%29_Radhanath_Swami.mp3", "07-12-30_Selfless_Service_Attracts_Lord%27s_Empowerment_%28Sunday_Feast%29_Radhanath_Swami.mp3")</f>
        <v>07-12-30_Selfless_Service_Attracts_Lord%27s_Empowerment_%28Sunday_Feast%29_Radhanath_Swami.mp3</v>
      </c>
      <c r="D2283" s="11"/>
      <c r="E2283" s="11"/>
    </row>
    <row r="2284" spans="1:5">
      <c r="A2284" s="12" t="s">
        <v>12462</v>
      </c>
      <c r="B2284" s="12" t="s">
        <v>15075</v>
      </c>
      <c r="C2284" s="13" t="str">
        <f>HYPERLINK("https://audio.iskcondesiretree.com/02_-_ISKCON_Swamis/ISKCON_Swamis_-_R_to_Y/His_Holiness_Radhanath_Swami/Lectures/00_-_Year_wise/Devotional_Nectar_-_2007/2007-01-07_Pastimes_of_Advaita_Acharya_-_Radhanath_Swami.mp3", "2007-01-07_Pastimes_of_Advaita_Acharya_-_Radhanath_Swami.mp3")</f>
        <v>2007-01-07_Pastimes_of_Advaita_Acharya_-_Radhanath_Swami.mp3</v>
      </c>
      <c r="D2284" s="11"/>
      <c r="E2284" s="11"/>
    </row>
    <row r="2285" spans="1:5">
      <c r="A2285" s="12" t="s">
        <v>12462</v>
      </c>
      <c r="B2285" s="12" t="s">
        <v>15076</v>
      </c>
      <c r="C2285" s="13" t="str">
        <f>HYPERLINK("https://audio.iskcondesiretree.com/02_-_ISKCON_Swamis/ISKCON_Swamis_-_R_to_Y/His_Holiness_Radhanath_Swami/Lectures/00_-_Year_wise/Devotional_Nectar_-_2007/2007-01-07_Special_Lecture_Attitude_of_Gratitude_BIRLA_House_-_Radhanath_Swami_IDesireTree.mp3", "2007-01-07_Special_Lecture_Attitude_of_Gratitude_BIRLA_House_-_Radhanath_Swami_IDesireTree.mp3")</f>
        <v>2007-01-07_Special_Lecture_Attitude_of_Gratitude_BIRLA_House_-_Radhanath_Swami_IDesireTree.mp3</v>
      </c>
      <c r="D2285" s="11"/>
      <c r="E2285" s="11"/>
    </row>
    <row r="2286" spans="1:5">
      <c r="A2286" s="12" t="s">
        <v>12462</v>
      </c>
      <c r="B2286" s="12" t="s">
        <v>15077</v>
      </c>
      <c r="C2286" s="13" t="str">
        <f>HYPERLINK("https://audio.iskcondesiretree.com/02_-_ISKCON_Swamis/ISKCON_Swamis_-_R_to_Y/His_Holiness_Radhanath_Swami/Lectures/00_-_Year_wise/Devotional_Nectar_-_2007/2007-01-11_Service_Attitude_is_Heart_of_Bhakti_CC_ML-13_60_-_Radhanath_Swami_Juhu_Mumbai.mp3", "2007-01-11_Service_Attitude_is_Heart_of_Bhakti_CC_ML-13_60_-_Radhanath_Swami_Juhu_Mumbai.mp3")</f>
        <v>2007-01-11_Service_Attitude_is_Heart_of_Bhakti_CC_ML-13_60_-_Radhanath_Swami_Juhu_Mumbai.mp3</v>
      </c>
      <c r="D2286" s="11"/>
      <c r="E2286" s="11"/>
    </row>
    <row r="2287" spans="1:5">
      <c r="A2287" s="12" t="s">
        <v>12462</v>
      </c>
      <c r="B2287" s="12" t="s">
        <v>15078</v>
      </c>
      <c r="C2287" s="13" t="str">
        <f>HYPERLINK("https://audio.iskcondesiretree.com/02_-_ISKCON_Swamis/ISKCON_Swamis_-_R_to_Y/His_Holiness_Radhanath_Swami/Lectures/00_-_Year_wise/Devotional_Nectar_-_2007/2007-02-18_Coming_Above_The_Dualities_SB-06-09-37_ISKCON_Chowpatty_-_Radhanath_Swami_IDesireTree.mp3", "2007-02-18_Coming_Above_The_Dualities_SB-06-09-37_ISKCON_Chowpatty_-_Radhanath_Swami_IDesireTree.mp3")</f>
        <v>2007-02-18_Coming_Above_The_Dualities_SB-06-09-37_ISKCON_Chowpatty_-_Radhanath_Swami_IDesireTree.mp3</v>
      </c>
      <c r="D2287" s="11"/>
      <c r="E2287" s="11"/>
    </row>
    <row r="2288" spans="1:5">
      <c r="A2288" s="12" t="s">
        <v>12462</v>
      </c>
      <c r="B2288" s="12" t="s">
        <v>15079</v>
      </c>
      <c r="C2288" s="13" t="str">
        <f>HYPERLINK("https://audio.iskcondesiretree.com/02_-_ISKCON_Swamis/ISKCON_Swamis_-_R_to_Y/His_Holiness_Radhanath_Swami/Lectures/00_-_Year_wise/Devotional_Nectar_-_2007/2007-02-25_Sunday_Festival_Babulnath_-_Radhanath_Swami_IDesireTree.mp3", "2007-02-25_Sunday_Festival_Babulnath_-_Radhanath_Swami_IDesireTree.mp3")</f>
        <v>2007-02-25_Sunday_Festival_Babulnath_-_Radhanath_Swami_IDesireTree.mp3</v>
      </c>
      <c r="D2288" s="11"/>
      <c r="E2288" s="11"/>
    </row>
    <row r="2289" spans="1:5">
      <c r="A2289" s="12" t="s">
        <v>12462</v>
      </c>
      <c r="B2289" s="12" t="s">
        <v>15080</v>
      </c>
      <c r="C2289" s="13" t="str">
        <f>HYPERLINK("https://audio.iskcondesiretree.com/02_-_ISKCON_Swamis/ISKCON_Swamis_-_R_to_Y/His_Holiness_Radhanath_Swami/Lectures/00_-_Year_wise/Devotional_Nectar_-_2007/2007-03-03_Gaur_Lila_Eve_Class_-_Radhanath_Swami.mp3", "2007-03-03_Gaur_Lila_Eve_Class_-_Radhanath_Swami.mp3")</f>
        <v>2007-03-03_Gaur_Lila_Eve_Class_-_Radhanath_Swami.mp3</v>
      </c>
      <c r="D2289" s="11"/>
      <c r="E2289" s="11"/>
    </row>
    <row r="2290" spans="1:5">
      <c r="A2290" s="12" t="s">
        <v>12462</v>
      </c>
      <c r="B2290" s="12" t="s">
        <v>15081</v>
      </c>
      <c r="C2290" s="13" t="str">
        <f>HYPERLINK("https://audio.iskcondesiretree.com/02_-_ISKCON_Swamis/ISKCON_Swamis_-_R_to_Y/His_Holiness_Radhanath_Swami/Lectures/00_-_Year_wise/Devotional_Nectar_-_2007/2007-03-03_Gaur_Lila_Morn_Class_-_Radhanath_Swami.mp3", "2007-03-03_Gaur_Lila_Morn_Class_-_Radhanath_Swami.mp3")</f>
        <v>2007-03-03_Gaur_Lila_Morn_Class_-_Radhanath_Swami.mp3</v>
      </c>
      <c r="D2290" s="11"/>
      <c r="E2290" s="11"/>
    </row>
    <row r="2291" spans="1:5">
      <c r="A2291" s="12" t="s">
        <v>12462</v>
      </c>
      <c r="B2291" s="12" t="s">
        <v>15082</v>
      </c>
      <c r="C2291" s="13" t="str">
        <f>HYPERLINK("https://audio.iskcondesiretree.com/02_-_ISKCON_Swamis/ISKCON_Swamis_-_R_to_Y/His_Holiness_Radhanath_Swami/Lectures/00_-_Year_wise/Devotional_Nectar_-_2007/2007-03-04_Childhood_pastimes_of_Nimai_-_Radhanath_Swami.mp3", "2007-03-04_Childhood_pastimes_of_Nimai_-_Radhanath_Swami.mp3")</f>
        <v>2007-03-04_Childhood_pastimes_of_Nimai_-_Radhanath_Swami.mp3</v>
      </c>
      <c r="D2291" s="11"/>
      <c r="E2291" s="11"/>
    </row>
    <row r="2292" spans="1:5">
      <c r="A2292" s="12" t="s">
        <v>12462</v>
      </c>
      <c r="B2292" s="12" t="s">
        <v>15083</v>
      </c>
      <c r="C2292" s="13" t="str">
        <f>HYPERLINK("https://audio.iskcondesiretree.com/02_-_ISKCON_Swamis/ISKCON_Swamis_-_R_to_Y/His_Holiness_Radhanath_Swami/Lectures/00_-_Year_wise/Devotional_Nectar_-_2007/2007-03-04_Jagannath_Misra_Festival_-_Radhanath_Swami.mp3", "2007-03-04_Jagannath_Misra_Festival_-_Radhanath_Swami.mp3")</f>
        <v>2007-03-04_Jagannath_Misra_Festival_-_Radhanath_Swami.mp3</v>
      </c>
      <c r="D2292" s="11"/>
      <c r="E2292" s="11"/>
    </row>
    <row r="2293" spans="1:5">
      <c r="A2293" s="12" t="s">
        <v>12462</v>
      </c>
      <c r="B2293" s="12" t="s">
        <v>15084</v>
      </c>
      <c r="C2293" s="13" t="str">
        <f>HYPERLINK("https://audio.iskcondesiretree.com/02_-_ISKCON_Swamis/ISKCON_Swamis_-_R_to_Y/His_Holiness_Radhanath_Swami/Lectures/00_-_Year_wise/Devotional_Nectar_-_2007/2007-03-07_-_Lecture_-_Second_Avenue_-_07-03-07.mp3", "2007-03-07_-_Lecture_-_Second_Avenue_-_07-03-07.mp3")</f>
        <v>2007-03-07_-_Lecture_-_Second_Avenue_-_07-03-07.mp3</v>
      </c>
      <c r="D2293" s="11"/>
      <c r="E2293" s="11"/>
    </row>
    <row r="2294" spans="1:5">
      <c r="A2294" s="12" t="s">
        <v>12462</v>
      </c>
      <c r="B2294" s="12" t="s">
        <v>15085</v>
      </c>
      <c r="C2294" s="13" t="str">
        <f>HYPERLINK("https://audio.iskcondesiretree.com/02_-_ISKCON_Swamis/ISKCON_Swamis_-_R_to_Y/His_Holiness_Radhanath_Swami/Lectures/00_-_Year_wise/Devotional_Nectar_-_2007/2007-03-09_Lec_at_Khar_-_Radhanath_Swami.mp3", "2007-03-09_Lec_at_Khar_-_Radhanath_Swami.mp3")</f>
        <v>2007-03-09_Lec_at_Khar_-_Radhanath_Swami.mp3</v>
      </c>
      <c r="D2294" s="11"/>
      <c r="E2294" s="11"/>
    </row>
    <row r="2295" spans="1:5">
      <c r="A2295" s="12" t="s">
        <v>12462</v>
      </c>
      <c r="B2295" s="12" t="s">
        <v>15086</v>
      </c>
      <c r="C2295" s="13" t="str">
        <f>HYPERLINK("https://audio.iskcondesiretree.com/02_-_ISKCON_Swamis/ISKCON_Swamis_-_R_to_Y/His_Holiness_Radhanath_Swami/Lectures/00_-_Year_wise/Devotional_Nectar_-_2007/2007-03-26%20SB-03-31-06_Juhu_-_Radhanath_Swami.mp3", "2007-03-26%20SB-03-31-06_Juhu_-_Radhanath_Swami.mp3")</f>
        <v>2007-03-26%20SB-03-31-06_Juhu_-_Radhanath_Swami.mp3</v>
      </c>
      <c r="D2295" s="11"/>
      <c r="E2295" s="11"/>
    </row>
    <row r="2296" spans="1:5">
      <c r="A2296" s="12" t="s">
        <v>12462</v>
      </c>
      <c r="B2296" s="12" t="s">
        <v>15087</v>
      </c>
      <c r="C2296" s="13" t="str">
        <f>HYPERLINK("https://audio.iskcondesiretree.com/02_-_ISKCON_Swamis/ISKCON_Swamis_-_R_to_Y/His_Holiness_Radhanath_Swami/Lectures/00_-_Year_wise/Devotional_Nectar_-_2007/2007-03-27_Ramnavmi_lec_-_Radhanath_Swami.mp3", "2007-03-27_Ramnavmi_lec_-_Radhanath_Swami.mp3")</f>
        <v>2007-03-27_Ramnavmi_lec_-_Radhanath_Swami.mp3</v>
      </c>
      <c r="D2296" s="11"/>
      <c r="E2296" s="11"/>
    </row>
    <row r="2297" spans="1:5">
      <c r="A2297" s="12" t="s">
        <v>12462</v>
      </c>
      <c r="B2297" s="12" t="s">
        <v>15088</v>
      </c>
      <c r="C2297" s="13" t="str">
        <f>HYPERLINK("https://audio.iskcondesiretree.com/02_-_ISKCON_Swamis/ISKCON_Swamis_-_R_to_Y/His_Holiness_Radhanath_Swami/Lectures/00_-_Year_wise/Devotional_Nectar_-_2007/2007-04-02_Service_Attitude_is_the_Foundation_SB-06-11-24_-_Radhanath_Swami.mp3", "2007-04-02_Service_Attitude_is_the_Foundation_SB-06-11-24_-_Radhanath_Swami.mp3")</f>
        <v>2007-04-02_Service_Attitude_is_the_Foundation_SB-06-11-24_-_Radhanath_Swami.mp3</v>
      </c>
      <c r="D2297" s="11"/>
      <c r="E2297" s="11"/>
    </row>
    <row r="2298" spans="1:5">
      <c r="A2298" s="12" t="s">
        <v>12462</v>
      </c>
      <c r="B2298" s="12" t="s">
        <v>15089</v>
      </c>
      <c r="C2298" s="13" t="str">
        <f>HYPERLINK("https://audio.iskcondesiretree.com/02_-_ISKCON_Swamis/ISKCON_Swamis_-_R_to_Y/His_Holiness_Radhanath_Swami/Lectures/00_-_Year_wise/Devotional_Nectar_-_2007/2007-04-02_Understanding_the_Spirit_of_Vrindavan_Pastimes_Sunday_Feast_-_Radhanath_Swami.mp3", "2007-04-02_Understanding_the_Spirit_of_Vrindavan_Pastimes_Sunday_Feast_-_Radhanath_Swami.mp3")</f>
        <v>2007-04-02_Understanding_the_Spirit_of_Vrindavan_Pastimes_Sunday_Feast_-_Radhanath_Swami.mp3</v>
      </c>
      <c r="D2298" s="11"/>
      <c r="E2298" s="11"/>
    </row>
    <row r="2299" spans="1:5">
      <c r="A2299" s="12" t="s">
        <v>12462</v>
      </c>
      <c r="B2299" s="12" t="s">
        <v>15090</v>
      </c>
      <c r="C2299" s="13" t="str">
        <f>HYPERLINK("https://audio.iskcondesiretree.com/02_-_ISKCON_Swamis/ISKCON_Swamis_-_R_to_Y/His_Holiness_Radhanath_Swami/Lectures/00_-_Year_wise/Devotional_Nectar_-_2007/2007-04-28_Do_Not_Mistreat_Anyone_SB-06-14-01_ISKCON_Chowpatty_-_Radhanath_Swami_IDesireTree.mp3", "2007-04-28_Do_Not_Mistreat_Anyone_SB-06-14-01_ISKCON_Chowpatty_-_Radhanath_Swami_IDesireTree.mp3")</f>
        <v>2007-04-28_Do_Not_Mistreat_Anyone_SB-06-14-01_ISKCON_Chowpatty_-_Radhanath_Swami_IDesireTree.mp3</v>
      </c>
      <c r="D2299" s="11"/>
      <c r="E2299" s="11"/>
    </row>
    <row r="2300" spans="1:5">
      <c r="A2300" s="12" t="s">
        <v>12462</v>
      </c>
      <c r="B2300" s="12" t="s">
        <v>15091</v>
      </c>
      <c r="C2300" s="13" t="str">
        <f>HYPERLINK("https://audio.iskcondesiretree.com/02_-_ISKCON_Swamis/ISKCON_Swamis_-_R_to_Y/His_Holiness_Radhanath_Swami/Lectures/00_-_Year_wise/Devotional_Nectar_-_2007/2007-04-29_Sunday_Festival_ISKCON_Chowpatty_-_Radhanath_Swami_IDesireTree.mp3", "2007-04-29_Sunday_Festival_ISKCON_Chowpatty_-_Radhanath_Swami_IDesireTree.mp3")</f>
        <v>2007-04-29_Sunday_Festival_ISKCON_Chowpatty_-_Radhanath_Swami_IDesireTree.mp3</v>
      </c>
      <c r="D2300" s="11"/>
      <c r="E2300" s="11"/>
    </row>
    <row r="2301" spans="1:5">
      <c r="A2301" s="12" t="s">
        <v>12462</v>
      </c>
      <c r="B2301" s="12" t="s">
        <v>15092</v>
      </c>
      <c r="C2301" s="13" t="str">
        <f>HYPERLINK("https://audio.iskcondesiretree.com/02_-_ISKCON_Swamis/ISKCON_Swamis_-_R_to_Y/His_Holiness_Radhanath_Swami/Lectures/00_-_Year_wise/Devotional_Nectar_-_2007/2007-05-01_Narshima_Chaturdasi_Festival_Morn_Lec_SB-07-09-18_-_Radhanath_Swami.mp3", "2007-05-01_Narshima_Chaturdasi_Festival_Morn_Lec_SB-07-09-18_-_Radhanath_Swami.mp3")</f>
        <v>2007-05-01_Narshima_Chaturdasi_Festival_Morn_Lec_SB-07-09-18_-_Radhanath_Swami.mp3</v>
      </c>
      <c r="D2301" s="11"/>
      <c r="E2301" s="11"/>
    </row>
    <row r="2302" spans="1:5">
      <c r="A2302" s="12" t="s">
        <v>12462</v>
      </c>
      <c r="B2302" s="12" t="s">
        <v>15093</v>
      </c>
      <c r="C2302" s="13" t="str">
        <f>HYPERLINK("https://audio.iskcondesiretree.com/02_-_ISKCON_Swamis/ISKCON_Swamis_-_R_to_Y/His_Holiness_Radhanath_Swami/Lectures/00_-_Year_wise/Devotional_Nectar_-_2007/2007-05-08_Initation_Eve_Lec_-_Radhanath_Swami.mp3", "2007-05-08_Initation_Eve_Lec_-_Radhanath_Swami.mp3")</f>
        <v>2007-05-08_Initation_Eve_Lec_-_Radhanath_Swami.mp3</v>
      </c>
      <c r="D2302" s="11"/>
      <c r="E2302" s="11"/>
    </row>
    <row r="2303" spans="1:5">
      <c r="A2303" s="12" t="s">
        <v>12462</v>
      </c>
      <c r="B2303" s="12" t="s">
        <v>15094</v>
      </c>
      <c r="C2303" s="13" t="str">
        <f>HYPERLINK("https://audio.iskcondesiretree.com/02_-_ISKCON_Swamis/ISKCON_Swamis_-_R_to_Y/His_Holiness_Radhanath_Swami/Lectures/00_-_Year_wise/Devotional_Nectar_-_2007/2007-05-08_Initation_Morn_Lec_-_Radhanath_Swami.mp3", "2007-05-08_Initation_Morn_Lec_-_Radhanath_Swami.mp3")</f>
        <v>2007-05-08_Initation_Morn_Lec_-_Radhanath_Swami.mp3</v>
      </c>
      <c r="D2303" s="11"/>
      <c r="E2303" s="11"/>
    </row>
    <row r="2304" spans="1:5">
      <c r="A2304" s="12" t="s">
        <v>12462</v>
      </c>
      <c r="B2304" s="12" t="s">
        <v>15095</v>
      </c>
      <c r="C2304" s="13" t="str">
        <f>HYPERLINK("https://audio.iskcondesiretree.com/02_-_ISKCON_Swamis/ISKCON_Swamis_-_R_to_Y/His_Holiness_Radhanath_Swami/Lectures/00_-_Year_wise/Devotional_Nectar_-_2007/2007-07-31_CC_Madhya_Lila_13-155_-_Radhanath_Swami_Los_Angeles.mp3", "2007-07-31_CC_Madhya_Lila_13-155_-_Radhanath_Swami_Los_Angeles.mp3")</f>
        <v>2007-07-31_CC_Madhya_Lila_13-155_-_Radhanath_Swami_Los_Angeles.mp3</v>
      </c>
      <c r="D2304" s="11"/>
      <c r="E2304" s="11"/>
    </row>
    <row r="2305" spans="1:5">
      <c r="A2305" s="12" t="s">
        <v>12462</v>
      </c>
      <c r="B2305" s="12" t="s">
        <v>15096</v>
      </c>
      <c r="C2305" s="13" t="str">
        <f>HYPERLINK("https://audio.iskcondesiretree.com/02_-_ISKCON_Swamis/ISKCON_Swamis_-_R_to_Y/His_Holiness_Radhanath_Swami/Lectures/00_-_Year_wise/Devotional_Nectar_-_2007/2007-08-26_Sunday_Festival_Alachua_-_Radhanath_Swami_IDesireTree.mp3", "2007-08-26_Sunday_Festival_Alachua_-_Radhanath_Swami_IDesireTree.mp3")</f>
        <v>2007-08-26_Sunday_Festival_Alachua_-_Radhanath_Swami_IDesireTree.mp3</v>
      </c>
      <c r="D2305" s="11"/>
      <c r="E2305" s="11"/>
    </row>
    <row r="2306" spans="1:5">
      <c r="A2306" s="12" t="s">
        <v>12462</v>
      </c>
      <c r="B2306" s="12" t="s">
        <v>15097</v>
      </c>
      <c r="C2306" s="13" t="str">
        <f>HYPERLINK("https://audio.iskcondesiretree.com/02_-_ISKCON_Swamis/ISKCON_Swamis_-_R_to_Y/His_Holiness_Radhanath_Swami/Lectures/00_-_Year_wise/Devotional_Nectar_-_2007/2007-08-27_SB-07-06-11-12-13_Alachua_-_Radhanath_Swami_IDesireTree.mp3", "2007-08-27_SB-07-06-11-12-13_Alachua_-_Radhanath_Swami_IDesireTree.mp3")</f>
        <v>2007-08-27_SB-07-06-11-12-13_Alachua_-_Radhanath_Swami_IDesireTree.mp3</v>
      </c>
      <c r="D2306" s="11"/>
      <c r="E2306" s="11"/>
    </row>
    <row r="2307" spans="1:5">
      <c r="A2307" s="12" t="s">
        <v>12462</v>
      </c>
      <c r="B2307" s="12" t="s">
        <v>15098</v>
      </c>
      <c r="C2307" s="13" t="str">
        <f>HYPERLINK("https://audio.iskcondesiretree.com/02_-_ISKCON_Swamis/ISKCON_Swamis_-_R_to_Y/His_Holiness_Radhanath_Swami/Lectures/00_-_Year_wise/Devotional_Nectar_-_2007/2007-08-29_SB-07-06-14-13_Alachua_-_Radhanath_Swami_IDesireTree.mp3", "2007-08-29_SB-07-06-14-13_Alachua_-_Radhanath_Swami_IDesireTree.mp3")</f>
        <v>2007-08-29_SB-07-06-14-13_Alachua_-_Radhanath_Swami_IDesireTree.mp3</v>
      </c>
      <c r="D2307" s="11"/>
      <c r="E2307" s="11"/>
    </row>
    <row r="2308" spans="1:5">
      <c r="A2308" s="12" t="s">
        <v>12462</v>
      </c>
      <c r="B2308" s="12" t="e">
        <v>#VALUE!</v>
      </c>
      <c r="C2308" s="13" t="e">
        <f>HYPERLINK("https://audio.iskcondesiretree.com/02_-_ISKCON_Swamis/ISKCON_Swamis_-_R_to_Y/His_Holiness_Radhanath_Swami/Lectures/00_-_Year_wise/Devotional_Nectar_-_2007/2007-09-29_Various_-_Sunday_Feast-Disappearance_of_Sanatana_Goswami_-_Radhanath_Swami_Los_Angeles.mp"&amp;"3", "2007-09-29_Various_-_Sunday_Feast-Disappearance_of_Sanatana_Goswami_-_Radhanath_Swami_Los_Angeles.mp3")</f>
        <v>#VALUE!</v>
      </c>
      <c r="D2308" s="11"/>
      <c r="E2308" s="11"/>
    </row>
    <row r="2309" spans="1:5">
      <c r="A2309" s="12" t="s">
        <v>12462</v>
      </c>
      <c r="B2309" s="12" t="s">
        <v>15099</v>
      </c>
      <c r="C2309" s="13" t="str">
        <f>HYPERLINK("https://audio.iskcondesiretree.com/02_-_ISKCON_Swamis/ISKCON_Swamis_-_R_to_Y/His_Holiness_Radhanath_Swami/Lectures/00_-_Year_wise/Devotional_Nectar_-_2007/2007-10-14_Sunday_Festival_Teachings_From_Sri_Brhat_Bhagvatamrta_ISKCON_Chowpatty_IDesireTree.mp3", "2007-10-14_Sunday_Festival_Teachings_From_Sri_Brhat_Bhagvatamrta_ISKCON_Chowpatty_IDesireTree.mp3")</f>
        <v>2007-10-14_Sunday_Festival_Teachings_From_Sri_Brhat_Bhagvatamrta_ISKCON_Chowpatty_IDesireTree.mp3</v>
      </c>
      <c r="D2309" s="11"/>
      <c r="E2309" s="11"/>
    </row>
    <row r="2310" spans="1:5">
      <c r="A2310" s="12" t="s">
        <v>12462</v>
      </c>
      <c r="B2310" s="12" t="s">
        <v>15100</v>
      </c>
      <c r="C2310" s="13" t="str">
        <f>HYPERLINK("https://audio.iskcondesiretree.com/02_-_ISKCON_Swamis/ISKCON_Swamis_-_R_to_Y/His_Holiness_Radhanath_Swami/Lectures/00_-_Year_wise/Devotional_Nectar_-_2007/2007-10-18_Eve_Lec_at_nair_medicle_college_-_Radhanath_Swami.mp3", "2007-10-18_Eve_Lec_at_nair_medicle_college_-_Radhanath_Swami.mp3")</f>
        <v>2007-10-18_Eve_Lec_at_nair_medicle_college_-_Radhanath_Swami.mp3</v>
      </c>
      <c r="D2310" s="11"/>
      <c r="E2310" s="11"/>
    </row>
    <row r="2311" spans="1:5">
      <c r="A2311" s="12" t="s">
        <v>12462</v>
      </c>
      <c r="B2311" s="12" t="s">
        <v>15101</v>
      </c>
      <c r="C2311" s="13" t="str">
        <f>HYPERLINK("https://audio.iskcondesiretree.com/02_-_ISKCON_Swamis/ISKCON_Swamis_-_R_to_Y/His_Holiness_Radhanath_Swami/Lectures/00_-_Year_wise/Devotional_Nectar_-_2007/2007-10-19_SB_at_RRB_JUHU_-_Radhanath_Swami.mp3", "2007-10-19_SB_at_RRB_JUHU_-_Radhanath_Swami.mp3")</f>
        <v>2007-10-19_SB_at_RRB_JUHU_-_Radhanath_Swami.mp3</v>
      </c>
      <c r="D2311" s="11"/>
      <c r="E2311" s="11"/>
    </row>
    <row r="2312" spans="1:5">
      <c r="A2312" s="12" t="s">
        <v>12462</v>
      </c>
      <c r="B2312" s="12" t="s">
        <v>15102</v>
      </c>
      <c r="C2312" s="13" t="str">
        <f>HYPERLINK("https://audio.iskcondesiretree.com/02_-_ISKCON_Swamis/ISKCON_Swamis_-_R_to_Y/His_Holiness_Radhanath_Swami/Lectures/00_-_Year_wise/Devotional_Nectar_-_2007/2007-10-26_Eventful_Kartik_Month_SB-07-01-10_ISKCON_Chowpatty_-_Radhanath_Swami_IDesireTree.mp3", "2007-10-26_Eventful_Kartik_Month_SB-07-01-10_ISKCON_Chowpatty_-_Radhanath_Swami_IDesireTree.mp3")</f>
        <v>2007-10-26_Eventful_Kartik_Month_SB-07-01-10_ISKCON_Chowpatty_-_Radhanath_Swami_IDesireTree.mp3</v>
      </c>
      <c r="D2312" s="11"/>
      <c r="E2312" s="11"/>
    </row>
    <row r="2313" spans="1:5">
      <c r="A2313" s="12" t="s">
        <v>12462</v>
      </c>
      <c r="B2313" s="12" t="s">
        <v>15103</v>
      </c>
      <c r="C2313" s="13" t="str">
        <f>HYPERLINK("https://audio.iskcondesiretree.com/02_-_ISKCON_Swamis/ISKCON_Swamis_-_R_to_Y/His_Holiness_Radhanath_Swami/Lectures/00_-_Year_wise/Devotional_Nectar_-_2007/2007-11-25_Hate_The_Sin_But_Love_The_Sinner_SB-07-01-44-46_-_Radhanath_Swami_IDesireTree.mp3", "2007-11-25_Hate_The_Sin_But_Love_The_Sinner_SB-07-01-44-46_-_Radhanath_Swami_IDesireTree.mp3")</f>
        <v>2007-11-25_Hate_The_Sin_But_Love_The_Sinner_SB-07-01-44-46_-_Radhanath_Swami_IDesireTree.mp3</v>
      </c>
      <c r="D2313" s="11"/>
      <c r="E2313" s="11"/>
    </row>
    <row r="2314" spans="1:5">
      <c r="A2314" s="12" t="s">
        <v>12462</v>
      </c>
      <c r="B2314" s="12" t="s">
        <v>15104</v>
      </c>
      <c r="C2314" s="13" t="str">
        <f>HYPERLINK("https://audio.iskcondesiretree.com/02_-_ISKCON_Swamis/ISKCON_Swamis_-_R_to_Y/His_Holiness_Radhanath_Swami/Lectures/00_-_Year_wise/Devotional_Nectar_-_2007/2007-11-25_SB-07_-_Radhanath_Swami.mp3", "2007-11-25_SB-07_-_Radhanath_Swami.mp3")</f>
        <v>2007-11-25_SB-07_-_Radhanath_Swami.mp3</v>
      </c>
      <c r="D2314" s="11"/>
      <c r="E2314" s="11"/>
    </row>
    <row r="2315" spans="1:5">
      <c r="A2315" s="12" t="s">
        <v>12462</v>
      </c>
      <c r="B2315" s="12" t="s">
        <v>15105</v>
      </c>
      <c r="C2315" s="13" t="str">
        <f>HYPERLINK("https://audio.iskcondesiretree.com/02_-_ISKCON_Swamis/ISKCON_Swamis_-_R_to_Y/His_Holiness_Radhanath_Swami/Lectures/00_-_Year_wise/Devotional_Nectar_-_2007/2007-12-02_Sunday_Feast_with_HHDVS_HG_Mahamuni_Prabhu_IDesireTree_-_Radhanath_Swami.mp3", "2007-12-02_Sunday_Feast_with_HHDVS_HG_Mahamuni_Prabhu_IDesireTree_-_Radhanath_Swami.mp3")</f>
        <v>2007-12-02_Sunday_Feast_with_HHDVS_HG_Mahamuni_Prabhu_IDesireTree_-_Radhanath_Swami.mp3</v>
      </c>
      <c r="D2315" s="11"/>
      <c r="E2315" s="11"/>
    </row>
    <row r="2316" spans="1:5">
      <c r="A2316" s="12" t="s">
        <v>12462</v>
      </c>
      <c r="B2316" s="12" t="s">
        <v>15106</v>
      </c>
      <c r="C2316" s="13" t="str">
        <f>HYPERLINK("https://audio.iskcondesiretree.com/02_-_ISKCON_Swamis/ISKCON_Swamis_-_R_to_Y/His_Holiness_Radhanath_Swami/Lectures/00_-_Year_wise/Devotional_Nectar_-_2007/2007-12-07_Address_to_Garland_making_Matajis_-_Radhanath_Swami.mp3", "2007-12-07_Address_to_Garland_making_Matajis_-_Radhanath_Swami.mp3")</f>
        <v>2007-12-07_Address_to_Garland_making_Matajis_-_Radhanath_Swami.mp3</v>
      </c>
      <c r="D2316" s="11"/>
      <c r="E2316" s="11"/>
    </row>
    <row r="2317" spans="1:5">
      <c r="A2317" s="12" t="s">
        <v>12462</v>
      </c>
      <c r="B2317" s="12" t="s">
        <v>15107</v>
      </c>
      <c r="C2317" s="13" t="str">
        <f>HYPERLINK("https://audio.iskcondesiretree.com/02_-_ISKCON_Swamis/ISKCON_Swamis_-_R_to_Y/His_Holiness_Radhanath_Swami/Lectures/00_-_Year_wise/Devotional_Nectar_-_2007/2007-12-08_Vyas_Puja_Address_-_Radhanath_Swami.mp3", "2007-12-08_Vyas_Puja_Address_-_Radhanath_Swami.mp3")</f>
        <v>2007-12-08_Vyas_Puja_Address_-_Radhanath_Swami.mp3</v>
      </c>
      <c r="D2317" s="11"/>
      <c r="E2317" s="11"/>
    </row>
    <row r="2318" spans="1:5">
      <c r="A2318" s="12" t="s">
        <v>12462</v>
      </c>
      <c r="B2318" s="12" t="s">
        <v>15108</v>
      </c>
      <c r="C2318" s="13" t="str">
        <f>HYPERLINK("https://audio.iskcondesiretree.com/02_-_ISKCON_Swamis/ISKCON_Swamis_-_R_to_Y/His_Holiness_Radhanath_Swami/Lectures/00_-_Year_wise/Devotional_Nectar_-_2007/2007-12-09_Connecting_To_Mercy_Of_Devotees_Sunday_Feast_with_HHCMS_HGMMP_IDesireTree.MP3", "2007-12-09_Connecting_To_Mercy_Of_Devotees_Sunday_Feast_with_HHCMS_HGMMP_IDesireTree.MP3")</f>
        <v>2007-12-09_Connecting_To_Mercy_Of_Devotees_Sunday_Feast_with_HHCMS_HGMMP_IDesireTree.MP3</v>
      </c>
      <c r="D2318" s="11"/>
      <c r="E2318" s="11"/>
    </row>
    <row r="2319" spans="1:5">
      <c r="A2319" s="12" t="s">
        <v>12462</v>
      </c>
      <c r="B2319" s="12" t="s">
        <v>15109</v>
      </c>
      <c r="C2319" s="13" t="str">
        <f>HYPERLINK("https://audio.iskcondesiretree.com/02_-_ISKCON_Swamis/ISKCON_Swamis_-_R_to_Y/His_Holiness_Radhanath_Swami/Lectures/00_-_Year_wise/Devotional_Nectar_-_2007/2007-12-09_Taking_Care_Of_Details_SB-07-02-14_IDesireTree.MP3", "2007-12-09_Taking_Care_Of_Details_SB-07-02-14_IDesireTree.MP3")</f>
        <v>2007-12-09_Taking_Care_Of_Details_SB-07-02-14_IDesireTree.MP3</v>
      </c>
      <c r="D2319" s="11"/>
      <c r="E2319" s="11"/>
    </row>
    <row r="2320" spans="1:5">
      <c r="A2320" s="12" t="s">
        <v>12462</v>
      </c>
      <c r="B2320" s="12" t="s">
        <v>15110</v>
      </c>
      <c r="C2320" s="13" t="str">
        <f>HYPERLINK("https://audio.iskcondesiretree.com/02_-_ISKCON_Swamis/ISKCON_Swamis_-_R_to_Y/His_Holiness_Radhanath_Swami/Lectures/00_-_Year_wise/Devotional_Nectar_-_2007/2007-12-09_Taking_Care_Of_Details_SB-07-02-14_IDesireTree_-_Radhanath_Swami.MP3", "2007-12-09_Taking_Care_Of_Details_SB-07-02-14_IDesireTree_-_Radhanath_Swami.MP3")</f>
        <v>2007-12-09_Taking_Care_Of_Details_SB-07-02-14_IDesireTree_-_Radhanath_Swami.MP3</v>
      </c>
      <c r="D2320" s="11"/>
      <c r="E2320" s="11"/>
    </row>
    <row r="2321" spans="1:5">
      <c r="A2321" s="12" t="s">
        <v>12462</v>
      </c>
      <c r="B2321" s="12" t="s">
        <v>15111</v>
      </c>
      <c r="C2321" s="13" t="str">
        <f>HYPERLINK("https://audio.iskcondesiretree.com/02_-_ISKCON_Swamis/ISKCON_Swamis_-_R_to_Y/His_Holiness_Radhanath_Swami/Lectures/00_-_Year_wise/Devotional_Nectar_-_2007/2007-12-14_Krishna_sees_the_purpose_SB-07-02-23_-_Radhanath_Swami_IDesireTree.mp3", "2007-12-14_Krishna_sees_the_purpose_SB-07-02-23_-_Radhanath_Swami_IDesireTree.mp3")</f>
        <v>2007-12-14_Krishna_sees_the_purpose_SB-07-02-23_-_Radhanath_Swami_IDesireTree.mp3</v>
      </c>
      <c r="D2321" s="11"/>
      <c r="E2321" s="11"/>
    </row>
    <row r="2322" spans="1:5">
      <c r="A2322" s="12" t="s">
        <v>12462</v>
      </c>
      <c r="B2322" s="12" t="s">
        <v>15112</v>
      </c>
      <c r="C2322" s="13" t="str">
        <f>HYPERLINK("https://audio.iskcondesiretree.com/02_-_ISKCON_Swamis/ISKCON_Swamis_-_R_to_Y/His_Holiness_Radhanath_Swami/Lectures/00_-_Year_wise/Devotional_Nectar_-_2007/2007-12-15_SB-07-02-23_-_Radhanath_Swami.mp3", "2007-12-15_SB-07-02-23_-_Radhanath_Swami.mp3")</f>
        <v>2007-12-15_SB-07-02-23_-_Radhanath_Swami.mp3</v>
      </c>
      <c r="D2322" s="11"/>
      <c r="E2322" s="11"/>
    </row>
    <row r="2323" spans="1:5">
      <c r="A2323" s="12" t="s">
        <v>12462</v>
      </c>
      <c r="B2323" s="12" t="s">
        <v>15113</v>
      </c>
      <c r="C2323" s="13" t="str">
        <f>HYPERLINK("https://audio.iskcondesiretree.com/02_-_ISKCON_Swamis/ISKCON_Swamis_-_R_to_Y/His_Holiness_Radhanath_Swami/Lectures/00_-_Year_wise/Devotional_Nectar_-_2007/2007-12-22_50th_wedding_aniversary_Sahadev_Prabhu-Sucharitra_Mataji_IDesireTree.mp3", "2007-12-22_50th_wedding_aniversary_Sahadev_Prabhu-Sucharitra_Mataji_IDesireTree.mp3")</f>
        <v>2007-12-22_50th_wedding_aniversary_Sahadev_Prabhu-Sucharitra_Mataji_IDesireTree.mp3</v>
      </c>
      <c r="D2323" s="11"/>
      <c r="E2323" s="11"/>
    </row>
    <row r="2324" spans="1:5">
      <c r="A2324" s="12" t="s">
        <v>12462</v>
      </c>
      <c r="B2324" s="12" t="s">
        <v>15114</v>
      </c>
      <c r="C2324" s="13" t="str">
        <f>HYPERLINK("https://audio.iskcondesiretree.com/02_-_ISKCON_Swamis/ISKCON_Swamis_-_R_to_Y/His_Holiness_Radhanath_Swami/Lectures/00_-_Year_wise/Devotional_Nectar_-_2007/2007-12-22_No_Substitute_For_Maturity_%26_Realisation_SB-07-02-35_-_Radhanath_Swami_IDesireTree.mp3", "2007-12-22_No_Substitute_For_Maturity_%26_Realisation_SB-07-02-35_-_Radhanath_Swami_IDesireTree.mp3")</f>
        <v>2007-12-22_No_Substitute_For_Maturity_%26_Realisation_SB-07-02-35_-_Radhanath_Swami_IDesireTree.mp3</v>
      </c>
      <c r="D2324" s="11"/>
      <c r="E2324" s="11"/>
    </row>
    <row r="2325" spans="1:5">
      <c r="A2325" s="12" t="s">
        <v>12462</v>
      </c>
      <c r="B2325" s="12" t="s">
        <v>15115</v>
      </c>
      <c r="C2325" s="13" t="str">
        <f>HYPERLINK("https://audio.iskcondesiretree.com/02_-_ISKCON_Swamis/ISKCON_Swamis_-_R_to_Y/His_Holiness_Radhanath_Swami/Lectures/00_-_Year_wise/Devotional_Nectar_-_2007/2007_Various_-_Daksa_curses_Shiva_-_Radhanath_Swami.mp3", "2007_Various_-_Daksa_curses_Shiva_-_Radhanath_Swami.mp3")</f>
        <v>2007_Various_-_Daksa_curses_Shiva_-_Radhanath_Swami.mp3</v>
      </c>
      <c r="D2325" s="11"/>
      <c r="E2325" s="11"/>
    </row>
    <row r="2326" spans="1:5">
      <c r="A2326" s="12" t="s">
        <v>12462</v>
      </c>
      <c r="B2326" s="12" t="s">
        <v>15116</v>
      </c>
      <c r="C2326" s="13" t="str">
        <f>HYPERLINK("https://audio.iskcondesiretree.com/02_-_ISKCON_Swamis/ISKCON_Swamis_-_R_to_Y/His_Holiness_Radhanath_Swami/Lectures/00_-_Year_wise/Devotional_Nectar_-_2007/2007_Various_-_Enthusiasm_and_Devotion_-_Radhanath_Swami.mp3", "2007_Various_-_Enthusiasm_and_Devotion_-_Radhanath_Swami.mp3")</f>
        <v>2007_Various_-_Enthusiasm_and_Devotion_-_Radhanath_Swami.mp3</v>
      </c>
      <c r="D2326" s="11"/>
      <c r="E2326" s="11"/>
    </row>
    <row r="2327" spans="1:5">
      <c r="A2327" s="12" t="s">
        <v>12462</v>
      </c>
      <c r="B2327" s="12" t="s">
        <v>15117</v>
      </c>
      <c r="C2327" s="13" t="str">
        <f>HYPERLINK("https://audio.iskcondesiretree.com/02_-_ISKCON_Swamis/ISKCON_Swamis_-_R_to_Y/His_Holiness_Radhanath_Swami/Lectures/00_-_Year_wise/Devotional_Nectar_-_2007/2007_Various_-_Figure_of_Radharani_-_Radhanath_Swami.mp3", "2007_Various_-_Figure_of_Radharani_-_Radhanath_Swami.mp3")</f>
        <v>2007_Various_-_Figure_of_Radharani_-_Radhanath_Swami.mp3</v>
      </c>
      <c r="D2327" s="11"/>
      <c r="E2327" s="11"/>
    </row>
    <row r="2328" spans="1:5">
      <c r="A2328" s="12" t="s">
        <v>12462</v>
      </c>
      <c r="B2328" s="12" t="s">
        <v>15118</v>
      </c>
      <c r="C2328" s="13" t="str">
        <f>HYPERLINK("https://audio.iskcondesiretree.com/02_-_ISKCON_Swamis/ISKCON_Swamis_-_R_to_Y/His_Holiness_Radhanath_Swami/Lectures/00_-_Year_wise/Devotional_Nectar_-_2007/2007_Various_-_Finding_Spirituality_in_the_Agreement_-_Radhanath_Swami.mp3", "2007_Various_-_Finding_Spirituality_in_the_Agreement_-_Radhanath_Swami.mp3")</f>
        <v>2007_Various_-_Finding_Spirituality_in_the_Agreement_-_Radhanath_Swami.mp3</v>
      </c>
      <c r="D2328" s="11"/>
      <c r="E2328" s="11"/>
    </row>
    <row r="2329" spans="1:5">
      <c r="A2329" s="12" t="s">
        <v>12462</v>
      </c>
      <c r="B2329" s="12" t="s">
        <v>15119</v>
      </c>
      <c r="C2329" s="13" t="str">
        <f>HYPERLINK("https://audio.iskcondesiretree.com/02_-_ISKCON_Swamis/ISKCON_Swamis_-_R_to_Y/His_Holiness_Radhanath_Swami/Lectures/00_-_Year_wise/Devotional_Nectar_-_2007/2007_Various_-_Glory_of_the_Holy_Name_-_Radhanath_Swami.mp3", "2007_Various_-_Glory_of_the_Holy_Name_-_Radhanath_Swami.mp3")</f>
        <v>2007_Various_-_Glory_of_the_Holy_Name_-_Radhanath_Swami.mp3</v>
      </c>
      <c r="D2329" s="11"/>
      <c r="E2329" s="11"/>
    </row>
    <row r="2330" spans="1:5">
      <c r="A2330" s="12" t="s">
        <v>12462</v>
      </c>
      <c r="B2330" s="12" t="s">
        <v>15120</v>
      </c>
      <c r="C2330" s="13" t="str">
        <f>HYPERLINK("https://audio.iskcondesiretree.com/02_-_ISKCON_Swamis/ISKCON_Swamis_-_R_to_Y/His_Holiness_Radhanath_Swami/Lectures/00_-_Year_wise/Devotional_Nectar_-_2007/2007_Various_-_Learning_to_Love_-_Radhanath_Swami.mp3", "2007_Various_-_Learning_to_Love_-_Radhanath_Swami.mp3")</f>
        <v>2007_Various_-_Learning_to_Love_-_Radhanath_Swami.mp3</v>
      </c>
      <c r="D2330" s="11"/>
      <c r="E2330" s="11"/>
    </row>
    <row r="2331" spans="1:5">
      <c r="A2331" s="12" t="s">
        <v>12462</v>
      </c>
      <c r="B2331" s="12" t="s">
        <v>15121</v>
      </c>
      <c r="C2331" s="13" t="str">
        <f>HYPERLINK("https://audio.iskcondesiretree.com/02_-_ISKCON_Swamis/ISKCON_Swamis_-_R_to_Y/His_Holiness_Radhanath_Swami/Lectures/00_-_Year_wise/Devotional_Nectar_-_2007/2007_Various_-_Life_of_Haridas_Thakur_-_Radhanath_Swami.mp3", "2007_Various_-_Life_of_Haridas_Thakur_-_Radhanath_Swami.mp3")</f>
        <v>2007_Various_-_Life_of_Haridas_Thakur_-_Radhanath_Swami.mp3</v>
      </c>
      <c r="D2331" s="11"/>
      <c r="E2331" s="11"/>
    </row>
    <row r="2332" spans="1:5">
      <c r="A2332" s="12" t="s">
        <v>12462</v>
      </c>
      <c r="B2332" s="12" t="s">
        <v>15122</v>
      </c>
      <c r="C2332" s="13" t="str">
        <f>HYPERLINK("https://audio.iskcondesiretree.com/02_-_ISKCON_Swamis/ISKCON_Swamis_-_R_to_Y/His_Holiness_Radhanath_Swami/Lectures/00_-_Year_wise/Devotional_Nectar_-_2007/2007_Various_-_Meaning_of_Marriage_-_Radhanath_Swami.mp3", "2007_Various_-_Meaning_of_Marriage_-_Radhanath_Swami.mp3")</f>
        <v>2007_Various_-_Meaning_of_Marriage_-_Radhanath_Swami.mp3</v>
      </c>
      <c r="D2332" s="11"/>
      <c r="E2332" s="11"/>
    </row>
    <row r="2333" spans="1:5">
      <c r="A2333" s="12" t="s">
        <v>12462</v>
      </c>
      <c r="B2333" s="12" t="s">
        <v>15123</v>
      </c>
      <c r="C2333" s="13" t="str">
        <f>HYPERLINK("https://audio.iskcondesiretree.com/02_-_ISKCON_Swamis/ISKCON_Swamis_-_R_to_Y/His_Holiness_Radhanath_Swami/Lectures/00_-_Year_wise/Devotional_Nectar_-_2007/2007_Various_-_Nature_Teaches_-_Radhanath_Swami.mp3", "2007_Various_-_Nature_Teaches_-_Radhanath_Swami.mp3")</f>
        <v>2007_Various_-_Nature_Teaches_-_Radhanath_Swami.mp3</v>
      </c>
      <c r="D2333" s="11"/>
      <c r="E2333" s="11"/>
    </row>
    <row r="2334" spans="1:5">
      <c r="A2334" s="12" t="s">
        <v>12462</v>
      </c>
      <c r="B2334" s="12" t="s">
        <v>15124</v>
      </c>
      <c r="C2334" s="13" t="str">
        <f>HYPERLINK("https://audio.iskcondesiretree.com/02_-_ISKCON_Swamis/ISKCON_Swamis_-_R_to_Y/His_Holiness_Radhanath_Swami/Lectures/00_-_Year_wise/Devotional_Nectar_-_2007/2007_Various_-_Pride_Kills_Devotion_-_Radhanath_Swami.mp3", "2007_Various_-_Pride_Kills_Devotion_-_Radhanath_Swami.mp3")</f>
        <v>2007_Various_-_Pride_Kills_Devotion_-_Radhanath_Swami.mp3</v>
      </c>
      <c r="D2334" s="11"/>
      <c r="E2334" s="11"/>
    </row>
    <row r="2335" spans="1:5">
      <c r="A2335" s="12" t="s">
        <v>12462</v>
      </c>
      <c r="B2335" s="12" t="s">
        <v>15125</v>
      </c>
      <c r="C2335" s="13" t="str">
        <f>HYPERLINK("https://audio.iskcondesiretree.com/02_-_ISKCON_Swamis/ISKCON_Swamis_-_R_to_Y/His_Holiness_Radhanath_Swami/Lectures/00_-_Year_wise/Devotional_Nectar_-_2007/2007_Various_-_Sacrifice_for_Others_-_Radhanath_Swami.mp3", "2007_Various_-_Sacrifice_for_Others_-_Radhanath_Swami.mp3")</f>
        <v>2007_Various_-_Sacrifice_for_Others_-_Radhanath_Swami.mp3</v>
      </c>
      <c r="D2335" s="11"/>
      <c r="E2335" s="11"/>
    </row>
    <row r="2336" spans="1:5">
      <c r="A2336" s="12" t="s">
        <v>12462</v>
      </c>
      <c r="B2336" s="12" t="s">
        <v>15126</v>
      </c>
      <c r="C2336" s="13" t="str">
        <f>HYPERLINK("https://audio.iskcondesiretree.com/02_-_ISKCON_Swamis/ISKCON_Swamis_-_R_to_Y/His_Holiness_Radhanath_Swami/Lectures/00_-_Year_wise/Devotional_Nectar_-_2007/2007_Various_-_Servant_of_the_Servant_-_Radhanath_Swami.mp3", "2007_Various_-_Servant_of_the_Servant_-_Radhanath_Swami.mp3")</f>
        <v>2007_Various_-_Servant_of_the_Servant_-_Radhanath_Swami.mp3</v>
      </c>
      <c r="D2336" s="11"/>
      <c r="E2336" s="11"/>
    </row>
    <row r="2337" spans="1:5">
      <c r="A2337" s="12" t="s">
        <v>12462</v>
      </c>
      <c r="B2337" s="12" t="s">
        <v>15127</v>
      </c>
      <c r="C2337" s="13" t="str">
        <f>HYPERLINK("https://audio.iskcondesiretree.com/02_-_ISKCON_Swamis/ISKCON_Swamis_-_R_to_Y/His_Holiness_Radhanath_Swami/Lectures/00_-_Year_wise/Devotional_Nectar_-_2007/2007_Various_-_Speeches_in_Naimisharanya_-_Radhanath_Swami.mp3", "2007_Various_-_Speeches_in_Naimisharanya_-_Radhanath_Swami.mp3")</f>
        <v>2007_Various_-_Speeches_in_Naimisharanya_-_Radhanath_Swami.mp3</v>
      </c>
      <c r="D2337" s="11"/>
      <c r="E2337" s="11"/>
    </row>
    <row r="2338" spans="1:5">
      <c r="A2338" s="12" t="s">
        <v>12462</v>
      </c>
      <c r="B2338" s="12" t="e">
        <v>#VALUE!</v>
      </c>
      <c r="C2338" s="13" t="e">
        <f>HYPERLINK("https://audio.iskcondesiretree.com/02_-_ISKCON_Swamis/ISKCON_Swamis_-_R_to_Y/His_Holiness_Radhanath_Swami/Lectures/00_-_Year_wise/Devotional_Nectar_-_2007/2007_Various_-_Sunday-Feast_Srila_Prabhupada_Says_that_KC_is_not_a_Artificial_Imposition_on_Mind_-_R"&amp;"NS.mp3", "2007_Various_-_Sunday-Feast_Srila_Prabhupada_Says_that_KC_is_not_a_Artificial_Imposition_on_Mind_-_RNS.mp3")</f>
        <v>#VALUE!</v>
      </c>
      <c r="D2338" s="11"/>
      <c r="E2338" s="11"/>
    </row>
    <row r="2339" spans="1:5">
      <c r="A2339" s="12" t="s">
        <v>12462</v>
      </c>
      <c r="B2339" s="12" t="s">
        <v>15128</v>
      </c>
      <c r="C2339" s="13" t="str">
        <f>HYPERLINK("https://audio.iskcondesiretree.com/02_-_ISKCON_Swamis/ISKCON_Swamis_-_R_to_Y/His_Holiness_Radhanath_Swami/Lectures/00_-_Year_wise/Devotional_Nectar_-_2007/2007_Various_-_Surrender_of_Bali_Maharaj_-_Radhanath_Swami.mp3", "2007_Various_-_Surrender_of_Bali_Maharaj_-_Radhanath_Swami.mp3")</f>
        <v>2007_Various_-_Surrender_of_Bali_Maharaj_-_Radhanath_Swami.mp3</v>
      </c>
      <c r="D2339" s="11"/>
      <c r="E2339" s="11"/>
    </row>
    <row r="2340" spans="1:5">
      <c r="A2340" s="12" t="s">
        <v>12462</v>
      </c>
      <c r="B2340" s="12" t="s">
        <v>15129</v>
      </c>
      <c r="C2340" s="13" t="str">
        <f>HYPERLINK("https://audio.iskcondesiretree.com/02_-_ISKCON_Swamis/ISKCON_Swamis_-_R_to_Y/His_Holiness_Radhanath_Swami/Lectures/00_-_Year_wise/Devotional_Nectar_-_2008/08-01-05_Art_Of_Mind_Control_%28SB-7_2_47%29_HH_Radhanath_Swami.mp3", "08-01-05_Art_Of_Mind_Control_%28SB-7_2_47%29_HH_Radhanath_Swami.mp3")</f>
        <v>08-01-05_Art_Of_Mind_Control_%28SB-7_2_47%29_HH_Radhanath_Swami.mp3</v>
      </c>
      <c r="D2340" s="11"/>
      <c r="E2340" s="11"/>
    </row>
    <row r="2341" spans="1:5">
      <c r="A2341" s="12" t="s">
        <v>12462</v>
      </c>
      <c r="B2341" s="12" t="s">
        <v>15130</v>
      </c>
      <c r="C2341" s="13" t="str">
        <f>HYPERLINK("https://audio.iskcondesiretree.com/02_-_ISKCON_Swamis/ISKCON_Swamis_-_R_to_Y/His_Holiness_Radhanath_Swami/Lectures/00_-_Year_wise/Devotional_Nectar_-_2008/08-01-06_Stop_Dreaming_Wake_-_Up_%21_%28SB-7_2_48%29_HH_Radhanath_Swami.mp3", "08-01-06_Stop_Dreaming_Wake_-_Up_%21_%28SB-7_2_48%29_HH_Radhanath_Swami.mp3")</f>
        <v>08-01-06_Stop_Dreaming_Wake_-_Up_%21_%28SB-7_2_48%29_HH_Radhanath_Swami.mp3</v>
      </c>
      <c r="D2341" s="11"/>
      <c r="E2341" s="11"/>
    </row>
    <row r="2342" spans="1:5">
      <c r="A2342" s="12" t="s">
        <v>12462</v>
      </c>
      <c r="B2342" s="12" t="e">
        <v>#VALUE!</v>
      </c>
      <c r="C2342" s="13" t="e">
        <f>HYPERLINK("https://audio.iskcondesiretree.com/02_-_ISKCON_Swamis/ISKCON_Swamis_-_R_to_Y/His_Holiness_Radhanath_Swami/Lectures/00_-_Year_wise/Devotional_Nectar_-_2008/08-01-06_Uddharan_Dutta_The_Saviour_Of_fallen_%28Sunday_Feast%29_Radhanth_Swami_Nara_Narayana_Prabhu"&amp;".mp3", "08-01-06_Uddharan_Dutta_The_Saviour_Of_fallen_%28Sunday_Feast%29_Radhanth_Swami_Nara_Narayana_Prabhu.mp3")</f>
        <v>#VALUE!</v>
      </c>
      <c r="D2342" s="11"/>
      <c r="E2342" s="11"/>
    </row>
    <row r="2343" spans="1:5">
      <c r="A2343" s="12" t="s">
        <v>12462</v>
      </c>
      <c r="B2343" s="12" t="s">
        <v>15131</v>
      </c>
      <c r="C2343" s="13" t="str">
        <f>HYPERLINK("https://audio.iskcondesiretree.com/02_-_ISKCON_Swamis/ISKCON_Swamis_-_R_to_Y/His_Holiness_Radhanath_Swami/Lectures/00_-_Year_wise/Devotional_Nectar_-_2008/2008-01-03_Sankirtan_Festival_2008_with_HG_Mahamuni_Pr_-_Radhanath_Swami.mp3", "2008-01-03_Sankirtan_Festival_2008_with_HG_Mahamuni_Pr_-_Radhanath_Swami.mp3")</f>
        <v>2008-01-03_Sankirtan_Festival_2008_with_HG_Mahamuni_Pr_-_Radhanath_Swami.mp3</v>
      </c>
      <c r="D2343" s="11"/>
      <c r="E2343" s="11"/>
    </row>
    <row r="2344" spans="1:5">
      <c r="A2344" s="12" t="s">
        <v>12462</v>
      </c>
      <c r="B2344" s="12" t="s">
        <v>15132</v>
      </c>
      <c r="C2344" s="13" t="str">
        <f>HYPERLINK("https://audio.iskcondesiretree.com/02_-_ISKCON_Swamis/ISKCON_Swamis_-_R_to_Y/His_Holiness_Radhanath_Swami/Lectures/00_-_Year_wise/Devotional_Nectar_-_2008/2008-01-05_Art_Of_Mind_Control_SB-07-02-47_-_Radhanath_Swami_IDesiretree.mp3", "2008-01-05_Art_Of_Mind_Control_SB-07-02-47_-_Radhanath_Swami_IDesiretree.mp3")</f>
        <v>2008-01-05_Art_Of_Mind_Control_SB-07-02-47_-_Radhanath_Swami_IDesiretree.mp3</v>
      </c>
      <c r="D2344" s="11"/>
      <c r="E2344" s="11"/>
    </row>
    <row r="2345" spans="1:5">
      <c r="A2345" s="12" t="s">
        <v>12462</v>
      </c>
      <c r="B2345" s="12" t="s">
        <v>15133</v>
      </c>
      <c r="C2345" s="13" t="str">
        <f>HYPERLINK("https://audio.iskcondesiretree.com/02_-_ISKCON_Swamis/ISKCON_Swamis_-_R_to_Y/His_Holiness_Radhanath_Swami/Lectures/00_-_Year_wise/Devotional_Nectar_-_2008/2008-01-05_Mid_Day_Meal_Program_-_Radhanath_Swami_IDesireTree.mp3", "2008-01-05_Mid_Day_Meal_Program_-_Radhanath_Swami_IDesireTree.mp3")</f>
        <v>2008-01-05_Mid_Day_Meal_Program_-_Radhanath_Swami_IDesireTree.mp3</v>
      </c>
      <c r="D2345" s="11"/>
      <c r="E2345" s="11"/>
    </row>
    <row r="2346" spans="1:5">
      <c r="A2346" s="12" t="s">
        <v>12462</v>
      </c>
      <c r="B2346" s="12" t="s">
        <v>15134</v>
      </c>
      <c r="C2346" s="13" t="str">
        <f>HYPERLINK("https://audio.iskcondesiretree.com/02_-_ISKCON_Swamis/ISKCON_Swamis_-_R_to_Y/His_Holiness_Radhanath_Swami/Lectures/00_-_Year_wise/Devotional_Nectar_-_2008/2008-01-06_Stop_Dreaming_Wake_-_Up_%21_SB-07-02-48_-_Radhanath_Swami_IDesireTree.mp3", "2008-01-06_Stop_Dreaming_Wake_-_Up_%21_SB-07-02-48_-_Radhanath_Swami_IDesireTree.mp3")</f>
        <v>2008-01-06_Stop_Dreaming_Wake_-_Up_%21_SB-07-02-48_-_Radhanath_Swami_IDesireTree.mp3</v>
      </c>
      <c r="D2346" s="11"/>
      <c r="E2346" s="11"/>
    </row>
    <row r="2347" spans="1:5">
      <c r="A2347" s="12" t="s">
        <v>12462</v>
      </c>
      <c r="B2347" s="12" t="s">
        <v>15135</v>
      </c>
      <c r="C2347" s="13" t="str">
        <f>HYPERLINK("https://audio.iskcondesiretree.com/02_-_ISKCON_Swamis/ISKCON_Swamis_-_R_to_Y/His_Holiness_Radhanath_Swami/Lectures/00_-_Year_wise/Devotional_Nectar_-_2008/2008-01-10_BhaktiVedant_Hospital-Annual_Day%20Celebration_-_Radhanath_Swami_2008_IDesireTree.mp3", "2008-01-10_BhaktiVedant_Hospital-Annual_Day%20Celebration_-_Radhanath_Swami_2008_IDesireTree.mp3")</f>
        <v>2008-01-10_BhaktiVedant_Hospital-Annual_Day%20Celebration_-_Radhanath_Swami_2008_IDesireTree.mp3</v>
      </c>
      <c r="D2347" s="11"/>
      <c r="E2347" s="11"/>
    </row>
    <row r="2348" spans="1:5">
      <c r="A2348" s="12" t="s">
        <v>12462</v>
      </c>
      <c r="B2348" s="12" t="s">
        <v>15136</v>
      </c>
      <c r="C2348" s="13" t="str">
        <f>HYPERLINK("https://audio.iskcondesiretree.com/02_-_ISKCON_Swamis/ISKCON_Swamis_-_R_to_Y/His_Holiness_Radhanath_Swami/Lectures/00_-_Year_wise/Devotional_Nectar_-_2008/2008-01-11_Rath_Yatra_In_Iraq_-_Radhanath_Swami_IDesireTree.mp3", "2008-01-11_Rath_Yatra_In_Iraq_-_Radhanath_Swami_IDesireTree.mp3")</f>
        <v>2008-01-11_Rath_Yatra_In_Iraq_-_Radhanath_Swami_IDesireTree.mp3</v>
      </c>
      <c r="D2348" s="11"/>
      <c r="E2348" s="11"/>
    </row>
    <row r="2349" spans="1:5">
      <c r="A2349" s="12" t="s">
        <v>12462</v>
      </c>
      <c r="B2349" s="12" t="s">
        <v>15137</v>
      </c>
      <c r="C2349" s="13" t="str">
        <f>HYPERLINK("https://audio.iskcondesiretree.com/02_-_ISKCON_Swamis/ISKCON_Swamis_-_R_to_Y/His_Holiness_Radhanath_Swami/Lectures/00_-_Year_wise/Devotional_Nectar_-_2008/2008-01-12_Anomalies_Of_Modern_Civilization_SB-07-02-59-60_-_Radhanath_Swami_IDesireTree.mp3", "2008-01-12_Anomalies_Of_Modern_Civilization_SB-07-02-59-60_-_Radhanath_Swami_IDesireTree.mp3")</f>
        <v>2008-01-12_Anomalies_Of_Modern_Civilization_SB-07-02-59-60_-_Radhanath_Swami_IDesireTree.mp3</v>
      </c>
      <c r="D2349" s="11"/>
      <c r="E2349" s="11"/>
    </row>
    <row r="2350" spans="1:5">
      <c r="A2350" s="12" t="s">
        <v>12462</v>
      </c>
      <c r="B2350" s="12" t="s">
        <v>15138</v>
      </c>
      <c r="C2350" s="13" t="str">
        <f>HYPERLINK("https://audio.iskcondesiretree.com/02_-_ISKCON_Swamis/ISKCON_Swamis_-_R_to_Y/His_Holiness_Radhanath_Swami/Lectures/00_-_Year_wise/Devotional_Nectar_-_2008/2008-01-13_Clear_Intelligence_Comes_From_Sincerity_SB-07-02-61_-_Radhanath_Swami_IDesireTree.mp3", "2008-01-13_Clear_Intelligence_Comes_From_Sincerity_SB-07-02-61_-_Radhanath_Swami_IDesireTree.mp3")</f>
        <v>2008-01-13_Clear_Intelligence_Comes_From_Sincerity_SB-07-02-61_-_Radhanath_Swami_IDesireTree.mp3</v>
      </c>
      <c r="D2350" s="11"/>
      <c r="E2350" s="11"/>
    </row>
    <row r="2351" spans="1:5">
      <c r="A2351" s="12" t="s">
        <v>12462</v>
      </c>
      <c r="B2351" s="12" t="s">
        <v>15139</v>
      </c>
      <c r="C2351" s="13" t="str">
        <f>HYPERLINK("https://audio.iskcondesiretree.com/02_-_ISKCON_Swamis/ISKCON_Swamis_-_R_to_Y/His_Holiness_Radhanath_Swami/Lectures/00_-_Year_wise/Devotional_Nectar_-_2008/2008-01-13_Gauranga_Takes_Sannyas_Sunday_Feast_-_Radhanath_Swami_IDesireTree.mp3", "2008-01-13_Gauranga_Takes_Sannyas_Sunday_Feast_-_Radhanath_Swami_IDesireTree.mp3")</f>
        <v>2008-01-13_Gauranga_Takes_Sannyas_Sunday_Feast_-_Radhanath_Swami_IDesireTree.mp3</v>
      </c>
      <c r="D2351" s="11"/>
      <c r="E2351" s="11"/>
    </row>
    <row r="2352" spans="1:5">
      <c r="A2352" s="12" t="s">
        <v>12462</v>
      </c>
      <c r="B2352" s="12" t="s">
        <v>15140</v>
      </c>
      <c r="C2352" s="13" t="str">
        <f>HYPERLINK("https://audio.iskcondesiretree.com/02_-_ISKCON_Swamis/ISKCON_Swamis_-_R_to_Y/His_Holiness_Radhanath_Swami/Lectures/00_-_Year_wise/Devotional_Nectar_-_2008/2008-01-14_Making_Marriage_Divine_-_Radhanath_Swami_IDesireTree.mp3", "2008-01-14_Making_Marriage_Divine_-_Radhanath_Swami_IDesireTree.mp3")</f>
        <v>2008-01-14_Making_Marriage_Divine_-_Radhanath_Swami_IDesireTree.mp3</v>
      </c>
      <c r="D2352" s="11"/>
      <c r="E2352" s="11"/>
    </row>
    <row r="2353" spans="1:5">
      <c r="A2353" s="12" t="s">
        <v>12462</v>
      </c>
      <c r="B2353" s="12" t="s">
        <v>15141</v>
      </c>
      <c r="C2353" s="13" t="str">
        <f>HYPERLINK("https://audio.iskcondesiretree.com/02_-_ISKCON_Swamis/ISKCON_Swamis_-_R_to_Y/His_Holiness_Radhanath_Swami/Lectures/00_-_Year_wise/Devotional_Nectar_-_2008/2008-01-18_Enriching_Our_Lives_By_Divine_Qualities_Birla_House_-_Radhanath_Swami_IDesireTree.mp3", "2008-01-18_Enriching_Our_Lives_By_Divine_Qualities_Birla_House_-_Radhanath_Swami_IDesireTree.mp3")</f>
        <v>2008-01-18_Enriching_Our_Lives_By_Divine_Qualities_Birla_House_-_Radhanath_Swami_IDesireTree.mp3</v>
      </c>
      <c r="D2353" s="11"/>
      <c r="E2353" s="11"/>
    </row>
    <row r="2354" spans="1:5">
      <c r="A2354" s="12" t="s">
        <v>12462</v>
      </c>
      <c r="B2354" s="12" t="s">
        <v>15142</v>
      </c>
      <c r="C2354" s="13" t="str">
        <f>HYPERLINK("https://audio.iskcondesiretree.com/02_-_ISKCON_Swamis/ISKCON_Swamis_-_R_to_Y/His_Holiness_Radhanath_Swami/Lectures/00_-_Year_wise/Devotional_Nectar_-_2008/2008-01-19_Love_Me_-_Love_My_Cows_SB-07-03-13_-_Radhanath_Swami_IDesireTree.mp3", "2008-01-19_Love_Me_-_Love_My_Cows_SB-07-03-13_-_Radhanath_Swami_IDesireTree.mp3")</f>
        <v>2008-01-19_Love_Me_-_Love_My_Cows_SB-07-03-13_-_Radhanath_Swami_IDesireTree.mp3</v>
      </c>
      <c r="D2354" s="11"/>
      <c r="E2354" s="11"/>
    </row>
    <row r="2355" spans="1:5">
      <c r="A2355" s="12" t="s">
        <v>12462</v>
      </c>
      <c r="B2355" s="12" t="s">
        <v>15143</v>
      </c>
      <c r="C2355" s="13" t="str">
        <f>HYPERLINK("https://audio.iskcondesiretree.com/02_-_ISKCON_Swamis/ISKCON_Swamis_-_R_to_Y/His_Holiness_Radhanath_Swami/Lectures/00_-_Year_wise/Devotional_Nectar_-_2008/2008-02-19_Nityananda_Katha_CC_Adi_lila-05_-_Radhanath_Swami_IDesireTree.mp3", "2008-02-19_Nityananda_Katha_CC_Adi_lila-05_-_Radhanath_Swami_IDesireTree.mp3")</f>
        <v>2008-02-19_Nityananda_Katha_CC_Adi_lila-05_-_Radhanath_Swami_IDesireTree.mp3</v>
      </c>
      <c r="D2355" s="11"/>
      <c r="E2355" s="11"/>
    </row>
    <row r="2356" spans="1:5">
      <c r="A2356" s="12" t="s">
        <v>12462</v>
      </c>
      <c r="B2356" s="12" t="s">
        <v>15144</v>
      </c>
      <c r="C2356" s="13" t="str">
        <f>HYPERLINK("https://audio.iskcondesiretree.com/02_-_ISKCON_Swamis/ISKCON_Swamis_-_R_to_Y/His_Holiness_Radhanath_Swami/Lectures/00_-_Year_wise/Devotional_Nectar_-_2008/2008-02-19_Nityananda_Katha_CC_Adilila_05-204_-_Radhanath_Swami_IDesireTree.MP3", "2008-02-19_Nityananda_Katha_CC_Adilila_05-204_-_Radhanath_Swami_IDesireTree.MP3")</f>
        <v>2008-02-19_Nityananda_Katha_CC_Adilila_05-204_-_Radhanath_Swami_IDesireTree.MP3</v>
      </c>
      <c r="D2356" s="11"/>
      <c r="E2356" s="11"/>
    </row>
    <row r="2357" spans="1:5">
      <c r="A2357" s="12" t="s">
        <v>12462</v>
      </c>
      <c r="B2357" s="12" t="s">
        <v>15145</v>
      </c>
      <c r="C2357" s="13" t="str">
        <f>HYPERLINK("https://audio.iskcondesiretree.com/02_-_ISKCON_Swamis/ISKCON_Swamis_-_R_to_Y/His_Holiness_Radhanath_Swami/Lectures/00_-_Year_wise/Devotional_Nectar_-_2008/2008-03-06_Kolkata_IYF_IDesireTree_-_Radhanath_Swami.mp3", "2008-03-06_Kolkata_IYF_IDesireTree_-_Radhanath_Swami.mp3")</f>
        <v>2008-03-06_Kolkata_IYF_IDesireTree_-_Radhanath_Swami.mp3</v>
      </c>
      <c r="D2357" s="11"/>
      <c r="E2357" s="11"/>
    </row>
    <row r="2358" spans="1:5">
      <c r="A2358" s="12" t="s">
        <v>12462</v>
      </c>
      <c r="B2358" s="12" t="s">
        <v>15146</v>
      </c>
      <c r="C2358" s="13" t="str">
        <f>HYPERLINK("https://audio.iskcondesiretree.com/02_-_ISKCON_Swamis/ISKCON_Swamis_-_R_to_Y/His_Holiness_Radhanath_Swami/Lectures/00_-_Year_wise/Devotional_Nectar_-_2008/2008-03-07_Kolkata_SB-04_IDesireTree_-_Radhanath_Swami.mp3", "2008-03-07_Kolkata_SB-04_IDesireTree_-_Radhanath_Swami.mp3")</f>
        <v>2008-03-07_Kolkata_SB-04_IDesireTree_-_Radhanath_Swami.mp3</v>
      </c>
      <c r="D2358" s="11"/>
      <c r="E2358" s="11"/>
    </row>
    <row r="2359" spans="1:5">
      <c r="A2359" s="12" t="s">
        <v>12462</v>
      </c>
      <c r="B2359" s="12" t="s">
        <v>15147</v>
      </c>
      <c r="C2359" s="13" t="str">
        <f>HYPERLINK("https://audio.iskcondesiretree.com/02_-_ISKCON_Swamis/ISKCON_Swamis_-_R_to_Y/His_Holiness_Radhanath_Swami/Lectures/00_-_Year_wise/Devotional_Nectar_-_2008/2008-03-08_Who_Is_A_Vaisnava_SB-07-04-33_-_Radhanath_Swami_IDesireTree.mp3", "2008-03-08_Who_Is_A_Vaisnava_SB-07-04-33_-_Radhanath_Swami_IDesireTree.mp3")</f>
        <v>2008-03-08_Who_Is_A_Vaisnava_SB-07-04-33_-_Radhanath_Swami_IDesireTree.mp3</v>
      </c>
      <c r="D2359" s="11"/>
      <c r="E2359" s="11"/>
    </row>
    <row r="2360" spans="1:5">
      <c r="A2360" s="12" t="s">
        <v>12462</v>
      </c>
      <c r="B2360" s="12" t="s">
        <v>15148</v>
      </c>
      <c r="C2360" s="13" t="str">
        <f>HYPERLINK("https://audio.iskcondesiretree.com/02_-_ISKCON_Swamis/ISKCON_Swamis_-_R_to_Y/His_Holiness_Radhanath_Swami/Lectures/00_-_Year_wise/Devotional_Nectar_-_2008/2008-03-09_Antidote_Of_Envy_Is_Appreciation_SB-07-04-34_-_Radhanath_Swami_IDesireTree.mp3", "2008-03-09_Antidote_Of_Envy_Is_Appreciation_SB-07-04-34_-_Radhanath_Swami_IDesireTree.mp3")</f>
        <v>2008-03-09_Antidote_Of_Envy_Is_Appreciation_SB-07-04-34_-_Radhanath_Swami_IDesireTree.mp3</v>
      </c>
      <c r="D2360" s="11"/>
      <c r="E2360" s="11"/>
    </row>
    <row r="2361" spans="1:5">
      <c r="A2361" s="12" t="s">
        <v>12462</v>
      </c>
      <c r="B2361" s="12" t="s">
        <v>15149</v>
      </c>
      <c r="C2361" s="13" t="str">
        <f>HYPERLINK("https://audio.iskcondesiretree.com/02_-_ISKCON_Swamis/ISKCON_Swamis_-_R_to_Y/His_Holiness_Radhanath_Swami/Lectures/00_-_Year_wise/Devotional_Nectar_-_2008/2008-03-10_Marriage%20Address_HG_Ananda_Krsna_Pr_%26_Sunayna_-_Radhanath_Swami_IDesireTree.mp3", "2008-03-10_Marriage%20Address_HG_Ananda_Krsna_Pr_%26_Sunayna_-_Radhanath_Swami_IDesireTree.mp3")</f>
        <v>2008-03-10_Marriage%20Address_HG_Ananda_Krsna_Pr_%26_Sunayna_-_Radhanath_Swami_IDesireTree.mp3</v>
      </c>
      <c r="D2361" s="11"/>
      <c r="E2361" s="11"/>
    </row>
    <row r="2362" spans="1:5">
      <c r="A2362" s="12" t="s">
        <v>12462</v>
      </c>
      <c r="B2362" s="12" t="s">
        <v>15150</v>
      </c>
      <c r="C2362" s="13" t="str">
        <f>HYPERLINK("https://audio.iskcondesiretree.com/02_-_ISKCON_Swamis/ISKCON_Swamis_-_R_to_Y/His_Holiness_Radhanath_Swami/Lectures/00_-_Year_wise/Devotional_Nectar_-_2008/2008-03-20_Parallels_Of_Prahlad%27s_Mood_In_Gura_Lila_SB-07-04-44_-_Radhanath_Swami_IDesireTree.mp3", "2008-03-20_Parallels_Of_Prahlad%27s_Mood_In_Gura_Lila_SB-07-04-44_-_Radhanath_Swami_IDesireTree.mp3")</f>
        <v>2008-03-20_Parallels_Of_Prahlad%27s_Mood_In_Gura_Lila_SB-07-04-44_-_Radhanath_Swami_IDesireTree.mp3</v>
      </c>
      <c r="D2362" s="11"/>
      <c r="E2362" s="11"/>
    </row>
    <row r="2363" spans="1:5">
      <c r="A2363" s="12" t="s">
        <v>12462</v>
      </c>
      <c r="B2363" s="12" t="s">
        <v>15151</v>
      </c>
      <c r="C2363" s="13" t="str">
        <f>HYPERLINK("https://audio.iskcondesiretree.com/02_-_ISKCON_Swamis/ISKCON_Swamis_-_R_to_Y/His_Holiness_Radhanath_Swami/Lectures/00_-_Year_wise/Devotional_Nectar_-_2008/2008-03-21_Evening_Lecture_-_Radhanath_Swami_IDesireTree.mp3", "2008-03-21_Evening_Lecture_-_Radhanath_Swami_IDesireTree.mp3")</f>
        <v>2008-03-21_Evening_Lecture_-_Radhanath_Swami_IDesireTree.mp3</v>
      </c>
      <c r="D2363" s="11"/>
      <c r="E2363" s="11"/>
    </row>
    <row r="2364" spans="1:5">
      <c r="A2364" s="12" t="s">
        <v>12462</v>
      </c>
      <c r="B2364" s="12" t="s">
        <v>15152</v>
      </c>
      <c r="C2364" s="13" t="str">
        <f>HYPERLINK("https://audio.iskcondesiretree.com/02_-_ISKCON_Swamis/ISKCON_Swamis_-_R_to_Y/His_Holiness_Radhanath_Swami/Lectures/00_-_Year_wise/Devotional_Nectar_-_2008/2008-03-21_Gaur_pournima_Eve_Lecture_-_Radhanath_Swami_IDesireTree.mp3", "2008-03-21_Gaur_pournima_Eve_Lecture_-_Radhanath_Swami_IDesireTree.mp3")</f>
        <v>2008-03-21_Gaur_pournima_Eve_Lecture_-_Radhanath_Swami_IDesireTree.mp3</v>
      </c>
      <c r="D2364" s="11"/>
      <c r="E2364" s="11"/>
    </row>
    <row r="2365" spans="1:5">
      <c r="A2365" s="12" t="s">
        <v>12462</v>
      </c>
      <c r="B2365" s="12" t="s">
        <v>15153</v>
      </c>
      <c r="C2365" s="13" t="str">
        <f>HYPERLINK("https://audio.iskcondesiretree.com/02_-_ISKCON_Swamis/ISKCON_Swamis_-_R_to_Y/His_Holiness_Radhanath_Swami/Lectures/00_-_Year_wise/Devotional_Nectar_-_2008/2008-03-21_Gay_Gorachand_Jive_Tare_-_Radhanath_Swami_IDesireTree.mp3", "2008-03-21_Gay_Gorachand_Jive_Tare_-_Radhanath_Swami_IDesireTree.mp3")</f>
        <v>2008-03-21_Gay_Gorachand_Jive_Tare_-_Radhanath_Swami_IDesireTree.mp3</v>
      </c>
      <c r="D2365" s="11"/>
      <c r="E2365" s="11"/>
    </row>
    <row r="2366" spans="1:5">
      <c r="A2366" s="12" t="s">
        <v>12462</v>
      </c>
      <c r="B2366" s="12" t="s">
        <v>15154</v>
      </c>
      <c r="C2366" s="13" t="str">
        <f>HYPERLINK("https://audio.iskcondesiretree.com/02_-_ISKCON_Swamis/ISKCON_Swamis_-_R_to_Y/His_Holiness_Radhanath_Swami/Lectures/00_-_Year_wise/Devotional_Nectar_-_2008/2008-03-21_Lord_Caitanya_Visits_Vrnindavan_CC_Madhya_-_Radhanath_Swami_IDesireTree.mp3", "2008-03-21_Lord_Caitanya_Visits_Vrnindavan_CC_Madhya_-_Radhanath_Swami_IDesireTree.mp3")</f>
        <v>2008-03-21_Lord_Caitanya_Visits_Vrnindavan_CC_Madhya_-_Radhanath_Swami_IDesireTree.mp3</v>
      </c>
      <c r="D2366" s="11"/>
      <c r="E2366" s="11"/>
    </row>
    <row r="2367" spans="1:5">
      <c r="A2367" s="12" t="s">
        <v>12462</v>
      </c>
      <c r="B2367" s="12" t="s">
        <v>15155</v>
      </c>
      <c r="C2367" s="13" t="str">
        <f>HYPERLINK("https://audio.iskcondesiretree.com/02_-_ISKCON_Swamis/ISKCON_Swamis_-_R_to_Y/His_Holiness_Radhanath_Swami/Lectures/00_-_Year_wise/Devotional_Nectar_-_2008/2008-03-22_First_Gaura_Pournima_Celebration_-_Radhanath_Swami_IDesireTree.mp3", "2008-03-22_First_Gaura_Pournima_Celebration_-_Radhanath_Swami_IDesireTree.mp3")</f>
        <v>2008-03-22_First_Gaura_Pournima_Celebration_-_Radhanath_Swami_IDesireTree.mp3</v>
      </c>
      <c r="D2367" s="11"/>
      <c r="E2367" s="11"/>
    </row>
    <row r="2368" spans="1:5">
      <c r="A2368" s="12" t="s">
        <v>12462</v>
      </c>
      <c r="B2368" s="12" t="s">
        <v>15156</v>
      </c>
      <c r="C2368" s="13" t="str">
        <f>HYPERLINK("https://audio.iskcondesiretree.com/02_-_ISKCON_Swamis/ISKCON_Swamis_-_R_to_Y/His_Holiness_Radhanath_Swami/Lectures/00_-_Year_wise/Devotional_Nectar_-_2008/2008-03-23_Fortune_Of_A_Genuine_Beggar_Sunday_Feast_-_Radhanath_Swami_IDesireTree.mp3", "2008-03-23_Fortune_Of_A_Genuine_Beggar_Sunday_Feast_-_Radhanath_Swami_IDesireTree.mp3")</f>
        <v>2008-03-23_Fortune_Of_A_Genuine_Beggar_Sunday_Feast_-_Radhanath_Swami_IDesireTree.mp3</v>
      </c>
      <c r="D2368" s="11"/>
      <c r="E2368" s="11"/>
    </row>
    <row r="2369" spans="1:5">
      <c r="A2369" s="12" t="s">
        <v>12462</v>
      </c>
      <c r="B2369" s="12" t="s">
        <v>15157</v>
      </c>
      <c r="C2369" s="13" t="str">
        <f>HYPERLINK("https://audio.iskcondesiretree.com/02_-_ISKCON_Swamis/ISKCON_Swamis_-_R_to_Y/His_Holiness_Radhanath_Swami/Lectures/00_-_Year_wise/Devotional_Nectar_-_2008/2008-03-26_Devotees_Do_not_Create_Enemies_SB-07-05-03_-_Radhanath_Swami_IDesireTree.mp3", "2008-03-26_Devotees_Do_not_Create_Enemies_SB-07-05-03_-_Radhanath_Swami_IDesireTree.mp3")</f>
        <v>2008-03-26_Devotees_Do_not_Create_Enemies_SB-07-05-03_-_Radhanath_Swami_IDesireTree.mp3</v>
      </c>
      <c r="D2369" s="11"/>
      <c r="E2369" s="11"/>
    </row>
    <row r="2370" spans="1:5">
      <c r="A2370" s="12" t="s">
        <v>12462</v>
      </c>
      <c r="B2370" s="12" t="s">
        <v>15158</v>
      </c>
      <c r="C2370" s="13" t="str">
        <f>HYPERLINK("https://audio.iskcondesiretree.com/02_-_ISKCON_Swamis/ISKCON_Swamis_-_R_to_Y/His_Holiness_Radhanath_Swami/Lectures/00_-_Year_wise/Devotional_Nectar_-_2008/2008-04-13_Realisations_On_The_Banks_Of_Ganges_Sunday_Feast_-_Radhanath_Swami_IDesireTree.mp3", "2008-04-13_Realisations_On_The_Banks_Of_Ganges_Sunday_Feast_-_Radhanath_Swami_IDesireTree.mp3")</f>
        <v>2008-04-13_Realisations_On_The_Banks_Of_Ganges_Sunday_Feast_-_Radhanath_Swami_IDesireTree.mp3</v>
      </c>
      <c r="D2370" s="11"/>
      <c r="E2370" s="11"/>
    </row>
    <row r="2371" spans="1:5">
      <c r="A2371" s="12" t="s">
        <v>12462</v>
      </c>
      <c r="B2371" s="12" t="s">
        <v>15159</v>
      </c>
      <c r="C2371" s="13" t="str">
        <f>HYPERLINK("https://audio.iskcondesiretree.com/02_-_ISKCON_Swamis/ISKCON_Swamis_-_R_to_Y/His_Holiness_Radhanath_Swami/Lectures/00_-_Year_wise/Devotional_Nectar_-_2008/2008-04-13_Setting_Life%27s_Priorities_Without_Complacency_-_Radhanath_Swami_IDesireTree.mp3", "2008-04-13_Setting_Life%27s_Priorities_Without_Complacency_-_Radhanath_Swami_IDesireTree.mp3")</f>
        <v>2008-04-13_Setting_Life%27s_Priorities_Without_Complacency_-_Radhanath_Swami_IDesireTree.mp3</v>
      </c>
      <c r="D2371" s="11"/>
      <c r="E2371" s="11"/>
    </row>
    <row r="2372" spans="1:5">
      <c r="A2372" s="12" t="s">
        <v>12462</v>
      </c>
      <c r="B2372" s="12" t="s">
        <v>15160</v>
      </c>
      <c r="C2372" s="13" t="str">
        <f>HYPERLINK("https://audio.iskcondesiretree.com/02_-_ISKCON_Swamis/ISKCON_Swamis_-_R_to_Y/His_Holiness_Radhanath_Swami/Lectures/00_-_Year_wise/Devotional_Nectar_-_2008/2008-04-15_Eve_Lecture_HT_-_Radhanath_Swami_IDesireTree.mp3", "2008-04-15_Eve_Lecture_HT_-_Radhanath_Swami_IDesireTree.mp3")</f>
        <v>2008-04-15_Eve_Lecture_HT_-_Radhanath_Swami_IDesireTree.mp3</v>
      </c>
      <c r="D2372" s="11"/>
      <c r="E2372" s="11"/>
    </row>
    <row r="2373" spans="1:5">
      <c r="A2373" s="12" t="s">
        <v>12462</v>
      </c>
      <c r="B2373" s="12" t="s">
        <v>15161</v>
      </c>
      <c r="C2373" s="13" t="str">
        <f>HYPERLINK("https://audio.iskcondesiretree.com/02_-_ISKCON_Swamis/ISKCON_Swamis_-_R_to_Y/His_Holiness_Radhanath_Swami/Lectures/00_-_Year_wise/Devotional_Nectar_-_2008/2008-04-17_Initiation_Lecture_HT_-_Radhanath_Swami_IDesireTree.mp3", "2008-04-17_Initiation_Lecture_HT_-_Radhanath_Swami_IDesireTree.mp3")</f>
        <v>2008-04-17_Initiation_Lecture_HT_-_Radhanath_Swami_IDesireTree.mp3</v>
      </c>
      <c r="D2373" s="11"/>
      <c r="E2373" s="11"/>
    </row>
    <row r="2374" spans="1:5">
      <c r="A2374" s="12" t="s">
        <v>12462</v>
      </c>
      <c r="B2374" s="12" t="s">
        <v>15162</v>
      </c>
      <c r="C2374" s="13" t="str">
        <f>HYPERLINK("https://audio.iskcondesiretree.com/02_-_ISKCON_Swamis/ISKCON_Swamis_-_R_to_Y/His_Holiness_Radhanath_Swami/Lectures/00_-_Year_wise/Devotional_Nectar_-_2008/2008-04-17_Service_With_Co-operation-01_HT_-_Radhanath_Swami_IDesireTree.mp3", "2008-04-17_Service_With_Co-operation-01_HT_-_Radhanath_Swami_IDesireTree.mp3")</f>
        <v>2008-04-17_Service_With_Co-operation-01_HT_-_Radhanath_Swami_IDesireTree.mp3</v>
      </c>
      <c r="D2374" s="11"/>
      <c r="E2374" s="11"/>
    </row>
    <row r="2375" spans="1:5">
      <c r="A2375" s="12" t="s">
        <v>12462</v>
      </c>
      <c r="B2375" s="12" t="s">
        <v>15163</v>
      </c>
      <c r="C2375" s="13" t="str">
        <f>HYPERLINK("https://audio.iskcondesiretree.com/02_-_ISKCON_Swamis/ISKCON_Swamis_-_R_to_Y/His_Holiness_Radhanath_Swami/Lectures/00_-_Year_wise/Devotional_Nectar_-_2008/2008-04-17_Serving_With_Co-operation-02_HT_-_Radhanath_Swami_IDesireTree.mp3", "2008-04-17_Serving_With_Co-operation-02_HT_-_Radhanath_Swami_IDesireTree.mp3")</f>
        <v>2008-04-17_Serving_With_Co-operation-02_HT_-_Radhanath_Swami_IDesireTree.mp3</v>
      </c>
      <c r="D2375" s="11"/>
      <c r="E2375" s="11"/>
    </row>
    <row r="2376" spans="1:5">
      <c r="A2376" s="12" t="s">
        <v>12462</v>
      </c>
      <c r="B2376" s="12" t="s">
        <v>15164</v>
      </c>
      <c r="C2376" s="13" t="str">
        <f>HYPERLINK("https://audio.iskcondesiretree.com/02_-_ISKCON_Swamis/ISKCON_Swamis_-_R_to_Y/His_Holiness_Radhanath_Swami/Lectures/00_-_Year_wise/Devotional_Nectar_-_2008/2008-04-18_Lecture_at_Kolhapur_MT_-_Radhanath_Swami_IDesireTree.mp3", "2008-04-18_Lecture_at_Kolhapur_MT_-_Radhanath_Swami_IDesireTree.mp3")</f>
        <v>2008-04-18_Lecture_at_Kolhapur_MT_-_Radhanath_Swami_IDesireTree.mp3</v>
      </c>
      <c r="D2376" s="11"/>
      <c r="E2376" s="11"/>
    </row>
    <row r="2377" spans="1:5">
      <c r="A2377" s="12" t="s">
        <v>12462</v>
      </c>
      <c r="B2377" s="12" t="s">
        <v>15165</v>
      </c>
      <c r="C2377" s="13" t="str">
        <f>HYPERLINK("https://audio.iskcondesiretree.com/02_-_ISKCON_Swamis/ISKCON_Swamis_-_R_to_Y/His_Holiness_Radhanath_Swami/Lectures/00_-_Year_wise/Devotional_Nectar_-_2008/2008-04-20_Glories_Of_Sri_Hanuman_Sunday_Feast_-_Radhanath_Swami_IDesireTree.mp3", "2008-04-20_Glories_Of_Sri_Hanuman_Sunday_Feast_-_Radhanath_Swami_IDesireTree.mp3")</f>
        <v>2008-04-20_Glories_Of_Sri_Hanuman_Sunday_Feast_-_Radhanath_Swami_IDesireTree.mp3</v>
      </c>
      <c r="D2377" s="11"/>
      <c r="E2377" s="11"/>
    </row>
    <row r="2378" spans="1:5">
      <c r="A2378" s="12" t="s">
        <v>12462</v>
      </c>
      <c r="B2378" s="12" t="s">
        <v>15166</v>
      </c>
      <c r="C2378" s="13" t="str">
        <f>HYPERLINK("https://audio.iskcondesiretree.com/02_-_ISKCON_Swamis/ISKCON_Swamis_-_R_to_Y/His_Holiness_Radhanath_Swami/Lectures/00_-_Year_wise/Devotional_Nectar_-_2008/2008-04-22_History_Of_Rath_Yatra_Gopal%27s_Fun_School_Rath_Yatra_-_Radhanath_Swami_IDesireTree.mp3", "2008-04-22_History_Of_Rath_Yatra_Gopal%27s_Fun_School_Rath_Yatra_-_Radhanath_Swami_IDesireTree.mp3")</f>
        <v>2008-04-22_History_Of_Rath_Yatra_Gopal%27s_Fun_School_Rath_Yatra_-_Radhanath_Swami_IDesireTree.mp3</v>
      </c>
      <c r="D2378" s="11"/>
      <c r="E2378" s="11"/>
    </row>
    <row r="2379" spans="1:5">
      <c r="A2379" s="12" t="s">
        <v>12462</v>
      </c>
      <c r="B2379" s="12" t="s">
        <v>15167</v>
      </c>
      <c r="C2379" s="13" t="str">
        <f>HYPERLINK("https://audio.iskcondesiretree.com/02_-_ISKCON_Swamis/ISKCON_Swamis_-_R_to_Y/His_Holiness_Radhanath_Swami/Lectures/00_-_Year_wise/Devotional_Nectar_-_2008/2008-05-07_SB_06-04-26_-_Radhanath_Sw_Bhaktivedanta_Manor.mp3", "2008-05-07_SB_06-04-26_-_Radhanath_Sw_Bhaktivedanta_Manor.mp3")</f>
        <v>2008-05-07_SB_06-04-26_-_Radhanath_Sw_Bhaktivedanta_Manor.mp3</v>
      </c>
      <c r="D2379" s="11"/>
      <c r="E2379" s="11"/>
    </row>
    <row r="2380" spans="1:5">
      <c r="A2380" s="12" t="s">
        <v>12462</v>
      </c>
      <c r="B2380" s="12" t="s">
        <v>15168</v>
      </c>
      <c r="C2380" s="13" t="str">
        <f>HYPERLINK("https://audio.iskcondesiretree.com/02_-_ISKCON_Swamis/ISKCON_Swamis_-_R_to_Y/His_Holiness_Radhanath_Swami/Lectures/00_-_Year_wise/Devotional_Nectar_-_2008/2008-08-30_SB_04-29-47_-_Radhanath_Swami_Los_Angeles.mp3", "2008-08-30_SB_04-29-47_-_Radhanath_Swami_Los_Angeles.mp3")</f>
        <v>2008-08-30_SB_04-29-47_-_Radhanath_Swami_Los_Angeles.mp3</v>
      </c>
      <c r="D2380" s="11"/>
      <c r="E2380" s="11"/>
    </row>
    <row r="2381" spans="1:5">
      <c r="A2381" s="12" t="s">
        <v>12462</v>
      </c>
      <c r="B2381" s="12" t="s">
        <v>15169</v>
      </c>
      <c r="C2381" s="13" t="str">
        <f>HYPERLINK("https://audio.iskcondesiretree.com/02_-_ISKCON_Swamis/ISKCON_Swamis_-_R_to_Y/His_Holiness_Radhanath_Swami/Lectures/00_-_Year_wise/Devotional_Nectar_-_2008/2008-08-31_Festivals_-_Initiation_Ceremony_-_Radhanath_Swami_Los_Angeles.mp3", "2008-08-31_Festivals_-_Initiation_Ceremony_-_Radhanath_Swami_Los_Angeles.mp3")</f>
        <v>2008-08-31_Festivals_-_Initiation_Ceremony_-_Radhanath_Swami_Los_Angeles.mp3</v>
      </c>
      <c r="D2381" s="11"/>
      <c r="E2381" s="11"/>
    </row>
    <row r="2382" spans="1:5">
      <c r="A2382" s="12" t="s">
        <v>12462</v>
      </c>
      <c r="B2382" s="12" t="s">
        <v>15170</v>
      </c>
      <c r="C2382" s="13" t="str">
        <f>HYPERLINK("https://audio.iskcondesiretree.com/02_-_ISKCON_Swamis/ISKCON_Swamis_-_R_to_Y/His_Holiness_Radhanath_Swami/Lectures/00_-_Year_wise/Devotional_Nectar_-_2008/2008-08-31_Various_-_Sunday_Feast-Everyone_is_seeking_pleasure_-_Radhanath_Swami_Los_Angeles.mp3", "2008-08-31_Various_-_Sunday_Feast-Everyone_is_seeking_pleasure_-_Radhanath_Swami_Los_Angeles.mp3")</f>
        <v>2008-08-31_Various_-_Sunday_Feast-Everyone_is_seeking_pleasure_-_Radhanath_Swami_Los_Angeles.mp3</v>
      </c>
      <c r="D2382" s="11"/>
      <c r="E2382" s="11"/>
    </row>
    <row r="2383" spans="1:5">
      <c r="A2383" s="12" t="s">
        <v>12462</v>
      </c>
      <c r="B2383" s="12" t="s">
        <v>15171</v>
      </c>
      <c r="C2383" s="13" t="str">
        <f>HYPERLINK("https://audio.iskcondesiretree.com/02_-_ISKCON_Swamis/ISKCON_Swamis_-_R_to_Y/His_Holiness_Radhanath_Swami/Lectures/00_-_Year_wise/Devotional_Nectar_-_2008/2008-09-02_SB_04-29-49_-_Radhanath_Swami_Los_Angeles.mp3", "2008-09-02_SB_04-29-49_-_Radhanath_Swami_Los_Angeles.mp3")</f>
        <v>2008-09-02_SB_04-29-49_-_Radhanath_Swami_Los_Angeles.mp3</v>
      </c>
      <c r="D2383" s="11"/>
      <c r="E2383" s="11"/>
    </row>
    <row r="2384" spans="1:5">
      <c r="A2384" s="12" t="s">
        <v>12462</v>
      </c>
      <c r="B2384" s="12" t="e">
        <v>#VALUE!</v>
      </c>
      <c r="C2384" s="13" t="e">
        <f>HYPERLINK("https://audio.iskcondesiretree.com/02_-_ISKCON_Swamis/ISKCON_Swamis_-_R_to_Y/His_Holiness_Radhanath_Swami/Lectures/00_-_Year_wise/Devotional_Nectar_-_2008/2008-10-05_Various_-_Supreme_lord_krishna_descends_in_this_age_of_kali_as_CM_-_RNS_Bhaktivedanta_Man"&amp;"or.mp3", "2008-10-05_Various_-_Supreme_lord_krishna_descends_in_this_age_of_kali_as_CM_-_RNS_Bhaktivedanta_Manor.mp3")</f>
        <v>#VALUE!</v>
      </c>
      <c r="D2384" s="11"/>
      <c r="E2384" s="11"/>
    </row>
    <row r="2385" spans="1:5">
      <c r="A2385" s="12" t="s">
        <v>12462</v>
      </c>
      <c r="B2385" s="12" t="s">
        <v>15172</v>
      </c>
      <c r="C2385" s="13" t="str">
        <f>HYPERLINK("https://audio.iskcondesiretree.com/02_-_ISKCON_Swamis/ISKCON_Swamis_-_R_to_Y/His_Holiness_Radhanath_Swami/Lectures/00_-_Year_wise/Devotional_Nectar_-_2008/2008-10-07_SB_06-08-34-42_-_Radhanath_Sw_Bhaktivedanta_Manor.mp3", "2008-10-07_SB_06-08-34-42_-_Radhanath_Sw_Bhaktivedanta_Manor.mp3")</f>
        <v>2008-10-07_SB_06-08-34-42_-_Radhanath_Sw_Bhaktivedanta_Manor.mp3</v>
      </c>
      <c r="D2385" s="11"/>
      <c r="E2385" s="11"/>
    </row>
    <row r="2386" spans="1:5">
      <c r="A2386" s="12" t="s">
        <v>12462</v>
      </c>
      <c r="B2386" s="12" t="s">
        <v>15173</v>
      </c>
      <c r="C2386" s="13" t="str">
        <f>HYPERLINK("https://audio.iskcondesiretree.com/02_-_ISKCON_Swamis/ISKCON_Swamis_-_R_to_Y/His_Holiness_Radhanath_Swami/Lectures/00_-_Year_wise/Devotional_Nectar_-_2008/2008-10-26_-_A_Learned_Person_is_one_whos_sees_everyone_equal_-_San_Diego.mp3", "2008-10-26_-_A_Learned_Person_is_one_whos_sees_everyone_equal_-_San_Diego.mp3")</f>
        <v>2008-10-26_-_A_Learned_Person_is_one_whos_sees_everyone_equal_-_San_Diego.mp3</v>
      </c>
      <c r="D2386" s="11"/>
      <c r="E2386" s="11"/>
    </row>
    <row r="2387" spans="1:5">
      <c r="A2387" s="12" t="s">
        <v>12462</v>
      </c>
      <c r="B2387" s="12" t="s">
        <v>15174</v>
      </c>
      <c r="C2387" s="13" t="str">
        <f>HYPERLINK("https://audio.iskcondesiretree.com/02_-_ISKCON_Swamis/ISKCON_Swamis_-_R_to_Y/His_Holiness_Radhanath_Swami/Lectures/00_-_Year_wise/Devotional_Nectar_-_2008/2008-10-28_-_Lecture_-_Laguna_Beach.mp3", "2008-10-28_-_Lecture_-_Laguna_Beach.mp3")</f>
        <v>2008-10-28_-_Lecture_-_Laguna_Beach.mp3</v>
      </c>
      <c r="D2387" s="11"/>
      <c r="E2387" s="11"/>
    </row>
    <row r="2388" spans="1:5">
      <c r="A2388" s="12" t="s">
        <v>12462</v>
      </c>
      <c r="B2388" s="12" t="s">
        <v>15175</v>
      </c>
      <c r="C2388" s="13" t="str">
        <f>HYPERLINK("https://audio.iskcondesiretree.com/02_-_ISKCON_Swamis/ISKCON_Swamis_-_R_to_Y/His_Holiness_Radhanath_Swami/Lectures/00_-_Year_wise/Devotional_Nectar_-_2008/2008-10-29_-_Narayan%27s_Home_-_San_Diego.mp3", "2008-10-29_-_Narayan%27s_Home_-_San_Diego.mp3")</f>
        <v>2008-10-29_-_Narayan%27s_Home_-_San_Diego.mp3</v>
      </c>
      <c r="D2388" s="11"/>
      <c r="E2388" s="11"/>
    </row>
    <row r="2389" spans="1:5">
      <c r="A2389" s="12" t="s">
        <v>12462</v>
      </c>
      <c r="B2389" s="12" t="s">
        <v>15176</v>
      </c>
      <c r="C2389" s="13" t="str">
        <f>HYPERLINK("https://audio.iskcondesiretree.com/02_-_ISKCON_Swamis/ISKCON_Swamis_-_R_to_Y/His_Holiness_Radhanath_Swami/Lectures/00_-_Year_wise/Devotional_Nectar_-_2008/2008-11-13_Creating_Culture_Of_Vrindavan_-_ISKCON_Juhu_-_Radhanath_Swami_IDesireTree.mp3", "2008-11-13_Creating_Culture_Of_Vrindavan_-_ISKCON_Juhu_-_Radhanath_Swami_IDesireTree.mp3")</f>
        <v>2008-11-13_Creating_Culture_Of_Vrindavan_-_ISKCON_Juhu_-_Radhanath_Swami_IDesireTree.mp3</v>
      </c>
      <c r="D2389" s="11"/>
      <c r="E2389" s="11"/>
    </row>
    <row r="2390" spans="1:5">
      <c r="A2390" s="12" t="s">
        <v>12462</v>
      </c>
      <c r="B2390" s="12" t="s">
        <v>15177</v>
      </c>
      <c r="C2390" s="13" t="str">
        <f>HYPERLINK("https://audio.iskcondesiretree.com/02_-_ISKCON_Swamis/ISKCON_Swamis_-_R_to_Y/His_Holiness_Radhanath_Swami/Lectures/00_-_Year_wise/Devotional_Nectar_-_2008/2008-11-26_A_True_Love_Story_SB-07-09-51-52_ISKCON_Chowpatty_-_Radhanath_Swami_IDesireTree.mp3", "2008-11-26_A_True_Love_Story_SB-07-09-51-52_ISKCON_Chowpatty_-_Radhanath_Swami_IDesireTree.mp3")</f>
        <v>2008-11-26_A_True_Love_Story_SB-07-09-51-52_ISKCON_Chowpatty_-_Radhanath_Swami_IDesireTree.mp3</v>
      </c>
      <c r="D2390" s="11"/>
      <c r="E2390" s="11"/>
    </row>
    <row r="2391" spans="1:5">
      <c r="A2391" s="12" t="s">
        <v>12462</v>
      </c>
      <c r="B2391" s="12" t="s">
        <v>15178</v>
      </c>
      <c r="C2391" s="13" t="str">
        <f>HYPERLINK("https://audio.iskcondesiretree.com/02_-_ISKCON_Swamis/ISKCON_Swamis_-_R_to_Y/His_Holiness_Radhanath_Swami/Lectures/00_-_Year_wise/Devotional_Nectar_-_2008/2008_Various_-_Be_not_Bees_Flies_-_Radhanath_Swami.mp3", "2008_Various_-_Be_not_Bees_Flies_-_Radhanath_Swami.mp3")</f>
        <v>2008_Various_-_Be_not_Bees_Flies_-_Radhanath_Swami.mp3</v>
      </c>
      <c r="D2391" s="11"/>
      <c r="E2391" s="11"/>
    </row>
    <row r="2392" spans="1:5">
      <c r="A2392" s="12" t="s">
        <v>12462</v>
      </c>
      <c r="B2392" s="12" t="s">
        <v>15179</v>
      </c>
      <c r="C2392" s="13" t="str">
        <f>HYPERLINK("https://audio.iskcondesiretree.com/02_-_ISKCON_Swamis/ISKCON_Swamis_-_R_to_Y/His_Holiness_Radhanath_Swami/Lectures/00_-_Year_wise/Devotional_Nectar_-_2008/2008_Various_-_Compassion_of_Srila_Prabhupada_-_Radhanath_Swami.mp3", "2008_Various_-_Compassion_of_Srila_Prabhupada_-_Radhanath_Swami.mp3")</f>
        <v>2008_Various_-_Compassion_of_Srila_Prabhupada_-_Radhanath_Swami.mp3</v>
      </c>
      <c r="D2392" s="11"/>
      <c r="E2392" s="11"/>
    </row>
    <row r="2393" spans="1:5">
      <c r="A2393" s="12" t="s">
        <v>12462</v>
      </c>
      <c r="B2393" s="12" t="s">
        <v>15180</v>
      </c>
      <c r="C2393" s="13" t="str">
        <f>HYPERLINK("https://audio.iskcondesiretree.com/02_-_ISKCON_Swamis/ISKCON_Swamis_-_R_to_Y/His_Holiness_Radhanath_Swami/Lectures/00_-_Year_wise/Devotional_Nectar_-_2008/2008_Various_-_Foundations_of_Devotional_Service_-_Radhanath_Swami.mp3", "2008_Various_-_Foundations_of_Devotional_Service_-_Radhanath_Swami.mp3")</f>
        <v>2008_Various_-_Foundations_of_Devotional_Service_-_Radhanath_Swami.mp3</v>
      </c>
      <c r="D2393" s="11"/>
      <c r="E2393" s="11"/>
    </row>
    <row r="2394" spans="1:5">
      <c r="A2394" s="12" t="s">
        <v>12462</v>
      </c>
      <c r="B2394" s="12" t="s">
        <v>15181</v>
      </c>
      <c r="C2394" s="13" t="str">
        <f>HYPERLINK("https://audio.iskcondesiretree.com/02_-_ISKCON_Swamis/ISKCON_Swamis_-_R_to_Y/His_Holiness_Radhanath_Swami/Lectures/00_-_Year_wise/Devotional_Nectar_-_2008/2008_Various_-_How_to_Prevent_Mad_Elephant_-_Radhanath_Swami.mp3", "2008_Various_-_How_to_Prevent_Mad_Elephant_-_Radhanath_Swami.mp3")</f>
        <v>2008_Various_-_How_to_Prevent_Mad_Elephant_-_Radhanath_Swami.mp3</v>
      </c>
      <c r="D2394" s="11"/>
      <c r="E2394" s="11"/>
    </row>
    <row r="2395" spans="1:5">
      <c r="A2395" s="12" t="s">
        <v>12462</v>
      </c>
      <c r="B2395" s="12" t="s">
        <v>15182</v>
      </c>
      <c r="C2395" s="13" t="str">
        <f>HYPERLINK("https://audio.iskcondesiretree.com/02_-_ISKCON_Swamis/ISKCON_Swamis_-_R_to_Y/His_Holiness_Radhanath_Swami/Lectures/00_-_Year_wise/Devotional_Nectar_-_2008/2008_Various_-_Matter_of_Conscience_-_Radhanath_Swami.mp3", "2008_Various_-_Matter_of_Conscience_-_Radhanath_Swami.mp3")</f>
        <v>2008_Various_-_Matter_of_Conscience_-_Radhanath_Swami.mp3</v>
      </c>
      <c r="D2395" s="11"/>
      <c r="E2395" s="11"/>
    </row>
    <row r="2396" spans="1:5">
      <c r="A2396" s="12" t="s">
        <v>12462</v>
      </c>
      <c r="B2396" s="12" t="s">
        <v>15183</v>
      </c>
      <c r="C2396" s="13" t="str">
        <f>HYPERLINK("https://audio.iskcondesiretree.com/02_-_ISKCON_Swamis/ISKCON_Swamis_-_R_to_Y/His_Holiness_Radhanath_Swami/Lectures/00_-_Year_wise/Devotional_Nectar_-_2008/2008_Various_-_The_Real_need_is_Love_and_be_Loved_-_Radhanath_Swami.mp3", "2008_Various_-_The_Real_need_is_Love_and_be_Loved_-_Radhanath_Swami.mp3")</f>
        <v>2008_Various_-_The_Real_need_is_Love_and_be_Loved_-_Radhanath_Swami.mp3</v>
      </c>
      <c r="D2396" s="11"/>
      <c r="E2396" s="11"/>
    </row>
    <row r="2397" spans="1:5">
      <c r="A2397" s="12" t="s">
        <v>12462</v>
      </c>
      <c r="B2397" s="12" t="s">
        <v>15184</v>
      </c>
      <c r="C2397" s="13" t="str">
        <f>HYPERLINK("https://audio.iskcondesiretree.com/02_-_ISKCON_Swamis/ISKCON_Swamis_-_R_to_Y/His_Holiness_Radhanath_Swami/Lectures/00_-_Year_wise/Devotional_Nectar_-_2008/2008_Various_-_The_Real_Step_is_in_the_Heart_-_Radhanath_Swami.mp3", "2008_Various_-_The_Real_Step_is_in_the_Heart_-_Radhanath_Swami.mp3")</f>
        <v>2008_Various_-_The_Real_Step_is_in_the_Heart_-_Radhanath_Swami.mp3</v>
      </c>
      <c r="D2397" s="11"/>
      <c r="E2397" s="11"/>
    </row>
    <row r="2398" spans="1:5">
      <c r="A2398" s="12" t="s">
        <v>12462</v>
      </c>
      <c r="B2398" s="12" t="s">
        <v>15185</v>
      </c>
      <c r="C2398" s="13" t="str">
        <f>HYPERLINK("https://audio.iskcondesiretree.com/02_-_ISKCON_Swamis/ISKCON_Swamis_-_R_to_Y/His_Holiness_Radhanath_Swami/Lectures/00_-_Year_wise/Devotional_Nectar_-_2009/2009-01-04_Festivals_-_Ratha_Yatra_-_Radhanath_Swami_ISKCON_Nigdi.mp3", "2009-01-04_Festivals_-_Ratha_Yatra_-_Radhanath_Swami_ISKCON_Nigdi.mp3")</f>
        <v>2009-01-04_Festivals_-_Ratha_Yatra_-_Radhanath_Swami_ISKCON_Nigdi.mp3</v>
      </c>
      <c r="D2398" s="11"/>
      <c r="E2398" s="11"/>
    </row>
    <row r="2399" spans="1:5">
      <c r="A2399" s="12" t="s">
        <v>12462</v>
      </c>
      <c r="B2399" s="12" t="s">
        <v>15186</v>
      </c>
      <c r="C2399" s="13" t="str">
        <f>HYPERLINK("https://audio.iskcondesiretree.com/02_-_ISKCON_Swamis/ISKCON_Swamis_-_R_to_Y/His_Holiness_Radhanath_Swami/Lectures/00_-_Year_wise/Devotional_Nectar_-_2009/2009-01-10_Misery_Is_For_Everyone_SB-07-10-52-59_ISKCON_Chowpatty_-_Radhanath_Swami_IDesireTree.mp3", "2009-01-10_Misery_Is_For_Everyone_SB-07-10-52-59_ISKCON_Chowpatty_-_Radhanath_Swami_IDesireTree.mp3")</f>
        <v>2009-01-10_Misery_Is_For_Everyone_SB-07-10-52-59_ISKCON_Chowpatty_-_Radhanath_Swami_IDesireTree.mp3</v>
      </c>
      <c r="D2399" s="11"/>
      <c r="E2399" s="11"/>
    </row>
    <row r="2400" spans="1:5">
      <c r="A2400" s="12" t="s">
        <v>12462</v>
      </c>
      <c r="B2400" s="12" t="s">
        <v>15187</v>
      </c>
      <c r="C2400" s="13" t="str">
        <f>HYPERLINK("https://audio.iskcondesiretree.com/02_-_ISKCON_Swamis/ISKCON_Swamis_-_R_to_Y/His_Holiness_Radhanath_Swami/Lectures/00_-_Year_wise/Devotional_Nectar_-_2009/2009-02-04_SB_07-13-29_-_Winning_the_Game_of_Life_-_Radhanath_Swami.mp3", "2009-02-04_SB_07-13-29_-_Winning_the_Game_of_Life_-_Radhanath_Swami.mp3")</f>
        <v>2009-02-04_SB_07-13-29_-_Winning_the_Game_of_Life_-_Radhanath_Swami.mp3</v>
      </c>
      <c r="D2400" s="11"/>
      <c r="E2400" s="11"/>
    </row>
    <row r="2401" spans="1:5">
      <c r="A2401" s="12" t="s">
        <v>12462</v>
      </c>
      <c r="B2401" s="12" t="s">
        <v>15188</v>
      </c>
      <c r="C2401" s="13" t="str">
        <f>HYPERLINK("https://audio.iskcondesiretree.com/02_-_ISKCON_Swamis/ISKCON_Swamis_-_R_to_Y/His_Holiness_Radhanath_Swami/Lectures/00_-_Year_wise/Devotional_Nectar_-_2009/2009-02-07_Festivals_-_Unity_by_Focusing_on_Essence_-_Radhanath_Swami_Mumbai.mp3", "2009-02-07_Festivals_-_Unity_by_Focusing_on_Essence_-_Radhanath_Swami_Mumbai.mp3")</f>
        <v>2009-02-07_Festivals_-_Unity_by_Focusing_on_Essence_-_Radhanath_Swami_Mumbai.mp3</v>
      </c>
      <c r="D2401" s="11"/>
      <c r="E2401" s="11"/>
    </row>
    <row r="2402" spans="1:5">
      <c r="A2402" s="12" t="s">
        <v>12462</v>
      </c>
      <c r="B2402" s="12" t="s">
        <v>15189</v>
      </c>
      <c r="C2402" s="13" t="str">
        <f>HYPERLINK("https://audio.iskcondesiretree.com/02_-_ISKCON_Swamis/ISKCON_Swamis_-_R_to_Y/His_Holiness_Radhanath_Swami/Lectures/00_-_Year_wise/Devotional_Nectar_-_2009/2009-03-07_Various_-_In_Search_for_Krishna_-_Radhanath_Swami_MumbaiQA.mp3", "2009-03-07_Various_-_In_Search_for_Krishna_-_Radhanath_Swami_MumbaiQA.mp3")</f>
        <v>2009-03-07_Various_-_In_Search_for_Krishna_-_Radhanath_Swami_MumbaiQA.mp3</v>
      </c>
      <c r="D2402" s="11"/>
      <c r="E2402" s="11"/>
    </row>
    <row r="2403" spans="1:5">
      <c r="A2403" s="12" t="s">
        <v>12462</v>
      </c>
      <c r="B2403" s="12" t="s">
        <v>15190</v>
      </c>
      <c r="C2403" s="13" t="str">
        <f>HYPERLINK("https://audio.iskcondesiretree.com/02_-_ISKCON_Swamis/ISKCON_Swamis_-_R_to_Y/His_Holiness_Radhanath_Swami/Lectures/00_-_Year_wise/Devotional_Nectar_-_2009/2009-03-11_CC_Adi_Lila_17-32_-_Proper_Mood_for_Chanting_Hare_Krishna_-_Radhanath_Swami.mp3", "2009-03-11_CC_Adi_Lila_17-32_-_Proper_Mood_for_Chanting_Hare_Krishna_-_Radhanath_Swami.mp3")</f>
        <v>2009-03-11_CC_Adi_Lila_17-32_-_Proper_Mood_for_Chanting_Hare_Krishna_-_Radhanath_Swami.mp3</v>
      </c>
      <c r="D2403" s="11"/>
      <c r="E2403" s="11"/>
    </row>
    <row r="2404" spans="1:5">
      <c r="A2404" s="12" t="s">
        <v>12462</v>
      </c>
      <c r="B2404" s="12" t="s">
        <v>15191</v>
      </c>
      <c r="C2404" s="13" t="str">
        <f>HYPERLINK("https://audio.iskcondesiretree.com/02_-_ISKCON_Swamis/ISKCON_Swamis_-_R_to_Y/His_Holiness_Radhanath_Swami/Lectures/00_-_Year_wise/Devotional_Nectar_-_2009/2009-03-11_Festivals_-_Gaura_Poornima_-_Radhanath_Swami.mp3", "2009-03-11_Festivals_-_Gaura_Poornima_-_Radhanath_Swami.mp3")</f>
        <v>2009-03-11_Festivals_-_Gaura_Poornima_-_Radhanath_Swami.mp3</v>
      </c>
      <c r="D2404" s="11"/>
      <c r="E2404" s="11"/>
    </row>
    <row r="2405" spans="1:5">
      <c r="A2405" s="12" t="s">
        <v>12462</v>
      </c>
      <c r="B2405" s="12" t="s">
        <v>15192</v>
      </c>
      <c r="C2405" s="13" t="str">
        <f>HYPERLINK("https://audio.iskcondesiretree.com/02_-_ISKCON_Swamis/ISKCON_Swamis_-_R_to_Y/His_Holiness_Radhanath_Swami/Lectures/00_-_Year_wise/Devotional_Nectar_-_2009/2009-03-11_Festivals_-_Gaura_Purnima_-_Radhanath_Swami.mp3", "2009-03-11_Festivals_-_Gaura_Purnima_-_Radhanath_Swami.mp3")</f>
        <v>2009-03-11_Festivals_-_Gaura_Purnima_-_Radhanath_Swami.mp3</v>
      </c>
      <c r="D2405" s="11"/>
      <c r="E2405" s="11"/>
    </row>
    <row r="2406" spans="1:5">
      <c r="A2406" s="12" t="s">
        <v>12462</v>
      </c>
      <c r="B2406" s="12" t="s">
        <v>15193</v>
      </c>
      <c r="C2406" s="13" t="str">
        <f>HYPERLINK("https://audio.iskcondesiretree.com/02_-_ISKCON_Swamis/ISKCON_Swamis_-_R_to_Y/His_Holiness_Radhanath_Swami/Lectures/00_-_Year_wise/Devotional_Nectar_-_2009/2009-03-11_Various_-_Sannyasa_Initiation_of_Jagat_Cakshu_Prabhu_-_Radhanath_Swami_Mumbai.mp3", "2009-03-11_Various_-_Sannyasa_Initiation_of_Jagat_Cakshu_Prabhu_-_Radhanath_Swami_Mumbai.mp3")</f>
        <v>2009-03-11_Various_-_Sannyasa_Initiation_of_Jagat_Cakshu_Prabhu_-_Radhanath_Swami_Mumbai.mp3</v>
      </c>
      <c r="D2406" s="11"/>
      <c r="E2406" s="11"/>
    </row>
    <row r="2407" spans="1:5">
      <c r="A2407" s="12" t="s">
        <v>12462</v>
      </c>
      <c r="B2407" s="12" t="s">
        <v>15194</v>
      </c>
      <c r="C2407" s="13" t="str">
        <f>HYPERLINK("https://audio.iskcondesiretree.com/02_-_ISKCON_Swamis/ISKCON_Swamis_-_R_to_Y/His_Holiness_Radhanath_Swami/Lectures/00_-_Year_wise/Devotional_Nectar_-_2009/2009-03-14_Various_-_Power_of_Blesssings_-_Radhanath_Swami.mp3", "2009-03-14_Various_-_Power_of_Blesssings_-_Radhanath_Swami.mp3")</f>
        <v>2009-03-14_Various_-_Power_of_Blesssings_-_Radhanath_Swami.mp3</v>
      </c>
      <c r="D2407" s="11"/>
      <c r="E2407" s="11"/>
    </row>
    <row r="2408" spans="1:5">
      <c r="A2408" s="12" t="s">
        <v>12462</v>
      </c>
      <c r="B2408" s="12" t="s">
        <v>15195</v>
      </c>
      <c r="C2408" s="13" t="str">
        <f>HYPERLINK("https://audio.iskcondesiretree.com/02_-_ISKCON_Swamis/ISKCON_Swamis_-_R_to_Y/His_Holiness_Radhanath_Swami/Lectures/00_-_Year_wise/Devotional_Nectar_-_2009/2009-03-22_Baffled_In_Casino_Of_Maya_SB07-13-30_ISKCON_Chowpatty_-_Radhanath_Swami_IDesireTree.mp3", "2009-03-22_Baffled_In_Casino_Of_Maya_SB07-13-30_ISKCON_Chowpatty_-_Radhanath_Swami_IDesireTree.mp3")</f>
        <v>2009-03-22_Baffled_In_Casino_Of_Maya_SB07-13-30_ISKCON_Chowpatty_-_Radhanath_Swami_IDesireTree.mp3</v>
      </c>
      <c r="D2408" s="11"/>
      <c r="E2408" s="11"/>
    </row>
    <row r="2409" spans="1:5">
      <c r="A2409" s="12" t="s">
        <v>12462</v>
      </c>
      <c r="B2409" s="12" t="s">
        <v>15196</v>
      </c>
      <c r="C2409" s="13" t="str">
        <f>HYPERLINK("https://audio.iskcondesiretree.com/02_-_ISKCON_Swamis/ISKCON_Swamis_-_R_to_Y/His_Holiness_Radhanath_Swami/Lectures/00_-_Year_wise/Devotional_Nectar_-_2009/2009-03-25_Glories_of_Jayapataka_Swami_-_Radhanath_Sw_Bhaktivedanta_Manor.mp3", "2009-03-25_Glories_of_Jayapataka_Swami_-_Radhanath_Sw_Bhaktivedanta_Manor.mp3")</f>
        <v>2009-03-25_Glories_of_Jayapataka_Swami_-_Radhanath_Sw_Bhaktivedanta_Manor.mp3</v>
      </c>
      <c r="D2409" s="11"/>
      <c r="E2409" s="11"/>
    </row>
    <row r="2410" spans="1:5">
      <c r="A2410" s="12" t="s">
        <v>12462</v>
      </c>
      <c r="B2410" s="12" t="s">
        <v>15197</v>
      </c>
      <c r="C2410" s="13" t="str">
        <f>HYPERLINK("https://audio.iskcondesiretree.com/02_-_ISKCON_Swamis/ISKCON_Swamis_-_R_to_Y/His_Holiness_Radhanath_Swami/Lectures/00_-_Year_wise/Devotional_Nectar_-_2009/2009-08-05_Lord_Balaram_App_Day_-_Bhaktivedanta_Manor.mp3", "2009-08-05_Lord_Balaram_App_Day_-_Bhaktivedanta_Manor.mp3")</f>
        <v>2009-08-05_Lord_Balaram_App_Day_-_Bhaktivedanta_Manor.mp3</v>
      </c>
      <c r="D2410" s="11"/>
      <c r="E2410" s="11"/>
    </row>
    <row r="2411" spans="1:5">
      <c r="A2411" s="12" t="s">
        <v>12462</v>
      </c>
      <c r="B2411" s="12" t="s">
        <v>15198</v>
      </c>
      <c r="C2411" s="13" t="str">
        <f>HYPERLINK("https://audio.iskcondesiretree.com/02_-_ISKCON_Swamis/ISKCON_Swamis_-_R_to_Y/His_Holiness_Radhanath_Swami/Lectures/00_-_Year_wise/Devotional_Nectar_-_2009/2009-08-05_Lord_Balaram_App_Day_-_Radhanath_Swami_Bhaktivedanta_Manor.mp3", "2009-08-05_Lord_Balaram_App_Day_-_Radhanath_Swami_Bhaktivedanta_Manor.mp3")</f>
        <v>2009-08-05_Lord_Balaram_App_Day_-_Radhanath_Swami_Bhaktivedanta_Manor.mp3</v>
      </c>
      <c r="D2411" s="11"/>
      <c r="E2411" s="11"/>
    </row>
    <row r="2412" spans="1:5">
      <c r="A2412" s="12" t="s">
        <v>12462</v>
      </c>
      <c r="B2412" s="12" t="s">
        <v>15199</v>
      </c>
      <c r="C2412" s="13" t="str">
        <f>HYPERLINK("https://audio.iskcondesiretree.com/02_-_ISKCON_Swamis/ISKCON_Swamis_-_R_to_Y/His_Holiness_Radhanath_Swami/Lectures/00_-_Year_wise/Devotional_Nectar_-_2009/2009-08-09_Sunday_Feast_Hare_Krishna_Kirtan_ISKCON_Chowpatty_-_Radhanath_Swami_IDesireTree.mp3", "2009-08-09_Sunday_Feast_Hare_Krishna_Kirtan_ISKCON_Chowpatty_-_Radhanath_Swami_IDesireTree.mp3")</f>
        <v>2009-08-09_Sunday_Feast_Hare_Krishna_Kirtan_ISKCON_Chowpatty_-_Radhanath_Swami_IDesireTree.mp3</v>
      </c>
      <c r="D2412" s="11"/>
      <c r="E2412" s="11"/>
    </row>
    <row r="2413" spans="1:5">
      <c r="A2413" s="12" t="s">
        <v>12462</v>
      </c>
      <c r="B2413" s="12" t="s">
        <v>15200</v>
      </c>
      <c r="C2413" s="13" t="str">
        <f>HYPERLINK("https://audio.iskcondesiretree.com/02_-_ISKCON_Swamis/ISKCON_Swamis_-_R_to_Y/His_Holiness_Radhanath_Swami/Lectures/00_-_Year_wise/Devotional_Nectar_-_2009/2009-08-14_SB_10-03-27_-_Fulfilling_the_reason_for_Krishna%27s_Appearance_-_Radhanath_Swami.mp3", "2009-08-14_SB_10-03-27_-_Fulfilling_the_reason_for_Krishna%27s_Appearance_-_Radhanath_Swami.mp3")</f>
        <v>2009-08-14_SB_10-03-27_-_Fulfilling_the_reason_for_Krishna%27s_Appearance_-_Radhanath_Swami.mp3</v>
      </c>
      <c r="D2413" s="11"/>
      <c r="E2413" s="11"/>
    </row>
    <row r="2414" spans="1:5">
      <c r="A2414" s="12" t="s">
        <v>12462</v>
      </c>
      <c r="B2414" s="12" t="s">
        <v>15201</v>
      </c>
      <c r="C2414" s="13" t="str">
        <f>HYPERLINK("https://audio.iskcondesiretree.com/02_-_ISKCON_Swamis/ISKCON_Swamis_-_R_to_Y/His_Holiness_Radhanath_Swami/Lectures/00_-_Year_wise/Devotional_Nectar_-_2009/2009-08-22_The_Only_Secure_Investment_SB-08-02-33_ISKCON_Chowpatty_-_Radhanath_Swami_IDesireTree.mp3", "2009-08-22_The_Only_Secure_Investment_SB-08-02-33_ISKCON_Chowpatty_-_Radhanath_Swami_IDesireTree.mp3")</f>
        <v>2009-08-22_The_Only_Secure_Investment_SB-08-02-33_ISKCON_Chowpatty_-_Radhanath_Swami_IDesireTree.mp3</v>
      </c>
      <c r="D2414" s="11"/>
      <c r="E2414" s="11"/>
    </row>
    <row r="2415" spans="1:5">
      <c r="A2415" s="12" t="s">
        <v>12462</v>
      </c>
      <c r="B2415" s="12" t="s">
        <v>15202</v>
      </c>
      <c r="C2415" s="13" t="str">
        <f>HYPERLINK("https://audio.iskcondesiretree.com/02_-_ISKCON_Swamis/ISKCON_Swamis_-_R_to_Y/His_Holiness_Radhanath_Swami/Lectures/00_-_Year_wise/Devotional_Nectar_-_2009/2009-08-23_Krishna_Is_Always_Grateful_SB-08-03-01_ISKCON_Chowpatty_-_Radhanath_Swami_IDesireTree.mp3", "2009-08-23_Krishna_Is_Always_Grateful_SB-08-03-01_ISKCON_Chowpatty_-_Radhanath_Swami_IDesireTree.mp3")</f>
        <v>2009-08-23_Krishna_Is_Always_Grateful_SB-08-03-01_ISKCON_Chowpatty_-_Radhanath_Swami_IDesireTree.mp3</v>
      </c>
      <c r="D2415" s="11"/>
      <c r="E2415" s="11"/>
    </row>
    <row r="2416" spans="1:5">
      <c r="A2416" s="12" t="s">
        <v>12462</v>
      </c>
      <c r="B2416" s="12" t="s">
        <v>15203</v>
      </c>
      <c r="C2416" s="13" t="str">
        <f>HYPERLINK("https://audio.iskcondesiretree.com/02_-_ISKCON_Swamis/ISKCON_Swamis_-_R_to_Y/His_Holiness_Radhanath_Swami/Lectures/00_-_Year_wise/Devotional_Nectar_-_2009/2009-08-26_Various_-_Prerna-The_Journey_Home_-_Radhanath_Swami_Mumbai.mp3", "2009-08-26_Various_-_Prerna-The_Journey_Home_-_Radhanath_Swami_Mumbai.mp3")</f>
        <v>2009-08-26_Various_-_Prerna-The_Journey_Home_-_Radhanath_Swami_Mumbai.mp3</v>
      </c>
      <c r="D2416" s="11"/>
      <c r="E2416" s="11"/>
    </row>
    <row r="2417" spans="1:5">
      <c r="A2417" s="12" t="s">
        <v>12462</v>
      </c>
      <c r="B2417" s="12" t="s">
        <v>15204</v>
      </c>
      <c r="C2417" s="13" t="str">
        <f>HYPERLINK("https://audio.iskcondesiretree.com/02_-_ISKCON_Swamis/ISKCON_Swamis_-_R_to_Y/His_Holiness_Radhanath_Swami/Lectures/00_-_Year_wise/Devotional_Nectar_-_2009/2009-08-27_Festivals_-_Radhastami-Glories_of_Srimati_Radharani_-_Radhanath_Swami_Mumbai.mp3", "2009-08-27_Festivals_-_Radhastami-Glories_of_Srimati_Radharani_-_Radhanath_Swami_Mumbai.mp3")</f>
        <v>2009-08-27_Festivals_-_Radhastami-Glories_of_Srimati_Radharani_-_Radhanath_Swami_Mumbai.mp3</v>
      </c>
      <c r="D2417" s="11"/>
      <c r="E2417" s="11"/>
    </row>
    <row r="2418" spans="1:5">
      <c r="A2418" s="12" t="s">
        <v>12462</v>
      </c>
      <c r="B2418" s="12" t="s">
        <v>15205</v>
      </c>
      <c r="C2418" s="13" t="str">
        <f>HYPERLINK("https://audio.iskcondesiretree.com/02_-_ISKCON_Swamis/ISKCON_Swamis_-_R_to_Y/His_Holiness_Radhanath_Swami/Lectures/00_-_Year_wise/Devotional_Nectar_-_2009/2009-08-30_SB_08-03-06_-_Forgetting_Krishna_the_Greatest_Crisis_-_Radhanath_Swami.mp3", "2009-08-30_SB_08-03-06_-_Forgetting_Krishna_the_Greatest_Crisis_-_Radhanath_Swami.mp3")</f>
        <v>2009-08-30_SB_08-03-06_-_Forgetting_Krishna_the_Greatest_Crisis_-_Radhanath_Swami.mp3</v>
      </c>
      <c r="D2418" s="11"/>
      <c r="E2418" s="11"/>
    </row>
    <row r="2419" spans="1:5">
      <c r="A2419" s="12" t="s">
        <v>12462</v>
      </c>
      <c r="B2419" s="12" t="e">
        <v>#VALUE!</v>
      </c>
      <c r="C2419" s="13" t="e">
        <f>HYPERLINK("https://audio.iskcondesiretree.com/02_-_ISKCON_Swamis/ISKCON_Swamis_-_R_to_Y/His_Holiness_Radhanath_Swami/Lectures/00_-_Year_wise/Devotional_Nectar_-_2009/2009-09-06_Various_-_Sunday_Feast-Haridasa_Thakura%27s_Glorious_Passing_Away_-_Radhanath_Swami_Mumba"&amp;"i.mp3", "2009-09-06_Various_-_Sunday_Feast-Haridasa_Thakura%27s_Glorious_Passing_Away_-_Radhanath_Swami_Mumbai.mp3")</f>
        <v>#VALUE!</v>
      </c>
      <c r="D2419" s="11"/>
      <c r="E2419" s="11"/>
    </row>
    <row r="2420" spans="1:5">
      <c r="A2420" s="12" t="s">
        <v>12462</v>
      </c>
      <c r="B2420" s="12" t="s">
        <v>15206</v>
      </c>
      <c r="C2420" s="13" t="str">
        <f>HYPERLINK("https://audio.iskcondesiretree.com/02_-_ISKCON_Swamis/ISKCON_Swamis_-_R_to_Y/His_Holiness_Radhanath_Swami/Lectures/00_-_Year_wise/Devotional_Nectar_-_2009/2009-09-09_Evening_class_-_Prabhupadadesh_Italy_-_Radhanath_Swami.mp3", "2009-09-09_Evening_class_-_Prabhupadadesh_Italy_-_Radhanath_Swami.mp3")</f>
        <v>2009-09-09_Evening_class_-_Prabhupadadesh_Italy_-_Radhanath_Swami.mp3</v>
      </c>
      <c r="D2420" s="11"/>
      <c r="E2420" s="11"/>
    </row>
    <row r="2421" spans="1:5">
      <c r="A2421" s="12" t="s">
        <v>12462</v>
      </c>
      <c r="B2421" s="12" t="s">
        <v>15207</v>
      </c>
      <c r="C2421" s="13" t="str">
        <f>HYPERLINK("https://audio.iskcondesiretree.com/02_-_ISKCON_Swamis/ISKCON_Swamis_-_R_to_Y/His_Holiness_Radhanath_Swami/Lectures/00_-_Year_wise/Devotional_Nectar_-_2009/2009-09-10_Public_program_-_Bologna_Italy_-_Radhanath_Swami.mp3", "2009-09-10_Public_program_-_Bologna_Italy_-_Radhanath_Swami.mp3")</f>
        <v>2009-09-10_Public_program_-_Bologna_Italy_-_Radhanath_Swami.mp3</v>
      </c>
      <c r="D2421" s="11"/>
      <c r="E2421" s="11"/>
    </row>
    <row r="2422" spans="1:5">
      <c r="A2422" s="12" t="s">
        <v>12462</v>
      </c>
      <c r="B2422" s="12" t="s">
        <v>15208</v>
      </c>
      <c r="C2422" s="13" t="str">
        <f>HYPERLINK("https://audio.iskcondesiretree.com/02_-_ISKCON_Swamis/ISKCON_Swamis_-_R_to_Y/His_Holiness_Radhanath_Swami/Lectures/00_-_Year_wise/Devotional_Nectar_-_2009/2009-09-10_SB_03-18-15_-_Prabhupadadesh_Italy_-_Radhanath_Swami.mp3", "2009-09-10_SB_03-18-15_-_Prabhupadadesh_Italy_-_Radhanath_Swami.mp3")</f>
        <v>2009-09-10_SB_03-18-15_-_Prabhupadadesh_Italy_-_Radhanath_Swami.mp3</v>
      </c>
      <c r="D2422" s="11"/>
      <c r="E2422" s="11"/>
    </row>
    <row r="2423" spans="1:5">
      <c r="A2423" s="12" t="s">
        <v>12462</v>
      </c>
      <c r="B2423" s="12" t="s">
        <v>15209</v>
      </c>
      <c r="C2423" s="13" t="str">
        <f>HYPERLINK("https://audio.iskcondesiretree.com/02_-_ISKCON_Swamis/ISKCON_Swamis_-_R_to_Y/His_Holiness_Radhanath_Swami/Lectures/00_-_Year_wise/Devotional_Nectar_-_2009/2009-09-11_How_prabhupada%27s_hardships_for_us_-_Prabhupadadesh_Italy_-_Radhanath_Swami.mp3", "2009-09-11_How_prabhupada%27s_hardships_for_us_-_Prabhupadadesh_Italy_-_Radhanath_Swami.mp3")</f>
        <v>2009-09-11_How_prabhupada%27s_hardships_for_us_-_Prabhupadadesh_Italy_-_Radhanath_Swami.mp3</v>
      </c>
      <c r="D2423" s="11"/>
      <c r="E2423" s="11"/>
    </row>
    <row r="2424" spans="1:5">
      <c r="A2424" s="12" t="s">
        <v>12462</v>
      </c>
      <c r="B2424" s="12" t="s">
        <v>15210</v>
      </c>
      <c r="C2424" s="13" t="str">
        <f>HYPERLINK("https://audio.iskcondesiretree.com/02_-_ISKCON_Swamis/ISKCON_Swamis_-_R_to_Y/His_Holiness_Radhanath_Swami/Lectures/00_-_Year_wise/Devotional_Nectar_-_2009/2009-09-12_Initiation_lecture_-_Prabhupadadesh_Italy_-_Radhanath_Swami.mp3", "2009-09-12_Initiation_lecture_-_Prabhupadadesh_Italy_-_Radhanath_Swami.mp3")</f>
        <v>2009-09-12_Initiation_lecture_-_Prabhupadadesh_Italy_-_Radhanath_Swami.mp3</v>
      </c>
      <c r="D2424" s="11"/>
      <c r="E2424" s="11"/>
    </row>
    <row r="2425" spans="1:5">
      <c r="A2425" s="12" t="s">
        <v>12462</v>
      </c>
      <c r="B2425" s="12" t="s">
        <v>15211</v>
      </c>
      <c r="C2425" s="13" t="str">
        <f>HYPERLINK("https://audio.iskcondesiretree.com/02_-_ISKCON_Swamis/ISKCON_Swamis_-_R_to_Y/His_Holiness_Radhanath_Swami/Lectures/00_-_Year_wise/Devotional_Nectar_-_2009/2009-09-12_Wedding_lecture_-_Prabhupadadesh_Italy_-_Radhanath_Swami.mp3", "2009-09-12_Wedding_lecture_-_Prabhupadadesh_Italy_-_Radhanath_Swami.mp3")</f>
        <v>2009-09-12_Wedding_lecture_-_Prabhupadadesh_Italy_-_Radhanath_Swami.mp3</v>
      </c>
      <c r="D2425" s="11"/>
      <c r="E2425" s="11"/>
    </row>
    <row r="2426" spans="1:5">
      <c r="A2426" s="12" t="s">
        <v>12462</v>
      </c>
      <c r="B2426" s="12" t="s">
        <v>15212</v>
      </c>
      <c r="C2426" s="13" t="str">
        <f>HYPERLINK("https://audio.iskcondesiretree.com/02_-_ISKCON_Swamis/ISKCON_Swamis_-_R_to_Y/His_Holiness_Radhanath_Swami/Lectures/00_-_Year_wise/Devotional_Nectar_-_2009/2009-09-13_BG_02-22_-_Villagio_hare_krishna_-_Italy_-_Radhanath_Swami.mp3", "2009-09-13_BG_02-22_-_Villagio_hare_krishna_-_Italy_-_Radhanath_Swami.mp3")</f>
        <v>2009-09-13_BG_02-22_-_Villagio_hare_krishna_-_Italy_-_Radhanath_Swami.mp3</v>
      </c>
      <c r="D2426" s="11"/>
      <c r="E2426" s="11"/>
    </row>
    <row r="2427" spans="1:5">
      <c r="A2427" s="12" t="s">
        <v>12462</v>
      </c>
      <c r="B2427" s="12" t="s">
        <v>15213</v>
      </c>
      <c r="C2427" s="13" t="str">
        <f>HYPERLINK("https://audio.iskcondesiretree.com/02_-_ISKCON_Swamis/ISKCON_Swamis_-_R_to_Y/His_Holiness_Radhanath_Swami/Lectures/00_-_Year_wise/Devotional_Nectar_-_2009/2009-09-13_Departure_lecture_-_Prabhupadadesh_Italy_-_Radhanath_Swami.mp3", "2009-09-13_Departure_lecture_-_Prabhupadadesh_Italy_-_Radhanath_Swami.mp3")</f>
        <v>2009-09-13_Departure_lecture_-_Prabhupadadesh_Italy_-_Radhanath_Swami.mp3</v>
      </c>
      <c r="D2427" s="11"/>
      <c r="E2427" s="11"/>
    </row>
    <row r="2428" spans="1:5">
      <c r="A2428" s="12" t="s">
        <v>12462</v>
      </c>
      <c r="B2428" s="12" t="s">
        <v>15214</v>
      </c>
      <c r="C2428" s="13" t="str">
        <f>HYPERLINK("https://audio.iskcondesiretree.com/02_-_ISKCON_Swamis/ISKCON_Swamis_-_R_to_Y/His_Holiness_Radhanath_Swami/Lectures/00_-_Year_wise/Devotional_Nectar_-_2009/2009-09-25_Various_-_House_Program-Personify_a_universal_teaching_-_Radhanath_Sw_Mumbai.mp3", "2009-09-25_Various_-_House_Program-Personify_a_universal_teaching_-_Radhanath_Sw_Mumbai.mp3")</f>
        <v>2009-09-25_Various_-_House_Program-Personify_a_universal_teaching_-_Radhanath_Sw_Mumbai.mp3</v>
      </c>
      <c r="D2428" s="11"/>
      <c r="E2428" s="11"/>
    </row>
    <row r="2429" spans="1:5">
      <c r="A2429" s="12" t="s">
        <v>12462</v>
      </c>
      <c r="B2429" s="12" t="s">
        <v>15215</v>
      </c>
      <c r="C2429" s="13" t="str">
        <f>HYPERLINK("https://audio.iskcondesiretree.com/02_-_ISKCON_Swamis/ISKCON_Swamis_-_R_to_Y/His_Holiness_Radhanath_Swami/Lectures/00_-_Year_wise/Devotional_Nectar_-_2009/2009-09-25_Various_-_House_Program-Personify_a_universal_teaching_-_Radhanath_Swami_Mumbai.mp3", "2009-09-25_Various_-_House_Program-Personify_a_universal_teaching_-_Radhanath_Swami_Mumbai.mp3")</f>
        <v>2009-09-25_Various_-_House_Program-Personify_a_universal_teaching_-_Radhanath_Swami_Mumbai.mp3</v>
      </c>
      <c r="D2429" s="11"/>
      <c r="E2429" s="11"/>
    </row>
    <row r="2430" spans="1:5">
      <c r="A2430" s="12" t="s">
        <v>12462</v>
      </c>
      <c r="B2430" s="12" t="s">
        <v>15216</v>
      </c>
      <c r="C2430" s="13" t="str">
        <f>HYPERLINK("https://audio.iskcondesiretree.com/02_-_ISKCON_Swamis/ISKCON_Swamis_-_R_to_Y/His_Holiness_Radhanath_Swami/Lectures/00_-_Year_wise/Devotional_Nectar_-_2009/2009-09-28_Dusherra_Lecture_-_Glories_Of_Lord_Ramachandra_-_Radhanath_Swami_ISKCON_Chowpatty.mp3", "2009-09-28_Dusherra_Lecture_-_Glories_Of_Lord_Ramachandra_-_Radhanath_Swami_ISKCON_Chowpatty.mp3")</f>
        <v>2009-09-28_Dusherra_Lecture_-_Glories_Of_Lord_Ramachandra_-_Radhanath_Swami_ISKCON_Chowpatty.mp3</v>
      </c>
      <c r="D2430" s="11"/>
      <c r="E2430" s="11"/>
    </row>
    <row r="2431" spans="1:5">
      <c r="A2431" s="12" t="s">
        <v>12462</v>
      </c>
      <c r="B2431" s="12" t="s">
        <v>15217</v>
      </c>
      <c r="C2431" s="13" t="str">
        <f>HYPERLINK("https://audio.iskcondesiretree.com/02_-_ISKCON_Swamis/ISKCON_Swamis_-_R_to_Y/His_Holiness_Radhanath_Swami/Lectures/00_-_Year_wise/Devotional_Nectar_-_2009/2009-10-04_Sunday_Feast_-_Sharad_Purnima_Lecture_-_Radhanath_Swami_ISKCON_Chowpatty.mp3", "2009-10-04_Sunday_Feast_-_Sharad_Purnima_Lecture_-_Radhanath_Swami_ISKCON_Chowpatty.mp3")</f>
        <v>2009-10-04_Sunday_Feast_-_Sharad_Purnima_Lecture_-_Radhanath_Swami_ISKCON_Chowpatty.mp3</v>
      </c>
      <c r="D2431" s="11"/>
      <c r="E2431" s="11"/>
    </row>
    <row r="2432" spans="1:5">
      <c r="A2432" s="12" t="s">
        <v>12462</v>
      </c>
      <c r="B2432" s="12" t="s">
        <v>15218</v>
      </c>
      <c r="C2432" s="13" t="str">
        <f>HYPERLINK("https://audio.iskcondesiretree.com/02_-_ISKCON_Swamis/ISKCON_Swamis_-_R_to_Y/His_Holiness_Radhanath_Swami/Lectures/00_-_Year_wise/Devotional_Nectar_-_2009/2009-10-05_Various_-_Marriage_Address_to_Yoga_Group_-_Radhanath_Sw_Mumbai.mp3", "2009-10-05_Various_-_Marriage_Address_to_Yoga_Group_-_Radhanath_Sw_Mumbai.mp3")</f>
        <v>2009-10-05_Various_-_Marriage_Address_to_Yoga_Group_-_Radhanath_Sw_Mumbai.mp3</v>
      </c>
      <c r="D2432" s="11"/>
      <c r="E2432" s="11"/>
    </row>
    <row r="2433" spans="1:5">
      <c r="A2433" s="12" t="s">
        <v>12462</v>
      </c>
      <c r="B2433" s="12" t="s">
        <v>15219</v>
      </c>
      <c r="C2433" s="13" t="str">
        <f>HYPERLINK("https://audio.iskcondesiretree.com/02_-_ISKCON_Swamis/ISKCON_Swamis_-_R_to_Y/His_Holiness_Radhanath_Swami/Lectures/00_-_Year_wise/Devotional_Nectar_-_2009/2009-10-05_Various_-_Marriage_Address_to_Yoga_Group_-_Radhanath_Swami_Mumbai.mp3", "2009-10-05_Various_-_Marriage_Address_to_Yoga_Group_-_Radhanath_Swami_Mumbai.mp3")</f>
        <v>2009-10-05_Various_-_Marriage_Address_to_Yoga_Group_-_Radhanath_Swami_Mumbai.mp3</v>
      </c>
      <c r="D2433" s="11"/>
      <c r="E2433" s="11"/>
    </row>
    <row r="2434" spans="1:5">
      <c r="A2434" s="12" t="s">
        <v>12462</v>
      </c>
      <c r="B2434" s="12" t="s">
        <v>15220</v>
      </c>
      <c r="C2434" s="13" t="str">
        <f>HYPERLINK("https://audio.iskcondesiretree.com/02_-_ISKCON_Swamis/ISKCON_Swamis_-_R_to_Y/His_Holiness_Radhanath_Swami/Lectures/00_-_Year_wise/Devotional_Nectar_-_2009/2009-10-10_Festivals_-_Ratha_Yatra-Loving_Krishna_includes_Loving_Everyone_-_Radhanath_Sw_Juhu.mp3", "2009-10-10_Festivals_-_Ratha_Yatra-Loving_Krishna_includes_Loving_Everyone_-_Radhanath_Sw_Juhu.mp3")</f>
        <v>2009-10-10_Festivals_-_Ratha_Yatra-Loving_Krishna_includes_Loving_Everyone_-_Radhanath_Sw_Juhu.mp3</v>
      </c>
      <c r="D2434" s="11"/>
      <c r="E2434" s="11"/>
    </row>
    <row r="2435" spans="1:5">
      <c r="A2435" s="12" t="s">
        <v>12462</v>
      </c>
      <c r="B2435" s="12" t="s">
        <v>15221</v>
      </c>
      <c r="C2435" s="13" t="str">
        <f>HYPERLINK("https://audio.iskcondesiretree.com/02_-_ISKCON_Swamis/ISKCON_Swamis_-_R_to_Y/His_Holiness_Radhanath_Swami/Lectures/00_-_Year_wise/Devotional_Nectar_-_2009/2009-10-28_-_Bodhi_Tree_Lecture.mp3", "2009-10-28_-_Bodhi_Tree_Lecture.mp3")</f>
        <v>2009-10-28_-_Bodhi_Tree_Lecture.mp3</v>
      </c>
      <c r="D2435" s="11"/>
      <c r="E2435" s="11"/>
    </row>
    <row r="2436" spans="1:5">
      <c r="A2436" s="12" t="s">
        <v>12462</v>
      </c>
      <c r="B2436" s="12" t="s">
        <v>15222</v>
      </c>
      <c r="C2436" s="13" t="str">
        <f>HYPERLINK("https://audio.iskcondesiretree.com/02_-_ISKCON_Swamis/ISKCON_Swamis_-_R_to_Y/His_Holiness_Radhanath_Swami/Lectures/00_-_Year_wise/Devotional_Nectar_-_2009/2009-10-29_Bhariti_Ganguly_prg_-_Kolkata_-_Radhanath_Swami_IDesireTree.mp3", "2009-10-29_Bhariti_Ganguly_prg_-_Kolkata_-_Radhanath_Swami_IDesireTree.mp3")</f>
        <v>2009-10-29_Bhariti_Ganguly_prg_-_Kolkata_-_Radhanath_Swami_IDesireTree.mp3</v>
      </c>
      <c r="D2436" s="11"/>
      <c r="E2436" s="11"/>
    </row>
    <row r="2437" spans="1:5">
      <c r="A2437" s="12" t="s">
        <v>12462</v>
      </c>
      <c r="B2437" s="12" t="s">
        <v>15223</v>
      </c>
      <c r="C2437" s="13" t="str">
        <f>HYPERLINK("https://audio.iskcondesiretree.com/02_-_ISKCON_Swamis/ISKCON_Swamis_-_R_to_Y/His_Holiness_Radhanath_Swami/Lectures/00_-_Year_wise/Devotional_Nectar_-_2009/2009-10-30_Crossword_talk_-_Kolkata_-_Radhanath_Swami_IDesireTree.mp3", "2009-10-30_Crossword_talk_-_Kolkata_-_Radhanath_Swami_IDesireTree.mp3")</f>
        <v>2009-10-30_Crossword_talk_-_Kolkata_-_Radhanath_Swami_IDesireTree.mp3</v>
      </c>
      <c r="D2437" s="11"/>
      <c r="E2437" s="11"/>
    </row>
    <row r="2438" spans="1:5">
      <c r="A2438" s="12" t="s">
        <v>12462</v>
      </c>
      <c r="B2438" s="12" t="s">
        <v>15224</v>
      </c>
      <c r="C2438" s="13" t="str">
        <f>HYPERLINK("https://audio.iskcondesiretree.com/02_-_ISKCON_Swamis/ISKCON_Swamis_-_R_to_Y/His_Holiness_Radhanath_Swami/Lectures/00_-_Year_wise/Devotional_Nectar_-_2009/2009-10-30_Gorenka_House_Prg_-_Kolkata_-_Radhanath_Swami_IDesireTree.mp3", "2009-10-30_Gorenka_House_Prg_-_Kolkata_-_Radhanath_Swami_IDesireTree.mp3")</f>
        <v>2009-10-30_Gorenka_House_Prg_-_Kolkata_-_Radhanath_Swami_IDesireTree.mp3</v>
      </c>
      <c r="D2438" s="11"/>
      <c r="E2438" s="11"/>
    </row>
    <row r="2439" spans="1:5">
      <c r="A2439" s="12" t="s">
        <v>12462</v>
      </c>
      <c r="B2439" s="12" t="s">
        <v>15225</v>
      </c>
      <c r="C2439" s="13" t="str">
        <f>HYPERLINK("https://audio.iskcondesiretree.com/02_-_ISKCON_Swamis/ISKCON_Swamis_-_R_to_Y/His_Holiness_Radhanath_Swami/Lectures/00_-_Year_wise/Devotional_Nectar_-_2009/2009-10-30_SB_04-21-01_-_Kolkata_-_Radhanath_Swami_IDesireTree.mp3", "2009-10-30_SB_04-21-01_-_Kolkata_-_Radhanath_Swami_IDesireTree.mp3")</f>
        <v>2009-10-30_SB_04-21-01_-_Kolkata_-_Radhanath_Swami_IDesireTree.mp3</v>
      </c>
      <c r="D2439" s="11"/>
      <c r="E2439" s="11"/>
    </row>
    <row r="2440" spans="1:5">
      <c r="A2440" s="12" t="s">
        <v>12462</v>
      </c>
      <c r="B2440" s="12" t="s">
        <v>15226</v>
      </c>
      <c r="C2440" s="13" t="str">
        <f>HYPERLINK("https://audio.iskcondesiretree.com/02_-_ISKCON_Swamis/ISKCON_Swamis_-_R_to_Y/His_Holiness_Radhanath_Swami/Lectures/00_-_Year_wise/Devotional_Nectar_-_2009/2009-10-31_SB_04-21-4-4_-_Kolkata_-_Radhanath_Swami_IDesireTree.mp3", "2009-10-31_SB_04-21-4-4_-_Kolkata_-_Radhanath_Swami_IDesireTree.mp3")</f>
        <v>2009-10-31_SB_04-21-4-4_-_Kolkata_-_Radhanath_Swami_IDesireTree.mp3</v>
      </c>
      <c r="D2440" s="11"/>
      <c r="E2440" s="11"/>
    </row>
    <row r="2441" spans="1:5">
      <c r="A2441" s="12" t="s">
        <v>12462</v>
      </c>
      <c r="B2441" s="12" t="s">
        <v>15227</v>
      </c>
      <c r="C2441" s="13" t="str">
        <f>HYPERLINK("https://audio.iskcondesiretree.com/02_-_ISKCON_Swamis/ISKCON_Swamis_-_R_to_Y/His_Holiness_Radhanath_Swami/Lectures/00_-_Year_wise/Devotional_Nectar_-_2009/2009-11-01_SB_04-21-05_-_Kolkata_-_Radhanath_Swami_IDesireTree.mp3", "2009-11-01_SB_04-21-05_-_Kolkata_-_Radhanath_Swami_IDesireTree.mp3")</f>
        <v>2009-11-01_SB_04-21-05_-_Kolkata_-_Radhanath_Swami_IDesireTree.mp3</v>
      </c>
      <c r="D2441" s="11"/>
      <c r="E2441" s="11"/>
    </row>
    <row r="2442" spans="1:5">
      <c r="A2442" s="12" t="s">
        <v>12462</v>
      </c>
      <c r="B2442" s="12" t="s">
        <v>15228</v>
      </c>
      <c r="C2442" s="13" t="str">
        <f>HYPERLINK("https://audio.iskcondesiretree.com/02_-_ISKCON_Swamis/ISKCON_Swamis_-_R_to_Y/His_Holiness_Radhanath_Swami/Lectures/00_-_Year_wise/Devotional_Nectar_-_2009/2009-11-07_SB-08-06-13_-_Serving_The_Lord_Without_Demanding_-_Radhanath_Swami_ISKCON_Chowpatty.mp3", "2009-11-07_SB-08-06-13_-_Serving_The_Lord_Without_Demanding_-_Radhanath_Swami_ISKCON_Chowpatty.mp3")</f>
        <v>2009-11-07_SB-08-06-13_-_Serving_The_Lord_Without_Demanding_-_Radhanath_Swami_ISKCON_Chowpatty.mp3</v>
      </c>
      <c r="D2442" s="11"/>
      <c r="E2442" s="11"/>
    </row>
    <row r="2443" spans="1:5">
      <c r="A2443" s="12" t="s">
        <v>12462</v>
      </c>
      <c r="B2443" s="12" t="s">
        <v>15229</v>
      </c>
      <c r="C2443" s="13" t="str">
        <f>HYPERLINK("https://audio.iskcondesiretree.com/02_-_ISKCON_Swamis/ISKCON_Swamis_-_R_to_Y/His_Holiness_Radhanath_Swami/Lectures/00_-_Year_wise/Devotional_Nectar_-_2009/2009-11-08_SB-08-06-14_-_Krishna_Hears_Intent_Of_Our_Prayers_-_Radhanath_Swami_ISKCON_Chowpatty.mp3", "2009-11-08_SB-08-06-14_-_Krishna_Hears_Intent_Of_Our_Prayers_-_Radhanath_Swami_ISKCON_Chowpatty.mp3")</f>
        <v>2009-11-08_SB-08-06-14_-_Krishna_Hears_Intent_Of_Our_Prayers_-_Radhanath_Swami_ISKCON_Chowpatty.mp3</v>
      </c>
      <c r="D2443" s="11"/>
      <c r="E2443" s="11"/>
    </row>
    <row r="2444" spans="1:5">
      <c r="A2444" s="12" t="s">
        <v>12462</v>
      </c>
      <c r="B2444" s="12" t="s">
        <v>15230</v>
      </c>
      <c r="C2444" s="13" t="str">
        <f>HYPERLINK("https://audio.iskcondesiretree.com/02_-_ISKCON_Swamis/ISKCON_Swamis_-_R_to_Y/His_Holiness_Radhanath_Swami/Lectures/00_-_Year_wise/Devotional_Nectar_-_2009/2009-11-14_SB-08-06-26-28_-_Making_Truce_For_A_Higher_Cause_-_Radhanath_Swami_ISKCON_Chowpatty.mp3", "2009-11-14_SB-08-06-26-28_-_Making_Truce_For_A_Higher_Cause_-_Radhanath_Swami_ISKCON_Chowpatty.mp3")</f>
        <v>2009-11-14_SB-08-06-26-28_-_Making_Truce_For_A_Higher_Cause_-_Radhanath_Swami_ISKCON_Chowpatty.mp3</v>
      </c>
      <c r="D2444" s="11"/>
      <c r="E2444" s="11"/>
    </row>
    <row r="2445" spans="1:5">
      <c r="A2445" s="12" t="s">
        <v>12462</v>
      </c>
      <c r="B2445" s="12" t="s">
        <v>15231</v>
      </c>
      <c r="C2445" s="13" t="str">
        <f>HYPERLINK("https://audio.iskcondesiretree.com/02_-_ISKCON_Swamis/ISKCON_Swamis_-_R_to_Y/His_Holiness_Radhanath_Swami/Lectures/00_-_Year_wise/Devotional_Nectar_-_2009/2009-11-15_Sunday_Feast_-_Gratefully_Adjusting_In_Any_Situation_-_Radhanath_Swami_-_Cross_Maidan.mp3", "2009-11-15_Sunday_Feast_-_Gratefully_Adjusting_In_Any_Situation_-_Radhanath_Swami_-_Cross_Maidan.mp3")</f>
        <v>2009-11-15_Sunday_Feast_-_Gratefully_Adjusting_In_Any_Situation_-_Radhanath_Swami_-_Cross_Maidan.mp3</v>
      </c>
      <c r="D2445" s="11"/>
      <c r="E2445" s="11"/>
    </row>
    <row r="2446" spans="1:5">
      <c r="A2446" s="12" t="s">
        <v>12462</v>
      </c>
      <c r="B2446" s="12" t="s">
        <v>15232</v>
      </c>
      <c r="C2446" s="13" t="str">
        <f>HYPERLINK("https://audio.iskcondesiretree.com/02_-_ISKCON_Swamis/ISKCON_Swamis_-_R_to_Y/His_Holiness_Radhanath_Swami/Lectures/00_-_Year_wise/Devotional_Nectar_-_2009/2009-11-23_SB_10-06_-_The_Killing_of_the_Demon_Putana_-_Radhanath_Sw_Bhaktivedanta_Manor.mp3", "2009-11-23_SB_10-06_-_The_Killing_of_the_Demon_Putana_-_Radhanath_Sw_Bhaktivedanta_Manor.mp3")</f>
        <v>2009-11-23_SB_10-06_-_The_Killing_of_the_Demon_Putana_-_Radhanath_Sw_Bhaktivedanta_Manor.mp3</v>
      </c>
      <c r="D2446" s="11"/>
      <c r="E2446" s="11"/>
    </row>
    <row r="2447" spans="1:5">
      <c r="A2447" s="12" t="s">
        <v>12462</v>
      </c>
      <c r="B2447" s="12" t="s">
        <v>15233</v>
      </c>
      <c r="C2447" s="13" t="str">
        <f>HYPERLINK("https://audio.iskcondesiretree.com/02_-_ISKCON_Swamis/ISKCON_Swamis_-_R_to_Y/His_Holiness_Radhanath_Swami/Lectures/00_-_Year_wise/Devotional_Nectar_-_2009/2009-12-13_Sunday_Feast_-_Los_Angeles_-_Radhanath_Swami_IDesireTree.mp3", "2009-12-13_Sunday_Feast_-_Los_Angeles_-_Radhanath_Swami_IDesireTree.mp3")</f>
        <v>2009-12-13_Sunday_Feast_-_Los_Angeles_-_Radhanath_Swami_IDesireTree.mp3</v>
      </c>
      <c r="D2447" s="11"/>
      <c r="E2447" s="11"/>
    </row>
    <row r="2448" spans="1:5">
      <c r="A2448" s="12" t="s">
        <v>12462</v>
      </c>
      <c r="B2448" s="12" t="s">
        <v>15234</v>
      </c>
      <c r="C2448" s="13" t="str">
        <f>HYPERLINK("https://audio.iskcondesiretree.com/02_-_ISKCON_Swamis/ISKCON_Swamis_-_R_to_Y/His_Holiness_Radhanath_Swami/Lectures/00_-_Year_wise/Devotional_Nectar_-_2009/2009-12-14_SB_05-13-11_-_Los_Angeles_-_Radhanath_Swami_IDesireTree.mp3", "2009-12-14_SB_05-13-11_-_Los_Angeles_-_Radhanath_Swami_IDesireTree.mp3")</f>
        <v>2009-12-14_SB_05-13-11_-_Los_Angeles_-_Radhanath_Swami_IDesireTree.mp3</v>
      </c>
      <c r="D2448" s="11"/>
      <c r="E2448" s="11"/>
    </row>
    <row r="2449" spans="1:5">
      <c r="A2449" s="12" t="s">
        <v>12462</v>
      </c>
      <c r="B2449" s="12" t="s">
        <v>15235</v>
      </c>
      <c r="C2449" s="13" t="str">
        <f>HYPERLINK("https://audio.iskcondesiretree.com/02_-_ISKCON_Swamis/ISKCON_Swamis_-_R_to_Y/His_Holiness_Radhanath_Swami/Lectures/00_-_Year_wise/Devotional_Nectar_-_2009/2009-12-15_SB_05-13-12_-_Los_Angeles_-_Radhanath_Swami_IDesireTree.mp3", "2009-12-15_SB_05-13-12_-_Los_Angeles_-_Radhanath_Swami_IDesireTree.mp3")</f>
        <v>2009-12-15_SB_05-13-12_-_Los_Angeles_-_Radhanath_Swami_IDesireTree.mp3</v>
      </c>
      <c r="D2449" s="11"/>
      <c r="E2449" s="11"/>
    </row>
    <row r="2450" spans="1:5">
      <c r="A2450" s="12" t="s">
        <v>12462</v>
      </c>
      <c r="B2450" s="12" t="s">
        <v>15236</v>
      </c>
      <c r="C2450" s="13" t="str">
        <f>HYPERLINK("https://audio.iskcondesiretree.com/02_-_ISKCON_Swamis/ISKCON_Swamis_-_R_to_Y/His_Holiness_Radhanath_Swami/Lectures/00_-_Year_wise/Devotional_Nectar_-_2009/2009-12-18_SB_05-13-15_-_Los_Angeles_-_Radhanath_Swami_IDesireTree.mp3", "2009-12-18_SB_05-13-15_-_Los_Angeles_-_Radhanath_Swami_IDesireTree.mp3")</f>
        <v>2009-12-18_SB_05-13-15_-_Los_Angeles_-_Radhanath_Swami_IDesireTree.mp3</v>
      </c>
      <c r="D2450" s="11"/>
      <c r="E2450" s="11"/>
    </row>
    <row r="2451" spans="1:5">
      <c r="A2451" s="12" t="s">
        <v>12462</v>
      </c>
      <c r="B2451" s="12" t="s">
        <v>15237</v>
      </c>
      <c r="C2451" s="13" t="str">
        <f>HYPERLINK("https://audio.iskcondesiretree.com/02_-_ISKCON_Swamis/ISKCON_Swamis_-_R_to_Y/His_Holiness_Radhanath_Swami/Lectures/00_-_Year_wise/Devotional_Nectar_-_2009/2009-12-18_SB_05-13-15_-_Los_Angeles_IDesireTree.mp3", "2009-12-18_SB_05-13-15_-_Los_Angeles_IDesireTree.mp3")</f>
        <v>2009-12-18_SB_05-13-15_-_Los_Angeles_IDesireTree.mp3</v>
      </c>
      <c r="D2451" s="11"/>
      <c r="E2451" s="11"/>
    </row>
    <row r="2452" spans="1:5">
      <c r="A2452" s="12" t="s">
        <v>12462</v>
      </c>
      <c r="B2452" s="12" t="s">
        <v>15238</v>
      </c>
      <c r="C2452" s="13" t="str">
        <f>HYPERLINK("https://audio.iskcondesiretree.com/02_-_ISKCON_Swamis/ISKCON_Swamis_-_R_to_Y/His_Holiness_Radhanath_Swami/Lectures/00_-_Year_wise/Devotional_Nectar_-_2009/2009-12-22_-_Initiation_Ceremony_Lecture_-_ISKCON_Silicon_-_Radhanath_Swami_Valley.mp3", "2009-12-22_-_Initiation_Ceremony_Lecture_-_ISKCON_Silicon_-_Radhanath_Swami_Valley.mp3")</f>
        <v>2009-12-22_-_Initiation_Ceremony_Lecture_-_ISKCON_Silicon_-_Radhanath_Swami_Valley.mp3</v>
      </c>
      <c r="D2452" s="11"/>
      <c r="E2452" s="11"/>
    </row>
    <row r="2453" spans="1:5">
      <c r="A2453" s="12" t="s">
        <v>12462</v>
      </c>
      <c r="B2453" s="12" t="s">
        <v>15239</v>
      </c>
      <c r="C2453" s="13" t="str">
        <f>HYPERLINK("https://audio.iskcondesiretree.com/02_-_ISKCON_Swamis/ISKCON_Swamis_-_R_to_Y/His_Holiness_Radhanath_Swami/Lectures/00_-_Year_wise/Devotional_Nectar_-_2009/2009-12-22_Initiations_-_Radhanath_Swami_San_Jose.mp3", "2009-12-22_Initiations_-_Radhanath_Swami_San_Jose.mp3")</f>
        <v>2009-12-22_Initiations_-_Radhanath_Swami_San_Jose.mp3</v>
      </c>
      <c r="D2453" s="11"/>
      <c r="E2453" s="11"/>
    </row>
    <row r="2454" spans="1:5">
      <c r="A2454" s="12" t="s">
        <v>12462</v>
      </c>
      <c r="B2454" s="12" t="s">
        <v>15240</v>
      </c>
      <c r="C2454" s="13" t="str">
        <f>HYPERLINK("https://audio.iskcondesiretree.com/02_-_ISKCON_Swamis/ISKCON_Swamis_-_R_to_Y/His_Holiness_Radhanath_Swami/Lectures/00_-_Year_wise/Devotional_Nectar_-_2009/2009-12-23_-_Lecture_-_ISKCON_Silicon_Valley_-_Radhanath_Swami.mp3", "2009-12-23_-_Lecture_-_ISKCON_Silicon_Valley_-_Radhanath_Swami.mp3")</f>
        <v>2009-12-23_-_Lecture_-_ISKCON_Silicon_Valley_-_Radhanath_Swami.mp3</v>
      </c>
      <c r="D2454" s="11"/>
      <c r="E2454" s="11"/>
    </row>
    <row r="2455" spans="1:5">
      <c r="A2455" s="12" t="s">
        <v>12462</v>
      </c>
      <c r="B2455" s="12" t="s">
        <v>15241</v>
      </c>
      <c r="C2455" s="13" t="str">
        <f>HYPERLINK("https://audio.iskcondesiretree.com/02_-_ISKCON_Swamis/ISKCON_Swamis_-_R_to_Y/His_Holiness_Radhanath_Swami/Lectures/00_-_Year_wise/Devotional_Nectar_-_2009/2009-12-23_Lecture_-_San_Jose_-_Radhanath_Swami.mp3", "2009-12-23_Lecture_-_San_Jose_-_Radhanath_Swami.mp3")</f>
        <v>2009-12-23_Lecture_-_San_Jose_-_Radhanath_Swami.mp3</v>
      </c>
      <c r="D2455" s="11"/>
      <c r="E2455" s="11"/>
    </row>
    <row r="2456" spans="1:5">
      <c r="A2456" s="12" t="s">
        <v>12462</v>
      </c>
      <c r="B2456" s="12" t="s">
        <v>15242</v>
      </c>
      <c r="C2456" s="13" t="str">
        <f>HYPERLINK("https://audio.iskcondesiretree.com/02_-_ISKCON_Swamis/ISKCON_Swamis_-_R_to_Y/His_Holiness_Radhanath_Swami/Lectures/00_-_Year_wise/Devotional_Nectar_-_2009/2009_Various_-_Devotees_Greet_-_Radhanath_Swami.mp3", "2009_Various_-_Devotees_Greet_-_Radhanath_Swami.mp3")</f>
        <v>2009_Various_-_Devotees_Greet_-_Radhanath_Swami.mp3</v>
      </c>
      <c r="D2456" s="11"/>
      <c r="E2456" s="11"/>
    </row>
    <row r="2457" spans="1:5">
      <c r="A2457" s="12" t="s">
        <v>12462</v>
      </c>
      <c r="B2457" s="12" t="s">
        <v>15243</v>
      </c>
      <c r="C2457" s="13" t="str">
        <f>HYPERLINK("https://audio.iskcondesiretree.com/02_-_ISKCON_Swamis/ISKCON_Swamis_-_R_to_Y/His_Holiness_Radhanath_Swami/Lectures/00_-_Year_wise/Devotional_Nectar_-_2009/2009_Various_-_Faith_Defeats_Fear_-_Radhanath_Swami.mp3", "2009_Various_-_Faith_Defeats_Fear_-_Radhanath_Swami.mp3")</f>
        <v>2009_Various_-_Faith_Defeats_Fear_-_Radhanath_Swami.mp3</v>
      </c>
      <c r="D2457" s="11"/>
      <c r="E2457" s="11"/>
    </row>
    <row r="2458" spans="1:5">
      <c r="A2458" s="12" t="s">
        <v>12462</v>
      </c>
      <c r="B2458" s="12" t="s">
        <v>15244</v>
      </c>
      <c r="C2458" s="13" t="str">
        <f>HYPERLINK("https://audio.iskcondesiretree.com/02_-_ISKCON_Swamis/ISKCON_Swamis_-_R_to_Y/His_Holiness_Radhanath_Swami/Lectures/00_-_Year_wise/Devotional_Nectar_-_2009/2009_Various_-_Initiation_-_Radhanath_Swami.mp3", "2009_Various_-_Initiation_-_Radhanath_Swami.mp3")</f>
        <v>2009_Various_-_Initiation_-_Radhanath_Swami.mp3</v>
      </c>
      <c r="D2458" s="11"/>
      <c r="E2458" s="11"/>
    </row>
    <row r="2459" spans="1:5">
      <c r="A2459" s="12" t="s">
        <v>12462</v>
      </c>
      <c r="B2459" s="12" t="s">
        <v>15245</v>
      </c>
      <c r="C2459" s="13" t="str">
        <f>HYPERLINK("https://audio.iskcondesiretree.com/02_-_ISKCON_Swamis/ISKCON_Swamis_-_R_to_Y/His_Holiness_Radhanath_Swami/Lectures/00_-_Year_wise/Devotional_Nectar_-_2009/2009_Various_-_Love_God_-_Radhanath_Swami.mp3", "2009_Various_-_Love_God_-_Radhanath_Swami.mp3")</f>
        <v>2009_Various_-_Love_God_-_Radhanath_Swami.mp3</v>
      </c>
      <c r="D2459" s="11"/>
      <c r="E2459" s="11"/>
    </row>
    <row r="2460" spans="1:5">
      <c r="A2460" s="12" t="s">
        <v>12462</v>
      </c>
      <c r="B2460" s="12" t="s">
        <v>15246</v>
      </c>
      <c r="C2460" s="13" t="str">
        <f>HYPERLINK("https://audio.iskcondesiretree.com/02_-_ISKCON_Swamis/ISKCON_Swamis_-_R_to_Y/His_Holiness_Radhanath_Swami/Lectures/00_-_Year_wise/Devotional_Nectar_-_2009/2009_Various_-_Marriage_-_Radhanath_Swami.mp3", "2009_Various_-_Marriage_-_Radhanath_Swami.mp3")</f>
        <v>2009_Various_-_Marriage_-_Radhanath_Swami.mp3</v>
      </c>
      <c r="D2460" s="11"/>
      <c r="E2460" s="11"/>
    </row>
    <row r="2461" spans="1:5">
      <c r="A2461" s="12" t="s">
        <v>12462</v>
      </c>
      <c r="B2461" s="12" t="s">
        <v>15247</v>
      </c>
      <c r="C2461" s="13" t="str">
        <f>HYPERLINK("https://audio.iskcondesiretree.com/02_-_ISKCON_Swamis/ISKCON_Swamis_-_R_to_Y/His_Holiness_Radhanath_Swami/Lectures/00_-_Year_wise/Devotional_Nectar_-_2009/2009_Various_-_Prabhupada_Arrives_West_-_Radhanath_Swami.mp3", "2009_Various_-_Prabhupada_Arrives_West_-_Radhanath_Swami.mp3")</f>
        <v>2009_Various_-_Prabhupada_Arrives_West_-_Radhanath_Swami.mp3</v>
      </c>
      <c r="D2461" s="11"/>
      <c r="E2461" s="11"/>
    </row>
    <row r="2462" spans="1:5">
      <c r="A2462" s="12" t="s">
        <v>12462</v>
      </c>
      <c r="B2462" s="12" t="s">
        <v>15248</v>
      </c>
      <c r="C2462" s="13" t="str">
        <f>HYPERLINK("https://audio.iskcondesiretree.com/02_-_ISKCON_Swamis/ISKCON_Swamis_-_R_to_Y/His_Holiness_Radhanath_Swami/Lectures/00_-_Year_wise/Devotional_Nectar_-_2009/2009_Various_-_Soul_Devotion_Time_-_Radhanath_Swami.mp3", "2009_Various_-_Soul_Devotion_Time_-_Radhanath_Swami.mp3")</f>
        <v>2009_Various_-_Soul_Devotion_Time_-_Radhanath_Swami.mp3</v>
      </c>
      <c r="D2462" s="11"/>
      <c r="E2462" s="11"/>
    </row>
    <row r="2463" spans="1:5">
      <c r="A2463" s="12" t="s">
        <v>12462</v>
      </c>
      <c r="B2463" s="12" t="s">
        <v>15249</v>
      </c>
      <c r="C2463" s="13" t="str">
        <f>HYPERLINK("https://audio.iskcondesiretree.com/02_-_ISKCON_Swamis/ISKCON_Swamis_-_R_to_Y/His_Holiness_Radhanath_Swami/Lectures/00_-_Year_wise/Devotional_Nectar_-_2009/2009_Various_-_Spirit_of_Bhakti_-_Radhanath_Swami.mp3", "2009_Various_-_Spirit_of_Bhakti_-_Radhanath_Swami.mp3")</f>
        <v>2009_Various_-_Spirit_of_Bhakti_-_Radhanath_Swami.mp3</v>
      </c>
      <c r="D2463" s="11"/>
      <c r="E2463" s="11"/>
    </row>
    <row r="2464" spans="1:5">
      <c r="A2464" s="12" t="s">
        <v>12462</v>
      </c>
      <c r="B2464" s="12" t="s">
        <v>15250</v>
      </c>
      <c r="C2464" s="13" t="str">
        <f>HYPERLINK("https://audio.iskcondesiretree.com/02_-_ISKCON_Swamis/ISKCON_Swamis_-_R_to_Y/His_Holiness_Radhanath_Swami/Lectures/00_-_Year_wise/Devotional_Nectar_-_2009/RNS_Initiation_-_09-09-12_Italy.mp3", "RNS_Initiation_-_09-09-12_Italy.mp3")</f>
        <v>RNS_Initiation_-_09-09-12_Italy.mp3</v>
      </c>
      <c r="D2464" s="11"/>
      <c r="E2464" s="11"/>
    </row>
    <row r="2465" spans="1:5">
      <c r="A2465" s="12" t="s">
        <v>12462</v>
      </c>
      <c r="B2465" s="12" t="s">
        <v>15251</v>
      </c>
      <c r="C2465" s="13" t="str">
        <f>HYPERLINK("https://audio.iskcondesiretree.com/02_-_ISKCON_Swamis/ISKCON_Swamis_-_R_to_Y/His_Holiness_Radhanath_Swami/Lectures/00_-_Year_wise/Devotional_Nectar_-_2009/RNS_Prerna_Lecture_-_Radhanath_Swami.mp3", "RNS_Prerna_Lecture_-_Radhanath_Swami.mp3")</f>
        <v>RNS_Prerna_Lecture_-_Radhanath_Swami.mp3</v>
      </c>
      <c r="D2465" s="11"/>
      <c r="E2465" s="11"/>
    </row>
    <row r="2466" spans="1:5">
      <c r="A2466" s="12" t="s">
        <v>12462</v>
      </c>
      <c r="B2466" s="12" t="s">
        <v>15252</v>
      </c>
      <c r="C2466" s="13" t="str">
        <f>HYPERLINK("https://audio.iskcondesiretree.com/02_-_ISKCON_Swamis/ISKCON_Swamis_-_R_to_Y/His_Holiness_Radhanath_Swami/Lectures/00_-_Year_wise/Devotional_Nectar_-_2010/2010-01-02_Maha_Sanga_with_HH_GRS_-_Manor.mp3", "2010-01-02_Maha_Sanga_with_HH_GRS_-_Manor.mp3")</f>
        <v>2010-01-02_Maha_Sanga_with_HH_GRS_-_Manor.mp3</v>
      </c>
      <c r="D2466" s="11"/>
      <c r="E2466" s="11"/>
    </row>
    <row r="2467" spans="1:5">
      <c r="A2467" s="12" t="s">
        <v>12462</v>
      </c>
      <c r="B2467" s="12" t="s">
        <v>15253</v>
      </c>
      <c r="C2467" s="13" t="str">
        <f>HYPERLINK("https://audio.iskcondesiretree.com/02_-_ISKCON_Swamis/ISKCON_Swamis_-_R_to_Y/His_Holiness_Radhanath_Swami/Lectures/00_-_Year_wise/Devotional_Nectar_-_2010/2010-01-09_Bhagavatam_Crushes_Out_Faith_In_Illusion_SB-08-08-09-27-28_-_ISKCON_Chowpatty.mp3", "2010-01-09_Bhagavatam_Crushes_Out_Faith_In_Illusion_SB-08-08-09-27-28_-_ISKCON_Chowpatty.mp3")</f>
        <v>2010-01-09_Bhagavatam_Crushes_Out_Faith_In_Illusion_SB-08-08-09-27-28_-_ISKCON_Chowpatty.mp3</v>
      </c>
      <c r="D2467" s="11"/>
      <c r="E2467" s="11"/>
    </row>
    <row r="2468" spans="1:5">
      <c r="A2468" s="12" t="s">
        <v>12462</v>
      </c>
      <c r="B2468" s="12" t="s">
        <v>15254</v>
      </c>
      <c r="C2468" s="13" t="str">
        <f>HYPERLINK("https://audio.iskcondesiretree.com/02_-_ISKCON_Swamis/ISKCON_Swamis_-_R_to_Y/His_Holiness_Radhanath_Swami/Lectures/00_-_Year_wise/Devotional_Nectar_-_2010/2010-01-09_DADAR_Ratha_Yatra_Lecture_-_Radhanath_Swami_ISKCON_Chowpatty.mp3", "2010-01-09_DADAR_Ratha_Yatra_Lecture_-_Radhanath_Swami_ISKCON_Chowpatty.mp3")</f>
        <v>2010-01-09_DADAR_Ratha_Yatra_Lecture_-_Radhanath_Swami_ISKCON_Chowpatty.mp3</v>
      </c>
      <c r="D2468" s="11"/>
      <c r="E2468" s="11"/>
    </row>
    <row r="2469" spans="1:5">
      <c r="A2469" s="12" t="s">
        <v>12462</v>
      </c>
      <c r="B2469" s="12" t="s">
        <v>15255</v>
      </c>
      <c r="C2469" s="13" t="str">
        <f>HYPERLINK("https://audio.iskcondesiretree.com/02_-_ISKCON_Swamis/ISKCON_Swamis_-_R_to_Y/His_Holiness_Radhanath_Swami/Lectures/00_-_Year_wise/Devotional_Nectar_-_2010/2010-01-17_HH_Radhanath_Swami_at_SJM_-_SB_04-30-08.mp3", "2010-01-17_HH_Radhanath_Swami_at_SJM_-_SB_04-30-08.mp3")</f>
        <v>2010-01-17_HH_Radhanath_Swami_at_SJM_-_SB_04-30-08.mp3</v>
      </c>
      <c r="D2469" s="11"/>
      <c r="E2469" s="11"/>
    </row>
    <row r="2470" spans="1:5">
      <c r="A2470" s="12" t="s">
        <v>12462</v>
      </c>
      <c r="B2470" s="12" t="s">
        <v>15256</v>
      </c>
      <c r="C2470" s="13" t="str">
        <f>HYPERLINK("https://audio.iskcondesiretree.com/02_-_ISKCON_Swamis/ISKCON_Swamis_-_R_to_Y/His_Holiness_Radhanath_Swami/Lectures/00_-_Year_wise/Devotional_Nectar_-_2010/2010-01-17_HHRNS_Lecture_in_Jayanagar_Bangalore_-_Radhanath_Swami.mp3", "2010-01-17_HHRNS_Lecture_in_Jayanagar_Bangalore_-_Radhanath_Swami.mp3")</f>
        <v>2010-01-17_HHRNS_Lecture_in_Jayanagar_Bangalore_-_Radhanath_Swami.mp3</v>
      </c>
      <c r="D2470" s="11"/>
      <c r="E2470" s="11"/>
    </row>
    <row r="2471" spans="1:5">
      <c r="A2471" s="12" t="s">
        <v>12462</v>
      </c>
      <c r="B2471" s="12" t="s">
        <v>15257</v>
      </c>
      <c r="C2471" s="13" t="str">
        <f>HYPERLINK("https://audio.iskcondesiretree.com/02_-_ISKCON_Swamis/ISKCON_Swamis_-_R_to_Y/His_Holiness_Radhanath_Swami/Lectures/00_-_Year_wise/Devotional_Nectar_-_2010/2010-01-17_SB_04-30-08_HH_RNS_at_SJM_Bangalore.mp3", "2010-01-17_SB_04-30-08_HH_RNS_at_SJM_Bangalore.mp3")</f>
        <v>2010-01-17_SB_04-30-08_HH_RNS_at_SJM_Bangalore.mp3</v>
      </c>
      <c r="D2471" s="11"/>
      <c r="E2471" s="11"/>
    </row>
    <row r="2472" spans="1:5">
      <c r="A2472" s="12" t="s">
        <v>12462</v>
      </c>
      <c r="B2472" s="12" t="s">
        <v>15258</v>
      </c>
      <c r="C2472" s="13" t="str">
        <f>HYPERLINK("https://audio.iskcondesiretree.com/02_-_ISKCON_Swamis/ISKCON_Swamis_-_R_to_Y/His_Holiness_Radhanath_Swami/Lectures/00_-_Year_wise/Devotional_Nectar_-_2010/2010-01-31_Festivals_-_Lecture_at_Juhu_Rath_Yatra_-_Radhanath_Swami_Juhu.mp3", "2010-01-31_Festivals_-_Lecture_at_Juhu_Rath_Yatra_-_Radhanath_Swami_Juhu.mp3")</f>
        <v>2010-01-31_Festivals_-_Lecture_at_Juhu_Rath_Yatra_-_Radhanath_Swami_Juhu.mp3</v>
      </c>
      <c r="D2472" s="11"/>
      <c r="E2472" s="11"/>
    </row>
    <row r="2473" spans="1:5">
      <c r="A2473" s="12" t="s">
        <v>12462</v>
      </c>
      <c r="B2473" s="12" t="e">
        <v>#VALUE!</v>
      </c>
      <c r="C2473" s="13" t="e">
        <f>HYPERLINK("https://audio.iskcondesiretree.com/02_-_ISKCON_Swamis/ISKCON_Swamis_-_R_to_Y/His_Holiness_Radhanath_Swami/Lectures/00_-_Year_wise/Devotional_Nectar_-_2010/2010-01-31_Various_-_Sunday_Feast-Krishna_Consciousness_is_the_Real_Wealth_-_Radhanath_Swami_Mumbai."&amp;"mp3", "2010-01-31_Various_-_Sunday_Feast-Krishna_Consciousness_is_the_Real_Wealth_-_Radhanath_Swami_Mumbai.mp3")</f>
        <v>#VALUE!</v>
      </c>
      <c r="D2473" s="11"/>
      <c r="E2473" s="11"/>
    </row>
    <row r="2474" spans="1:5">
      <c r="A2474" s="12" t="s">
        <v>12462</v>
      </c>
      <c r="B2474" s="12" t="s">
        <v>15259</v>
      </c>
      <c r="C2474" s="13" t="str">
        <f>HYPERLINK("https://audio.iskcondesiretree.com/02_-_ISKCON_Swamis/ISKCON_Swamis_-_R_to_Y/His_Holiness_Radhanath_Swami/Lectures/00_-_Year_wise/Devotional_Nectar_-_2010/2010-02-04_HH_Radhanath_Swami_-_at_KPP.mp3", "2010-02-04_HH_Radhanath_Swami_-_at_KPP.mp3")</f>
        <v>2010-02-04_HH_Radhanath_Swami_-_at_KPP.mp3</v>
      </c>
      <c r="D2474" s="11"/>
      <c r="E2474" s="11"/>
    </row>
    <row r="2475" spans="1:5">
      <c r="A2475" s="12" t="s">
        <v>12462</v>
      </c>
      <c r="B2475" s="12" t="s">
        <v>15260</v>
      </c>
      <c r="C2475" s="13" t="str">
        <f>HYPERLINK("https://audio.iskcondesiretree.com/02_-_ISKCON_Swamis/ISKCON_Swamis_-_R_to_Y/His_Holiness_Radhanath_Swami/Lectures/00_-_Year_wise/Devotional_Nectar_-_2010/2010-02-04_SB_class_ISKCON_Vrindavan_Radhanath_Swami.mp3", "2010-02-04_SB_class_ISKCON_Vrindavan_Radhanath_Swami.mp3")</f>
        <v>2010-02-04_SB_class_ISKCON_Vrindavan_Radhanath_Swami.mp3</v>
      </c>
      <c r="D2475" s="11"/>
      <c r="E2475" s="11"/>
    </row>
    <row r="2476" spans="1:5">
      <c r="A2476" s="12" t="s">
        <v>12462</v>
      </c>
      <c r="B2476" s="12" t="s">
        <v>15261</v>
      </c>
      <c r="C2476" s="13" t="str">
        <f>HYPERLINK("https://audio.iskcondesiretree.com/02_-_ISKCON_Swamis/ISKCON_Swamis_-_R_to_Y/His_Holiness_Radhanath_Swami/Lectures/00_-_Year_wise/Devotional_Nectar_-_2010/2010-02-12_SB_08-07-39_Mayapur_Radhanath_Swami.mp3", "2010-02-12_SB_08-07-39_Mayapur_Radhanath_Swami.mp3")</f>
        <v>2010-02-12_SB_08-07-39_Mayapur_Radhanath_Swami.mp3</v>
      </c>
      <c r="D2476" s="11"/>
      <c r="E2476" s="11"/>
    </row>
    <row r="2477" spans="1:5">
      <c r="A2477" s="12" t="s">
        <v>12462</v>
      </c>
      <c r="B2477" s="12" t="s">
        <v>15262</v>
      </c>
      <c r="C2477" s="13" t="str">
        <f>HYPERLINK("https://audio.iskcondesiretree.com/02_-_ISKCON_Swamis/ISKCON_Swamis_-_R_to_Y/His_Holiness_Radhanath_Swami/Lectures/00_-_Year_wise/Devotional_Nectar_-_2010/2010-02-21_Vyasa_Puja_Mumbai_Radhanath_Swami.mp3", "2010-02-21_Vyasa_Puja_Mumbai_Radhanath_Swami.mp3")</f>
        <v>2010-02-21_Vyasa_Puja_Mumbai_Radhanath_Swami.mp3</v>
      </c>
      <c r="D2477" s="11"/>
      <c r="E2477" s="11"/>
    </row>
    <row r="2478" spans="1:5">
      <c r="A2478" s="12" t="s">
        <v>12462</v>
      </c>
      <c r="B2478" s="12" t="s">
        <v>15263</v>
      </c>
      <c r="C2478" s="13" t="str">
        <f>HYPERLINK("https://audio.iskcondesiretree.com/02_-_ISKCON_Swamis/ISKCON_Swamis_-_R_to_Y/His_Holiness_Radhanath_Swami/Lectures/00_-_Year_wise/Devotional_Nectar_-_2010/2010-02-21_Vyasa_Puja_Offering_Radhanath_Swami.mp3", "2010-02-21_Vyasa_Puja_Offering_Radhanath_Swami.mp3")</f>
        <v>2010-02-21_Vyasa_Puja_Offering_Radhanath_Swami.mp3</v>
      </c>
      <c r="D2478" s="11"/>
      <c r="E2478" s="11"/>
    </row>
    <row r="2479" spans="1:5">
      <c r="A2479" s="12" t="s">
        <v>12462</v>
      </c>
      <c r="B2479" s="12" t="s">
        <v>15264</v>
      </c>
      <c r="C2479" s="13" t="str">
        <f>HYPERLINK("https://audio.iskcondesiretree.com/02_-_ISKCON_Swamis/ISKCON_Swamis_-_R_to_Y/His_Holiness_Radhanath_Swami/Lectures/00_-_Year_wise/Devotional_Nectar_-_2010/2010-02-27_CC_Madhya_06-255_-_Love_In_Separation_-_Radhanatha_Swami_ISKCON_Chowpatty.mp3", "2010-02-27_CC_Madhya_06-255_-_Love_In_Separation_-_Radhanatha_Swami_ISKCON_Chowpatty.mp3")</f>
        <v>2010-02-27_CC_Madhya_06-255_-_Love_In_Separation_-_Radhanatha_Swami_ISKCON_Chowpatty.mp3</v>
      </c>
      <c r="D2479" s="11"/>
      <c r="E2479" s="11"/>
    </row>
    <row r="2480" spans="1:5">
      <c r="A2480" s="12" t="s">
        <v>12462</v>
      </c>
      <c r="B2480" s="12" t="s">
        <v>15265</v>
      </c>
      <c r="C2480" s="13" t="str">
        <f>HYPERLINK("https://audio.iskcondesiretree.com/02_-_ISKCON_Swamis/ISKCON_Swamis_-_R_to_Y/His_Holiness_Radhanath_Swami/Lectures/00_-_Year_wise/Devotional_Nectar_-_2010/2010-02-27_Gaur_Leela-Eve%20Lec_-_Radhanath_Swami_ISKCON_Chowpatty.mp3", "2010-02-27_Gaur_Leela-Eve%20Lec_-_Radhanath_Swami_ISKCON_Chowpatty.mp3")</f>
        <v>2010-02-27_Gaur_Leela-Eve%20Lec_-_Radhanath_Swami_ISKCON_Chowpatty.mp3</v>
      </c>
      <c r="D2480" s="11"/>
      <c r="E2480" s="11"/>
    </row>
    <row r="2481" spans="1:5">
      <c r="A2481" s="12" t="s">
        <v>12462</v>
      </c>
      <c r="B2481" s="12" t="s">
        <v>15266</v>
      </c>
      <c r="C2481" s="13" t="str">
        <f>HYPERLINK("https://audio.iskcondesiretree.com/02_-_ISKCON_Swamis/ISKCON_Swamis_-_R_to_Y/His_Holiness_Radhanath_Swami/Lectures/00_-_Year_wise/Devotional_Nectar_-_2010/2010-02-28_CC_Madhya_06-254_-_Gaur_Leela_-_Radhanath_Swami_ISKCON_Chowpatty.mp3", "2010-02-28_CC_Madhya_06-254_-_Gaur_Leela_-_Radhanath_Swami_ISKCON_Chowpatty.mp3")</f>
        <v>2010-02-28_CC_Madhya_06-254_-_Gaur_Leela_-_Radhanath_Swami_ISKCON_Chowpatty.mp3</v>
      </c>
      <c r="D2481" s="11"/>
      <c r="E2481" s="11"/>
    </row>
    <row r="2482" spans="1:5">
      <c r="A2482" s="12" t="s">
        <v>12462</v>
      </c>
      <c r="B2482" s="12" t="s">
        <v>15267</v>
      </c>
      <c r="C2482" s="13" t="str">
        <f>HYPERLINK("https://audio.iskcondesiretree.com/02_-_ISKCON_Swamis/ISKCON_Swamis_-_R_to_Y/His_Holiness_Radhanath_Swami/Lectures/00_-_Year_wise/Devotional_Nectar_-_2010/2010-02-28_Gaur_Leela_-_Radhanath_Swami_ISKCON_Chowpatty.mp3", "2010-02-28_Gaur_Leela_-_Radhanath_Swami_ISKCON_Chowpatty.mp3")</f>
        <v>2010-02-28_Gaur_Leela_-_Radhanath_Swami_ISKCON_Chowpatty.mp3</v>
      </c>
      <c r="D2482" s="11"/>
      <c r="E2482" s="11"/>
    </row>
    <row r="2483" spans="1:5">
      <c r="A2483" s="12" t="s">
        <v>12462</v>
      </c>
      <c r="B2483" s="12" t="s">
        <v>15268</v>
      </c>
      <c r="C2483" s="13" t="str">
        <f>HYPERLINK("https://audio.iskcondesiretree.com/02_-_ISKCON_Swamis/ISKCON_Swamis_-_R_to_Y/His_Holiness_Radhanath_Swami/Lectures/00_-_Year_wise/Devotional_Nectar_-_2010/2010-03-04_Various_-_Ishta_Goshti_-_Radhanath_Swami_Mumbai.mp3", "2010-03-04_Various_-_Ishta_Goshti_-_Radhanath_Swami_Mumbai.mp3")</f>
        <v>2010-03-04_Various_-_Ishta_Goshti_-_Radhanath_Swami_Mumbai.mp3</v>
      </c>
      <c r="D2483" s="11"/>
      <c r="E2483" s="11"/>
    </row>
    <row r="2484" spans="1:5">
      <c r="A2484" s="12" t="s">
        <v>12462</v>
      </c>
      <c r="B2484" s="12" t="s">
        <v>15269</v>
      </c>
      <c r="C2484" s="13" t="str">
        <f>HYPERLINK("https://audio.iskcondesiretree.com/02_-_ISKCON_Swamis/ISKCON_Swamis_-_R_to_Y/His_Holiness_Radhanath_Swami/Lectures/00_-_Year_wise/Devotional_Nectar_-_2010/2010-03-06_-_Prerna_Festival_-_Vedic_Perspective_Of_Climatic_Change_-_Radhanath_Swami.mp3", "2010-03-06_-_Prerna_Festival_-_Vedic_Perspective_Of_Climatic_Change_-_Radhanath_Swami.mp3")</f>
        <v>2010-03-06_-_Prerna_Festival_-_Vedic_Perspective_Of_Climatic_Change_-_Radhanath_Swami.mp3</v>
      </c>
      <c r="D2484" s="11"/>
      <c r="E2484" s="11"/>
    </row>
    <row r="2485" spans="1:5">
      <c r="A2485" s="12" t="s">
        <v>12462</v>
      </c>
      <c r="B2485" s="12" t="s">
        <v>15270</v>
      </c>
      <c r="C2485" s="13" t="str">
        <f>HYPERLINK("https://audio.iskcondesiretree.com/02_-_ISKCON_Swamis/ISKCON_Swamis_-_R_to_Y/His_Holiness_Radhanath_Swami/Lectures/00_-_Year_wise/Devotional_Nectar_-_2010/2010-03-14_-_Sunday_Feast_-_Glories_Of_Mother_Ganges_-_Radhanath_Swami_ISKCON_Chowpatty.mp3", "2010-03-14_-_Sunday_Feast_-_Glories_Of_Mother_Ganges_-_Radhanath_Swami_ISKCON_Chowpatty.mp3")</f>
        <v>2010-03-14_-_Sunday_Feast_-_Glories_Of_Mother_Ganges_-_Radhanath_Swami_ISKCON_Chowpatty.mp3</v>
      </c>
      <c r="D2485" s="11"/>
      <c r="E2485" s="11"/>
    </row>
    <row r="2486" spans="1:5">
      <c r="A2486" s="12" t="s">
        <v>12462</v>
      </c>
      <c r="B2486" s="12" t="s">
        <v>15271</v>
      </c>
      <c r="C2486" s="13" t="str">
        <f>HYPERLINK("https://audio.iskcondesiretree.com/02_-_ISKCON_Swamis/ISKCON_Swamis_-_R_to_Y/His_Holiness_Radhanath_Swami/Lectures/00_-_Year_wise/Devotional_Nectar_-_2010/2010-03-14_SB_08-14-07-08_-_Realities_Of_Material_Existence_-_Radhanath_Swami_ISKCON_Chowpatty.mp3", "2010-03-14_SB_08-14-07-08_-_Realities_Of_Material_Existence_-_Radhanath_Swami_ISKCON_Chowpatty.mp3")</f>
        <v>2010-03-14_SB_08-14-07-08_-_Realities_Of_Material_Existence_-_Radhanath_Swami_ISKCON_Chowpatty.mp3</v>
      </c>
      <c r="D2486" s="11"/>
      <c r="E2486" s="11"/>
    </row>
    <row r="2487" spans="1:5">
      <c r="A2487" s="12" t="s">
        <v>12462</v>
      </c>
      <c r="B2487" s="12" t="s">
        <v>15272</v>
      </c>
      <c r="C2487" s="13" t="str">
        <f>HYPERLINK("https://audio.iskcondesiretree.com/02_-_ISKCON_Swamis/ISKCON_Swamis_-_R_to_Y/His_Holiness_Radhanath_Swami/Lectures/00_-_Year_wise/Devotional_Nectar_-_2010/2010-03-18_Devotees_taking_initiation_vows_Radhanath_Swami.MP3", "2010-03-18_Devotees_taking_initiation_vows_Radhanath_Swami.MP3")</f>
        <v>2010-03-18_Devotees_taking_initiation_vows_Radhanath_Swami.MP3</v>
      </c>
      <c r="D2487" s="11"/>
      <c r="E2487" s="11"/>
    </row>
    <row r="2488" spans="1:5">
      <c r="A2488" s="12" t="s">
        <v>12462</v>
      </c>
      <c r="B2488" s="12" t="s">
        <v>15273</v>
      </c>
      <c r="C2488" s="13" t="str">
        <f>HYPERLINK("https://audio.iskcondesiretree.com/02_-_ISKCON_Swamis/ISKCON_Swamis_-_R_to_Y/His_Holiness_Radhanath_Swami/Lectures/00_-_Year_wise/Devotional_Nectar_-_2010/2010-03-18_Initiation_is_saying_thank_you_to_Krishna_-_initiation_lect_-_Radhanath_Swami_Pune.MP3", "2010-03-18_Initiation_is_saying_thank_you_to_Krishna_-_initiation_lect_-_Radhanath_Swami_Pune.MP3")</f>
        <v>2010-03-18_Initiation_is_saying_thank_you_to_Krishna_-_initiation_lect_-_Radhanath_Swami_Pune.MP3</v>
      </c>
      <c r="D2488" s="11"/>
      <c r="E2488" s="11"/>
    </row>
    <row r="2489" spans="1:5">
      <c r="A2489" s="12" t="s">
        <v>12462</v>
      </c>
      <c r="B2489" s="12" t="s">
        <v>15274</v>
      </c>
      <c r="C2489" s="13" t="str">
        <f>HYPERLINK("https://audio.iskcondesiretree.com/02_-_ISKCON_Swamis/ISKCON_Swamis_-_R_to_Y/His_Holiness_Radhanath_Swami/Lectures/00_-_Year_wise/Devotional_Nectar_-_2010/2010-03-20_Lakshmi_Narayan_Festival_-_Radhanath_Swami_And_Chandramouli_Swami.mp3", "2010-03-20_Lakshmi_Narayan_Festival_-_Radhanath_Swami_And_Chandramouli_Swami.mp3")</f>
        <v>2010-03-20_Lakshmi_Narayan_Festival_-_Radhanath_Swami_And_Chandramouli_Swami.mp3</v>
      </c>
      <c r="D2489" s="11"/>
      <c r="E2489" s="11"/>
    </row>
    <row r="2490" spans="1:5">
      <c r="A2490" s="12" t="s">
        <v>12462</v>
      </c>
      <c r="B2490" s="12" t="s">
        <v>15275</v>
      </c>
      <c r="C2490" s="13" t="str">
        <f>HYPERLINK("https://audio.iskcondesiretree.com/02_-_ISKCON_Swamis/ISKCON_Swamis_-_R_to_Y/His_Holiness_Radhanath_Swami/Lectures/00_-_Year_wise/Devotional_Nectar_-_2010/2010-03-21_Various_-_Sunday_Feast-Coperating_for_Higher_Purpose_-_Radhanath_Swami_Mumbai.mp3", "2010-03-21_Various_-_Sunday_Feast-Coperating_for_Higher_Purpose_-_Radhanath_Swami_Mumbai.mp3")</f>
        <v>2010-03-21_Various_-_Sunday_Feast-Coperating_for_Higher_Purpose_-_Radhanath_Swami_Mumbai.mp3</v>
      </c>
      <c r="D2490" s="11"/>
      <c r="E2490" s="11"/>
    </row>
    <row r="2491" spans="1:5">
      <c r="A2491" s="12" t="s">
        <v>12462</v>
      </c>
      <c r="B2491" s="12" t="s">
        <v>15276</v>
      </c>
      <c r="C2491" s="13" t="str">
        <f>HYPERLINK("https://audio.iskcondesiretree.com/02_-_ISKCON_Swamis/ISKCON_Swamis_-_R_to_Y/His_Holiness_Radhanath_Swami/Lectures/00_-_Year_wise/Devotional_Nectar_-_2010/2010-03-24_Sri_Rama_Navami_-_Lord%27s_Reciprocations_With_His_Pure_Devotees_-_Radhanath_Swami.mp3", "2010-03-24_Sri_Rama_Navami_-_Lord%27s_Reciprocations_With_His_Pure_Devotees_-_Radhanath_Swami.mp3")</f>
        <v>2010-03-24_Sri_Rama_Navami_-_Lord%27s_Reciprocations_With_His_Pure_Devotees_-_Radhanath_Swami.mp3</v>
      </c>
      <c r="D2491" s="11"/>
      <c r="E2491" s="11"/>
    </row>
    <row r="2492" spans="1:5">
      <c r="A2492" s="12" t="s">
        <v>12462</v>
      </c>
      <c r="B2492" s="12" t="s">
        <v>15277</v>
      </c>
      <c r="C2492" s="13" t="str">
        <f>HYPERLINK("https://audio.iskcondesiretree.com/02_-_ISKCON_Swamis/ISKCON_Swamis_-_R_to_Y/His_Holiness_Radhanath_Swami/Lectures/00_-_Year_wise/Devotional_Nectar_-_2010/2010-03-27_Initiation_Lecture_-_Radhanath_Swami_ISKCON_Chowpatty.mp3", "2010-03-27_Initiation_Lecture_-_Radhanath_Swami_ISKCON_Chowpatty.mp3")</f>
        <v>2010-03-27_Initiation_Lecture_-_Radhanath_Swami_ISKCON_Chowpatty.mp3</v>
      </c>
      <c r="D2492" s="11"/>
      <c r="E2492" s="11"/>
    </row>
    <row r="2493" spans="1:5">
      <c r="A2493" s="12" t="s">
        <v>12462</v>
      </c>
      <c r="B2493" s="12" t="s">
        <v>15278</v>
      </c>
      <c r="C2493" s="13" t="str">
        <f>HYPERLINK("https://audio.iskcondesiretree.com/02_-_ISKCON_Swamis/ISKCON_Swamis_-_R_to_Y/His_Holiness_Radhanath_Swami/Lectures/00_-_Year_wise/Devotional_Nectar_-_2010/2010-03-28_SB-08-16-06_-_Principles_Of_Hospitality_-_Radhanath_Swami_ISKCON_Chowpatty.mp3", "2010-03-28_SB-08-16-06_-_Principles_Of_Hospitality_-_Radhanath_Swami_ISKCON_Chowpatty.mp3")</f>
        <v>2010-03-28_SB-08-16-06_-_Principles_Of_Hospitality_-_Radhanath_Swami_ISKCON_Chowpatty.mp3</v>
      </c>
      <c r="D2493" s="11"/>
      <c r="E2493" s="11"/>
    </row>
    <row r="2494" spans="1:5">
      <c r="A2494" s="12" t="s">
        <v>12462</v>
      </c>
      <c r="B2494" s="12" t="e">
        <v>#VALUE!</v>
      </c>
      <c r="C2494" s="13" t="e">
        <f>HYPERLINK("https://audio.iskcondesiretree.com/02_-_ISKCON_Swamis/ISKCON_Swamis_-_R_to_Y/His_Holiness_Radhanath_Swami/Lectures/00_-_Year_wise/Devotional_Nectar_-_2010/2010-03-30_Hanuman_Jayanti_-_Hanumanji%27s_Loyalty_And_Determination_-_Radhanath_Swami_ISKCON_Chowpa"&amp;"tty.mp3", "2010-03-30_Hanuman_Jayanti_-_Hanumanji%27s_Loyalty_And_Determination_-_Radhanath_Swami_ISKCON_Chowpatty.mp3")</f>
        <v>#VALUE!</v>
      </c>
      <c r="D2494" s="11"/>
      <c r="E2494" s="11"/>
    </row>
    <row r="2495" spans="1:5">
      <c r="A2495" s="12" t="s">
        <v>12462</v>
      </c>
      <c r="B2495" s="12" t="s">
        <v>15279</v>
      </c>
      <c r="C2495" s="13" t="str">
        <f>HYPERLINK("https://audio.iskcondesiretree.com/02_-_ISKCON_Swamis/ISKCON_Swamis_-_R_to_Y/His_Holiness_Radhanath_Swami/Lectures/00_-_Year_wise/Devotional_Nectar_-_2010/2010-03-30_Initiation_Lecture-Brahmacaris_And_Their_Parents_-_Radhanath_Swami_ISKCON_Chowpatty.mp3", "2010-03-30_Initiation_Lecture-Brahmacaris_And_Their_Parents_-_Radhanath_Swami_ISKCON_Chowpatty.mp3")</f>
        <v>2010-03-30_Initiation_Lecture-Brahmacaris_And_Their_Parents_-_Radhanath_Swami_ISKCON_Chowpatty.mp3</v>
      </c>
      <c r="D2495" s="11"/>
      <c r="E2495" s="11"/>
    </row>
    <row r="2496" spans="1:5">
      <c r="A2496" s="12" t="s">
        <v>12462</v>
      </c>
      <c r="B2496" s="12" t="s">
        <v>15280</v>
      </c>
      <c r="C2496" s="13" t="str">
        <f>HYPERLINK("https://audio.iskcondesiretree.com/02_-_ISKCON_Swamis/ISKCON_Swamis_-_R_to_Y/His_Holiness_Radhanath_Swami/Lectures/00_-_Year_wise/Devotional_Nectar_-_2010/2010-04-01_SB_Radhanath_Swami_ISKCON_Delhi_-_Radhanath_Swami.mp3", "2010-04-01_SB_Radhanath_Swami_ISKCON_Delhi_-_Radhanath_Swami.mp3")</f>
        <v>2010-04-01_SB_Radhanath_Swami_ISKCON_Delhi_-_Radhanath_Swami.mp3</v>
      </c>
      <c r="D2496" s="11"/>
      <c r="E2496" s="11"/>
    </row>
    <row r="2497" spans="1:5">
      <c r="A2497" s="12" t="s">
        <v>12462</v>
      </c>
      <c r="B2497" s="12" t="s">
        <v>15281</v>
      </c>
      <c r="C2497" s="13" t="str">
        <f>HYPERLINK("https://audio.iskcondesiretree.com/02_-_ISKCON_Swamis/ISKCON_Swamis_-_R_to_Y/His_Holiness_Radhanath_Swami/Lectures/00_-_Year_wise/Devotional_Nectar_-_2010/2010-04-10_Prerna_Festival_-_In_Search_Of_Lost_Love_-_Radhanath_Swami_ISKCON_Chowpatty.mp3", "2010-04-10_Prerna_Festival_-_In_Search_Of_Lost_Love_-_Radhanath_Swami_ISKCON_Chowpatty.mp3")</f>
        <v>2010-04-10_Prerna_Festival_-_In_Search_Of_Lost_Love_-_Radhanath_Swami_ISKCON_Chowpatty.mp3</v>
      </c>
      <c r="D2497" s="11"/>
      <c r="E2497" s="11"/>
    </row>
    <row r="2498" spans="1:5">
      <c r="A2498" s="12" t="s">
        <v>12462</v>
      </c>
      <c r="B2498" s="12" t="s">
        <v>15282</v>
      </c>
      <c r="C2498" s="13" t="str">
        <f>HYPERLINK("https://audio.iskcondesiretree.com/02_-_ISKCON_Swamis/ISKCON_Swamis_-_R_to_Y/His_Holiness_Radhanath_Swami/Lectures/00_-_Year_wise/Devotional_Nectar_-_2010/2010-04-11_Sunday_Feast_-_Every_Breath_Is_A_Death_Breath_-_Radhanath_Swami_ISKCON_Chowpatty.mp3", "2010-04-11_Sunday_Feast_-_Every_Breath_Is_A_Death_Breath_-_Radhanath_Swami_ISKCON_Chowpatty.mp3")</f>
        <v>2010-04-11_Sunday_Feast_-_Every_Breath_Is_A_Death_Breath_-_Radhanath_Swami_ISKCON_Chowpatty.mp3</v>
      </c>
      <c r="D2498" s="11"/>
      <c r="E2498" s="11"/>
    </row>
    <row r="2499" spans="1:5">
      <c r="A2499" s="12" t="s">
        <v>12462</v>
      </c>
      <c r="B2499" s="12" t="s">
        <v>15283</v>
      </c>
      <c r="C2499" s="13" t="str">
        <f>HYPERLINK("https://audio.iskcondesiretree.com/02_-_ISKCON_Swamis/ISKCON_Swamis_-_R_to_Y/His_Holiness_Radhanath_Swami/Lectures/00_-_Year_wise/Devotional_Nectar_-_2010/2010-04-15_SB_04-23-27_-_Importance_of_Purushottam_Adhika_Masa_-_Radhanath_Swami_Juhu.mp3", "2010-04-15_SB_04-23-27_-_Importance_of_Purushottam_Adhika_Masa_-_Radhanath_Swami_Juhu.mp3")</f>
        <v>2010-04-15_SB_04-23-27_-_Importance_of_Purushottam_Adhika_Masa_-_Radhanath_Swami_Juhu.mp3</v>
      </c>
      <c r="D2499" s="11"/>
      <c r="E2499" s="11"/>
    </row>
    <row r="2500" spans="1:5">
      <c r="A2500" s="12" t="s">
        <v>12462</v>
      </c>
      <c r="B2500" s="12" t="s">
        <v>15284</v>
      </c>
      <c r="C2500" s="13" t="str">
        <f>HYPERLINK("https://audio.iskcondesiretree.com/02_-_ISKCON_Swamis/ISKCON_Swamis_-_R_to_Y/His_Holiness_Radhanath_Swami/Lectures/00_-_Year_wise/Devotional_Nectar_-_2010/2010-04-16_SB_01-02-06_-_Divinity_and_Divine_Service_-_Radhanath_Swami_Mumbai.mp3", "2010-04-16_SB_01-02-06_-_Divinity_and_Divine_Service_-_Radhanath_Swami_Mumbai.mp3")</f>
        <v>2010-04-16_SB_01-02-06_-_Divinity_and_Divine_Service_-_Radhanath_Swami_Mumbai.mp3</v>
      </c>
      <c r="D2500" s="11"/>
      <c r="E2500" s="11"/>
    </row>
    <row r="2501" spans="1:5">
      <c r="A2501" s="12" t="s">
        <v>12462</v>
      </c>
      <c r="B2501" s="12" t="s">
        <v>15285</v>
      </c>
      <c r="C2501" s="13" t="str">
        <f>HYPERLINK("https://audio.iskcondesiretree.com/02_-_ISKCON_Swamis/ISKCON_Swamis_-_R_to_Y/His_Holiness_Radhanath_Swami/Lectures/00_-_Year_wise/Devotional_Nectar_-_2010/2010-04-18_Various_-_Every_Moment_is_a_Chance_to_Love_Krishna_-_Radhanath_Swami_Mumbai.mp3", "2010-04-18_Various_-_Every_Moment_is_a_Chance_to_Love_Krishna_-_Radhanath_Swami_Mumbai.mp3")</f>
        <v>2010-04-18_Various_-_Every_Moment_is_a_Chance_to_Love_Krishna_-_Radhanath_Swami_Mumbai.mp3</v>
      </c>
      <c r="D2501" s="11"/>
      <c r="E2501" s="11"/>
    </row>
    <row r="2502" spans="1:5">
      <c r="A2502" s="12" t="s">
        <v>12462</v>
      </c>
      <c r="B2502" s="12" t="s">
        <v>15286</v>
      </c>
      <c r="C2502" s="13" t="str">
        <f>HYPERLINK("https://audio.iskcondesiretree.com/02_-_ISKCON_Swamis/ISKCON_Swamis_-_R_to_Y/His_Holiness_Radhanath_Swami/Lectures/00_-_Year_wise/Devotional_Nectar_-_2010/2010-04-23_-_Evening_Class_-_Radhanath_Swami.mp3", "2010-04-23_-_Evening_Class_-_Radhanath_Swami.mp3")</f>
        <v>2010-04-23_-_Evening_Class_-_Radhanath_Swami.mp3</v>
      </c>
      <c r="D2502" s="11"/>
      <c r="E2502" s="11"/>
    </row>
    <row r="2503" spans="1:5">
      <c r="A2503" s="12" t="s">
        <v>12462</v>
      </c>
      <c r="B2503" s="12" t="s">
        <v>15287</v>
      </c>
      <c r="C2503" s="13" t="str">
        <f>HYPERLINK("https://audio.iskcondesiretree.com/02_-_ISKCON_Swamis/ISKCON_Swamis_-_R_to_Y/His_Holiness_Radhanath_Swami/Lectures/00_-_Year_wise/Devotional_Nectar_-_2010/2010-04-23_Various_-_Vaikuntha_is_the_residence_of_Lord_-_Radhanath_Sw_Bhaktivedanta_Manor.mp3", "2010-04-23_Various_-_Vaikuntha_is_the_residence_of_Lord_-_Radhanath_Sw_Bhaktivedanta_Manor.mp3")</f>
        <v>2010-04-23_Various_-_Vaikuntha_is_the_residence_of_Lord_-_Radhanath_Sw_Bhaktivedanta_Manor.mp3</v>
      </c>
      <c r="D2503" s="11"/>
      <c r="E2503" s="11"/>
    </row>
    <row r="2504" spans="1:5">
      <c r="A2504" s="12" t="s">
        <v>12462</v>
      </c>
      <c r="B2504" s="12" t="s">
        <v>15288</v>
      </c>
      <c r="C2504" s="13" t="str">
        <f>HYPERLINK("https://audio.iskcondesiretree.com/02_-_ISKCON_Swamis/ISKCON_Swamis_-_R_to_Y/His_Holiness_Radhanath_Swami/Lectures/00_-_Year_wise/Devotional_Nectar_-_2010/2010-04-24_-_Initiation_Address_-_Radhanath_Swami.mp3", "2010-04-24_-_Initiation_Address_-_Radhanath_Swami.mp3")</f>
        <v>2010-04-24_-_Initiation_Address_-_Radhanath_Swami.mp3</v>
      </c>
      <c r="D2504" s="11"/>
      <c r="E2504" s="11"/>
    </row>
    <row r="2505" spans="1:5">
      <c r="A2505" s="12" t="s">
        <v>12462</v>
      </c>
      <c r="B2505" s="12" t="s">
        <v>15289</v>
      </c>
      <c r="C2505" s="13" t="str">
        <f>HYPERLINK("https://audio.iskcondesiretree.com/02_-_ISKCON_Swamis/ISKCON_Swamis_-_R_to_Y/His_Holiness_Radhanath_Swami/Lectures/00_-_Year_wise/Devotional_Nectar_-_2010/2010-04-26_Festivals_-_Govardhan_Puja_-_Radhanath_Swami_New_York.mp3", "2010-04-26_Festivals_-_Govardhan_Puja_-_Radhanath_Swami_New_York.mp3")</f>
        <v>2010-04-26_Festivals_-_Govardhan_Puja_-_Radhanath_Swami_New_York.mp3</v>
      </c>
      <c r="D2505" s="11"/>
      <c r="E2505" s="11"/>
    </row>
    <row r="2506" spans="1:5">
      <c r="A2506" s="12" t="s">
        <v>12462</v>
      </c>
      <c r="B2506" s="12" t="s">
        <v>15290</v>
      </c>
      <c r="C2506" s="13" t="str">
        <f>HYPERLINK("https://audio.iskcondesiretree.com/02_-_ISKCON_Swamis/ISKCON_Swamis_-_R_to_Y/His_Holiness_Radhanath_Swami/Lectures/00_-_Year_wise/Devotional_Nectar_-_2010/2010-04-29_-_SB_Class_-_Radhanath_Swami_New_York_City.mp3", "2010-04-29_-_SB_Class_-_Radhanath_Swami_New_York_City.mp3")</f>
        <v>2010-04-29_-_SB_Class_-_Radhanath_Swami_New_York_City.mp3</v>
      </c>
      <c r="D2506" s="11"/>
      <c r="E2506" s="11"/>
    </row>
    <row r="2507" spans="1:5">
      <c r="A2507" s="12" t="s">
        <v>12462</v>
      </c>
      <c r="B2507" s="12" t="s">
        <v>15291</v>
      </c>
      <c r="C2507" s="13" t="str">
        <f>HYPERLINK("https://audio.iskcondesiretree.com/02_-_ISKCON_Swamis/ISKCON_Swamis_-_R_to_Y/His_Holiness_Radhanath_Swami/Lectures/00_-_Year_wise/Devotional_Nectar_-_2010/2010-05-28_Krishna_Balaram_Pastimes_-_Radhanath_Swami_ISKCON_Alachua.mp3", "2010-05-28_Krishna_Balaram_Pastimes_-_Radhanath_Swami_ISKCON_Alachua.mp3")</f>
        <v>2010-05-28_Krishna_Balaram_Pastimes_-_Radhanath_Swami_ISKCON_Alachua.mp3</v>
      </c>
      <c r="D2507" s="11"/>
      <c r="E2507" s="11"/>
    </row>
    <row r="2508" spans="1:5">
      <c r="A2508" s="12" t="s">
        <v>12462</v>
      </c>
      <c r="B2508" s="12" t="s">
        <v>15292</v>
      </c>
      <c r="C2508" s="13" t="str">
        <f>HYPERLINK("https://audio.iskcondesiretree.com/02_-_ISKCON_Swamis/ISKCON_Swamis_-_R_to_Y/His_Holiness_Radhanath_Swami/Lectures/00_-_Year_wise/Devotional_Nectar_-_2010/2010-06-02_-_Morning_Class_-_Radhanath_Swami_Alachua_Florida.mp3", "2010-06-02_-_Morning_Class_-_Radhanath_Swami_Alachua_Florida.mp3")</f>
        <v>2010-06-02_-_Morning_Class_-_Radhanath_Swami_Alachua_Florida.mp3</v>
      </c>
      <c r="D2508" s="11"/>
      <c r="E2508" s="11"/>
    </row>
    <row r="2509" spans="1:5">
      <c r="A2509" s="12" t="s">
        <v>12462</v>
      </c>
      <c r="B2509" s="12" t="s">
        <v>15293</v>
      </c>
      <c r="C2509" s="13" t="str">
        <f>HYPERLINK("https://audio.iskcondesiretree.com/02_-_ISKCON_Swamis/ISKCON_Swamis_-_R_to_Y/His_Holiness_Radhanath_Swami/Lectures/00_-_Year_wise/Devotional_Nectar_-_2010/2010-06-20_Evening_Lecture_-_Radhanath_Swami_Amsterdam.mp3", "2010-06-20_Evening_Lecture_-_Radhanath_Swami_Amsterdam.mp3")</f>
        <v>2010-06-20_Evening_Lecture_-_Radhanath_Swami_Amsterdam.mp3</v>
      </c>
      <c r="D2509" s="11"/>
      <c r="E2509" s="11"/>
    </row>
    <row r="2510" spans="1:5">
      <c r="A2510" s="12" t="s">
        <v>12462</v>
      </c>
      <c r="B2510" s="12" t="s">
        <v>15294</v>
      </c>
      <c r="C2510" s="13" t="str">
        <f>HYPERLINK("https://audio.iskcondesiretree.com/02_-_ISKCON_Swamis/ISKCON_Swamis_-_R_to_Y/His_Holiness_Radhanath_Swami/Lectures/00_-_Year_wise/Devotional_Nectar_-_2010/2010-06-20_Morning_Lecture_-_Radhanath_Swami_Amsterdam.mp3", "2010-06-20_Morning_Lecture_-_Radhanath_Swami_Amsterdam.mp3")</f>
        <v>2010-06-20_Morning_Lecture_-_Radhanath_Swami_Amsterdam.mp3</v>
      </c>
      <c r="D2510" s="11"/>
      <c r="E2510" s="11"/>
    </row>
    <row r="2511" spans="1:5">
      <c r="A2511" s="12" t="s">
        <v>12462</v>
      </c>
      <c r="B2511" s="12" t="s">
        <v>15295</v>
      </c>
      <c r="C2511" s="13" t="str">
        <f>HYPERLINK("https://audio.iskcondesiretree.com/02_-_ISKCON_Swamis/ISKCON_Swamis_-_R_to_Y/His_Holiness_Radhanath_Swami/Lectures/00_-_Year_wise/Devotional_Nectar_-_2010/2010-06-21_Desciple_Gathering_Rotterdam_-_Radhanath_Swami_and%20Dhananjaya_Das_Netherland.mp3", "2010-06-21_Desciple_Gathering_Rotterdam_-_Radhanath_Swami_and%20Dhananjaya_Das_Netherland.mp3")</f>
        <v>2010-06-21_Desciple_Gathering_Rotterdam_-_Radhanath_Swami_and%20Dhananjaya_Das_Netherland.mp3</v>
      </c>
      <c r="D2511" s="11"/>
      <c r="E2511" s="11"/>
    </row>
    <row r="2512" spans="1:5">
      <c r="A2512" s="12" t="s">
        <v>12462</v>
      </c>
      <c r="B2512" s="12" t="s">
        <v>15296</v>
      </c>
      <c r="C2512" s="13" t="str">
        <f>HYPERLINK("https://audio.iskcondesiretree.com/02_-_ISKCON_Swamis/ISKCON_Swamis_-_R_to_Y/His_Holiness_Radhanath_Swami/Lectures/00_-_Year_wise/Devotional_Nectar_-_2010/2010-06-22_SB_04-28-27_-_Radhanath_Swami_Radhadesh.mp3", "2010-06-22_SB_04-28-27_-_Radhanath_Swami_Radhadesh.mp3")</f>
        <v>2010-06-22_SB_04-28-27_-_Radhanath_Swami_Radhadesh.mp3</v>
      </c>
      <c r="D2512" s="11"/>
      <c r="E2512" s="11"/>
    </row>
    <row r="2513" spans="1:5">
      <c r="A2513" s="12" t="s">
        <v>12462</v>
      </c>
      <c r="B2513" s="12" t="s">
        <v>15297</v>
      </c>
      <c r="C2513" s="13" t="str">
        <f>HYPERLINK("https://audio.iskcondesiretree.com/02_-_ISKCON_Swamis/ISKCON_Swamis_-_R_to_Y/His_Holiness_Radhanath_Swami/Lectures/00_-_Year_wise/Devotional_Nectar_-_2010/2010-06-23_-_Reception_of_Devotees_-_Radhanath_Swami_Kiev.mp3", "2010-06-23_-_Reception_of_Devotees_-_Radhanath_Swami_Kiev.mp3")</f>
        <v>2010-06-23_-_Reception_of_Devotees_-_Radhanath_Swami_Kiev.mp3</v>
      </c>
      <c r="D2513" s="11"/>
      <c r="E2513" s="11"/>
    </row>
    <row r="2514" spans="1:5">
      <c r="A2514" s="12" t="s">
        <v>12462</v>
      </c>
      <c r="B2514" s="12" t="s">
        <v>15298</v>
      </c>
      <c r="C2514" s="13" t="str">
        <f>HYPERLINK("https://audio.iskcondesiretree.com/02_-_ISKCON_Swamis/ISKCON_Swamis_-_R_to_Y/His_Holiness_Radhanath_Swami/Lectures/00_-_Year_wise/Devotional_Nectar_-_2010/2010-06-24_-_Raghunatha_Das_Goswami_-_Radhanath_Swami_Kiev.mp3", "2010-06-24_-_Raghunatha_Das_Goswami_-_Radhanath_Swami_Kiev.mp3")</f>
        <v>2010-06-24_-_Raghunatha_Das_Goswami_-_Radhanath_Swami_Kiev.mp3</v>
      </c>
      <c r="D2514" s="11"/>
      <c r="E2514" s="11"/>
    </row>
    <row r="2515" spans="1:5">
      <c r="A2515" s="12" t="s">
        <v>12462</v>
      </c>
      <c r="B2515" s="12" t="s">
        <v>15299</v>
      </c>
      <c r="C2515" s="13" t="str">
        <f>HYPERLINK("https://audio.iskcondesiretree.com/02_-_ISKCON_Swamis/ISKCON_Swamis_-_R_to_Y/His_Holiness_Radhanath_Swami/Lectures/00_-_Year_wise/Devotional_Nectar_-_2010/2010-06-24_Kiev_Ukraine_Radhanath_Swami.mp3", "2010-06-24_Kiev_Ukraine_Radhanath_Swami.mp3")</f>
        <v>2010-06-24_Kiev_Ukraine_Radhanath_Swami.mp3</v>
      </c>
      <c r="D2515" s="11"/>
      <c r="E2515" s="11"/>
    </row>
    <row r="2516" spans="1:5">
      <c r="A2516" s="12" t="s">
        <v>12462</v>
      </c>
      <c r="B2516" s="12" t="s">
        <v>15300</v>
      </c>
      <c r="C2516" s="13" t="str">
        <f>HYPERLINK("https://audio.iskcondesiretree.com/02_-_ISKCON_Swamis/ISKCON_Swamis_-_R_to_Y/His_Holiness_Radhanath_Swami/Lectures/00_-_Year_wise/Devotional_Nectar_-_2010/2010-06-25_-_How_to_percieve_Krishna_in_our_daily_life_-_Radhanath_Swami_and_Niranjan_Swami.mp3", "2010-06-25_-_How_to_percieve_Krishna_in_our_daily_life_-_Radhanath_Swami_and_Niranjan_Swami.mp3")</f>
        <v>2010-06-25_-_How_to_percieve_Krishna_in_our_daily_life_-_Radhanath_Swami_and_Niranjan_Swami.mp3</v>
      </c>
      <c r="D2516" s="11"/>
      <c r="E2516" s="11"/>
    </row>
    <row r="2517" spans="1:5">
      <c r="A2517" s="12" t="s">
        <v>12462</v>
      </c>
      <c r="B2517" s="12" t="s">
        <v>15301</v>
      </c>
      <c r="C2517" s="13" t="str">
        <f>HYPERLINK("https://audio.iskcondesiretree.com/02_-_ISKCON_Swamis/ISKCON_Swamis_-_R_to_Y/His_Holiness_Radhanath_Swami/Lectures/00_-_Year_wise/Devotional_Nectar_-_2010/2010-06-25_Kiev_Ukraine_Radhanath_Swami_with_Niranjana_Swami.mp3", "2010-06-25_Kiev_Ukraine_Radhanath_Swami_with_Niranjana_Swami.mp3")</f>
        <v>2010-06-25_Kiev_Ukraine_Radhanath_Swami_with_Niranjana_Swami.mp3</v>
      </c>
      <c r="D2517" s="11"/>
      <c r="E2517" s="11"/>
    </row>
    <row r="2518" spans="1:5">
      <c r="A2518" s="12" t="s">
        <v>12462</v>
      </c>
      <c r="B2518" s="12" t="s">
        <v>15302</v>
      </c>
      <c r="C2518" s="13" t="str">
        <f>HYPERLINK("https://audio.iskcondesiretree.com/02_-_ISKCON_Swamis/ISKCON_Swamis_-_R_to_Y/His_Holiness_Radhanath_Swami/Lectures/00_-_Year_wise/Devotional_Nectar_-_2010/2010-06-26_-_He_Krishna_Karuna_Sindhu_-_Radhanath_Swami_Kiev.mp3", "2010-06-26_-_He_Krishna_Karuna_Sindhu_-_Radhanath_Swami_Kiev.mp3")</f>
        <v>2010-06-26_-_He_Krishna_Karuna_Sindhu_-_Radhanath_Swami_Kiev.mp3</v>
      </c>
      <c r="D2518" s="11"/>
      <c r="E2518" s="11"/>
    </row>
    <row r="2519" spans="1:5">
      <c r="A2519" s="12" t="s">
        <v>12462</v>
      </c>
      <c r="B2519" s="12" t="s">
        <v>15303</v>
      </c>
      <c r="C2519" s="13" t="str">
        <f>HYPERLINK("https://audio.iskcondesiretree.com/02_-_ISKCON_Swamis/ISKCON_Swamis_-_R_to_Y/His_Holiness_Radhanath_Swami/Lectures/00_-_Year_wise/Devotional_Nectar_-_2010/2010-06-26_-_Lord_Chaitanya_came_to_bestow_gift_of_Pure_Bhakti_-_Radhanath_Swami_Kiev.mp3", "2010-06-26_-_Lord_Chaitanya_came_to_bestow_gift_of_Pure_Bhakti_-_Radhanath_Swami_Kiev.mp3")</f>
        <v>2010-06-26_-_Lord_Chaitanya_came_to_bestow_gift_of_Pure_Bhakti_-_Radhanath_Swami_Kiev.mp3</v>
      </c>
      <c r="D2519" s="11"/>
      <c r="E2519" s="11"/>
    </row>
    <row r="2520" spans="1:5">
      <c r="A2520" s="12" t="s">
        <v>12462</v>
      </c>
      <c r="B2520" s="12" t="s">
        <v>15304</v>
      </c>
      <c r="C2520" s="13" t="str">
        <f>HYPERLINK("https://audio.iskcondesiretree.com/02_-_ISKCON_Swamis/ISKCON_Swamis_-_R_to_Y/His_Holiness_Radhanath_Swami/Lectures/00_-_Year_wise/Devotional_Nectar_-_2010/2010-06-26_Evening_darshan_Kiev_Ukraine_Radhanath_Swami.mp3", "2010-06-26_Evening_darshan_Kiev_Ukraine_Radhanath_Swami.mp3")</f>
        <v>2010-06-26_Evening_darshan_Kiev_Ukraine_Radhanath_Swami.mp3</v>
      </c>
      <c r="D2520" s="11"/>
      <c r="E2520" s="11"/>
    </row>
    <row r="2521" spans="1:5">
      <c r="A2521" s="12" t="s">
        <v>12462</v>
      </c>
      <c r="B2521" s="12" t="s">
        <v>15305</v>
      </c>
      <c r="C2521" s="13" t="str">
        <f>HYPERLINK("https://audio.iskcondesiretree.com/02_-_ISKCON_Swamis/ISKCON_Swamis_-_R_to_Y/His_Holiness_Radhanath_Swami/Lectures/00_-_Year_wise/Devotional_Nectar_-_2010/2010-06-26_Kiev_Ukraine_Radhanath_Swami.mp3", "2010-06-26_Kiev_Ukraine_Radhanath_Swami.mp3")</f>
        <v>2010-06-26_Kiev_Ukraine_Radhanath_Swami.mp3</v>
      </c>
      <c r="D2521" s="11"/>
      <c r="E2521" s="11"/>
    </row>
    <row r="2522" spans="1:5">
      <c r="A2522" s="12" t="s">
        <v>12462</v>
      </c>
      <c r="B2522" s="12" t="s">
        <v>15306</v>
      </c>
      <c r="C2522" s="13" t="str">
        <f>HYPERLINK("https://audio.iskcondesiretree.com/02_-_ISKCON_Swamis/ISKCON_Swamis_-_R_to_Y/His_Holiness_Radhanath_Swami/Lectures/00_-_Year_wise/Devotional_Nectar_-_2010/2010-06-27_-_Sunday_Feast_Program_-_Radhanath_Swami_and_Niranjan_Swami_Kiev.mp3", "2010-06-27_-_Sunday_Feast_Program_-_Radhanath_Swami_and_Niranjan_Swami_Kiev.mp3")</f>
        <v>2010-06-27_-_Sunday_Feast_Program_-_Radhanath_Swami_and_Niranjan_Swami_Kiev.mp3</v>
      </c>
      <c r="D2522" s="11"/>
      <c r="E2522" s="11"/>
    </row>
    <row r="2523" spans="1:5">
      <c r="A2523" s="12" t="s">
        <v>12462</v>
      </c>
      <c r="B2523" s="12" t="s">
        <v>15307</v>
      </c>
      <c r="C2523" s="13" t="str">
        <f>HYPERLINK("https://audio.iskcondesiretree.com/02_-_ISKCON_Swamis/ISKCON_Swamis_-_R_to_Y/His_Holiness_Radhanath_Swami/Lectures/00_-_Year_wise/Devotional_Nectar_-_2010/2010-06-27_Kiev_Ukraine_Radhanath_Swami_with_Niranjana_Swami.mp3", "2010-06-27_Kiev_Ukraine_Radhanath_Swami_with_Niranjana_Swami.mp3")</f>
        <v>2010-06-27_Kiev_Ukraine_Radhanath_Swami_with_Niranjana_Swami.mp3</v>
      </c>
      <c r="D2523" s="11"/>
      <c r="E2523" s="11"/>
    </row>
    <row r="2524" spans="1:5">
      <c r="A2524" s="12" t="s">
        <v>12462</v>
      </c>
      <c r="B2524" s="12" t="s">
        <v>15308</v>
      </c>
      <c r="C2524" s="13" t="str">
        <f>HYPERLINK("https://audio.iskcondesiretree.com/02_-_ISKCON_Swamis/ISKCON_Swamis_-_R_to_Y/His_Holiness_Radhanath_Swami/Lectures/00_-_Year_wise/Devotional_Nectar_-_2010/2010-06-28_-_Initiation_-_Radhanath_Swami_Kiev.mp3", "2010-06-28_-_Initiation_-_Radhanath_Swami_Kiev.mp3")</f>
        <v>2010-06-28_-_Initiation_-_Radhanath_Swami_Kiev.mp3</v>
      </c>
      <c r="D2524" s="11"/>
      <c r="E2524" s="11"/>
    </row>
    <row r="2525" spans="1:5">
      <c r="A2525" s="12" t="s">
        <v>12462</v>
      </c>
      <c r="B2525" s="12" t="s">
        <v>15309</v>
      </c>
      <c r="C2525" s="13" t="str">
        <f>HYPERLINK("https://audio.iskcondesiretree.com/02_-_ISKCON_Swamis/ISKCON_Swamis_-_R_to_Y/His_Holiness_Radhanath_Swami/Lectures/00_-_Year_wise/Devotional_Nectar_-_2010/2010-06-28_-_Initiation_-_Radhanath_Swami_Kiev_Ukraine.mp3", "2010-06-28_-_Initiation_-_Radhanath_Swami_Kiev_Ukraine.mp3")</f>
        <v>2010-06-28_-_Initiation_-_Radhanath_Swami_Kiev_Ukraine.mp3</v>
      </c>
      <c r="D2525" s="11"/>
      <c r="E2525" s="11"/>
    </row>
    <row r="2526" spans="1:5">
      <c r="A2526" s="12" t="s">
        <v>12462</v>
      </c>
      <c r="B2526" s="12" t="s">
        <v>15310</v>
      </c>
      <c r="C2526" s="13" t="str">
        <f>HYPERLINK("https://audio.iskcondesiretree.com/02_-_ISKCON_Swamis/ISKCON_Swamis_-_R_to_Y/His_Holiness_Radhanath_Swami/Lectures/00_-_Year_wise/Devotional_Nectar_-_2010/2010-07-08_Please%20use%20the%20free%20will%20to%20become%20sincere_-_Radhanath_Swami.mp3", "2010-07-08_Please%20use%20the%20free%20will%20to%20become%20sincere_-_Radhanath_Swami.mp3")</f>
        <v>2010-07-08_Please%20use%20the%20free%20will%20to%20become%20sincere_-_Radhanath_Swami.mp3</v>
      </c>
      <c r="D2526" s="11"/>
      <c r="E2526" s="11"/>
    </row>
    <row r="2527" spans="1:5">
      <c r="A2527" s="12" t="s">
        <v>12462</v>
      </c>
      <c r="B2527" s="12" t="s">
        <v>15311</v>
      </c>
      <c r="C2527" s="13" t="str">
        <f>HYPERLINK("https://audio.iskcondesiretree.com/02_-_ISKCON_Swamis/ISKCON_Swamis_-_R_to_Y/His_Holiness_Radhanath_Swami/Lectures/00_-_Year_wise/Devotional_Nectar_-_2010/2010-07-08_Spiritual%20Medicine-1_-_Radhanath_Swami.mp3", "2010-07-08_Spiritual%20Medicine-1_-_Radhanath_Swami.mp3")</f>
        <v>2010-07-08_Spiritual%20Medicine-1_-_Radhanath_Swami.mp3</v>
      </c>
      <c r="D2527" s="11"/>
      <c r="E2527" s="11"/>
    </row>
    <row r="2528" spans="1:5">
      <c r="A2528" s="12" t="s">
        <v>12462</v>
      </c>
      <c r="B2528" s="12" t="s">
        <v>15312</v>
      </c>
      <c r="C2528" s="13" t="str">
        <f>HYPERLINK("https://audio.iskcondesiretree.com/02_-_ISKCON_Swamis/ISKCON_Swamis_-_R_to_Y/His_Holiness_Radhanath_Swami/Lectures/00_-_Year_wise/Devotional_Nectar_-_2010/2010-07-08_Various_-_Free_Will_Sincere_-_Radhanath_Swami.mp3", "2010-07-08_Various_-_Free_Will_Sincere_-_Radhanath_Swami.mp3")</f>
        <v>2010-07-08_Various_-_Free_Will_Sincere_-_Radhanath_Swami.mp3</v>
      </c>
      <c r="D2528" s="11"/>
      <c r="E2528" s="11"/>
    </row>
    <row r="2529" spans="1:5">
      <c r="A2529" s="12" t="s">
        <v>12462</v>
      </c>
      <c r="B2529" s="12" t="s">
        <v>15313</v>
      </c>
      <c r="C2529" s="13" t="str">
        <f>HYPERLINK("https://audio.iskcondesiretree.com/02_-_ISKCON_Swamis/ISKCON_Swamis_-_R_to_Y/His_Holiness_Radhanath_Swami/Lectures/00_-_Year_wise/Devotional_Nectar_-_2010/2010-07-09_Various_-_Narada_Muni_Jagat_Guru_-_Radhanath_Swami.mp3", "2010-07-09_Various_-_Narada_Muni_Jagat_Guru_-_Radhanath_Swami.mp3")</f>
        <v>2010-07-09_Various_-_Narada_Muni_Jagat_Guru_-_Radhanath_Swami.mp3</v>
      </c>
      <c r="D2529" s="11"/>
      <c r="E2529" s="11"/>
    </row>
    <row r="2530" spans="1:5">
      <c r="A2530" s="12" t="s">
        <v>12462</v>
      </c>
      <c r="B2530" s="12" t="s">
        <v>15314</v>
      </c>
      <c r="C2530" s="13" t="str">
        <f>HYPERLINK("https://audio.iskcondesiretree.com/02_-_ISKCON_Swamis/ISKCON_Swamis_-_R_to_Y/His_Holiness_Radhanath_Swami/Lectures/00_-_Year_wise/Devotional_Nectar_-_2010/2010-07-09_Various_-_Spiritual_Medicine_-_Radhanath_Swami.mp3", "2010-07-09_Various_-_Spiritual_Medicine_-_Radhanath_Swami.mp3")</f>
        <v>2010-07-09_Various_-_Spiritual_Medicine_-_Radhanath_Swami.mp3</v>
      </c>
      <c r="D2530" s="11"/>
      <c r="E2530" s="11"/>
    </row>
    <row r="2531" spans="1:5">
      <c r="A2531" s="12" t="s">
        <v>12462</v>
      </c>
      <c r="B2531" s="12" t="s">
        <v>15315</v>
      </c>
      <c r="C2531" s="13" t="str">
        <f>HYPERLINK("https://audio.iskcondesiretree.com/02_-_ISKCON_Swamis/ISKCON_Swamis_-_R_to_Y/His_Holiness_Radhanath_Swami/Lectures/00_-_Year_wise/Devotional_Nectar_-_2010/2010-07-10_Various_-_Amanina_Manadena_-_Radhanath_Swami.mp3", "2010-07-10_Various_-_Amanina_Manadena_-_Radhanath_Swami.mp3")</f>
        <v>2010-07-10_Various_-_Amanina_Manadena_-_Radhanath_Swami.mp3</v>
      </c>
      <c r="D2531" s="11"/>
      <c r="E2531" s="11"/>
    </row>
    <row r="2532" spans="1:5">
      <c r="A2532" s="12" t="s">
        <v>12462</v>
      </c>
      <c r="B2532" s="12" t="s">
        <v>15316</v>
      </c>
      <c r="C2532" s="13" t="str">
        <f>HYPERLINK("https://audio.iskcondesiretree.com/02_-_ISKCON_Swamis/ISKCON_Swamis_-_R_to_Y/His_Holiness_Radhanath_Swami/Lectures/00_-_Year_wise/Devotional_Nectar_-_2010/2010-07-11_Various_-_Bhakti_-_Radhanath_Swami.mp3", "2010-07-11_Various_-_Bhakti_-_Radhanath_Swami.mp3")</f>
        <v>2010-07-11_Various_-_Bhakti_-_Radhanath_Swami.mp3</v>
      </c>
      <c r="D2532" s="11"/>
      <c r="E2532" s="11"/>
    </row>
    <row r="2533" spans="1:5">
      <c r="A2533" s="12" t="s">
        <v>12462</v>
      </c>
      <c r="B2533" s="12" t="s">
        <v>15317</v>
      </c>
      <c r="C2533" s="13" t="str">
        <f>HYPERLINK("https://audio.iskcondesiretree.com/02_-_ISKCON_Swamis/ISKCON_Swamis_-_R_to_Y/His_Holiness_Radhanath_Swami/Lectures/00_-_Year_wise/Devotional_Nectar_-_2010/2010-07-11_Various_-_Bhakti_means_service_-_Radhanath_Swami.mp3", "2010-07-11_Various_-_Bhakti_means_service_-_Radhanath_Swami.mp3")</f>
        <v>2010-07-11_Various_-_Bhakti_means_service_-_Radhanath_Swami.mp3</v>
      </c>
      <c r="D2533" s="11"/>
      <c r="E2533" s="11"/>
    </row>
    <row r="2534" spans="1:5">
      <c r="A2534" s="12" t="s">
        <v>12462</v>
      </c>
      <c r="B2534" s="12" t="s">
        <v>15318</v>
      </c>
      <c r="C2534" s="13" t="str">
        <f>HYPERLINK("https://audio.iskcondesiretree.com/02_-_ISKCON_Swamis/ISKCON_Swamis_-_R_to_Y/His_Holiness_Radhanath_Swami/Lectures/00_-_Year_wise/Devotional_Nectar_-_2010/2010-07-12_Initiations_-_Radhanath_Swami.mp3", "2010-07-12_Initiations_-_Radhanath_Swami.mp3")</f>
        <v>2010-07-12_Initiations_-_Radhanath_Swami.mp3</v>
      </c>
      <c r="D2534" s="11"/>
      <c r="E2534" s="11"/>
    </row>
    <row r="2535" spans="1:5">
      <c r="A2535" s="12" t="s">
        <v>12462</v>
      </c>
      <c r="B2535" s="12" t="s">
        <v>15319</v>
      </c>
      <c r="C2535" s="13" t="str">
        <f>HYPERLINK("https://audio.iskcondesiretree.com/02_-_ISKCON_Swamis/ISKCON_Swamis_-_R_to_Y/His_Holiness_Radhanath_Swami/Lectures/00_-_Year_wise/Devotional_Nectar_-_2010/2010-07-12_Spiritual%20Medicine-2_-_Radhanath_Swami.mp3", "2010-07-12_Spiritual%20Medicine-2_-_Radhanath_Swami.mp3")</f>
        <v>2010-07-12_Spiritual%20Medicine-2_-_Radhanath_Swami.mp3</v>
      </c>
      <c r="D2535" s="11"/>
      <c r="E2535" s="11"/>
    </row>
    <row r="2536" spans="1:5">
      <c r="A2536" s="12" t="s">
        <v>12462</v>
      </c>
      <c r="B2536" s="12" t="s">
        <v>15320</v>
      </c>
      <c r="C2536" s="13" t="str">
        <f>HYPERLINK("https://audio.iskcondesiretree.com/02_-_ISKCON_Swamis/ISKCON_Swamis_-_R_to_Y/His_Holiness_Radhanath_Swami/Lectures/00_-_Year_wise/Devotional_Nectar_-_2010/2010-07-12_Various_-_Initiation_-_Radhanath_Swami.mp3", "2010-07-12_Various_-_Initiation_-_Radhanath_Swami.mp3")</f>
        <v>2010-07-12_Various_-_Initiation_-_Radhanath_Swami.mp3</v>
      </c>
      <c r="D2536" s="11"/>
      <c r="E2536" s="11"/>
    </row>
    <row r="2537" spans="1:5">
      <c r="A2537" s="12" t="s">
        <v>12462</v>
      </c>
      <c r="B2537" s="12" t="s">
        <v>15321</v>
      </c>
      <c r="C2537" s="13" t="str">
        <f>HYPERLINK("https://audio.iskcondesiretree.com/02_-_ISKCON_Swamis/ISKCON_Swamis_-_R_to_Y/His_Holiness_Radhanath_Swami/Lectures/00_-_Year_wise/Devotional_Nectar_-_2010/2010-07-14_SB_07-04-29_-_Radhanath_Sw_Bhaktivedanta_Manor.mp3", "2010-07-14_SB_07-04-29_-_Radhanath_Sw_Bhaktivedanta_Manor.mp3")</f>
        <v>2010-07-14_SB_07-04-29_-_Radhanath_Sw_Bhaktivedanta_Manor.mp3</v>
      </c>
      <c r="D2537" s="11"/>
      <c r="E2537" s="11"/>
    </row>
    <row r="2538" spans="1:5">
      <c r="A2538" s="12" t="s">
        <v>12462</v>
      </c>
      <c r="B2538" s="12" t="s">
        <v>15322</v>
      </c>
      <c r="C2538" s="13" t="str">
        <f>HYPERLINK("https://audio.iskcondesiretree.com/02_-_ISKCON_Swamis/ISKCON_Swamis_-_R_to_Y/His_Holiness_Radhanath_Swami/Lectures/00_-_Year_wise/Devotional_Nectar_-_2010/2010-08-02_Radio_Interview_-_Ajayan_at_Mind_Matters_Radio_with_Radhanath_Swami_Seattle_USA.mp3", "2010-08-02_Radio_Interview_-_Ajayan_at_Mind_Matters_Radio_with_Radhanath_Swami_Seattle_USA.mp3")</f>
        <v>2010-08-02_Radio_Interview_-_Ajayan_at_Mind_Matters_Radio_with_Radhanath_Swami_Seattle_USA.mp3</v>
      </c>
      <c r="D2538" s="11"/>
      <c r="E2538" s="11"/>
    </row>
    <row r="2539" spans="1:5">
      <c r="A2539" s="12" t="s">
        <v>12462</v>
      </c>
      <c r="B2539" s="12" t="s">
        <v>15323</v>
      </c>
      <c r="C2539" s="13" t="str">
        <f>HYPERLINK("https://audio.iskcondesiretree.com/02_-_ISKCON_Swamis/ISKCON_Swamis_-_R_to_Y/His_Holiness_Radhanath_Swami/Lectures/00_-_Year_wise/Devotional_Nectar_-_2010/2010-08-26_-_A_Learned_Person_is_one_whos_sees_everyone_equal_-_Radhanath_Swami_San_Diego.mp3", "2010-08-26_-_A_Learned_Person_is_one_whos_sees_everyone_equal_-_Radhanath_Swami_San_Diego.mp3")</f>
        <v>2010-08-26_-_A_Learned_Person_is_one_whos_sees_everyone_equal_-_Radhanath_Swami_San_Diego.mp3</v>
      </c>
      <c r="D2539" s="11"/>
      <c r="E2539" s="11"/>
    </row>
    <row r="2540" spans="1:5">
      <c r="A2540" s="12" t="s">
        <v>12462</v>
      </c>
      <c r="B2540" s="12" t="s">
        <v>15324</v>
      </c>
      <c r="C2540" s="13" t="str">
        <f>HYPERLINK("https://audio.iskcondesiretree.com/02_-_ISKCON_Swamis/ISKCON_Swamis_-_R_to_Y/His_Holiness_Radhanath_Swami/Lectures/00_-_Year_wise/Devotional_Nectar_-_2010/2010-08-26_SB_05-25-06_-_Radhanath_Swami_Los_Angeles.mp3", "2010-08-26_SB_05-25-06_-_Radhanath_Swami_Los_Angeles.mp3")</f>
        <v>2010-08-26_SB_05-25-06_-_Radhanath_Swami_Los_Angeles.mp3</v>
      </c>
      <c r="D2540" s="11"/>
      <c r="E2540" s="11"/>
    </row>
    <row r="2541" spans="1:5">
      <c r="A2541" s="12" t="s">
        <v>12462</v>
      </c>
      <c r="B2541" s="12" t="s">
        <v>15325</v>
      </c>
      <c r="C2541" s="13" t="str">
        <f>HYPERLINK("https://audio.iskcondesiretree.com/02_-_ISKCON_Swamis/ISKCON_Swamis_-_R_to_Y/His_Holiness_Radhanath_Swami/Lectures/00_-_Year_wise/Devotional_Nectar_-_2010/2010-08-27_-_Seeing%20All%20Living%20Entities%20Equally%20With%20Love_-_Radhanath_Swami_SanDiego.mp3", "2010-08-27_-_Seeing%20All%20Living%20Entities%20Equally%20With%20Love_-_Radhanath_Swami_SanDiego.mp3")</f>
        <v>2010-08-27_-_Seeing%20All%20Living%20Entities%20Equally%20With%20Love_-_Radhanath_Swami_SanDiego.mp3</v>
      </c>
      <c r="D2541" s="11"/>
      <c r="E2541" s="11"/>
    </row>
    <row r="2542" spans="1:5">
      <c r="A2542" s="12" t="s">
        <v>12462</v>
      </c>
      <c r="B2542" s="12" t="s">
        <v>15326</v>
      </c>
      <c r="C2542" s="13" t="str">
        <f>HYPERLINK("https://audio.iskcondesiretree.com/02_-_ISKCON_Swamis/ISKCON_Swamis_-_R_to_Y/His_Holiness_Radhanath_Swami/Lectures/00_-_Year_wise/Devotional_Nectar_-_2010/2010-08-28_-_Lecture_-_Laguna_Beach_-_Radhanath_Swami.mp3", "2010-08-28_-_Lecture_-_Laguna_Beach_-_Radhanath_Swami.mp3")</f>
        <v>2010-08-28_-_Lecture_-_Laguna_Beach_-_Radhanath_Swami.mp3</v>
      </c>
      <c r="D2542" s="11"/>
      <c r="E2542" s="11"/>
    </row>
    <row r="2543" spans="1:5">
      <c r="A2543" s="12" t="s">
        <v>12462</v>
      </c>
      <c r="B2543" s="12" t="s">
        <v>15327</v>
      </c>
      <c r="C2543" s="13" t="str">
        <f>HYPERLINK("https://audio.iskcondesiretree.com/02_-_ISKCON_Swamis/ISKCON_Swamis_-_R_to_Y/His_Holiness_Radhanath_Swami/Lectures/00_-_Year_wise/Devotional_Nectar_-_2010/2010-08-29_-_Narayan%27s_Home_-_Los_Angeles_Radhanath_Swami.mp3", "2010-08-29_-_Narayan%27s_Home_-_Los_Angeles_Radhanath_Swami.mp3")</f>
        <v>2010-08-29_-_Narayan%27s_Home_-_Los_Angeles_Radhanath_Swami.mp3</v>
      </c>
      <c r="D2543" s="11"/>
      <c r="E2543" s="11"/>
    </row>
    <row r="2544" spans="1:5">
      <c r="A2544" s="12" t="s">
        <v>12462</v>
      </c>
      <c r="B2544" s="12" t="s">
        <v>15328</v>
      </c>
      <c r="C2544" s="13" t="str">
        <f>HYPERLINK("https://audio.iskcondesiretree.com/02_-_ISKCON_Swamis/ISKCON_Swamis_-_R_to_Y/His_Holiness_Radhanath_Swami/Lectures/00_-_Year_wise/Devotional_Nectar_-_2010/2010-09-01_Sri_Krishna_Janmastam_Evening_-_Radhanatha_Swami_Los_Angeles.mp3", "2010-09-01_Sri_Krishna_Janmastam_Evening_-_Radhanatha_Swami_Los_Angeles.mp3")</f>
        <v>2010-09-01_Sri_Krishna_Janmastam_Evening_-_Radhanatha_Swami_Los_Angeles.mp3</v>
      </c>
      <c r="D2544" s="11"/>
      <c r="E2544" s="11"/>
    </row>
    <row r="2545" spans="1:5">
      <c r="A2545" s="12" t="s">
        <v>12462</v>
      </c>
      <c r="B2545" s="12" t="s">
        <v>15329</v>
      </c>
      <c r="C2545" s="13" t="str">
        <f>HYPERLINK("https://audio.iskcondesiretree.com/02_-_ISKCON_Swamis/ISKCON_Swamis_-_R_to_Y/His_Holiness_Radhanath_Swami/Lectures/00_-_Year_wise/Devotional_Nectar_-_2010/2010-09-02_-_Prabhupada_Vyasa_puja_homages_-_San_Diego_Radhanath_Swami.mp3", "2010-09-02_-_Prabhupada_Vyasa_puja_homages_-_San_Diego_Radhanath_Swami.mp3")</f>
        <v>2010-09-02_-_Prabhupada_Vyasa_puja_homages_-_San_Diego_Radhanath_Swami.mp3</v>
      </c>
      <c r="D2545" s="11"/>
      <c r="E2545" s="11"/>
    </row>
    <row r="2546" spans="1:5">
      <c r="A2546" s="12" t="s">
        <v>12462</v>
      </c>
      <c r="B2546" s="12" t="s">
        <v>15330</v>
      </c>
      <c r="C2546" s="13" t="str">
        <f>HYPERLINK("https://audio.iskcondesiretree.com/02_-_ISKCON_Swamis/ISKCON_Swamis_-_R_to_Y/His_Holiness_Radhanath_Swami/Lectures/00_-_Year_wise/Devotional_Nectar_-_2010/2010-09-22_Radio_Interview_-_Michele_Meiche_at_Awakenings_Radio_with_Radhanath_Swami_USA.mp3", "2010-09-22_Radio_Interview_-_Michele_Meiche_at_Awakenings_Radio_with_Radhanath_Swami_USA.mp3")</f>
        <v>2010-09-22_Radio_Interview_-_Michele_Meiche_at_Awakenings_Radio_with_Radhanath_Swami_USA.mp3</v>
      </c>
      <c r="D2546" s="11"/>
      <c r="E2546" s="11"/>
    </row>
    <row r="2547" spans="1:5">
      <c r="A2547" s="12" t="s">
        <v>12462</v>
      </c>
      <c r="B2547" s="12" t="s">
        <v>15331</v>
      </c>
      <c r="C2547" s="13" t="str">
        <f>HYPERLINK("https://audio.iskcondesiretree.com/02_-_ISKCON_Swamis/ISKCON_Swamis_-_R_to_Y/His_Holiness_Radhanath_Swami/Lectures/00_-_Year_wise/Devotional_Nectar_-_2010/2010-09-28_-_Bodhi_Tree_Lecture_-_Radhanath_Swami.mp3", "2010-09-28_-_Bodhi_Tree_Lecture_-_Radhanath_Swami.mp3")</f>
        <v>2010-09-28_-_Bodhi_Tree_Lecture_-_Radhanath_Swami.mp3</v>
      </c>
      <c r="D2547" s="11"/>
      <c r="E2547" s="11"/>
    </row>
    <row r="2548" spans="1:5">
      <c r="A2548" s="12" t="s">
        <v>12462</v>
      </c>
      <c r="B2548" s="12" t="s">
        <v>15332</v>
      </c>
      <c r="C2548" s="13" t="str">
        <f>HYPERLINK("https://audio.iskcondesiretree.com/02_-_ISKCON_Swamis/ISKCON_Swamis_-_R_to_Y/His_Holiness_Radhanath_Swami/Lectures/00_-_Year_wise/Devotional_Nectar_-_2010/2010-09-28_Radio_Interview_-_Dennis_Miller_with_Radhanath_Swami_USA.mp3", "2010-09-28_Radio_Interview_-_Dennis_Miller_with_Radhanath_Swami_USA.mp3")</f>
        <v>2010-09-28_Radio_Interview_-_Dennis_Miller_with_Radhanath_Swami_USA.mp3</v>
      </c>
      <c r="D2548" s="11"/>
      <c r="E2548" s="11"/>
    </row>
    <row r="2549" spans="1:5">
      <c r="A2549" s="12" t="s">
        <v>12462</v>
      </c>
      <c r="B2549" s="12" t="s">
        <v>15333</v>
      </c>
      <c r="C2549" s="13" t="str">
        <f>HYPERLINK("https://audio.iskcondesiretree.com/02_-_ISKCON_Swamis/ISKCON_Swamis_-_R_to_Y/His_Holiness_Radhanath_Swami/Lectures/00_-_Year_wise/Devotional_Nectar_-_2010/2010-09-30_-_Yoga_Rasa_-_Radhanatha_Swami_Dallas.mp3", "2010-09-30_-_Yoga_Rasa_-_Radhanatha_Swami_Dallas.mp3")</f>
        <v>2010-09-30_-_Yoga_Rasa_-_Radhanatha_Swami_Dallas.mp3</v>
      </c>
      <c r="D2549" s="11"/>
      <c r="E2549" s="11"/>
    </row>
    <row r="2550" spans="1:5">
      <c r="A2550" s="12" t="s">
        <v>12462</v>
      </c>
      <c r="B2550" s="12" t="s">
        <v>15334</v>
      </c>
      <c r="C2550" s="13" t="str">
        <f>HYPERLINK("https://audio.iskcondesiretree.com/02_-_ISKCON_Swamis/ISKCON_Swamis_-_R_to_Y/His_Holiness_Radhanath_Swami/Lectures/00_-_Year_wise/Devotional_Nectar_-_2010/2010-10-01_-_Nia_Moves_-_Radhanath_Swami_Dallas.mp3", "2010-10-01_-_Nia_Moves_-_Radhanath_Swami_Dallas.mp3")</f>
        <v>2010-10-01_-_Nia_Moves_-_Radhanath_Swami_Dallas.mp3</v>
      </c>
      <c r="D2550" s="11"/>
      <c r="E2550" s="11"/>
    </row>
    <row r="2551" spans="1:5">
      <c r="A2551" s="12" t="s">
        <v>12462</v>
      </c>
      <c r="B2551" s="12" t="s">
        <v>15335</v>
      </c>
      <c r="C2551" s="13" t="str">
        <f>HYPERLINK("https://audio.iskcondesiretree.com/02_-_ISKCON_Swamis/ISKCON_Swamis_-_R_to_Y/His_Holiness_Radhanath_Swami/Lectures/00_-_Year_wise/Devotional_Nectar_-_2010/2010-10-02_-_Heights_Yoga_School_-_Radhanath_Swami_Dallas.mp3", "2010-10-02_-_Heights_Yoga_School_-_Radhanath_Swami_Dallas.mp3")</f>
        <v>2010-10-02_-_Heights_Yoga_School_-_Radhanath_Swami_Dallas.mp3</v>
      </c>
      <c r="D2551" s="11"/>
      <c r="E2551" s="11"/>
    </row>
    <row r="2552" spans="1:5">
      <c r="A2552" s="12" t="s">
        <v>12462</v>
      </c>
      <c r="B2552" s="12" t="s">
        <v>15336</v>
      </c>
      <c r="C2552" s="13" t="str">
        <f>HYPERLINK("https://audio.iskcondesiretree.com/02_-_ISKCON_Swamis/ISKCON_Swamis_-_R_to_Y/His_Holiness_Radhanath_Swami/Lectures/00_-_Year_wise/Devotional_Nectar_-_2010/2010-10-02_-_India_House_-_Radhanath_Swami_Dallas.mp3", "2010-10-02_-_India_House_-_Radhanath_Swami_Dallas.mp3")</f>
        <v>2010-10-02_-_India_House_-_Radhanath_Swami_Dallas.mp3</v>
      </c>
      <c r="D2552" s="11"/>
      <c r="E2552" s="11"/>
    </row>
    <row r="2553" spans="1:5">
      <c r="A2553" s="12" t="s">
        <v>12462</v>
      </c>
      <c r="B2553" s="12" t="s">
        <v>15337</v>
      </c>
      <c r="C2553" s="13" t="str">
        <f>HYPERLINK("https://audio.iskcondesiretree.com/02_-_ISKCON_Swamis/ISKCON_Swamis_-_R_to_Y/His_Holiness_Radhanath_Swami/Lectures/00_-_Year_wise/Devotional_Nectar_-_2010/2010-10-03_-_Home_Program_-_Radhanath_Swami_Texas.mp3", "2010-10-03_-_Home_Program_-_Radhanath_Swami_Texas.mp3")</f>
        <v>2010-10-03_-_Home_Program_-_Radhanath_Swami_Texas.mp3</v>
      </c>
      <c r="D2553" s="11"/>
      <c r="E2553" s="11"/>
    </row>
    <row r="2554" spans="1:5">
      <c r="A2554" s="12" t="s">
        <v>12462</v>
      </c>
      <c r="B2554" s="12" t="s">
        <v>15338</v>
      </c>
      <c r="C2554" s="13" t="str">
        <f>HYPERLINK("https://audio.iskcondesiretree.com/02_-_ISKCON_Swamis/ISKCON_Swamis_-_R_to_Y/His_Holiness_Radhanath_Swami/Lectures/00_-_Year_wise/Devotional_Nectar_-_2010/2010-10-03_-_Houston_Temple_-_Radhanath_Swami_Dallas.mp3", "2010-10-03_-_Houston_Temple_-_Radhanath_Swami_Dallas.mp3")</f>
        <v>2010-10-03_-_Houston_Temple_-_Radhanath_Swami_Dallas.mp3</v>
      </c>
      <c r="D2554" s="11"/>
      <c r="E2554" s="11"/>
    </row>
    <row r="2555" spans="1:5">
      <c r="A2555" s="12" t="s">
        <v>12462</v>
      </c>
      <c r="B2555" s="12" t="s">
        <v>15339</v>
      </c>
      <c r="C2555" s="13" t="str">
        <f>HYPERLINK("https://audio.iskcondesiretree.com/02_-_ISKCON_Swamis/ISKCON_Swamis_-_R_to_Y/His_Holiness_Radhanath_Swami/Lectures/00_-_Year_wise/Devotional_Nectar_-_2010/2010-10-05_Radio_Interview_-_Johnny_Tan_at_My_Mama_Kitchen_Talk_Radio_with_Radhanath_Swami_USA.mp3", "2010-10-05_Radio_Interview_-_Johnny_Tan_at_My_Mama_Kitchen_Talk_Radio_with_Radhanath_Swami_USA.mp3")</f>
        <v>2010-10-05_Radio_Interview_-_Johnny_Tan_at_My_Mama_Kitchen_Talk_Radio_with_Radhanath_Swami_USA.mp3</v>
      </c>
      <c r="D2555" s="11"/>
      <c r="E2555" s="11"/>
    </row>
    <row r="2556" spans="1:5">
      <c r="A2556" s="12" t="s">
        <v>12462</v>
      </c>
      <c r="B2556" s="12" t="s">
        <v>15340</v>
      </c>
      <c r="C2556" s="13" t="str">
        <f>HYPERLINK("https://audio.iskcondesiretree.com/02_-_ISKCON_Swamis/ISKCON_Swamis_-_R_to_Y/His_Holiness_Radhanath_Swami/Lectures/00_-_Year_wise/Devotional_Nectar_-_2010/2010-10-06_-_Kalachandji%27s_-_Radhanath_Swami_Dallas.mp3", "2010-10-06_-_Kalachandji%27s_-_Radhanath_Swami_Dallas.mp3")</f>
        <v>2010-10-06_-_Kalachandji%27s_-_Radhanath_Swami_Dallas.mp3</v>
      </c>
      <c r="D2556" s="11"/>
      <c r="E2556" s="11"/>
    </row>
    <row r="2557" spans="1:5">
      <c r="A2557" s="12" t="s">
        <v>12462</v>
      </c>
      <c r="B2557" s="12" t="s">
        <v>15341</v>
      </c>
      <c r="C2557" s="13" t="str">
        <f>HYPERLINK("https://audio.iskcondesiretree.com/02_-_ISKCON_Swamis/ISKCON_Swamis_-_R_to_Y/His_Holiness_Radhanath_Swami/Lectures/00_-_Year_wise/Devotional_Nectar_-_2010/2010-10-07_-_UT_of_Dallas_-_Radhanath_Swami_Dallas.mp3", "2010-10-07_-_UT_of_Dallas_-_Radhanath_Swami_Dallas.mp3")</f>
        <v>2010-10-07_-_UT_of_Dallas_-_Radhanath_Swami_Dallas.mp3</v>
      </c>
      <c r="D2557" s="11"/>
      <c r="E2557" s="11"/>
    </row>
    <row r="2558" spans="1:5">
      <c r="A2558" s="12" t="s">
        <v>12462</v>
      </c>
      <c r="B2558" s="12" t="s">
        <v>15342</v>
      </c>
      <c r="C2558" s="13" t="str">
        <f>HYPERLINK("https://audio.iskcondesiretree.com/02_-_ISKCON_Swamis/ISKCON_Swamis_-_R_to_Y/His_Holiness_Radhanath_Swami/Lectures/00_-_Year_wise/Devotional_Nectar_-_2010/2010-10-08_-_Dallas_Conference_Center_-_Radhanath_Swami_Dallas.mp3", "2010-10-08_-_Dallas_Conference_Center_-_Radhanath_Swami_Dallas.mp3")</f>
        <v>2010-10-08_-_Dallas_Conference_Center_-_Radhanath_Swami_Dallas.mp3</v>
      </c>
      <c r="D2558" s="11"/>
      <c r="E2558" s="11"/>
    </row>
    <row r="2559" spans="1:5">
      <c r="A2559" s="12" t="s">
        <v>12462</v>
      </c>
      <c r="B2559" s="12" t="s">
        <v>15343</v>
      </c>
      <c r="C2559" s="13" t="str">
        <f>HYPERLINK("https://audio.iskcondesiretree.com/02_-_ISKCON_Swamis/ISKCON_Swamis_-_R_to_Y/His_Holiness_Radhanath_Swami/Lectures/00_-_Year_wise/Devotional_Nectar_-_2010/2010-10-09_-_Arlington_Yoga_Center_-_Radhanath_Swami_Dallas.mp3", "2010-10-09_-_Arlington_Yoga_Center_-_Radhanath_Swami_Dallas.mp3")</f>
        <v>2010-10-09_-_Arlington_Yoga_Center_-_Radhanath_Swami_Dallas.mp3</v>
      </c>
      <c r="D2559" s="11"/>
      <c r="E2559" s="11"/>
    </row>
    <row r="2560" spans="1:5">
      <c r="A2560" s="12" t="s">
        <v>12462</v>
      </c>
      <c r="B2560" s="12" t="s">
        <v>15344</v>
      </c>
      <c r="C2560" s="13" t="str">
        <f>HYPERLINK("https://audio.iskcondesiretree.com/02_-_ISKCON_Swamis/ISKCON_Swamis_-_R_to_Y/His_Holiness_Radhanath_Swami/Lectures/00_-_Year_wise/Devotional_Nectar_-_2010/2010-10-09_-_Pathways_Church_-_Radhanath_Swami_Dallas.mp3", "2010-10-09_-_Pathways_Church_-_Radhanath_Swami_Dallas.mp3")</f>
        <v>2010-10-09_-_Pathways_Church_-_Radhanath_Swami_Dallas.mp3</v>
      </c>
      <c r="D2560" s="11"/>
      <c r="E2560" s="11"/>
    </row>
    <row r="2561" spans="1:5">
      <c r="A2561" s="12" t="s">
        <v>12462</v>
      </c>
      <c r="B2561" s="12" t="s">
        <v>15345</v>
      </c>
      <c r="C2561" s="13" t="str">
        <f>HYPERLINK("https://audio.iskcondesiretree.com/02_-_ISKCON_Swamis/ISKCON_Swamis_-_R_to_Y/His_Holiness_Radhanath_Swami/Lectures/00_-_Year_wise/Devotional_Nectar_-_2010/2010-10-11_Radio_Interview_-_Eliakim%20Thorpe_at_LA_Talk_Radio_with_Radhanath_Swami_USA.mp3", "2010-10-11_Radio_Interview_-_Eliakim%20Thorpe_at_LA_Talk_Radio_with_Radhanath_Swami_USA.mp3")</f>
        <v>2010-10-11_Radio_Interview_-_Eliakim%20Thorpe_at_LA_Talk_Radio_with_Radhanath_Swami_USA.mp3</v>
      </c>
      <c r="D2561" s="11"/>
      <c r="E2561" s="11"/>
    </row>
    <row r="2562" spans="1:5">
      <c r="A2562" s="12" t="s">
        <v>12462</v>
      </c>
      <c r="B2562" s="12" t="s">
        <v>15346</v>
      </c>
      <c r="C2562" s="13" t="str">
        <f>HYPERLINK("https://audio.iskcondesiretree.com/02_-_ISKCON_Swamis/ISKCON_Swamis_-_R_to_Y/His_Holiness_Radhanath_Swami/Lectures/00_-_Year_wise/Devotional_Nectar_-_2010/2010-10-12_Radio_Interview_-_Mischke_at_WCCO_News_Radio_830_with_Radhanath_Swami_USA.mp3", "2010-10-12_Radio_Interview_-_Mischke_at_WCCO_News_Radio_830_with_Radhanath_Swami_USA.mp3")</f>
        <v>2010-10-12_Radio_Interview_-_Mischke_at_WCCO_News_Radio_830_with_Radhanath_Swami_USA.mp3</v>
      </c>
      <c r="D2562" s="11"/>
      <c r="E2562" s="11"/>
    </row>
    <row r="2563" spans="1:5">
      <c r="A2563" s="12" t="s">
        <v>12462</v>
      </c>
      <c r="B2563" s="12" t="s">
        <v>15347</v>
      </c>
      <c r="C2563" s="13" t="str">
        <f>HYPERLINK("https://audio.iskcondesiretree.com/02_-_ISKCON_Swamis/ISKCON_Swamis_-_R_to_Y/His_Holiness_Radhanath_Swami/Lectures/00_-_Year_wise/Devotional_Nectar_-_2010/2010-10-15_-_Akashic_Bookstore.mp3", "2010-10-15_-_Akashic_Bookstore.mp3")</f>
        <v>2010-10-15_-_Akashic_Bookstore.mp3</v>
      </c>
      <c r="D2563" s="11"/>
      <c r="E2563" s="11"/>
    </row>
    <row r="2564" spans="1:5">
      <c r="A2564" s="12" t="s">
        <v>12462</v>
      </c>
      <c r="B2564" s="12" t="s">
        <v>15348</v>
      </c>
      <c r="C2564" s="13" t="str">
        <f>HYPERLINK("https://audio.iskcondesiretree.com/02_-_ISKCON_Swamis/ISKCON_Swamis_-_R_to_Y/His_Holiness_Radhanath_Swami/Lectures/00_-_Year_wise/Devotional_Nectar_-_2010/2010-10-15_-_Srimad_Bhagavatam_class_-_Los_Angeles.mp3", "2010-10-15_-_Srimad_Bhagavatam_class_-_Los_Angeles.mp3")</f>
        <v>2010-10-15_-_Srimad_Bhagavatam_class_-_Los_Angeles.mp3</v>
      </c>
      <c r="D2564" s="11"/>
      <c r="E2564" s="11"/>
    </row>
    <row r="2565" spans="1:5">
      <c r="A2565" s="12" t="s">
        <v>12462</v>
      </c>
      <c r="B2565" s="12" t="s">
        <v>15349</v>
      </c>
      <c r="C2565" s="13" t="str">
        <f>HYPERLINK("https://audio.iskcondesiretree.com/02_-_ISKCON_Swamis/ISKCON_Swamis_-_R_to_Y/His_Holiness_Radhanath_Swami/Lectures/00_-_Year_wise/Devotional_Nectar_-_2010/2010-10-15_Interview_-_Matt_Welsh_of_Spiritual_Media_Blog_with_Radhanath_Swami_USA.mp3", "2010-10-15_Interview_-_Matt_Welsh_of_Spiritual_Media_Blog_with_Radhanath_Swami_USA.mp3")</f>
        <v>2010-10-15_Interview_-_Matt_Welsh_of_Spiritual_Media_Blog_with_Radhanath_Swami_USA.mp3</v>
      </c>
      <c r="D2565" s="11"/>
      <c r="E2565" s="11"/>
    </row>
    <row r="2566" spans="1:5">
      <c r="A2566" s="12" t="s">
        <v>12462</v>
      </c>
      <c r="B2566" s="12" t="s">
        <v>15350</v>
      </c>
      <c r="C2566" s="13" t="str">
        <f>HYPERLINK("https://audio.iskcondesiretree.com/02_-_ISKCON_Swamis/ISKCON_Swamis_-_R_to_Y/His_Holiness_Radhanath_Swami/Lectures/00_-_Year_wise/Devotional_Nectar_-_2010/2010-10-15_Lecture_Akashic_Bookstore_Radhanath_Swami.mp3", "2010-10-15_Lecture_Akashic_Bookstore_Radhanath_Swami.mp3")</f>
        <v>2010-10-15_Lecture_Akashic_Bookstore_Radhanath_Swami.mp3</v>
      </c>
      <c r="D2566" s="11"/>
      <c r="E2566" s="11"/>
    </row>
    <row r="2567" spans="1:5">
      <c r="A2567" s="12" t="s">
        <v>12462</v>
      </c>
      <c r="B2567" s="12" t="s">
        <v>15351</v>
      </c>
      <c r="C2567" s="13" t="str">
        <f>HYPERLINK("https://audio.iskcondesiretree.com/02_-_ISKCON_Swamis/ISKCON_Swamis_-_R_to_Y/His_Holiness_Radhanath_Swami/Lectures/00_-_Year_wise/Devotional_Nectar_-_2010/2010-10-15_Radio_Interview_-_Robin_Rothenberg_at_Living_Yoga_Radio_with_Radhanath_Swami_USA.mp3", "2010-10-15_Radio_Interview_-_Robin_Rothenberg_at_Living_Yoga_Radio_with_Radhanath_Swami_USA.mp3")</f>
        <v>2010-10-15_Radio_Interview_-_Robin_Rothenberg_at_Living_Yoga_Radio_with_Radhanath_Swami_USA.mp3</v>
      </c>
      <c r="D2567" s="11"/>
      <c r="E2567" s="11"/>
    </row>
    <row r="2568" spans="1:5">
      <c r="A2568" s="12" t="s">
        <v>12462</v>
      </c>
      <c r="B2568" s="12" t="s">
        <v>15352</v>
      </c>
      <c r="C2568" s="13" t="str">
        <f>HYPERLINK("https://audio.iskcondesiretree.com/02_-_ISKCON_Swamis/ISKCON_Swamis_-_R_to_Y/His_Holiness_Radhanath_Swami/Lectures/00_-_Year_wise/Devotional_Nectar_-_2010/2010-10-15_SB_-_Los_Angeles_-_Radhanath_Swami.mp3", "2010-10-15_SB_-_Los_Angeles_-_Radhanath_Swami.mp3")</f>
        <v>2010-10-15_SB_-_Los_Angeles_-_Radhanath_Swami.mp3</v>
      </c>
      <c r="D2568" s="11"/>
      <c r="E2568" s="11"/>
    </row>
    <row r="2569" spans="1:5">
      <c r="A2569" s="12" t="s">
        <v>12462</v>
      </c>
      <c r="B2569" s="12" t="s">
        <v>15353</v>
      </c>
      <c r="C2569" s="13" t="str">
        <f>HYPERLINK("https://audio.iskcondesiretree.com/02_-_ISKCON_Swamis/ISKCON_Swamis_-_R_to_Y/His_Holiness_Radhanath_Swami/Lectures/00_-_Year_wise/Devotional_Nectar_-_2010/2010-10-17_Annual_Ratha_Yatra_Lecture_-_Radhanath_Swami_Laguna_Beach.mp3", "2010-10-17_Annual_Ratha_Yatra_Lecture_-_Radhanath_Swami_Laguna_Beach.mp3")</f>
        <v>2010-10-17_Annual_Ratha_Yatra_Lecture_-_Radhanath_Swami_Laguna_Beach.mp3</v>
      </c>
      <c r="D2569" s="11"/>
      <c r="E2569" s="11"/>
    </row>
    <row r="2570" spans="1:5">
      <c r="A2570" s="12" t="s">
        <v>12462</v>
      </c>
      <c r="B2570" s="12" t="s">
        <v>15354</v>
      </c>
      <c r="C2570" s="13" t="str">
        <f>HYPERLINK("https://audio.iskcondesiretree.com/02_-_ISKCON_Swamis/ISKCON_Swamis_-_R_to_Y/His_Holiness_Radhanath_Swami/Lectures/00_-_Year_wise/Devotional_Nectar_-_2010/2010-10-17_Arati_-_Radhanath_Swami_Laguna_Beach.mp3", "2010-10-17_Arati_-_Radhanath_Swami_Laguna_Beach.mp3")</f>
        <v>2010-10-17_Arati_-_Radhanath_Swami_Laguna_Beach.mp3</v>
      </c>
      <c r="D2570" s="11"/>
      <c r="E2570" s="11"/>
    </row>
    <row r="2571" spans="1:5">
      <c r="A2571" s="12" t="s">
        <v>12462</v>
      </c>
      <c r="B2571" s="12" t="s">
        <v>15355</v>
      </c>
      <c r="C2571" s="13" t="str">
        <f>HYPERLINK("https://audio.iskcondesiretree.com/02_-_ISKCON_Swamis/ISKCON_Swamis_-_R_to_Y/His_Holiness_Radhanath_Swami/Lectures/00_-_Year_wise/Devotional_Nectar_-_2010/2010-10-19_SB_Class_-_Radhanath_Swami_Los_Angeles.mp3", "2010-10-19_SB_Class_-_Radhanath_Swami_Los_Angeles.mp3")</f>
        <v>2010-10-19_SB_Class_-_Radhanath_Swami_Los_Angeles.mp3</v>
      </c>
      <c r="D2571" s="11"/>
      <c r="E2571" s="11"/>
    </row>
    <row r="2572" spans="1:5">
      <c r="A2572" s="12" t="s">
        <v>12462</v>
      </c>
      <c r="B2572" s="12" t="s">
        <v>15356</v>
      </c>
      <c r="C2572" s="13" t="str">
        <f>HYPERLINK("https://audio.iskcondesiretree.com/02_-_ISKCON_Swamis/ISKCON_Swamis_-_R_to_Y/His_Holiness_Radhanath_Swami/Lectures/00_-_Year_wise/Devotional_Nectar_-_2010/2010-11-17_-_Lecture_-_Radhanath_Swami_Boston_University.mp3", "2010-11-17_-_Lecture_-_Radhanath_Swami_Boston_University.mp3")</f>
        <v>2010-11-17_-_Lecture_-_Radhanath_Swami_Boston_University.mp3</v>
      </c>
      <c r="D2572" s="11"/>
      <c r="E2572" s="11"/>
    </row>
    <row r="2573" spans="1:5">
      <c r="A2573" s="12" t="s">
        <v>12462</v>
      </c>
      <c r="B2573" s="12" t="s">
        <v>15357</v>
      </c>
      <c r="C2573" s="13" t="str">
        <f>HYPERLINK("https://audio.iskcondesiretree.com/02_-_ISKCON_Swamis/ISKCON_Swamis_-_R_to_Y/His_Holiness_Radhanath_Swami/Lectures/00_-_Year_wise/Devotional_Nectar_-_2010/2010-12-07_-_Birthday_Lecture_-_Radhanath_Swami.mp3", "2010-12-07_-_Birthday_Lecture_-_Radhanath_Swami.mp3")</f>
        <v>2010-12-07_-_Birthday_Lecture_-_Radhanath_Swami.mp3</v>
      </c>
      <c r="D2573" s="11"/>
      <c r="E2573" s="11"/>
    </row>
    <row r="2574" spans="1:5">
      <c r="A2574" s="12" t="s">
        <v>12462</v>
      </c>
      <c r="B2574" s="12" t="s">
        <v>15358</v>
      </c>
      <c r="C2574" s="13" t="str">
        <f>HYPERLINK("https://audio.iskcondesiretree.com/02_-_ISKCON_Swamis/ISKCON_Swamis_-_R_to_Y/His_Holiness_Radhanath_Swami/Lectures/00_-_Year_wise/Devotional_Nectar_-_2010/2010-12-07_-_Birthday_Offerings_-_Radhanath_Swami.mp3", "2010-12-07_-_Birthday_Offerings_-_Radhanath_Swami.mp3")</f>
        <v>2010-12-07_-_Birthday_Offerings_-_Radhanath_Swami.mp3</v>
      </c>
      <c r="D2574" s="11"/>
      <c r="E2574" s="11"/>
    </row>
    <row r="2575" spans="1:5">
      <c r="A2575" s="12" t="s">
        <v>12462</v>
      </c>
      <c r="B2575" s="12" t="s">
        <v>15359</v>
      </c>
      <c r="C2575" s="13" t="str">
        <f>HYPERLINK("https://audio.iskcondesiretree.com/02_-_ISKCON_Swamis/ISKCON_Swamis_-_R_to_Y/His_Holiness_Radhanath_Swami/Lectures/00_-_Year_wise/Devotional_Nectar_-_2010/2010-12-10_Various_-_To_associates_with_devotees_and_to_render_some_Services_-_Radhanath_Sw.mp3", "2010-12-10_Various_-_To_associates_with_devotees_and_to_render_some_Services_-_Radhanath_Sw.mp3")</f>
        <v>2010-12-10_Various_-_To_associates_with_devotees_and_to_render_some_Services_-_Radhanath_Sw.mp3</v>
      </c>
      <c r="D2575" s="11"/>
      <c r="E2575" s="11"/>
    </row>
    <row r="2576" spans="1:5">
      <c r="A2576" s="12" t="s">
        <v>12462</v>
      </c>
      <c r="B2576" s="12" t="e">
        <v>#VALUE!</v>
      </c>
      <c r="C2576" s="13" t="e">
        <f>HYPERLINK("https://audio.iskcondesiretree.com/02_-_ISKCON_Swamis/ISKCON_Swamis_-_R_to_Y/His_Holiness_Radhanath_Swami/Lectures/00_-_Year_wise/Devotional_Nectar_-_2010/2010-12-12_Sunday_Feast_-_Illustrations_Of_Quality_Of_Gratitude_-_Radhanath_Swami_ISKCON_Chowpatty.m"&amp;"p3", "2010-12-12_Sunday_Feast_-_Illustrations_Of_Quality_Of_Gratitude_-_Radhanath_Swami_ISKCON_Chowpatty.mp3")</f>
        <v>#VALUE!</v>
      </c>
      <c r="D2576" s="11"/>
      <c r="E2576" s="11"/>
    </row>
    <row r="2577" spans="1:5">
      <c r="A2577" s="12" t="s">
        <v>12462</v>
      </c>
      <c r="B2577" s="12" t="s">
        <v>15360</v>
      </c>
      <c r="C2577" s="13" t="str">
        <f>HYPERLINK("https://audio.iskcondesiretree.com/02_-_ISKCON_Swamis/ISKCON_Swamis_-_R_to_Y/His_Holiness_Radhanath_Swami/Lectures/00_-_Year_wise/Devotional_Nectar_-_2010/2010_Festivals_-_Festival_of_Inspiration_-_Radhanath_Swami_New_Vrindavan.mp3", "2010_Festivals_-_Festival_of_Inspiration_-_Radhanath_Swami_New_Vrindavan.mp3")</f>
        <v>2010_Festivals_-_Festival_of_Inspiration_-_Radhanath_Swami_New_Vrindavan.mp3</v>
      </c>
      <c r="D2577" s="11"/>
      <c r="E2577" s="11"/>
    </row>
    <row r="2578" spans="1:5">
      <c r="A2578" s="12" t="s">
        <v>12462</v>
      </c>
      <c r="B2578" s="12" t="s">
        <v>15361</v>
      </c>
      <c r="C2578" s="13" t="str">
        <f>HYPERLINK("https://audio.iskcondesiretree.com/02_-_ISKCON_Swamis/ISKCON_Swamis_-_R_to_Y/His_Holiness_Radhanath_Swami/Lectures/00_-_Year_wise/Devotional_Nectar_-_2010/2010_Various_-_History_of_Villa_Vrindavana_-_Radhanath_Swami.mp3", "2010_Various_-_History_of_Villa_Vrindavana_-_Radhanath_Swami.mp3")</f>
        <v>2010_Various_-_History_of_Villa_Vrindavana_-_Radhanath_Swami.mp3</v>
      </c>
      <c r="D2578" s="11"/>
      <c r="E2578" s="11"/>
    </row>
    <row r="2579" spans="1:5">
      <c r="A2579" s="12" t="s">
        <v>12462</v>
      </c>
      <c r="B2579" s="12" t="s">
        <v>15362</v>
      </c>
      <c r="C2579" s="13" t="str">
        <f>HYPERLINK("https://audio.iskcondesiretree.com/02_-_ISKCON_Swamis/ISKCON_Swamis_-_R_to_Y/His_Holiness_Radhanath_Swami/Lectures/00_-_Year_wise/Devotional_Nectar_-_2010/Prabhupada_Vyasa_puja_homages_-_San_Diego.mp3", "Prabhupada_Vyasa_puja_homages_-_San_Diego.mp3")</f>
        <v>Prabhupada_Vyasa_puja_homages_-_San_Diego.mp3</v>
      </c>
      <c r="D2579" s="11"/>
      <c r="E2579" s="11"/>
    </row>
    <row r="2580" spans="1:5">
      <c r="A2580" s="12" t="s">
        <v>12462</v>
      </c>
      <c r="B2580" s="12" t="s">
        <v>15363</v>
      </c>
      <c r="C2580" s="13" t="str">
        <f>HYPERLINK("https://audio.iskcondesiretree.com/02_-_ISKCON_Swamis/ISKCON_Swamis_-_R_to_Y/His_Holiness_Radhanath_Swami/Lectures/00_-_Year_wise/Devotional_Nectar_-_2010/RNS_SB_04-2-27_-_10-06-22.mp3", "RNS_SB_04-2-27_-_10-06-22.mp3")</f>
        <v>RNS_SB_04-2-27_-_10-06-22.mp3</v>
      </c>
      <c r="D2580" s="11"/>
      <c r="E2580" s="11"/>
    </row>
    <row r="2581" spans="1:5">
      <c r="A2581" s="12" t="s">
        <v>12462</v>
      </c>
      <c r="B2581" s="12" t="s">
        <v>15364</v>
      </c>
      <c r="C2581" s="13" t="str">
        <f>HYPERLINK("https://audio.iskcondesiretree.com/02_-_ISKCON_Swamis/ISKCON_Swamis_-_R_to_Y/His_Holiness_Radhanath_Swami/Lectures/00_-_Year_wise/Devotional_Nectar_-_2011/2011-01-22_-_Ghatkopar_Rath_Yatra/Ghatkopar_Rath_Yatra_Radhanath_Swami_lecture_and_kirtan.mp3", "Ghatkopar_Rath_Yatra_Radhanath_Swami_lecture_and_kirtan.mp3")</f>
        <v>Ghatkopar_Rath_Yatra_Radhanath_Swami_lecture_and_kirtan.mp3</v>
      </c>
      <c r="D2581" s="11"/>
      <c r="E2581" s="11"/>
    </row>
    <row r="2582" spans="1:5">
      <c r="A2582" s="12" t="s">
        <v>12462</v>
      </c>
      <c r="B2582" s="12" t="s">
        <v>15365</v>
      </c>
      <c r="C2582" s="13" t="str">
        <f>HYPERLINK("https://audio.iskcondesiretree.com/02_-_ISKCON_Swamis/ISKCON_Swamis_-_R_to_Y/His_Holiness_Radhanath_Swami/Lectures/00_-_Year_wise/Devotional_Nectar_-_2011/2011-01-26_-_ISKCON_Juhu/2011-01-26_Radhanath_Swami_ISKCON_Juhu.mp3", "2011-01-26_Radhanath_Swami_ISKCON_Juhu.mp3")</f>
        <v>2011-01-26_Radhanath_Swami_ISKCON_Juhu.mp3</v>
      </c>
      <c r="D2582" s="11"/>
      <c r="E2582" s="11"/>
    </row>
    <row r="2583" spans="1:5">
      <c r="A2583" s="12" t="s">
        <v>12462</v>
      </c>
      <c r="B2583" s="12" t="s">
        <v>15366</v>
      </c>
      <c r="C2583" s="13" t="str">
        <f>HYPERLINK("https://audio.iskcondesiretree.com/02_-_ISKCON_Swamis/ISKCON_Swamis_-_R_to_Y/His_Holiness_Radhanath_Swami/Lectures/00_-_Year_wise/Devotional_Nectar_-_2011/2011_-_ISKCON_Hyderabad/2011-03-28_-_Book_launch_address_-_Radhanath_Swami_Hyderabad.mp3", "2011-03-28_-_Book_launch_address_-_Radhanath_Swami_Hyderabad.mp3")</f>
        <v>2011-03-28_-_Book_launch_address_-_Radhanath_Swami_Hyderabad.mp3</v>
      </c>
      <c r="D2583" s="11"/>
      <c r="E2583" s="11"/>
    </row>
    <row r="2584" spans="1:5">
      <c r="A2584" s="12" t="s">
        <v>12462</v>
      </c>
      <c r="B2584" s="12" t="s">
        <v>15367</v>
      </c>
      <c r="C2584" s="13" t="str">
        <f>HYPERLINK("https://audio.iskcondesiretree.com/02_-_ISKCON_Swamis/ISKCON_Swamis_-_R_to_Y/His_Holiness_Radhanath_Swami/Lectures/00_-_Year_wise/Devotional_Nectar_-_2011/2011_-_ISKCON_Hyderabad/2011-03-29_-_Initiation_Lecture_-_Radhanath_Swami_ISKCON_Hyderabad.mp3", "2011-03-29_-_Initiation_Lecture_-_Radhanath_Swami_ISKCON_Hyderabad.mp3")</f>
        <v>2011-03-29_-_Initiation_Lecture_-_Radhanath_Swami_ISKCON_Hyderabad.mp3</v>
      </c>
      <c r="D2584" s="11"/>
      <c r="E2584" s="11"/>
    </row>
    <row r="2585" spans="1:5">
      <c r="A2585" s="12" t="s">
        <v>12462</v>
      </c>
      <c r="B2585" s="12" t="s">
        <v>15368</v>
      </c>
      <c r="C2585" s="13" t="str">
        <f>HYPERLINK("https://audio.iskcondesiretree.com/02_-_ISKCON_Swamis/ISKCON_Swamis_-_R_to_Y/His_Holiness_Radhanath_Swami/Lectures/00_-_Year_wise/Devotional_Nectar_-_2011/2011_-_ISKCON_Hyderabad/2011-03-29_SB_04-31-05_-_Radhanath_Swami_ISKCON_Hyderabad.mp3", "2011-03-29_SB_04-31-05_-_Radhanath_Swami_ISKCON_Hyderabad.mp3")</f>
        <v>2011-03-29_SB_04-31-05_-_Radhanath_Swami_ISKCON_Hyderabad.mp3</v>
      </c>
      <c r="D2585" s="11"/>
      <c r="E2585" s="11"/>
    </row>
    <row r="2586" spans="1:5">
      <c r="A2586" s="12" t="s">
        <v>12462</v>
      </c>
      <c r="B2586" s="12" t="s">
        <v>15369</v>
      </c>
      <c r="C2586" s="13" t="str">
        <f>HYPERLINK("https://audio.iskcondesiretree.com/02_-_ISKCON_Swamis/ISKCON_Swamis_-_R_to_Y/His_Holiness_Radhanath_Swami/Lectures/00_-_Year_wise/Devotional_Nectar_-_2011/2011_-_ISKCON_Hyderabad/2011-03-30_SB_01-04-02_-_Radhanath_Swami_ISKCON_Secunderabad.mp3", "2011-03-30_SB_01-04-02_-_Radhanath_Swami_ISKCON_Secunderabad.mp3")</f>
        <v>2011-03-30_SB_01-04-02_-_Radhanath_Swami_ISKCON_Secunderabad.mp3</v>
      </c>
      <c r="D2586" s="11"/>
      <c r="E2586" s="11"/>
    </row>
    <row r="2587" spans="1:5">
      <c r="A2587" s="12" t="s">
        <v>12462</v>
      </c>
      <c r="B2587" s="12" t="e">
        <v>#VALUE!</v>
      </c>
      <c r="C2587" s="13" t="e">
        <f>HYPERLINK("https://audio.iskcondesiretree.com/02_-_ISKCON_Swamis/ISKCON_Swamis_-_R_to_Y/His_Holiness_Radhanath_Swami/Lectures/00_-_Year_wise/Devotional_Nectar_-_2011/2011_May_-_Festival_Of_Inspiration/2011-05-11_-_Question_And_Answer_-_Radhanath_Swami_New_Vrindavan."&amp;"mp3", "2011-05-11_-_Question_And_Answer_-_Radhanath_Swami_New_Vrindavan.mp3")</f>
        <v>#VALUE!</v>
      </c>
      <c r="D2587" s="11"/>
      <c r="E2587" s="11"/>
    </row>
    <row r="2588" spans="1:5">
      <c r="A2588" s="12" t="s">
        <v>12462</v>
      </c>
      <c r="B2588" s="12" t="e">
        <v>#VALUE!</v>
      </c>
      <c r="C2588" s="13" t="e">
        <f>HYPERLINK("https://audio.iskcondesiretree.com/02_-_ISKCON_Swamis/ISKCON_Swamis_-_R_to_Y/His_Holiness_Radhanath_Swami/Lectures/00_-_Year_wise/Devotional_Nectar_-_2011/More/2011-01-05_Various_-_Address_to_Harvard_Business_Management_Students_-_Radhanath_Swami_Mumbai.m"&amp;"p3", "2011-01-05_Various_-_Address_to_Harvard_Business_Management_Students_-_Radhanath_Swami_Mumbai.mp3")</f>
        <v>#VALUE!</v>
      </c>
      <c r="D2588" s="11"/>
      <c r="E2588" s="11"/>
    </row>
    <row r="2589" spans="1:5">
      <c r="A2589" s="12" t="s">
        <v>12462</v>
      </c>
      <c r="B2589" s="12" t="s">
        <v>15370</v>
      </c>
      <c r="C2589" s="13" t="str">
        <f>HYPERLINK("https://audio.iskcondesiretree.com/02_-_ISKCON_Swamis/ISKCON_Swamis_-_R_to_Y/His_Holiness_Radhanath_Swami/Lectures/00_-_Year_wise/Devotional_Nectar_-_2011/More/2011-01-08_Various_-_Sincerity_and_Compassion_-_Radhanath_Swami_Mumbai.mp3", "2011-01-08_Various_-_Sincerity_and_Compassion_-_Radhanath_Swami_Mumbai.mp3")</f>
        <v>2011-01-08_Various_-_Sincerity_and_Compassion_-_Radhanath_Swami_Mumbai.mp3</v>
      </c>
      <c r="D2589" s="11"/>
      <c r="E2589" s="11"/>
    </row>
    <row r="2590" spans="1:5">
      <c r="A2590" s="12" t="s">
        <v>12462</v>
      </c>
      <c r="B2590" s="12" t="e">
        <v>#VALUE!</v>
      </c>
      <c r="C2590" s="13" t="e">
        <f>HYPERLINK("https://audio.iskcondesiretree.com/02_-_ISKCON_Swamis/ISKCON_Swamis_-_R_to_Y/His_Holiness_Radhanath_Swami/Lectures/00_-_Year_wise/Devotional_Nectar_-_2011/More/2011-01-09_SB-09-10-29_-_Parallels_Between_Vidura_Prahalada_And_Vibhisana_-_RNS_ISKCON_Chowpatt"&amp;"y.mp3", "2011-01-09_SB-09-10-29_-_Parallels_Between_Vidura_Prahalada_And_Vibhisana_-_RNS_ISKCON_Chowpatty.mp3")</f>
        <v>#VALUE!</v>
      </c>
      <c r="D2590" s="11"/>
      <c r="E2590" s="11"/>
    </row>
    <row r="2591" spans="1:5">
      <c r="A2591" s="12" t="s">
        <v>12462</v>
      </c>
      <c r="B2591" s="12" t="s">
        <v>15371</v>
      </c>
      <c r="C2591" s="13" t="str">
        <f>HYPERLINK("https://audio.iskcondesiretree.com/02_-_ISKCON_Swamis/ISKCON_Swamis_-_R_to_Y/His_Holiness_Radhanath_Swami/Lectures/00_-_Year_wise/Devotional_Nectar_-_2011/More/2011-01-09_Sunday_Feast_-_Kirtan_-_Radhanath_Swami_ISKCON_Chowpatty.mp3", "2011-01-09_Sunday_Feast_-_Kirtan_-_Radhanath_Swami_ISKCON_Chowpatty.mp3")</f>
        <v>2011-01-09_Sunday_Feast_-_Kirtan_-_Radhanath_Swami_ISKCON_Chowpatty.mp3</v>
      </c>
      <c r="D2591" s="11"/>
      <c r="E2591" s="11"/>
    </row>
    <row r="2592" spans="1:5">
      <c r="A2592" s="12" t="s">
        <v>12462</v>
      </c>
      <c r="B2592" s="12" t="e">
        <v>#VALUE!</v>
      </c>
      <c r="C2592" s="13" t="e">
        <f>HYPERLINK("https://audio.iskcondesiretree.com/02_-_ISKCON_Swamis/ISKCON_Swamis_-_R_to_Y/His_Holiness_Radhanath_Swami/Lectures/00_-_Year_wise/Devotional_Nectar_-_2011/More/2011-01-09_Sunday_Feast_-_Krsna_Is_Eager_For_Devotees_Happiness_-_Radhanath_Swami_ISKCON_Chowpa"&amp;"tty.mp3", "2011-01-09_Sunday_Feast_-_Krsna_Is_Eager_For_Devotees_Happiness_-_Radhanath_Swami_ISKCON_Chowpatty.mp3")</f>
        <v>#VALUE!</v>
      </c>
      <c r="D2592" s="11"/>
      <c r="E2592" s="11"/>
    </row>
    <row r="2593" spans="1:5">
      <c r="A2593" s="12" t="s">
        <v>12462</v>
      </c>
      <c r="B2593" s="12" t="e">
        <v>#VALUE!</v>
      </c>
      <c r="C2593" s="13" t="e">
        <f>HYPERLINK("https://audio.iskcondesiretree.com/02_-_ISKCON_Swamis/ISKCON_Swamis_-_R_to_Y/His_Holiness_Radhanath_Swami/Lectures/00_-_Year_wise/Devotional_Nectar_-_2011/More/2011-01-09_Sunday_Feast_-_Krsna_Is_Eager_To_See_His_Devotees_Being_Happy_-_RNS_ISKCON_Chowpatty"&amp;".mp3", "2011-01-09_Sunday_Feast_-_Krsna_Is_Eager_To_See_His_Devotees_Being_Happy_-_RNS_ISKCON_Chowpatty.mp3")</f>
        <v>#VALUE!</v>
      </c>
      <c r="D2593" s="11"/>
      <c r="E2593" s="11"/>
    </row>
    <row r="2594" spans="1:5">
      <c r="A2594" s="12" t="s">
        <v>12462</v>
      </c>
      <c r="B2594" s="12" t="e">
        <v>#VALUE!</v>
      </c>
      <c r="C2594" s="13" t="e">
        <f>HYPERLINK("https://audio.iskcondesiretree.com/02_-_ISKCON_Swamis/ISKCON_Swamis_-_R_to_Y/His_Holiness_Radhanath_Swami/Lectures/00_-_Year_wise/Devotional_Nectar_-_2011/More/2011-01-14_-_Dhruva_Maharaj_Teaches_The_Principle_Of_Gratitude_-_Radhanath_Swami_ISKCON_Chowpat"&amp;"ty.mp3", "2011-01-14_-_Dhruva_Maharaj_Teaches_The_Principle_Of_Gratitude_-_Radhanath_Swami_ISKCON_Chowpatty.mp3")</f>
        <v>#VALUE!</v>
      </c>
      <c r="D2594" s="11"/>
      <c r="E2594" s="11"/>
    </row>
    <row r="2595" spans="1:5">
      <c r="A2595" s="12" t="s">
        <v>12462</v>
      </c>
      <c r="B2595" s="12" t="e">
        <v>#VALUE!</v>
      </c>
      <c r="C2595" s="13" t="e">
        <f>HYPERLINK("https://audio.iskcondesiretree.com/02_-_ISKCON_Swamis/ISKCON_Swamis_-_R_to_Y/His_Holiness_Radhanath_Swami/Lectures/00_-_Year_wise/Devotional_Nectar_-_2011/More/2011-01-16_-_Sunday_Feast_Inconceivable_Ways_Of_Lord%27s_Reciprocation_-_Radhanath_Swami_ISKCON"&amp;"_Chowpatty.mp3", "2011-01-16_-_Sunday_Feast_Inconceivable_Ways_Of_Lord%27s_Reciprocation_-_Radhanath_Swami_ISKCON_Chowpatty.mp3")</f>
        <v>#VALUE!</v>
      </c>
      <c r="D2595" s="11"/>
      <c r="E2595" s="11"/>
    </row>
    <row r="2596" spans="1:5">
      <c r="A2596" s="12" t="s">
        <v>12462</v>
      </c>
      <c r="B2596" s="12" t="s">
        <v>15372</v>
      </c>
      <c r="C2596" s="13" t="str">
        <f>HYPERLINK("https://audio.iskcondesiretree.com/02_-_ISKCON_Swamis/ISKCON_Swamis_-_R_to_Y/His_Holiness_Radhanath_Swami/Lectures/00_-_Year_wise/Devotional_Nectar_-_2011/More/2011-01-16_-_Sunday_Feast_Kirtan_-_Radhanath_Swami_ISKCON_Chowpatty.mp3", "2011-01-16_-_Sunday_Feast_Kirtan_-_Radhanath_Swami_ISKCON_Chowpatty.mp3")</f>
        <v>2011-01-16_-_Sunday_Feast_Kirtan_-_Radhanath_Swami_ISKCON_Chowpatty.mp3</v>
      </c>
      <c r="D2596" s="11"/>
      <c r="E2596" s="11"/>
    </row>
    <row r="2597" spans="1:5">
      <c r="A2597" s="12" t="s">
        <v>12462</v>
      </c>
      <c r="B2597" s="12" t="s">
        <v>15373</v>
      </c>
      <c r="C2597" s="13" t="str">
        <f>HYPERLINK("https://audio.iskcondesiretree.com/02_-_ISKCON_Swamis/ISKCON_Swamis_-_R_to_Y/His_Holiness_Radhanath_Swami/Lectures/00_-_Year_wise/Devotional_Nectar_-_2011/More/2011-01-21_Various_-_Saffron_Awarding_Ceremony_-_Radhanath_Swami_Mumbai.mp3", "2011-01-21_Various_-_Saffron_Awarding_Ceremony_-_Radhanath_Swami_Mumbai.mp3")</f>
        <v>2011-01-21_Various_-_Saffron_Awarding_Ceremony_-_Radhanath_Swami_Mumbai.mp3</v>
      </c>
      <c r="D2597" s="11"/>
      <c r="E2597" s="11"/>
    </row>
    <row r="2598" spans="1:5">
      <c r="A2598" s="12" t="s">
        <v>12462</v>
      </c>
      <c r="B2598" s="12" t="e">
        <v>#VALUE!</v>
      </c>
      <c r="C2598" s="13" t="e">
        <f>HYPERLINK("https://audio.iskcondesiretree.com/02_-_ISKCON_Swamis/ISKCON_Swamis_-_R_to_Y/His_Holiness_Radhanath_Swami/Lectures/00_-_Year_wise/Devotional_Nectar_-_2011/More/2011-01-22_-_Ghatkopar_Rath_Yatra_Importance_Of_Jagannath_Rath_Yatra_-_Radhanath_Swami_ISKCON_C"&amp;"howpatty.mp3", "2011-01-22_-_Ghatkopar_Rath_Yatra_Importance_Of_Jagannath_Rath_Yatra_-_Radhanath_Swami_ISKCON_Chowpatty.mp3")</f>
        <v>#VALUE!</v>
      </c>
      <c r="D2598" s="11"/>
      <c r="E2598" s="11"/>
    </row>
    <row r="2599" spans="1:5">
      <c r="A2599" s="12" t="s">
        <v>12462</v>
      </c>
      <c r="B2599" s="12" t="s">
        <v>15374</v>
      </c>
      <c r="C2599" s="13" t="str">
        <f>HYPERLINK("https://audio.iskcondesiretree.com/02_-_ISKCON_Swamis/ISKCON_Swamis_-_R_to_Y/His_Holiness_Radhanath_Swami/Lectures/00_-_Year_wise/Devotional_Nectar_-_2011/More/2011-01-23_-_Sunday_Feast_Kirtan_-_Radhanath_Swami_ISKCON_Chowpatty.mp3", "2011-01-23_-_Sunday_Feast_Kirtan_-_Radhanath_Swami_ISKCON_Chowpatty.mp3")</f>
        <v>2011-01-23_-_Sunday_Feast_Kirtan_-_Radhanath_Swami_ISKCON_Chowpatty.mp3</v>
      </c>
      <c r="D2599" s="11"/>
      <c r="E2599" s="11"/>
    </row>
    <row r="2600" spans="1:5">
      <c r="A2600" s="12" t="s">
        <v>12462</v>
      </c>
      <c r="B2600" s="12" t="e">
        <v>#VALUE!</v>
      </c>
      <c r="C2600" s="13" t="e">
        <f>HYPERLINK("https://audio.iskcondesiretree.com/02_-_ISKCON_Swamis/ISKCON_Swamis_-_R_to_Y/His_Holiness_Radhanath_Swami/Lectures/00_-_Year_wise/Devotional_Nectar_-_2011/More/2011-01-23_SB-09-11-18-19_-_Pain_In_Separation_Spiritually_Means_Highest_Ecstasies_-_RNS_ISKCON"&amp;"_Chowpatty.mp3", "2011-01-23_SB-09-11-18-19_-_Pain_In_Separation_Spiritually_Means_Highest_Ecstasies_-_RNS_ISKCON_Chowpatty.mp3")</f>
        <v>#VALUE!</v>
      </c>
      <c r="D2600" s="11"/>
      <c r="E2600" s="11"/>
    </row>
    <row r="2601" spans="1:5">
      <c r="A2601" s="12" t="s">
        <v>12462</v>
      </c>
      <c r="B2601" s="12" t="s">
        <v>15375</v>
      </c>
      <c r="C2601" s="13" t="str">
        <f>HYPERLINK("https://audio.iskcondesiretree.com/02_-_ISKCON_Swamis/ISKCON_Swamis_-_R_to_Y/His_Holiness_Radhanath_Swami/Lectures/00_-_Year_wise/Devotional_Nectar_-_2011/More/2011-01-23_Sunday_Feast_Kirtan_-_Radhanath_Swami_ISKCON_Chowpatty.mp3", "2011-01-23_Sunday_Feast_Kirtan_-_Radhanath_Swami_ISKCON_Chowpatty.mp3")</f>
        <v>2011-01-23_Sunday_Feast_Kirtan_-_Radhanath_Swami_ISKCON_Chowpatty.mp3</v>
      </c>
      <c r="D2601" s="11"/>
      <c r="E2601" s="11"/>
    </row>
    <row r="2602" spans="1:5">
      <c r="A2602" s="12" t="s">
        <v>12462</v>
      </c>
      <c r="B2602" s="12" t="e">
        <v>#VALUE!</v>
      </c>
      <c r="C2602" s="13" t="e">
        <f>HYPERLINK("https://audio.iskcondesiretree.com/02_-_ISKCON_Swamis/ISKCON_Swamis_-_R_to_Y/His_Holiness_Radhanath_Swami/Lectures/00_-_Year_wise/Devotional_Nectar_-_2011/More/2011-01-23_Various_-_Sunday_Feast-Rantidev%27s_Spirit_of_Responsible_Leadership_-_Radhanath_Swa"&amp;"mi_Mumbai.mp3", "2011-01-23_Various_-_Sunday_Feast-Rantidev%27s_Spirit_of_Responsible_Leadership_-_Radhanath_Swami_Mumbai.mp3")</f>
        <v>#VALUE!</v>
      </c>
      <c r="D2602" s="11"/>
      <c r="E2602" s="11"/>
    </row>
    <row r="2603" spans="1:5">
      <c r="A2603" s="12" t="s">
        <v>12462</v>
      </c>
      <c r="B2603" s="12" t="e">
        <v>#VALUE!</v>
      </c>
      <c r="C2603" s="13" t="e">
        <f>HYPERLINK("https://audio.iskcondesiretree.com/02_-_ISKCON_Swamis/ISKCON_Swamis_-_R_to_Y/His_Holiness_Radhanath_Swami/Lectures/00_-_Year_wise/Devotional_Nectar_-_2011/More/2011-01-29_Pushya_Abhishek_Festival_Lecture-Significance_Of_Pushya_Abhishek_-_RNS_ISKCON_Chowpa"&amp;"tty.mp3", "2011-01-29_Pushya_Abhishek_Festival_Lecture-Significance_Of_Pushya_Abhishek_-_RNS_ISKCON_Chowpatty.mp3")</f>
        <v>#VALUE!</v>
      </c>
      <c r="D2603" s="11"/>
      <c r="E2603" s="11"/>
    </row>
    <row r="2604" spans="1:5">
      <c r="A2604" s="12" t="s">
        <v>12462</v>
      </c>
      <c r="B2604" s="12" t="s">
        <v>15376</v>
      </c>
      <c r="C2604" s="13" t="str">
        <f>HYPERLINK("https://audio.iskcondesiretree.com/02_-_ISKCON_Swamis/ISKCON_Swamis_-_R_to_Y/His_Holiness_Radhanath_Swami/Lectures/00_-_Year_wise/Devotional_Nectar_-_2011/More/2011-01-29_SB-09-11-26-36_-_Its_The_Thought_That_Counts_-_Radhanath_Swami_ISKCON_Chowpatty.mp3", "2011-01-29_SB-09-11-26-36_-_Its_The_Thought_That_Counts_-_Radhanath_Swami_ISKCON_Chowpatty.mp3")</f>
        <v>2011-01-29_SB-09-11-26-36_-_Its_The_Thought_That_Counts_-_Radhanath_Swami_ISKCON_Chowpatty.mp3</v>
      </c>
      <c r="D2604" s="11"/>
      <c r="E2604" s="11"/>
    </row>
    <row r="2605" spans="1:5">
      <c r="A2605" s="12" t="s">
        <v>12462</v>
      </c>
      <c r="B2605" s="12" t="e">
        <v>#VALUE!</v>
      </c>
      <c r="C2605" s="13" t="e">
        <f>HYPERLINK("https://audio.iskcondesiretree.com/02_-_ISKCON_Swamis/ISKCON_Swamis_-_R_to_Y/His_Holiness_Radhanath_Swami/Lectures/00_-_Year_wise/Devotional_Nectar_-_2011/More/2011-01-30_-_Sunday_Feast_Jelly_Fish_Of_Maya_Has_Unlimited_Tenticles_-_Radhanath_Swami_ISKCON_C"&amp;"howpatty.mp3", "2011-01-30_-_Sunday_Feast_Jelly_Fish_Of_Maya_Has_Unlimited_Tenticles_-_Radhanath_Swami_ISKCON_Chowpatty.mp3")</f>
        <v>#VALUE!</v>
      </c>
      <c r="D2605" s="11"/>
      <c r="E2605" s="11"/>
    </row>
    <row r="2606" spans="1:5">
      <c r="A2606" s="12" t="s">
        <v>12462</v>
      </c>
      <c r="B2606" s="12" t="s">
        <v>15377</v>
      </c>
      <c r="C2606" s="13" t="str">
        <f>HYPERLINK("https://audio.iskcondesiretree.com/02_-_ISKCON_Swamis/ISKCON_Swamis_-_R_to_Y/His_Holiness_Radhanath_Swami/Lectures/00_-_Year_wise/Devotional_Nectar_-_2011/More/2011-02-11_Q%26A_-_Inter_Faith_Conference_-_Radhanath_Swami_Somaiya%20College.mp3", "2011-02-11_Q%26A_-_Inter_Faith_Conference_-_Radhanath_Swami_Somaiya%20College.mp3")</f>
        <v>2011-02-11_Q%26A_-_Inter_Faith_Conference_-_Radhanath_Swami_Somaiya%20College.mp3</v>
      </c>
      <c r="D2606" s="11"/>
      <c r="E2606" s="11"/>
    </row>
    <row r="2607" spans="1:5">
      <c r="A2607" s="12" t="s">
        <v>12462</v>
      </c>
      <c r="B2607" s="12" t="e">
        <v>#VALUE!</v>
      </c>
      <c r="C2607" s="13" t="e">
        <f>HYPERLINK("https://audio.iskcondesiretree.com/02_-_ISKCON_Swamis/ISKCON_Swamis_-_R_to_Y/His_Holiness_Radhanath_Swami/Lectures/00_-_Year_wise/Devotional_Nectar_-_2011/More/2011-02-11_Various_-_Public_Address-Inter_Faith_Conference_-_Radhanath_Swami_Somaiya%20College."&amp;"mp3", "2011-02-11_Various_-_Public_Address-Inter_Faith_Conference_-_Radhanath_Swami_Somaiya%20College.mp3")</f>
        <v>#VALUE!</v>
      </c>
      <c r="D2607" s="11"/>
      <c r="E2607" s="11"/>
    </row>
    <row r="2608" spans="1:5">
      <c r="A2608" s="12" t="s">
        <v>12462</v>
      </c>
      <c r="B2608" s="12" t="s">
        <v>15378</v>
      </c>
      <c r="C2608" s="13" t="str">
        <f>HYPERLINK("https://audio.iskcondesiretree.com/02_-_ISKCON_Swamis/ISKCON_Swamis_-_R_to_Y/His_Holiness_Radhanath_Swami/Lectures/00_-_Year_wise/Devotional_Nectar_-_2011/More/2011-02-16_Nityananda_Trayodasi_-_Radhanath_Swami_ISKCON_Mayapur.mp3", "2011-02-16_Nityananda_Trayodasi_-_Radhanath_Swami_ISKCON_Mayapur.mp3")</f>
        <v>2011-02-16_Nityananda_Trayodasi_-_Radhanath_Swami_ISKCON_Mayapur.mp3</v>
      </c>
      <c r="D2608" s="11"/>
      <c r="E2608" s="11"/>
    </row>
    <row r="2609" spans="1:5">
      <c r="A2609" s="12" t="s">
        <v>12462</v>
      </c>
      <c r="B2609" s="12" t="s">
        <v>15379</v>
      </c>
      <c r="C2609" s="13" t="str">
        <f>HYPERLINK("https://audio.iskcondesiretree.com/02_-_ISKCON_Swamis/ISKCON_Swamis_-_R_to_Y/His_Holiness_Radhanath_Swami/Lectures/00_-_Year_wise/Devotional_Nectar_-_2011/More/2011-02-23_SB_04-12-17_Glories_of_His_Holiness_Gaur_Govinda_Maharaj_-_Mayapur.mp3", "2011-02-23_SB_04-12-17_Glories_of_His_Holiness_Gaur_Govinda_Maharaj_-_Mayapur.mp3")</f>
        <v>2011-02-23_SB_04-12-17_Glories_of_His_Holiness_Gaur_Govinda_Maharaj_-_Mayapur.mp3</v>
      </c>
      <c r="D2609" s="11"/>
      <c r="E2609" s="11"/>
    </row>
    <row r="2610" spans="1:5">
      <c r="A2610" s="12" t="s">
        <v>12462</v>
      </c>
      <c r="B2610" s="12" t="e">
        <v>#VALUE!</v>
      </c>
      <c r="C2610" s="13" t="e">
        <f>HYPERLINK("https://audio.iskcondesiretree.com/02_-_ISKCON_Swamis/ISKCON_Swamis_-_R_to_Y/His_Holiness_Radhanath_Swami/Lectures/00_-_Year_wise/Devotional_Nectar_-_2011/More/2011-03-06_SB_09-15-16-21_-_Parasurama-The_Lords_Warrior_Incarnation_-_Radhanath_Swami_ISKCON_C"&amp;"howpatty.mp3", "2011-03-06_SB_09-15-16-21_-_Parasurama-The_Lords_Warrior_Incarnation_-_Radhanath_Swami_ISKCON_Chowpatty.mp3")</f>
        <v>#VALUE!</v>
      </c>
      <c r="D2610" s="11"/>
      <c r="E2610" s="11"/>
    </row>
    <row r="2611" spans="1:5">
      <c r="A2611" s="12" t="s">
        <v>12462</v>
      </c>
      <c r="B2611" s="12" t="s">
        <v>15380</v>
      </c>
      <c r="C2611" s="13" t="str">
        <f>HYPERLINK("https://audio.iskcondesiretree.com/02_-_ISKCON_Swamis/ISKCON_Swamis_-_R_to_Y/His_Holiness_Radhanath_Swami/Lectures/00_-_Year_wise/Devotional_Nectar_-_2011/More/2011-03-06_Sunday_Feast_-_Srila_Prabhupada_Katha_-_Radhanath_Swami_ISKCON_Chowpatty.mp3", "2011-03-06_Sunday_Feast_-_Srila_Prabhupada_Katha_-_Radhanath_Swami_ISKCON_Chowpatty.mp3")</f>
        <v>2011-03-06_Sunday_Feast_-_Srila_Prabhupada_Katha_-_Radhanath_Swami_ISKCON_Chowpatty.mp3</v>
      </c>
      <c r="D2611" s="11"/>
      <c r="E2611" s="11"/>
    </row>
    <row r="2612" spans="1:5">
      <c r="A2612" s="12" t="s">
        <v>12462</v>
      </c>
      <c r="B2612" s="12" t="s">
        <v>15381</v>
      </c>
      <c r="C2612" s="13" t="str">
        <f>HYPERLINK("https://audio.iskcondesiretree.com/02_-_ISKCON_Swamis/ISKCON_Swamis_-_R_to_Y/His_Holiness_Radhanath_Swami/Lectures/00_-_Year_wise/Devotional_Nectar_-_2011/More/2011-03-13_Sunday%20Feast_Loving%20Reciprocations_of_Lord_Caitanya_-_Radhanath_Swami_Pune.mp3", "2011-03-13_Sunday%20Feast_Loving%20Reciprocations_of_Lord_Caitanya_-_Radhanath_Swami_Pune.mp3")</f>
        <v>2011-03-13_Sunday%20Feast_Loving%20Reciprocations_of_Lord_Caitanya_-_Radhanath_Swami_Pune.mp3</v>
      </c>
      <c r="D2612" s="11"/>
      <c r="E2612" s="11"/>
    </row>
    <row r="2613" spans="1:5">
      <c r="A2613" s="12" t="s">
        <v>12462</v>
      </c>
      <c r="B2613" s="12" t="e">
        <v>#VALUE!</v>
      </c>
      <c r="C2613" s="13" t="e">
        <f>HYPERLINK("https://audio.iskcondesiretree.com/02_-_ISKCON_Swamis/ISKCON_Swamis_-_R_to_Y/His_Holiness_Radhanath_Swami/Lectures/00_-_Year_wise/Devotional_Nectar_-_2011/More/2011-03-18_CC_Adi_-_Mahaprabhu%27s_Reciprocation_with_Devotees_at_Kuliagram_-_Radhanath_Sw_ISKC"&amp;"ON_Chowpatty.mp3", "2011-03-18_CC_Adi_-_Mahaprabhu%27s_Reciprocation_with_Devotees_at_Kuliagram_-_Radhanath_Sw_ISKCON_Chowpatty.mp3")</f>
        <v>#VALUE!</v>
      </c>
      <c r="D2613" s="11"/>
      <c r="E2613" s="11"/>
    </row>
    <row r="2614" spans="1:5">
      <c r="A2614" s="12" t="s">
        <v>12462</v>
      </c>
      <c r="B2614" s="12" t="s">
        <v>15382</v>
      </c>
      <c r="C2614" s="13" t="str">
        <f>HYPERLINK("https://audio.iskcondesiretree.com/02_-_ISKCON_Swamis/ISKCON_Swamis_-_R_to_Y/His_Holiness_Radhanath_Swami/Lectures/00_-_Year_wise/Devotional_Nectar_-_2011/More/2011-03-19_-_Gaur_Purnima_Lecture_-_Radhanath_Swami_ISKCON_Chowpatty.mp3", "2011-03-19_-_Gaur_Purnima_Lecture_-_Radhanath_Swami_ISKCON_Chowpatty.mp3")</f>
        <v>2011-03-19_-_Gaur_Purnima_Lecture_-_Radhanath_Swami_ISKCON_Chowpatty.mp3</v>
      </c>
      <c r="D2614" s="11"/>
      <c r="E2614" s="11"/>
    </row>
    <row r="2615" spans="1:5">
      <c r="A2615" s="12" t="s">
        <v>12462</v>
      </c>
      <c r="B2615" s="12" t="e">
        <v>#VALUE!</v>
      </c>
      <c r="C2615" s="13" t="e">
        <f>HYPERLINK("https://audio.iskcondesiretree.com/02_-_ISKCON_Swamis/ISKCON_Swamis_-_R_to_Y/His_Holiness_Radhanath_Swami/Lectures/00_-_Year_wise/Devotional_Nectar_-_2011/More/2011-03-19_CC_Adi_Lila_-_Advent_of_Lord_Sri_Caitanya_Mahaprabhu_-_Radhanath_Swami_ISKCON_Chowpa"&amp;"tty.mp3", "2011-03-19_CC_Adi_Lila_-_Advent_of_Lord_Sri_Caitanya_Mahaprabhu_-_Radhanath_Swami_ISKCON_Chowpatty.mp3")</f>
        <v>#VALUE!</v>
      </c>
      <c r="D2615" s="11"/>
      <c r="E2615" s="11"/>
    </row>
    <row r="2616" spans="1:5">
      <c r="A2616" s="12" t="s">
        <v>12462</v>
      </c>
      <c r="B2616" s="12" t="e">
        <v>#VALUE!</v>
      </c>
      <c r="C2616" s="13" t="e">
        <f>HYPERLINK("https://audio.iskcondesiretree.com/02_-_ISKCON_Swamis/ISKCON_Swamis_-_R_to_Y/His_Holiness_Radhanath_Swami/Lectures/00_-_Year_wise/Devotional_Nectar_-_2011/More/2011-03-19_CC_Adi_Lila_-_Childhood_Pastimes_Of_Baby_Nimai_-_Radhanath_Swami_ISKCON_Chowpatty.mp"&amp;"3", "2011-03-19_CC_Adi_Lila_-_Childhood_Pastimes_Of_Baby_Nimai_-_Radhanath_Swami_ISKCON_Chowpatty.mp3")</f>
        <v>#VALUE!</v>
      </c>
      <c r="D2616" s="11"/>
      <c r="E2616" s="11"/>
    </row>
    <row r="2617" spans="1:5">
      <c r="A2617" s="12" t="s">
        <v>12462</v>
      </c>
      <c r="B2617" s="12" t="e">
        <v>#VALUE!</v>
      </c>
      <c r="C2617" s="13" t="e">
        <f>HYPERLINK("https://audio.iskcondesiretree.com/02_-_ISKCON_Swamis/ISKCON_Swamis_-_R_to_Y/His_Holiness_Radhanath_Swami/Lectures/00_-_Year_wise/Devotional_Nectar_-_2011/More/2011-03-19_CC_Adi_Lila_-_Distributing_the_Fruit_of_Love_of_Godhead_-_Radhanath_Swami_ISKCON_Cho"&amp;"wpatty.mp3", "2011-03-19_CC_Adi_Lila_-_Distributing_the_Fruit_of_Love_of_Godhead_-_Radhanath_Swami_ISKCON_Chowpatty.mp3")</f>
        <v>#VALUE!</v>
      </c>
      <c r="D2617" s="11"/>
      <c r="E2617" s="11"/>
    </row>
    <row r="2618" spans="1:5">
      <c r="A2618" s="12" t="s">
        <v>12462</v>
      </c>
      <c r="B2618" s="12" t="s">
        <v>15383</v>
      </c>
      <c r="C2618" s="13" t="str">
        <f>HYPERLINK("https://audio.iskcondesiretree.com/02_-_ISKCON_Swamis/ISKCON_Swamis_-_R_to_Y/His_Holiness_Radhanath_Swami/Lectures/00_-_Year_wise/Devotional_Nectar_-_2011/More/2011-03-19_Gaura_Poornima_Lecture_-_Radhanath_Swami_ISKCON_Chowpatty.mp3", "2011-03-19_Gaura_Poornima_Lecture_-_Radhanath_Swami_ISKCON_Chowpatty.mp3")</f>
        <v>2011-03-19_Gaura_Poornima_Lecture_-_Radhanath_Swami_ISKCON_Chowpatty.mp3</v>
      </c>
      <c r="D2618" s="11"/>
      <c r="E2618" s="11"/>
    </row>
    <row r="2619" spans="1:5">
      <c r="A2619" s="12" t="s">
        <v>12462</v>
      </c>
      <c r="B2619" s="12" t="e">
        <v>#VALUE!</v>
      </c>
      <c r="C2619" s="13" t="e">
        <f>HYPERLINK("https://audio.iskcondesiretree.com/02_-_ISKCON_Swamis/ISKCON_Swamis_-_R_to_Y/His_Holiness_Radhanath_Swami/Lectures/00_-_Year_wise/Devotional_Nectar_-_2011/More/2011-03-20_CC_Adi_-_CM_Compassion_is_a_Benediction_for_Everyone_-_Radhanatha_Sw_ISKCON_Chowpatt"&amp;"y.mp3", "2011-03-20_CC_Adi_-_CM_Compassion_is_a_Benediction_for_Everyone_-_Radhanatha_Sw_ISKCON_Chowpatty.mp3")</f>
        <v>#VALUE!</v>
      </c>
      <c r="D2619" s="11"/>
      <c r="E2619" s="11"/>
    </row>
    <row r="2620" spans="1:5">
      <c r="A2620" s="12" t="s">
        <v>12462</v>
      </c>
      <c r="B2620" s="12" t="s">
        <v>15384</v>
      </c>
      <c r="C2620" s="13" t="str">
        <f>HYPERLINK("https://audio.iskcondesiretree.com/02_-_ISKCON_Swamis/ISKCON_Swamis_-_R_to_Y/His_Holiness_Radhanath_Swami/Lectures/00_-_Year_wise/Devotional_Nectar_-_2011/More/2011-03-22_SB_04-09-17_-_Dhruva_Maharaja_Returns_Home_-_Radhanath_Swami_ISKCON_Nigidi.mp3", "2011-03-22_SB_04-09-17_-_Dhruva_Maharaja_Returns_Home_-_Radhanath_Swami_ISKCON_Nigidi.mp3")</f>
        <v>2011-03-22_SB_04-09-17_-_Dhruva_Maharaja_Returns_Home_-_Radhanath_Swami_ISKCON_Nigidi.mp3</v>
      </c>
      <c r="D2620" s="11"/>
      <c r="E2620" s="11"/>
    </row>
    <row r="2621" spans="1:5">
      <c r="A2621" s="12" t="s">
        <v>12462</v>
      </c>
      <c r="B2621" s="12" t="s">
        <v>15385</v>
      </c>
      <c r="C2621" s="13" t="str">
        <f>HYPERLINK("https://audio.iskcondesiretree.com/02_-_ISKCON_Swamis/ISKCON_Swamis_-_R_to_Y/His_Holiness_Radhanath_Swami/Lectures/00_-_Year_wise/Devotional_Nectar_-_2011/More/2011-03-25_SB_04-28-48_False_Ego_purified_though_Service_-_Radhanath_Swami_ISKCON_Juhu.mp3", "2011-03-25_SB_04-28-48_False_Ego_purified_though_Service_-_Radhanath_Swami_ISKCON_Juhu.mp3")</f>
        <v>2011-03-25_SB_04-28-48_False_Ego_purified_though_Service_-_Radhanath_Swami_ISKCON_Juhu.mp3</v>
      </c>
      <c r="D2621" s="11"/>
      <c r="E2621" s="11"/>
    </row>
    <row r="2622" spans="1:5">
      <c r="A2622" s="12" t="s">
        <v>12462</v>
      </c>
      <c r="B2622" s="12" t="s">
        <v>15386</v>
      </c>
      <c r="C2622" s="13" t="str">
        <f>HYPERLINK("https://audio.iskcondesiretree.com/02_-_ISKCON_Swamis/ISKCON_Swamis_-_R_to_Y/His_Holiness_Radhanath_Swami/Lectures/00_-_Year_wise/Devotional_Nectar_-_2011/More/2011-03-26_Festivals_-_Dadar_Rath_Yatra_-_Radhanath_Swami.mp3", "2011-03-26_Festivals_-_Dadar_Rath_Yatra_-_Radhanath_Swami.mp3")</f>
        <v>2011-03-26_Festivals_-_Dadar_Rath_Yatra_-_Radhanath_Swami.mp3</v>
      </c>
      <c r="D2622" s="11"/>
      <c r="E2622" s="11"/>
    </row>
    <row r="2623" spans="1:5">
      <c r="A2623" s="12" t="s">
        <v>12462</v>
      </c>
      <c r="B2623" s="12" t="s">
        <v>15387</v>
      </c>
      <c r="C2623" s="13" t="str">
        <f>HYPERLINK("https://audio.iskcondesiretree.com/02_-_ISKCON_Swamis/ISKCON_Swamis_-_R_to_Y/His_Holiness_Radhanath_Swami/Lectures/00_-_Year_wise/Devotional_Nectar_-_2011/More/2011-03-26_Festivals_-_Dadar_Ratha_Yatra_-_Radhanath_Swami.mp3", "2011-03-26_Festivals_-_Dadar_Ratha_Yatra_-_Radhanath_Swami.mp3")</f>
        <v>2011-03-26_Festivals_-_Dadar_Ratha_Yatra_-_Radhanath_Swami.mp3</v>
      </c>
      <c r="D2623" s="11"/>
      <c r="E2623" s="11"/>
    </row>
    <row r="2624" spans="1:5">
      <c r="A2624" s="12" t="s">
        <v>12462</v>
      </c>
      <c r="B2624" s="12" t="s">
        <v>15388</v>
      </c>
      <c r="C2624" s="13" t="str">
        <f>HYPERLINK("https://audio.iskcondesiretree.com/02_-_ISKCON_Swamis/ISKCON_Swamis_-_R_to_Y/His_Holiness_Radhanath_Swami/Lectures/00_-_Year_wise/Devotional_Nectar_-_2011/More/2011-03-26_SB_09-18-01_-_Serving_Krishna_is_the_Safest_Position_-_Radhanath_Swami.mp3", "2011-03-26_SB_09-18-01_-_Serving_Krishna_is_the_Safest_Position_-_Radhanath_Swami.mp3")</f>
        <v>2011-03-26_SB_09-18-01_-_Serving_Krishna_is_the_Safest_Position_-_Radhanath_Swami.mp3</v>
      </c>
      <c r="D2624" s="11"/>
      <c r="E2624" s="11"/>
    </row>
    <row r="2625" spans="1:5">
      <c r="A2625" s="12" t="s">
        <v>12462</v>
      </c>
      <c r="B2625" s="12" t="e">
        <v>#VALUE!</v>
      </c>
      <c r="C2625" s="13" t="e">
        <f>HYPERLINK("https://audio.iskcondesiretree.com/02_-_ISKCON_Swamis/ISKCON_Swamis_-_R_to_Y/His_Holiness_Radhanath_Swami/Lectures/00_-_Year_wise/Devotional_Nectar_-_2011/More/2011-03-27_SB_09-18-03-05_-_The_Mysterious_Way_Of_Destiny_-_Radhanath_Swami_ISKCON_Chowpatty.mp"&amp;"3", "2011-03-27_SB_09-18-03-05_-_The_Mysterious_Way_Of_Destiny_-_Radhanath_Swami_ISKCON_Chowpatty.mp3")</f>
        <v>#VALUE!</v>
      </c>
      <c r="D2625" s="11"/>
      <c r="E2625" s="11"/>
    </row>
    <row r="2626" spans="1:5">
      <c r="A2626" s="12" t="s">
        <v>12462</v>
      </c>
      <c r="B2626" s="12" t="s">
        <v>15389</v>
      </c>
      <c r="C2626" s="13" t="str">
        <f>HYPERLINK("https://audio.iskcondesiretree.com/02_-_ISKCON_Swamis/ISKCON_Swamis_-_R_to_Y/His_Holiness_Radhanath_Swami/Lectures/00_-_Year_wise/Devotional_Nectar_-_2011/More/2011-03-27_Various_-_Sunday_Feast-My_First_Meeting_with_Srila_Prabhupada_-_Radhanath_Swami.mp3", "2011-03-27_Various_-_Sunday_Feast-My_First_Meeting_with_Srila_Prabhupada_-_Radhanath_Swami.mp3")</f>
        <v>2011-03-27_Various_-_Sunday_Feast-My_First_Meeting_with_Srila_Prabhupada_-_Radhanath_Swami.mp3</v>
      </c>
      <c r="D2626" s="11"/>
      <c r="E2626" s="11"/>
    </row>
    <row r="2627" spans="1:5">
      <c r="A2627" s="12" t="s">
        <v>12462</v>
      </c>
      <c r="B2627" s="12" t="s">
        <v>15390</v>
      </c>
      <c r="C2627" s="13" t="str">
        <f>HYPERLINK("https://audio.iskcondesiretree.com/02_-_ISKCON_Swamis/ISKCON_Swamis_-_R_to_Y/His_Holiness_Radhanath_Swami/Lectures/00_-_Year_wise/Devotional_Nectar_-_2011/More/2011-04-08_Various_-_Sannyas_Initiation_Address_-_Radhanath_Sw_Bhaktivedanta_Manor.mp3", "2011-04-08_Various_-_Sannyas_Initiation_Address_-_Radhanath_Sw_Bhaktivedanta_Manor.mp3")</f>
        <v>2011-04-08_Various_-_Sannyas_Initiation_Address_-_Radhanath_Sw_Bhaktivedanta_Manor.mp3</v>
      </c>
      <c r="D2627" s="11"/>
      <c r="E2627" s="11"/>
    </row>
    <row r="2628" spans="1:5">
      <c r="A2628" s="12" t="s">
        <v>12462</v>
      </c>
      <c r="B2628" s="12" t="s">
        <v>15391</v>
      </c>
      <c r="C2628" s="13" t="str">
        <f>HYPERLINK("https://audio.iskcondesiretree.com/02_-_ISKCON_Swamis/ISKCON_Swamis_-_R_to_Y/His_Holiness_Radhanath_Swami/Lectures/00_-_Year_wise/Devotional_Nectar_-_2011/More/2011-05-21_CC_Madhya_Lila_04-125_-_Radhanath_Swami_Alachua.mp3", "2011-05-21_CC_Madhya_Lila_04-125_-_Radhanath_Swami_Alachua.mp3")</f>
        <v>2011-05-21_CC_Madhya_Lila_04-125_-_Radhanath_Swami_Alachua.mp3</v>
      </c>
      <c r="D2628" s="11"/>
      <c r="E2628" s="11"/>
    </row>
    <row r="2629" spans="1:5">
      <c r="A2629" s="12" t="s">
        <v>12462</v>
      </c>
      <c r="B2629" s="12" t="s">
        <v>15392</v>
      </c>
      <c r="C2629" s="13" t="str">
        <f>HYPERLINK("https://audio.iskcondesiretree.com/02_-_ISKCON_Swamis/ISKCON_Swamis_-_R_to_Y/His_Holiness_Radhanath_Swami/Lectures/00_-_Year_wise/Devotional_Nectar_-_2011/More/2011-05-24_-_SB_09-22-01_-_Radhanatha_Swami_Alachua.mp3", "2011-05-24_-_SB_09-22-01_-_Radhanatha_Swami_Alachua.mp3")</f>
        <v>2011-05-24_-_SB_09-22-01_-_Radhanatha_Swami_Alachua.mp3</v>
      </c>
      <c r="D2629" s="11"/>
      <c r="E2629" s="11"/>
    </row>
    <row r="2630" spans="1:5">
      <c r="A2630" s="12" t="s">
        <v>12462</v>
      </c>
      <c r="B2630" s="12" t="s">
        <v>15393</v>
      </c>
      <c r="C2630" s="13" t="str">
        <f>HYPERLINK("https://audio.iskcondesiretree.com/02_-_ISKCON_Swamis/ISKCON_Swamis_-_R_to_Y/His_Holiness_Radhanath_Swami/Lectures/00_-_Year_wise/Devotional_Nectar_-_2011/More/2011-05-24_SB_09-22-01_-_Radhanath_Swami_Alachua.mp3", "2011-05-24_SB_09-22-01_-_Radhanath_Swami_Alachua.mp3")</f>
        <v>2011-05-24_SB_09-22-01_-_Radhanath_Swami_Alachua.mp3</v>
      </c>
      <c r="D2630" s="11"/>
      <c r="E2630" s="11"/>
    </row>
    <row r="2631" spans="1:5">
      <c r="A2631" s="12" t="s">
        <v>12462</v>
      </c>
      <c r="B2631" s="12" t="s">
        <v>15394</v>
      </c>
      <c r="C2631" s="13" t="str">
        <f>HYPERLINK("https://audio.iskcondesiretree.com/02_-_ISKCON_Swamis/ISKCON_Swamis_-_R_to_Y/His_Holiness_Radhanath_Swami/Lectures/00_-_Year_wise/Devotional_Nectar_-_2011/More/2011-05-25_Various_-_Yagya_-_Radhanath_Swami_ISKCON_Boston.mp3", "2011-05-25_Various_-_Yagya_-_Radhanath_Swami_ISKCON_Boston.mp3")</f>
        <v>2011-05-25_Various_-_Yagya_-_Radhanath_Swami_ISKCON_Boston.mp3</v>
      </c>
      <c r="D2631" s="11"/>
      <c r="E2631" s="11"/>
    </row>
    <row r="2632" spans="1:5">
      <c r="A2632" s="12" t="s">
        <v>12462</v>
      </c>
      <c r="B2632" s="12" t="s">
        <v>15395</v>
      </c>
      <c r="C2632" s="13" t="str">
        <f>HYPERLINK("https://audio.iskcondesiretree.com/02_-_ISKCON_Swamis/ISKCON_Swamis_-_R_to_Y/His_Holiness_Radhanath_Swami/Lectures/00_-_Year_wise/Devotional_Nectar_-_2011/More/2011-06-20_-_Ethics_In_Leadership_and_Management_-_Radhanath_Swami_Norwood.mp3", "2011-06-20_-_Ethics_In_Leadership_and_Management_-_Radhanath_Swami_Norwood.mp3")</f>
        <v>2011-06-20_-_Ethics_In_Leadership_and_Management_-_Radhanath_Swami_Norwood.mp3</v>
      </c>
      <c r="D2632" s="11"/>
      <c r="E2632" s="11"/>
    </row>
    <row r="2633" spans="1:5">
      <c r="A2633" s="12" t="s">
        <v>12462</v>
      </c>
      <c r="B2633" s="12" t="s">
        <v>15396</v>
      </c>
      <c r="C2633" s="13" t="str">
        <f>HYPERLINK("https://audio.iskcondesiretree.com/02_-_ISKCON_Swamis/ISKCON_Swamis_-_R_to_Y/His_Holiness_Radhanath_Swami/Lectures/00_-_Year_wise/Devotional_Nectar_-_2011/More/2011-06-24_Various_-_Interview_-_Radhanath_Swami_Washington.mp3", "2011-06-24_Various_-_Interview_-_Radhanath_Swami_Washington.mp3")</f>
        <v>2011-06-24_Various_-_Interview_-_Radhanath_Swami_Washington.mp3</v>
      </c>
      <c r="D2633" s="11"/>
      <c r="E2633" s="11"/>
    </row>
    <row r="2634" spans="1:5">
      <c r="A2634" s="12" t="s">
        <v>12462</v>
      </c>
      <c r="B2634" s="12" t="s">
        <v>15397</v>
      </c>
      <c r="C2634" s="13" t="str">
        <f>HYPERLINK("https://audio.iskcondesiretree.com/02_-_ISKCON_Swamis/ISKCON_Swamis_-_R_to_Y/His_Holiness_Radhanath_Swami/Lectures/00_-_Year_wise/Devotional_Nectar_-_2011/More/2011-07-03_Various_-_Panihati_-_Radhanath_Swami_California.mp3", "2011-07-03_Various_-_Panihati_-_Radhanath_Swami_California.mp3")</f>
        <v>2011-07-03_Various_-_Panihati_-_Radhanath_Swami_California.mp3</v>
      </c>
      <c r="D2634" s="11"/>
      <c r="E2634" s="11"/>
    </row>
    <row r="2635" spans="1:5">
      <c r="A2635" s="12" t="s">
        <v>12462</v>
      </c>
      <c r="B2635" s="12" t="s">
        <v>15398</v>
      </c>
      <c r="C2635" s="13" t="str">
        <f>HYPERLINK("https://audio.iskcondesiretree.com/02_-_ISKCON_Swamis/ISKCON_Swamis_-_R_to_Y/His_Holiness_Radhanath_Swami/Lectures/00_-_Year_wise/Devotional_Nectar_-_2011/More/2011-07-07_SB_06-09-39_-_Radhanath_Swami_Los_Angeles.mp3", "2011-07-07_SB_06-09-39_-_Radhanath_Swami_Los_Angeles.mp3")</f>
        <v>2011-07-07_SB_06-09-39_-_Radhanath_Swami_Los_Angeles.mp3</v>
      </c>
      <c r="D2635" s="11"/>
      <c r="E2635" s="11"/>
    </row>
    <row r="2636" spans="1:5">
      <c r="A2636" s="12" t="s">
        <v>12462</v>
      </c>
      <c r="B2636" s="12" t="s">
        <v>15399</v>
      </c>
      <c r="C2636" s="13" t="str">
        <f>HYPERLINK("https://audio.iskcondesiretree.com/02_-_ISKCON_Swamis/ISKCON_Swamis_-_R_to_Y/His_Holiness_Radhanath_Swami/Lectures/00_-_Year_wise/Devotional_Nectar_-_2011/More/2011-07-08_SB_06-09-40_-_Radhanath_Swami_Los_Angeles.mp3", "2011-07-08_SB_06-09-40_-_Radhanath_Swami_Los_Angeles.mp3")</f>
        <v>2011-07-08_SB_06-09-40_-_Radhanath_Swami_Los_Angeles.mp3</v>
      </c>
      <c r="D2636" s="11"/>
      <c r="E2636" s="11"/>
    </row>
    <row r="2637" spans="1:5">
      <c r="A2637" s="12" t="s">
        <v>12462</v>
      </c>
      <c r="B2637" s="12" t="e">
        <v>#VALUE!</v>
      </c>
      <c r="C2637" s="13" t="e">
        <f>HYPERLINK("https://audio.iskcondesiretree.com/02_-_ISKCON_Swamis/ISKCON_Swamis_-_R_to_Y/His_Holiness_Radhanath_Swami/Lectures/00_-_Year_wise/Devotional_Nectar_-_2011/More/2011-07-10_Sunday_Feast_-_Lord_Chaitanya_Came_to_teach_us_by_his_Example_-_Radhanath_Swami_Los_"&amp;"Angeles.mp3", "2011-07-10_Sunday_Feast_-_Lord_Chaitanya_Came_to_teach_us_by_his_Example_-_Radhanath_Swami_Los_Angeles.mp3")</f>
        <v>#VALUE!</v>
      </c>
      <c r="D2637" s="11"/>
      <c r="E2637" s="11"/>
    </row>
    <row r="2638" spans="1:5">
      <c r="A2638" s="12" t="s">
        <v>12462</v>
      </c>
      <c r="B2638" s="12" t="e">
        <v>#VALUE!</v>
      </c>
      <c r="C2638" s="13" t="e">
        <f>HYPERLINK("https://audio.iskcondesiretree.com/02_-_ISKCON_Swamis/ISKCON_Swamis_-_R_to_Y/His_Holiness_Radhanath_Swami/Lectures/00_-_Year_wise/Devotional_Nectar_-_2011/More/2011-07-11_Various_-_Bhaktivedanta_Hospice-Celebrating_One_Year_of_Service_-_Radhanath_Swami_Vr"&amp;"indavan.MP3", "2011-07-11_Various_-_Bhaktivedanta_Hospice-Celebrating_One_Year_of_Service_-_Radhanath_Swami_Vrindavan.MP3")</f>
        <v>#VALUE!</v>
      </c>
      <c r="D2638" s="11"/>
      <c r="E2638" s="11"/>
    </row>
    <row r="2639" spans="1:5">
      <c r="A2639" s="12" t="s">
        <v>12462</v>
      </c>
      <c r="B2639" s="12" t="s">
        <v>15400</v>
      </c>
      <c r="C2639" s="13" t="str">
        <f>HYPERLINK("https://audio.iskcondesiretree.com/02_-_ISKCON_Swamis/ISKCON_Swamis_-_R_to_Y/His_Holiness_Radhanath_Swami/Lectures/00_-_Year_wise/Devotional_Nectar_-_2011/More/2011-07-13_SB_06-09-44_-_Radhanath_Swami_Los_Angeles.mp3", "2011-07-13_SB_06-09-44_-_Radhanath_Swami_Los_Angeles.mp3")</f>
        <v>2011-07-13_SB_06-09-44_-_Radhanath_Swami_Los_Angeles.mp3</v>
      </c>
      <c r="D2639" s="11"/>
      <c r="E2639" s="11"/>
    </row>
    <row r="2640" spans="1:5">
      <c r="A2640" s="12" t="s">
        <v>12462</v>
      </c>
      <c r="B2640" s="12" t="s">
        <v>15401</v>
      </c>
      <c r="C2640" s="13" t="str">
        <f>HYPERLINK("https://audio.iskcondesiretree.com/02_-_ISKCON_Swamis/ISKCON_Swamis_-_R_to_Y/His_Holiness_Radhanath_Swami/Lectures/00_-_Year_wise/Devotional_Nectar_-_2011/More/2011-07-30_Various_-_Sadhu_Sanga_Co-operation_-_Radhanath_Sw_Bhaktivedanta_Manor.mp3", "2011-07-30_Various_-_Sadhu_Sanga_Co-operation_-_Radhanath_Sw_Bhaktivedanta_Manor.mp3")</f>
        <v>2011-07-30_Various_-_Sadhu_Sanga_Co-operation_-_Radhanath_Sw_Bhaktivedanta_Manor.mp3</v>
      </c>
      <c r="D2640" s="11"/>
      <c r="E2640" s="11"/>
    </row>
    <row r="2641" spans="1:5">
      <c r="A2641" s="12" t="s">
        <v>12462</v>
      </c>
      <c r="B2641" s="12" t="s">
        <v>15402</v>
      </c>
      <c r="C2641" s="13" t="str">
        <f>HYPERLINK("https://audio.iskcondesiretree.com/02_-_ISKCON_Swamis/ISKCON_Swamis_-_R_to_Y/His_Holiness_Radhanath_Swami/Lectures/00_-_Year_wise/Devotional_Nectar_-_2011/More/2011-07-31_CC_Adi_Lila_04-227-228_-_Radhanath_Sw_Bhaktivedanta_Manor.mp3", "2011-07-31_CC_Adi_Lila_04-227-228_-_Radhanath_Sw_Bhaktivedanta_Manor.mp3")</f>
        <v>2011-07-31_CC_Adi_Lila_04-227-228_-_Radhanath_Sw_Bhaktivedanta_Manor.mp3</v>
      </c>
      <c r="D2641" s="11"/>
      <c r="E2641" s="11"/>
    </row>
    <row r="2642" spans="1:5">
      <c r="A2642" s="12" t="s">
        <v>12462</v>
      </c>
      <c r="B2642" s="12" t="s">
        <v>15403</v>
      </c>
      <c r="C2642" s="13" t="str">
        <f>HYPERLINK("https://audio.iskcondesiretree.com/02_-_ISKCON_Swamis/ISKCON_Swamis_-_R_to_Y/His_Holiness_Radhanath_Swami/Lectures/00_-_Year_wise/Devotional_Nectar_-_2011/More/2011-08-05_Various_-_Absorbtion_-_Radhanath_Swami.mp3", "2011-08-05_Various_-_Absorbtion_-_Radhanath_Swami.mp3")</f>
        <v>2011-08-05_Various_-_Absorbtion_-_Radhanath_Swami.mp3</v>
      </c>
      <c r="D2642" s="11"/>
      <c r="E2642" s="11"/>
    </row>
    <row r="2643" spans="1:5">
      <c r="A2643" s="12" t="s">
        <v>12462</v>
      </c>
      <c r="B2643" s="12" t="s">
        <v>15404</v>
      </c>
      <c r="C2643" s="13" t="str">
        <f>HYPERLINK("https://audio.iskcondesiretree.com/02_-_ISKCON_Swamis/ISKCON_Swamis_-_R_to_Y/His_Holiness_Radhanath_Swami/Lectures/00_-_Year_wise/Devotional_Nectar_-_2011/More/2011-08-05_Various_-_Absorbtion_-_Radhanath_Swami_with_Sacinandana_Swami_-_DC.mp3", "2011-08-05_Various_-_Absorbtion_-_Radhanath_Swami_with_Sacinandana_Swami_-_DC.mp3")</f>
        <v>2011-08-05_Various_-_Absorbtion_-_Radhanath_Swami_with_Sacinandana_Swami_-_DC.mp3</v>
      </c>
      <c r="D2643" s="11"/>
      <c r="E2643" s="11"/>
    </row>
    <row r="2644" spans="1:5">
      <c r="A2644" s="12" t="s">
        <v>12462</v>
      </c>
      <c r="B2644" s="12" t="s">
        <v>15405</v>
      </c>
      <c r="C2644" s="13" t="str">
        <f>HYPERLINK("https://audio.iskcondesiretree.com/02_-_ISKCON_Swamis/ISKCON_Swamis_-_R_to_Y/His_Holiness_Radhanath_Swami/Lectures/00_-_Year_wise/Devotional_Nectar_-_2011/More/2011-08-07_Various_-_True_Faith_-_Radhanath_Swami.mp3", "2011-08-07_Various_-_True_Faith_-_Radhanath_Swami.mp3")</f>
        <v>2011-08-07_Various_-_True_Faith_-_Radhanath_Swami.mp3</v>
      </c>
      <c r="D2644" s="11"/>
      <c r="E2644" s="11"/>
    </row>
    <row r="2645" spans="1:5">
      <c r="A2645" s="12" t="s">
        <v>12462</v>
      </c>
      <c r="B2645" s="12" t="s">
        <v>15406</v>
      </c>
      <c r="C2645" s="13" t="str">
        <f>HYPERLINK("https://audio.iskcondesiretree.com/02_-_ISKCON_Swamis/ISKCON_Swamis_-_R_to_Y/His_Holiness_Radhanath_Swami/Lectures/00_-_Year_wise/Devotional_Nectar_-_2011/More/2011-10-15_SB_10-03-09_-_Selfless_Servive_has_no_Material_Impediments_-_Radhanath_Swami.mp3", "2011-10-15_SB_10-03-09_-_Selfless_Servive_has_no_Material_Impediments_-_Radhanath_Swami.mp3")</f>
        <v>2011-10-15_SB_10-03-09_-_Selfless_Servive_has_no_Material_Impediments_-_Radhanath_Swami.mp3</v>
      </c>
      <c r="D2645" s="11"/>
      <c r="E2645" s="11"/>
    </row>
    <row r="2646" spans="1:5">
      <c r="A2646" s="12" t="s">
        <v>12462</v>
      </c>
      <c r="B2646" s="12" t="e">
        <v>#VALUE!</v>
      </c>
      <c r="C2646" s="13" t="e">
        <f>HYPERLINK("https://audio.iskcondesiretree.com/02_-_ISKCON_Swamis/ISKCON_Swamis_-_R_to_Y/His_Holiness_Radhanath_Swami/Lectures/00_-_Year_wise/Devotional_Nectar_-_2011/More/2011-11-13_SB_01-11-22_-_Krishna_and_his_Devotees_Accomodating_Nature_-_Radhanath_Swami_ISKCON_"&amp;"Chowpatty.mp3", "2011-11-13_SB_01-11-22_-_Krishna_and_his_Devotees_Accomodating_Nature_-_Radhanath_Swami_ISKCON_Chowpatty.mp3")</f>
        <v>#VALUE!</v>
      </c>
      <c r="D2646" s="11"/>
      <c r="E2646" s="11"/>
    </row>
    <row r="2647" spans="1:5">
      <c r="A2647" s="12" t="s">
        <v>12462</v>
      </c>
      <c r="B2647" s="12" t="e">
        <v>#VALUE!</v>
      </c>
      <c r="C2647" s="13" t="e">
        <f>HYPERLINK("https://audio.iskcondesiretree.com/02_-_ISKCON_Swamis/ISKCON_Swamis_-_R_to_Y/His_Holiness_Radhanath_Swami/Lectures/00_-_Year_wise/Devotional_Nectar_-_2011/More/2011-11-13_Sunday_Feast_-_To_Appreciate_Compassion_of_Vaishnavas_-_Radhanath_Swami_ISKCON_Chowp"&amp;"atty.mp3", "2011-11-13_Sunday_Feast_-_To_Appreciate_Compassion_of_Vaishnavas_-_Radhanath_Swami_ISKCON_Chowpatty.mp3")</f>
        <v>#VALUE!</v>
      </c>
      <c r="D2647" s="11"/>
      <c r="E2647" s="11"/>
    </row>
    <row r="2648" spans="1:5">
      <c r="A2648" s="12" t="s">
        <v>12462</v>
      </c>
      <c r="B2648" s="12" t="s">
        <v>15407</v>
      </c>
      <c r="C2648" s="13" t="str">
        <f>HYPERLINK("https://audio.iskcondesiretree.com/02_-_ISKCON_Swamis/ISKCON_Swamis_-_R_to_Y/His_Holiness_Radhanath_Swami/Lectures/00_-_Year_wise/Devotional_Nectar_-_2011/More/2011-11-19_99th_Prerna_-_The_Power_of_Intentions_-_Radhanath_Swami_ISKCON_Chowpatty.mp3", "2011-11-19_99th_Prerna_-_The_Power_of_Intentions_-_Radhanath_Swami_ISKCON_Chowpatty.mp3")</f>
        <v>2011-11-19_99th_Prerna_-_The_Power_of_Intentions_-_Radhanath_Swami_ISKCON_Chowpatty.mp3</v>
      </c>
      <c r="D2648" s="11"/>
      <c r="E2648" s="11"/>
    </row>
    <row r="2649" spans="1:5">
      <c r="A2649" s="12" t="s">
        <v>12462</v>
      </c>
      <c r="B2649" s="12" t="e">
        <v>#VALUE!</v>
      </c>
      <c r="C2649" s="13" t="e">
        <f>HYPERLINK("https://audio.iskcondesiretree.com/02_-_ISKCON_Swamis/ISKCON_Swamis_-_R_to_Y/His_Holiness_Radhanath_Swami/Lectures/00_-_Year_wise/Devotional_Nectar_-_2011/More/2011-11-19_SB-10-03-47_-_True_Vaishnava_Culture_as_in_Vrindavan_-_Radhanath_Swami_ISKCON_Chowpa"&amp;"tty.mp3", "2011-11-19_SB-10-03-47_-_True_Vaishnava_Culture_as_in_Vrindavan_-_Radhanath_Swami_ISKCON_Chowpatty.mp3")</f>
        <v>#VALUE!</v>
      </c>
      <c r="D2649" s="11"/>
      <c r="E2649" s="11"/>
    </row>
    <row r="2650" spans="1:5">
      <c r="A2650" s="12" t="s">
        <v>12462</v>
      </c>
      <c r="B2650" s="12" t="s">
        <v>15408</v>
      </c>
      <c r="C2650" s="13" t="str">
        <f>HYPERLINK("https://audio.iskcondesiretree.com/02_-_ISKCON_Swamis/ISKCON_Swamis_-_R_to_Y/His_Holiness_Radhanath_Swami/Lectures/00_-_Year_wise/Devotional_Nectar_-_2011/More/2011-11-21_SB_03-31-18_-_Gratitude_and_Surrender_-_Radhanath_Sw_ISKCON_Delhi.mp3", "2011-11-21_SB_03-31-18_-_Gratitude_and_Surrender_-_Radhanath_Sw_ISKCON_Delhi.mp3")</f>
        <v>2011-11-21_SB_03-31-18_-_Gratitude_and_Surrender_-_Radhanath_Sw_ISKCON_Delhi.mp3</v>
      </c>
      <c r="D2650" s="11"/>
      <c r="E2650" s="11"/>
    </row>
    <row r="2651" spans="1:5">
      <c r="A2651" s="12" t="s">
        <v>12462</v>
      </c>
      <c r="B2651" s="12" t="s">
        <v>15409</v>
      </c>
      <c r="C2651" s="13" t="str">
        <f>HYPERLINK("https://audio.iskcondesiretree.com/02_-_ISKCON_Swamis/ISKCON_Swamis_-_R_to_Y/His_Holiness_Radhanath_Swami/Lectures/00_-_Year_wise/Devotional_Nectar_-_2011/More/2011-11-24_Various_-_Marraige_Address_of_Jaishank_and_Vishnu_Priya_-_Radhanath_Swami.mp3", "2011-11-24_Various_-_Marraige_Address_of_Jaishank_and_Vishnu_Priya_-_Radhanath_Swami.mp3")</f>
        <v>2011-11-24_Various_-_Marraige_Address_of_Jaishank_and_Vishnu_Priya_-_Radhanath_Swami.mp3</v>
      </c>
      <c r="D2651" s="11"/>
      <c r="E2651" s="11"/>
    </row>
    <row r="2652" spans="1:5">
      <c r="A2652" s="12" t="s">
        <v>12462</v>
      </c>
      <c r="B2652" s="12" t="s">
        <v>15410</v>
      </c>
      <c r="C2652" s="13" t="str">
        <f>HYPERLINK("https://audio.iskcondesiretree.com/02_-_ISKCON_Swamis/ISKCON_Swamis_-_R_to_Y/His_Holiness_Radhanath_Swami/Lectures/00_-_Year_wise/Devotional_Nectar_-_2011/More/2011-11-26_SB_10-04-03_-_Real_Peace_is_Peace_of_Mind_-_Radhanath_Swami_ISKCON_Chowpatty.mp3", "2011-11-26_SB_10-04-03_-_Real_Peace_is_Peace_of_Mind_-_Radhanath_Swami_ISKCON_Chowpatty.mp3")</f>
        <v>2011-11-26_SB_10-04-03_-_Real_Peace_is_Peace_of_Mind_-_Radhanath_Swami_ISKCON_Chowpatty.mp3</v>
      </c>
      <c r="D2652" s="11"/>
      <c r="E2652" s="11"/>
    </row>
    <row r="2653" spans="1:5">
      <c r="A2653" s="12" t="s">
        <v>12462</v>
      </c>
      <c r="B2653" s="12" t="e">
        <v>#VALUE!</v>
      </c>
      <c r="C2653" s="13" t="e">
        <f>HYPERLINK("https://audio.iskcondesiretree.com/02_-_ISKCON_Swamis/ISKCON_Swamis_-_R_to_Y/His_Holiness_Radhanath_Swami/Lectures/00_-_Year_wise/Devotional_Nectar_-_2011/More/2011-11-28_SB_01-02-13_-_If_we_Please_Krishna_that_is_our_Success_and_Perfection_-_RNS_ISKCON_A"&amp;"hmedabad.mp3", "2011-11-28_SB_01-02-13_-_If_we_Please_Krishna_that_is_our_Success_and_Perfection_-_RNS_ISKCON_Ahmedabad.mp3")</f>
        <v>#VALUE!</v>
      </c>
      <c r="D2653" s="11"/>
      <c r="E2653" s="11"/>
    </row>
    <row r="2654" spans="1:5">
      <c r="A2654" s="12" t="s">
        <v>12462</v>
      </c>
      <c r="B2654" s="12" t="s">
        <v>15411</v>
      </c>
      <c r="C2654" s="13" t="str">
        <f>HYPERLINK("https://audio.iskcondesiretree.com/02_-_ISKCON_Swamis/ISKCON_Swamis_-_R_to_Y/His_Holiness_Radhanath_Swami/Lectures/00_-_Year_wise/Devotional_Nectar_-_2011/More/2011-12-06_-_Gita_Dan_Yajna_-_Radhanath_Swami_ISKCON_Chowpatty.mp3", "2011-12-06_-_Gita_Dan_Yajna_-_Radhanath_Swami_ISKCON_Chowpatty.mp3")</f>
        <v>2011-12-06_-_Gita_Dan_Yajna_-_Radhanath_Swami_ISKCON_Chowpatty.mp3</v>
      </c>
      <c r="D2654" s="11"/>
      <c r="E2654" s="11"/>
    </row>
    <row r="2655" spans="1:5">
      <c r="A2655" s="12" t="s">
        <v>12462</v>
      </c>
      <c r="B2655" s="12" t="e">
        <v>#VALUE!</v>
      </c>
      <c r="C2655" s="13" t="e">
        <f>HYPERLINK("https://audio.iskcondesiretree.com/02_-_ISKCON_Swamis/ISKCON_Swamis_-_R_to_Y/His_Holiness_Radhanath_Swami/Lectures/00_-_Year_wise/Devotional_Nectar_-_2011/More/2011-12-10_SB-10-04-21_-_Philosophy_without_Character_has_no_Meaning_-_Radhanath_Swami_ISKCON_C"&amp;"howpatty.mp3", "2011-12-10_SB-10-04-21_-_Philosophy_without_Character_has_no_Meaning_-_Radhanath_Swami_ISKCON_Chowpatty.mp3")</f>
        <v>#VALUE!</v>
      </c>
      <c r="D2655" s="11"/>
      <c r="E2655" s="11"/>
    </row>
    <row r="2656" spans="1:5">
      <c r="A2656" s="12" t="s">
        <v>12462</v>
      </c>
      <c r="B2656" s="12" t="e">
        <v>#VALUE!</v>
      </c>
      <c r="C2656" s="13" t="e">
        <f>HYPERLINK("https://audio.iskcondesiretree.com/02_-_ISKCON_Swamis/ISKCON_Swamis_-_R_to_Y/His_Holiness_Radhanath_Swami/Lectures/00_-_Year_wise/Devotional_Nectar_-_2011/More/2011-12-11_Sunday_Feast_-_Regain_Our_Real_Spiritual_Health_-_Radhanath_Swami_ISKCON_Chowpatty.m"&amp;"p3", "2011-12-11_Sunday_Feast_-_Regain_Our_Real_Spiritual_Health_-_Radhanath_Swami_ISKCON_Chowpatty.mp3")</f>
        <v>#VALUE!</v>
      </c>
      <c r="D2656" s="11"/>
      <c r="E2656" s="11"/>
    </row>
    <row r="2657" spans="1:5">
      <c r="A2657" s="12" t="s">
        <v>12462</v>
      </c>
      <c r="B2657" s="12" t="s">
        <v>15412</v>
      </c>
      <c r="C2657" s="13" t="str">
        <f>HYPERLINK("https://audio.iskcondesiretree.com/02_-_ISKCON_Swamis/ISKCON_Swamis_-_R_to_Y/His_Holiness_Radhanath_Swami/Lectures/00_-_Year_wise/Devotional_Nectar_-_2011/More/2011-12-17_SB-10-04-28-29_-_False_Sense_of_Propritership_-_Radhanath_Swami_ISKCON_Chowpatty.mp3", "2011-12-17_SB-10-04-28-29_-_False_Sense_of_Propritership_-_Radhanath_Swami_ISKCON_Chowpatty.mp3")</f>
        <v>2011-12-17_SB-10-04-28-29_-_False_Sense_of_Propritership_-_Radhanath_Swami_ISKCON_Chowpatty.mp3</v>
      </c>
      <c r="D2657" s="11"/>
      <c r="E2657" s="11"/>
    </row>
    <row r="2658" spans="1:5">
      <c r="A2658" s="12" t="s">
        <v>12462</v>
      </c>
      <c r="B2658" s="12" t="e">
        <v>#VALUE!</v>
      </c>
      <c r="C2658" s="13" t="e">
        <f>HYPERLINK("https://audio.iskcondesiretree.com/02_-_ISKCON_Swamis/ISKCON_Swamis_-_R_to_Y/His_Holiness_Radhanath_Swami/Lectures/00_-_Year_wise/Devotional_Nectar_-_2011/More/2011-12-18_SB-10-04-30_-_Strive_to_develop_saintly_Qualities_-_Radhanath_Swami_ISKCON_Chowpatty"&amp;".mp3", "2011-12-18_SB-10-04-30_-_Strive_to_develop_saintly_Qualities_-_Radhanath_Swami_ISKCON_Chowpatty.mp3")</f>
        <v>#VALUE!</v>
      </c>
      <c r="D2658" s="11"/>
      <c r="E2658" s="11"/>
    </row>
    <row r="2659" spans="1:5">
      <c r="A2659" s="12" t="s">
        <v>12462</v>
      </c>
      <c r="B2659" s="12" t="e">
        <v>#VALUE!</v>
      </c>
      <c r="C2659" s="13" t="e">
        <f>HYPERLINK("https://audio.iskcondesiretree.com/02_-_ISKCON_Swamis/ISKCON_Swamis_-_R_to_Y/His_Holiness_Radhanath_Swami/Lectures/00_-_Year_wise/Devotional_Nectar_-_2011/More/2011-12-18_Various_-_Sunday_Feast-Developing_Real_Attachment_-_Radhanath_Swami_ISKCON_Chowpatty"&amp;".mp3", "2011-12-18_Various_-_Sunday_Feast-Developing_Real_Attachment_-_Radhanath_Swami_ISKCON_Chowpatty.mp3")</f>
        <v>#VALUE!</v>
      </c>
      <c r="D2659" s="11"/>
      <c r="E2659" s="11"/>
    </row>
    <row r="2660" spans="1:5">
      <c r="A2660" s="12" t="s">
        <v>12462</v>
      </c>
      <c r="B2660" s="12" t="s">
        <v>15413</v>
      </c>
      <c r="C2660" s="13" t="str">
        <f>HYPERLINK("https://audio.iskcondesiretree.com/02_-_ISKCON_Swamis/ISKCON_Swamis_-_R_to_Y/His_Holiness_Radhanath_Swami/Lectures/00_-_Year_wise/Devotional_Nectar_-_2011/More/2011-12-24_-_Jagannath_Rath_Yatra_Lecture_-_Radhanath_Swami_Wada.mp3", "2011-12-24_-_Jagannath_Rath_Yatra_Lecture_-_Radhanath_Swami_Wada.mp3")</f>
        <v>2011-12-24_-_Jagannath_Rath_Yatra_Lecture_-_Radhanath_Swami_Wada.mp3</v>
      </c>
      <c r="D2660" s="11"/>
      <c r="E2660" s="11"/>
    </row>
    <row r="2661" spans="1:5">
      <c r="A2661" s="12" t="s">
        <v>12462</v>
      </c>
      <c r="B2661" s="12" t="e">
        <v>#VALUE!</v>
      </c>
      <c r="C2661" s="13" t="e">
        <f>HYPERLINK("https://audio.iskcondesiretree.com/02_-_ISKCON_Swamis/ISKCON_Swamis_-_R_to_Y/His_Holiness_Radhanath_Swami/Lectures/00_-_Year_wise/Devotional_Nectar_-_2011/More/2011-12-31_SB-10-05-05-07_-_Expressing_Love_and_Care_by_Real_Gestures_-_Radhanath_Swami_ISKCON_"&amp;"Chowpatty.mp3", "2011-12-31_SB-10-05-05-07_-_Expressing_Love_and_Care_by_Real_Gestures_-_Radhanath_Swami_ISKCON_Chowpatty.mp3")</f>
        <v>#VALUE!</v>
      </c>
      <c r="D2661" s="11"/>
      <c r="E2661" s="11"/>
    </row>
    <row r="2662" spans="1:5">
      <c r="A2662" s="12" t="s">
        <v>12462</v>
      </c>
      <c r="B2662" s="12" t="s">
        <v>15414</v>
      </c>
      <c r="C2662" s="13" t="str">
        <f>HYPERLINK("https://audio.iskcondesiretree.com/02_-_ISKCON_Swamis/ISKCON_Swamis_-_R_to_Y/His_Holiness_Radhanath_Swami/Lectures/00_-_Year_wise/Devotional_Nectar_-_2011/More/2011_Various_-_Finding_Unity_-_Radhanath_Swami.mp3", "2011_Various_-_Finding_Unity_-_Radhanath_Swami.mp3")</f>
        <v>2011_Various_-_Finding_Unity_-_Radhanath_Swami.mp3</v>
      </c>
      <c r="D2662" s="11"/>
      <c r="E2662" s="11"/>
    </row>
    <row r="2663" spans="1:5">
      <c r="A2663" s="12" t="s">
        <v>12462</v>
      </c>
      <c r="B2663" s="12" t="s">
        <v>15415</v>
      </c>
      <c r="C2663" s="13" t="str">
        <f>HYPERLINK("https://audio.iskcondesiretree.com/02_-_ISKCON_Swamis/ISKCON_Swamis_-_R_to_Y/His_Holiness_Radhanath_Swami/Lectures/00_-_Year_wise/Devotional_Nectar_-_2011/More/2011_Various_-_Knowing_the_body_to_be_Krishna%27s_Property_-_Radhanath_Swami_Golok_Dham.mp3", "2011_Various_-_Knowing_the_body_to_be_Krishna%27s_Property_-_Radhanath_Swami_Golok_Dham.mp3")</f>
        <v>2011_Various_-_Knowing_the_body_to_be_Krishna%27s_Property_-_Radhanath_Swami_Golok_Dham.mp3</v>
      </c>
      <c r="D2663" s="11"/>
      <c r="E2663" s="11"/>
    </row>
    <row r="2664" spans="1:5">
      <c r="A2664" s="12" t="s">
        <v>12462</v>
      </c>
      <c r="B2664" s="12" t="s">
        <v>15416</v>
      </c>
      <c r="C2664" s="13" t="str">
        <f>HYPERLINK("https://audio.iskcondesiretree.com/02_-_ISKCON_Swamis/ISKCON_Swamis_-_R_to_Y/His_Holiness_Radhanath_Swami/Lectures/00_-_Year_wise/Devotional_Nectar_-_2012/2012-01-06_Various_-_Pastimes_of_Lord_Jagannath_-_Radhanath_Swami_ISKCON_Juhu.mp3", "2012-01-06_Various_-_Pastimes_of_Lord_Jagannath_-_Radhanath_Swami_ISKCON_Juhu.mp3")</f>
        <v>2012-01-06_Various_-_Pastimes_of_Lord_Jagannath_-_Radhanath_Swami_ISKCON_Juhu.mp3</v>
      </c>
      <c r="D2664" s="11"/>
      <c r="E2664" s="11"/>
    </row>
    <row r="2665" spans="1:5">
      <c r="A2665" s="12" t="s">
        <v>12462</v>
      </c>
      <c r="B2665" s="12" t="s">
        <v>15417</v>
      </c>
      <c r="C2665" s="13" t="str">
        <f>HYPERLINK("https://audio.iskcondesiretree.com/02_-_ISKCON_Swamis/ISKCON_Swamis_-_R_to_Y/His_Holiness_Radhanath_Swami/Lectures/00_-_Year_wise/Devotional_Nectar_-_2012/2012-01-07_-_Glories_of_Jagannath_Rath_Yatra_-_Radhanath_Swami_Dadar.mp3", "2012-01-07_-_Glories_of_Jagannath_Rath_Yatra_-_Radhanath_Swami_Dadar.mp3")</f>
        <v>2012-01-07_-_Glories_of_Jagannath_Rath_Yatra_-_Radhanath_Swami_Dadar.mp3</v>
      </c>
      <c r="D2665" s="11"/>
      <c r="E2665" s="11"/>
    </row>
    <row r="2666" spans="1:5">
      <c r="A2666" s="12" t="s">
        <v>12462</v>
      </c>
      <c r="B2666" s="12" t="s">
        <v>15418</v>
      </c>
      <c r="C2666" s="13" t="str">
        <f>HYPERLINK("https://audio.iskcondesiretree.com/02_-_ISKCON_Swamis/ISKCON_Swamis_-_R_to_Y/His_Holiness_Radhanath_Swami/Lectures/00_-_Year_wise/Devotional_Nectar_-_2012/2012-01-08_-_Jagannath_Rath_Yatra_Lecture_-_Radhanath_Swami_Juhu.mp3", "2012-01-08_-_Jagannath_Rath_Yatra_Lecture_-_Radhanath_Swami_Juhu.mp3")</f>
        <v>2012-01-08_-_Jagannath_Rath_Yatra_Lecture_-_Radhanath_Swami_Juhu.mp3</v>
      </c>
      <c r="D2666" s="11"/>
      <c r="E2666" s="11"/>
    </row>
    <row r="2667" spans="1:5">
      <c r="A2667" s="12" t="s">
        <v>12462</v>
      </c>
      <c r="B2667" s="12" t="s">
        <v>15419</v>
      </c>
      <c r="C2667" s="13" t="str">
        <f>HYPERLINK("https://audio.iskcondesiretree.com/02_-_ISKCON_Swamis/ISKCON_Swamis_-_R_to_Y/His_Holiness_Radhanath_Swami/Lectures/00_-_Year_wise/Devotional_Nectar_-_2012/2012-01-08_SB_10-05-17_-_Get_Happiness_to_Give_Happiness_-_Radhanath_Swami_ISKCON_Chowpatty.mp3", "2012-01-08_SB_10-05-17_-_Get_Happiness_to_Give_Happiness_-_Radhanath_Swami_ISKCON_Chowpatty.mp3")</f>
        <v>2012-01-08_SB_10-05-17_-_Get_Happiness_to_Give_Happiness_-_Radhanath_Swami_ISKCON_Chowpatty.mp3</v>
      </c>
      <c r="D2667" s="11"/>
      <c r="E2667" s="11"/>
    </row>
    <row r="2668" spans="1:5">
      <c r="A2668" s="12" t="s">
        <v>12462</v>
      </c>
      <c r="B2668" s="12" t="s">
        <v>15420</v>
      </c>
      <c r="C2668" s="13" t="str">
        <f>HYPERLINK("https://audio.iskcondesiretree.com/02_-_ISKCON_Swamis/ISKCON_Swamis_-_R_to_Y/His_Holiness_Radhanath_Swami/Lectures/00_-_Year_wise/Devotional_Nectar_-_2012/2012-01-14_Festivals_-_Jagannath_Rath_Yatra_Lecture_-_Radhanath_Swami_Ghatkopar.mp3", "2012-01-14_Festivals_-_Jagannath_Rath_Yatra_Lecture_-_Radhanath_Swami_Ghatkopar.mp3")</f>
        <v>2012-01-14_Festivals_-_Jagannath_Rath_Yatra_Lecture_-_Radhanath_Swami_Ghatkopar.mp3</v>
      </c>
      <c r="D2668" s="11"/>
      <c r="E2668" s="11"/>
    </row>
    <row r="2669" spans="1:5">
      <c r="A2669" s="12" t="s">
        <v>12462</v>
      </c>
      <c r="B2669" s="12" t="s">
        <v>15421</v>
      </c>
      <c r="C2669" s="13" t="str">
        <f>HYPERLINK("https://audio.iskcondesiretree.com/02_-_ISKCON_Swamis/ISKCON_Swamis_-_R_to_Y/His_Holiness_Radhanath_Swami/Lectures/00_-_Year_wise/Devotional_Nectar_-_2012/2012-01-15_Various_-_Kunja_Bihari_Prabhu%27s_Residence_-_Radhanath_Swami_Mumbai_Central.mp3", "2012-01-15_Various_-_Kunja_Bihari_Prabhu%27s_Residence_-_Radhanath_Swami_Mumbai_Central.mp3")</f>
        <v>2012-01-15_Various_-_Kunja_Bihari_Prabhu%27s_Residence_-_Radhanath_Swami_Mumbai_Central.mp3</v>
      </c>
      <c r="D2669" s="11"/>
      <c r="E2669" s="11"/>
    </row>
    <row r="2670" spans="1:5">
      <c r="A2670" s="12" t="s">
        <v>12462</v>
      </c>
      <c r="B2670" s="12" t="s">
        <v>15422</v>
      </c>
      <c r="C2670" s="13" t="str">
        <f>HYPERLINK("https://audio.iskcondesiretree.com/02_-_ISKCON_Swamis/ISKCON_Swamis_-_R_to_Y/His_Holiness_Radhanath_Swami/Lectures/00_-_Year_wise/Devotional_Nectar_-_2012/2012-01-21_SB_10-06-01_-_Dynamics_of_Love_of_Godhead_-_Radhanath_Swami_ISKCON_Chowpatty.mp3", "2012-01-21_SB_10-06-01_-_Dynamics_of_Love_of_Godhead_-_Radhanath_Swami_ISKCON_Chowpatty.mp3")</f>
        <v>2012-01-21_SB_10-06-01_-_Dynamics_of_Love_of_Godhead_-_Radhanath_Swami_ISKCON_Chowpatty.mp3</v>
      </c>
      <c r="D2670" s="11"/>
      <c r="E2670" s="11"/>
    </row>
    <row r="2671" spans="1:5">
      <c r="A2671" s="12" t="s">
        <v>12462</v>
      </c>
      <c r="B2671" s="12" t="s">
        <v>15423</v>
      </c>
      <c r="C2671" s="13" t="str">
        <f>HYPERLINK("https://audio.iskcondesiretree.com/02_-_ISKCON_Swamis/ISKCON_Swamis_-_R_to_Y/His_Holiness_Radhanath_Swami/Lectures/00_-_Year_wise/Devotional_Nectar_-_2012/2012-01-21_Various_-_INSPIRO-Youth_Festival_Lecture_-_Radhanath_Swami_ISKCON_Chowpatty.mp3", "2012-01-21_Various_-_INSPIRO-Youth_Festival_Lecture_-_Radhanath_Swami_ISKCON_Chowpatty.mp3")</f>
        <v>2012-01-21_Various_-_INSPIRO-Youth_Festival_Lecture_-_Radhanath_Swami_ISKCON_Chowpatty.mp3</v>
      </c>
      <c r="D2671" s="11"/>
      <c r="E2671" s="11"/>
    </row>
    <row r="2672" spans="1:5">
      <c r="A2672" s="12" t="s">
        <v>12462</v>
      </c>
      <c r="B2672" s="12" t="s">
        <v>15424</v>
      </c>
      <c r="C2672" s="13" t="str">
        <f>HYPERLINK("https://audio.iskcondesiretree.com/02_-_ISKCON_Swamis/ISKCON_Swamis_-_R_to_Y/His_Holiness_Radhanath_Swami/Lectures/00_-_Year_wise/Devotional_Nectar_-_2012/2012-01-22_Various_-_Birla_House_Program_-_Radhanath_Swami_ISKCON_Chowpatty.mp3", "2012-01-22_Various_-_Birla_House_Program_-_Radhanath_Swami_ISKCON_Chowpatty.mp3")</f>
        <v>2012-01-22_Various_-_Birla_House_Program_-_Radhanath_Swami_ISKCON_Chowpatty.mp3</v>
      </c>
      <c r="D2672" s="11"/>
      <c r="E2672" s="11"/>
    </row>
    <row r="2673" spans="1:5">
      <c r="A2673" s="12" t="s">
        <v>12462</v>
      </c>
      <c r="B2673" s="12" t="s">
        <v>15425</v>
      </c>
      <c r="C2673" s="13" t="str">
        <f>HYPERLINK("https://audio.iskcondesiretree.com/02_-_ISKCON_Swamis/ISKCON_Swamis_-_R_to_Y/His_Holiness_Radhanath_Swami/Lectures/00_-_Year_wise/Devotional_Nectar_-_2012/2012-01-22_Various_-_GCL-Bhagavat_Gita_Lecture_-_Radhanath_Swami_ISKCON_Chowpatty.mp3", "2012-01-22_Various_-_GCL-Bhagavat_Gita_Lecture_-_Radhanath_Swami_ISKCON_Chowpatty.mp3")</f>
        <v>2012-01-22_Various_-_GCL-Bhagavat_Gita_Lecture_-_Radhanath_Swami_ISKCON_Chowpatty.mp3</v>
      </c>
      <c r="D2673" s="11"/>
      <c r="E2673" s="11"/>
    </row>
    <row r="2674" spans="1:5">
      <c r="A2674" s="12" t="s">
        <v>12462</v>
      </c>
      <c r="B2674" s="12" t="s">
        <v>15426</v>
      </c>
      <c r="C2674" s="13" t="str">
        <f>HYPERLINK("https://audio.iskcondesiretree.com/02_-_ISKCON_Swamis/ISKCON_Swamis_-_R_to_Y/His_Holiness_Radhanath_Swami/Lectures/00_-_Year_wise/Devotional_Nectar_-_2012/2012-01-22_Various_-_Sunday_Feast-Glories_of_Ambarish_Maharaj_-_Radhanath_Swami_ISKCON_Chowpatty.mp3", "2012-01-22_Various_-_Sunday_Feast-Glories_of_Ambarish_Maharaj_-_Radhanath_Swami_ISKCON_Chowpatty.mp3")</f>
        <v>2012-01-22_Various_-_Sunday_Feast-Glories_of_Ambarish_Maharaj_-_Radhanath_Swami_ISKCON_Chowpatty.mp3</v>
      </c>
      <c r="D2674" s="11"/>
      <c r="E2674" s="11"/>
    </row>
    <row r="2675" spans="1:5">
      <c r="A2675" s="12" t="s">
        <v>12462</v>
      </c>
      <c r="B2675" s="12" t="s">
        <v>15427</v>
      </c>
      <c r="C2675" s="13" t="str">
        <f>HYPERLINK("https://audio.iskcondesiretree.com/02_-_ISKCON_Swamis/ISKCON_Swamis_-_R_to_Y/His_Holiness_Radhanath_Swami/Lectures/00_-_Year_wise/Devotional_Nectar_-_2012/2012-01-26_-_Republic_Day_and_Our_Spiritual_Constitution_-_Radhanath_Swami_ISKCON_Juhu.mp3", "2012-01-26_-_Republic_Day_and_Our_Spiritual_Constitution_-_Radhanath_Swami_ISKCON_Juhu.mp3")</f>
        <v>2012-01-26_-_Republic_Day_and_Our_Spiritual_Constitution_-_Radhanath_Swami_ISKCON_Juhu.mp3</v>
      </c>
      <c r="D2675" s="11"/>
      <c r="E2675" s="11"/>
    </row>
    <row r="2676" spans="1:5">
      <c r="A2676" s="12" t="s">
        <v>12462</v>
      </c>
      <c r="B2676" s="12" t="s">
        <v>15428</v>
      </c>
      <c r="C2676" s="13" t="str">
        <f>HYPERLINK("https://audio.iskcondesiretree.com/02_-_ISKCON_Swamis/ISKCON_Swamis_-_R_to_Y/His_Holiness_Radhanath_Swami/Lectures/00_-_Year_wise/Devotional_Nectar_-_2012/2012-01-28_SB_03-02-23_-_Glories_of_Acharyas_-_Radhanath_Swami_ISKCON_Chowpatty.mp3", "2012-01-28_SB_03-02-23_-_Glories_of_Acharyas_-_Radhanath_Swami_ISKCON_Chowpatty.mp3")</f>
        <v>2012-01-28_SB_03-02-23_-_Glories_of_Acharyas_-_Radhanath_Swami_ISKCON_Chowpatty.mp3</v>
      </c>
      <c r="D2676" s="11"/>
      <c r="E2676" s="11"/>
    </row>
    <row r="2677" spans="1:5">
      <c r="A2677" s="12" t="s">
        <v>12462</v>
      </c>
      <c r="B2677" s="12" t="s">
        <v>15429</v>
      </c>
      <c r="C2677" s="13" t="str">
        <f>HYPERLINK("https://audio.iskcondesiretree.com/02_-_ISKCON_Swamis/ISKCON_Swamis_-_R_to_Y/His_Holiness_Radhanath_Swami/Lectures/00_-_Year_wise/Devotional_Nectar_-_2012/2012-01-29_SB_10-06-09_-_Putana_in_Vrindavan_-_Radhanath_Swami_ISKCON_Chowpatty.mp3", "2012-01-29_SB_10-06-09_-_Putana_in_Vrindavan_-_Radhanath_Swami_ISKCON_Chowpatty.mp3")</f>
        <v>2012-01-29_SB_10-06-09_-_Putana_in_Vrindavan_-_Radhanath_Swami_ISKCON_Chowpatty.mp3</v>
      </c>
      <c r="D2677" s="11"/>
      <c r="E2677" s="11"/>
    </row>
    <row r="2678" spans="1:5">
      <c r="A2678" s="12" t="s">
        <v>12462</v>
      </c>
      <c r="B2678" s="12" t="s">
        <v>15430</v>
      </c>
      <c r="C2678" s="13" t="str">
        <f>HYPERLINK("https://audio.iskcondesiretree.com/02_-_ISKCON_Swamis/ISKCON_Swamis_-_R_to_Y/His_Holiness_Radhanath_Swami/Lectures/00_-_Year_wise/Devotional_Nectar_-_2012/2012-02-04_Various_-_Prerna_Festival-Power_of_Intensions_-_Radhanath_Swami_ISKCON_Kolkata.mp3", "2012-02-04_Various_-_Prerna_Festival-Power_of_Intensions_-_Radhanath_Swami_ISKCON_Kolkata.mp3")</f>
        <v>2012-02-04_Various_-_Prerna_Festival-Power_of_Intensions_-_Radhanath_Swami_ISKCON_Kolkata.mp3</v>
      </c>
      <c r="D2678" s="11"/>
      <c r="E2678" s="11"/>
    </row>
    <row r="2679" spans="1:5">
      <c r="A2679" s="12" t="s">
        <v>12462</v>
      </c>
      <c r="B2679" s="12" t="s">
        <v>15431</v>
      </c>
      <c r="C2679" s="13" t="str">
        <f>HYPERLINK("https://audio.iskcondesiretree.com/02_-_ISKCON_Swamis/ISKCON_Swamis_-_R_to_Y/His_Holiness_Radhanath_Swami/Lectures/00_-_Year_wise/Devotional_Nectar_-_2012/2012-02-05_Festivals_-_Nityananda_Trayodashi_Festival_Class_-_Radhanath_Swami_ISKCON_Kolkata.mp3", "2012-02-05_Festivals_-_Nityananda_Trayodashi_Festival_Class_-_Radhanath_Swami_ISKCON_Kolkata.mp3")</f>
        <v>2012-02-05_Festivals_-_Nityananda_Trayodashi_Festival_Class_-_Radhanath_Swami_ISKCON_Kolkata.mp3</v>
      </c>
      <c r="D2679" s="11"/>
      <c r="E2679" s="11"/>
    </row>
    <row r="2680" spans="1:5">
      <c r="A2680" s="12" t="s">
        <v>12462</v>
      </c>
      <c r="B2680" s="12" t="s">
        <v>15432</v>
      </c>
      <c r="C2680" s="13" t="str">
        <f>HYPERLINK("https://audio.iskcondesiretree.com/02_-_ISKCON_Swamis/ISKCON_Swamis_-_R_to_Y/His_Holiness_Radhanath_Swami/Lectures/00_-_Year_wise/Devotional_Nectar_-_2012/2012-02-10_SB_04-30-08_-_Radhanath_Swami_ISKCON_Mayapur.mp3", "2012-02-10_SB_04-30-08_-_Radhanath_Swami_ISKCON_Mayapur.mp3")</f>
        <v>2012-02-10_SB_04-30-08_-_Radhanath_Swami_ISKCON_Mayapur.mp3</v>
      </c>
      <c r="D2680" s="11"/>
      <c r="E2680" s="11"/>
    </row>
    <row r="2681" spans="1:5">
      <c r="A2681" s="12" t="s">
        <v>12462</v>
      </c>
      <c r="B2681" s="12" t="s">
        <v>15433</v>
      </c>
      <c r="C2681" s="13" t="str">
        <f>HYPERLINK("https://audio.iskcondesiretree.com/02_-_ISKCON_Swamis/ISKCON_Swamis_-_R_to_Y/His_Holiness_Radhanath_Swami/Lectures/00_-_Year_wise/Devotional_Nectar_-_2012/2012-02-25_SB_10-07-03_-_Developing_Eagerness_to_Hear_-_Radhanath_Swami_ISKCON_Chowpatty.mp3", "2012-02-25_SB_10-07-03_-_Developing_Eagerness_to_Hear_-_Radhanath_Swami_ISKCON_Chowpatty.mp3")</f>
        <v>2012-02-25_SB_10-07-03_-_Developing_Eagerness_to_Hear_-_Radhanath_Swami_ISKCON_Chowpatty.mp3</v>
      </c>
      <c r="D2681" s="11"/>
      <c r="E2681" s="11"/>
    </row>
    <row r="2682" spans="1:5">
      <c r="A2682" s="12" t="s">
        <v>12462</v>
      </c>
      <c r="B2682" s="12" t="s">
        <v>15434</v>
      </c>
      <c r="C2682" s="13" t="str">
        <f>HYPERLINK("https://audio.iskcondesiretree.com/02_-_ISKCON_Swamis/ISKCON_Swamis_-_R_to_Y/His_Holiness_Radhanath_Swami/Lectures/00_-_Year_wise/Devotional_Nectar_-_2012/2012-02-26_-_GCL_Award_Giving_Lecture_-_Radhanath_Swami_ISKCON%20Chowpatty.mp3", "2012-02-26_-_GCL_Award_Giving_Lecture_-_Radhanath_Swami_ISKCON%20Chowpatty.mp3")</f>
        <v>2012-02-26_-_GCL_Award_Giving_Lecture_-_Radhanath_Swami_ISKCON%20Chowpatty.mp3</v>
      </c>
      <c r="D2682" s="11"/>
      <c r="E2682" s="11"/>
    </row>
    <row r="2683" spans="1:5">
      <c r="A2683" s="12" t="s">
        <v>12462</v>
      </c>
      <c r="B2683" s="12" t="s">
        <v>15435</v>
      </c>
      <c r="C2683" s="13" t="str">
        <f>HYPERLINK("https://audio.iskcondesiretree.com/02_-_ISKCON_Swamis/ISKCON_Swamis_-_R_to_Y/His_Holiness_Radhanath_Swami/Lectures/00_-_Year_wise/Devotional_Nectar_-_2012/2012-02-26_SB-10-07-04_-_Be_Sensitive_to_Mind_Body_and_Soul_-_Radhanath_Swami_ISKCON_Chowpatty.mp3", "2012-02-26_SB-10-07-04_-_Be_Sensitive_to_Mind_Body_and_Soul_-_Radhanath_Swami_ISKCON_Chowpatty.mp3")</f>
        <v>2012-02-26_SB-10-07-04_-_Be_Sensitive_to_Mind_Body_and_Soul_-_Radhanath_Swami_ISKCON_Chowpatty.mp3</v>
      </c>
      <c r="D2683" s="11"/>
      <c r="E2683" s="11"/>
    </row>
    <row r="2684" spans="1:5">
      <c r="A2684" s="12" t="s">
        <v>12462</v>
      </c>
      <c r="B2684" s="12" t="s">
        <v>15436</v>
      </c>
      <c r="C2684" s="13" t="str">
        <f>HYPERLINK("https://audio.iskcondesiretree.com/02_-_ISKCON_Swamis/ISKCON_Swamis_-_R_to_Y/His_Holiness_Radhanath_Swami/Lectures/00_-_Year_wise/Devotional_Nectar_-_2012/2012-03-04_-_Filling_In_and_Emptying_Out_-_Radhanath_Swami.mp3", "2012-03-04_-_Filling_In_and_Emptying_Out_-_Radhanath_Swami.mp3")</f>
        <v>2012-03-04_-_Filling_In_and_Emptying_Out_-_Radhanath_Swami.mp3</v>
      </c>
      <c r="D2684" s="11"/>
      <c r="E2684" s="11"/>
    </row>
    <row r="2685" spans="1:5">
      <c r="A2685" s="12" t="s">
        <v>12462</v>
      </c>
      <c r="B2685" s="12" t="s">
        <v>15437</v>
      </c>
      <c r="C2685" s="13" t="str">
        <f>HYPERLINK("https://audio.iskcondesiretree.com/02_-_ISKCON_Swamis/ISKCON_Swamis_-_R_to_Y/His_Holiness_Radhanath_Swami/Lectures/00_-_Year_wise/Devotional_Nectar_-_2012/2012-03-08_Festivals_-_Lord_Chaitanya_is_Conquered_by_Love_-_Radhanath_Swami_ISKCON_Chowpatty.mp3", "2012-03-08_Festivals_-_Lord_Chaitanya_is_Conquered_by_Love_-_Radhanath_Swami_ISKCON_Chowpatty.mp3")</f>
        <v>2012-03-08_Festivals_-_Lord_Chaitanya_is_Conquered_by_Love_-_Radhanath_Swami_ISKCON_Chowpatty.mp3</v>
      </c>
      <c r="D2685" s="11"/>
      <c r="E2685" s="11"/>
    </row>
    <row r="2686" spans="1:5">
      <c r="A2686" s="12" t="s">
        <v>12462</v>
      </c>
      <c r="B2686" s="12" t="s">
        <v>15438</v>
      </c>
      <c r="C2686" s="13" t="str">
        <f>HYPERLINK("https://audio.iskcondesiretree.com/02_-_ISKCON_Swamis/ISKCON_Swamis_-_R_to_Y/His_Holiness_Radhanath_Swami/Lectures/00_-_Year_wise/Devotional_Nectar_-_2012/2012-03-11_Sunday_Feast-Lord_Caitanya%27s_Mahaprakash_Lila_-_Radhanath_Swami_ISKCON_Chowpatty.mp3", "2012-03-11_Sunday_Feast-Lord_Caitanya%27s_Mahaprakash_Lila_-_Radhanath_Swami_ISKCON_Chowpatty.mp3")</f>
        <v>2012-03-11_Sunday_Feast-Lord_Caitanya%27s_Mahaprakash_Lila_-_Radhanath_Swami_ISKCON_Chowpatty.mp3</v>
      </c>
      <c r="D2686" s="11"/>
      <c r="E2686" s="11"/>
    </row>
    <row r="2687" spans="1:5">
      <c r="A2687" s="12" t="s">
        <v>12462</v>
      </c>
      <c r="B2687" s="12" t="e">
        <v>#VALUE!</v>
      </c>
      <c r="C2687" s="13" t="e">
        <f>HYPERLINK("https://audio.iskcondesiretree.com/02_-_ISKCON_Swamis/ISKCON_Swamis_-_R_to_Y/His_Holiness_Radhanath_Swami/Lectures/00_-_Year_wise/Devotional_Nectar_-_2012/2012-03-16_SB_04-15-04_-_King_Prithu%27s_Appearance_and_Coronation_-_Radhanath_Swami_ISKCON_Nigdi.mp"&amp;"3", "2012-03-16_SB_04-15-04_-_King_Prithu%27s_Appearance_and_Coronation_-_Radhanath_Swami_ISKCON_Nigdi.mp3")</f>
        <v>#VALUE!</v>
      </c>
      <c r="D2687" s="11"/>
      <c r="E2687" s="11"/>
    </row>
    <row r="2688" spans="1:5">
      <c r="A2688" s="12" t="s">
        <v>12462</v>
      </c>
      <c r="B2688" s="12" t="s">
        <v>15439</v>
      </c>
      <c r="C2688" s="13" t="str">
        <f>HYPERLINK("https://audio.iskcondesiretree.com/02_-_ISKCON_Swamis/ISKCON_Swamis_-_R_to_Y/His_Holiness_Radhanath_Swami/Lectures/00_-_Year_wise/Devotional_Nectar_-_2012/2012-03-18_SB_10-07-22-25_-_Transformation_of_Ego_-_Radhanath_Swami_ISKCON_Chowpatty.mp3", "2012-03-18_SB_10-07-22-25_-_Transformation_of_Ego_-_Radhanath_Swami_ISKCON_Chowpatty.mp3")</f>
        <v>2012-03-18_SB_10-07-22-25_-_Transformation_of_Ego_-_Radhanath_Swami_ISKCON_Chowpatty.mp3</v>
      </c>
      <c r="D2688" s="11"/>
      <c r="E2688" s="11"/>
    </row>
    <row r="2689" spans="1:5">
      <c r="A2689" s="12" t="s">
        <v>12462</v>
      </c>
      <c r="B2689" s="12" t="s">
        <v>15440</v>
      </c>
      <c r="C2689" s="13" t="str">
        <f>HYPERLINK("https://audio.iskcondesiretree.com/02_-_ISKCON_Swamis/ISKCON_Swamis_-_R_to_Y/His_Holiness_Radhanath_Swami/Lectures/00_-_Year_wise/Devotional_Nectar_-_2012/2012-03-21_Various_-_Interview_on_TV_show_Rain_-_Radhanath_Swami.mp3", "2012-03-21_Various_-_Interview_on_TV_show_Rain_-_Radhanath_Swami.mp3")</f>
        <v>2012-03-21_Various_-_Interview_on_TV_show_Rain_-_Radhanath_Swami.mp3</v>
      </c>
      <c r="D2689" s="11"/>
      <c r="E2689" s="11"/>
    </row>
    <row r="2690" spans="1:5">
      <c r="A2690" s="12" t="s">
        <v>12462</v>
      </c>
      <c r="B2690" s="12" t="s">
        <v>15441</v>
      </c>
      <c r="C2690" s="13" t="str">
        <f>HYPERLINK("https://audio.iskcondesiretree.com/02_-_ISKCON_Swamis/ISKCON_Swamis_-_R_to_Y/His_Holiness_Radhanath_Swami/Lectures/00_-_Year_wise/Devotional_Nectar_-_2012/2012-03-25_Various_-_Victory_of_Krishna_Consciousness_-_Radhanath_Swami_Moscow.mp3", "2012-03-25_Various_-_Victory_of_Krishna_Consciousness_-_Radhanath_Swami_Moscow.mp3")</f>
        <v>2012-03-25_Various_-_Victory_of_Krishna_Consciousness_-_Radhanath_Swami_Moscow.mp3</v>
      </c>
      <c r="D2690" s="11"/>
      <c r="E2690" s="11"/>
    </row>
    <row r="2691" spans="1:5">
      <c r="A2691" s="12" t="s">
        <v>12462</v>
      </c>
      <c r="B2691" s="12" t="s">
        <v>15442</v>
      </c>
      <c r="C2691" s="13" t="str">
        <f>HYPERLINK("https://audio.iskcondesiretree.com/02_-_ISKCON_Swamis/ISKCON_Swamis_-_R_to_Y/His_Holiness_Radhanath_Swami/Lectures/00_-_Year_wise/Devotional_Nectar_-_2012/2012-03-29_Various_-_Creating_a_Caring_Community_-_Radhanath_Swami_ISKCON_London.mp3", "2012-03-29_Various_-_Creating_a_Caring_Community_-_Radhanath_Swami_ISKCON_London.mp3")</f>
        <v>2012-03-29_Various_-_Creating_a_Caring_Community_-_Radhanath_Swami_ISKCON_London.mp3</v>
      </c>
      <c r="D2691" s="11"/>
      <c r="E2691" s="11"/>
    </row>
    <row r="2692" spans="1:5">
      <c r="A2692" s="12" t="s">
        <v>12462</v>
      </c>
      <c r="B2692" s="12" t="s">
        <v>15443</v>
      </c>
      <c r="C2692" s="13" t="str">
        <f>HYPERLINK("https://audio.iskcondesiretree.com/02_-_ISKCON_Swamis/ISKCON_Swamis_-_R_to_Y/His_Holiness_Radhanath_Swami/Lectures/00_-_Year_wise/Devotional_Nectar_-_2012/2012-03-30_Various_-_Envy_is_the_root_cause_of_our_Degradation_-_Radhanath_Swami_ISKCON_London.mp3", "2012-03-30_Various_-_Envy_is_the_root_cause_of_our_Degradation_-_Radhanath_Swami_ISKCON_London.mp3")</f>
        <v>2012-03-30_Various_-_Envy_is_the_root_cause_of_our_Degradation_-_Radhanath_Swami_ISKCON_London.mp3</v>
      </c>
      <c r="D2692" s="11"/>
      <c r="E2692" s="11"/>
    </row>
    <row r="2693" spans="1:5">
      <c r="A2693" s="12" t="s">
        <v>12462</v>
      </c>
      <c r="B2693" s="12" t="s">
        <v>15444</v>
      </c>
      <c r="C2693" s="13" t="str">
        <f>HYPERLINK("https://audio.iskcondesiretree.com/02_-_ISKCON_Swamis/ISKCON_Swamis_-_R_to_Y/His_Holiness_Radhanath_Swami/Lectures/00_-_Year_wise/Devotional_Nectar_-_2012/2012-03-31_SB_09-10-02_-_The_Pastimes_of_Lord_Ramchandra_-_Radhanath_Swami_UK.mp3", "2012-03-31_SB_09-10-02_-_The_Pastimes_of_Lord_Ramchandra_-_Radhanath_Swami_UK.mp3")</f>
        <v>2012-03-31_SB_09-10-02_-_The_Pastimes_of_Lord_Ramchandra_-_Radhanath_Swami_UK.mp3</v>
      </c>
      <c r="D2693" s="11"/>
      <c r="E2693" s="11"/>
    </row>
    <row r="2694" spans="1:5">
      <c r="A2694" s="12" t="s">
        <v>12462</v>
      </c>
      <c r="B2694" s="12" t="s">
        <v>15445</v>
      </c>
      <c r="C2694" s="13" t="str">
        <f>HYPERLINK("https://audio.iskcondesiretree.com/02_-_ISKCON_Swamis/ISKCON_Swamis_-_R_to_Y/His_Holiness_Radhanath_Swami/Lectures/00_-_Year_wise/Devotional_Nectar_-_2012/2012-04-01_Festivals_-_Appearance_of_Lord_Sri_Ramchandra_-_Radhanath_Swami_Bhaktivedanta_Manor.mp3", "2012-04-01_Festivals_-_Appearance_of_Lord_Sri_Ramchandra_-_Radhanath_Swami_Bhaktivedanta_Manor.mp3")</f>
        <v>2012-04-01_Festivals_-_Appearance_of_Lord_Sri_Ramchandra_-_Radhanath_Swami_Bhaktivedanta_Manor.mp3</v>
      </c>
      <c r="D2694" s="11"/>
      <c r="E2694" s="11"/>
    </row>
    <row r="2695" spans="1:5">
      <c r="A2695" s="12" t="s">
        <v>12462</v>
      </c>
      <c r="B2695" s="12" t="s">
        <v>15446</v>
      </c>
      <c r="C2695" s="13" t="str">
        <f>HYPERLINK("https://audio.iskcondesiretree.com/02_-_ISKCON_Swamis/ISKCON_Swamis_-_R_to_Y/His_Holiness_Radhanath_Swami/Lectures/00_-_Year_wise/Devotional_Nectar_-_2012/2012-04-19_Various_-_East_Meets_West-01_-_Radhanath_Swami_and_Dr.Cornel_Richardson_Auditorium.mp3", "2012-04-19_Various_-_East_Meets_West-01_-_Radhanath_Swami_and_Dr.Cornel_Richardson_Auditorium.mp3")</f>
        <v>2012-04-19_Various_-_East_Meets_West-01_-_Radhanath_Swami_and_Dr.Cornel_Richardson_Auditorium.mp3</v>
      </c>
      <c r="D2695" s="11"/>
      <c r="E2695" s="11"/>
    </row>
    <row r="2696" spans="1:5">
      <c r="A2696" s="12" t="s">
        <v>12462</v>
      </c>
      <c r="B2696" s="12" t="s">
        <v>15447</v>
      </c>
      <c r="C2696" s="13" t="str">
        <f>HYPERLINK("https://audio.iskcondesiretree.com/02_-_ISKCON_Swamis/ISKCON_Swamis_-_R_to_Y/His_Holiness_Radhanath_Swami/Lectures/00_-_Year_wise/Devotional_Nectar_-_2012/2012-04-19_Various_-_East_Meets_West-02_-_Radhanath_Swami_and_Dr.Cornel_Richardson_Auditorium.mp3", "2012-04-19_Various_-_East_Meets_West-02_-_Radhanath_Swami_and_Dr.Cornel_Richardson_Auditorium.mp3")</f>
        <v>2012-04-19_Various_-_East_Meets_West-02_-_Radhanath_Swami_and_Dr.Cornel_Richardson_Auditorium.mp3</v>
      </c>
      <c r="D2696" s="11"/>
      <c r="E2696" s="11"/>
    </row>
    <row r="2697" spans="1:5">
      <c r="A2697" s="12" t="s">
        <v>12462</v>
      </c>
      <c r="B2697" s="12" t="s">
        <v>15448</v>
      </c>
      <c r="C2697" s="13" t="str">
        <f>HYPERLINK("https://audio.iskcondesiretree.com/02_-_ISKCON_Swamis/ISKCON_Swamis_-_R_to_Y/His_Holiness_Radhanath_Swami/Lectures/00_-_Year_wise/Devotional_Nectar_-_2012/2012-05-13_Various_-_Mother%27s_Day_-_Radhanath_Swami_New_Vrindavan.mp3", "2012-05-13_Various_-_Mother%27s_Day_-_Radhanath_Swami_New_Vrindavan.mp3")</f>
        <v>2012-05-13_Various_-_Mother%27s_Day_-_Radhanath_Swami_New_Vrindavan.mp3</v>
      </c>
      <c r="D2697" s="11"/>
      <c r="E2697" s="11"/>
    </row>
    <row r="2698" spans="1:5">
      <c r="A2698" s="12" t="s">
        <v>12462</v>
      </c>
      <c r="B2698" s="12" t="s">
        <v>15449</v>
      </c>
      <c r="C2698" s="13" t="str">
        <f>HYPERLINK("https://audio.iskcondesiretree.com/02_-_ISKCON_Swamis/ISKCON_Swamis_-_R_to_Y/His_Holiness_Radhanath_Swami/Lectures/00_-_Year_wise/Devotional_Nectar_-_2012/2012-05-14_Various_-_Instruction_of_Chaitanya_Mahaprabhu_-_Radhanath_Swami_New_Vrindavan.mp3", "2012-05-14_Various_-_Instruction_of_Chaitanya_Mahaprabhu_-_Radhanath_Swami_New_Vrindavan.mp3")</f>
        <v>2012-05-14_Various_-_Instruction_of_Chaitanya_Mahaprabhu_-_Radhanath_Swami_New_Vrindavan.mp3</v>
      </c>
      <c r="D2698" s="11"/>
      <c r="E2698" s="11"/>
    </row>
    <row r="2699" spans="1:5">
      <c r="A2699" s="12" t="s">
        <v>12462</v>
      </c>
      <c r="B2699" s="12" t="s">
        <v>15450</v>
      </c>
      <c r="C2699" s="13" t="str">
        <f>HYPERLINK("https://audio.iskcondesiretree.com/02_-_ISKCON_Swamis/ISKCON_Swamis_-_R_to_Y/His_Holiness_Radhanath_Swami/Lectures/00_-_Year_wise/Devotional_Nectar_-_2012/2012-05-20_Various_-_Krishna_is_the_source_of_everything_-_Radhanath_Swami_Bhaktivedanta_Manor.mp3", "2012-05-20_Various_-_Krishna_is_the_source_of_everything_-_Radhanath_Swami_Bhaktivedanta_Manor.mp3")</f>
        <v>2012-05-20_Various_-_Krishna_is_the_source_of_everything_-_Radhanath_Swami_Bhaktivedanta_Manor.mp3</v>
      </c>
      <c r="D2699" s="11"/>
      <c r="E2699" s="11"/>
    </row>
    <row r="2700" spans="1:5">
      <c r="A2700" s="12" t="s">
        <v>12462</v>
      </c>
      <c r="B2700" s="12" t="s">
        <v>15451</v>
      </c>
      <c r="C2700" s="13" t="str">
        <f>HYPERLINK("https://audio.iskcondesiretree.com/02_-_ISKCON_Swamis/ISKCON_Swamis_-_R_to_Y/His_Holiness_Radhanath_Swami/Lectures/00_-_Year_wise/Devotional_Nectar_-_2012/2012-06-16_CC_Madhya_Lila_06-241_-_Radhanath_Swami_New_Vrindavan.mp3", "2012-06-16_CC_Madhya_Lila_06-241_-_Radhanath_Swami_New_Vrindavan.mp3")</f>
        <v>2012-06-16_CC_Madhya_Lila_06-241_-_Radhanath_Swami_New_Vrindavan.mp3</v>
      </c>
      <c r="D2700" s="11"/>
      <c r="E2700" s="11"/>
    </row>
    <row r="2701" spans="1:5">
      <c r="A2701" s="12" t="s">
        <v>12462</v>
      </c>
      <c r="B2701" s="12" t="s">
        <v>15452</v>
      </c>
      <c r="C2701" s="13" t="str">
        <f>HYPERLINK("https://audio.iskcondesiretree.com/02_-_ISKCON_Swamis/ISKCON_Swamis_-_R_to_Y/His_Holiness_Radhanath_Swami/Lectures/00_-_Year_wise/Devotional_Nectar_-_2012/2012-07-06_SB_07-03-31_-_Radhanath_Swami_Los_Angeles.mp3", "2012-07-06_SB_07-03-31_-_Radhanath_Swami_Los_Angeles.mp3")</f>
        <v>2012-07-06_SB_07-03-31_-_Radhanath_Swami_Los_Angeles.mp3</v>
      </c>
      <c r="D2701" s="11"/>
      <c r="E2701" s="11"/>
    </row>
    <row r="2702" spans="1:5">
      <c r="A2702" s="12" t="s">
        <v>12462</v>
      </c>
      <c r="B2702" s="12" t="s">
        <v>15453</v>
      </c>
      <c r="C2702" s="13" t="str">
        <f>HYPERLINK("https://audio.iskcondesiretree.com/02_-_ISKCON_Swamis/ISKCON_Swamis_-_R_to_Y/His_Holiness_Radhanath_Swami/Lectures/00_-_Year_wise/Devotional_Nectar_-_2012/2012-07-08_CC_Madhya_Lila_22-107_-_Sunday_Feast_Lecture_-_Radhanath_Swami_Los_Angeles.mp3", "2012-07-08_CC_Madhya_Lila_22-107_-_Sunday_Feast_Lecture_-_Radhanath_Swami_Los_Angeles.mp3")</f>
        <v>2012-07-08_CC_Madhya_Lila_22-107_-_Sunday_Feast_Lecture_-_Radhanath_Swami_Los_Angeles.mp3</v>
      </c>
      <c r="D2702" s="11"/>
      <c r="E2702" s="11"/>
    </row>
    <row r="2703" spans="1:5">
      <c r="A2703" s="12" t="s">
        <v>12462</v>
      </c>
      <c r="B2703" s="12" t="s">
        <v>15454</v>
      </c>
      <c r="C2703" s="13" t="str">
        <f>HYPERLINK("https://audio.iskcondesiretree.com/02_-_ISKCON_Swamis/ISKCON_Swamis_-_R_to_Y/His_Holiness_Radhanath_Swami/Lectures/00_-_Year_wise/Devotional_Nectar_-_2012/2012-07-08_SB_07-03-33_-_Radhanath_Swami_Los_Angeles.mp3", "2012-07-08_SB_07-03-33_-_Radhanath_Swami_Los_Angeles.mp3")</f>
        <v>2012-07-08_SB_07-03-33_-_Radhanath_Swami_Los_Angeles.mp3</v>
      </c>
      <c r="D2703" s="11"/>
      <c r="E2703" s="11"/>
    </row>
    <row r="2704" spans="1:5">
      <c r="A2704" s="12" t="s">
        <v>12462</v>
      </c>
      <c r="B2704" s="12" t="s">
        <v>15455</v>
      </c>
      <c r="C2704" s="13" t="str">
        <f>HYPERLINK("https://audio.iskcondesiretree.com/02_-_ISKCON_Swamis/ISKCON_Swamis_-_R_to_Y/His_Holiness_Radhanath_Swami/Lectures/00_-_Year_wise/Devotional_Nectar_-_2012/2012-07-27_Various_-_Sadhu_Sanga_-_Radhanath_Swami_Bhaktivedanta_Manor.mp3", "2012-07-27_Various_-_Sadhu_Sanga_-_Radhanath_Swami_Bhaktivedanta_Manor.mp3")</f>
        <v>2012-07-27_Various_-_Sadhu_Sanga_-_Radhanath_Swami_Bhaktivedanta_Manor.mp3</v>
      </c>
      <c r="D2704" s="11"/>
      <c r="E2704" s="11"/>
    </row>
    <row r="2705" spans="1:5">
      <c r="A2705" s="12" t="s">
        <v>12462</v>
      </c>
      <c r="B2705" s="12" t="s">
        <v>15456</v>
      </c>
      <c r="C2705" s="13" t="str">
        <f>HYPERLINK("https://audio.iskcondesiretree.com/02_-_ISKCON_Swamis/ISKCON_Swamis_-_R_to_Y/His_Holiness_Radhanath_Swami/Lectures/00_-_Year_wise/Devotional_Nectar_-_2012/2012-07-28_Various_-_Initiation_Address_-_Radhanath_Swami_Bhaktivedanta_Manor.mp3", "2012-07-28_Various_-_Initiation_Address_-_Radhanath_Swami_Bhaktivedanta_Manor.mp3")</f>
        <v>2012-07-28_Various_-_Initiation_Address_-_Radhanath_Swami_Bhaktivedanta_Manor.mp3</v>
      </c>
      <c r="D2705" s="11"/>
      <c r="E2705" s="11"/>
    </row>
    <row r="2706" spans="1:5">
      <c r="A2706" s="12" t="s">
        <v>12462</v>
      </c>
      <c r="B2706" s="12" t="s">
        <v>15457</v>
      </c>
      <c r="C2706" s="13" t="str">
        <f>HYPERLINK("https://audio.iskcondesiretree.com/02_-_ISKCON_Swamis/ISKCON_Swamis_-_R_to_Y/His_Holiness_Radhanath_Swami/Lectures/00_-_Year_wise/Devotional_Nectar_-_2012/2012-07-29_Festivals_-_Jhulan_Yatra_-_Radhanath_Swami_Bhaktivedanta_Manor.mp3", "2012-07-29_Festivals_-_Jhulan_Yatra_-_Radhanath_Swami_Bhaktivedanta_Manor.mp3")</f>
        <v>2012-07-29_Festivals_-_Jhulan_Yatra_-_Radhanath_Swami_Bhaktivedanta_Manor.mp3</v>
      </c>
      <c r="D2706" s="11"/>
      <c r="E2706" s="11"/>
    </row>
    <row r="2707" spans="1:5">
      <c r="A2707" s="12" t="s">
        <v>12462</v>
      </c>
      <c r="B2707" s="12" t="s">
        <v>15458</v>
      </c>
      <c r="C2707" s="13" t="str">
        <f>HYPERLINK("https://audio.iskcondesiretree.com/02_-_ISKCON_Swamis/ISKCON_Swamis_-_R_to_Y/His_Holiness_Radhanath_Swami/Lectures/00_-_Year_wise/Devotional_Nectar_-_2012/2012-08-02_Festivals_-_Balaram_Jayanti_-_Radhanath_Swami_ISKCON_London.mp3", "2012-08-02_Festivals_-_Balaram_Jayanti_-_Radhanath_Swami_ISKCON_London.mp3")</f>
        <v>2012-08-02_Festivals_-_Balaram_Jayanti_-_Radhanath_Swami_ISKCON_London.mp3</v>
      </c>
      <c r="D2707" s="11"/>
      <c r="E2707" s="11"/>
    </row>
    <row r="2708" spans="1:5">
      <c r="A2708" s="12" t="s">
        <v>12462</v>
      </c>
      <c r="B2708" s="12" t="s">
        <v>15459</v>
      </c>
      <c r="C2708" s="13" t="str">
        <f>HYPERLINK("https://audio.iskcondesiretree.com/02_-_ISKCON_Swamis/ISKCON_Swamis_-_R_to_Y/His_Holiness_Radhanath_Swami/Lectures/00_-_Year_wise/Devotional_Nectar_-_2012/2012-08-04_Various_-_Forest_of_Enjoyment_%28Morning%29_-_Radhanath_Swami_ISKCON_Radhadesh.mp3", "2012-08-04_Various_-_Forest_of_Enjoyment_%28Morning%29_-_Radhanath_Swami_ISKCON_Radhadesh.mp3")</f>
        <v>2012-08-04_Various_-_Forest_of_Enjoyment_%28Morning%29_-_Radhanath_Swami_ISKCON_Radhadesh.mp3</v>
      </c>
      <c r="D2708" s="11"/>
      <c r="E2708" s="11"/>
    </row>
    <row r="2709" spans="1:5">
      <c r="A2709" s="12" t="s">
        <v>12462</v>
      </c>
      <c r="B2709" s="12" t="s">
        <v>15460</v>
      </c>
      <c r="C2709" s="13" t="str">
        <f>HYPERLINK("https://audio.iskcondesiretree.com/02_-_ISKCON_Swamis/ISKCON_Swamis_-_R_to_Y/His_Holiness_Radhanath_Swami/Lectures/00_-_Year_wise/Devotional_Nectar_-_2012/2012-08-04_Various_-_Unity_and_Honesty_-_Radhanath_Swami_ISKCON_Radhadesh.mp3", "2012-08-04_Various_-_Unity_and_Honesty_-_Radhanath_Swami_ISKCON_Radhadesh.mp3")</f>
        <v>2012-08-04_Various_-_Unity_and_Honesty_-_Radhanath_Swami_ISKCON_Radhadesh.mp3</v>
      </c>
      <c r="D2709" s="11"/>
      <c r="E2709" s="11"/>
    </row>
    <row r="2710" spans="1:5">
      <c r="A2710" s="12" t="s">
        <v>12462</v>
      </c>
      <c r="B2710" s="12" t="s">
        <v>15461</v>
      </c>
      <c r="C2710" s="13" t="str">
        <f>HYPERLINK("https://audio.iskcondesiretree.com/02_-_ISKCON_Swamis/ISKCON_Swamis_-_R_to_Y/His_Holiness_Radhanath_Swami/Lectures/00_-_Year_wise/Devotional_Nectar_-_2012/2012-08-05_SB_05-14-23_-_Radhanath_Swami_ISKCON_Radhadesh.mp3", "2012-08-05_SB_05-14-23_-_Radhanath_Swami_ISKCON_Radhadesh.mp3")</f>
        <v>2012-08-05_SB_05-14-23_-_Radhanath_Swami_ISKCON_Radhadesh.mp3</v>
      </c>
      <c r="D2710" s="11"/>
      <c r="E2710" s="11"/>
    </row>
    <row r="2711" spans="1:5">
      <c r="A2711" s="12" t="s">
        <v>12462</v>
      </c>
      <c r="B2711" s="12" t="s">
        <v>15462</v>
      </c>
      <c r="C2711" s="13" t="str">
        <f>HYPERLINK("https://audio.iskcondesiretree.com/02_-_ISKCON_Swamis/ISKCON_Swamis_-_R_to_Y/His_Holiness_Radhanath_Swami/Lectures/00_-_Year_wise/Devotional_Nectar_-_2012/2012-08-05_Various_-_How_to_transform_Crisis_into_blessings_-_Radhanath_Swami_ISKCON_Radhadesh.mp3", "2012-08-05_Various_-_How_to_transform_Crisis_into_blessings_-_Radhanath_Swami_ISKCON_Radhadesh.mp3")</f>
        <v>2012-08-05_Various_-_How_to_transform_Crisis_into_blessings_-_Radhanath_Swami_ISKCON_Radhadesh.mp3</v>
      </c>
      <c r="D2711" s="11"/>
      <c r="E2711" s="11"/>
    </row>
    <row r="2712" spans="1:5">
      <c r="A2712" s="12" t="s">
        <v>12462</v>
      </c>
      <c r="B2712" s="12" t="s">
        <v>15463</v>
      </c>
      <c r="C2712" s="13" t="str">
        <f>HYPERLINK("https://audio.iskcondesiretree.com/02_-_ISKCON_Swamis/ISKCON_Swamis_-_R_to_Y/His_Holiness_Radhanath_Swami/Lectures/00_-_Year_wise/Devotional_Nectar_-_2012/2012-08-10_Festivals_-_Janmashtami_Festival_Class_-_Radhanath_Swami_Bhaktivedanta_Manor.mp3", "2012-08-10_Festivals_-_Janmashtami_Festival_Class_-_Radhanath_Swami_Bhaktivedanta_Manor.mp3")</f>
        <v>2012-08-10_Festivals_-_Janmashtami_Festival_Class_-_Radhanath_Swami_Bhaktivedanta_Manor.mp3</v>
      </c>
      <c r="D2712" s="11"/>
      <c r="E2712" s="11"/>
    </row>
    <row r="2713" spans="1:5">
      <c r="A2713" s="12" t="s">
        <v>12462</v>
      </c>
      <c r="B2713" s="12" t="s">
        <v>15464</v>
      </c>
      <c r="C2713" s="13" t="str">
        <f>HYPERLINK("https://audio.iskcondesiretree.com/02_-_ISKCON_Swamis/ISKCON_Swamis_-_R_to_Y/His_Holiness_Radhanath_Swami/Lectures/00_-_Year_wise/Devotional_Nectar_-_2012/2012-08-12_Various_-_Janmashtami_Festival_Class_-_Radhanath_Swami_Bhaktivedanta_Manor.mp3", "2012-08-12_Various_-_Janmashtami_Festival_Class_-_Radhanath_Swami_Bhaktivedanta_Manor.mp3")</f>
        <v>2012-08-12_Various_-_Janmashtami_Festival_Class_-_Radhanath_Swami_Bhaktivedanta_Manor.mp3</v>
      </c>
      <c r="D2713" s="11"/>
      <c r="E2713" s="11"/>
    </row>
    <row r="2714" spans="1:5">
      <c r="A2714" s="12" t="s">
        <v>12462</v>
      </c>
      <c r="B2714" s="12" t="s">
        <v>15465</v>
      </c>
      <c r="C2714" s="13" t="str">
        <f>HYPERLINK("https://audio.iskcondesiretree.com/02_-_ISKCON_Swamis/ISKCON_Swamis_-_R_to_Y/His_Holiness_Radhanath_Swami/Lectures/00_-_Year_wise/Devotional_Nectar_-_2012/2012-08-13_Various_-_The_True_Meaning_of_Sacred_-_Radhanath_Swami_ISKCON_Florence.mp3", "2012-08-13_Various_-_The_True_Meaning_of_Sacred_-_Radhanath_Swami_ISKCON_Florence.mp3")</f>
        <v>2012-08-13_Various_-_The_True_Meaning_of_Sacred_-_Radhanath_Swami_ISKCON_Florence.mp3</v>
      </c>
      <c r="D2714" s="11"/>
      <c r="E2714" s="11"/>
    </row>
    <row r="2715" spans="1:5">
      <c r="A2715" s="12" t="s">
        <v>12462</v>
      </c>
      <c r="B2715" s="12" t="s">
        <v>15466</v>
      </c>
      <c r="C2715" s="13" t="str">
        <f>HYPERLINK("https://audio.iskcondesiretree.com/02_-_ISKCON_Swamis/ISKCON_Swamis_-_R_to_Y/His_Holiness_Radhanath_Swami/Lectures/00_-_Year_wise/Devotional_Nectar_-_2012/2012-08-14_SB_05-12-04_-_Radhanath_Swami_ISKCON_Florence.mp3", "2012-08-14_SB_05-12-04_-_Radhanath_Swami_ISKCON_Florence.mp3")</f>
        <v>2012-08-14_SB_05-12-04_-_Radhanath_Swami_ISKCON_Florence.mp3</v>
      </c>
      <c r="D2715" s="11"/>
      <c r="E2715" s="11"/>
    </row>
    <row r="2716" spans="1:5">
      <c r="A2716" s="12" t="s">
        <v>12462</v>
      </c>
      <c r="B2716" s="12" t="s">
        <v>15467</v>
      </c>
      <c r="C2716" s="13" t="str">
        <f>HYPERLINK("https://audio.iskcondesiretree.com/02_-_ISKCON_Swamis/ISKCON_Swamis_-_R_to_Y/His_Holiness_Radhanath_Swami/Lectures/00_-_Year_wise/Devotional_Nectar_-_2012/2012-08-14_Various_-_The_Instructions_of_The_Spiritual_Master_-_Radhanath_Swami_ISKCON_Florence.mp3", "2012-08-14_Various_-_The_Instructions_of_The_Spiritual_Master_-_Radhanath_Swami_ISKCON_Florence.mp3")</f>
        <v>2012-08-14_Various_-_The_Instructions_of_The_Spiritual_Master_-_Radhanath_Swami_ISKCON_Florence.mp3</v>
      </c>
      <c r="D2716" s="11"/>
      <c r="E2716" s="11"/>
    </row>
    <row r="2717" spans="1:5">
      <c r="A2717" s="12" t="s">
        <v>12462</v>
      </c>
      <c r="B2717" s="12" t="s">
        <v>15468</v>
      </c>
      <c r="C2717" s="13" t="str">
        <f>HYPERLINK("https://audio.iskcondesiretree.com/02_-_ISKCON_Swamis/ISKCON_Swamis_-_R_to_Y/His_Holiness_Radhanath_Swami/Lectures/00_-_Year_wise/Devotional_Nectar_-_2012/2012-08-15_Various_-_Initiations_-_Radhanath_Swami_Italy.mp3", "2012-08-15_Various_-_Initiations_-_Radhanath_Swami_Italy.mp3")</f>
        <v>2012-08-15_Various_-_Initiations_-_Radhanath_Swami_Italy.mp3</v>
      </c>
      <c r="D2717" s="11"/>
      <c r="E2717" s="11"/>
    </row>
    <row r="2718" spans="1:5">
      <c r="A2718" s="12" t="s">
        <v>12462</v>
      </c>
      <c r="B2718" s="12" t="s">
        <v>15469</v>
      </c>
      <c r="C2718" s="13" t="str">
        <f>HYPERLINK("https://audio.iskcondesiretree.com/02_-_ISKCON_Swamis/ISKCON_Swamis_-_R_to_Y/His_Holiness_Radhanath_Swami/Lectures/00_-_Year_wise/Devotional_Nectar_-_2012/2012-08-15_Various_-_Simple_Living_and_High_Thinking_-_Radhanath_Swami_ISKCON_Florence.mp3", "2012-08-15_Various_-_Simple_Living_and_High_Thinking_-_Radhanath_Swami_ISKCON_Florence.mp3")</f>
        <v>2012-08-15_Various_-_Simple_Living_and_High_Thinking_-_Radhanath_Swami_ISKCON_Florence.mp3</v>
      </c>
      <c r="D2718" s="11"/>
      <c r="E2718" s="11"/>
    </row>
    <row r="2719" spans="1:5">
      <c r="A2719" s="12" t="s">
        <v>12462</v>
      </c>
      <c r="B2719" s="12" t="s">
        <v>15470</v>
      </c>
      <c r="C2719" s="13" t="str">
        <f>HYPERLINK("https://audio.iskcondesiretree.com/02_-_ISKCON_Swamis/ISKCON_Swamis_-_R_to_Y/His_Holiness_Radhanath_Swami/Lectures/00_-_Year_wise/Devotional_Nectar_-_2012/2012-09-14_SB_07-05-06_-_Radhanath_Swami_Los_Angeles.mp3", "2012-09-14_SB_07-05-06_-_Radhanath_Swami_Los_Angeles.mp3")</f>
        <v>2012-09-14_SB_07-05-06_-_Radhanath_Swami_Los_Angeles.mp3</v>
      </c>
      <c r="D2719" s="11"/>
      <c r="E2719" s="11"/>
    </row>
    <row r="2720" spans="1:5">
      <c r="A2720" s="12" t="s">
        <v>12462</v>
      </c>
      <c r="B2720" s="12" t="s">
        <v>15471</v>
      </c>
      <c r="C2720" s="13" t="str">
        <f>HYPERLINK("https://audio.iskcondesiretree.com/02_-_ISKCON_Swamis/ISKCON_Swamis_-_R_to_Y/His_Holiness_Radhanath_Swami/Lectures/00_-_Year_wise/Devotional_Nectar_-_2012/2012-10-08_Various_-_Spiritual_Life_-_Radhanath_Swami_London_University.mp3", "2012-10-08_Various_-_Spiritual_Life_-_Radhanath_Swami_London_University.mp3")</f>
        <v>2012-10-08_Various_-_Spiritual_Life_-_Radhanath_Swami_London_University.mp3</v>
      </c>
      <c r="D2720" s="11"/>
      <c r="E2720" s="11"/>
    </row>
    <row r="2721" spans="1:5">
      <c r="A2721" s="12" t="s">
        <v>12462</v>
      </c>
      <c r="B2721" s="12" t="s">
        <v>15472</v>
      </c>
      <c r="C2721" s="13" t="str">
        <f>HYPERLINK("https://audio.iskcondesiretree.com/02_-_ISKCON_Swamis/ISKCON_Swamis_-_R_to_Y/His_Holiness_Radhanath_Swami/Lectures/00_-_Year_wise/Devotional_Nectar_-_2012/2012-10-13_CC_Adi_Lila_11-36_-_Rath_Yatra_Pastimes_-_Radhanath_Swami_ISKCON_London.mp3", "2012-10-13_CC_Adi_Lila_11-36_-_Rath_Yatra_Pastimes_-_Radhanath_Swami_ISKCON_London.mp3")</f>
        <v>2012-10-13_CC_Adi_Lila_11-36_-_Rath_Yatra_Pastimes_-_Radhanath_Swami_ISKCON_London.mp3</v>
      </c>
      <c r="D2721" s="11"/>
      <c r="E2721" s="11"/>
    </row>
    <row r="2722" spans="1:5">
      <c r="A2722" s="12" t="s">
        <v>12462</v>
      </c>
      <c r="B2722" s="12" t="s">
        <v>15473</v>
      </c>
      <c r="C2722" s="13" t="str">
        <f>HYPERLINK("https://audio.iskcondesiretree.com/02_-_ISKCON_Swamis/ISKCON_Swamis_-_R_to_Y/His_Holiness_Radhanath_Swami/Lectures/00_-_Year_wise/Devotional_Nectar_-_2012/2012-10-14_CC_Adi_Lila_07-24_-_Radhanath_Swami_Bhaktivedanta_Manor.mp3", "2012-10-14_CC_Adi_Lila_07-24_-_Radhanath_Swami_Bhaktivedanta_Manor.mp3")</f>
        <v>2012-10-14_CC_Adi_Lila_07-24_-_Radhanath_Swami_Bhaktivedanta_Manor.mp3</v>
      </c>
      <c r="D2722" s="11"/>
      <c r="E2722" s="11"/>
    </row>
    <row r="2723" spans="1:5">
      <c r="A2723" s="12" t="s">
        <v>12462</v>
      </c>
      <c r="B2723" s="12" t="s">
        <v>15474</v>
      </c>
      <c r="C2723" s="13" t="str">
        <f>HYPERLINK("https://audio.iskcondesiretree.com/02_-_ISKCON_Swamis/ISKCON_Swamis_-_R_to_Y/His_Holiness_Radhanath_Swami/Lectures/00_-_Year_wise/Devotional_Nectar_-_2012/2012-10-18_SB_10-13-33_-_Love_is_the_Ultimate_Light_-_Radhanath_Swami_ISKCON_Chowpatty.mp3", "2012-10-18_SB_10-13-33_-_Love_is_the_Ultimate_Light_-_Radhanath_Swami_ISKCON_Chowpatty.mp3")</f>
        <v>2012-10-18_SB_10-13-33_-_Love_is_the_Ultimate_Light_-_Radhanath_Swami_ISKCON_Chowpatty.mp3</v>
      </c>
      <c r="D2723" s="11"/>
      <c r="E2723" s="11"/>
    </row>
    <row r="2724" spans="1:5">
      <c r="A2724" s="12" t="s">
        <v>12462</v>
      </c>
      <c r="B2724" s="12" t="s">
        <v>15475</v>
      </c>
      <c r="C2724" s="13" t="str">
        <f>HYPERLINK("https://audio.iskcondesiretree.com/02_-_ISKCON_Swamis/ISKCON_Swamis_-_R_to_Y/His_Holiness_Radhanath_Swami/Lectures/00_-_Year_wise/Devotional_Nectar_-_2012/2012-10-23_SB_10-55-11_-_Radhanath_Swami_ISKCON_Tirupati.mp3", "2012-10-23_SB_10-55-11_-_Radhanath_Swami_ISKCON_Tirupati.mp3")</f>
        <v>2012-10-23_SB_10-55-11_-_Radhanath_Swami_ISKCON_Tirupati.mp3</v>
      </c>
      <c r="D2724" s="11"/>
      <c r="E2724" s="11"/>
    </row>
    <row r="2725" spans="1:5">
      <c r="A2725" s="12" t="s">
        <v>12462</v>
      </c>
      <c r="B2725" s="12" t="s">
        <v>15476</v>
      </c>
      <c r="C2725" s="13" t="str">
        <f>HYPERLINK("https://audio.iskcondesiretree.com/02_-_ISKCON_Swamis/ISKCON_Swamis_-_R_to_Y/His_Holiness_Radhanath_Swami/Lectures/00_-_Year_wise/Devotional_Nectar_-_2012/2012-10-29_Festivals_-_Sharad_Poornima_Class_-_Radhanath_Swami_ISKCON_Chowpatty.mp3", "2012-10-29_Festivals_-_Sharad_Poornima_Class_-_Radhanath_Swami_ISKCON_Chowpatty.mp3")</f>
        <v>2012-10-29_Festivals_-_Sharad_Poornima_Class_-_Radhanath_Swami_ISKCON_Chowpatty.mp3</v>
      </c>
      <c r="D2725" s="11"/>
      <c r="E2725" s="11"/>
    </row>
    <row r="2726" spans="1:5">
      <c r="A2726" s="12" t="s">
        <v>12462</v>
      </c>
      <c r="B2726" s="12" t="s">
        <v>15477</v>
      </c>
      <c r="C2726" s="13" t="str">
        <f>HYPERLINK("https://audio.iskcondesiretree.com/02_-_ISKCON_Swamis/ISKCON_Swamis_-_R_to_Y/His_Holiness_Radhanath_Swami/Lectures/00_-_Year_wise/Devotional_Nectar_-_2012/2012-12-02_Festivals_-_Vyasa_Puja_Address_Lecture_-_Radhanath_Swami_Cross_Maidan_Churchgate.mp3", "2012-12-02_Festivals_-_Vyasa_Puja_Address_Lecture_-_Radhanath_Swami_Cross_Maidan_Churchgate.mp3")</f>
        <v>2012-12-02_Festivals_-_Vyasa_Puja_Address_Lecture_-_Radhanath_Swami_Cross_Maidan_Churchgate.mp3</v>
      </c>
      <c r="D2726" s="11"/>
      <c r="E2726" s="11"/>
    </row>
    <row r="2727" spans="1:5">
      <c r="A2727" s="12" t="s">
        <v>12462</v>
      </c>
      <c r="B2727" s="12" t="s">
        <v>15478</v>
      </c>
      <c r="C2727" s="13" t="str">
        <f>HYPERLINK("https://audio.iskcondesiretree.com/02_-_ISKCON_Swamis/ISKCON_Swamis_-_R_to_Y/His_Holiness_Radhanath_Swami/Lectures/00_-_Year_wise/Devotional_Nectar_-_2012/2012-12-07_SB-10-14-11_-_Humility_acceses_Krisha%27s_Mercy_-_Radhanath_Swami_ISKCON_Chowpatty.mp3", "2012-12-07_SB-10-14-11_-_Humility_acceses_Krisha%27s_Mercy_-_Radhanath_Swami_ISKCON_Chowpatty.mp3")</f>
        <v>2012-12-07_SB-10-14-11_-_Humility_acceses_Krisha%27s_Mercy_-_Radhanath_Swami_ISKCON_Chowpatty.mp3</v>
      </c>
      <c r="D2727" s="11"/>
      <c r="E2727" s="11"/>
    </row>
    <row r="2728" spans="1:5">
      <c r="A2728" s="12" t="s">
        <v>12462</v>
      </c>
      <c r="B2728" s="12" t="s">
        <v>15479</v>
      </c>
      <c r="C2728" s="13" t="str">
        <f>HYPERLINK("https://audio.iskcondesiretree.com/02_-_ISKCON_Swamis/ISKCON_Swamis_-_R_to_Y/His_Holiness_Radhanath_Swami/Lectures/00_-_Year_wise/Devotional_Nectar_-_2012/2012_CC_Madhya_Lila_06-241_-_Radhanath_Swami_New_Vrindavan.mp3", "2012_CC_Madhya_Lila_06-241_-_Radhanath_Swami_New_Vrindavan.mp3")</f>
        <v>2012_CC_Madhya_Lila_06-241_-_Radhanath_Swami_New_Vrindavan.mp3</v>
      </c>
      <c r="D2728" s="11"/>
      <c r="E2728" s="11"/>
    </row>
    <row r="2729" spans="1:5">
      <c r="A2729" s="12" t="s">
        <v>12462</v>
      </c>
      <c r="B2729" s="12" t="s">
        <v>15480</v>
      </c>
      <c r="C2729" s="13" t="str">
        <f>HYPERLINK("https://audio.iskcondesiretree.com/02_-_ISKCON_Swamis/ISKCON_Swamis_-_R_to_Y/His_Holiness_Radhanath_Swami/Lectures/00_-_Year_wise/Devotional_Nectar_-_2012/2012_Various_-_A_Vedic_Scholar_cum_Swami_-_Radhanath_Swami_Harvard_University.mp3", "2012_Various_-_A_Vedic_Scholar_cum_Swami_-_Radhanath_Swami_Harvard_University.mp3")</f>
        <v>2012_Various_-_A_Vedic_Scholar_cum_Swami_-_Radhanath_Swami_Harvard_University.mp3</v>
      </c>
      <c r="D2729" s="11"/>
      <c r="E2729" s="11"/>
    </row>
    <row r="2730" spans="1:5">
      <c r="A2730" s="12" t="s">
        <v>12462</v>
      </c>
      <c r="B2730" s="12" t="s">
        <v>15481</v>
      </c>
      <c r="C2730" s="13" t="str">
        <f>HYPERLINK("https://audio.iskcondesiretree.com/02_-_ISKCON_Swamis/ISKCON_Swamis_-_R_to_Y/His_Holiness_Radhanath_Swami/Lectures/00_-_Year_wise/Devotional_Nectar_-_2012/2012_Various_-_Community_of_Devotees_-_Radhanath_Swami_New_Vrindavan.mp3", "2012_Various_-_Community_of_Devotees_-_Radhanath_Swami_New_Vrindavan.mp3")</f>
        <v>2012_Various_-_Community_of_Devotees_-_Radhanath_Swami_New_Vrindavan.mp3</v>
      </c>
      <c r="D2730" s="11"/>
      <c r="E2730" s="11"/>
    </row>
    <row r="2731" spans="1:5">
      <c r="A2731" s="12" t="s">
        <v>12462</v>
      </c>
      <c r="B2731" s="12" t="s">
        <v>15482</v>
      </c>
      <c r="C2731" s="13" t="str">
        <f>HYPERLINK("https://audio.iskcondesiretree.com/02_-_ISKCON_Swamis/ISKCON_Swamis_-_R_to_Y/His_Holiness_Radhanath_Swami/Lectures/00_-_Year_wise/Devotional_Nectar_-_2012/2012_Various_-_Disappearance_of_Srila_Ramananda_Raya_-_Radhanath_Swami_New_Vrindavan.mp3", "2012_Various_-_Disappearance_of_Srila_Ramananda_Raya_-_Radhanath_Swami_New_Vrindavan.mp3")</f>
        <v>2012_Various_-_Disappearance_of_Srila_Ramananda_Raya_-_Radhanath_Swami_New_Vrindavan.mp3</v>
      </c>
      <c r="D2731" s="11"/>
      <c r="E2731" s="11"/>
    </row>
    <row r="2732" spans="1:5">
      <c r="A2732" s="12" t="s">
        <v>12462</v>
      </c>
      <c r="B2732" s="12" t="s">
        <v>15483</v>
      </c>
      <c r="C2732" s="13" t="str">
        <f>HYPERLINK("https://audio.iskcondesiretree.com/02_-_ISKCON_Swamis/ISKCON_Swamis_-_R_to_Y/His_Holiness_Radhanath_Swami/Lectures/00_-_Year_wise/Devotional_Nectar_-_2012/2012_Various_-_Love_for_Krishna_-_Radhanath_Swami_Coloba.mp3", "2012_Various_-_Love_for_Krishna_-_Radhanath_Swami_Coloba.mp3")</f>
        <v>2012_Various_-_Love_for_Krishna_-_Radhanath_Swami_Coloba.mp3</v>
      </c>
      <c r="D2732" s="11"/>
      <c r="E2732" s="11"/>
    </row>
    <row r="2733" spans="1:5">
      <c r="A2733" s="12" t="s">
        <v>12462</v>
      </c>
      <c r="B2733" s="12" t="s">
        <v>15484</v>
      </c>
      <c r="C2733" s="13" t="str">
        <f>HYPERLINK("https://audio.iskcondesiretree.com/02_-_ISKCON_Swamis/ISKCON_Swamis_-_R_to_Y/His_Holiness_Radhanath_Swami/Lectures/00_-_Year_wise/Devotional_Nectar_-_2012/2012_Various_-_Spiritual_Realization_-_Radhanath_Swami_New_Vrindavan.mp3", "2012_Various_-_Spiritual_Realization_-_Radhanath_Swami_New_Vrindavan.mp3")</f>
        <v>2012_Various_-_Spiritual_Realization_-_Radhanath_Swami_New_Vrindavan.mp3</v>
      </c>
      <c r="D2733" s="11"/>
      <c r="E2733" s="11"/>
    </row>
    <row r="2734" spans="1:5">
      <c r="A2734" s="12" t="s">
        <v>12462</v>
      </c>
      <c r="B2734" s="12" t="s">
        <v>15485</v>
      </c>
      <c r="C2734" s="13" t="str">
        <f>HYPERLINK("https://audio.iskcondesiretree.com/02_-_ISKCON_Swamis/ISKCON_Swamis_-_R_to_Y/His_Holiness_Radhanath_Swami/Lectures/00_-_Year_wise/Devotional_Nectar_-_2013/2013-01-09_SB_03-25-20_-_Radhanath_Swami_ISKCON_Vrindavan.mp3", "2013-01-09_SB_03-25-20_-_Radhanath_Swami_ISKCON_Vrindavan.mp3")</f>
        <v>2013-01-09_SB_03-25-20_-_Radhanath_Swami_ISKCON_Vrindavan.mp3</v>
      </c>
      <c r="D2734" s="11"/>
      <c r="E2734" s="11"/>
    </row>
    <row r="2735" spans="1:5">
      <c r="A2735" s="12" t="s">
        <v>12462</v>
      </c>
      <c r="B2735" s="12" t="s">
        <v>15486</v>
      </c>
      <c r="C2735" s="13" t="str">
        <f>HYPERLINK("https://audio.iskcondesiretree.com/02_-_ISKCON_Swamis/ISKCON_Swamis_-_R_to_Y/His_Holiness_Radhanath_Swami/Lectures/00_-_Year_wise/Devotional_Nectar_-_2013/2013-01-12_Festivals_-_Jagannath_Rath_Yatra_Festival-Dadar_-_Radhanath_Swami_ISKCON_Chowpatty.mp3", "2013-01-12_Festivals_-_Jagannath_Rath_Yatra_Festival-Dadar_-_Radhanath_Swami_ISKCON_Chowpatty.mp3")</f>
        <v>2013-01-12_Festivals_-_Jagannath_Rath_Yatra_Festival-Dadar_-_Radhanath_Swami_ISKCON_Chowpatty.mp3</v>
      </c>
      <c r="D2735" s="11"/>
      <c r="E2735" s="11"/>
    </row>
    <row r="2736" spans="1:5">
      <c r="A2736" s="12" t="s">
        <v>12462</v>
      </c>
      <c r="B2736" s="12" t="s">
        <v>15487</v>
      </c>
      <c r="C2736" s="13" t="str">
        <f>HYPERLINK("https://audio.iskcondesiretree.com/02_-_ISKCON_Swamis/ISKCON_Swamis_-_R_to_Y/His_Holiness_Radhanath_Swami/Lectures/00_-_Year_wise/Devotional_Nectar_-_2013/2013-01-16_Various_-_Bhumi_Pujan_Lecture_-_Radhanath_Swami_ISKCON_Aurangabad.mp3", "2013-01-16_Various_-_Bhumi_Pujan_Lecture_-_Radhanath_Swami_ISKCON_Aurangabad.mp3")</f>
        <v>2013-01-16_Various_-_Bhumi_Pujan_Lecture_-_Radhanath_Swami_ISKCON_Aurangabad.mp3</v>
      </c>
      <c r="D2736" s="11"/>
      <c r="E2736" s="11"/>
    </row>
    <row r="2737" spans="1:5">
      <c r="A2737" s="12" t="s">
        <v>12462</v>
      </c>
      <c r="B2737" s="12" t="s">
        <v>15488</v>
      </c>
      <c r="C2737" s="13" t="str">
        <f>HYPERLINK("https://audio.iskcondesiretree.com/02_-_ISKCON_Swamis/ISKCON_Swamis_-_R_to_Y/His_Holiness_Radhanath_Swami/Lectures/00_-_Year_wise/Devotional_Nectar_-_2013/2013-01-18_Various_-_Teachings_of_Prahlad_Maharaj_-_Radhanath_Swami_ISKCON_Juhu.mp3", "2013-01-18_Various_-_Teachings_of_Prahlad_Maharaj_-_Radhanath_Swami_ISKCON_Juhu.mp3")</f>
        <v>2013-01-18_Various_-_Teachings_of_Prahlad_Maharaj_-_Radhanath_Swami_ISKCON_Juhu.mp3</v>
      </c>
      <c r="D2737" s="11"/>
      <c r="E2737" s="11"/>
    </row>
    <row r="2738" spans="1:5">
      <c r="A2738" s="12" t="s">
        <v>12462</v>
      </c>
      <c r="B2738" s="12" t="s">
        <v>15489</v>
      </c>
      <c r="C2738" s="13" t="str">
        <f>HYPERLINK("https://audio.iskcondesiretree.com/02_-_ISKCON_Swamis/ISKCON_Swamis_-_R_to_Y/His_Holiness_Radhanath_Swami/Lectures/00_-_Year_wise/Devotional_Nectar_-_2013/2013-01-19_Festivals_-_Ghatkopar_Rath_Yatra_Lecture_-_Radhanath_Swami_Ghatkopar.mp3", "2013-01-19_Festivals_-_Ghatkopar_Rath_Yatra_Lecture_-_Radhanath_Swami_Ghatkopar.mp3")</f>
        <v>2013-01-19_Festivals_-_Ghatkopar_Rath_Yatra_Lecture_-_Radhanath_Swami_Ghatkopar.mp3</v>
      </c>
      <c r="D2738" s="11"/>
      <c r="E2738" s="11"/>
    </row>
    <row r="2739" spans="1:5">
      <c r="A2739" s="12" t="s">
        <v>12462</v>
      </c>
      <c r="B2739" s="12" t="s">
        <v>15490</v>
      </c>
      <c r="C2739" s="13" t="str">
        <f>HYPERLINK("https://audio.iskcondesiretree.com/02_-_ISKCON_Swamis/ISKCON_Swamis_-_R_to_Y/His_Holiness_Radhanath_Swami/Lectures/00_-_Year_wise/Devotional_Nectar_-_2013/2013-01-20_SB-10-14-61_-_Charming_contrasts_in_Krishna_Lila_-_Radhanath_Swami_ISKCON_Chowpatty.mp3", "2013-01-20_SB-10-14-61_-_Charming_contrasts_in_Krishna_Lila_-_Radhanath_Swami_ISKCON_Chowpatty.mp3")</f>
        <v>2013-01-20_SB-10-14-61_-_Charming_contrasts_in_Krishna_Lila_-_Radhanath_Swami_ISKCON_Chowpatty.mp3</v>
      </c>
      <c r="D2739" s="11"/>
      <c r="E2739" s="11"/>
    </row>
    <row r="2740" spans="1:5">
      <c r="A2740" s="12" t="s">
        <v>12462</v>
      </c>
      <c r="B2740" s="12" t="s">
        <v>15491</v>
      </c>
      <c r="C2740" s="13" t="str">
        <f>HYPERLINK("https://audio.iskcondesiretree.com/02_-_ISKCON_Swamis/ISKCON_Swamis_-_R_to_Y/His_Holiness_Radhanath_Swami/Lectures/00_-_Year_wise/Devotional_Nectar_-_2013/2013-01-26_Festivals_-_Pushya_Abhishek_Lecture_-_Radhanath_Swami_ISKCON_Chowpatty.mp3", "2013-01-26_Festivals_-_Pushya_Abhishek_Lecture_-_Radhanath_Swami_ISKCON_Chowpatty.mp3")</f>
        <v>2013-01-26_Festivals_-_Pushya_Abhishek_Lecture_-_Radhanath_Swami_ISKCON_Chowpatty.mp3</v>
      </c>
      <c r="D2740" s="11"/>
      <c r="E2740" s="11"/>
    </row>
    <row r="2741" spans="1:5">
      <c r="A2741" s="12" t="s">
        <v>12462</v>
      </c>
      <c r="B2741" s="12" t="s">
        <v>15492</v>
      </c>
      <c r="C2741" s="13" t="str">
        <f>HYPERLINK("https://audio.iskcondesiretree.com/02_-_ISKCON_Swamis/ISKCON_Swamis_-_R_to_Y/His_Holiness_Radhanath_Swami/Lectures/00_-_Year_wise/Devotional_Nectar_-_2013/2013-02-03_SB_10-15-20_-_Pleasing_oneself_to_Please_Krishna_-_Radhanath_Swami_ISKCON_Chowpatty.mp3", "2013-02-03_SB_10-15-20_-_Pleasing_oneself_to_Please_Krishna_-_Radhanath_Swami_ISKCON_Chowpatty.mp3")</f>
        <v>2013-02-03_SB_10-15-20_-_Pleasing_oneself_to_Please_Krishna_-_Radhanath_Swami_ISKCON_Chowpatty.mp3</v>
      </c>
      <c r="D2741" s="11"/>
      <c r="E2741" s="11"/>
    </row>
    <row r="2742" spans="1:5">
      <c r="A2742" s="12" t="s">
        <v>12462</v>
      </c>
      <c r="B2742" s="12" t="s">
        <v>15493</v>
      </c>
      <c r="C2742" s="13" t="str">
        <f>HYPERLINK("https://audio.iskcondesiretree.com/02_-_ISKCON_Swamis/ISKCON_Swamis_-_R_to_Y/His_Holiness_Radhanath_Swami/Lectures/00_-_Year_wise/Devotional_Nectar_-_2013/2013-03-17_SB_10-16-42-44_-_Power_of_Devotees_Association_-_Radhanath_Swami_ISKCON_Chowpatty.mp3", "2013-03-17_SB_10-16-42-44_-_Power_of_Devotees_Association_-_Radhanath_Swami_ISKCON_Chowpatty.mp3")</f>
        <v>2013-03-17_SB_10-16-42-44_-_Power_of_Devotees_Association_-_Radhanath_Swami_ISKCON_Chowpatty.mp3</v>
      </c>
      <c r="D2742" s="11"/>
      <c r="E2742" s="11"/>
    </row>
    <row r="2743" spans="1:5">
      <c r="A2743" s="12" t="s">
        <v>12462</v>
      </c>
      <c r="B2743" s="12" t="s">
        <v>15494</v>
      </c>
      <c r="C2743" s="13" t="str">
        <f>HYPERLINK("https://audio.iskcondesiretree.com/02_-_ISKCON_Swamis/ISKCON_Swamis_-_R_to_Y/His_Holiness_Radhanath_Swami/Lectures/00_-_Year_wise/Devotional_Nectar_-_2013/2013-03-27_Festivals_-_Gaura_Poornima_-_Radhanath_Swami_ISKCON_Bhaktivedanta_Manor.mp3", "2013-03-27_Festivals_-_Gaura_Poornima_-_Radhanath_Swami_ISKCON_Bhaktivedanta_Manor.mp3")</f>
        <v>2013-03-27_Festivals_-_Gaura_Poornima_-_Radhanath_Swami_ISKCON_Bhaktivedanta_Manor.mp3</v>
      </c>
      <c r="D2743" s="11"/>
      <c r="E2743" s="11"/>
    </row>
    <row r="2744" spans="1:5">
      <c r="A2744" s="12" t="s">
        <v>12462</v>
      </c>
      <c r="B2744" s="12" t="s">
        <v>15495</v>
      </c>
      <c r="C2744" s="13" t="str">
        <f>HYPERLINK("https://audio.iskcondesiretree.com/02_-_ISKCON_Swamis/ISKCON_Swamis_-_R_to_Y/His_Holiness_Radhanath_Swami/Lectures/00_-_Year_wise/Devotional_Nectar_-_2013/2013-04-28_Various_-_Sunday_Feast_Lecture_-_Radhanath_Swami_ISKCON_Chicago.mp3", "2013-04-28_Various_-_Sunday_Feast_Lecture_-_Radhanath_Swami_ISKCON_Chicago.mp3")</f>
        <v>2013-04-28_Various_-_Sunday_Feast_Lecture_-_Radhanath_Swami_ISKCON_Chicago.mp3</v>
      </c>
      <c r="D2744" s="11"/>
      <c r="E2744" s="11"/>
    </row>
    <row r="2745" spans="1:5">
      <c r="A2745" s="12" t="s">
        <v>12462</v>
      </c>
      <c r="B2745" s="12" t="s">
        <v>15496</v>
      </c>
      <c r="C2745" s="13" t="str">
        <f>HYPERLINK("https://audio.iskcondesiretree.com/02_-_ISKCON_Swamis/ISKCON_Swamis_-_R_to_Y/His_Holiness_Radhanath_Swami/Lectures/00_-_Year_wise/Devotional_Nectar_-_2013/2013-05-23_Various_-_Disappearance_of_Jayananda_Prabhu_-_Radhanath_Swami_ISKCON_Alachua.mp3", "2013-05-23_Various_-_Disappearance_of_Jayananda_Prabhu_-_Radhanath_Swami_ISKCON_Alachua.mp3")</f>
        <v>2013-05-23_Various_-_Disappearance_of_Jayananda_Prabhu_-_Radhanath_Swami_ISKCON_Alachua.mp3</v>
      </c>
      <c r="D2745" s="11"/>
      <c r="E2745" s="11"/>
    </row>
    <row r="2746" spans="1:5">
      <c r="A2746" s="12" t="s">
        <v>12462</v>
      </c>
      <c r="B2746" s="12" t="s">
        <v>15497</v>
      </c>
      <c r="C2746" s="13" t="str">
        <f>HYPERLINK("https://audio.iskcondesiretree.com/02_-_ISKCON_Swamis/ISKCON_Swamis_-_R_to_Y/His_Holiness_Radhanath_Swami/Lectures/00_-_Year_wise/Devotional_Nectar_-_2013/2013-05-24_SB_07-05-30_-_Appearance_Day_of_Narsimha_Deva_-_Radhanath_Swami_ISKCON_Alachua.mp3", "2013-05-24_SB_07-05-30_-_Appearance_Day_of_Narsimha_Deva_-_Radhanath_Swami_ISKCON_Alachua.mp3")</f>
        <v>2013-05-24_SB_07-05-30_-_Appearance_Day_of_Narsimha_Deva_-_Radhanath_Swami_ISKCON_Alachua.mp3</v>
      </c>
      <c r="D2746" s="11"/>
      <c r="E2746" s="11"/>
    </row>
    <row r="2747" spans="1:5">
      <c r="A2747" s="12" t="s">
        <v>12462</v>
      </c>
      <c r="B2747" s="12" t="s">
        <v>15498</v>
      </c>
      <c r="C2747" s="13" t="str">
        <f>HYPERLINK("https://audio.iskcondesiretree.com/02_-_ISKCON_Swamis/ISKCON_Swamis_-_R_to_Y/His_Holiness_Radhanath_Swami/Lectures/00_-_Year_wise/Devotional_Nectar_-_2013/2013-06-04_SB_07-10-08_-_Radhanath_Swami_Los_Angeles.mp3", "2013-06-04_SB_07-10-08_-_Radhanath_Swami_Los_Angeles.mp3")</f>
        <v>2013-06-04_SB_07-10-08_-_Radhanath_Swami_Los_Angeles.mp3</v>
      </c>
      <c r="D2747" s="11"/>
      <c r="E2747" s="11"/>
    </row>
    <row r="2748" spans="1:5">
      <c r="A2748" s="12" t="s">
        <v>12462</v>
      </c>
      <c r="B2748" s="12" t="s">
        <v>15499</v>
      </c>
      <c r="C2748" s="13" t="str">
        <f>HYPERLINK("https://audio.iskcondesiretree.com/02_-_ISKCON_Swamis/ISKCON_Swamis_-_R_to_Y/His_Holiness_Radhanath_Swami/Lectures/00_-_Year_wise/Devotional_Nectar_-_2013/2013-06-04_Various_-_Moving_story_of_Sindhutai_Sapkal_-_Radhanath_Swami_Narayan_Mandir.mp3", "2013-06-04_Various_-_Moving_story_of_Sindhutai_Sapkal_-_Radhanath_Swami_Narayan_Mandir.mp3")</f>
        <v>2013-06-04_Various_-_Moving_story_of_Sindhutai_Sapkal_-_Radhanath_Swami_Narayan_Mandir.mp3</v>
      </c>
      <c r="D2748" s="11"/>
      <c r="E2748" s="11"/>
    </row>
    <row r="2749" spans="1:5">
      <c r="A2749" s="12" t="s">
        <v>12462</v>
      </c>
      <c r="B2749" s="12" t="s">
        <v>15500</v>
      </c>
      <c r="C2749" s="13" t="str">
        <f>HYPERLINK("https://audio.iskcondesiretree.com/02_-_ISKCON_Swamis/ISKCON_Swamis_-_R_to_Y/His_Holiness_Radhanath_Swami/Lectures/00_-_Year_wise/Devotional_Nectar_-_2013/2013-06-15_Various_-_Initiation_Ceremony_-_Radhanath_Swami_ISKCON_Silicon_Valley.mp3", "2013-06-15_Various_-_Initiation_Ceremony_-_Radhanath_Swami_ISKCON_Silicon_Valley.mp3")</f>
        <v>2013-06-15_Various_-_Initiation_Ceremony_-_Radhanath_Swami_ISKCON_Silicon_Valley.mp3</v>
      </c>
      <c r="D2749" s="11"/>
      <c r="E2749" s="11"/>
    </row>
    <row r="2750" spans="1:5">
      <c r="A2750" s="12" t="s">
        <v>12462</v>
      </c>
      <c r="B2750" s="12" t="s">
        <v>15501</v>
      </c>
      <c r="C2750" s="13" t="str">
        <f>HYPERLINK("https://audio.iskcondesiretree.com/02_-_ISKCON_Swamis/ISKCON_Swamis_-_R_to_Y/His_Holiness_Radhanath_Swami/Lectures/00_-_Year_wise/Devotional_Nectar_-_2013/2013-06-16_Various_-_Raghunatha_Dasa_Goswami_-_Radhanath_Swami_ISKCON_Silicon_Valley.mp3", "2013-06-16_Various_-_Raghunatha_Dasa_Goswami_-_Radhanath_Swami_ISKCON_Silicon_Valley.mp3")</f>
        <v>2013-06-16_Various_-_Raghunatha_Dasa_Goswami_-_Radhanath_Swami_ISKCON_Silicon_Valley.mp3</v>
      </c>
      <c r="D2750" s="11"/>
      <c r="E2750" s="11"/>
    </row>
    <row r="2751" spans="1:5">
      <c r="A2751" s="12" t="s">
        <v>12462</v>
      </c>
      <c r="B2751" s="12" t="s">
        <v>15502</v>
      </c>
      <c r="C2751" s="13" t="str">
        <f>HYPERLINK("https://audio.iskcondesiretree.com/02_-_ISKCON_Swamis/ISKCON_Swamis_-_R_to_Y/His_Holiness_Radhanath_Swami/Lectures/00_-_Year_wise/Devotional_Nectar_-_2013/2013-07-20_SB-10-22-27-28_-_Breaking_the_wall_of_False_Ego_-_Radhanath_Swami_ISKCON_Chowpatty.mp3", "2013-07-20_SB-10-22-27-28_-_Breaking_the_wall_of_False_Ego_-_Radhanath_Swami_ISKCON_Chowpatty.mp3")</f>
        <v>2013-07-20_SB-10-22-27-28_-_Breaking_the_wall_of_False_Ego_-_Radhanath_Swami_ISKCON_Chowpatty.mp3</v>
      </c>
      <c r="D2751" s="11"/>
      <c r="E2751" s="11"/>
    </row>
    <row r="2752" spans="1:5">
      <c r="A2752" s="12" t="s">
        <v>12462</v>
      </c>
      <c r="B2752" s="12" t="s">
        <v>15503</v>
      </c>
      <c r="C2752" s="13" t="str">
        <f>HYPERLINK("https://audio.iskcondesiretree.com/02_-_ISKCON_Swamis/ISKCON_Swamis_-_R_to_Y/His_Holiness_Radhanath_Swami/Lectures/00_-_Year_wise/Devotional_Nectar_-_2013/2013-07-27_Prerna_Festival-Engineering-The_Better_World_-_Radhanath_Swami_ISKCON_Chowpatty.mp3", "2013-07-27_Prerna_Festival-Engineering-The_Better_World_-_Radhanath_Swami_ISKCON_Chowpatty.mp3")</f>
        <v>2013-07-27_Prerna_Festival-Engineering-The_Better_World_-_Radhanath_Swami_ISKCON_Chowpatty.mp3</v>
      </c>
      <c r="D2752" s="11"/>
      <c r="E2752" s="11"/>
    </row>
    <row r="2753" spans="1:5">
      <c r="A2753" s="12" t="s">
        <v>12462</v>
      </c>
      <c r="B2753" s="12" t="s">
        <v>15504</v>
      </c>
      <c r="C2753" s="13" t="str">
        <f>HYPERLINK("https://audio.iskcondesiretree.com/02_-_ISKCON_Swamis/ISKCON_Swamis_-_R_to_Y/His_Holiness_Radhanath_Swami/Lectures/00_-_Year_wise/Devotional_Nectar_-_2013/2013-08-09_Various_-_Initiation_Lecture_-_Radhanath_Sw_Gita_Nagari.mp3", "2013-08-09_Various_-_Initiation_Lecture_-_Radhanath_Sw_Gita_Nagari.mp3")</f>
        <v>2013-08-09_Various_-_Initiation_Lecture_-_Radhanath_Sw_Gita_Nagari.mp3</v>
      </c>
      <c r="D2753" s="11"/>
      <c r="E2753" s="11"/>
    </row>
    <row r="2754" spans="1:5">
      <c r="A2754" s="12" t="s">
        <v>12462</v>
      </c>
      <c r="B2754" s="12" t="s">
        <v>15505</v>
      </c>
      <c r="C2754" s="13" t="str">
        <f>HYPERLINK("https://audio.iskcondesiretree.com/02_-_ISKCON_Swamis/ISKCON_Swamis_-_R_to_Y/His_Holiness_Radhanath_Swami/Lectures/00_-_Year_wise/Devotional_Nectar_-_2013/2013-08-10_Various_-_Everyone_is_happy_in_Vrindavan_-_Radhanath_Sw_Gita_Nagari.mp3", "2013-08-10_Various_-_Everyone_is_happy_in_Vrindavan_-_Radhanath_Sw_Gita_Nagari.mp3")</f>
        <v>2013-08-10_Various_-_Everyone_is_happy_in_Vrindavan_-_Radhanath_Sw_Gita_Nagari.mp3</v>
      </c>
      <c r="D2754" s="11"/>
      <c r="E2754" s="11"/>
    </row>
    <row r="2755" spans="1:5">
      <c r="A2755" s="12" t="s">
        <v>12462</v>
      </c>
      <c r="B2755" s="12" t="s">
        <v>15506</v>
      </c>
      <c r="C2755" s="13" t="str">
        <f>HYPERLINK("https://audio.iskcondesiretree.com/02_-_ISKCON_Swamis/ISKCON_Swamis_-_R_to_Y/His_Holiness_Radhanath_Swami/Lectures/00_-_Year_wise/Devotional_Nectar_-_2013/2013-08-11_Various_-_Lord_Chaitanya%27s_Absorption_-_Radhanath_Sw_Gita_Nagari.mp3", "2013-08-11_Various_-_Lord_Chaitanya%27s_Absorption_-_Radhanath_Sw_Gita_Nagari.mp3")</f>
        <v>2013-08-11_Various_-_Lord_Chaitanya%27s_Absorption_-_Radhanath_Sw_Gita_Nagari.mp3</v>
      </c>
      <c r="D2755" s="11"/>
      <c r="E2755" s="11"/>
    </row>
    <row r="2756" spans="1:5">
      <c r="A2756" s="12" t="s">
        <v>12462</v>
      </c>
      <c r="B2756" s="12" t="s">
        <v>15507</v>
      </c>
      <c r="C2756" s="13" t="str">
        <f>HYPERLINK("https://audio.iskcondesiretree.com/02_-_ISKCON_Swamis/ISKCON_Swamis_-_R_to_Y/His_Holiness_Radhanath_Swami/Lectures/00_-_Year_wise/Devotional_Nectar_-_2013/2013-09-13_Festivals_-_Radhashtami_Lecture_-_Radhanatha_Swami_Bhaktivedanta_Manor.mp3", "2013-09-13_Festivals_-_Radhashtami_Lecture_-_Radhanatha_Swami_Bhaktivedanta_Manor.mp3")</f>
        <v>2013-09-13_Festivals_-_Radhashtami_Lecture_-_Radhanatha_Swami_Bhaktivedanta_Manor.mp3</v>
      </c>
      <c r="D2756" s="11"/>
      <c r="E2756" s="11"/>
    </row>
    <row r="2757" spans="1:5">
      <c r="A2757" s="12" t="s">
        <v>12462</v>
      </c>
      <c r="B2757" s="12" t="s">
        <v>15508</v>
      </c>
      <c r="C2757" s="13" t="str">
        <f>HYPERLINK("https://audio.iskcondesiretree.com/02_-_ISKCON_Swamis/ISKCON_Swamis_-_R_to_Y/His_Holiness_Radhanath_Swami/Lectures/00_-_Year_wise/Devotional_Nectar_-_2013/2013-10-06_Various_-_Sunday_Feast-%20Servant_of_the_Servant_-_Radhanath_Swami_ISKCON_Slovenia.mp3", "2013-10-06_Various_-_Sunday_Feast-%20Servant_of_the_Servant_-_Radhanath_Swami_ISKCON_Slovenia.mp3")</f>
        <v>2013-10-06_Various_-_Sunday_Feast-%20Servant_of_the_Servant_-_Radhanath_Swami_ISKCON_Slovenia.mp3</v>
      </c>
      <c r="D2757" s="11"/>
      <c r="E2757" s="11"/>
    </row>
    <row r="2758" spans="1:5">
      <c r="A2758" s="12" t="s">
        <v>12462</v>
      </c>
      <c r="B2758" s="12" t="s">
        <v>15509</v>
      </c>
      <c r="C2758" s="13" t="str">
        <f>HYPERLINK("https://audio.iskcondesiretree.com/02_-_ISKCON_Swamis/ISKCON_Swamis_-_R_to_Y/His_Holiness_Radhanath_Swami/Lectures/00_-_Year_wise/Devotional_Nectar_-_2013/2013-10-24_Various_-_Vegetarian_Society_-_Radhanath_Swami_Mumbai.mp3", "2013-10-24_Various_-_Vegetarian_Society_-_Radhanath_Swami_Mumbai.mp3")</f>
        <v>2013-10-24_Various_-_Vegetarian_Society_-_Radhanath_Swami_Mumbai.mp3</v>
      </c>
      <c r="D2758" s="11"/>
      <c r="E2758" s="11"/>
    </row>
    <row r="2759" spans="1:5">
      <c r="A2759" s="12" t="s">
        <v>12462</v>
      </c>
      <c r="B2759" s="12" t="s">
        <v>15510</v>
      </c>
      <c r="C2759" s="13" t="str">
        <f>HYPERLINK("https://audio.iskcondesiretree.com/02_-_ISKCON_Swamis/ISKCON_Swamis_-_R_to_Y/His_Holiness_Radhanath_Swami/Lectures/00_-_Year_wise/Devotional_Nectar_-_2013/2013-12-17_SB-08-18-20_-_Radhanath_Swami_Bhaktivedanta_Manor.mp3", "2013-12-17_SB-08-18-20_-_Radhanath_Swami_Bhaktivedanta_Manor.mp3")</f>
        <v>2013-12-17_SB-08-18-20_-_Radhanath_Swami_Bhaktivedanta_Manor.mp3</v>
      </c>
      <c r="D2759" s="11"/>
      <c r="E2759" s="11"/>
    </row>
    <row r="2760" spans="1:5">
      <c r="A2760" s="12" t="s">
        <v>12462</v>
      </c>
      <c r="B2760" s="12" t="s">
        <v>15511</v>
      </c>
      <c r="C2760" s="13" t="str">
        <f>HYPERLINK("https://audio.iskcondesiretree.com/02_-_ISKCON_Swamis/ISKCON_Swamis_-_R_to_Y/His_Holiness_Radhanath_Swami/Lectures/00_-_Year_wise/Devotional_Nectar_-_2013/2013-12-20_Various_-_What_Is_A_Real_Vision_-_Radhanath_Swami_Pune.mp3", "2013-12-20_Various_-_What_Is_A_Real_Vision_-_Radhanath_Swami_Pune.mp3")</f>
        <v>2013-12-20_Various_-_What_Is_A_Real_Vision_-_Radhanath_Swami_Pune.mp3</v>
      </c>
      <c r="D2760" s="11"/>
      <c r="E2760" s="11"/>
    </row>
    <row r="2761" spans="1:5">
      <c r="A2761" s="12" t="s">
        <v>12462</v>
      </c>
      <c r="B2761" s="12" t="s">
        <v>15512</v>
      </c>
      <c r="C2761" s="13" t="str">
        <f>HYPERLINK("https://audio.iskcondesiretree.com/02_-_ISKCON_Swamis/ISKCON_Swamis_-_R_to_Y/His_Holiness_Radhanath_Swami/Lectures/00_-_Year_wise/Devotional_Nectar_-_2013/2013-12-21_SB_07-05-32_-_Simplicity_Enables_to_Receive_Grace_of_Krishna_-_Radhanath_Swami_Pune.mp3", "2013-12-21_SB_07-05-32_-_Simplicity_Enables_to_Receive_Grace_of_Krishna_-_Radhanath_Swami_Pune.mp3")</f>
        <v>2013-12-21_SB_07-05-32_-_Simplicity_Enables_to_Receive_Grace_of_Krishna_-_Radhanath_Swami_Pune.mp3</v>
      </c>
      <c r="D2761" s="11"/>
      <c r="E2761" s="11"/>
    </row>
    <row r="2762" spans="1:5">
      <c r="A2762" s="12" t="s">
        <v>12462</v>
      </c>
      <c r="B2762" s="12" t="s">
        <v>15513</v>
      </c>
      <c r="C2762" s="13" t="str">
        <f>HYPERLINK("https://audio.iskcondesiretree.com/02_-_ISKCON_Swamis/ISKCON_Swamis_-_R_to_Y/His_Holiness_Radhanath_Swami/Lectures/00_-_Year_wise/Devotional_Nectar_-_2013/2013-12-21_Various_-_Real_Transformation_is_Awakening_of_Love_-_Radhanath_Swami_Pune.mp3", "2013-12-21_Various_-_Real_Transformation_is_Awakening_of_Love_-_Radhanath_Swami_Pune.mp3")</f>
        <v>2013-12-21_Various_-_Real_Transformation_is_Awakening_of_Love_-_Radhanath_Swami_Pune.mp3</v>
      </c>
      <c r="D2762" s="11"/>
      <c r="E2762" s="11"/>
    </row>
    <row r="2763" spans="1:5">
      <c r="A2763" s="12" t="s">
        <v>12462</v>
      </c>
      <c r="B2763" s="12" t="s">
        <v>15514</v>
      </c>
      <c r="C2763" s="13" t="str">
        <f>HYPERLINK("https://audio.iskcondesiretree.com/02_-_ISKCON_Swamis/ISKCON_Swamis_-_R_to_Y/His_Holiness_Radhanath_Swami/Lectures/00_-_Year_wise/Devotional_Nectar_-_2013/2013-12-26_Various_-_Returning_to_Patna_After_42_Years_-_Radhanath_Swami_Patna.mp3", "2013-12-26_Various_-_Returning_to_Patna_After_42_Years_-_Radhanath_Swami_Patna.mp3")</f>
        <v>2013-12-26_Various_-_Returning_to_Patna_After_42_Years_-_Radhanath_Swami_Patna.mp3</v>
      </c>
      <c r="D2763" s="11"/>
      <c r="E2763" s="11"/>
    </row>
    <row r="2764" spans="1:5">
      <c r="A2764" s="12" t="s">
        <v>12462</v>
      </c>
      <c r="B2764" s="12" t="s">
        <v>15515</v>
      </c>
      <c r="C2764" s="13" t="str">
        <f>HYPERLINK("https://audio.iskcondesiretree.com/02_-_ISKCON_Swamis/ISKCON_Swamis_-_R_to_Y/His_Holiness_Radhanath_Swami/Lectures/00_-_Year_wise/Devotional_Nectar_-_2014/2014-01-03_Various_-_Striking_The_Balance_In_Life_-_Radhanath_Swami.mp3", "2014-01-03_Various_-_Striking_The_Balance_In_Life_-_Radhanath_Swami.mp3")</f>
        <v>2014-01-03_Various_-_Striking_The_Balance_In_Life_-_Radhanath_Swami.mp3</v>
      </c>
      <c r="D2764" s="11"/>
      <c r="E2764" s="11"/>
    </row>
    <row r="2765" spans="1:5">
      <c r="A2765" s="12" t="s">
        <v>12462</v>
      </c>
      <c r="B2765" s="12" t="s">
        <v>15516</v>
      </c>
      <c r="C2765" s="13" t="str">
        <f>HYPERLINK("https://audio.iskcondesiretree.com/02_-_ISKCON_Swamis/ISKCON_Swamis_-_R_to_Y/His_Holiness_Radhanath_Swami/Lectures/00_-_Year_wise/Devotional_Nectar_-_2014/2014-01-04_SB_10-34-16-20_-_Snake_of_False_Ego%20_-_Radhanath_Swami_ISKCON_Chowpatty.mp3", "2014-01-04_SB_10-34-16-20_-_Snake_of_False_Ego%20_-_Radhanath_Swami_ISKCON_Chowpatty.mp3")</f>
        <v>2014-01-04_SB_10-34-16-20_-_Snake_of_False_Ego%20_-_Radhanath_Swami_ISKCON_Chowpatty.mp3</v>
      </c>
      <c r="D2765" s="11"/>
      <c r="E2765" s="11"/>
    </row>
    <row r="2766" spans="1:5">
      <c r="A2766" s="12" t="s">
        <v>12462</v>
      </c>
      <c r="B2766" s="12" t="s">
        <v>15517</v>
      </c>
      <c r="C2766" s="13" t="str">
        <f>HYPERLINK("https://audio.iskcondesiretree.com/02_-_ISKCON_Swamis/ISKCON_Swamis_-_R_to_Y/His_Holiness_Radhanath_Swami/Lectures/00_-_Year_wise/Devotional_Nectar_-_2014/2014-01-04_Various_-_Prerna_Festival-The_Power_To_Change_-_Radhanath_Swami_ISKCON_Chowpatty.mp3", "2014-01-04_Various_-_Prerna_Festival-The_Power_To_Change_-_Radhanath_Swami_ISKCON_Chowpatty.mp3")</f>
        <v>2014-01-04_Various_-_Prerna_Festival-The_Power_To_Change_-_Radhanath_Swami_ISKCON_Chowpatty.mp3</v>
      </c>
      <c r="D2766" s="11"/>
      <c r="E2766" s="11"/>
    </row>
    <row r="2767" spans="1:5">
      <c r="A2767" s="12" t="s">
        <v>12462</v>
      </c>
      <c r="B2767" s="12" t="s">
        <v>15518</v>
      </c>
      <c r="C2767" s="13" t="str">
        <f>HYPERLINK("https://audio.iskcondesiretree.com/02_-_ISKCON_Swamis/ISKCON_Swamis_-_R_to_Y/His_Holiness_Radhanath_Swami/Lectures/00_-_Year_wise/Devotional_Nectar_-_2014/2014-01-05_Various_-_Sunday_Feast-Glories_of_Jiva_Goswami_-_Radhanath_Swami_ISKCON_Chowpatty.mp3", "2014-01-05_Various_-_Sunday_Feast-Glories_of_Jiva_Goswami_-_Radhanath_Swami_ISKCON_Chowpatty.mp3")</f>
        <v>2014-01-05_Various_-_Sunday_Feast-Glories_of_Jiva_Goswami_-_Radhanath_Swami_ISKCON_Chowpatty.mp3</v>
      </c>
      <c r="D2767" s="11"/>
      <c r="E2767" s="11"/>
    </row>
    <row r="2768" spans="1:5">
      <c r="A2768" s="12" t="s">
        <v>12462</v>
      </c>
      <c r="B2768" s="12" t="s">
        <v>15519</v>
      </c>
      <c r="C2768" s="13" t="str">
        <f>HYPERLINK("https://audio.iskcondesiretree.com/02_-_ISKCON_Swamis/ISKCON_Swamis_-_R_to_Y/His_Holiness_Radhanath_Swami/Lectures/00_-_Year_wise/Devotional_Nectar_-_2014/2014-01-06_Various_-_Sankirtan_Festival_-_Radhanath_Swami.mp3", "2014-01-06_Various_-_Sankirtan_Festival_-_Radhanath_Swami.mp3")</f>
        <v>2014-01-06_Various_-_Sankirtan_Festival_-_Radhanath_Swami.mp3</v>
      </c>
      <c r="D2768" s="11"/>
      <c r="E2768" s="11"/>
    </row>
    <row r="2769" spans="1:5">
      <c r="A2769" s="12" t="s">
        <v>12462</v>
      </c>
      <c r="B2769" s="12" t="s">
        <v>15520</v>
      </c>
      <c r="C2769" s="13" t="str">
        <f>HYPERLINK("https://audio.iskcondesiretree.com/02_-_ISKCON_Swamis/ISKCON_Swamis_-_R_to_Y/His_Holiness_Radhanath_Swami/Lectures/00_-_Year_wise/Devotional_Nectar_-_2014/2014-01-10_Festivals_-_Bhaktivedanta_Hospital_Annual_Day_-_Radhanath_Swami_Mira_Road.mp3", "2014-01-10_Festivals_-_Bhaktivedanta_Hospital_Annual_Day_-_Radhanath_Swami_Mira_Road.mp3")</f>
        <v>2014-01-10_Festivals_-_Bhaktivedanta_Hospital_Annual_Day_-_Radhanath_Swami_Mira_Road.mp3</v>
      </c>
      <c r="D2769" s="11"/>
      <c r="E2769" s="11"/>
    </row>
    <row r="2770" spans="1:5">
      <c r="A2770" s="12" t="s">
        <v>12462</v>
      </c>
      <c r="B2770" s="12" t="s">
        <v>15521</v>
      </c>
      <c r="C2770" s="13" t="str">
        <f>HYPERLINK("https://audio.iskcondesiretree.com/02_-_ISKCON_Swamis/ISKCON_Swamis_-_R_to_Y/His_Holiness_Radhanath_Swami/Lectures/00_-_Year_wise/Devotional_Nectar_-_2014/2014-01-11_SB_10-35-04-05_-_Sweetness_of_Krishna%27s_Love_-_Radhanath_Swami_ISKCON_Chowpatty.mp3", "2014-01-11_SB_10-35-04-05_-_Sweetness_of_Krishna%27s_Love_-_Radhanath_Swami_ISKCON_Chowpatty.mp3")</f>
        <v>2014-01-11_SB_10-35-04-05_-_Sweetness_of_Krishna%27s_Love_-_Radhanath_Swami_ISKCON_Chowpatty.mp3</v>
      </c>
      <c r="D2770" s="11"/>
      <c r="E2770" s="11"/>
    </row>
    <row r="2771" spans="1:5">
      <c r="A2771" s="12" t="s">
        <v>12462</v>
      </c>
      <c r="B2771" s="12" t="s">
        <v>15522</v>
      </c>
      <c r="C2771" s="13" t="str">
        <f>HYPERLINK("https://audio.iskcondesiretree.com/02_-_ISKCON_Swamis/ISKCON_Swamis_-_R_to_Y/His_Holiness_Radhanath_Swami/Lectures/00_-_Year_wise/Devotional_Nectar_-_2014/2014-01-11_Various_-_Receiving_Grace_By_Becoming_An_Instrument_of_God_-_Radhanath_Swami_Wada.mp3", "2014-01-11_Various_-_Receiving_Grace_By_Becoming_An_Instrument_of_God_-_Radhanath_Swami_Wada.mp3")</f>
        <v>2014-01-11_Various_-_Receiving_Grace_By_Becoming_An_Instrument_of_God_-_Radhanath_Swami_Wada.mp3</v>
      </c>
      <c r="D2771" s="11"/>
      <c r="E2771" s="11"/>
    </row>
    <row r="2772" spans="1:5">
      <c r="A2772" s="12" t="s">
        <v>12462</v>
      </c>
      <c r="B2772" s="12" t="s">
        <v>15523</v>
      </c>
      <c r="C2772" s="13" t="str">
        <f>HYPERLINK("https://audio.iskcondesiretree.com/02_-_ISKCON_Swamis/ISKCON_Swamis_-_R_to_Y/His_Holiness_Radhanath_Swami/Lectures/00_-_Year_wise/Devotional_Nectar_-_2014/2014-01-12_Various_-_Being_Content_Is_A_Sign_Of_Simplicity_-_Radhanath_Swami_Wada.mp3", "2014-01-12_Various_-_Being_Content_Is_A_Sign_Of_Simplicity_-_Radhanath_Swami_Wada.mp3")</f>
        <v>2014-01-12_Various_-_Being_Content_Is_A_Sign_Of_Simplicity_-_Radhanath_Swami_Wada.mp3</v>
      </c>
      <c r="D2772" s="11"/>
      <c r="E2772" s="11"/>
    </row>
    <row r="2773" spans="1:5">
      <c r="A2773" s="12" t="s">
        <v>12462</v>
      </c>
      <c r="B2773" s="12" t="s">
        <v>15524</v>
      </c>
      <c r="C2773" s="13" t="str">
        <f>HYPERLINK("https://audio.iskcondesiretree.com/02_-_ISKCON_Swamis/ISKCON_Swamis_-_R_to_Y/His_Holiness_Radhanath_Swami/Lectures/00_-_Year_wise/Devotional_Nectar_-_2014/2014-01-12_Various_-_Our_Contribution_to_Save_the_Environment_-_Radhanath_Swami_Wada.mp3", "2014-01-12_Various_-_Our_Contribution_to_Save_the_Environment_-_Radhanath_Swami_Wada.mp3")</f>
        <v>2014-01-12_Various_-_Our_Contribution_to_Save_the_Environment_-_Radhanath_Swami_Wada.mp3</v>
      </c>
      <c r="D2773" s="11"/>
      <c r="E2773" s="11"/>
    </row>
    <row r="2774" spans="1:5">
      <c r="A2774" s="12" t="s">
        <v>12462</v>
      </c>
      <c r="B2774" s="12" t="s">
        <v>15525</v>
      </c>
      <c r="C2774" s="13" t="str">
        <f>HYPERLINK("https://audio.iskcondesiretree.com/02_-_ISKCON_Swamis/ISKCON_Swamis_-_R_to_Y/His_Holiness_Radhanath_Swami/Lectures/00_-_Year_wise/Devotional_Nectar_-_2014/2014-01-14_Various_-_Pastimes_of_Sridhar_Kolavecha_-_Radhanath_Swami_Wada.mp3", "2014-01-14_Various_-_Pastimes_of_Sridhar_Kolavecha_-_Radhanath_Swami_Wada.mp3")</f>
        <v>2014-01-14_Various_-_Pastimes_of_Sridhar_Kolavecha_-_Radhanath_Swami_Wada.mp3</v>
      </c>
      <c r="D2774" s="11"/>
      <c r="E2774" s="11"/>
    </row>
    <row r="2775" spans="1:5">
      <c r="A2775" s="12" t="s">
        <v>12462</v>
      </c>
      <c r="B2775" s="12" t="s">
        <v>15526</v>
      </c>
      <c r="C2775" s="13" t="str">
        <f>HYPERLINK("https://audio.iskcondesiretree.com/02_-_ISKCON_Swamis/ISKCON_Swamis_-_R_to_Y/His_Holiness_Radhanath_Swami/Lectures/00_-_Year_wise/Devotional_Nectar_-_2014/2014-01-15_Festivals_-_Anniversary_of_the_Juhu_Temple_Opening_-_Radhanath_Swami_ISKCON_Juhu.mp3", "2014-01-15_Festivals_-_Anniversary_of_the_Juhu_Temple_Opening_-_Radhanath_Swami_ISKCON_Juhu.mp3")</f>
        <v>2014-01-15_Festivals_-_Anniversary_of_the_Juhu_Temple_Opening_-_Radhanath_Swami_ISKCON_Juhu.mp3</v>
      </c>
      <c r="D2775" s="11"/>
      <c r="E2775" s="11"/>
    </row>
    <row r="2776" spans="1:5">
      <c r="A2776" s="12" t="s">
        <v>12462</v>
      </c>
      <c r="B2776" s="12" t="s">
        <v>15527</v>
      </c>
      <c r="C2776" s="13" t="str">
        <f>HYPERLINK("https://audio.iskcondesiretree.com/02_-_ISKCON_Swamis/ISKCON_Swamis_-_R_to_Y/His_Holiness_Radhanath_Swami/Lectures/00_-_Year_wise/Devotional_Nectar_-_2014/2014-01-16_SB_06-03-08_-_Radhanath_Swami_ISKCON_Juhu.mp3", "2014-01-16_SB_06-03-08_-_Radhanath_Swami_ISKCON_Juhu.mp3")</f>
        <v>2014-01-16_SB_06-03-08_-_Radhanath_Swami_ISKCON_Juhu.mp3</v>
      </c>
      <c r="D2776" s="11"/>
      <c r="E2776" s="11"/>
    </row>
    <row r="2777" spans="1:5">
      <c r="A2777" s="12" t="s">
        <v>12462</v>
      </c>
      <c r="B2777" s="12" t="s">
        <v>15528</v>
      </c>
      <c r="C2777" s="13" t="str">
        <f>HYPERLINK("https://audio.iskcondesiretree.com/02_-_ISKCON_Swamis/ISKCON_Swamis_-_R_to_Y/His_Holiness_Radhanath_Swami/Lectures/00_-_Year_wise/Devotional_Nectar_-_2014/2014-01-17_Various_-_Pallika_Dasi%27s_Memorial_Program_-_Radhanath_Swami_Mumbai.mp3", "2014-01-17_Various_-_Pallika_Dasi%27s_Memorial_Program_-_Radhanath_Swami_Mumbai.mp3")</f>
        <v>2014-01-17_Various_-_Pallika_Dasi%27s_Memorial_Program_-_Radhanath_Swami_Mumbai.mp3</v>
      </c>
      <c r="D2777" s="11"/>
      <c r="E2777" s="11"/>
    </row>
    <row r="2778" spans="1:5">
      <c r="A2778" s="12" t="s">
        <v>12462</v>
      </c>
      <c r="B2778" s="12" t="s">
        <v>15529</v>
      </c>
      <c r="C2778" s="13" t="str">
        <f>HYPERLINK("https://audio.iskcondesiretree.com/02_-_ISKCON_Swamis/ISKCON_Swamis_-_R_to_Y/His_Holiness_Radhanath_Swami/Lectures/00_-_Year_wise/Devotional_Nectar_-_2014/2014-01-17_Various_-_Pallika_Dasi%E2%80%99s_Memorial_Program_-_Radhanath_Swami_Mumbai.mp3", "2014-01-17_Various_-_Pallika_Dasi%E2%80%99s_Memorial_Program_-_Radhanath_Swami_Mumbai.mp3")</f>
        <v>2014-01-17_Various_-_Pallika_Dasi%E2%80%99s_Memorial_Program_-_Radhanath_Swami_Mumbai.mp3</v>
      </c>
      <c r="D2778" s="11"/>
      <c r="E2778" s="11"/>
    </row>
    <row r="2779" spans="1:5">
      <c r="A2779" s="12" t="s">
        <v>12462</v>
      </c>
      <c r="B2779" s="12" t="s">
        <v>15530</v>
      </c>
      <c r="C2779" s="13" t="str">
        <f>HYPERLINK("https://audio.iskcondesiretree.com/02_-_ISKCON_Swamis/ISKCON_Swamis_-_R_to_Y/His_Holiness_Radhanath_Swami/Lectures/00_-_Year_wise/Devotional_Nectar_-_2014/2014-01-18_Various_-_Celebrating_Festival_of_Unity_in_Diversity_-_Radhanath_Swami.mp3", "2014-01-18_Various_-_Celebrating_Festival_of_Unity_in_Diversity_-_Radhanath_Swami.mp3")</f>
        <v>2014-01-18_Various_-_Celebrating_Festival_of_Unity_in_Diversity_-_Radhanath_Swami.mp3</v>
      </c>
      <c r="D2779" s="11"/>
      <c r="E2779" s="11"/>
    </row>
    <row r="2780" spans="1:5">
      <c r="A2780" s="12" t="s">
        <v>12462</v>
      </c>
      <c r="B2780" s="12" t="s">
        <v>15531</v>
      </c>
      <c r="C2780" s="13" t="str">
        <f>HYPERLINK("https://audio.iskcondesiretree.com/02_-_ISKCON_Swamis/ISKCON_Swamis_-_R_to_Y/His_Holiness_Radhanath_Swami/Lectures/00_-_Year_wise/Devotional_Nectar_-_2014/2014-01-24_Various_-_Stories_From_Journey_Home_-_Radhanath_Swami.mp3", "2014-01-24_Various_-_Stories_From_Journey_Home_-_Radhanath_Swami.mp3")</f>
        <v>2014-01-24_Various_-_Stories_From_Journey_Home_-_Radhanath_Swami.mp3</v>
      </c>
      <c r="D2780" s="11"/>
      <c r="E2780" s="11"/>
    </row>
    <row r="2781" spans="1:5">
      <c r="A2781" s="12" t="s">
        <v>12462</v>
      </c>
      <c r="B2781" s="12" t="s">
        <v>15532</v>
      </c>
      <c r="C2781" s="13" t="str">
        <f>HYPERLINK("https://audio.iskcondesiretree.com/02_-_ISKCON_Swamis/ISKCON_Swamis_-_R_to_Y/His_Holiness_Radhanath_Swami/Lectures/00_-_Year_wise/Devotional_Nectar_-_2014/2014-01-25_Festivals_-_Pushya_Abhishek_Lecture_%28Evening%29_-_Radhanath_Swami_ISKCON_Chowpatty.mp3", "2014-01-25_Festivals_-_Pushya_Abhishek_Lecture_%28Evening%29_-_Radhanath_Swami_ISKCON_Chowpatty.mp3")</f>
        <v>2014-01-25_Festivals_-_Pushya_Abhishek_Lecture_%28Evening%29_-_Radhanath_Swami_ISKCON_Chowpatty.mp3</v>
      </c>
      <c r="D2781" s="11"/>
      <c r="E2781" s="11"/>
    </row>
    <row r="2782" spans="1:5">
      <c r="A2782" s="12" t="s">
        <v>12462</v>
      </c>
      <c r="B2782" s="12" t="s">
        <v>15533</v>
      </c>
      <c r="C2782" s="13" t="str">
        <f>HYPERLINK("https://audio.iskcondesiretree.com/02_-_ISKCON_Swamis/ISKCON_Swamis_-_R_to_Y/His_Holiness_Radhanath_Swami/Lectures/00_-_Year_wise/Devotional_Nectar_-_2014/2014-01-25_SB_10-36-05-15_-_Naam_Ruchi_and_Jivadaya_-_Radhanath_Swami_ISKCON_Chowpatty.mp3", "2014-01-25_SB_10-36-05-15_-_Naam_Ruchi_and_Jivadaya_-_Radhanath_Swami_ISKCON_Chowpatty.mp3")</f>
        <v>2014-01-25_SB_10-36-05-15_-_Naam_Ruchi_and_Jivadaya_-_Radhanath_Swami_ISKCON_Chowpatty.mp3</v>
      </c>
      <c r="D2782" s="11"/>
      <c r="E2782" s="11"/>
    </row>
    <row r="2783" spans="1:5">
      <c r="A2783" s="12" t="s">
        <v>12462</v>
      </c>
      <c r="B2783" s="12" t="s">
        <v>15534</v>
      </c>
      <c r="C2783" s="13" t="str">
        <f>HYPERLINK("https://audio.iskcondesiretree.com/02_-_ISKCON_Swamis/ISKCON_Swamis_-_R_to_Y/His_Holiness_Radhanath_Swami/Lectures/00_-_Year_wise/Devotional_Nectar_-_2014/2014-01-25_SB_10-36-05_-_Aristasura-The_Garb_of_False_Religion_-_Radhanath_Swami.mp3", "2014-01-25_SB_10-36-05_-_Aristasura-The_Garb_of_False_Religion_-_Radhanath_Swami.mp3")</f>
        <v>2014-01-25_SB_10-36-05_-_Aristasura-The_Garb_of_False_Religion_-_Radhanath_Swami.mp3</v>
      </c>
      <c r="D2783" s="11"/>
      <c r="E2783" s="11"/>
    </row>
    <row r="2784" spans="1:5">
      <c r="A2784" s="12" t="s">
        <v>12462</v>
      </c>
      <c r="B2784" s="12" t="s">
        <v>15535</v>
      </c>
      <c r="C2784" s="13" t="str">
        <f>HYPERLINK("https://audio.iskcondesiretree.com/02_-_ISKCON_Swamis/ISKCON_Swamis_-_R_to_Y/His_Holiness_Radhanath_Swami/Lectures/00_-_Year_wise/Devotional_Nectar_-_2014/2014-01-26_SB_10-36-16_-_Turning_Worst_Into_Worthy_-_Radhanath_Swami.mp3", "2014-01-26_SB_10-36-16_-_Turning_Worst_Into_Worthy_-_Radhanath_Swami.mp3")</f>
        <v>2014-01-26_SB_10-36-16_-_Turning_Worst_Into_Worthy_-_Radhanath_Swami.mp3</v>
      </c>
      <c r="D2784" s="11"/>
      <c r="E2784" s="11"/>
    </row>
    <row r="2785" spans="1:5">
      <c r="A2785" s="12" t="s">
        <v>12462</v>
      </c>
      <c r="B2785" s="12" t="s">
        <v>15536</v>
      </c>
      <c r="C2785" s="13" t="str">
        <f>HYPERLINK("https://audio.iskcondesiretree.com/02_-_ISKCON_Swamis/ISKCON_Swamis_-_R_to_Y/His_Holiness_Radhanath_Swami/Lectures/00_-_Year_wise/Devotional_Nectar_-_2014/2014-01-26_Various_-_What_Is_Real_Freedom_-_Radhanath_Swami.mp3", "2014-01-26_Various_-_What_Is_Real_Freedom_-_Radhanath_Swami.mp3")</f>
        <v>2014-01-26_Various_-_What_Is_Real_Freedom_-_Radhanath_Swami.mp3</v>
      </c>
      <c r="D2785" s="11"/>
      <c r="E2785" s="11"/>
    </row>
    <row r="2786" spans="1:5">
      <c r="A2786" s="12" t="s">
        <v>12462</v>
      </c>
      <c r="B2786" s="12" t="s">
        <v>15537</v>
      </c>
      <c r="C2786" s="13" t="str">
        <f>HYPERLINK("https://audio.iskcondesiretree.com/02_-_ISKCON_Swamis/ISKCON_Swamis_-_R_to_Y/His_Holiness_Radhanath_Swami/Lectures/00_-_Year_wise/Devotional_Nectar_-_2014/2014-01-29_Various_-_Addressed_to_Ukraine_Devotees_-_Radhanath_Swami.mp3", "2014-01-29_Various_-_Addressed_to_Ukraine_Devotees_-_Radhanath_Swami.mp3")</f>
        <v>2014-01-29_Various_-_Addressed_to_Ukraine_Devotees_-_Radhanath_Swami.mp3</v>
      </c>
      <c r="D2786" s="11"/>
      <c r="E2786" s="11"/>
    </row>
    <row r="2787" spans="1:5">
      <c r="A2787" s="12" t="s">
        <v>12462</v>
      </c>
      <c r="B2787" s="12" t="s">
        <v>15538</v>
      </c>
      <c r="C2787" s="13" t="str">
        <f>HYPERLINK("https://audio.iskcondesiretree.com/02_-_ISKCON_Swamis/ISKCON_Swamis_-_R_to_Y/His_Holiness_Radhanath_Swami/Lectures/00_-_Year_wise/Devotional_Nectar_-_2014/2014-01-30_Various_-_Tamil_Book_Launch-Sharing_Moments_From_Journey_Home_-_Radhanath_Swami.mp3", "2014-01-30_Various_-_Tamil_Book_Launch-Sharing_Moments_From_Journey_Home_-_Radhanath_Swami.mp3")</f>
        <v>2014-01-30_Various_-_Tamil_Book_Launch-Sharing_Moments_From_Journey_Home_-_Radhanath_Swami.mp3</v>
      </c>
      <c r="D2787" s="11"/>
      <c r="E2787" s="11"/>
    </row>
    <row r="2788" spans="1:5">
      <c r="A2788" s="12" t="s">
        <v>12462</v>
      </c>
      <c r="B2788" s="12" t="s">
        <v>15539</v>
      </c>
      <c r="C2788" s="13" t="str">
        <f>HYPERLINK("https://audio.iskcondesiretree.com/02_-_ISKCON_Swamis/ISKCON_Swamis_-_R_to_Y/His_Holiness_Radhanath_Swami/Lectures/00_-_Year_wise/Devotional_Nectar_-_2014/2014-02-02_Various_-_Memories_and_Appreciation_of_HG_Kirtida_Mataji_-_Radhanath_Swami.mp3", "2014-02-02_Various_-_Memories_and_Appreciation_of_HG_Kirtida_Mataji_-_Radhanath_Swami.mp3")</f>
        <v>2014-02-02_Various_-_Memories_and_Appreciation_of_HG_Kirtida_Mataji_-_Radhanath_Swami.mp3</v>
      </c>
      <c r="D2788" s="11"/>
      <c r="E2788" s="11"/>
    </row>
    <row r="2789" spans="1:5">
      <c r="A2789" s="12" t="s">
        <v>12462</v>
      </c>
      <c r="B2789" s="12" t="s">
        <v>15540</v>
      </c>
      <c r="C2789" s="13" t="str">
        <f>HYPERLINK("https://audio.iskcondesiretree.com/02_-_ISKCON_Swamis/ISKCON_Swamis_-_R_to_Y/His_Holiness_Radhanath_Swami/Lectures/00_-_Year_wise/Devotional_Nectar_-_2014/2014-02-04_Various_-_Grihastha_Ashram_is_a_Sacred_Opportunity_for_Bhakti_-_Radhanath_Swami.mp3", "2014-02-04_Various_-_Grihastha_Ashram_is_a_Sacred_Opportunity_for_Bhakti_-_Radhanath_Swami.mp3")</f>
        <v>2014-02-04_Various_-_Grihastha_Ashram_is_a_Sacred_Opportunity_for_Bhakti_-_Radhanath_Swami.mp3</v>
      </c>
      <c r="D2789" s="11"/>
      <c r="E2789" s="11"/>
    </row>
    <row r="2790" spans="1:5">
      <c r="A2790" s="12" t="s">
        <v>12462</v>
      </c>
      <c r="B2790" s="12" t="s">
        <v>15541</v>
      </c>
      <c r="C2790" s="13" t="str">
        <f>HYPERLINK("https://audio.iskcondesiretree.com/02_-_ISKCON_Swamis/ISKCON_Swamis_-_R_to_Y/His_Holiness_Radhanath_Swami/Lectures/00_-_Year_wise/Devotional_Nectar_-_2014/2014-02-06_Various_-_Annamrita-A_Sign_of_Srila_Prabhupada%27s_Compassion_-_Radhanath_Swami_Dadar.mp3", "2014-02-06_Various_-_Annamrita-A_Sign_of_Srila_Prabhupada%27s_Compassion_-_Radhanath_Swami_Dadar.mp3")</f>
        <v>2014-02-06_Various_-_Annamrita-A_Sign_of_Srila_Prabhupada%27s_Compassion_-_Radhanath_Swami_Dadar.mp3</v>
      </c>
      <c r="D2790" s="11"/>
      <c r="E2790" s="11"/>
    </row>
    <row r="2791" spans="1:5">
      <c r="A2791" s="12" t="s">
        <v>12462</v>
      </c>
      <c r="B2791" s="12" t="s">
        <v>15542</v>
      </c>
      <c r="C2791" s="13" t="str">
        <f>HYPERLINK("https://audio.iskcondesiretree.com/02_-_ISKCON_Swamis/ISKCON_Swamis_-_R_to_Y/His_Holiness_Radhanath_Swami/Lectures/00_-_Year_wise/Devotional_Nectar_-_2014/2014-02-09_SB_10-38-01_-_Key_of_Entering_Vrindavan_-_Radhanath_Swami_ISKCON_Chowpatty.mp3", "2014-02-09_SB_10-38-01_-_Key_of_Entering_Vrindavan_-_Radhanath_Swami_ISKCON_Chowpatty.mp3")</f>
        <v>2014-02-09_SB_10-38-01_-_Key_of_Entering_Vrindavan_-_Radhanath_Swami_ISKCON_Chowpatty.mp3</v>
      </c>
      <c r="D2791" s="11"/>
      <c r="E2791" s="11"/>
    </row>
    <row r="2792" spans="1:5">
      <c r="A2792" s="12" t="s">
        <v>12462</v>
      </c>
      <c r="B2792" s="12" t="s">
        <v>15543</v>
      </c>
      <c r="C2792" s="13" t="str">
        <f>HYPERLINK("https://audio.iskcondesiretree.com/02_-_ISKCON_Swamis/ISKCON_Swamis_-_R_to_Y/His_Holiness_Radhanath_Swami/Lectures/00_-_Year_wise/Devotional_Nectar_-_2014/2014-03-02_SB_08-23-16_-_Radhanath_Swami_ISKCON_Mayapur.mp3", "2014-03-02_SB_08-23-16_-_Radhanath_Swami_ISKCON_Mayapur.mp3")</f>
        <v>2014-03-02_SB_08-23-16_-_Radhanath_Swami_ISKCON_Mayapur.mp3</v>
      </c>
      <c r="D2792" s="11"/>
      <c r="E2792" s="11"/>
    </row>
    <row r="2793" spans="1:5">
      <c r="A2793" s="12" t="s">
        <v>12462</v>
      </c>
      <c r="B2793" s="12" t="s">
        <v>15544</v>
      </c>
      <c r="C2793" s="13" t="str">
        <f>HYPERLINK("https://audio.iskcondesiretree.com/02_-_ISKCON_Swamis/ISKCON_Swamis_-_R_to_Y/His_Holiness_Radhanath_Swami/Lectures/00_-_Year_wise/Devotional_Nectar_-_2014/2014-03-04_Various_-_My_Experience_with_Himalayan_Yogis_-_Radhanath_Swami_Rishikesh.mp3", "2014-03-04_Various_-_My_Experience_with_Himalayan_Yogis_-_Radhanath_Swami_Rishikesh.mp3")</f>
        <v>2014-03-04_Various_-_My_Experience_with_Himalayan_Yogis_-_Radhanath_Swami_Rishikesh.mp3</v>
      </c>
      <c r="D2793" s="11"/>
      <c r="E2793" s="11"/>
    </row>
    <row r="2794" spans="1:5">
      <c r="A2794" s="12" t="s">
        <v>12462</v>
      </c>
      <c r="B2794" s="12" t="s">
        <v>15545</v>
      </c>
      <c r="C2794" s="13" t="str">
        <f>HYPERLINK("https://audio.iskcondesiretree.com/02_-_ISKCON_Swamis/ISKCON_Swamis_-_R_to_Y/His_Holiness_Radhanath_Swami/Lectures/00_-_Year_wise/Devotional_Nectar_-_2014/2014-03-05_Various_-_In_Giving_We_Receive_-_Radhanath_Swami_Rishikesh.mp3", "2014-03-05_Various_-_In_Giving_We_Receive_-_Radhanath_Swami_Rishikesh.mp3")</f>
        <v>2014-03-05_Various_-_In_Giving_We_Receive_-_Radhanath_Swami_Rishikesh.mp3</v>
      </c>
      <c r="D2794" s="11"/>
      <c r="E2794" s="11"/>
    </row>
    <row r="2795" spans="1:5">
      <c r="A2795" s="12" t="s">
        <v>12462</v>
      </c>
      <c r="B2795" s="12" t="s">
        <v>15546</v>
      </c>
      <c r="C2795" s="13" t="str">
        <f>HYPERLINK("https://audio.iskcondesiretree.com/02_-_ISKCON_Swamis/ISKCON_Swamis_-_R_to_Y/His_Holiness_Radhanath_Swami/Lectures/00_-_Year_wise/Devotional_Nectar_-_2014/2014-03-05_Various_-_The_Way_to_Real_Ananda_-_Radhanath_Swami_Rishikesh.mp3", "2014-03-05_Various_-_The_Way_to_Real_Ananda_-_Radhanath_Swami_Rishikesh.mp3")</f>
        <v>2014-03-05_Various_-_The_Way_to_Real_Ananda_-_Radhanath_Swami_Rishikesh.mp3</v>
      </c>
      <c r="D2795" s="11"/>
      <c r="E2795" s="11"/>
    </row>
    <row r="2796" spans="1:5">
      <c r="A2796" s="12" t="s">
        <v>12462</v>
      </c>
      <c r="B2796" s="12" t="s">
        <v>15547</v>
      </c>
      <c r="C2796" s="13" t="str">
        <f>HYPERLINK("https://audio.iskcondesiretree.com/02_-_ISKCON_Swamis/ISKCON_Swamis_-_R_to_Y/His_Holiness_Radhanath_Swami/Lectures/00_-_Year_wise/Devotional_Nectar_-_2014/2014-03-06_Various_-_What_is_the_Mood_of_Bhakti_-_Radhanath_Swami_Rishikesh.mp3", "2014-03-06_Various_-_What_is_the_Mood_of_Bhakti_-_Radhanath_Swami_Rishikesh.mp3")</f>
        <v>2014-03-06_Various_-_What_is_the_Mood_of_Bhakti_-_Radhanath_Swami_Rishikesh.mp3</v>
      </c>
      <c r="D2796" s="11"/>
      <c r="E2796" s="11"/>
    </row>
    <row r="2797" spans="1:5">
      <c r="A2797" s="12" t="s">
        <v>12462</v>
      </c>
      <c r="B2797" s="12" t="s">
        <v>15548</v>
      </c>
      <c r="C2797" s="13" t="str">
        <f>HYPERLINK("https://audio.iskcondesiretree.com/02_-_ISKCON_Swamis/ISKCON_Swamis_-_R_to_Y/His_Holiness_Radhanath_Swami/Lectures/00_-_Year_wise/Devotional_Nectar_-_2014/2014-03-08_SB_10-40-01_-_Conceiving_Inconceivable_Krishna%27s_Creation_-_Radhanath_Swami.mp3", "2014-03-08_SB_10-40-01_-_Conceiving_Inconceivable_Krishna%27s_Creation_-_Radhanath_Swami.mp3")</f>
        <v>2014-03-08_SB_10-40-01_-_Conceiving_Inconceivable_Krishna%27s_Creation_-_Radhanath_Swami.mp3</v>
      </c>
      <c r="D2797" s="11"/>
      <c r="E2797" s="11"/>
    </row>
    <row r="2798" spans="1:5">
      <c r="A2798" s="12" t="s">
        <v>12462</v>
      </c>
      <c r="B2798" s="12" t="s">
        <v>15549</v>
      </c>
      <c r="C2798" s="13" t="str">
        <f>HYPERLINK("https://audio.iskcondesiretree.com/02_-_ISKCON_Swamis/ISKCON_Swamis_-_R_to_Y/His_Holiness_Radhanath_Swami/Lectures/00_-_Year_wise/Devotional_Nectar_-_2014/2014-03-08_Various_-_What_is_Dhruva%27s_And_Hanuman%27s_Yoga_-_Radhanath_Swami_Rishikesh.mp3", "2014-03-08_Various_-_What_is_Dhruva%27s_And_Hanuman%27s_Yoga_-_Radhanath_Swami_Rishikesh.mp3")</f>
        <v>2014-03-08_Various_-_What_is_Dhruva%27s_And_Hanuman%27s_Yoga_-_Radhanath_Swami_Rishikesh.mp3</v>
      </c>
      <c r="D2798" s="11"/>
      <c r="E2798" s="11"/>
    </row>
    <row r="2799" spans="1:5">
      <c r="A2799" s="12" t="s">
        <v>12462</v>
      </c>
      <c r="B2799" s="12" t="s">
        <v>15550</v>
      </c>
      <c r="C2799" s="13" t="str">
        <f>HYPERLINK("https://audio.iskcondesiretree.com/02_-_ISKCON_Swamis/ISKCON_Swamis_-_R_to_Y/His_Holiness_Radhanath_Swami/Lectures/00_-_Year_wise/Devotional_Nectar_-_2014/2014-03-09_SB_10-40-04-05_-_Lord_Reciprocates_with_Our_Emotions_-_Radhanath_Swami.mp3", "2014-03-09_SB_10-40-04-05_-_Lord_Reciprocates_with_Our_Emotions_-_Radhanath_Swami.mp3")</f>
        <v>2014-03-09_SB_10-40-04-05_-_Lord_Reciprocates_with_Our_Emotions_-_Radhanath_Swami.mp3</v>
      </c>
      <c r="D2799" s="11"/>
      <c r="E2799" s="11"/>
    </row>
    <row r="2800" spans="1:5">
      <c r="A2800" s="12" t="s">
        <v>12462</v>
      </c>
      <c r="B2800" s="12" t="s">
        <v>15551</v>
      </c>
      <c r="C2800" s="13" t="str">
        <f>HYPERLINK("https://audio.iskcondesiretree.com/02_-_ISKCON_Swamis/ISKCON_Swamis_-_R_to_Y/His_Holiness_Radhanath_Swami/Lectures/00_-_Year_wise/Devotional_Nectar_-_2014/2014-03-09_SB_10-40-04-05_-_Separation_from_Krishna_-_Radhanath_Swami_ISKCON_Chowpatty.mp3", "2014-03-09_SB_10-40-04-05_-_Separation_from_Krishna_-_Radhanath_Swami_ISKCON_Chowpatty.mp3")</f>
        <v>2014-03-09_SB_10-40-04-05_-_Separation_from_Krishna_-_Radhanath_Swami_ISKCON_Chowpatty.mp3</v>
      </c>
      <c r="D2800" s="11"/>
      <c r="E2800" s="11"/>
    </row>
    <row r="2801" spans="1:5">
      <c r="A2801" s="12" t="s">
        <v>12462</v>
      </c>
      <c r="B2801" s="12" t="s">
        <v>15552</v>
      </c>
      <c r="C2801" s="13" t="str">
        <f>HYPERLINK("https://audio.iskcondesiretree.com/02_-_ISKCON_Swamis/ISKCON_Swamis_-_R_to_Y/His_Holiness_Radhanath_Swami/Lectures/00_-_Year_wise/Devotional_Nectar_-_2014/2014-04-16_SB_03-05-40_-_Bhakti_reveals_Knowledge_within_our_Heart_-_Radhanath_Swami.mp3", "2014-04-16_SB_03-05-40_-_Bhakti_reveals_Knowledge_within_our_Heart_-_Radhanath_Swami.mp3")</f>
        <v>2014-04-16_SB_03-05-40_-_Bhakti_reveals_Knowledge_within_our_Heart_-_Radhanath_Swami.mp3</v>
      </c>
      <c r="D2801" s="11"/>
      <c r="E2801" s="11"/>
    </row>
    <row r="2802" spans="1:5">
      <c r="A2802" s="12" t="s">
        <v>12462</v>
      </c>
      <c r="B2802" s="12" t="s">
        <v>15553</v>
      </c>
      <c r="C2802" s="13" t="str">
        <f>HYPERLINK("https://audio.iskcondesiretree.com/02_-_ISKCON_Swamis/ISKCON_Swamis_-_R_to_Y/His_Holiness_Radhanath_Swami/Lectures/00_-_Year_wise/Devotional_Nectar_-_2014/2014-04-20_SB_10-44-05_-_Inconceivable_Krishna_Kills_Kamsa_-_Radhanath_Swami_ISKCON_Chowpatty.mp3", "2014-04-20_SB_10-44-05_-_Inconceivable_Krishna_Kills_Kamsa_-_Radhanath_Swami_ISKCON_Chowpatty.mp3")</f>
        <v>2014-04-20_SB_10-44-05_-_Inconceivable_Krishna_Kills_Kamsa_-_Radhanath_Swami_ISKCON_Chowpatty.mp3</v>
      </c>
      <c r="D2802" s="11"/>
      <c r="E2802" s="11"/>
    </row>
    <row r="2803" spans="1:5">
      <c r="A2803" s="12" t="s">
        <v>12462</v>
      </c>
      <c r="B2803" s="12" t="s">
        <v>15554</v>
      </c>
      <c r="C2803" s="13" t="str">
        <f>HYPERLINK("https://audio.iskcondesiretree.com/02_-_ISKCON_Swamis/ISKCON_Swamis_-_R_to_Y/His_Holiness_Radhanath_Swami/Lectures/00_-_Year_wise/Devotional_Nectar_-_2014/2014-04-25_Various_-_The_Magic_of_Love_-_Radhanath_Swami.mp3", "2014-04-25_Various_-_The_Magic_of_Love_-_Radhanath_Swami.mp3")</f>
        <v>2014-04-25_Various_-_The_Magic_of_Love_-_Radhanath_Swami.mp3</v>
      </c>
      <c r="D2803" s="11"/>
      <c r="E2803" s="11"/>
    </row>
    <row r="2804" spans="1:5">
      <c r="A2804" s="12" t="s">
        <v>12462</v>
      </c>
      <c r="B2804" s="12" t="s">
        <v>15555</v>
      </c>
      <c r="C2804" s="13" t="str">
        <f>HYPERLINK("https://audio.iskcondesiretree.com/02_-_ISKCON_Swamis/ISKCON_Swamis_-_R_to_Y/His_Holiness_Radhanath_Swami/Lectures/00_-_Year_wise/Devotional_Nectar_-_2014/2014-04-27_Seminars_-_Mahabharat_Series_04_-_Radhanath_Swami_Bhaktivedanta_Manor.mp3", "2014-04-27_Seminars_-_Mahabharat_Series_04_-_Radhanath_Swami_Bhaktivedanta_Manor.mp3")</f>
        <v>2014-04-27_Seminars_-_Mahabharat_Series_04_-_Radhanath_Swami_Bhaktivedanta_Manor.mp3</v>
      </c>
      <c r="D2804" s="11"/>
      <c r="E2804" s="11"/>
    </row>
    <row r="2805" spans="1:5">
      <c r="A2805" s="12" t="s">
        <v>12462</v>
      </c>
      <c r="B2805" s="12" t="s">
        <v>15556</v>
      </c>
      <c r="C2805" s="13" t="str">
        <f>HYPERLINK("https://audio.iskcondesiretree.com/02_-_ISKCON_Swamis/ISKCON_Swamis_-_R_to_Y/His_Holiness_Radhanath_Swami/Lectures/00_-_Year_wise/Devotional_Nectar_-_2014/2014-05-04_Various_-_Sunday_Feast-To_Love_Krishna_-_Radhanath_Swami_ISKCON_Chicago.mp3", "2014-05-04_Various_-_Sunday_Feast-To_Love_Krishna_-_Radhanath_Swami_ISKCON_Chicago.mp3")</f>
        <v>2014-05-04_Various_-_Sunday_Feast-To_Love_Krishna_-_Radhanath_Swami_ISKCON_Chicago.mp3</v>
      </c>
      <c r="D2805" s="11"/>
      <c r="E2805" s="11"/>
    </row>
    <row r="2806" spans="1:5">
      <c r="A2806" s="12" t="s">
        <v>12462</v>
      </c>
      <c r="B2806" s="12" t="s">
        <v>15557</v>
      </c>
      <c r="C2806" s="13" t="str">
        <f>HYPERLINK("https://audio.iskcondesiretree.com/02_-_ISKCON_Swamis/ISKCON_Swamis_-_R_to_Y/His_Holiness_Radhanath_Swami/Lectures/00_-_Year_wise/Devotional_Nectar_-_2014/2014-05-15_Festivals_-_Nrsingha_Festival-Soul_of_Lord_Nrsingha_-_Radhanath_Swami.mp3", "2014-05-15_Festivals_-_Nrsingha_Festival-Soul_of_Lord_Nrsingha_-_Radhanath_Swami.mp3")</f>
        <v>2014-05-15_Festivals_-_Nrsingha_Festival-Soul_of_Lord_Nrsingha_-_Radhanath_Swami.mp3</v>
      </c>
      <c r="D2806" s="11"/>
      <c r="E2806" s="11"/>
    </row>
    <row r="2807" spans="1:5">
      <c r="A2807" s="12" t="s">
        <v>12462</v>
      </c>
      <c r="B2807" s="12" t="s">
        <v>15558</v>
      </c>
      <c r="C2807" s="13" t="str">
        <f>HYPERLINK("https://audio.iskcondesiretree.com/02_-_ISKCON_Swamis/ISKCON_Swamis_-_R_to_Y/His_Holiness_Radhanath_Swami/Lectures/00_-_Year_wise/Devotional_Nectar_-_2014/2014-06-09_SB_08-06-13_-_Radhanath_Swami_Los_Angeles.mp3", "2014-06-09_SB_08-06-13_-_Radhanath_Swami_Los_Angeles.mp3")</f>
        <v>2014-06-09_SB_08-06-13_-_Radhanath_Swami_Los_Angeles.mp3</v>
      </c>
      <c r="D2807" s="11"/>
      <c r="E2807" s="11"/>
    </row>
    <row r="2808" spans="1:5">
      <c r="A2808" s="12" t="s">
        <v>12462</v>
      </c>
      <c r="B2808" s="12" t="s">
        <v>15559</v>
      </c>
      <c r="C2808" s="13" t="str">
        <f>HYPERLINK("https://audio.iskcondesiretree.com/02_-_ISKCON_Swamis/ISKCON_Swamis_-_R_to_Y/His_Holiness_Radhanath_Swami/Lectures/00_-_Year_wise/Devotional_Nectar_-_2014/2014-06-11_SB_08-06-15_-_Radhanath_Swami_Los_Angeles.mp3", "2014-06-11_SB_08-06-15_-_Radhanath_Swami_Los_Angeles.mp3")</f>
        <v>2014-06-11_SB_08-06-15_-_Radhanath_Swami_Los_Angeles.mp3</v>
      </c>
      <c r="D2808" s="11"/>
      <c r="E2808" s="11"/>
    </row>
    <row r="2809" spans="1:5">
      <c r="A2809" s="12" t="s">
        <v>12462</v>
      </c>
      <c r="B2809" s="12" t="s">
        <v>15560</v>
      </c>
      <c r="C2809" s="13" t="str">
        <f>HYPERLINK("https://audio.iskcondesiretree.com/02_-_ISKCON_Swamis/ISKCON_Swamis_-_R_to_Y/His_Holiness_Radhanath_Swami/Lectures/00_-_Year_wise/Devotional_Nectar_-_2014/2014-07-01_Various_-_Loving_Gurudeva-Srila_Prabhupada_-_Radhanath_Swami_Govardha_Eco_Village.mp3", "2014-07-01_Various_-_Loving_Gurudeva-Srila_Prabhupada_-_Radhanath_Swami_Govardha_Eco_Village.mp3")</f>
        <v>2014-07-01_Various_-_Loving_Gurudeva-Srila_Prabhupada_-_Radhanath_Swami_Govardha_Eco_Village.mp3</v>
      </c>
      <c r="D2809" s="11"/>
      <c r="E2809" s="11"/>
    </row>
    <row r="2810" spans="1:5">
      <c r="A2810" s="12" t="s">
        <v>12462</v>
      </c>
      <c r="B2810" s="12" t="s">
        <v>15561</v>
      </c>
      <c r="C2810" s="13" t="str">
        <f>HYPERLINK("https://audio.iskcondesiretree.com/02_-_ISKCON_Swamis/ISKCON_Swamis_-_R_to_Y/His_Holiness_Radhanath_Swami/Lectures/00_-_Year_wise/Devotional_Nectar_-_2014/2014-07-12_SB_04-20-16_-_Radhanath_Swami_Gita_Nagari_Retreat.mp3", "2014-07-12_SB_04-20-16_-_Radhanath_Swami_Gita_Nagari_Retreat.mp3")</f>
        <v>2014-07-12_SB_04-20-16_-_Radhanath_Swami_Gita_Nagari_Retreat.mp3</v>
      </c>
      <c r="D2810" s="11"/>
      <c r="E2810" s="11"/>
    </row>
    <row r="2811" spans="1:5">
      <c r="A2811" s="12" t="s">
        <v>12462</v>
      </c>
      <c r="B2811" s="12" t="s">
        <v>15562</v>
      </c>
      <c r="C2811" s="13" t="str">
        <f>HYPERLINK("https://audio.iskcondesiretree.com/02_-_ISKCON_Swamis/ISKCON_Swamis_-_R_to_Y/His_Holiness_Radhanath_Swami/Lectures/00_-_Year_wise/Devotional_Nectar_-_2014/2014-07-19_Various_-_Nature_of_Dualities_-_Radhanath_Swami_TBC.mp3", "2014-07-19_Various_-_Nature_of_Dualities_-_Radhanath_Swami_TBC.mp3")</f>
        <v>2014-07-19_Various_-_Nature_of_Dualities_-_Radhanath_Swami_TBC.mp3</v>
      </c>
      <c r="D2811" s="11"/>
      <c r="E2811" s="11"/>
    </row>
    <row r="2812" spans="1:5">
      <c r="A2812" s="12" t="s">
        <v>12462</v>
      </c>
      <c r="B2812" s="12" t="s">
        <v>15563</v>
      </c>
      <c r="C2812" s="13" t="str">
        <f>HYPERLINK("https://audio.iskcondesiretree.com/02_-_ISKCON_Swamis/ISKCON_Swamis_-_R_to_Y/His_Holiness_Radhanath_Swami/Lectures/00_-_Year_wise/Devotional_Nectar_-_2014/2014-07-29_Various_-_The_Soul_is_Eternal_-_Radhanath_Swami_Bhakti_Center.mp3", "2014-07-29_Various_-_The_Soul_is_Eternal_-_Radhanath_Swami_Bhakti_Center.mp3")</f>
        <v>2014-07-29_Various_-_The_Soul_is_Eternal_-_Radhanath_Swami_Bhakti_Center.mp3</v>
      </c>
      <c r="D2812" s="11"/>
      <c r="E2812" s="11"/>
    </row>
    <row r="2813" spans="1:5">
      <c r="A2813" s="12" t="s">
        <v>12462</v>
      </c>
      <c r="B2813" s="12" t="s">
        <v>15564</v>
      </c>
      <c r="C2813" s="13" t="str">
        <f>HYPERLINK("https://audio.iskcondesiretree.com/02_-_ISKCON_Swamis/ISKCON_Swamis_-_R_to_Y/His_Holiness_Radhanath_Swami/Lectures/00_-_Year_wise/Devotional_Nectar_-_2014/2014-08-05_SB_11-08-09_-_Radhanath_Swami.mp3", "2014-08-05_SB_11-08-09_-_Radhanath_Swami.mp3")</f>
        <v>2014-08-05_SB_11-08-09_-_Radhanath_Swami.mp3</v>
      </c>
      <c r="D2813" s="11"/>
      <c r="E2813" s="11"/>
    </row>
    <row r="2814" spans="1:5">
      <c r="A2814" s="12" t="s">
        <v>12462</v>
      </c>
      <c r="B2814" s="12" t="s">
        <v>15565</v>
      </c>
      <c r="C2814" s="13" t="str">
        <f>HYPERLINK("https://audio.iskcondesiretree.com/02_-_ISKCON_Swamis/ISKCON_Swamis_-_R_to_Y/His_Holiness_Radhanath_Swami/Lectures/00_-_Year_wise/Devotional_Nectar_-_2014/2014-08-05_Various_-_First_meeting_with_Malati_Mataji_-_Radhanath_Swami.mp3", "2014-08-05_Various_-_First_meeting_with_Malati_Mataji_-_Radhanath_Swami.mp3")</f>
        <v>2014-08-05_Various_-_First_meeting_with_Malati_Mataji_-_Radhanath_Swami.mp3</v>
      </c>
      <c r="D2814" s="11"/>
      <c r="E2814" s="11"/>
    </row>
    <row r="2815" spans="1:5">
      <c r="A2815" s="12" t="s">
        <v>12462</v>
      </c>
      <c r="B2815" s="12" t="s">
        <v>15566</v>
      </c>
      <c r="C2815" s="13" t="str">
        <f>HYPERLINK("https://audio.iskcondesiretree.com/02_-_ISKCON_Swamis/ISKCON_Swamis_-_R_to_Y/His_Holiness_Radhanath_Swami/Lectures/00_-_Year_wise/Devotional_Nectar_-_2014/2014-08-06_SB_11-08-10_-_Radhanath_Swami.mp3", "2014-08-06_SB_11-08-10_-_Radhanath_Swami.mp3")</f>
        <v>2014-08-06_SB_11-08-10_-_Radhanath_Swami.mp3</v>
      </c>
      <c r="D2815" s="11"/>
      <c r="E2815" s="11"/>
    </row>
    <row r="2816" spans="1:5">
      <c r="A2816" s="12" t="s">
        <v>12462</v>
      </c>
      <c r="B2816" s="12" t="s">
        <v>15567</v>
      </c>
      <c r="C2816" s="13" t="str">
        <f>HYPERLINK("https://audio.iskcondesiretree.com/02_-_ISKCON_Swamis/ISKCON_Swamis_-_R_to_Y/His_Holiness_Radhanath_Swami/Lectures/00_-_Year_wise/Devotional_Nectar_-_2014/2014-08-10_Various_-_Staying_Strong_-_Radhanath_Swami_Washington_DC.mp3", "2014-08-10_Various_-_Staying_Strong_-_Radhanath_Swami_Washington_DC.mp3")</f>
        <v>2014-08-10_Various_-_Staying_Strong_-_Radhanath_Swami_Washington_DC.mp3</v>
      </c>
      <c r="D2816" s="11"/>
      <c r="E2816" s="11"/>
    </row>
    <row r="2817" spans="1:5">
      <c r="A2817" s="12" t="s">
        <v>12462</v>
      </c>
      <c r="B2817" s="12" t="s">
        <v>15568</v>
      </c>
      <c r="C2817" s="13" t="str">
        <f>HYPERLINK("https://audio.iskcondesiretree.com/02_-_ISKCON_Swamis/ISKCON_Swamis_-_R_to_Y/His_Holiness_Radhanath_Swami/Lectures/00_-_Year_wise/Devotional_Nectar_-_2014/2014-08-15_Various_-_The_Lotus_Festival_-_Radhanath_Swami_Bhakti_Center.mp3", "2014-08-15_Various_-_The_Lotus_Festival_-_Radhanath_Swami_Bhakti_Center.mp3")</f>
        <v>2014-08-15_Various_-_The_Lotus_Festival_-_Radhanath_Swami_Bhakti_Center.mp3</v>
      </c>
      <c r="D2817" s="11"/>
      <c r="E2817" s="11"/>
    </row>
    <row r="2818" spans="1:5">
      <c r="A2818" s="12" t="s">
        <v>12462</v>
      </c>
      <c r="B2818" s="12" t="s">
        <v>15569</v>
      </c>
      <c r="C2818" s="13" t="str">
        <f>HYPERLINK("https://audio.iskcondesiretree.com/02_-_ISKCON_Swamis/ISKCON_Swamis_-_R_to_Y/His_Holiness_Radhanath_Swami/Lectures/00_-_Year_wise/Devotional_Nectar_-_2014/2014-08-17_BG_04-09_-_Janma_Karma_ca_me_Divyam_-_Radhanath_Swami_Bhakti_Center.mp3", "2014-08-17_BG_04-09_-_Janma_Karma_ca_me_Divyam_-_Radhanath_Swami_Bhakti_Center.mp3")</f>
        <v>2014-08-17_BG_04-09_-_Janma_Karma_ca_me_Divyam_-_Radhanath_Swami_Bhakti_Center.mp3</v>
      </c>
      <c r="D2818" s="11"/>
      <c r="E2818" s="11"/>
    </row>
    <row r="2819" spans="1:5">
      <c r="A2819" s="12" t="s">
        <v>12462</v>
      </c>
      <c r="B2819" s="12" t="s">
        <v>15570</v>
      </c>
      <c r="C2819" s="13" t="str">
        <f>HYPERLINK("https://audio.iskcondesiretree.com/02_-_ISKCON_Swamis/ISKCON_Swamis_-_R_to_Y/His_Holiness_Radhanath_Swami/Lectures/00_-_Year_wise/Devotional_Nectar_-_2014/2014-08-29_Festivals_-_The_Pearl_Festival-Hare_Krishna_Kirtan_-_Radhanath_Swami_Bhakti_Center.mp3", "2014-08-29_Festivals_-_The_Pearl_Festival-Hare_Krishna_Kirtan_-_Radhanath_Swami_Bhakti_Center.mp3")</f>
        <v>2014-08-29_Festivals_-_The_Pearl_Festival-Hare_Krishna_Kirtan_-_Radhanath_Swami_Bhakti_Center.mp3</v>
      </c>
      <c r="D2819" s="11"/>
      <c r="E2819" s="11"/>
    </row>
    <row r="2820" spans="1:5">
      <c r="A2820" s="12" t="s">
        <v>12462</v>
      </c>
      <c r="B2820" s="12" t="s">
        <v>15571</v>
      </c>
      <c r="C2820" s="13" t="str">
        <f>HYPERLINK("https://audio.iskcondesiretree.com/02_-_ISKCON_Swamis/ISKCON_Swamis_-_R_to_Y/His_Holiness_Radhanath_Swami/Lectures/00_-_Year_wise/Devotional_Nectar_-_2014/2014-08-29_Festivals_-_The_Pearl_Festival-Path_of_Devotion_-_Radhanath_Swami_Bhakti_Center.mp3", "2014-08-29_Festivals_-_The_Pearl_Festival-Path_of_Devotion_-_Radhanath_Swami_Bhakti_Center.mp3")</f>
        <v>2014-08-29_Festivals_-_The_Pearl_Festival-Path_of_Devotion_-_Radhanath_Swami_Bhakti_Center.mp3</v>
      </c>
      <c r="D2820" s="11"/>
      <c r="E2820" s="11"/>
    </row>
    <row r="2821" spans="1:5">
      <c r="A2821" s="12" t="s">
        <v>12462</v>
      </c>
      <c r="B2821" s="12" t="s">
        <v>15572</v>
      </c>
      <c r="C2821" s="13" t="str">
        <f>HYPERLINK("https://audio.iskcondesiretree.com/02_-_ISKCON_Swamis/ISKCON_Swamis_-_R_to_Y/His_Holiness_Radhanath_Swami/Lectures/00_-_Year_wise/Devotional_Nectar_-_2014/2014-09-12_Various_-_Principles_of_a_Spiritual_Community_-_Radhanath_Swami_Denver.mp3", "2014-09-12_Various_-_Principles_of_a_Spiritual_Community_-_Radhanath_Swami_Denver.mp3")</f>
        <v>2014-09-12_Various_-_Principles_of_a_Spiritual_Community_-_Radhanath_Swami_Denver.mp3</v>
      </c>
      <c r="D2821" s="11"/>
      <c r="E2821" s="11"/>
    </row>
    <row r="2822" spans="1:5">
      <c r="A2822" s="12" t="s">
        <v>12462</v>
      </c>
      <c r="B2822" s="12" t="s">
        <v>15573</v>
      </c>
      <c r="C2822" s="13" t="str">
        <f>HYPERLINK("https://audio.iskcondesiretree.com/02_-_ISKCON_Swamis/ISKCON_Swamis_-_R_to_Y/His_Holiness_Radhanath_Swami/Lectures/00_-_Year_wise/Devotional_Nectar_-_2014/2014-09-21_Various_-_Initation_Ceremony_-_Radhanath_Swami_ISKCON_Chicago.mp3", "2014-09-21_Various_-_Initation_Ceremony_-_Radhanath_Swami_ISKCON_Chicago.mp3")</f>
        <v>2014-09-21_Various_-_Initation_Ceremony_-_Radhanath_Swami_ISKCON_Chicago.mp3</v>
      </c>
      <c r="D2822" s="11"/>
      <c r="E2822" s="11"/>
    </row>
    <row r="2823" spans="1:5">
      <c r="A2823" s="12" t="s">
        <v>12462</v>
      </c>
      <c r="B2823" s="12" t="s">
        <v>15574</v>
      </c>
      <c r="C2823" s="13" t="str">
        <f>HYPERLINK("https://audio.iskcondesiretree.com/02_-_ISKCON_Swamis/ISKCON_Swamis_-_R_to_Y/His_Holiness_Radhanath_Swami/Lectures/00_-_Year_wise/Devotional_Nectar_-_2014/2014-10-16_SB_10-87-32_-_Dealings_Devotees_-_Radhanath_Swami_ISKCON_Tirupati.mp3", "2014-10-16_SB_10-87-32_-_Dealings_Devotees_-_Radhanath_Swami_ISKCON_Tirupati.mp3")</f>
        <v>2014-10-16_SB_10-87-32_-_Dealings_Devotees_-_Radhanath_Swami_ISKCON_Tirupati.mp3</v>
      </c>
      <c r="D2823" s="11"/>
      <c r="E2823" s="11"/>
    </row>
    <row r="2824" spans="1:5">
      <c r="A2824" s="12" t="s">
        <v>12462</v>
      </c>
      <c r="B2824" s="12" t="s">
        <v>15575</v>
      </c>
      <c r="C2824" s="13" t="str">
        <f>HYPERLINK("https://audio.iskcondesiretree.com/02_-_ISKCON_Swamis/ISKCON_Swamis_-_R_to_Y/His_Holiness_Radhanath_Swami/Lectures/00_-_Year_wise/Devotional_Nectar_-_2014/2014-11-02_SB_10-52-24_-_Being_Eager_to_hear_about_Krishna_-_Radhanath_Swami_ISKCON_Chowpatty.mp3", "2014-11-02_SB_10-52-24_-_Being_Eager_to_hear_about_Krishna_-_Radhanath_Swami_ISKCON_Chowpatty.mp3")</f>
        <v>2014-11-02_SB_10-52-24_-_Being_Eager_to_hear_about_Krishna_-_Radhanath_Swami_ISKCON_Chowpatty.mp3</v>
      </c>
      <c r="D2824" s="11"/>
      <c r="E2824" s="11"/>
    </row>
    <row r="2825" spans="1:5">
      <c r="A2825" s="12" t="s">
        <v>12462</v>
      </c>
      <c r="B2825" s="12" t="s">
        <v>15576</v>
      </c>
      <c r="C2825" s="13" t="str">
        <f>HYPERLINK("https://audio.iskcondesiretree.com/02_-_ISKCON_Swamis/ISKCON_Swamis_-_R_to_Y/His_Holiness_Radhanath_Swami/Lectures/00_-_Year_wise/Devotional_Nectar_-_2014/2014-11-15_SB_10-52-44_-_Rukmini%27s_Message_to_Lord_Krishna_-_Radhanath_Swami_ISKCON_Chowpatty.mp3", "2014-11-15_SB_10-52-44_-_Rukmini%27s_Message_to_Lord_Krishna_-_Radhanath_Swami_ISKCON_Chowpatty.mp3")</f>
        <v>2014-11-15_SB_10-52-44_-_Rukmini%27s_Message_to_Lord_Krishna_-_Radhanath_Swami_ISKCON_Chowpatty.mp3</v>
      </c>
      <c r="D2825" s="11"/>
      <c r="E2825" s="11"/>
    </row>
    <row r="2826" spans="1:5">
      <c r="A2826" s="12" t="s">
        <v>12462</v>
      </c>
      <c r="B2826" s="12" t="s">
        <v>15577</v>
      </c>
      <c r="C2826" s="13" t="str">
        <f>HYPERLINK("https://audio.iskcondesiretree.com/02_-_ISKCON_Swamis/ISKCON_Swamis_-_R_to_Y/His_Holiness_Radhanath_Swami/Lectures/00_-_Year_wise/Devotional_Nectar_-_2014/2014-11-23_SB_10-53-13-17_-_Krishna_Kidnaps_Rukmini_-_Radhanath_Swami_ISKCON_Chowpatty.mp3", "2014-11-23_SB_10-53-13-17_-_Krishna_Kidnaps_Rukmini_-_Radhanath_Swami_ISKCON_Chowpatty.mp3")</f>
        <v>2014-11-23_SB_10-53-13-17_-_Krishna_Kidnaps_Rukmini_-_Radhanath_Swami_ISKCON_Chowpatty.mp3</v>
      </c>
      <c r="D2826" s="11"/>
      <c r="E2826" s="11"/>
    </row>
    <row r="2827" spans="1:5">
      <c r="A2827" s="12" t="s">
        <v>12462</v>
      </c>
      <c r="B2827" s="12" t="s">
        <v>15578</v>
      </c>
      <c r="C2827" s="13" t="str">
        <f>HYPERLINK("https://audio.iskcondesiretree.com/02_-_ISKCON_Swamis/ISKCON_Swamis_-_R_to_Y/His_Holiness_Radhanath_Swami/Lectures/00_-_Year_wise/Devotional_Nectar_-_2014/2014-12-07_Various_-_Initiation_Class_-_Radhanath_Swami_Bhaktivedanta_Manor.mp3", "2014-12-07_Various_-_Initiation_Class_-_Radhanath_Swami_Bhaktivedanta_Manor.mp3")</f>
        <v>2014-12-07_Various_-_Initiation_Class_-_Radhanath_Swami_Bhaktivedanta_Manor.mp3</v>
      </c>
      <c r="D2827" s="11"/>
      <c r="E2827" s="11"/>
    </row>
    <row r="2828" spans="1:5">
      <c r="A2828" s="12" t="s">
        <v>12462</v>
      </c>
      <c r="B2828" s="12" t="s">
        <v>15579</v>
      </c>
      <c r="C2828" s="13" t="str">
        <f>HYPERLINK("https://audio.iskcondesiretree.com/02_-_ISKCON_Swamis/ISKCON_Swamis_-_R_to_Y/His_Holiness_Radhanath_Swami/Lectures/00_-_Year_wise/Devotional_Nectar_-_2014/2014-12-13_SB-10-54-10-12_-_Krishna_Marries_Rukmini_-_Radhanath_Swami_ISKCON_Chowpatty.mp3", "2014-12-13_SB-10-54-10-12_-_Krishna_Marries_Rukmini_-_Radhanath_Swami_ISKCON_Chowpatty.mp3")</f>
        <v>2014-12-13_SB-10-54-10-12_-_Krishna_Marries_Rukmini_-_Radhanath_Swami_ISKCON_Chowpatty.mp3</v>
      </c>
      <c r="D2828" s="11"/>
      <c r="E2828" s="11"/>
    </row>
    <row r="2829" spans="1:5">
      <c r="A2829" s="12" t="s">
        <v>12462</v>
      </c>
      <c r="B2829" s="12" t="s">
        <v>15580</v>
      </c>
      <c r="C2829" s="13" t="str">
        <f>HYPERLINK("https://audio.iskcondesiretree.com/02_-_ISKCON_Swamis/ISKCON_Swamis_-_R_to_Y/His_Holiness_Radhanath_Swami/Lectures/00_-_Year_wise/Devotional_Nectar_-_2015/2015-01-11_Festivals_-_Bhaktivedanta_Hospital_Annual_Day_-_Radhanath_Swami_Mumbai.mp3", "2015-01-11_Festivals_-_Bhaktivedanta_Hospital_Annual_Day_-_Radhanath_Swami_Mumbai.mp3")</f>
        <v>2015-01-11_Festivals_-_Bhaktivedanta_Hospital_Annual_Day_-_Radhanath_Swami_Mumbai.mp3</v>
      </c>
      <c r="D2829" s="11"/>
      <c r="E2829" s="11"/>
    </row>
    <row r="2830" spans="1:5">
      <c r="A2830" s="12" t="s">
        <v>12462</v>
      </c>
      <c r="B2830" s="12" t="s">
        <v>15581</v>
      </c>
      <c r="C2830" s="13" t="str">
        <f>HYPERLINK("https://audio.iskcondesiretree.com/02_-_ISKCON_Swamis/ISKCON_Swamis_-_R_to_Y/His_Holiness_Radhanath_Swami/Lectures/00_-_Year_wise/Devotional_Nectar_-_2015/2015-01-22_Prerana_Festivals-The_Power_of_Sound_-_Radhanath_Swami_ISKCON_Chowpatty.mp3", "2015-01-22_Prerana_Festivals-The_Power_of_Sound_-_Radhanath_Swami_ISKCON_Chowpatty.mp3")</f>
        <v>2015-01-22_Prerana_Festivals-The_Power_of_Sound_-_Radhanath_Swami_ISKCON_Chowpatty.mp3</v>
      </c>
      <c r="D2830" s="11"/>
      <c r="E2830" s="11"/>
    </row>
    <row r="2831" spans="1:5">
      <c r="A2831" s="12" t="s">
        <v>12462</v>
      </c>
      <c r="B2831" s="12" t="s">
        <v>15582</v>
      </c>
      <c r="C2831" s="13" t="str">
        <f>HYPERLINK("https://audio.iskcondesiretree.com/02_-_ISKCON_Swamis/ISKCON_Swamis_-_R_to_Y/His_Holiness_Radhanath_Swami/Lectures/00_-_Year_wise/Devotional_Nectar_-_2015/2015-01-23_Festivals_-_Ratha_Yatra_Festivals_-_Radhanath_Swami_Juhu.mp3", "2015-01-23_Festivals_-_Ratha_Yatra_Festivals_-_Radhanath_Swami_Juhu.mp3")</f>
        <v>2015-01-23_Festivals_-_Ratha_Yatra_Festivals_-_Radhanath_Swami_Juhu.mp3</v>
      </c>
      <c r="D2831" s="11"/>
      <c r="E2831" s="11"/>
    </row>
    <row r="2832" spans="1:5">
      <c r="A2832" s="12" t="s">
        <v>12462</v>
      </c>
      <c r="B2832" s="12" t="s">
        <v>15583</v>
      </c>
      <c r="C2832" s="13" t="str">
        <f>HYPERLINK("https://audio.iskcondesiretree.com/02_-_ISKCON_Swamis/ISKCON_Swamis_-_R_to_Y/His_Holiness_Radhanath_Swami/Lectures/00_-_Year_wise/Devotional_Nectar_-_2015/2015-01-30_Festivals_-_Initiation_Lecture_-_Radhanath_Swami_Juhu.mp3", "2015-01-30_Festivals_-_Initiation_Lecture_-_Radhanath_Swami_Juhu.mp3")</f>
        <v>2015-01-30_Festivals_-_Initiation_Lecture_-_Radhanath_Swami_Juhu.mp3</v>
      </c>
      <c r="D2832" s="11"/>
      <c r="E2832" s="11"/>
    </row>
    <row r="2833" spans="1:5">
      <c r="A2833" s="12" t="s">
        <v>12462</v>
      </c>
      <c r="B2833" s="12" t="s">
        <v>15584</v>
      </c>
      <c r="C2833" s="13" t="str">
        <f>HYPERLINK("https://audio.iskcondesiretree.com/02_-_ISKCON_Swamis/ISKCON_Swamis_-_R_to_Y/His_Holiness_Radhanath_Swami/Lectures/00_-_Year_wise/Devotional_Nectar_-_2015/2015-02-02_Various_-_Srila_Prabhupada_and_Calcutta_-_Radhanath_Swami_Kolkata.mp3", "2015-02-02_Various_-_Srila_Prabhupada_and_Calcutta_-_Radhanath_Swami_Kolkata.mp3")</f>
        <v>2015-02-02_Various_-_Srila_Prabhupada_and_Calcutta_-_Radhanath_Swami_Kolkata.mp3</v>
      </c>
      <c r="D2833" s="11"/>
      <c r="E2833" s="11"/>
    </row>
    <row r="2834" spans="1:5">
      <c r="A2834" s="12" t="s">
        <v>12462</v>
      </c>
      <c r="B2834" s="12" t="s">
        <v>15585</v>
      </c>
      <c r="C2834" s="13" t="str">
        <f>HYPERLINK("https://audio.iskcondesiretree.com/02_-_ISKCON_Swamis/ISKCON_Swamis_-_R_to_Y/His_Holiness_Radhanath_Swami/Lectures/00_-_Year_wise/Devotional_Nectar_-_2015/2015-02-14_SB_06-04-12_-_Radhanath_Swami_ISKCON_Mayapur.mp3", "2015-02-14_SB_06-04-12_-_Radhanath_Swami_ISKCON_Mayapur.mp3")</f>
        <v>2015-02-14_SB_06-04-12_-_Radhanath_Swami_ISKCON_Mayapur.mp3</v>
      </c>
      <c r="D2834" s="11"/>
      <c r="E2834" s="11"/>
    </row>
    <row r="2835" spans="1:5">
      <c r="A2835" s="12" t="s">
        <v>12462</v>
      </c>
      <c r="B2835" s="12" t="s">
        <v>15586</v>
      </c>
      <c r="C2835" s="13" t="str">
        <f>HYPERLINK("https://audio.iskcondesiretree.com/02_-_ISKCON_Swamis/ISKCON_Swamis_-_R_to_Y/His_Holiness_Radhanath_Swami/Lectures/00_-_Year_wise/Devotional_Nectar_-_2015/2015-02-21_SB-10-58-06-07_-_Gratitude_In_All_Situation_-_Radhanath_Swami_ISKCON_Chowpatty.mp3", "2015-02-21_SB-10-58-06-07_-_Gratitude_In_All_Situation_-_Radhanath_Swami_ISKCON_Chowpatty.mp3")</f>
        <v>2015-02-21_SB-10-58-06-07_-_Gratitude_In_All_Situation_-_Radhanath_Swami_ISKCON_Chowpatty.mp3</v>
      </c>
      <c r="D2835" s="11"/>
      <c r="E2835" s="11"/>
    </row>
    <row r="2836" spans="1:5">
      <c r="A2836" s="12" t="s">
        <v>12462</v>
      </c>
      <c r="B2836" s="12" t="s">
        <v>15587</v>
      </c>
      <c r="C2836" s="13" t="str">
        <f>HYPERLINK("https://audio.iskcondesiretree.com/02_-_ISKCON_Swamis/ISKCON_Swamis_-_R_to_Y/His_Holiness_Radhanath_Swami/Lectures/00_-_Year_wise/Devotional_Nectar_-_2015/2015-02-22_Festivals_-_Wada_Rath_Yatra-Celebrating_Festival_of_Chariots_-_Radhanath_Swami_Wada.mp3", "2015-02-22_Festivals_-_Wada_Rath_Yatra-Celebrating_Festival_of_Chariots_-_Radhanath_Swami_Wada.mp3")</f>
        <v>2015-02-22_Festivals_-_Wada_Rath_Yatra-Celebrating_Festival_of_Chariots_-_Radhanath_Swami_Wada.mp3</v>
      </c>
      <c r="D2836" s="11"/>
      <c r="E2836" s="11"/>
    </row>
    <row r="2837" spans="1:5">
      <c r="A2837" s="12" t="s">
        <v>12462</v>
      </c>
      <c r="B2837" s="12" t="s">
        <v>15588</v>
      </c>
      <c r="C2837" s="13" t="str">
        <f>HYPERLINK("https://audio.iskcondesiretree.com/02_-_ISKCON_Swamis/ISKCON_Swamis_-_R_to_Y/His_Holiness_Radhanath_Swami/Lectures/00_-_Year_wise/Devotional_Nectar_-_2015/2015-02-27_Various_-_Recognising_The_Divinity_In_Everyone_-_Radhanath_Swami_Vivek_Vig_House.mp3", "2015-02-27_Various_-_Recognising_The_Divinity_In_Everyone_-_Radhanath_Swami_Vivek_Vig_House.mp3")</f>
        <v>2015-02-27_Various_-_Recognising_The_Divinity_In_Everyone_-_Radhanath_Swami_Vivek_Vig_House.mp3</v>
      </c>
      <c r="D2837" s="11"/>
      <c r="E2837" s="11"/>
    </row>
    <row r="2838" spans="1:5">
      <c r="A2838" s="12" t="s">
        <v>12462</v>
      </c>
      <c r="B2838" s="12" t="s">
        <v>15589</v>
      </c>
      <c r="C2838" s="13" t="str">
        <f>HYPERLINK("https://audio.iskcondesiretree.com/02_-_ISKCON_Swamis/ISKCON_Swamis_-_R_to_Y/His_Holiness_Radhanath_Swami/Lectures/00_-_Year_wise/Devotional_Nectar_-_2015/2015-03-01_Various_-_IYF-Qualities_of_A_Real_Yogi_-_Radhanath_Swami_Rishikesh.mp3", "2015-03-01_Various_-_IYF-Qualities_of_A_Real_Yogi_-_Radhanath_Swami_Rishikesh.mp3")</f>
        <v>2015-03-01_Various_-_IYF-Qualities_of_A_Real_Yogi_-_Radhanath_Swami_Rishikesh.mp3</v>
      </c>
      <c r="D2838" s="11"/>
      <c r="E2838" s="11"/>
    </row>
    <row r="2839" spans="1:5">
      <c r="A2839" s="12" t="s">
        <v>12462</v>
      </c>
      <c r="B2839" s="12" t="s">
        <v>15590</v>
      </c>
      <c r="C2839" s="13" t="str">
        <f>HYPERLINK("https://audio.iskcondesiretree.com/02_-_ISKCON_Swamis/ISKCON_Swamis_-_R_to_Y/His_Holiness_Radhanath_Swami/Lectures/00_-_Year_wise/Devotional_Nectar_-_2015/2015-03-02_Various_-_Glories_of_Hanuman_-_Radhanath_Swami_Rishikesh.mp3", "2015-03-02_Various_-_Glories_of_Hanuman_-_Radhanath_Swami_Rishikesh.mp3")</f>
        <v>2015-03-02_Various_-_Glories_of_Hanuman_-_Radhanath_Swami_Rishikesh.mp3</v>
      </c>
      <c r="D2839" s="11"/>
      <c r="E2839" s="11"/>
    </row>
    <row r="2840" spans="1:5">
      <c r="A2840" s="12" t="s">
        <v>12462</v>
      </c>
      <c r="B2840" s="12" t="s">
        <v>15591</v>
      </c>
      <c r="C2840" s="13" t="str">
        <f>HYPERLINK("https://audio.iskcondesiretree.com/02_-_ISKCON_Swamis/ISKCON_Swamis_-_R_to_Y/His_Holiness_Radhanath_Swami/Lectures/00_-_Year_wise/Devotional_Nectar_-_2015/2015-03-02_Various_-_IYF-Equanimity_Amidst_Turbulence_-_Radhanath_Swami_Rishikesh.mp3", "2015-03-02_Various_-_IYF-Equanimity_Amidst_Turbulence_-_Radhanath_Swami_Rishikesh.mp3")</f>
        <v>2015-03-02_Various_-_IYF-Equanimity_Amidst_Turbulence_-_Radhanath_Swami_Rishikesh.mp3</v>
      </c>
      <c r="D2840" s="11"/>
      <c r="E2840" s="11"/>
    </row>
    <row r="2841" spans="1:5">
      <c r="A2841" s="12" t="s">
        <v>12462</v>
      </c>
      <c r="B2841" s="12" t="s">
        <v>15592</v>
      </c>
      <c r="C2841" s="13" t="str">
        <f>HYPERLINK("https://audio.iskcondesiretree.com/02_-_ISKCON_Swamis/ISKCON_Swamis_-_R_to_Y/His_Holiness_Radhanath_Swami/Lectures/00_-_Year_wise/Devotional_Nectar_-_2015/2015-03-03_Various_-_Glory_of_Path_of_Devotion_and_Holy_Name_-_Radhanath_Swami_Rishikesh.mp3", "2015-03-03_Various_-_Glory_of_Path_of_Devotion_and_Holy_Name_-_Radhanath_Swami_Rishikesh.mp3")</f>
        <v>2015-03-03_Various_-_Glory_of_Path_of_Devotion_and_Holy_Name_-_Radhanath_Swami_Rishikesh.mp3</v>
      </c>
      <c r="D2841" s="11"/>
      <c r="E2841" s="11"/>
    </row>
    <row r="2842" spans="1:5">
      <c r="A2842" s="12" t="s">
        <v>12462</v>
      </c>
      <c r="B2842" s="12" t="s">
        <v>15593</v>
      </c>
      <c r="C2842" s="13" t="str">
        <f>HYPERLINK("https://audio.iskcondesiretree.com/02_-_ISKCON_Swamis/ISKCON_Swamis_-_R_to_Y/His_Holiness_Radhanath_Swami/Lectures/00_-_Year_wise/Devotional_Nectar_-_2015/2015-03-03_Various_-_IYF-Yoga_of_Love_-_Radhanath_Swami_Rishikesh.mp3", "2015-03-03_Various_-_IYF-Yoga_of_Love_-_Radhanath_Swami_Rishikesh.mp3")</f>
        <v>2015-03-03_Various_-_IYF-Yoga_of_Love_-_Radhanath_Swami_Rishikesh.mp3</v>
      </c>
      <c r="D2842" s="11"/>
      <c r="E2842" s="11"/>
    </row>
    <row r="2843" spans="1:5">
      <c r="A2843" s="12" t="s">
        <v>12462</v>
      </c>
      <c r="B2843" s="12" t="s">
        <v>15594</v>
      </c>
      <c r="C2843" s="13" t="str">
        <f>HYPERLINK("https://audio.iskcondesiretree.com/02_-_ISKCON_Swamis/ISKCON_Swamis_-_R_to_Y/His_Holiness_Radhanath_Swami/Lectures/00_-_Year_wise/Devotional_Nectar_-_2015/2015-03-03_Various_-_Meaning_of_Anand_Prakash_-_Radhanath_Swami_Rishikesh.mp3", "2015-03-03_Various_-_Meaning_of_Anand_Prakash_-_Radhanath_Swami_Rishikesh.mp3")</f>
        <v>2015-03-03_Various_-_Meaning_of_Anand_Prakash_-_Radhanath_Swami_Rishikesh.mp3</v>
      </c>
      <c r="D2843" s="11"/>
      <c r="E2843" s="11"/>
    </row>
    <row r="2844" spans="1:5">
      <c r="A2844" s="12" t="s">
        <v>12462</v>
      </c>
      <c r="B2844" s="12" t="s">
        <v>15595</v>
      </c>
      <c r="C2844" s="13" t="str">
        <f>HYPERLINK("https://audio.iskcondesiretree.com/02_-_ISKCON_Swamis/ISKCON_Swamis_-_R_to_Y/His_Holiness_Radhanath_Swami/Lectures/00_-_Year_wise/Devotional_Nectar_-_2015/2015-03-05_CC_Adi_Lila_07-20-21_-_Gaur_Purnima_Festival_-_Radhanath_Swami_ISKCON_Chowpatty.mp3", "2015-03-05_CC_Adi_Lila_07-20-21_-_Gaur_Purnima_Festival_-_Radhanath_Swami_ISKCON_Chowpatty.mp3")</f>
        <v>2015-03-05_CC_Adi_Lila_07-20-21_-_Gaur_Purnima_Festival_-_Radhanath_Swami_ISKCON_Chowpatty.mp3</v>
      </c>
      <c r="D2844" s="11"/>
      <c r="E2844" s="11"/>
    </row>
    <row r="2845" spans="1:5">
      <c r="A2845" s="12" t="s">
        <v>12462</v>
      </c>
      <c r="B2845" s="12" t="s">
        <v>15596</v>
      </c>
      <c r="C2845" s="13" t="str">
        <f>HYPERLINK("https://audio.iskcondesiretree.com/02_-_ISKCON_Swamis/ISKCON_Swamis_-_R_to_Y/His_Holiness_Radhanath_Swami/Lectures/00_-_Year_wise/Devotional_Nectar_-_2015/2015-03-05_Festivals_-_Gaur_Purnima-Evening_Lecture_-_Radhanath_Swami_ISKCON_Chowpatty.mp3", "2015-03-05_Festivals_-_Gaur_Purnima-Evening_Lecture_-_Radhanath_Swami_ISKCON_Chowpatty.mp3")</f>
        <v>2015-03-05_Festivals_-_Gaur_Purnima-Evening_Lecture_-_Radhanath_Swami_ISKCON_Chowpatty.mp3</v>
      </c>
      <c r="D2845" s="11"/>
      <c r="E2845" s="11"/>
    </row>
    <row r="2846" spans="1:5">
      <c r="A2846" s="12" t="s">
        <v>12462</v>
      </c>
      <c r="B2846" s="12" t="s">
        <v>15597</v>
      </c>
      <c r="C2846" s="13" t="str">
        <f>HYPERLINK("https://audio.iskcondesiretree.com/02_-_ISKCON_Swamis/ISKCON_Swamis_-_R_to_Y/His_Holiness_Radhanath_Swami/Lectures/00_-_Year_wise/Devotional_Nectar_-_2015/2015-03-05_Various_-_Enchanting_Pastimes_of_Lord_Caitanya_Mahaprabhu_01_-_Radhanath_Swami.mp3", "2015-03-05_Various_-_Enchanting_Pastimes_of_Lord_Caitanya_Mahaprabhu_01_-_Radhanath_Swami.mp3")</f>
        <v>2015-03-05_Various_-_Enchanting_Pastimes_of_Lord_Caitanya_Mahaprabhu_01_-_Radhanath_Swami.mp3</v>
      </c>
      <c r="D2846" s="11"/>
      <c r="E2846" s="11"/>
    </row>
    <row r="2847" spans="1:5">
      <c r="A2847" s="12" t="s">
        <v>12462</v>
      </c>
      <c r="B2847" s="12" t="s">
        <v>15598</v>
      </c>
      <c r="C2847" s="13" t="str">
        <f>HYPERLINK("https://audio.iskcondesiretree.com/02_-_ISKCON_Swamis/ISKCON_Swamis_-_R_to_Y/His_Holiness_Radhanath_Swami/Lectures/00_-_Year_wise/Devotional_Nectar_-_2015/2015-03-06_Festivals-Jagannath_Mishra_Festival_-_Radhanath_Swami_ISKCON_Chowpatty.mp3", "2015-03-06_Festivals-Jagannath_Mishra_Festival_-_Radhanath_Swami_ISKCON_Chowpatty.mp3")</f>
        <v>2015-03-06_Festivals-Jagannath_Mishra_Festival_-_Radhanath_Swami_ISKCON_Chowpatty.mp3</v>
      </c>
      <c r="D2847" s="11"/>
      <c r="E2847" s="11"/>
    </row>
    <row r="2848" spans="1:5">
      <c r="A2848" s="12" t="s">
        <v>12462</v>
      </c>
      <c r="B2848" s="12" t="s">
        <v>15599</v>
      </c>
      <c r="C2848" s="13" t="str">
        <f>HYPERLINK("https://audio.iskcondesiretree.com/02_-_ISKCON_Swamis/ISKCON_Swamis_-_R_to_Y/His_Holiness_Radhanath_Swami/Lectures/00_-_Year_wise/Devotional_Nectar_-_2015/2015-03-06_Various_-_Enchanting_Pastimes_of_Lord_Caitanya_Mahaprabhu_02_-_Radhanath_Swami.mp3", "2015-03-06_Various_-_Enchanting_Pastimes_of_Lord_Caitanya_Mahaprabhu_02_-_Radhanath_Swami.mp3")</f>
        <v>2015-03-06_Various_-_Enchanting_Pastimes_of_Lord_Caitanya_Mahaprabhu_02_-_Radhanath_Swami.mp3</v>
      </c>
      <c r="D2848" s="11"/>
      <c r="E2848" s="11"/>
    </row>
    <row r="2849" spans="1:5">
      <c r="A2849" s="12" t="s">
        <v>12462</v>
      </c>
      <c r="B2849" s="12" t="s">
        <v>15600</v>
      </c>
      <c r="C2849" s="13" t="str">
        <f>HYPERLINK("https://audio.iskcondesiretree.com/02_-_ISKCON_Swamis/ISKCON_Swamis_-_R_to_Y/His_Holiness_Radhanath_Swami/Lectures/00_-_Year_wise/Devotional_Nectar_-_2015/2015-03-08_SB_04-16-03_-_Leadership_means_to_Sacrifice_and_be_Responsible_-_Radhanath_Swami.mp3", "2015-03-08_SB_04-16-03_-_Leadership_means_to_Sacrifice_and_be_Responsible_-_Radhanath_Swami.mp3")</f>
        <v>2015-03-08_SB_04-16-03_-_Leadership_means_to_Sacrifice_and_be_Responsible_-_Radhanath_Swami.mp3</v>
      </c>
      <c r="D2849" s="11"/>
      <c r="E2849" s="11"/>
    </row>
    <row r="2850" spans="1:5">
      <c r="A2850" s="12" t="s">
        <v>12462</v>
      </c>
      <c r="B2850" s="12" t="s">
        <v>15601</v>
      </c>
      <c r="C2850" s="13" t="str">
        <f>HYPERLINK("https://audio.iskcondesiretree.com/02_-_ISKCON_Swamis/ISKCON_Swamis_-_R_to_Y/His_Holiness_Radhanath_Swami/Lectures/00_-_Year_wise/Devotional_Nectar_-_2015/2015-04-05_Various_-_Valuable_Lessons_From_Ramayana_-_Radhanath_Swami_Coimbatore.mp3", "2015-04-05_Various_-_Valuable_Lessons_From_Ramayana_-_Radhanath_Swami_Coimbatore.mp3")</f>
        <v>2015-04-05_Various_-_Valuable_Lessons_From_Ramayana_-_Radhanath_Swami_Coimbatore.mp3</v>
      </c>
      <c r="D2850" s="11"/>
      <c r="E2850" s="11"/>
    </row>
    <row r="2851" spans="1:5">
      <c r="A2851" s="12" t="s">
        <v>12462</v>
      </c>
      <c r="B2851" s="12" t="s">
        <v>15602</v>
      </c>
      <c r="C2851" s="13" t="str">
        <f>HYPERLINK("https://audio.iskcondesiretree.com/02_-_ISKCON_Swamis/ISKCON_Swamis_-_R_to_Y/His_Holiness_Radhanath_Swami/Lectures/00_-_Year_wise/Devotional_Nectar_-_2015/2015-04-12_SB-10-60-37_-_Imports_of_Word_Niskincanah_-_Radhanath_Swami_ISKCON_Chowpatty.mp3", "2015-04-12_SB-10-60-37_-_Imports_of_Word_Niskincanah_-_Radhanath_Swami_ISKCON_Chowpatty.mp3")</f>
        <v>2015-04-12_SB-10-60-37_-_Imports_of_Word_Niskincanah_-_Radhanath_Swami_ISKCON_Chowpatty.mp3</v>
      </c>
      <c r="D2851" s="11"/>
      <c r="E2851" s="11"/>
    </row>
    <row r="2852" spans="1:5">
      <c r="A2852" s="12" t="s">
        <v>12462</v>
      </c>
      <c r="B2852" s="12" t="s">
        <v>15603</v>
      </c>
      <c r="C2852" s="13" t="str">
        <f>HYPERLINK("https://audio.iskcondesiretree.com/02_-_ISKCON_Swamis/ISKCON_Swamis_-_R_to_Y/His_Holiness_Radhanath_Swami/Lectures/00_-_Year_wise/Devotional_Nectar_-_2015/2015-04-29_SB_07-09-44_-_Radhanath_Swami_ISKCON_London.mp3", "2015-04-29_SB_07-09-44_-_Radhanath_Swami_ISKCON_London.mp3")</f>
        <v>2015-04-29_SB_07-09-44_-_Radhanath_Swami_ISKCON_London.mp3</v>
      </c>
      <c r="D2852" s="11"/>
      <c r="E2852" s="11"/>
    </row>
    <row r="2853" spans="1:5">
      <c r="A2853" s="12" t="s">
        <v>12462</v>
      </c>
      <c r="B2853" s="12" t="s">
        <v>15604</v>
      </c>
      <c r="C2853" s="13" t="str">
        <f>HYPERLINK("https://audio.iskcondesiretree.com/02_-_ISKCON_Swamis/ISKCON_Swamis_-_R_to_Y/His_Holiness_Radhanath_Swami/Lectures/00_-_Year_wise/Devotional_Nectar_-_2015/2015-05_SB_05-18-09_-_Radhanath_Swami_North_Carolina.mp3", "2015-05_SB_05-18-09_-_Radhanath_Swami_North_Carolina.mp3")</f>
        <v>2015-05_SB_05-18-09_-_Radhanath_Swami_North_Carolina.mp3</v>
      </c>
      <c r="D2853" s="11"/>
      <c r="E2853" s="11"/>
    </row>
    <row r="2854" spans="1:5">
      <c r="A2854" s="12" t="s">
        <v>12462</v>
      </c>
      <c r="B2854" s="12" t="s">
        <v>15605</v>
      </c>
      <c r="C2854" s="13" t="str">
        <f>HYPERLINK("https://audio.iskcondesiretree.com/02_-_ISKCON_Swamis/ISKCON_Swamis_-_R_to_Y/His_Holiness_Radhanath_Swami/Lectures/00_-_Year_wise/Devotional_Nectar_-_2015/2015-06-30_SB_09-06-48_-_Radhanath_Swami_Los_Angeles.mp3", "2015-06-30_SB_09-06-48_-_Radhanath_Swami_Los_Angeles.mp3")</f>
        <v>2015-06-30_SB_09-06-48_-_Radhanath_Swami_Los_Angeles.mp3</v>
      </c>
      <c r="D2854" s="11"/>
      <c r="E2854" s="11"/>
    </row>
    <row r="2855" spans="1:5">
      <c r="A2855" s="12" t="s">
        <v>12462</v>
      </c>
      <c r="B2855" s="12" t="s">
        <v>15606</v>
      </c>
      <c r="C2855" s="13" t="str">
        <f>HYPERLINK("https://audio.iskcondesiretree.com/02_-_ISKCON_Swamis/ISKCON_Swamis_-_R_to_Y/His_Holiness_Radhanath_Swami/Lectures/00_-_Year_wise/Devotional_Nectar_-_2015/2015-07-01_Various_-_What_is_Yoga_-_Radhanath_Swami_Veda_Yoga_Center.mp3", "2015-07-01_Various_-_What_is_Yoga_-_Radhanath_Swami_Veda_Yoga_Center.mp3")</f>
        <v>2015-07-01_Various_-_What_is_Yoga_-_Radhanath_Swami_Veda_Yoga_Center.mp3</v>
      </c>
      <c r="D2855" s="11"/>
      <c r="E2855" s="11"/>
    </row>
    <row r="2856" spans="1:5">
      <c r="A2856" s="12" t="s">
        <v>12462</v>
      </c>
      <c r="B2856" s="12" t="s">
        <v>15607</v>
      </c>
      <c r="C2856" s="13" t="str">
        <f>HYPERLINK("https://audio.iskcondesiretree.com/02_-_ISKCON_Swamis/ISKCON_Swamis_-_R_to_Y/His_Holiness_Radhanath_Swami/Lectures/00_-_Year_wise/Devotional_Nectar_-_2015/2015-07-03_Various_-_Every_human_being_has_Limitness_Desire_-_Radhanath_Swami_Camarillo.mp3", "2015-07-03_Various_-_Every_human_being_has_Limitness_Desire_-_Radhanath_Swami_Camarillo.mp3")</f>
        <v>2015-07-03_Various_-_Every_human_being_has_Limitness_Desire_-_Radhanath_Swami_Camarillo.mp3</v>
      </c>
      <c r="D2856" s="11"/>
      <c r="E2856" s="11"/>
    </row>
    <row r="2857" spans="1:5">
      <c r="A2857" s="12" t="s">
        <v>12462</v>
      </c>
      <c r="B2857" s="12" t="s">
        <v>15608</v>
      </c>
      <c r="C2857" s="13" t="str">
        <f>HYPERLINK("https://audio.iskcondesiretree.com/02_-_ISKCON_Swamis/ISKCON_Swamis_-_R_to_Y/His_Holiness_Radhanath_Swami/Lectures/00_-_Year_wise/Devotional_Nectar_-_2015/2015-07-07_SB_09-07-08_-_Radhanath_Swami_Los_Angeles.mp3", "2015-07-07_SB_09-07-08_-_Radhanath_Swami_Los_Angeles.mp3")</f>
        <v>2015-07-07_SB_09-07-08_-_Radhanath_Swami_Los_Angeles.mp3</v>
      </c>
      <c r="D2857" s="11"/>
      <c r="E2857" s="11"/>
    </row>
    <row r="2858" spans="1:5">
      <c r="A2858" s="12" t="s">
        <v>12462</v>
      </c>
      <c r="B2858" s="12" t="s">
        <v>15609</v>
      </c>
      <c r="C2858" s="13" t="str">
        <f>HYPERLINK("https://audio.iskcondesiretree.com/02_-_ISKCON_Swamis/ISKCON_Swamis_-_R_to_Y/His_Holiness_Radhanath_Swami/Lectures/00_-_Year_wise/Devotional_Nectar_-_2015/2015-07_Various_-_Compassionate_-_Radhanath_Swami_Yogalution_Movement_Ayurveda.mp3", "2015-07_Various_-_Compassionate_-_Radhanath_Swami_Yogalution_Movement_Ayurveda.mp3")</f>
        <v>2015-07_Various_-_Compassionate_-_Radhanath_Swami_Yogalution_Movement_Ayurveda.mp3</v>
      </c>
      <c r="D2858" s="11"/>
      <c r="E2858" s="11"/>
    </row>
    <row r="2859" spans="1:5">
      <c r="A2859" s="12" t="s">
        <v>12462</v>
      </c>
      <c r="B2859" s="12" t="s">
        <v>15610</v>
      </c>
      <c r="C2859" s="13" t="str">
        <f>HYPERLINK("https://audio.iskcondesiretree.com/02_-_ISKCON_Swamis/ISKCON_Swamis_-_R_to_Y/His_Holiness_Radhanath_Swami/Lectures/00_-_Year_wise/Devotional_Nectar_-_2015/2015-08-22_Prerana_-_Jaladuta-A_Historic_Voyage_-_Radhanath_Swami_ISKCON_Chowpatty.mp3", "2015-08-22_Prerana_-_Jaladuta-A_Historic_Voyage_-_Radhanath_Swami_ISKCON_Chowpatty.mp3")</f>
        <v>2015-08-22_Prerana_-_Jaladuta-A_Historic_Voyage_-_Radhanath_Swami_ISKCON_Chowpatty.mp3</v>
      </c>
      <c r="D2859" s="11"/>
      <c r="E2859" s="11"/>
    </row>
    <row r="2860" spans="1:5">
      <c r="A2860" s="12" t="s">
        <v>12462</v>
      </c>
      <c r="B2860" s="12" t="s">
        <v>15611</v>
      </c>
      <c r="C2860" s="13" t="str">
        <f>HYPERLINK("https://audio.iskcondesiretree.com/02_-_ISKCON_Swamis/ISKCON_Swamis_-_R_to_Y/His_Holiness_Radhanath_Swami/Lectures/00_-_Year_wise/Devotional_Nectar_-_2015/2015-08-22_SB-10-67-04_-_Beware_of_Spritiual_Crisis_-_Radhanath_Swami_ISKCON_Chowpatty.mp3", "2015-08-22_SB-10-67-04_-_Beware_of_Spritiual_Crisis_-_Radhanath_Swami_ISKCON_Chowpatty.mp3")</f>
        <v>2015-08-22_SB-10-67-04_-_Beware_of_Spritiual_Crisis_-_Radhanath_Swami_ISKCON_Chowpatty.mp3</v>
      </c>
      <c r="D2860" s="11"/>
      <c r="E2860" s="11"/>
    </row>
    <row r="2861" spans="1:5">
      <c r="A2861" s="12" t="s">
        <v>12462</v>
      </c>
      <c r="B2861" s="12" t="s">
        <v>15612</v>
      </c>
      <c r="C2861" s="13" t="str">
        <f>HYPERLINK("https://audio.iskcondesiretree.com/02_-_ISKCON_Swamis/ISKCON_Swamis_-_R_to_Y/His_Holiness_Radhanath_Swami/Lectures/00_-_Year_wise/Devotional_Nectar_-_2015/2015-08-28_Various_-_Lessons_from_Churning_of_Milk_Ocean_-_Radhanath_Swami_Kumbha_Mela_Nasik.mp3", "2015-08-28_Various_-_Lessons_from_Churning_of_Milk_Ocean_-_Radhanath_Swami_Kumbha_Mela_Nasik.mp3")</f>
        <v>2015-08-28_Various_-_Lessons_from_Churning_of_Milk_Ocean_-_Radhanath_Swami_Kumbha_Mela_Nasik.mp3</v>
      </c>
      <c r="D2861" s="11"/>
      <c r="E2861" s="11"/>
    </row>
    <row r="2862" spans="1:5">
      <c r="A2862" s="12" t="s">
        <v>12462</v>
      </c>
      <c r="B2862" s="12" t="s">
        <v>15613</v>
      </c>
      <c r="C2862" s="13" t="str">
        <f>HYPERLINK("https://audio.iskcondesiretree.com/02_-_ISKCON_Swamis/ISKCON_Swamis_-_R_to_Y/His_Holiness_Radhanath_Swami/Lectures/00_-_Year_wise/Devotional_Nectar_-_2015/2015-08-28_Various_-_Pastimes_and_Glories_of_Nasik_Dham_-_Radhanath_Swami_ISKCON_Nasik.mp3", "2015-08-28_Various_-_Pastimes_and_Glories_of_Nasik_Dham_-_Radhanath_Swami_ISKCON_Nasik.mp3")</f>
        <v>2015-08-28_Various_-_Pastimes_and_Glories_of_Nasik_Dham_-_Radhanath_Swami_ISKCON_Nasik.mp3</v>
      </c>
      <c r="D2862" s="11"/>
      <c r="E2862" s="11"/>
    </row>
    <row r="2863" spans="1:5">
      <c r="A2863" s="12" t="s">
        <v>12462</v>
      </c>
      <c r="B2863" s="12" t="e">
        <v>#VALUE!</v>
      </c>
      <c r="C2863" s="13" t="e">
        <f>HYPERLINK("https://audio.iskcondesiretree.com/02_-_ISKCON_Swamis/ISKCON_Swamis_-_R_to_Y/His_Holiness_Radhanath_Swami/Lectures/00_-_Year_wise/Devotional_Nectar_-_2015/2015-08-29_SB_08-02-32_-_The_Elephant_Gajendra%E2%80%99s_Crisis_-_Radhanath_Swami_Kumbha%20Mela_Nasi"&amp;"k.mp3", "2015-08-29_SB_08-02-32_-_The_Elephant_Gajendra%E2%80%99s_Crisis_-_Radhanath_Swami_Kumbha%20Mela_Nasik.mp3")</f>
        <v>#VALUE!</v>
      </c>
      <c r="D2863" s="11"/>
      <c r="E2863" s="11"/>
    </row>
    <row r="2864" spans="1:5">
      <c r="A2864" s="12" t="s">
        <v>12462</v>
      </c>
      <c r="B2864" s="12" t="s">
        <v>15614</v>
      </c>
      <c r="C2864" s="13" t="str">
        <f>HYPERLINK("https://audio.iskcondesiretree.com/02_-_ISKCON_Swamis/ISKCON_Swamis_-_R_to_Y/His_Holiness_Radhanath_Swami/Lectures/00_-_Year_wise/Devotional_Nectar_-_2015/2015-08-29_Various_-_Glories_of_Lord_Balarama_-_Radhanath_Swami_Kumbha_Mela_Nasik.mp3", "2015-08-29_Various_-_Glories_of_Lord_Balarama_-_Radhanath_Swami_Kumbha_Mela_Nasik.mp3")</f>
        <v>2015-08-29_Various_-_Glories_of_Lord_Balarama_-_Radhanath_Swami_Kumbha_Mela_Nasik.mp3</v>
      </c>
      <c r="D2864" s="11"/>
      <c r="E2864" s="11"/>
    </row>
    <row r="2865" spans="1:5">
      <c r="A2865" s="12" t="s">
        <v>12462</v>
      </c>
      <c r="B2865" s="12" t="s">
        <v>15615</v>
      </c>
      <c r="C2865" s="13" t="str">
        <f>HYPERLINK("https://audio.iskcondesiretree.com/02_-_ISKCON_Swamis/ISKCON_Swamis_-_R_to_Y/His_Holiness_Radhanath_Swami/Lectures/00_-_Year_wise/Devotional_Nectar_-_2015/2015-09-05_Festivals_-_Janmastami_Talk_-_Radhanath_Swami_Omega.mp3", "2015-09-05_Festivals_-_Janmastami_Talk_-_Radhanath_Swami_Omega.mp3")</f>
        <v>2015-09-05_Festivals_-_Janmastami_Talk_-_Radhanath_Swami_Omega.mp3</v>
      </c>
      <c r="D2865" s="11"/>
      <c r="E2865" s="11"/>
    </row>
    <row r="2866" spans="1:5">
      <c r="A2866" s="12" t="s">
        <v>12462</v>
      </c>
      <c r="B2866" s="12" t="s">
        <v>15616</v>
      </c>
      <c r="C2866" s="13" t="str">
        <f>HYPERLINK("https://audio.iskcondesiretree.com/02_-_ISKCON_Swamis/ISKCON_Swamis_-_R_to_Y/His_Holiness_Radhanath_Swami/Lectures/00_-_Year_wise/Devotional_Nectar_-_2015/2015-09-06_Festivals_-_Srila_Prabhupada_Appearance_-_Radhanath_Swami_Omega.mp3", "2015-09-06_Festivals_-_Srila_Prabhupada_Appearance_-_Radhanath_Swami_Omega.mp3")</f>
        <v>2015-09-06_Festivals_-_Srila_Prabhupada_Appearance_-_Radhanath_Swami_Omega.mp3</v>
      </c>
      <c r="D2866" s="11"/>
      <c r="E2866" s="11"/>
    </row>
    <row r="2867" spans="1:5">
      <c r="A2867" s="12" t="s">
        <v>12462</v>
      </c>
      <c r="B2867" s="12" t="s">
        <v>15617</v>
      </c>
      <c r="C2867" s="13" t="str">
        <f>HYPERLINK("https://audio.iskcondesiretree.com/02_-_ISKCON_Swamis/ISKCON_Swamis_-_R_to_Y/His_Holiness_Radhanath_Swami/Lectures/00_-_Year_wise/Devotional_Nectar_-_2015/2015-09-09_Various_-_Bhakti_Fest-Bhakti_means_to_Love_-_Radhanath_Swami_California.mp3", "2015-09-09_Various_-_Bhakti_Fest-Bhakti_means_to_Love_-_Radhanath_Swami_California.mp3")</f>
        <v>2015-09-09_Various_-_Bhakti_Fest-Bhakti_means_to_Love_-_Radhanath_Swami_California.mp3</v>
      </c>
      <c r="D2867" s="11"/>
      <c r="E2867" s="11"/>
    </row>
    <row r="2868" spans="1:5">
      <c r="A2868" s="12" t="s">
        <v>12462</v>
      </c>
      <c r="B2868" s="12" t="s">
        <v>15618</v>
      </c>
      <c r="C2868" s="13" t="str">
        <f>HYPERLINK("https://audio.iskcondesiretree.com/02_-_ISKCON_Swamis/ISKCON_Swamis_-_R_to_Y/His_Holiness_Radhanath_Swami/Lectures/00_-_Year_wise/Devotional_Nectar_-_2015/2015-09-10_Various_-_Bhakti_Fest-Three_Gunas_-_Radhanath_Swami_California.mp3", "2015-09-10_Various_-_Bhakti_Fest-Three_Gunas_-_Radhanath_Swami_California.mp3")</f>
        <v>2015-09-10_Various_-_Bhakti_Fest-Three_Gunas_-_Radhanath_Swami_California.mp3</v>
      </c>
      <c r="D2868" s="11"/>
      <c r="E2868" s="11"/>
    </row>
    <row r="2869" spans="1:5">
      <c r="A2869" s="12" t="s">
        <v>12462</v>
      </c>
      <c r="B2869" s="12" t="s">
        <v>15619</v>
      </c>
      <c r="C2869" s="13" t="str">
        <f>HYPERLINK("https://audio.iskcondesiretree.com/02_-_ISKCON_Swamis/ISKCON_Swamis_-_R_to_Y/His_Holiness_Radhanath_Swami/Lectures/00_-_Year_wise/Devotional_Nectar_-_2015/2015-09-11_Various_-_Bhakti_Fest-Jatayu_Helping_Mother_Sita_-_Radhanath_Swami_California.mp3", "2015-09-11_Various_-_Bhakti_Fest-Jatayu_Helping_Mother_Sita_-_Radhanath_Swami_California.mp3")</f>
        <v>2015-09-11_Various_-_Bhakti_Fest-Jatayu_Helping_Mother_Sita_-_Radhanath_Swami_California.mp3</v>
      </c>
      <c r="D2869" s="11"/>
      <c r="E2869" s="11"/>
    </row>
    <row r="2870" spans="1:5">
      <c r="A2870" s="12" t="s">
        <v>12462</v>
      </c>
      <c r="B2870" s="12" t="s">
        <v>15620</v>
      </c>
      <c r="C2870" s="13" t="str">
        <f>HYPERLINK("https://audio.iskcondesiretree.com/02_-_ISKCON_Swamis/ISKCON_Swamis_-_R_to_Y/His_Holiness_Radhanath_Swami/Lectures/00_-_Year_wise/Devotional_Nectar_-_2015/2015-09-13_Various_-_Bhakti_Fest-Spiritual_Path_-_Radhanath_Swami_California.mp3", "2015-09-13_Various_-_Bhakti_Fest-Spiritual_Path_-_Radhanath_Swami_California.mp3")</f>
        <v>2015-09-13_Various_-_Bhakti_Fest-Spiritual_Path_-_Radhanath_Swami_California.mp3</v>
      </c>
      <c r="D2870" s="11"/>
      <c r="E2870" s="11"/>
    </row>
    <row r="2871" spans="1:5">
      <c r="A2871" s="12" t="s">
        <v>12462</v>
      </c>
      <c r="B2871" s="12" t="s">
        <v>15621</v>
      </c>
      <c r="C2871" s="13" t="str">
        <f>HYPERLINK("https://audio.iskcondesiretree.com/02_-_ISKCON_Swamis/ISKCON_Swamis_-_R_to_Y/His_Holiness_Radhanath_Swami/Lectures/00_-_Year_wise/Devotional_Nectar_-_2015/2015-09-13_Various_-_Srila_Prabhupada_Arrival_in_USA_-_Radhanath_Swami_Los_Angeles.mp3", "2015-09-13_Various_-_Srila_Prabhupada_Arrival_in_USA_-_Radhanath_Swami_Los_Angeles.mp3")</f>
        <v>2015-09-13_Various_-_Srila_Prabhupada_Arrival_in_USA_-_Radhanath_Swami_Los_Angeles.mp3</v>
      </c>
      <c r="D2871" s="11"/>
      <c r="E2871" s="11"/>
    </row>
    <row r="2872" spans="1:5">
      <c r="A2872" s="12" t="s">
        <v>12462</v>
      </c>
      <c r="B2872" s="12" t="s">
        <v>15622</v>
      </c>
      <c r="C2872" s="13" t="str">
        <f>HYPERLINK("https://audio.iskcondesiretree.com/02_-_ISKCON_Swamis/ISKCON_Swamis_-_R_to_Y/His_Holiness_Radhanath_Swami/Lectures/00_-_Year_wise/Devotional_Nectar_-_2015/2015-09-16_Festivals_-_Sannyasa_Initiation_of_Amal_Bhakta_Swami_-_Radhanath_Swami_Los_Angeles.mp3", "2015-09-16_Festivals_-_Sannyasa_Initiation_of_Amal_Bhakta_Swami_-_Radhanath_Swami_Los_Angeles.mp3")</f>
        <v>2015-09-16_Festivals_-_Sannyasa_Initiation_of_Amal_Bhakta_Swami_-_Radhanath_Swami_Los_Angeles.mp3</v>
      </c>
      <c r="D2872" s="11"/>
      <c r="E2872" s="11"/>
    </row>
    <row r="2873" spans="1:5">
      <c r="A2873" s="12" t="s">
        <v>12462</v>
      </c>
      <c r="B2873" s="12" t="s">
        <v>15623</v>
      </c>
      <c r="C2873" s="13" t="str">
        <f>HYPERLINK("https://audio.iskcondesiretree.com/02_-_ISKCON_Swamis/ISKCON_Swamis_-_R_to_Y/His_Holiness_Radhanath_Swami/Lectures/00_-_Year_wise/Devotional_Nectar_-_2015/2015-09-21_Festivals_-_Sri_Radhastami_-_Radhanath_Swami_New_Jersey.mp3", "2015-09-21_Festivals_-_Sri_Radhastami_-_Radhanath_Swami_New_Jersey.mp3")</f>
        <v>2015-09-21_Festivals_-_Sri_Radhastami_-_Radhanath_Swami_New_Jersey.mp3</v>
      </c>
      <c r="D2873" s="11"/>
      <c r="E2873" s="11"/>
    </row>
    <row r="2874" spans="1:5">
      <c r="A2874" s="12" t="s">
        <v>12462</v>
      </c>
      <c r="B2874" s="12" t="s">
        <v>15624</v>
      </c>
      <c r="C2874" s="13" t="str">
        <f>HYPERLINK("https://audio.iskcondesiretree.com/02_-_ISKCON_Swamis/ISKCON_Swamis_-_R_to_Y/His_Holiness_Radhanath_Swami/Lectures/00_-_Year_wise/Devotional_Nectar_-_2015/2015-09-22_Festivals_-_Sri_Radhastami_Pearl_Festival_-_Radhanath_Swami_New%20York.mp3", "2015-09-22_Festivals_-_Sri_Radhastami_Pearl_Festival_-_Radhanath_Swami_New%20York.mp3")</f>
        <v>2015-09-22_Festivals_-_Sri_Radhastami_Pearl_Festival_-_Radhanath_Swami_New%20York.mp3</v>
      </c>
      <c r="D2874" s="11"/>
      <c r="E2874" s="11"/>
    </row>
    <row r="2875" spans="1:5">
      <c r="A2875" s="12" t="s">
        <v>12462</v>
      </c>
      <c r="B2875" s="12" t="s">
        <v>15625</v>
      </c>
      <c r="C2875" s="13" t="str">
        <f>HYPERLINK("https://audio.iskcondesiretree.com/02_-_ISKCON_Swamis/ISKCON_Swamis_-_R_to_Y/His_Holiness_Radhanath_Swami/Lectures/00_-_Year_wise/Devotional_Nectar_-_2015/2015-09_Various_-_India_Conference-Maharaja%27s_Experiences_-_Radhanath_Sw_Boston.mp3", "2015-09_Various_-_India_Conference-Maharaja%27s_Experiences_-_Radhanath_Sw_Boston.mp3")</f>
        <v>2015-09_Various_-_India_Conference-Maharaja%27s_Experiences_-_Radhanath_Sw_Boston.mp3</v>
      </c>
      <c r="D2875" s="11"/>
      <c r="E2875" s="11"/>
    </row>
    <row r="2876" spans="1:5">
      <c r="A2876" s="12" t="s">
        <v>12462</v>
      </c>
      <c r="B2876" s="12" t="s">
        <v>15626</v>
      </c>
      <c r="C2876" s="13" t="str">
        <f>HYPERLINK("https://audio.iskcondesiretree.com/02_-_ISKCON_Swamis/ISKCON_Swamis_-_R_to_Y/His_Holiness_Radhanath_Swami/Lectures/00_-_Year_wise/Devotional_Nectar_-_2015/2015-10-18_SB_04-30-08_-_Importance_of_Co-operation_among_Devotees_-_Radhanath_Swami_GEV_Wada.mp3", "2015-10-18_SB_04-30-08_-_Importance_of_Co-operation_among_Devotees_-_Radhanath_Swami_GEV_Wada.mp3")</f>
        <v>2015-10-18_SB_04-30-08_-_Importance_of_Co-operation_among_Devotees_-_Radhanath_Swami_GEV_Wada.mp3</v>
      </c>
      <c r="D2876" s="11"/>
      <c r="E2876" s="11"/>
    </row>
    <row r="2877" spans="1:5">
      <c r="A2877" s="12" t="s">
        <v>12462</v>
      </c>
      <c r="B2877" s="12" t="s">
        <v>15627</v>
      </c>
      <c r="C2877" s="13" t="str">
        <f>HYPERLINK("https://audio.iskcondesiretree.com/02_-_ISKCON_Swamis/ISKCON_Swamis_-_R_to_Y/His_Holiness_Radhanath_Swami/Lectures/00_-_Year_wise/Devotional_Nectar_-_2015/2015-10-27_Various_-_Krishna%27s_Power_to_Receive_and_Give_Love_Is_Unlimited_-_Radhanath_Swami.mp3", "2015-10-27_Various_-_Krishna%27s_Power_to_Receive_and_Give_Love_Is_Unlimited_-_Radhanath_Swami.mp3")</f>
        <v>2015-10-27_Various_-_Krishna%27s_Power_to_Receive_and_Give_Love_Is_Unlimited_-_Radhanath_Swami.mp3</v>
      </c>
      <c r="D2877" s="11"/>
      <c r="E2877" s="11"/>
    </row>
    <row r="2878" spans="1:5">
      <c r="A2878" s="12" t="s">
        <v>12462</v>
      </c>
      <c r="B2878" s="12" t="s">
        <v>15628</v>
      </c>
      <c r="C2878" s="13" t="str">
        <f>HYPERLINK("https://audio.iskcondesiretree.com/02_-_ISKCON_Swamis/ISKCON_Swamis_-_R_to_Y/His_Holiness_Radhanath_Swami/Lectures/00_-_Year_wise/Devotional_Nectar_-_2015/2015-11-25_Various_-_Special_Kartik_Purnima_Class_-_Radhanath_Swami_Bhaktivedanta_Manor.mp3", "2015-11-25_Various_-_Special_Kartik_Purnima_Class_-_Radhanath_Swami_Bhaktivedanta_Manor.mp3")</f>
        <v>2015-11-25_Various_-_Special_Kartik_Purnima_Class_-_Radhanath_Swami_Bhaktivedanta_Manor.mp3</v>
      </c>
      <c r="D2878" s="11"/>
      <c r="E2878" s="11"/>
    </row>
    <row r="2879" spans="1:5">
      <c r="A2879" s="12" t="s">
        <v>12462</v>
      </c>
      <c r="B2879" s="12" t="s">
        <v>15629</v>
      </c>
      <c r="C2879" s="13" t="str">
        <f>HYPERLINK("https://audio.iskcondesiretree.com/02_-_ISKCON_Swamis/ISKCON_Swamis_-_R_to_Y/His_Holiness_Radhanath_Swami/Lectures/00_-_Year_wise/Devotional_Nectar_-_2015/2015-12-08_SB_08-04-03-04_-_Radhanath_Swami_Dallas.mp3", "2015-12-08_SB_08-04-03-04_-_Radhanath_Swami_Dallas.mp3")</f>
        <v>2015-12-08_SB_08-04-03-04_-_Radhanath_Swami_Dallas.mp3</v>
      </c>
      <c r="D2879" s="11"/>
      <c r="E2879" s="11"/>
    </row>
    <row r="2880" spans="1:5">
      <c r="A2880" s="12" t="s">
        <v>12462</v>
      </c>
      <c r="B2880" s="12" t="s">
        <v>15630</v>
      </c>
      <c r="C2880" s="13" t="str">
        <f>HYPERLINK("https://audio.iskcondesiretree.com/02_-_ISKCON_Swamis/ISKCON_Swamis_-_R_to_Y/His_Holiness_Radhanath_Swami/Lectures/00_-_Year_wise/Devotional_Nectar_-_2015/2015_SB_05-18-09_-_Radhanath_Swami_North_Carolina.mp3", "2015_SB_05-18-09_-_Radhanath_Swami_North_Carolina.mp3")</f>
        <v>2015_SB_05-18-09_-_Radhanath_Swami_North_Carolina.mp3</v>
      </c>
      <c r="D2880" s="11"/>
      <c r="E2880" s="11"/>
    </row>
    <row r="2881" spans="1:5">
      <c r="A2881" s="12" t="s">
        <v>12462</v>
      </c>
      <c r="B2881" s="12" t="s">
        <v>15631</v>
      </c>
      <c r="C2881" s="13" t="str">
        <f>HYPERLINK("https://audio.iskcondesiretree.com/02_-_ISKCON_Swamis/ISKCON_Swamis_-_R_to_Y/His_Holiness_Radhanath_Swami/Lectures/00_-_Year_wise/Devotional_Nectar_-_2016/2016-01-02_SB_04-30-08_-_Developing_Friendship_based_on_Krishna%27s_Terms_-_Radhanath_Swami_GEV.mp3", "2016-01-02_SB_04-30-08_-_Developing_Friendship_based_on_Krishna%27s_Terms_-_Radhanath_Swami_GEV.mp3")</f>
        <v>2016-01-02_SB_04-30-08_-_Developing_Friendship_based_on_Krishna%27s_Terms_-_Radhanath_Swami_GEV.mp3</v>
      </c>
      <c r="D2881" s="11"/>
      <c r="E2881" s="11"/>
    </row>
    <row r="2882" spans="1:5">
      <c r="A2882" s="12" t="s">
        <v>12462</v>
      </c>
      <c r="B2882" s="12" t="s">
        <v>15632</v>
      </c>
      <c r="C2882" s="13" t="str">
        <f>HYPERLINK("https://audio.iskcondesiretree.com/02_-_ISKCON_Swamis/ISKCON_Swamis_-_R_to_Y/His_Holiness_Radhanath_Swami/Lectures/00_-_Year_wise/Devotional_Nectar_-_2016/2016-01-09_Various_-_Wealth-The_Double_Edge_Sword_-_Radhanath_Swami_Artha_GEV.mp3", "2016-01-09_Various_-_Wealth-The_Double_Edge_Sword_-_Radhanath_Swami_Artha_GEV.mp3")</f>
        <v>2016-01-09_Various_-_Wealth-The_Double_Edge_Sword_-_Radhanath_Swami_Artha_GEV.mp3</v>
      </c>
      <c r="D2882" s="11"/>
      <c r="E2882" s="11"/>
    </row>
    <row r="2883" spans="1:5">
      <c r="A2883" s="12" t="s">
        <v>12462</v>
      </c>
      <c r="B2883" s="12" t="s">
        <v>15633</v>
      </c>
      <c r="C2883" s="13" t="str">
        <f>HYPERLINK("https://audio.iskcondesiretree.com/02_-_ISKCON_Swamis/ISKCON_Swamis_-_R_to_Y/His_Holiness_Radhanath_Swami/Lectures/00_-_Year_wise/Devotional_Nectar_-_2016/2016-01-15_Various_-_Integrity_and_Compassion_-_Radhanath_Swami_Sunil_Sanghai_House.mp3", "2016-01-15_Various_-_Integrity_and_Compassion_-_Radhanath_Swami_Sunil_Sanghai_House.mp3")</f>
        <v>2016-01-15_Various_-_Integrity_and_Compassion_-_Radhanath_Swami_Sunil_Sanghai_House.mp3</v>
      </c>
      <c r="D2883" s="11"/>
      <c r="E2883" s="11"/>
    </row>
    <row r="2884" spans="1:5">
      <c r="A2884" s="12" t="s">
        <v>12462</v>
      </c>
      <c r="B2884" s="12" t="s">
        <v>15634</v>
      </c>
      <c r="C2884" s="13" t="str">
        <f>HYPERLINK("https://audio.iskcondesiretree.com/02_-_ISKCON_Swamis/ISKCON_Swamis_-_R_to_Y/His_Holiness_Radhanath_Swami/Lectures/00_-_Year_wise/Devotional_Nectar_-_2016/2016-01-31_SB_10-74-36_-_Vaishnav_means_No_Envy_-_Radhanath_Swami_ISKCON_Chowpatty.mp3", "2016-01-31_SB_10-74-36_-_Vaishnav_means_No_Envy_-_Radhanath_Swami_ISKCON_Chowpatty.mp3")</f>
        <v>2016-01-31_SB_10-74-36_-_Vaishnav_means_No_Envy_-_Radhanath_Swami_ISKCON_Chowpatty.mp3</v>
      </c>
      <c r="D2884" s="11"/>
      <c r="E2884" s="11"/>
    </row>
    <row r="2885" spans="1:5">
      <c r="A2885" s="12" t="s">
        <v>12462</v>
      </c>
      <c r="B2885" s="12" t="s">
        <v>15635</v>
      </c>
      <c r="C2885" s="13" t="str">
        <f>HYPERLINK("https://audio.iskcondesiretree.com/02_-_ISKCON_Swamis/ISKCON_Swamis_-_R_to_Y/His_Holiness_Radhanath_Swami/Lectures/00_-_Year_wise/Devotional_Nectar_-_2016/2016-02-06_SB_07-07-43_-_How_Srila_Prabhupada_Established_ISKCON_-_Radhanath_Swami_Juhu.mp3", "2016-02-06_SB_07-07-43_-_How_Srila_Prabhupada_Established_ISKCON_-_Radhanath_Swami_Juhu.mp3")</f>
        <v>2016-02-06_SB_07-07-43_-_How_Srila_Prabhupada_Established_ISKCON_-_Radhanath_Swami_Juhu.mp3</v>
      </c>
      <c r="D2885" s="11"/>
      <c r="E2885" s="11"/>
    </row>
    <row r="2886" spans="1:5">
      <c r="A2886" s="12" t="s">
        <v>12462</v>
      </c>
      <c r="B2886" s="12" t="s">
        <v>15636</v>
      </c>
      <c r="C2886" s="13" t="str">
        <f>HYPERLINK("https://audio.iskcondesiretree.com/02_-_ISKCON_Swamis/ISKCON_Swamis_-_R_to_Y/His_Holiness_Radhanath_Swami/Lectures/00_-_Year_wise/Devotional_Nectar_-_2016/2016-02-12_Various_-_Six_C%27s_of_Community_Building_-_Radhanath_Swami_Vasco.mp3", "2016-02-12_Various_-_Six_C%27s_of_Community_Building_-_Radhanath_Swami_Vasco.mp3")</f>
        <v>2016-02-12_Various_-_Six_C%27s_of_Community_Building_-_Radhanath_Swami_Vasco.mp3</v>
      </c>
      <c r="D2886" s="11"/>
      <c r="E2886" s="11"/>
    </row>
    <row r="2887" spans="1:5">
      <c r="A2887" s="12" t="s">
        <v>12462</v>
      </c>
      <c r="B2887" s="12" t="s">
        <v>15637</v>
      </c>
      <c r="C2887" s="13" t="str">
        <f>HYPERLINK("https://audio.iskcondesiretree.com/02_-_ISKCON_Swamis/ISKCON_Swamis_-_R_to_Y/His_Holiness_Radhanath_Swami/Lectures/00_-_Year_wise/Devotional_Nectar_-_2016/2016-02-13_Various_-_Journey_Home_Experiences_-_Radhanath_Swami_Panjim.mp3", "2016-02-13_Various_-_Journey_Home_Experiences_-_Radhanath_Swami_Panjim.mp3")</f>
        <v>2016-02-13_Various_-_Journey_Home_Experiences_-_Radhanath_Swami_Panjim.mp3</v>
      </c>
      <c r="D2887" s="11"/>
      <c r="E2887" s="11"/>
    </row>
    <row r="2888" spans="1:5">
      <c r="A2888" s="12" t="s">
        <v>12462</v>
      </c>
      <c r="B2888" s="12" t="s">
        <v>15638</v>
      </c>
      <c r="C2888" s="13" t="str">
        <f>HYPERLINK("https://audio.iskcondesiretree.com/02_-_ISKCON_Swamis/ISKCON_Swamis_-_R_to_Y/His_Holiness_Radhanath_Swami/Lectures/00_-_Year_wise/Devotional_Nectar_-_2016/2016-02-14_Various_-_Yoga_of_Love_-_Radhanath_Swami_Panjim.mp3", "2016-02-14_Various_-_Yoga_of_Love_-_Radhanath_Swami_Panjim.mp3")</f>
        <v>2016-02-14_Various_-_Yoga_of_Love_-_Radhanath_Swami_Panjim.mp3</v>
      </c>
      <c r="D2888" s="11"/>
      <c r="E2888" s="11"/>
    </row>
    <row r="2889" spans="1:5">
      <c r="A2889" s="12" t="s">
        <v>12462</v>
      </c>
      <c r="B2889" s="12" t="e">
        <v>#VALUE!</v>
      </c>
      <c r="C2889" s="13" t="e">
        <f>HYPERLINK("https://audio.iskcondesiretree.com/02_-_ISKCON_Swamis/ISKCON_Swamis_-_R_to_Y/His_Holiness_Radhanath_Swami/Lectures/00_-_Year_wise/Devotional_Nectar_-_2016/2016-02-15_Various_-_We_Advance_by_Showing_Gratitude_towards_Great_Souls_-_Radhanath_Swami_Belgaum.m"&amp;"p3", "2016-02-15_Various_-_We_Advance_by_Showing_Gratitude_towards_Great_Souls_-_Radhanath_Swami_Belgaum.mp3")</f>
        <v>#VALUE!</v>
      </c>
      <c r="D2889" s="11"/>
      <c r="E2889" s="11"/>
    </row>
    <row r="2890" spans="1:5">
      <c r="A2890" s="12" t="s">
        <v>12462</v>
      </c>
      <c r="B2890" s="12" t="s">
        <v>15639</v>
      </c>
      <c r="C2890" s="13" t="str">
        <f>HYPERLINK("https://audio.iskcondesiretree.com/02_-_ISKCON_Swamis/ISKCON_Swamis_-_R_to_Y/His_Holiness_Radhanath_Swami/Lectures/00_-_Year_wise/Devotional_Nectar_-_2016/2016-02-16_Festivals_-_Glories_of_Vasant_Panchami_-_Radhanath_Swami_Belgaum.mp3", "2016-02-16_Festivals_-_Glories_of_Vasant_Panchami_-_Radhanath_Swami_Belgaum.mp3")</f>
        <v>2016-02-16_Festivals_-_Glories_of_Vasant_Panchami_-_Radhanath_Swami_Belgaum.mp3</v>
      </c>
      <c r="D2890" s="11"/>
      <c r="E2890" s="11"/>
    </row>
    <row r="2891" spans="1:5">
      <c r="A2891" s="12" t="s">
        <v>12462</v>
      </c>
      <c r="B2891" s="12" t="s">
        <v>15640</v>
      </c>
      <c r="C2891" s="13" t="str">
        <f>HYPERLINK("https://audio.iskcondesiretree.com/02_-_ISKCON_Swamis/ISKCON_Swamis_-_R_to_Y/His_Holiness_Radhanath_Swami/Lectures/00_-_Year_wise/Devotional_Nectar_-_2016/2016-02-16_Various_-_Journey_Home_Experiences_-_Radhanath_Swami_Kolkata.mp3", "2016-02-16_Various_-_Journey_Home_Experiences_-_Radhanath_Swami_Kolkata.mp3")</f>
        <v>2016-02-16_Various_-_Journey_Home_Experiences_-_Radhanath_Swami_Kolkata.mp3</v>
      </c>
      <c r="D2891" s="11"/>
      <c r="E2891" s="11"/>
    </row>
    <row r="2892" spans="1:5">
      <c r="A2892" s="12" t="s">
        <v>12462</v>
      </c>
      <c r="B2892" s="12" t="s">
        <v>15641</v>
      </c>
      <c r="C2892" s="13" t="str">
        <f>HYPERLINK("https://audio.iskcondesiretree.com/02_-_ISKCON_Swamis/ISKCON_Swamis_-_R_to_Y/His_Holiness_Radhanath_Swami/Lectures/00_-_Year_wise/Devotional_Nectar_-_2016/2016-02-20_Festivals_-_Nityananda_Trayodashi_Katha_-_Radhanath_Swami_Kolkata.mp3", "2016-02-20_Festivals_-_Nityananda_Trayodashi_Katha_-_Radhanath_Swami_Kolkata.mp3")</f>
        <v>2016-02-20_Festivals_-_Nityananda_Trayodashi_Katha_-_Radhanath_Swami_Kolkata.mp3</v>
      </c>
      <c r="D2892" s="11"/>
      <c r="E2892" s="11"/>
    </row>
    <row r="2893" spans="1:5">
      <c r="A2893" s="12" t="s">
        <v>12462</v>
      </c>
      <c r="B2893" s="12" t="s">
        <v>15642</v>
      </c>
      <c r="C2893" s="13" t="str">
        <f>HYPERLINK("https://audio.iskcondesiretree.com/02_-_ISKCON_Swamis/ISKCON_Swamis_-_R_to_Y/His_Holiness_Radhanath_Swami/Lectures/00_-_Year_wise/Devotional_Nectar_-_2016/2016-02-26_SB_05-18-09_-_Radhanath_Swami_ISKCON_Mayapur.mp3", "2016-02-26_SB_05-18-09_-_Radhanath_Swami_ISKCON_Mayapur.mp3")</f>
        <v>2016-02-26_SB_05-18-09_-_Radhanath_Swami_ISKCON_Mayapur.mp3</v>
      </c>
      <c r="D2893" s="11"/>
      <c r="E2893" s="11"/>
    </row>
    <row r="2894" spans="1:5">
      <c r="A2894" s="12" t="s">
        <v>12462</v>
      </c>
      <c r="B2894" s="12" t="s">
        <v>15643</v>
      </c>
      <c r="C2894" s="13" t="str">
        <f>HYPERLINK("https://audio.iskcondesiretree.com/02_-_ISKCON_Swamis/ISKCON_Swamis_-_R_to_Y/His_Holiness_Radhanath_Swami/Lectures/00_-_Year_wise/Devotional_Nectar_-_2016/2016-02-28_Festivals_-_ILS-Appearance_of_Srila_Bhaktisiddhanta_Thakur_-_Radhanath_Swami_Mayapur.mp3", "2016-02-28_Festivals_-_ILS-Appearance_of_Srila_Bhaktisiddhanta_Thakur_-_Radhanath_Swami_Mayapur.mp3")</f>
        <v>2016-02-28_Festivals_-_ILS-Appearance_of_Srila_Bhaktisiddhanta_Thakur_-_Radhanath_Swami_Mayapur.mp3</v>
      </c>
      <c r="D2894" s="11"/>
      <c r="E2894" s="11"/>
    </row>
    <row r="2895" spans="1:5">
      <c r="A2895" s="12" t="s">
        <v>12462</v>
      </c>
      <c r="B2895" s="12" t="s">
        <v>15644</v>
      </c>
      <c r="C2895" s="13" t="str">
        <f>HYPERLINK("https://audio.iskcondesiretree.com/02_-_ISKCON_Swamis/ISKCON_Swamis_-_R_to_Y/His_Holiness_Radhanath_Swami/Lectures/00_-_Year_wise/Devotional_Nectar_-_2016/2016-03-13_SB_10-78-07-16_-_Krishna%27s_Great_Multitasking_-_Radhanath_Swami_ISKCON_Chowpatty.mp3", "2016-03-13_SB_10-78-07-16_-_Krishna%27s_Great_Multitasking_-_Radhanath_Swami_ISKCON_Chowpatty.mp3")</f>
        <v>2016-03-13_SB_10-78-07-16_-_Krishna%27s_Great_Multitasking_-_Radhanath_Swami_ISKCON_Chowpatty.mp3</v>
      </c>
      <c r="D2895" s="11"/>
      <c r="E2895" s="11"/>
    </row>
    <row r="2896" spans="1:5">
      <c r="A2896" s="12" t="s">
        <v>12462</v>
      </c>
      <c r="B2896" s="12" t="s">
        <v>15645</v>
      </c>
      <c r="C2896" s="13" t="str">
        <f>HYPERLINK("https://audio.iskcondesiretree.com/02_-_ISKCON_Swamis/ISKCON_Swamis_-_R_to_Y/His_Holiness_Radhanath_Swami/Lectures/00_-_Year_wise/Devotional_Nectar_-_2016/2016-04-12_Various_-_Interview_on_The_Journey_Within_by_CBS_Radio_-_Radhanath_Swami_Chicago.mp3", "2016-04-12_Various_-_Interview_on_The_Journey_Within_by_CBS_Radio_-_Radhanath_Swami_Chicago.mp3")</f>
        <v>2016-04-12_Various_-_Interview_on_The_Journey_Within_by_CBS_Radio_-_Radhanath_Swami_Chicago.mp3</v>
      </c>
      <c r="D2896" s="11"/>
      <c r="E2896" s="11"/>
    </row>
    <row r="2897" spans="1:5">
      <c r="A2897" s="12" t="s">
        <v>12462</v>
      </c>
      <c r="B2897" s="12" t="s">
        <v>15646</v>
      </c>
      <c r="C2897" s="13" t="str">
        <f>HYPERLINK("https://audio.iskcondesiretree.com/02_-_ISKCON_Swamis/ISKCON_Swamis_-_R_to_Y/His_Holiness_Radhanath_Swami/Lectures/00_-_Year_wise/Devotional_Nectar_-_2016/2016-05-05_Various_-_Six_Obstacles_on_the_path_of_Love_-_Radhanath_Swami_Bhakti_Center.mp3", "2016-05-05_Various_-_Six_Obstacles_on_the_path_of_Love_-_Radhanath_Swami_Bhakti_Center.mp3")</f>
        <v>2016-05-05_Various_-_Six_Obstacles_on_the_path_of_Love_-_Radhanath_Swami_Bhakti_Center.mp3</v>
      </c>
      <c r="D2897" s="11"/>
      <c r="E2897" s="11"/>
    </row>
    <row r="2898" spans="1:5">
      <c r="A2898" s="12" t="s">
        <v>12462</v>
      </c>
      <c r="B2898" s="12" t="s">
        <v>15647</v>
      </c>
      <c r="C2898" s="13" t="str">
        <f>HYPERLINK("https://audio.iskcondesiretree.com/02_-_ISKCON_Swamis/ISKCON_Swamis_-_R_to_Y/His_Holiness_Radhanath_Swami/Lectures/00_-_Year_wise/Devotional_Nectar_-_2016/2016-05-18_Various_-_Power_of_Positive_Attitude_-_Radhanath_Swami_Hewlett_Packard_Houston.mp3", "2016-05-18_Various_-_Power_of_Positive_Attitude_-_Radhanath_Swami_Hewlett_Packard_Houston.mp3")</f>
        <v>2016-05-18_Various_-_Power_of_Positive_Attitude_-_Radhanath_Swami_Hewlett_Packard_Houston.mp3</v>
      </c>
      <c r="D2898" s="11"/>
      <c r="E2898" s="11"/>
    </row>
    <row r="2899" spans="1:5">
      <c r="A2899" s="12" t="s">
        <v>12462</v>
      </c>
      <c r="B2899" s="12" t="s">
        <v>15648</v>
      </c>
      <c r="C2899" s="13" t="str">
        <f>HYPERLINK("https://audio.iskcondesiretree.com/02_-_ISKCON_Swamis/ISKCON_Swamis_-_R_to_Y/His_Holiness_Radhanath_Swami/Lectures/00_-_Year_wise/Devotional_Nectar_-_2016/2016-05-20_Festivals_-_Narsimha_Chaturdashi_-_Radhanath_Swami_ISKCON_Houston.mp3", "2016-05-20_Festivals_-_Narsimha_Chaturdashi_-_Radhanath_Swami_ISKCON_Houston.mp3")</f>
        <v>2016-05-20_Festivals_-_Narsimha_Chaturdashi_-_Radhanath_Swami_ISKCON_Houston.mp3</v>
      </c>
      <c r="D2899" s="11"/>
      <c r="E2899" s="11"/>
    </row>
    <row r="2900" spans="1:5">
      <c r="A2900" s="12" t="s">
        <v>12462</v>
      </c>
      <c r="B2900" s="12" t="s">
        <v>15649</v>
      </c>
      <c r="C2900" s="13" t="str">
        <f>HYPERLINK("https://audio.iskcondesiretree.com/02_-_ISKCON_Swamis/ISKCON_Swamis_-_R_to_Y/His_Holiness_Radhanath_Swami/Lectures/00_-_Year_wise/Devotional_Nectar_-_2016/2016-06-06_Various_-_Initiation_Lecture_-_Radhanath_Swami_New_York_Bhakti_Center.mp3", "2016-06-06_Various_-_Initiation_Lecture_-_Radhanath_Swami_New_York_Bhakti_Center.mp3")</f>
        <v>2016-06-06_Various_-_Initiation_Lecture_-_Radhanath_Swami_New_York_Bhakti_Center.mp3</v>
      </c>
      <c r="D2900" s="11"/>
      <c r="E2900" s="11"/>
    </row>
    <row r="2901" spans="1:5">
      <c r="A2901" s="12" t="s">
        <v>12462</v>
      </c>
      <c r="B2901" s="12" t="s">
        <v>15650</v>
      </c>
      <c r="C2901" s="13" t="str">
        <f>HYPERLINK("https://audio.iskcondesiretree.com/02_-_ISKCON_Swamis/ISKCON_Swamis_-_R_to_Y/His_Holiness_Radhanath_Swami/Lectures/00_-_Year_wise/Devotional_Nectar_-_2016/2016-06_Various_-_Journey_Within_-_Radhanath_Swami_Pittsburgh.mp3", "2016-06_Various_-_Journey_Within_-_Radhanath_Swami_Pittsburgh.mp3")</f>
        <v>2016-06_Various_-_Journey_Within_-_Radhanath_Swami_Pittsburgh.mp3</v>
      </c>
      <c r="D2901" s="11"/>
      <c r="E2901" s="11"/>
    </row>
    <row r="2902" spans="1:5">
      <c r="A2902" s="12" t="s">
        <v>12462</v>
      </c>
      <c r="B2902" s="12" t="s">
        <v>15651</v>
      </c>
      <c r="C2902" s="13" t="str">
        <f>HYPERLINK("https://audio.iskcondesiretree.com/02_-_ISKCON_Swamis/ISKCON_Swamis_-_R_to_Y/His_Holiness_Radhanath_Swami/Lectures/00_-_Year_wise/Devotional_Nectar_-_2016/2016-07-22_Various_-_The_Currency_of_Relationships_-_Radhanath_Swami.mp3", "2016-07-22_Various_-_The_Currency_of_Relationships_-_Radhanath_Swami.mp3")</f>
        <v>2016-07-22_Various_-_The_Currency_of_Relationships_-_Radhanath_Swami.mp3</v>
      </c>
      <c r="D2902" s="11"/>
      <c r="E2902" s="11"/>
    </row>
    <row r="2903" spans="1:5">
      <c r="A2903" s="12" t="s">
        <v>12462</v>
      </c>
      <c r="B2903" s="12" t="s">
        <v>15652</v>
      </c>
      <c r="C2903" s="13" t="str">
        <f>HYPERLINK("https://audio.iskcondesiretree.com/02_-_ISKCON_Swamis/ISKCON_Swamis_-_R_to_Y/His_Holiness_Radhanath_Swami/Lectures/00_-_Year_wise/Devotional_Nectar_-_2016/2016-07-25_Various_-_Growing_Through_Adversity_-_Radhanath_Swami.mp3", "2016-07-25_Various_-_Growing_Through_Adversity_-_Radhanath_Swami.mp3")</f>
        <v>2016-07-25_Various_-_Growing_Through_Adversity_-_Radhanath_Swami.mp3</v>
      </c>
      <c r="D2903" s="11"/>
      <c r="E2903" s="11"/>
    </row>
    <row r="2904" spans="1:5">
      <c r="A2904" s="12" t="s">
        <v>12462</v>
      </c>
      <c r="B2904" s="12" t="s">
        <v>15653</v>
      </c>
      <c r="C2904" s="13" t="str">
        <f>HYPERLINK("https://audio.iskcondesiretree.com/02_-_ISKCON_Swamis/ISKCON_Swamis_-_R_to_Y/His_Holiness_Radhanath_Swami/Lectures/00_-_Year_wise/Devotional_Nectar_-_2016/2016-07-26_SB_10-03-47_-_Radhanath_Swami_Los_Angeles.mp3", "2016-07-26_SB_10-03-47_-_Radhanath_Swami_Los_Angeles.mp3")</f>
        <v>2016-07-26_SB_10-03-47_-_Radhanath_Swami_Los_Angeles.mp3</v>
      </c>
      <c r="D2904" s="11"/>
      <c r="E2904" s="11"/>
    </row>
    <row r="2905" spans="1:5">
      <c r="A2905" s="12" t="s">
        <v>12462</v>
      </c>
      <c r="B2905" s="12" t="s">
        <v>15654</v>
      </c>
      <c r="C2905" s="13" t="str">
        <f>HYPERLINK("https://audio.iskcondesiretree.com/02_-_ISKCON_Swamis/ISKCON_Swamis_-_R_to_Y/His_Holiness_Radhanath_Swami/Lectures/00_-_Year_wise/Devotional_Nectar_-_2016/2016-08-25_Festivals_-_Janmastami_Lecture_-_Radhanath_Swami_ISKCON_Chicago.mp3", "2016-08-25_Festivals_-_Janmastami_Lecture_-_Radhanath_Swami_ISKCON_Chicago.mp3")</f>
        <v>2016-08-25_Festivals_-_Janmastami_Lecture_-_Radhanath_Swami_ISKCON_Chicago.mp3</v>
      </c>
      <c r="D2905" s="11"/>
      <c r="E2905" s="11"/>
    </row>
    <row r="2906" spans="1:5">
      <c r="A2906" s="12" t="s">
        <v>12462</v>
      </c>
      <c r="B2906" s="12" t="s">
        <v>15655</v>
      </c>
      <c r="C2906" s="13" t="str">
        <f>HYPERLINK("https://audio.iskcondesiretree.com/02_-_ISKCON_Swamis/ISKCON_Swamis_-_R_to_Y/His_Holiness_Radhanath_Swami/Lectures/00_-_Year_wise/Devotional_Nectar_-_2016/2016-10-23_Various_-_Disciples_Meeting_-_Radhanath_Swami_UK.mp3", "2016-10-23_Various_-_Disciples_Meeting_-_Radhanath_Swami_UK.mp3")</f>
        <v>2016-10-23_Various_-_Disciples_Meeting_-_Radhanath_Swami_UK.mp3</v>
      </c>
      <c r="D2906" s="11"/>
      <c r="E2906" s="11"/>
    </row>
    <row r="2907" spans="1:5">
      <c r="A2907" s="12" t="s">
        <v>12462</v>
      </c>
      <c r="B2907" s="12" t="s">
        <v>15656</v>
      </c>
      <c r="C2907" s="13" t="str">
        <f>HYPERLINK("https://audio.iskcondesiretree.com/02_-_ISKCON_Swamis/ISKCON_Swamis_-_R_to_Y/His_Holiness_Radhanath_Swami/Lectures/00_-_Year_wise/Devotional_Nectar_-_2016/2016-10-30_Festivals_-_Govardhan_Puja_-_Radhanath_Swami_ISKCON_Chowpatty.mp3", "2016-10-30_Festivals_-_Govardhan_Puja_-_Radhanath_Swami_ISKCON_Chowpatty.mp3")</f>
        <v>2016-10-30_Festivals_-_Govardhan_Puja_-_Radhanath_Swami_ISKCON_Chowpatty.mp3</v>
      </c>
      <c r="D2907" s="11"/>
      <c r="E2907" s="11"/>
    </row>
    <row r="2908" spans="1:5">
      <c r="A2908" s="12" t="s">
        <v>12462</v>
      </c>
      <c r="B2908" s="12" t="s">
        <v>15657</v>
      </c>
      <c r="C2908" s="13" t="str">
        <f>HYPERLINK("https://audio.iskcondesiretree.com/02_-_ISKCON_Swamis/ISKCON_Swamis_-_R_to_Y/His_Holiness_Radhanath_Swami/Lectures/00_-_Year_wise/Devotional_Nectar_-_2016/2016-10-31_Festivals_-_Govardhan_Puja_-_Radhanath_Swami_GEV_Wada.MP3", "2016-10-31_Festivals_-_Govardhan_Puja_-_Radhanath_Swami_GEV_Wada.MP3")</f>
        <v>2016-10-31_Festivals_-_Govardhan_Puja_-_Radhanath_Swami_GEV_Wada.MP3</v>
      </c>
      <c r="D2908" s="11"/>
      <c r="E2908" s="11"/>
    </row>
    <row r="2909" spans="1:5">
      <c r="A2909" s="12" t="s">
        <v>12462</v>
      </c>
      <c r="B2909" s="12" t="s">
        <v>15658</v>
      </c>
      <c r="C2909" s="13" t="str">
        <f>HYPERLINK("https://audio.iskcondesiretree.com/02_-_ISKCON_Swamis/ISKCON_Swamis_-_R_to_Y/His_Holiness_Radhanath_Swami/Lectures/00_-_Year_wise/Devotional_Nectar_-_2016/2016-11-03_-_Srila_Prabhupada_Disappearance_Day_-_Radhanath_Swami_GEV_Wada.mp3", "2016-11-03_-_Srila_Prabhupada_Disappearance_Day_-_Radhanath_Swami_GEV_Wada.mp3")</f>
        <v>2016-11-03_-_Srila_Prabhupada_Disappearance_Day_-_Radhanath_Swami_GEV_Wada.mp3</v>
      </c>
      <c r="D2909" s="11"/>
      <c r="E2909" s="11"/>
    </row>
    <row r="2910" spans="1:5">
      <c r="A2910" s="12" t="s">
        <v>12462</v>
      </c>
      <c r="B2910" s="12" t="s">
        <v>15659</v>
      </c>
      <c r="C2910" s="13" t="str">
        <f>HYPERLINK("https://audio.iskcondesiretree.com/02_-_ISKCON_Swamis/ISKCON_Swamis_-_R_to_Y/His_Holiness_Radhanath_Swami/Lectures/00_-_Year_wise/Devotional_Nectar_-_2016/2016-11-18_SB_10-87-25_-_Describing_The_Indescribable_-_Radhanath_Swami_ISKCON_Chowpatty.mp3", "2016-11-18_SB_10-87-25_-_Describing_The_Indescribable_-_Radhanath_Swami_ISKCON_Chowpatty.mp3")</f>
        <v>2016-11-18_SB_10-87-25_-_Describing_The_Indescribable_-_Radhanath_Swami_ISKCON_Chowpatty.mp3</v>
      </c>
      <c r="D2910" s="11"/>
      <c r="E2910" s="11"/>
    </row>
    <row r="2911" spans="1:5">
      <c r="A2911" s="12" t="s">
        <v>12462</v>
      </c>
      <c r="B2911" s="12" t="s">
        <v>15660</v>
      </c>
      <c r="C2911" s="13" t="str">
        <f>HYPERLINK("https://audio.iskcondesiretree.com/02_-_ISKCON_Swamis/ISKCON_Swamis_-_R_to_Y/His_Holiness_Radhanath_Swami/Lectures/00_-_Year_wise/Devotional_Nectar_-_2016/2016-11-28_Various_-_Rupa_Goswami_and_Sanatan_Goswami_-_Radhanath_Swami_GEV_Wada.mp3", "2016-11-28_Various_-_Rupa_Goswami_and_Sanatan_Goswami_-_Radhanath_Swami_GEV_Wada.mp3")</f>
        <v>2016-11-28_Various_-_Rupa_Goswami_and_Sanatan_Goswami_-_Radhanath_Swami_GEV_Wada.mp3</v>
      </c>
      <c r="D2911" s="11"/>
      <c r="E2911" s="11"/>
    </row>
    <row r="2912" spans="1:5">
      <c r="A2912" s="12" t="s">
        <v>12462</v>
      </c>
      <c r="B2912" s="12" t="s">
        <v>15661</v>
      </c>
      <c r="C2912" s="13" t="str">
        <f>HYPERLINK("https://audio.iskcondesiretree.com/02_-_ISKCON_Swamis/ISKCON_Swamis_-_R_to_Y/His_Holiness_Radhanath_Swami/Lectures/00_-_Year_wise/Devotional_Nectar_-_2016/2016-12-11_SB-10-87-42_-_Common_Quality_of_Prayers_offered_-_Radhanath_Swami_ISKCON_Chowpatty.mp3", "2016-12-11_SB-10-87-42_-_Common_Quality_of_Prayers_offered_-_Radhanath_Swami_ISKCON_Chowpatty.mp3")</f>
        <v>2016-12-11_SB-10-87-42_-_Common_Quality_of_Prayers_offered_-_Radhanath_Swami_ISKCON_Chowpatty.mp3</v>
      </c>
      <c r="D2912" s="11"/>
      <c r="E2912" s="11"/>
    </row>
    <row r="2913" spans="1:5">
      <c r="A2913" s="12" t="s">
        <v>12462</v>
      </c>
      <c r="B2913" s="12" t="s">
        <v>15662</v>
      </c>
      <c r="C2913" s="13" t="str">
        <f>HYPERLINK("https://audio.iskcondesiretree.com/02_-_ISKCON_Swamis/ISKCON_Swamis_-_R_to_Y/His_Holiness_Radhanath_Swami/Lectures/00_-_Year_wise/Devotional_Nectar_-_2016/2016_Various_-_Good_Life_Project_Interview_-_Radhanath_Swami.mp3", "2016_Various_-_Good_Life_Project_Interview_-_Radhanath_Swami.mp3")</f>
        <v>2016_Various_-_Good_Life_Project_Interview_-_Radhanath_Swami.mp3</v>
      </c>
      <c r="D2913" s="11"/>
      <c r="E2913" s="11"/>
    </row>
    <row r="2914" spans="1:5">
      <c r="A2914" s="12" t="s">
        <v>12462</v>
      </c>
      <c r="B2914" s="12" t="e">
        <v>#VALUE!</v>
      </c>
      <c r="C2914" s="13" t="e">
        <f>HYPERLINK("https://audio.iskcondesiretree.com/02_-_ISKCON_Swamis/ISKCON_Swamis_-_R_to_Y/His_Holiness_Radhanath_Swami/Lectures/00_-_Year_wise/Devotional_Nectar_-_2017/2017-01-15_SB_10-89-37-44_-_Wholeheartedly_Taking_Krishna%27s_Shelter_-_Radhanath_Swami_ISKCON_Chowp"&amp;"atty.mp3", "2017-01-15_SB_10-89-37-44_-_Wholeheartedly_Taking_Krishna%27s_Shelter_-_Radhanath_Swami_ISKCON_Chowpatty.mp3")</f>
        <v>#VALUE!</v>
      </c>
      <c r="D2914" s="11"/>
      <c r="E2914" s="11"/>
    </row>
    <row r="2915" spans="1:5">
      <c r="A2915" s="12" t="s">
        <v>12462</v>
      </c>
      <c r="B2915" s="12" t="e">
        <v>#VALUE!</v>
      </c>
      <c r="C2915" s="13" t="e">
        <f>HYPERLINK("https://audio.iskcondesiretree.com/02_-_ISKCON_Swamis/ISKCON_Swamis_-_R_to_Y/His_Holiness_Radhanath_Swami/Lectures/00_-_Year_wise/Devotional_Nectar_-_2017/2017-01-28_Pushya_Abhishek_Festival_-_Evening_Lecture-What_Attracts_Krishna_Is_Simplicity_of_Offerin"&amp;"gs_-_Radhanath_Sw_ISKCON_Chowpatty.mp3", "2017-01-28_Pushya_Abhishek_Festival_-_Evening_Lecture-What_Attracts_Krishna_Is_Simplicity_of_Offerings_-_Radhanath_Sw_ISKCON_Chowpatty.mp3")</f>
        <v>#VALUE!</v>
      </c>
      <c r="D2915" s="11"/>
      <c r="E2915" s="11"/>
    </row>
    <row r="2916" spans="1:5">
      <c r="A2916" s="12" t="s">
        <v>12462</v>
      </c>
      <c r="B2916" s="12" t="e">
        <v>#VALUE!</v>
      </c>
      <c r="C2916" s="13" t="e">
        <f>HYPERLINK("https://audio.iskcondesiretree.com/02_-_ISKCON_Swamis/ISKCON_Swamis_-_R_to_Y/His_Holiness_Radhanath_Swami/Lectures/00_-_Year_wise/Devotional_Nectar_-_2017/2017-01-28_SB-10-90-16-17_-_Spiritual_Relationships_Greatest_Subject_to_Explore_and_Experience_-_Rad"&amp;"hanath_Swami_ISKCON_Chowpatty.mp3", "2017-01-28_SB-10-90-16-17_-_Spiritual_Relationships_Greatest_Subject_to_Explore_and_Experience_-_Radhanath_Swami_ISKCON_Chowpatty.mp3")</f>
        <v>#VALUE!</v>
      </c>
      <c r="D2916" s="11"/>
      <c r="E2916" s="11"/>
    </row>
    <row r="2917" spans="1:5">
      <c r="A2917" s="12" t="s">
        <v>12462</v>
      </c>
      <c r="B2917" s="12" t="e">
        <v>#VALUE!</v>
      </c>
      <c r="C2917" s="13" t="e">
        <f>HYPERLINK("https://audio.iskcondesiretree.com/02_-_ISKCON_Swamis/ISKCON_Swamis_-_R_to_Y/His_Holiness_Radhanath_Swami/Lectures/00_-_Year_wise/Devotional_Nectar_-_2017/2017-02-26_SB_11-01-13-15_-_Material_Disease-I_Have_Right_to_be_Disrespectful_-_Radhanath_Sw_Chowpat"&amp;"ty.mp3", "2017-02-26_SB_11-01-13-15_-_Material_Disease-I_Have_Right_to_be_Disrespectful_-_Radhanath_Sw_Chowpatty.mp3")</f>
        <v>#VALUE!</v>
      </c>
      <c r="D2917" s="11"/>
      <c r="E2917" s="11"/>
    </row>
    <row r="2918" spans="1:5">
      <c r="A2918" s="12" t="s">
        <v>12462</v>
      </c>
      <c r="B2918" s="12" t="s">
        <v>15663</v>
      </c>
      <c r="C2918" s="13" t="str">
        <f>HYPERLINK("https://audio.iskcondesiretree.com/02_-_ISKCON_Swamis/ISKCON_Swamis_-_R_to_Y/His_Holiness_Radhanath_Swami/Lectures/00_-_Year_wise/Devotional_Nectar_-_2017/2017-03-12_Festivals_-_Gaura_Purnima-01_Morning_Session_-_Radhanath_Swami_ISKCON_Chowpatty.mp3", "2017-03-12_Festivals_-_Gaura_Purnima-01_Morning_Session_-_Radhanath_Swami_ISKCON_Chowpatty.mp3")</f>
        <v>2017-03-12_Festivals_-_Gaura_Purnima-01_Morning_Session_-_Radhanath_Swami_ISKCON_Chowpatty.mp3</v>
      </c>
      <c r="D2918" s="11"/>
      <c r="E2918" s="11"/>
    </row>
    <row r="2919" spans="1:5">
      <c r="A2919" s="12" t="s">
        <v>12462</v>
      </c>
      <c r="B2919" s="12" t="s">
        <v>15664</v>
      </c>
      <c r="C2919" s="13" t="str">
        <f>HYPERLINK("https://audio.iskcondesiretree.com/02_-_ISKCON_Swamis/ISKCON_Swamis_-_R_to_Y/His_Holiness_Radhanath_Swami/Lectures/00_-_Year_wise/Devotional_Nectar_-_2017/2017-03-12_Festivals_-_Gaura_Purnima-02_Afternoon_Session_-_Radhanath_Swami_ISKCON_Chowpatty.mp3", "2017-03-12_Festivals_-_Gaura_Purnima-02_Afternoon_Session_-_Radhanath_Swami_ISKCON_Chowpatty.mp3")</f>
        <v>2017-03-12_Festivals_-_Gaura_Purnima-02_Afternoon_Session_-_Radhanath_Swami_ISKCON_Chowpatty.mp3</v>
      </c>
      <c r="D2919" s="11"/>
      <c r="E2919" s="11"/>
    </row>
    <row r="2920" spans="1:5">
      <c r="A2920" s="12" t="s">
        <v>12462</v>
      </c>
      <c r="B2920" s="12" t="s">
        <v>15665</v>
      </c>
      <c r="C2920" s="13" t="str">
        <f>HYPERLINK("https://audio.iskcondesiretree.com/02_-_ISKCON_Swamis/ISKCON_Swamis_-_R_to_Y/His_Holiness_Radhanath_Swami/Lectures/00_-_Year_wise/Devotional_Nectar_-_2017/2017-03-12_Festivals_-_Gaura_Purnima-03_Evening_Session_-_Radhanath_Swami_ISKCON_Chowpatty.mp3", "2017-03-12_Festivals_-_Gaura_Purnima-03_Evening_Session_-_Radhanath_Swami_ISKCON_Chowpatty.mp3")</f>
        <v>2017-03-12_Festivals_-_Gaura_Purnima-03_Evening_Session_-_Radhanath_Swami_ISKCON_Chowpatty.mp3</v>
      </c>
      <c r="D2920" s="11"/>
      <c r="E2920" s="11"/>
    </row>
    <row r="2921" spans="1:5">
      <c r="A2921" s="12" t="s">
        <v>12462</v>
      </c>
      <c r="B2921" s="12" t="s">
        <v>15666</v>
      </c>
      <c r="C2921" s="13" t="str">
        <f>HYPERLINK("https://audio.iskcondesiretree.com/02_-_ISKCON_Swamis/ISKCON_Swamis_-_R_to_Y/His_Holiness_Radhanath_Swami/Lectures/00_-_Year_wise/Devotional_Nectar_-_2017/2017-04-16_Various_-_Sunday_Feast_Class_-_Radhanath_Swami_ISKCON_Alachua.mp3", "2017-04-16_Various_-_Sunday_Feast_Class_-_Radhanath_Swami_ISKCON_Alachua.mp3")</f>
        <v>2017-04-16_Various_-_Sunday_Feast_Class_-_Radhanath_Swami_ISKCON_Alachua.mp3</v>
      </c>
      <c r="D2921" s="11"/>
      <c r="E2921" s="11"/>
    </row>
    <row r="2922" spans="1:5">
      <c r="A2922" s="12" t="s">
        <v>12462</v>
      </c>
      <c r="B2922" s="12" t="s">
        <v>15667</v>
      </c>
      <c r="C2922" s="13" t="str">
        <f>HYPERLINK("https://audio.iskcondesiretree.com/02_-_ISKCON_Swamis/ISKCON_Swamis_-_R_to_Y/His_Holiness_Radhanath_Swami/Lectures/00_-_Year_wise/Devotional_Nectar_-_2017/2017-05-29_SB_10-13-31_-_Radhanath_Swami_Los_Angeles.mp3", "2017-05-29_SB_10-13-31_-_Radhanath_Swami_Los_Angeles.mp3")</f>
        <v>2017-05-29_SB_10-13-31_-_Radhanath_Swami_Los_Angeles.mp3</v>
      </c>
      <c r="D2922" s="11"/>
      <c r="E2922" s="11"/>
    </row>
    <row r="2923" spans="1:5">
      <c r="A2923" s="12" t="s">
        <v>12462</v>
      </c>
      <c r="B2923" s="12" t="s">
        <v>15668</v>
      </c>
      <c r="C2923" s="13" t="str">
        <f>HYPERLINK("https://audio.iskcondesiretree.com/02_-_ISKCON_Swamis/ISKCON_Swamis_-_R_to_Y/His_Holiness_Radhanath_Swami/Lectures/00_-_Year_wise/Devotional_Nectar_-_2017/2017-06-04_Festivals_-_Panihati_Cida_Dahi_Festival_-_Radhanath_Swami_Laguna_Beach.mp3", "2017-06-04_Festivals_-_Panihati_Cida_Dahi_Festival_-_Radhanath_Swami_Laguna_Beach.mp3")</f>
        <v>2017-06-04_Festivals_-_Panihati_Cida_Dahi_Festival_-_Radhanath_Swami_Laguna_Beach.mp3</v>
      </c>
      <c r="D2923" s="11"/>
      <c r="E2923" s="11"/>
    </row>
    <row r="2924" spans="1:5">
      <c r="A2924" s="12" t="s">
        <v>12462</v>
      </c>
      <c r="B2924" s="12" t="s">
        <v>15669</v>
      </c>
      <c r="C2924" s="13" t="str">
        <f>HYPERLINK("https://audio.iskcondesiretree.com/02_-_ISKCON_Swamis/ISKCON_Swamis_-_R_to_Y/His_Holiness_Radhanath_Swami/Lectures/00_-_Year_wise/Devotional_Nectar_-_2017/2017-06-12_SB_10-13-44_-_Radhanath_Swami_Los_Angeles.mp3", "2017-06-12_SB_10-13-44_-_Radhanath_Swami_Los_Angeles.mp3")</f>
        <v>2017-06-12_SB_10-13-44_-_Radhanath_Swami_Los_Angeles.mp3</v>
      </c>
      <c r="D2924" s="11"/>
      <c r="E2924" s="11"/>
    </row>
    <row r="2925" spans="1:5">
      <c r="A2925" s="12" t="s">
        <v>12462</v>
      </c>
      <c r="B2925" s="12" t="s">
        <v>15670</v>
      </c>
      <c r="C2925" s="13" t="str">
        <f>HYPERLINK("https://audio.iskcondesiretree.com/02_-_ISKCON_Swamis/ISKCON_Swamis_-_R_to_Y/His_Holiness_Radhanath_Swami/Lectures/00_-_Year_wise/Devotional_Nectar_-_2017/2017-07-05_SB_01-01-01_-_Radhanath_Swami_Los_Angeles.mp3", "2017-07-05_SB_01-01-01_-_Radhanath_Swami_Los_Angeles.mp3")</f>
        <v>2017-07-05_SB_01-01-01_-_Radhanath_Swami_Los_Angeles.mp3</v>
      </c>
      <c r="D2925" s="11"/>
      <c r="E2925" s="11"/>
    </row>
    <row r="2926" spans="1:5">
      <c r="A2926" s="12" t="s">
        <v>12462</v>
      </c>
      <c r="B2926" s="12" t="s">
        <v>15671</v>
      </c>
      <c r="C2926" s="13" t="str">
        <f>HYPERLINK("https://audio.iskcondesiretree.com/02_-_ISKCON_Swamis/ISKCON_Swamis_-_R_to_Y/His_Holiness_Radhanath_Swami/Lectures/00_-_Year_wise/Devotional_Nectar_-_2017/2017-08-05_Festival_-_Prerana-The_Journey_Within_-_Radhanath_Swami_ISKCON_Chowpatty.mp3", "2017-08-05_Festival_-_Prerana-The_Journey_Within_-_Radhanath_Swami_ISKCON_Chowpatty.mp3")</f>
        <v>2017-08-05_Festival_-_Prerana-The_Journey_Within_-_Radhanath_Swami_ISKCON_Chowpatty.mp3</v>
      </c>
      <c r="D2926" s="11"/>
      <c r="E2926" s="11"/>
    </row>
    <row r="2927" spans="1:5">
      <c r="A2927" s="12" t="s">
        <v>12462</v>
      </c>
      <c r="B2927" s="12" t="e">
        <v>#VALUE!</v>
      </c>
      <c r="C2927" s="13" t="e">
        <f>HYPERLINK("https://audio.iskcondesiretree.com/02_-_ISKCON_Swamis/ISKCON_Swamis_-_R_to_Y/His_Holiness_Radhanath_Swami/Lectures/00_-_Year_wise/Devotional_Nectar_-_2017/2017-08-05_SB_11-03-35_-_The_Supreme_Personality_Godhead-The_Cause_of_Creation_-_Radhanath_Swami_ISK"&amp;"CON_Chowpatty.mp3", "2017-08-05_SB_11-03-35_-_The_Supreme_Personality_Godhead-The_Cause_of_Creation_-_Radhanath_Swami_ISKCON_Chowpatty.mp3")</f>
        <v>#VALUE!</v>
      </c>
      <c r="D2927" s="11"/>
      <c r="E2927" s="11"/>
    </row>
    <row r="2928" spans="1:5">
      <c r="A2928" s="12" t="s">
        <v>12462</v>
      </c>
      <c r="B2928" s="12" t="s">
        <v>15672</v>
      </c>
      <c r="C2928" s="13" t="str">
        <f>HYPERLINK("https://audio.iskcondesiretree.com/02_-_ISKCON_Swamis/ISKCON_Swamis_-_R_to_Y/His_Holiness_Radhanath_Swami/Lectures/00_-_Year_wise/Devotional_Nectar_-_2017/2017-08-06_SB_11-03-36_-_Kaliya_Pastime_-_Radhanath_Swami_ISKCON_Chowpatty.mp3", "2017-08-06_SB_11-03-36_-_Kaliya_Pastime_-_Radhanath_Swami_ISKCON_Chowpatty.mp3")</f>
        <v>2017-08-06_SB_11-03-36_-_Kaliya_Pastime_-_Radhanath_Swami_ISKCON_Chowpatty.mp3</v>
      </c>
      <c r="D2928" s="11"/>
      <c r="E2928" s="11"/>
    </row>
    <row r="2929" spans="1:5">
      <c r="A2929" s="12" t="s">
        <v>12462</v>
      </c>
      <c r="B2929" s="12" t="s">
        <v>15673</v>
      </c>
      <c r="C2929" s="13" t="str">
        <f>HYPERLINK("https://audio.iskcondesiretree.com/02_-_ISKCON_Swamis/ISKCON_Swamis_-_R_to_Y/His_Holiness_Radhanath_Swami/Lectures/00_-_Year_wise/Devotional_Nectar_-_2017/2017-08-15_Festivals_-_Janmastami_Lecture_Part-01_-_Radhanath_Swami_ISKCON_Chowpatty.mp3", "2017-08-15_Festivals_-_Janmastami_Lecture_Part-01_-_Radhanath_Swami_ISKCON_Chowpatty.mp3")</f>
        <v>2017-08-15_Festivals_-_Janmastami_Lecture_Part-01_-_Radhanath_Swami_ISKCON_Chowpatty.mp3</v>
      </c>
      <c r="D2929" s="11"/>
      <c r="E2929" s="11"/>
    </row>
    <row r="2930" spans="1:5">
      <c r="A2930" s="12" t="s">
        <v>12462</v>
      </c>
      <c r="B2930" s="12" t="s">
        <v>15674</v>
      </c>
      <c r="C2930" s="13" t="str">
        <f>HYPERLINK("https://audio.iskcondesiretree.com/02_-_ISKCON_Swamis/ISKCON_Swamis_-_R_to_Y/His_Holiness_Radhanath_Swami/Lectures/00_-_Year_wise/Devotional_Nectar_-_2017/2017-08-15_Festivals_-_Janmastami_Lecture_Part-02_-_Radhanath_Swami_ISKCON_Chowpatty.mp3", "2017-08-15_Festivals_-_Janmastami_Lecture_Part-02_-_Radhanath_Swami_ISKCON_Chowpatty.mp3")</f>
        <v>2017-08-15_Festivals_-_Janmastami_Lecture_Part-02_-_Radhanath_Swami_ISKCON_Chowpatty.mp3</v>
      </c>
      <c r="D2930" s="11"/>
      <c r="E2930" s="11"/>
    </row>
    <row r="2931" spans="1:5">
      <c r="A2931" s="12" t="s">
        <v>12462</v>
      </c>
      <c r="B2931" s="12" t="s">
        <v>15675</v>
      </c>
      <c r="C2931" s="13" t="str">
        <f>HYPERLINK("https://audio.iskcondesiretree.com/02_-_ISKCON_Swamis/ISKCON_Swamis_-_R_to_Y/His_Holiness_Radhanath_Swami/Lectures/00_-_Year_wise/Devotional_Nectar_-_2017/2017-08-15_Festivals_-_Janmastami_Lecture_Part-03_-_Radhanath_Swami_ISKCON_Chowpatty.mp3", "2017-08-15_Festivals_-_Janmastami_Lecture_Part-03_-_Radhanath_Swami_ISKCON_Chowpatty.mp3")</f>
        <v>2017-08-15_Festivals_-_Janmastami_Lecture_Part-03_-_Radhanath_Swami_ISKCON_Chowpatty.mp3</v>
      </c>
      <c r="D2931" s="11"/>
      <c r="E2931" s="11"/>
    </row>
    <row r="2932" spans="1:5">
      <c r="A2932" s="12" t="s">
        <v>12462</v>
      </c>
      <c r="B2932" s="12" t="s">
        <v>15676</v>
      </c>
      <c r="C2932" s="13" t="str">
        <f>HYPERLINK("https://audio.iskcondesiretree.com/02_-_ISKCON_Swamis/ISKCON_Swamis_-_R_to_Y/His_Holiness_Radhanath_Swami/Lectures/00_-_Year_wise/Devotional_Nectar_-_2017/2017-08-15_Festivals_-_Janmastami_Lecture_Part-04_-_Radhanath_Swami_ISKCON_Chowpatty.mp3", "2017-08-15_Festivals_-_Janmastami_Lecture_Part-04_-_Radhanath_Swami_ISKCON_Chowpatty.mp3")</f>
        <v>2017-08-15_Festivals_-_Janmastami_Lecture_Part-04_-_Radhanath_Swami_ISKCON_Chowpatty.mp3</v>
      </c>
      <c r="D2932" s="11"/>
      <c r="E2932" s="11"/>
    </row>
    <row r="2933" spans="1:5">
      <c r="A2933" s="12" t="s">
        <v>12462</v>
      </c>
      <c r="B2933" s="12" t="s">
        <v>15677</v>
      </c>
      <c r="C2933" s="13" t="str">
        <f>HYPERLINK("https://audio.iskcondesiretree.com/02_-_ISKCON_Swamis/ISKCON_Swamis_-_R_to_Y/His_Holiness_Radhanath_Swami/Lectures/00_-_Year_wise/Devotional_Nectar_-_2017/2017-08-29_Festivals_-_Radhastami%28Evening_Class%29_-_Radhanath_Swami_ISKCON_Chowpatty.mp3", "2017-08-29_Festivals_-_Radhastami%28Evening_Class%29_-_Radhanath_Swami_ISKCON_Chowpatty.mp3")</f>
        <v>2017-08-29_Festivals_-_Radhastami%28Evening_Class%29_-_Radhanath_Swami_ISKCON_Chowpatty.mp3</v>
      </c>
      <c r="D2933" s="11"/>
      <c r="E2933" s="11"/>
    </row>
    <row r="2934" spans="1:5">
      <c r="A2934" s="12" t="s">
        <v>12462</v>
      </c>
      <c r="B2934" s="12" t="e">
        <v>#VALUE!</v>
      </c>
      <c r="C2934" s="13" t="e">
        <f>HYPERLINK("https://audio.iskcondesiretree.com/02_-_ISKCON_Swamis/ISKCON_Swamis_-_R_to_Y/His_Holiness_Radhanath_Swami/Lectures/00_-_Year_wise/Devotional_Nectar_-_2017/2017-08-29_Festivals_-_Radhastami-Glories_of_Radharani%28Morning_Class%29_-_Radhanath_Swami_ISKCON_C"&amp;"howpatty.mp3", "2017-08-29_Festivals_-_Radhastami-Glories_of_Radharani%28Morning_Class%29_-_Radhanath_Swami_ISKCON_Chowpatty.mp3")</f>
        <v>#VALUE!</v>
      </c>
      <c r="D2934" s="11"/>
      <c r="E2934" s="11"/>
    </row>
    <row r="2935" spans="1:5">
      <c r="A2935" s="12" t="s">
        <v>12462</v>
      </c>
      <c r="B2935" s="12" t="s">
        <v>15678</v>
      </c>
      <c r="C2935" s="13" t="str">
        <f>HYPERLINK("https://audio.iskcondesiretree.com/02_-_ISKCON_Swamis/ISKCON_Swamis_-_R_to_Y/His_Holiness_Radhanath_Swami/Lectures/00_-_Year_wise/Devotional_Nectar_-_2017/2017-09-16_SB_01-02-23_-_Radhanath_Swami_Los_Angeles.mp3", "2017-09-16_SB_01-02-23_-_Radhanath_Swami_Los_Angeles.mp3")</f>
        <v>2017-09-16_SB_01-02-23_-_Radhanath_Swami_Los_Angeles.mp3</v>
      </c>
      <c r="D2935" s="11"/>
      <c r="E2935" s="11"/>
    </row>
    <row r="2936" spans="1:5">
      <c r="A2936" s="12" t="s">
        <v>12462</v>
      </c>
      <c r="B2936" s="12" t="e">
        <v>#VALUE!</v>
      </c>
      <c r="C2936" s="13" t="e">
        <f>HYPERLINK("https://audio.iskcondesiretree.com/02_-_ISKCON_Swamis/ISKCON_Swamis_-_R_to_Y/His_Holiness_Radhanath_Swami/Lectures/00_-_Year_wise/Devotional_Nectar_-_2017/2017-10-08_Various_-_A_Special_Lecture_of_Gratitude_in_Memory_of_Srinathji_Prabhu_-_Radhanath_Swami_"&amp;"ISKCON_Chowpatty.mp3", "2017-10-08_Various_-_A_Special_Lecture_of_Gratitude_in_Memory_of_Srinathji_Prabhu_-_Radhanath_Swami_ISKCON_Chowpatty.mp3")</f>
        <v>#VALUE!</v>
      </c>
      <c r="D2936" s="11"/>
      <c r="E2936" s="11"/>
    </row>
    <row r="2937" spans="1:5">
      <c r="A2937" s="12" t="s">
        <v>12462</v>
      </c>
      <c r="B2937" s="12" t="s">
        <v>15679</v>
      </c>
      <c r="C2937" s="13" t="str">
        <f>HYPERLINK("https://audio.iskcondesiretree.com/02_-_ISKCON_Swamis/ISKCON_Swamis_-_R_to_Y/His_Holiness_Radhanath_Swami/Lectures/00_-_Year_wise/Devotional_Nectar_-_2017/2017-12-16_SB_11-06-08_-_Glorious_Activities_of_the_Lord_-_Radhanath_Swami_ISKCON_Chowpatty.mp3", "2017-12-16_SB_11-06-08_-_Glorious_Activities_of_the_Lord_-_Radhanath_Swami_ISKCON_Chowpatty.mp3")</f>
        <v>2017-12-16_SB_11-06-08_-_Glorious_Activities_of_the_Lord_-_Radhanath_Swami_ISKCON_Chowpatty.mp3</v>
      </c>
      <c r="D2937" s="11"/>
      <c r="E2937" s="11"/>
    </row>
    <row r="2938" spans="1:5">
      <c r="A2938" s="12" t="s">
        <v>12462</v>
      </c>
      <c r="B2938" s="12" t="e">
        <v>#VALUE!</v>
      </c>
      <c r="C2938" s="13" t="e">
        <f>HYPERLINK("https://audio.iskcondesiretree.com/02_-_ISKCON_Swamis/ISKCON_Swamis_-_R_to_Y/His_Holiness_Radhanath_Swami/Lectures/00_-_Year_wise/Devotional_Nectar_-_2017/2017-12-17_SB_11-06-09_-_Mercy_of_Devotees_is_Only_our_Qualification_-_Radhanath_Swami_ISKCON_Chowpa"&amp;"tty.mp3", "2017-12-17_SB_11-06-09_-_Mercy_of_Devotees_is_Only_our_Qualification_-_Radhanath_Swami_ISKCON_Chowpatty.mp3")</f>
        <v>#VALUE!</v>
      </c>
      <c r="D2938" s="11"/>
      <c r="E2938" s="11"/>
    </row>
    <row r="2939" spans="1:5">
      <c r="A2939" s="12" t="s">
        <v>12462</v>
      </c>
      <c r="B2939" s="12" t="s">
        <v>15680</v>
      </c>
      <c r="C2939" s="13" t="str">
        <f>HYPERLINK("https://audio.iskcondesiretree.com/02_-_ISKCON_Swamis/ISKCON_Swamis_-_R_to_Y/His_Holiness_Radhanath_Swami/Lectures/00_-_Year_wise/Devotional_Nectar_-_2017/2017-12-25_Various_-_What_Pleases_Me_-_Radhanath_Swami_Desai_House.mp3", "2017-12-25_Various_-_What_Pleases_Me_-_Radhanath_Swami_Desai_House.mp3")</f>
        <v>2017-12-25_Various_-_What_Pleases_Me_-_Radhanath_Swami_Desai_House.mp3</v>
      </c>
      <c r="D2939" s="11"/>
      <c r="E2939" s="11"/>
    </row>
    <row r="2940" spans="1:5">
      <c r="A2940" s="12" t="s">
        <v>12462</v>
      </c>
      <c r="B2940" s="12" t="s">
        <v>15681</v>
      </c>
      <c r="C2940" s="13" t="str">
        <f>HYPERLINK("https://audio.iskcondesiretree.com/02_-_ISKCON_Swamis/ISKCON_Swamis_-_R_to_Y/His_Holiness_Radhanath_Swami/Lectures/00_-_Year_wise/Devotional_Nectar_-_2017/2017_Festivals_-_Gaura_Purnima-03_Evening_Session-Jaya_Jaya_Jagannath_-_Radhanath_Sw_Chowpatty.mp3", "2017_Festivals_-_Gaura_Purnima-03_Evening_Session-Jaya_Jaya_Jagannath_-_Radhanath_Sw_Chowpatty.mp3")</f>
        <v>2017_Festivals_-_Gaura_Purnima-03_Evening_Session-Jaya_Jaya_Jagannath_-_Radhanath_Sw_Chowpatty.mp3</v>
      </c>
      <c r="D2940" s="11"/>
      <c r="E2940" s="11"/>
    </row>
    <row r="2941" spans="1:5">
      <c r="A2941" s="12" t="s">
        <v>12462</v>
      </c>
      <c r="B2941" s="12" t="s">
        <v>15682</v>
      </c>
      <c r="C2941" s="13" t="str">
        <f>HYPERLINK("https://audio.iskcondesiretree.com/02_-_ISKCON_Swamis/ISKCON_Swamis_-_R_to_Y/His_Holiness_Radhanath_Swami/Lectures/00_-_Year_wise/Devotional_Nectar_-_2017/2017_Pushya_Abhishek_-_What_Attracts_Krishna_Is_Simplicity_of_Offerings_-_Radhanath_Sw_Chowpatty.mp3", "2017_Pushya_Abhishek_-_What_Attracts_Krishna_Is_Simplicity_of_Offerings_-_Radhanath_Sw_Chowpatty.mp3")</f>
        <v>2017_Pushya_Abhishek_-_What_Attracts_Krishna_Is_Simplicity_of_Offerings_-_Radhanath_Sw_Chowpatty.mp3</v>
      </c>
      <c r="D2941" s="11"/>
      <c r="E2941" s="11"/>
    </row>
    <row r="2942" spans="1:5">
      <c r="A2942" s="12" t="s">
        <v>12462</v>
      </c>
      <c r="B2942" s="12" t="s">
        <v>15683</v>
      </c>
      <c r="C2942" s="13" t="str">
        <f>HYPERLINK("https://audio.iskcondesiretree.com/02_-_ISKCON_Swamis/ISKCON_Swamis_-_R_to_Y/His_Holiness_Radhanath_Swami/Lectures/00_-_Year_wise/Devotional_Nectar_-_2018/2018-01-06_SB_11-06-34-35_-_Glories_of_Gopal_Bhatta_Goswami_-_Radhanath_Swami_ISKCON_Chowpatty.mp3", "2018-01-06_SB_11-06-34-35_-_Glories_of_Gopal_Bhatta_Goswami_-_Radhanath_Swami_ISKCON_Chowpatty.mp3")</f>
        <v>2018-01-06_SB_11-06-34-35_-_Glories_of_Gopal_Bhatta_Goswami_-_Radhanath_Swami_ISKCON_Chowpatty.mp3</v>
      </c>
      <c r="D2942" s="11"/>
      <c r="E2942" s="11"/>
    </row>
    <row r="2943" spans="1:5">
      <c r="A2943" s="12" t="s">
        <v>12462</v>
      </c>
      <c r="B2943" s="12" t="e">
        <v>#VALUE!</v>
      </c>
      <c r="C2943" s="13" t="e">
        <f>HYPERLINK("https://audio.iskcondesiretree.com/02_-_ISKCON_Swamis/ISKCON_Swamis_-_R_to_Y/His_Holiness_Radhanath_Swami/Lectures/00_-_Year_wise/Devotional_Nectar_-_2018/2018-01-07_Festivals_Marathi_Translation_-_Lecture_at_Shivaji_Park_Ratha_Yatra_-_Radhanath_Swami_Dad"&amp;"ar.mp3", "2018-01-07_Festivals_Marathi_Translation_-_Lecture_at_Shivaji_Park_Ratha_Yatra_-_Radhanath_Swami_Dadar.mp3")</f>
        <v>#VALUE!</v>
      </c>
      <c r="D2943" s="11"/>
      <c r="E2943" s="11"/>
    </row>
    <row r="2944" spans="1:5">
      <c r="A2944" s="12" t="s">
        <v>12462</v>
      </c>
      <c r="B2944" s="12" t="s">
        <v>15684</v>
      </c>
      <c r="C2944" s="13" t="str">
        <f>HYPERLINK("https://audio.iskcondesiretree.com/02_-_ISKCON_Swamis/ISKCON_Swamis_-_R_to_Y/His_Holiness_Radhanath_Swami/Lectures/00_-_Year_wise/Devotional_Nectar_-_2018/2018-01-07_SB_11-06-35_-_Process_to_Understand_Krishna_-_Radhanath_Swami_ISKCON_Chowpatty.mp3", "2018-01-07_SB_11-06-35_-_Process_to_Understand_Krishna_-_Radhanath_Swami_ISKCON_Chowpatty.mp3")</f>
        <v>2018-01-07_SB_11-06-35_-_Process_to_Understand_Krishna_-_Radhanath_Swami_ISKCON_Chowpatty.mp3</v>
      </c>
      <c r="D2944" s="11"/>
      <c r="E2944" s="11"/>
    </row>
    <row r="2945" spans="1:5">
      <c r="A2945" s="12" t="s">
        <v>12462</v>
      </c>
      <c r="B2945" s="12" t="e">
        <v>#VALUE!</v>
      </c>
      <c r="C2945" s="13" t="e">
        <f>HYPERLINK("https://audio.iskcondesiretree.com/02_-_ISKCON_Swamis/ISKCON_Swamis_-_R_to_Y/His_Holiness_Radhanath_Swami/Lectures/00_-_Year_wise/Devotional_Nectar_-_2018/2018-01-15_Festivals_-_40th_Anniversary_Juhu-Srila_Prabhupada_Memories_-_Radhanath_Swami_ISKCON_Juhu"&amp;".mp3", "2018-01-15_Festivals_-_40th_Anniversary_Juhu-Srila_Prabhupada_Memories_-_Radhanath_Swami_ISKCON_Juhu.mp3")</f>
        <v>#VALUE!</v>
      </c>
      <c r="D2945" s="11"/>
      <c r="E2945" s="11"/>
    </row>
    <row r="2946" spans="1:5">
      <c r="A2946" s="12" t="s">
        <v>12462</v>
      </c>
      <c r="B2946" s="12" t="s">
        <v>15685</v>
      </c>
      <c r="C2946" s="13" t="str">
        <f>HYPERLINK("https://audio.iskcondesiretree.com/02_-_ISKCON_Swamis/ISKCON_Swamis_-_R_to_Y/His_Holiness_Radhanath_Swami/Lectures/00_-_Year_wise/Devotional_Nectar_-_2018/2018-01-26_Festivals_-_Special_Class_on_Sri_Ramanujacarya_-_Radhanath_Swami_ISKCON_Juhu.mp3", "2018-01-26_Festivals_-_Special_Class_on_Sri_Ramanujacarya_-_Radhanath_Swami_ISKCON_Juhu.mp3")</f>
        <v>2018-01-26_Festivals_-_Special_Class_on_Sri_Ramanujacarya_-_Radhanath_Swami_ISKCON_Juhu.mp3</v>
      </c>
      <c r="D2946" s="11"/>
      <c r="E2946" s="11"/>
    </row>
    <row r="2947" spans="1:5">
      <c r="A2947" s="12" t="s">
        <v>12462</v>
      </c>
      <c r="B2947" s="12" t="e">
        <v>#VALUE!</v>
      </c>
      <c r="C2947" s="13" t="e">
        <f>HYPERLINK("https://audio.iskcondesiretree.com/02_-_ISKCON_Swamis/ISKCON_Swamis_-_R_to_Y/His_Holiness_Radhanath_Swami/Lectures/00_-_Year_wise/Devotional_Nectar_-_2018/2018-01-27_Festivals_-_Pushya_Abhishek-Krishna_Accepts_Our_Love_-_Radhanath_Swami_ISKCON_Chowpatty.m"&amp;"p3", "2018-01-27_Festivals_-_Pushya_Abhishek-Krishna_Accepts_Our_Love_-_Radhanath_Swami_ISKCON_Chowpatty.mp3")</f>
        <v>#VALUE!</v>
      </c>
      <c r="D2947" s="11"/>
      <c r="E2947" s="11"/>
    </row>
    <row r="2948" spans="1:5">
      <c r="A2948" s="12" t="s">
        <v>12462</v>
      </c>
      <c r="B2948" s="12" t="e">
        <v>#VALUE!</v>
      </c>
      <c r="C2948" s="13" t="e">
        <f>HYPERLINK("https://audio.iskcondesiretree.com/02_-_ISKCON_Swamis/ISKCON_Swamis_-_R_to_Y/His_Holiness_Radhanath_Swami/Lectures/00_-_Year_wise/Devotional_Nectar_-_2018/2018-01-29_Festivals_-_Nityananda_Trayodashi-Bhakti_Is_Expression_of_Enthusiasm_to_Please_Krishna%28"&amp;"Morning%29_-_Radhanath_Swami_ISKCON_Chowpatty.mp3", "2018-01-29_Festivals_-_Nityananda_Trayodashi-Bhakti_Is_Expression_of_Enthusiasm_to_Please_Krishna%28Morning%29_-_Radhanath_Swami_ISKCON_Chowpatty.mp3")</f>
        <v>#VALUE!</v>
      </c>
      <c r="D2948" s="11"/>
      <c r="E2948" s="11"/>
    </row>
    <row r="2949" spans="1:5">
      <c r="A2949" s="12" t="s">
        <v>12462</v>
      </c>
      <c r="B2949" s="12" t="e">
        <v>#VALUE!</v>
      </c>
      <c r="C2949" s="13" t="e">
        <f>HYPERLINK("https://audio.iskcondesiretree.com/02_-_ISKCON_Swamis/ISKCON_Swamis_-_R_to_Y/His_Holiness_Radhanath_Swami/Lectures/00_-_Year_wise/Devotional_Nectar_-_2018/2018-01-29_Festivals_-_Nityananda_Trayodashi-Lord_Nityanand_Delivers_The_Most_Fallen%28Evening%29_-_"&amp;"Radhanath_Swami_ISKCON_Chowpatty.mp3", "2018-01-29_Festivals_-_Nityananda_Trayodashi-Lord_Nityanand_Delivers_The_Most_Fallen%28Evening%29_-_Radhanath_Swami_ISKCON_Chowpatty.mp3")</f>
        <v>#VALUE!</v>
      </c>
      <c r="D2949" s="11"/>
      <c r="E2949" s="11"/>
    </row>
    <row r="2950" spans="1:5">
      <c r="A2950" s="12" t="s">
        <v>12462</v>
      </c>
      <c r="B2950" s="12" t="s">
        <v>15686</v>
      </c>
      <c r="C2950" s="13" t="str">
        <f>HYPERLINK("https://audio.iskcondesiretree.com/02_-_ISKCON_Swamis/ISKCON_Swamis_-_R_to_Y/His_Holiness_Radhanath_Swami/Lectures/00_-_Year_wise/Devotional_Nectar_-_2018/2018-02-08_Festivals_-_Secret_of_Servant_Leadership_-_Radhanath_Swami_ISKCON_Mayapur.mp3", "2018-02-08_Festivals_-_Secret_of_Servant_Leadership_-_Radhanath_Swami_ISKCON_Mayapur.mp3")</f>
        <v>2018-02-08_Festivals_-_Secret_of_Servant_Leadership_-_Radhanath_Swami_ISKCON_Mayapur.mp3</v>
      </c>
      <c r="D2950" s="11"/>
      <c r="E2950" s="11"/>
    </row>
    <row r="2951" spans="1:5">
      <c r="A2951" s="12" t="s">
        <v>12462</v>
      </c>
      <c r="B2951" s="12" t="s">
        <v>15687</v>
      </c>
      <c r="C2951" s="13" t="str">
        <f>HYPERLINK("https://audio.iskcondesiretree.com/02_-_ISKCON_Swamis/ISKCON_Swamis_-_R_to_Y/His_Holiness_Radhanath_Swami/Lectures/00_-_Year_wise/Devotional_Nectar_-_2018/2018-02-10_SB_04-20-13_-_Radhanath_Swami_ISKCON_Mayapur.mp3", "2018-02-10_SB_04-20-13_-_Radhanath_Swami_ISKCON_Mayapur.mp3")</f>
        <v>2018-02-10_SB_04-20-13_-_Radhanath_Swami_ISKCON_Mayapur.mp3</v>
      </c>
      <c r="D2951" s="11"/>
      <c r="E2951" s="11"/>
    </row>
    <row r="2952" spans="1:5">
      <c r="A2952" s="12" t="s">
        <v>12462</v>
      </c>
      <c r="B2952" s="12" t="e">
        <v>#VALUE!</v>
      </c>
      <c r="C2952" s="13" t="e">
        <f>HYPERLINK("https://audio.iskcondesiretree.com/02_-_ISKCON_Swamis/ISKCON_Swamis_-_R_to_Y/His_Holiness_Radhanath_Swami/Lectures/00_-_Year_wise/Devotional_Nectar_-_2018/2018-03-02_Festivals_-_Gaur_Purnima-Appearance_of_Lord_Gauranga-Evening_Class_-_Radhanath_Swami_ISKC"&amp;"ON_Chowpatty.mp3", "2018-03-02_Festivals_-_Gaur_Purnima-Appearance_of_Lord_Gauranga-Evening_Class_-_Radhanath_Swami_ISKCON_Chowpatty.mp3")</f>
        <v>#VALUE!</v>
      </c>
      <c r="D2952" s="11"/>
      <c r="E2952" s="11"/>
    </row>
    <row r="2953" spans="1:5">
      <c r="A2953" s="12" t="s">
        <v>12462</v>
      </c>
      <c r="B2953" s="12" t="s">
        <v>15688</v>
      </c>
      <c r="C2953" s="13" t="str">
        <f>HYPERLINK("https://audio.iskcondesiretree.com/02_-_ISKCON_Swamis/ISKCON_Swamis_-_R_to_Y/His_Holiness_Radhanath_Swami/Lectures/00_-_Year_wise/Devotional_Nectar_-_2018/2018-03-02_Festivals_-_Gaur_Purnima_Morning_Class-Gaur_Katha_-_Radhanath_Swami_ISKCON_Chowpatty.mp3", "2018-03-02_Festivals_-_Gaur_Purnima_Morning_Class-Gaur_Katha_-_Radhanath_Swami_ISKCON_Chowpatty.mp3")</f>
        <v>2018-03-02_Festivals_-_Gaur_Purnima_Morning_Class-Gaur_Katha_-_Radhanath_Swami_ISKCON_Chowpatty.mp3</v>
      </c>
      <c r="D2953" s="11"/>
      <c r="E2953" s="11"/>
    </row>
    <row r="2954" spans="1:5">
      <c r="A2954" s="12" t="s">
        <v>12462</v>
      </c>
      <c r="B2954" s="12" t="e">
        <v>#VALUE!</v>
      </c>
      <c r="C2954" s="13" t="e">
        <f>HYPERLINK("https://audio.iskcondesiretree.com/02_-_ISKCON_Swamis/ISKCON_Swamis_-_R_to_Y/His_Holiness_Radhanath_Swami/Lectures/00_-_Year_wise/Devotional_Nectar_-_2018/2018-03-11_SB_11-03-45_-_Saintly_Persons_are_Like_Fire-They_Purify_All_-_Radhanath_Swami_ISKCON_Chow"&amp;"patty.mp3", "2018-03-11_SB_11-03-45_-_Saintly_Persons_are_Like_Fire-They_Purify_All_-_Radhanath_Swami_ISKCON_Chowpatty.mp3")</f>
        <v>#VALUE!</v>
      </c>
      <c r="D2954" s="11"/>
      <c r="E2954" s="11"/>
    </row>
    <row r="2955" spans="1:5">
      <c r="A2955" s="12" t="s">
        <v>12462</v>
      </c>
      <c r="B2955" s="12" t="e">
        <v>#VALUE!</v>
      </c>
      <c r="C2955" s="13" t="e">
        <f>HYPERLINK("https://audio.iskcondesiretree.com/02_-_ISKCON_Swamis/ISKCON_Swamis_-_R_to_Y/His_Holiness_Radhanath_Swami/Lectures/00_-_Year_wise/Devotional_Nectar_-_2018/2018-08-18_Various_-_Spirit_of_Service_weighs_more_than_the_Act_-_Radhanath_Swami_Bhaktivedanta_Mano"&amp;"r.mp3", "2018-08-18_Various_-_Spirit_of_Service_weighs_more_than_the_Act_-_Radhanath_Swami_Bhaktivedanta_Manor.mp3")</f>
        <v>#VALUE!</v>
      </c>
      <c r="D2955" s="11"/>
      <c r="E2955" s="11"/>
    </row>
    <row r="2956" spans="1:5">
      <c r="A2956" s="12" t="s">
        <v>12462</v>
      </c>
      <c r="B2956" s="12" t="s">
        <v>15689</v>
      </c>
      <c r="C2956" s="13" t="str">
        <f>HYPERLINK("https://audio.iskcondesiretree.com/02_-_ISKCON_Swamis/ISKCON_Swamis_-_R_to_Y/His_Holiness_Radhanath_Swami/Lectures/00_-_Year_wise/Devotional_Nectar_-_2018/2018-08-19_Various_-_Proper_Hearing_of_Hari_Katha_-_Radhanath_Swami_Bhaktivedanta_Manor.mp3", "2018-08-19_Various_-_Proper_Hearing_of_Hari_Katha_-_Radhanath_Swami_Bhaktivedanta_Manor.mp3")</f>
        <v>2018-08-19_Various_-_Proper_Hearing_of_Hari_Katha_-_Radhanath_Swami_Bhaktivedanta_Manor.mp3</v>
      </c>
      <c r="D2956" s="11"/>
      <c r="E2956" s="11"/>
    </row>
    <row r="2957" spans="1:5">
      <c r="A2957" s="12" t="s">
        <v>12462</v>
      </c>
      <c r="B2957" s="12" t="s">
        <v>15690</v>
      </c>
      <c r="C2957" s="13" t="str">
        <f>HYPERLINK("https://audio.iskcondesiretree.com/02_-_ISKCON_Swamis/ISKCON_Swamis_-_R_to_Y/His_Holiness_Radhanath_Swami/Lectures/00_-_Year_wise/Devotional_Nectar_-_2018/2018-08-26_SB_10-08-12_-_Balaram_Jayanti_Class_-_Radhanath_Swami_ISKCON_Chowpatty.mp3", "2018-08-26_SB_10-08-12_-_Balaram_Jayanti_Class_-_Radhanath_Swami_ISKCON_Chowpatty.mp3")</f>
        <v>2018-08-26_SB_10-08-12_-_Balaram_Jayanti_Class_-_Radhanath_Swami_ISKCON_Chowpatty.mp3</v>
      </c>
      <c r="D2957" s="11"/>
      <c r="E2957" s="11"/>
    </row>
    <row r="2958" spans="1:5">
      <c r="A2958" s="12" t="s">
        <v>12462</v>
      </c>
      <c r="B2958" s="12" t="s">
        <v>15691</v>
      </c>
      <c r="C2958" s="13" t="str">
        <f>HYPERLINK("https://audio.iskcondesiretree.com/02_-_ISKCON_Swamis/ISKCON_Swamis_-_R_to_Y/His_Holiness_Radhanath_Swami/Lectures/00_-_Year_wise/Devotional_Nectar_-_2018/2018-09-02_SB_10-16-39_-_Janmastami_Festival_Katha_-_Radhanath_Swami_ISKCON_Chowpatty.mp3", "2018-09-02_SB_10-16-39_-_Janmastami_Festival_Katha_-_Radhanath_Swami_ISKCON_Chowpatty.mp3")</f>
        <v>2018-09-02_SB_10-16-39_-_Janmastami_Festival_Katha_-_Radhanath_Swami_ISKCON_Chowpatty.mp3</v>
      </c>
      <c r="D2958" s="11"/>
      <c r="E2958" s="11"/>
    </row>
    <row r="2959" spans="1:5">
      <c r="A2959" s="12" t="s">
        <v>12462</v>
      </c>
      <c r="B2959" s="12" t="s">
        <v>15692</v>
      </c>
      <c r="C2959" s="13" t="str">
        <f>HYPERLINK("https://audio.iskcondesiretree.com/02_-_ISKCON_Swamis/ISKCON_Swamis_-_R_to_Y/His_Holiness_Radhanath_Swami/Lectures/00_-_Year_wise/Devotional_Nectar_-_2018/2018-09-03_SB_10-01-02_-_Janmastami_Festival_Katha_-_Radhanath_Swami_ISKCON_Chowpatty.mp3", "2018-09-03_SB_10-01-02_-_Janmastami_Festival_Katha_-_Radhanath_Swami_ISKCON_Chowpatty.mp3")</f>
        <v>2018-09-03_SB_10-01-02_-_Janmastami_Festival_Katha_-_Radhanath_Swami_ISKCON_Chowpatty.mp3</v>
      </c>
      <c r="D2959" s="11"/>
      <c r="E2959" s="11"/>
    </row>
    <row r="2960" spans="1:5">
      <c r="A2960" s="12" t="s">
        <v>12462</v>
      </c>
      <c r="B2960" s="12" t="e">
        <v>#VALUE!</v>
      </c>
      <c r="C2960" s="13" t="e">
        <f>HYPERLINK("https://audio.iskcondesiretree.com/02_-_ISKCON_Swamis/ISKCON_Swamis_-_R_to_Y/His_Holiness_Radhanath_Swami/Lectures/00_-_Year_wise/Devotional_Nectar_-_2018/2018-09-04_Festivals_-_Srila_Prabhupada_Appearance-Offerings_by_Various_Devotees_-_Radhanath_Swami_I"&amp;"SKCON_Chowpatty.mp3", "2018-09-04_Festivals_-_Srila_Prabhupada_Appearance-Offerings_by_Various_Devotees_-_Radhanath_Swami_ISKCON_Chowpatty.mp3")</f>
        <v>#VALUE!</v>
      </c>
      <c r="D2960" s="11"/>
      <c r="E2960" s="11"/>
    </row>
    <row r="2961" spans="1:5">
      <c r="A2961" s="12" t="s">
        <v>12462</v>
      </c>
      <c r="B2961" s="12" t="s">
        <v>15693</v>
      </c>
      <c r="C2961" s="13" t="str">
        <f>HYPERLINK("https://audio.iskcondesiretree.com/02_-_ISKCON_Swamis/ISKCON_Swamis_-_R_to_Y/His_Holiness_Radhanath_Swami/Lectures/00_-_Year_wise/Devotional_Nectar_-_2018/2018-10-28_SB_11-14-01_-_Glories_Of_Uddhav_Gita_-_Radhanath_Swami_ISKCON_Chowpatty.mp3", "2018-10-28_SB_11-14-01_-_Glories_Of_Uddhav_Gita_-_Radhanath_Swami_ISKCON_Chowpatty.mp3")</f>
        <v>2018-10-28_SB_11-14-01_-_Glories_Of_Uddhav_Gita_-_Radhanath_Swami_ISKCON_Chowpatty.mp3</v>
      </c>
      <c r="D2961" s="11"/>
      <c r="E2961" s="11"/>
    </row>
    <row r="2962" spans="1:5">
      <c r="A2962" s="12" t="s">
        <v>12462</v>
      </c>
      <c r="B2962" s="12" t="e">
        <v>#VALUE!</v>
      </c>
      <c r="C2962" s="13" t="e">
        <f>HYPERLINK("https://audio.iskcondesiretree.com/02_-_ISKCON_Swamis/ISKCON_Swamis_-_R_to_Y/His_Holiness_Radhanath_Swami/Lectures/00_-_Year_wise/Devotional_Nectar_-_2018/2018-12-09_SB_11-15-01_-_Sharanagati_means_Taking_Shelter_of_Lord_Krishna_-_Radhanath_Swami_ISKCON_C"&amp;"howpatty.mp3", "2018-12-09_SB_11-15-01_-_Sharanagati_means_Taking_Shelter_of_Lord_Krishna_-_Radhanath_Swami_ISKCON_Chowpatty.mp3")</f>
        <v>#VALUE!</v>
      </c>
      <c r="D2962" s="11"/>
      <c r="E2962" s="11"/>
    </row>
    <row r="2963" spans="1:5">
      <c r="A2963" s="12" t="s">
        <v>12462</v>
      </c>
      <c r="B2963" s="12" t="s">
        <v>15694</v>
      </c>
      <c r="C2963" s="13" t="str">
        <f>HYPERLINK("https://audio.iskcondesiretree.com/02_-_ISKCON_Swamis/ISKCON_Swamis_-_R_to_Y/His_Holiness_Radhanath_Swami/Lectures/00_-_Year_wise/Devotional_Nectar_-_2018/2018-12-16_SB_11-15-12_-_Lord_Krishna_is_Real_Yogesvara_-_Radhanath_Swami_ISKCON_Chowpatty.mp3", "2018-12-16_SB_11-15-12_-_Lord_Krishna_is_Real_Yogesvara_-_Radhanath_Swami_ISKCON_Chowpatty.mp3")</f>
        <v>2018-12-16_SB_11-15-12_-_Lord_Krishna_is_Real_Yogesvara_-_Radhanath_Swami_ISKCON_Chowpatty.mp3</v>
      </c>
      <c r="D2963" s="11"/>
      <c r="E2963" s="11"/>
    </row>
    <row r="2964" spans="1:5">
      <c r="A2964" s="12" t="s">
        <v>12462</v>
      </c>
      <c r="B2964" s="12" t="e">
        <v>#VALUE!</v>
      </c>
      <c r="C2964" s="13" t="e">
        <f>HYPERLINK("https://audio.iskcondesiretree.com/02_-_ISKCON_Swamis/ISKCON_Swamis_-_R_to_Y/His_Holiness_Radhanath_Swami/Lectures/00_-_Year_wise/Devotional_Nectar_-_2018/2018-12-23_SB_11-15-17_-_Achieving_Perfection_through_Devotional_Service_-_Radhanath_Swami_ISKCON_Ch"&amp;"owpatty.mp3", "2018-12-23_SB_11-15-17_-_Achieving_Perfection_through_Devotional_Service_-_Radhanath_Swami_ISKCON_Chowpatty.mp3")</f>
        <v>#VALUE!</v>
      </c>
      <c r="D2964" s="11"/>
      <c r="E2964" s="11"/>
    </row>
    <row r="2965" spans="1:5">
      <c r="A2965" s="12" t="s">
        <v>12462</v>
      </c>
      <c r="B2965" s="12" t="s">
        <v>15695</v>
      </c>
      <c r="C2965" s="13" t="str">
        <f>HYPERLINK("https://audio.iskcondesiretree.com/02_-_ISKCON_Swamis/ISKCON_Swamis_-_R_to_Y/His_Holiness_Radhanath_Swami/Lectures/00_-_Year_wise/Devotional_Nectar_-_2019/2019-01-05_Festivals_-_Shivaji_Park_Rath_Yatra_Lecture_-_Radhanath_Swami_Dadar.mp3", "2019-01-05_Festivals_-_Shivaji_Park_Rath_Yatra_Lecture_-_Radhanath_Swami_Dadar.mp3")</f>
        <v>2019-01-05_Festivals_-_Shivaji_Park_Rath_Yatra_Lecture_-_Radhanath_Swami_Dadar.mp3</v>
      </c>
      <c r="D2965" s="11"/>
      <c r="E2965" s="11"/>
    </row>
    <row r="2966" spans="1:5">
      <c r="A2966" s="12" t="s">
        <v>12462</v>
      </c>
      <c r="B2966" s="12" t="s">
        <v>15696</v>
      </c>
      <c r="C2966" s="13" t="str">
        <f>HYPERLINK("https://audio.iskcondesiretree.com/02_-_ISKCON_Swamis/ISKCON_Swamis_-_R_to_Y/His_Holiness_Radhanath_Swami/Lectures/00_-_Year_wise/Devotional_Nectar_-_2019/2019-01-06_SB_11-15-32_-_Psychology_of_Love_of_Godhead_-_Radhanath_Swami_ISKCON_Chowpatty.mp3", "2019-01-06_SB_11-15-32_-_Psychology_of_Love_of_Godhead_-_Radhanath_Swami_ISKCON_Chowpatty.mp3")</f>
        <v>2019-01-06_SB_11-15-32_-_Psychology_of_Love_of_Godhead_-_Radhanath_Swami_ISKCON_Chowpatty.mp3</v>
      </c>
      <c r="D2966" s="11"/>
      <c r="E2966" s="11"/>
    </row>
    <row r="2967" spans="1:5">
      <c r="A2967" s="12" t="s">
        <v>12462</v>
      </c>
      <c r="B2967" s="12" t="s">
        <v>15697</v>
      </c>
      <c r="C2967" s="13" t="str">
        <f>HYPERLINK("https://audio.iskcondesiretree.com/02_-_ISKCON_Swamis/ISKCON_Swamis_-_R_to_Y/His_Holiness_Radhanath_Swami/Lectures/00_-_Year_wise/Devotional_Nectar_-_2019/2019-01-20_SB_11-16-10-17_-_Krishna_is_the_Source_of_Opulence_-_Radhanath_Swami_ISKCON_Chowpatty.mp3", "2019-01-20_SB_11-16-10-17_-_Krishna_is_the_Source_of_Opulence_-_Radhanath_Swami_ISKCON_Chowpatty.mp3")</f>
        <v>2019-01-20_SB_11-16-10-17_-_Krishna_is_the_Source_of_Opulence_-_Radhanath_Swami_ISKCON_Chowpatty.mp3</v>
      </c>
      <c r="D2967" s="11"/>
      <c r="E2967" s="11"/>
    </row>
    <row r="2968" spans="1:5">
      <c r="A2968" s="12" t="s">
        <v>12462</v>
      </c>
      <c r="B2968" s="12" t="e">
        <v>#VALUE!</v>
      </c>
      <c r="C2968" s="13" t="e">
        <f>HYPERLINK("https://audio.iskcondesiretree.com/02_-_ISKCON_Swamis/ISKCON_Swamis_-_R_to_Y/His_Holiness_Radhanath_Swami/Lectures/00_-_Year_wise/Devotional_Nectar_-_2019/2019-01-20_Various_-_Special_Lecture-Childhood_Pastimes_of_Lord_Krishna_-_Radhanath_Swami_ISKCON_Juh"&amp;"u.mp3", "2019-01-20_Various_-_Special_Lecture-Childhood_Pastimes_of_Lord_Krishna_-_Radhanath_Swami_ISKCON_Juhu.mp3")</f>
        <v>#VALUE!</v>
      </c>
      <c r="D2968" s="11"/>
      <c r="E2968" s="11"/>
    </row>
    <row r="2969" spans="1:5">
      <c r="A2969" s="12" t="s">
        <v>12462</v>
      </c>
      <c r="B2969" s="12" t="e">
        <v>#VALUE!</v>
      </c>
      <c r="C2969" s="13" t="e">
        <f>HYPERLINK("https://audio.iskcondesiretree.com/02_-_ISKCON_Swamis/ISKCON_Swamis_-_R_to_Y/His_Holiness_Radhanath_Swami/Lectures/00_-_Year_wise/Devotional_Nectar_-_2019/2019-01-25_Festivals_-_Special_Class_on_Radha_Madan_Mohan_Installation_-_Radhanath_Swami_GEV_Wada.mp"&amp;"3", "2019-01-25_Festivals_-_Special_Class_on_Radha_Madan_Mohan_Installation_-_Radhanath_Swami_GEV_Wada.mp3")</f>
        <v>#VALUE!</v>
      </c>
      <c r="D2969" s="11"/>
      <c r="E2969" s="11"/>
    </row>
    <row r="2970" spans="1:5">
      <c r="A2970" s="12" t="s">
        <v>12462</v>
      </c>
      <c r="B2970" s="12" t="e">
        <v>#VALUE!</v>
      </c>
      <c r="C2970" s="13" t="e">
        <f>HYPERLINK("https://audio.iskcondesiretree.com/02_-_ISKCON_Swamis/ISKCON_Swamis_-_R_to_Y/His_Holiness_Radhanath_Swami/Lectures/00_-_Year_wise/Devotional_Nectar_-_2019/2019-01-27_SB_04-31-26_-_Sacrifice_to_Help_Others_Pleases_Krishna_than_Anything_Else_-_Radhanath_Swa"&amp;"mi_ISKCON_Chowpatty.mp3", "2019-01-27_SB_04-31-26_-_Sacrifice_to_Help_Others_Pleases_Krishna_than_Anything_Else_-_Radhanath_Swami_ISKCON_Chowpatty.mp3")</f>
        <v>#VALUE!</v>
      </c>
      <c r="D2970" s="11"/>
      <c r="E2970" s="11"/>
    </row>
    <row r="2971" spans="1:5">
      <c r="A2971" s="12" t="s">
        <v>12462</v>
      </c>
      <c r="B2971" s="12" t="s">
        <v>15698</v>
      </c>
      <c r="C2971" s="13" t="str">
        <f>HYPERLINK("https://audio.iskcondesiretree.com/02_-_ISKCON_Swamis/ISKCON_Swamis_-_R_to_Y/His_Holiness_Radhanath_Swami/Lectures/00_-_Year_wise/Devotional_Nectar_-_2019/2019-03-24_CC_Madhya_Lila_01-52-53_-_Radhanath_Swami_Bhaktivedanta_Manor.mp3", "2019-03-24_CC_Madhya_Lila_01-52-53_-_Radhanath_Swami_Bhaktivedanta_Manor.mp3")</f>
        <v>2019-03-24_CC_Madhya_Lila_01-52-53_-_Radhanath_Swami_Bhaktivedanta_Manor.mp3</v>
      </c>
      <c r="D2971" s="11"/>
      <c r="E2971" s="11"/>
    </row>
    <row r="2972" spans="1:5">
      <c r="A2972" s="12" t="s">
        <v>12462</v>
      </c>
      <c r="B2972" s="12" t="s">
        <v>15699</v>
      </c>
      <c r="C2972" s="13" t="str">
        <f>HYPERLINK("https://audio.iskcondesiretree.com/02_-_ISKCON_Swamis/ISKCON_Swamis_-_R_to_Y/His_Holiness_Radhanath_Swami/Lectures/00_-_Year_wise/Devotional_Nectar_-_2019/2019-04-28_Festivals_-_Glories_of_Sri_Hanuman-The_Emblem_of_Devotion_-_Radhanath_Swami.mp3", "2019-04-28_Festivals_-_Glories_of_Sri_Hanuman-The_Emblem_of_Devotion_-_Radhanath_Swami.mp3")</f>
        <v>2019-04-28_Festivals_-_Glories_of_Sri_Hanuman-The_Emblem_of_Devotion_-_Radhanath_Swami.mp3</v>
      </c>
      <c r="D2972" s="11"/>
      <c r="E2972" s="11"/>
    </row>
    <row r="2973" spans="1:5">
      <c r="A2973" s="12" t="s">
        <v>12462</v>
      </c>
      <c r="B2973" s="12" t="s">
        <v>15700</v>
      </c>
      <c r="C2973" s="13" t="str">
        <f>HYPERLINK("https://audio.iskcondesiretree.com/02_-_ISKCON_Swamis/ISKCON_Swamis_-_R_to_Y/His_Holiness_Radhanath_Swami/Lectures/00_-_Year_wise/Devotional_Nectar_-_2019/2019-05-06_Various_-_Wisdom_from_the_Bhakti_Tradition_-_Radhanath_Swami_Bhakti_Centre.mp3", "2019-05-06_Various_-_Wisdom_from_the_Bhakti_Tradition_-_Radhanath_Swami_Bhakti_Centre.mp3")</f>
        <v>2019-05-06_Various_-_Wisdom_from_the_Bhakti_Tradition_-_Radhanath_Swami_Bhakti_Centre.mp3</v>
      </c>
      <c r="D2973" s="11"/>
      <c r="E2973" s="11"/>
    </row>
    <row r="2974" spans="1:5">
      <c r="A2974" s="12" t="s">
        <v>12462</v>
      </c>
      <c r="B2974" s="12" t="s">
        <v>15701</v>
      </c>
      <c r="C2974" s="13" t="str">
        <f>HYPERLINK("https://audio.iskcondesiretree.com/02_-_ISKCON_Swamis/ISKCON_Swamis_-_R_to_Y/His_Holiness_Radhanath_Swami/Lectures/00_-_Year_wise/Devotional_Nectar_-_2019/2019-05-14_Various_-_Talk_on_Mothers_Day_-_Radhanath_Swami_Bhakti_Centre.mp3", "2019-05-14_Various_-_Talk_on_Mothers_Day_-_Radhanath_Swami_Bhakti_Centre.mp3")</f>
        <v>2019-05-14_Various_-_Talk_on_Mothers_Day_-_Radhanath_Swami_Bhakti_Centre.mp3</v>
      </c>
      <c r="D2974" s="11"/>
      <c r="E2974" s="11"/>
    </row>
    <row r="2975" spans="1:5">
      <c r="A2975" s="12" t="s">
        <v>12462</v>
      </c>
      <c r="B2975" s="12" t="s">
        <v>15702</v>
      </c>
      <c r="C2975" s="13" t="str">
        <f>HYPERLINK("https://audio.iskcondesiretree.com/02_-_ISKCON_Swamis/ISKCON_Swamis_-_R_to_Y/His_Holiness_Radhanath_Swami/Lectures/00_-_Year_wise/Devotional_Nectar_-_2019/2019-05-14_Various_-_Wisdom_from_the_Bhakti_Tradition_-_Radhanath_Swami_Bhakti_Centre.mp3", "2019-05-14_Various_-_Wisdom_from_the_Bhakti_Tradition_-_Radhanath_Swami_Bhakti_Centre.mp3")</f>
        <v>2019-05-14_Various_-_Wisdom_from_the_Bhakti_Tradition_-_Radhanath_Swami_Bhakti_Centre.mp3</v>
      </c>
      <c r="D2975" s="11"/>
      <c r="E2975" s="11"/>
    </row>
    <row r="2976" spans="1:5">
      <c r="A2976" s="12" t="s">
        <v>12462</v>
      </c>
      <c r="B2976" s="12" t="s">
        <v>15703</v>
      </c>
      <c r="C2976" s="13" t="str">
        <f>HYPERLINK("https://audio.iskcondesiretree.com/02_-_ISKCON_Swamis/ISKCON_Swamis_-_R_to_Y/His_Holiness_Radhanath_Swami/Lectures/00_-_Year_wise/Devotional_Nectar_-_2019/2019-05-29_Various_-_Wisdom_from_the_Bhakti_Tradition_-_Radhanath_Swami_Bhakti_Centre.mp3", "2019-05-29_Various_-_Wisdom_from_the_Bhakti_Tradition_-_Radhanath_Swami_Bhakti_Centre.mp3")</f>
        <v>2019-05-29_Various_-_Wisdom_from_the_Bhakti_Tradition_-_Radhanath_Swami_Bhakti_Centre.mp3</v>
      </c>
      <c r="D2976" s="11"/>
      <c r="E2976" s="11"/>
    </row>
    <row r="2977" spans="1:5">
      <c r="A2977" s="12" t="s">
        <v>12462</v>
      </c>
      <c r="B2977" s="12" t="s">
        <v>15704</v>
      </c>
      <c r="C2977" s="13" t="str">
        <f>HYPERLINK("https://audio.iskcondesiretree.com/02_-_ISKCON_Swamis/ISKCON_Swamis_-_R_to_Y/His_Holiness_Radhanath_Swami/Lectures/00_-_Year_wise/Devotional_Nectar_-_2019/2019-07-10_SB_01-16-20_-_Radhanath_Swami_Los_Angeles.mp3", "2019-07-10_SB_01-16-20_-_Radhanath_Swami_Los_Angeles.mp3")</f>
        <v>2019-07-10_SB_01-16-20_-_Radhanath_Swami_Los_Angeles.mp3</v>
      </c>
      <c r="D2977" s="11"/>
      <c r="E2977" s="11"/>
    </row>
    <row r="2978" spans="1:5">
      <c r="A2978" s="12" t="s">
        <v>12462</v>
      </c>
      <c r="B2978" s="12" t="s">
        <v>15705</v>
      </c>
      <c r="C2978" s="13" t="str">
        <f>HYPERLINK("https://audio.iskcondesiretree.com/02_-_ISKCON_Swamis/ISKCON_Swamis_-_R_to_Y/His_Holiness_Radhanath_Swami/Lectures/00_-_Year_wise/Devotional_Nectar_-_2019/2019-07-28_Festivals_-_Initiation_Talk_-_Radhanath_Swami_Silicon_Valley.mp3", "2019-07-28_Festivals_-_Initiation_Talk_-_Radhanath_Swami_Silicon_Valley.mp3")</f>
        <v>2019-07-28_Festivals_-_Initiation_Talk_-_Radhanath_Swami_Silicon_Valley.mp3</v>
      </c>
      <c r="D2978" s="11"/>
      <c r="E2978" s="11"/>
    </row>
    <row r="2979" spans="1:5">
      <c r="A2979" s="12" t="s">
        <v>12462</v>
      </c>
      <c r="B2979" s="12" t="s">
        <v>15706</v>
      </c>
      <c r="C2979" s="13" t="str">
        <f>HYPERLINK("https://audio.iskcondesiretree.com/02_-_ISKCON_Swamis/ISKCON_Swamis_-_R_to_Y/His_Holiness_Radhanath_Swami/Lectures/00_-_Year_wise/Devotional_Nectar_-_2019/2019-08-24_SB_01-03-28_-_Janmashtami_Festival_-_Radhanath_Swami_ISKCON_Chowpatty.mp3", "2019-08-24_SB_01-03-28_-_Janmashtami_Festival_-_Radhanath_Swami_ISKCON_Chowpatty.mp3")</f>
        <v>2019-08-24_SB_01-03-28_-_Janmashtami_Festival_-_Radhanath_Swami_ISKCON_Chowpatty.mp3</v>
      </c>
      <c r="D2979" s="11"/>
      <c r="E2979" s="11"/>
    </row>
    <row r="2980" spans="1:5">
      <c r="A2980" s="12" t="s">
        <v>12462</v>
      </c>
      <c r="B2980" s="12" t="s">
        <v>15707</v>
      </c>
      <c r="C2980" s="13" t="str">
        <f>HYPERLINK("https://audio.iskcondesiretree.com/02_-_ISKCON_Swamis/ISKCON_Swamis_-_R_to_Y/His_Holiness_Radhanath_Swami/Lectures/00_-_Year_wise/Devotional_Nectar_-_2019/2019-08-25_Festivals_-_Srila_Prabhupada_Vyasa_Puja_Offerings_-_Radhanath_Swami_ISKCON_Chowpatty.mp3", "2019-08-25_Festivals_-_Srila_Prabhupada_Vyasa_Puja_Offerings_-_Radhanath_Swami_ISKCON_Chowpatty.mp3")</f>
        <v>2019-08-25_Festivals_-_Srila_Prabhupada_Vyasa_Puja_Offerings_-_Radhanath_Swami_ISKCON_Chowpatty.mp3</v>
      </c>
      <c r="D2980" s="11"/>
      <c r="E2980" s="11"/>
    </row>
    <row r="2981" spans="1:5">
      <c r="A2981" s="12" t="s">
        <v>12462</v>
      </c>
      <c r="B2981" s="12" t="s">
        <v>15708</v>
      </c>
      <c r="C2981" s="13" t="str">
        <f>HYPERLINK("https://audio.iskcondesiretree.com/02_-_ISKCON_Swamis/ISKCON_Swamis_-_R_to_Y/His_Holiness_Radhanath_Swami/Lectures/00_-_Year_wise/Devotional_Nectar_-_2019/2019-11-10_Festivals_-_Govardhan_Puja_Lecture_-_Radhanath_Swami_GEV.mp3", "2019-11-10_Festivals_-_Govardhan_Puja_Lecture_-_Radhanath_Swami_GEV.mp3")</f>
        <v>2019-11-10_Festivals_-_Govardhan_Puja_Lecture_-_Radhanath_Swami_GEV.mp3</v>
      </c>
      <c r="D2981" s="11"/>
      <c r="E2981" s="11"/>
    </row>
    <row r="2982" spans="1:5">
      <c r="A2982" s="12" t="s">
        <v>12462</v>
      </c>
      <c r="B2982" s="12" t="e">
        <v>#VALUE!</v>
      </c>
      <c r="C2982" s="13" t="e">
        <f>HYPERLINK("https://audio.iskcondesiretree.com/02_-_ISKCON_Swamis/ISKCON_Swamis_-_R_to_Y/His_Holiness_Radhanath_Swami/Lectures/00_-_Year_wise/Devotional_Nectar_-_2019/2019-12-19_SB-11-24-08_-_Humility_is_Important_in_Uprooting_False_Ego_-_Radhanath_Swami_ISKCON_Chowp"&amp;"atty.mp3", "2019-12-19_SB-11-24-08_-_Humility_is_Important_in_Uprooting_False_Ego_-_Radhanath_Swami_ISKCON_Chowpatty.mp3")</f>
        <v>#VALUE!</v>
      </c>
      <c r="D2982" s="11"/>
      <c r="E2982" s="11"/>
    </row>
    <row r="2983" spans="1:5">
      <c r="A2983" s="12" t="s">
        <v>12462</v>
      </c>
      <c r="B2983" s="12" t="s">
        <v>15709</v>
      </c>
      <c r="C2983" s="13" t="str">
        <f>HYPERLINK("https://audio.iskcondesiretree.com/02_-_ISKCON_Swamis/ISKCON_Swamis_-_R_to_Y/His_Holiness_Radhanath_Swami/Lectures/00_-_Year_wise/Devotional_Nectar_-_2019/2019-12-29_Festivals_-_Glories_of_Jiva_Goswami_-_Radhanath_Swami_GEV_Wada.mp3", "2019-12-29_Festivals_-_Glories_of_Jiva_Goswami_-_Radhanath_Swami_GEV_Wada.mp3")</f>
        <v>2019-12-29_Festivals_-_Glories_of_Jiva_Goswami_-_Radhanath_Swami_GEV_Wada.mp3</v>
      </c>
      <c r="D2983" s="11"/>
      <c r="E2983" s="11"/>
    </row>
    <row r="2984" spans="1:5">
      <c r="A2984" s="12" t="s">
        <v>12462</v>
      </c>
      <c r="B2984" s="12" t="e">
        <v>#VALUE!</v>
      </c>
      <c r="C2984" s="13" t="e">
        <f>HYPERLINK("https://audio.iskcondesiretree.com/02_-_ISKCON_Swamis/ISKCON_Swamis_-_R_to_Y/His_Holiness_Radhanath_Swami/Lectures/00_-_Year_wise/Devotional_Nectar_-_2020/2020-01-05_SB_11-25-06_-_Intricate_Workings_of_The_Modes_Of_Material_Nature_-_Radhanath_Swami_ISKCON"&amp;"_Chowpatty.mp3", "2020-01-05_SB_11-25-06_-_Intricate_Workings_of_The_Modes_Of_Material_Nature_-_Radhanath_Swami_ISKCON_Chowpatty.mp3")</f>
        <v>#VALUE!</v>
      </c>
      <c r="D2984" s="11"/>
      <c r="E2984" s="11"/>
    </row>
    <row r="2985" spans="1:5">
      <c r="A2985" s="12" t="s">
        <v>12462</v>
      </c>
      <c r="B2985" s="12" t="s">
        <v>15710</v>
      </c>
      <c r="C2985" s="13" t="str">
        <f>HYPERLINK("https://audio.iskcondesiretree.com/02_-_ISKCON_Swamis/ISKCON_Swamis_-_R_to_Y/His_Holiness_Radhanath_Swami/Lectures/00_-_Year_wise/Devotional_Nectar_-_2020/2020-01-12_SB_06-03-31_-_Sankirtan_brings_Auspiciousness_-_Radhanath_Swami_ISKCON_Chowpatty.mp3", "2020-01-12_SB_06-03-31_-_Sankirtan_brings_Auspiciousness_-_Radhanath_Swami_ISKCON_Chowpatty.mp3")</f>
        <v>2020-01-12_SB_06-03-31_-_Sankirtan_brings_Auspiciousness_-_Radhanath_Swami_ISKCON_Chowpatty.mp3</v>
      </c>
      <c r="D2985" s="11"/>
      <c r="E2985" s="11"/>
    </row>
    <row r="2986" spans="1:5">
      <c r="A2986" s="12" t="s">
        <v>12462</v>
      </c>
      <c r="B2986" s="12" t="s">
        <v>15711</v>
      </c>
      <c r="C2986" s="13" t="str">
        <f>HYPERLINK("https://audio.iskcondesiretree.com/02_-_ISKCON_Swamis/ISKCON_Swamis_-_R_to_Y/His_Holiness_Radhanath_Swami/Lectures/00_-_Year_wise/Devotional_Nectar_-_2020/2020-01-18_Various_-_Artha_Forum_-_Radhanath_Swami_GEV.mp3", "2020-01-18_Various_-_Artha_Forum_-_Radhanath_Swami_GEV.mp3")</f>
        <v>2020-01-18_Various_-_Artha_Forum_-_Radhanath_Swami_GEV.mp3</v>
      </c>
      <c r="D2986" s="11"/>
      <c r="E2986" s="11"/>
    </row>
    <row r="2987" spans="1:5">
      <c r="A2987" s="12" t="s">
        <v>12462</v>
      </c>
      <c r="B2987" s="12" t="s">
        <v>15712</v>
      </c>
      <c r="C2987" s="13" t="str">
        <f>HYPERLINK("https://audio.iskcondesiretree.com/02_-_ISKCON_Swamis/ISKCON_Swamis_-_R_to_Y/His_Holiness_Radhanath_Swami/Lectures/00_-_Year_wise/Devotional_Nectar_-_2020/2020-01-25_Festivals_-_Pushya_Abhishek_Lecture-Evening_Class_-_Radhanath_Swami_ISKCON_Chowpatty.mp3", "2020-01-25_Festivals_-_Pushya_Abhishek_Lecture-Evening_Class_-_Radhanath_Swami_ISKCON_Chowpatty.mp3")</f>
        <v>2020-01-25_Festivals_-_Pushya_Abhishek_Lecture-Evening_Class_-_Radhanath_Swami_ISKCON_Chowpatty.mp3</v>
      </c>
      <c r="D2987" s="11"/>
      <c r="E2987" s="11"/>
    </row>
    <row r="2988" spans="1:5">
      <c r="A2988" s="12" t="s">
        <v>12462</v>
      </c>
      <c r="B2988" s="12" t="s">
        <v>15713</v>
      </c>
      <c r="C2988" s="13" t="str">
        <f>HYPERLINK("https://audio.iskcondesiretree.com/02_-_ISKCON_Swamis/ISKCON_Swamis_-_R_to_Y/His_Holiness_Radhanath_Swami/Lectures/00_-_Year_wise/Devotional_Nectar_-_2020/2020-01-25_Festivals_-_Pushya_Abhishek_Lecture-Morning_Class_-_Radhanath_Swami_ISKCON_Chowpatty.mp3", "2020-01-25_Festivals_-_Pushya_Abhishek_Lecture-Morning_Class_-_Radhanath_Swami_ISKCON_Chowpatty.mp3")</f>
        <v>2020-01-25_Festivals_-_Pushya_Abhishek_Lecture-Morning_Class_-_Radhanath_Swami_ISKCON_Chowpatty.mp3</v>
      </c>
      <c r="D2988" s="11"/>
      <c r="E2988" s="11"/>
    </row>
    <row r="2989" spans="1:5">
      <c r="A2989" s="12" t="s">
        <v>12462</v>
      </c>
      <c r="B2989" s="12" t="s">
        <v>15714</v>
      </c>
      <c r="C2989" s="13" t="str">
        <f>HYPERLINK("https://audio.iskcondesiretree.com/02_-_ISKCON_Swamis/ISKCON_Swamis_-_R_to_Y/His_Holiness_Radhanath_Swami/Lectures/00_-_Year_wise/Devotional_Nectar_-_2020/2020-01-26_Various_-_Special_Class-Shikshastakam_-_Radhanath_Swami_ISKCON_Juhu.mp3", "2020-01-26_Various_-_Special_Class-Shikshastakam_-_Radhanath_Swami_ISKCON_Juhu.mp3")</f>
        <v>2020-01-26_Various_-_Special_Class-Shikshastakam_-_Radhanath_Swami_ISKCON_Juhu.mp3</v>
      </c>
      <c r="D2989" s="11"/>
      <c r="E2989" s="11"/>
    </row>
    <row r="2990" spans="1:5">
      <c r="A2990" s="12" t="s">
        <v>12462</v>
      </c>
      <c r="B2990" s="12" t="e">
        <v>#VALUE!</v>
      </c>
      <c r="C2990" s="13" t="e">
        <f>HYPERLINK("https://audio.iskcondesiretree.com/02_-_ISKCON_Swamis/ISKCON_Swamis_-_R_to_Y/His_Holiness_Radhanath_Swami/Lectures/00_-_Year_wise/Devotional_Nectar_-_2020/2020-01-30_Festivals_Marathi_Translation_-_Vasant_Panchami_and_Rath_Yatra_Lecture_-_Radhanath_Swami_"&amp;"Shivaji_Park_Dadar.mp3", "2020-01-30_Festivals_Marathi_Translation_-_Vasant_Panchami_and_Rath_Yatra_Lecture_-_Radhanath_Swami_Shivaji_Park_Dadar.mp3")</f>
        <v>#VALUE!</v>
      </c>
      <c r="D2990" s="11"/>
      <c r="E2990" s="11"/>
    </row>
    <row r="2991" spans="1:5">
      <c r="A2991" s="12" t="s">
        <v>12462</v>
      </c>
      <c r="B2991" s="12" t="s">
        <v>15715</v>
      </c>
      <c r="C2991" s="13" t="str">
        <f>HYPERLINK("https://audio.iskcondesiretree.com/02_-_ISKCON_Swamis/ISKCON_Swamis_-_R_to_Y/His_Holiness_Radhanath_Swami/Lectures/00_-_Year_wise/Devotional_Nectar_-_2020/2020-02-02_CC_Adi_Lila_06-12_-_Glories_of_Advaita_Acharya_-_Radhanath_Swami_ISKCON_Chowpatty.mp3", "2020-02-02_CC_Adi_Lila_06-12_-_Glories_of_Advaita_Acharya_-_Radhanath_Swami_ISKCON_Chowpatty.mp3")</f>
        <v>2020-02-02_CC_Adi_Lila_06-12_-_Glories_of_Advaita_Acharya_-_Radhanath_Swami_ISKCON_Chowpatty.mp3</v>
      </c>
      <c r="D2991" s="11"/>
      <c r="E2991" s="11"/>
    </row>
    <row r="2992" spans="1:5">
      <c r="A2992" s="12" t="s">
        <v>12462</v>
      </c>
      <c r="B2992" s="12" t="s">
        <v>15716</v>
      </c>
      <c r="C2992" s="13" t="str">
        <f>HYPERLINK("https://audio.iskcondesiretree.com/02_-_ISKCON_Swamis/ISKCON_Swamis_-_R_to_Y/His_Holiness_Radhanath_Swami/Lectures/00_-_Year_wise/Devotional_Nectar_-_2020/2020-02-19_SB_09-21-18_-_Ishvar_Puri_Lecture_-_Radhanath_Swami_ISKCON_Mayapur.mp3", "2020-02-19_SB_09-21-18_-_Ishvar_Puri_Lecture_-_Radhanath_Swami_ISKCON_Mayapur.mp3")</f>
        <v>2020-02-19_SB_09-21-18_-_Ishvar_Puri_Lecture_-_Radhanath_Swami_ISKCON_Mayapur.mp3</v>
      </c>
      <c r="D2992" s="11"/>
      <c r="E2992" s="11"/>
    </row>
    <row r="2993" spans="1:5">
      <c r="A2993" s="12" t="s">
        <v>12462</v>
      </c>
      <c r="B2993" s="12" t="s">
        <v>15717</v>
      </c>
      <c r="C2993" s="13" t="str">
        <f>HYPERLINK("https://audio.iskcondesiretree.com/02_-_ISKCON_Swamis/ISKCON_Swamis_-_R_to_Y/His_Holiness_Radhanath_Swami/Lectures/00_-_Year_wise/Devotional_Nectar_-_2020/2020-03-09_Festivals_-_Appearance_of_Lord_Chaitanya_Mahaprabhu_-_Radhanath_Swami_GEV_Wada.mp3", "2020-03-09_Festivals_-_Appearance_of_Lord_Chaitanya_Mahaprabhu_-_Radhanath_Swami_GEV_Wada.mp3")</f>
        <v>2020-03-09_Festivals_-_Appearance_of_Lord_Chaitanya_Mahaprabhu_-_Radhanath_Swami_GEV_Wada.mp3</v>
      </c>
      <c r="D2993" s="11"/>
      <c r="E2993" s="11"/>
    </row>
    <row r="2994" spans="1:5">
      <c r="A2994" s="12" t="s">
        <v>12462</v>
      </c>
      <c r="B2994" s="12" t="s">
        <v>15718</v>
      </c>
      <c r="C2994" s="13" t="str">
        <f>HYPERLINK("https://audio.iskcondesiretree.com/02_-_ISKCON_Swamis/ISKCON_Swamis_-_R_to_Y/His_Holiness_Radhanath_Swami/Lectures/00_-_Year_wise/Devotional_Nectar_-_2020/2020-06-06_Various_-_Mahabhagavat_Prarikshit_Maharaj_-_Radhanath_Swami_ISKCON_Chowpatty.mp3", "2020-06-06_Various_-_Mahabhagavat_Prarikshit_Maharaj_-_Radhanath_Swami_ISKCON_Chowpatty.mp3")</f>
        <v>2020-06-06_Various_-_Mahabhagavat_Prarikshit_Maharaj_-_Radhanath_Swami_ISKCON_Chowpatty.mp3</v>
      </c>
      <c r="D2994" s="11"/>
      <c r="E2994" s="11"/>
    </row>
    <row r="2995" spans="1:5">
      <c r="A2995" s="12" t="s">
        <v>12462</v>
      </c>
      <c r="B2995" s="12" t="e">
        <v>#VALUE!</v>
      </c>
      <c r="C2995" s="13" t="e">
        <f>HYPERLINK("https://audio.iskcondesiretree.com/02_-_ISKCON_Swamis/ISKCON_Swamis_-_R_to_Y/His_Holiness_Radhanath_Swami/Lectures/00_-_Year_wise/Devotional_Nectar_-_2020/2020-06-21_CC_Madhya_Lila_13-60_-_Rath_Yatra_Class_with_Special_Prayers_for_His_Holiness_Bhakti_Char"&amp;"u_Swami_-_Radhanath_Swami.mp3", "2020-06-21_CC_Madhya_Lila_13-60_-_Rath_Yatra_Class_with_Special_Prayers_for_His_Holiness_Bhakti_Charu_Swami_-_Radhanath_Swami.mp3")</f>
        <v>#VALUE!</v>
      </c>
      <c r="D2995" s="11"/>
      <c r="E2995" s="11"/>
    </row>
    <row r="2996" spans="1:5">
      <c r="A2996" s="12" t="s">
        <v>12462</v>
      </c>
      <c r="B2996" s="12" t="s">
        <v>15719</v>
      </c>
      <c r="C2996" s="13" t="str">
        <f>HYPERLINK("https://audio.iskcondesiretree.com/02_-_ISKCON_Swamis/ISKCON_Swamis_-_R_to_Y/His_Holiness_Radhanath_Swami/Lectures/00_-_Year_wise/Devotional_Nectar_-_2020/2020-08-03_Festivals_-_Zoom_Class-Balaram%20_Jayanti_-_Radhanath_Swami_ISKCON_Chowpatty.mp3", "2020-08-03_Festivals_-_Zoom_Class-Balaram%20_Jayanti_-_Radhanath_Swami_ISKCON_Chowpatty.mp3")</f>
        <v>2020-08-03_Festivals_-_Zoom_Class-Balaram%20_Jayanti_-_Radhanath_Swami_ISKCON_Chowpatty.mp3</v>
      </c>
      <c r="D2996" s="11"/>
      <c r="E2996" s="11"/>
    </row>
    <row r="2997" spans="1:5">
      <c r="A2997" s="12" t="s">
        <v>12462</v>
      </c>
      <c r="B2997" s="12" t="s">
        <v>15720</v>
      </c>
      <c r="C2997" s="13" t="str">
        <f>HYPERLINK("https://audio.iskcondesiretree.com/02_-_ISKCON_Swamis/ISKCON_Swamis_-_R_to_Y/His_Holiness_Radhanath_Swami/Lectures/00_-_Year_wise/Devotional_Nectar_-_2020/2020-08-12_-_Janmashtami_Special_Class_-_Radhanath_Swami_ISKCON_Chowpatty.mp3", "2020-08-12_-_Janmashtami_Special_Class_-_Radhanath_Swami_ISKCON_Chowpatty.mp3")</f>
        <v>2020-08-12_-_Janmashtami_Special_Class_-_Radhanath_Swami_ISKCON_Chowpatty.mp3</v>
      </c>
      <c r="D2997" s="11"/>
      <c r="E2997" s="11"/>
    </row>
    <row r="2998" spans="1:5">
      <c r="A2998" s="12" t="s">
        <v>12462</v>
      </c>
      <c r="B2998" s="12" t="s">
        <v>15721</v>
      </c>
      <c r="C2998" s="13" t="str">
        <f>HYPERLINK("https://audio.iskcondesiretree.com/02_-_ISKCON_Swamis/ISKCON_Swamis_-_R_to_Y/His_Holiness_Radhanath_Swami/Lectures/00_-_Year_wise/Devotional_Nectar_-_2020/2020-08-13_-_Prabhupada_Vyas_Puja_Celebrations_-_Radhanath_Swami_ISKCON_Chowpatty.mp3", "2020-08-13_-_Prabhupada_Vyas_Puja_Celebrations_-_Radhanath_Swami_ISKCON_Chowpatty.mp3")</f>
        <v>2020-08-13_-_Prabhupada_Vyas_Puja_Celebrations_-_Radhanath_Swami_ISKCON_Chowpatty.mp3</v>
      </c>
      <c r="D2998" s="11"/>
      <c r="E2998" s="11"/>
    </row>
    <row r="2999" spans="1:5">
      <c r="A2999" s="12" t="s">
        <v>12462</v>
      </c>
      <c r="B2999" s="12" t="s">
        <v>15722</v>
      </c>
      <c r="C2999" s="13" t="str">
        <f>HYPERLINK("https://audio.iskcondesiretree.com/02_-_ISKCON_Swamis/ISKCON_Swamis_-_R_to_Y/His_Holiness_Radhanath_Swami/Lectures/00_-_Year_wise/Devotional_Nectar_-_2020/2020-12-13_Festivals_-_Satsang_Lecture_-_Radhanath_Swami_ISKCON_Chowpatty.mp3", "2020-12-13_Festivals_-_Satsang_Lecture_-_Radhanath_Swami_ISKCON_Chowpatty.mp3")</f>
        <v>2020-12-13_Festivals_-_Satsang_Lecture_-_Radhanath_Swami_ISKCON_Chowpatty.mp3</v>
      </c>
      <c r="D2999" s="11"/>
      <c r="E2999" s="11"/>
    </row>
    <row r="3000" spans="1:5">
      <c r="A3000" s="12" t="s">
        <v>12462</v>
      </c>
      <c r="B3000" s="12" t="s">
        <v>15723</v>
      </c>
      <c r="C3000" s="13" t="str">
        <f>HYPERLINK("https://audio.iskcondesiretree.com/02_-_ISKCON_Swamis/ISKCON_Swamis_-_R_to_Y/His_Holiness_Radhanath_Swami/Lectures/00_-_Year_wise/Devotional_Nectar_-_2021/2021-01-30_Festivals_-_Pushya_Abhishek_Class_-_Radhanath_Swami_ISKCON_Chowpatty.mp3", "2021-01-30_Festivals_-_Pushya_Abhishek_Class_-_Radhanath_Swami_ISKCON_Chowpatty.mp3")</f>
        <v>2021-01-30_Festivals_-_Pushya_Abhishek_Class_-_Radhanath_Swami_ISKCON_Chowpatty.mp3</v>
      </c>
      <c r="D3000" s="11"/>
      <c r="E3000" s="11"/>
    </row>
    <row r="3001" spans="1:5">
      <c r="A3001" s="12" t="s">
        <v>12462</v>
      </c>
      <c r="B3001" s="12" t="s">
        <v>15724</v>
      </c>
      <c r="C3001" s="13" t="str">
        <f>HYPERLINK("https://audio.iskcondesiretree.com/02_-_ISKCON_Swamis/ISKCON_Swamis_-_R_to_Y/His_Holiness_Radhanath_Swami/Lectures/00_-_Year_wise/Devotional_Nectar_-_2021/2021-02-25_Festivals_-_Nityananda_Trayodashi_Special_Class_-_Radhanath_Swami_ISKCON_Chowpatty.mp3", "2021-02-25_Festivals_-_Nityananda_Trayodashi_Special_Class_-_Radhanath_Swami_ISKCON_Chowpatty.mp3")</f>
        <v>2021-02-25_Festivals_-_Nityananda_Trayodashi_Special_Class_-_Radhanath_Swami_ISKCON_Chowpatty.mp3</v>
      </c>
      <c r="D3001" s="11"/>
      <c r="E3001" s="11"/>
    </row>
    <row r="3002" spans="1:5">
      <c r="A3002" s="12" t="s">
        <v>12462</v>
      </c>
      <c r="B3002" s="12" t="s">
        <v>15725</v>
      </c>
      <c r="C3002" s="13" t="str">
        <f>HYPERLINK("https://audio.iskcondesiretree.com/02_-_ISKCON_Swamis/ISKCON_Swamis_-_R_to_Y/His_Holiness_Radhanath_Swami/Lectures/00_-_Year_wise/Devotional_Nectar_-_2021/2021-03-28_Festivals_-_Gaura_Purnima_Evening_Lecture_-_Radhanath_Swami_ISKCON_Chowpatty.mp3", "2021-03-28_Festivals_-_Gaura_Purnima_Evening_Lecture_-_Radhanath_Swami_ISKCON_Chowpatty.mp3")</f>
        <v>2021-03-28_Festivals_-_Gaura_Purnima_Evening_Lecture_-_Radhanath_Swami_ISKCON_Chowpatty.mp3</v>
      </c>
      <c r="D3002" s="11"/>
      <c r="E3002" s="11"/>
    </row>
    <row r="3003" spans="1:5">
      <c r="A3003" s="12" t="s">
        <v>12462</v>
      </c>
      <c r="B3003" s="12" t="s">
        <v>15726</v>
      </c>
      <c r="C3003" s="13" t="str">
        <f>HYPERLINK("https://audio.iskcondesiretree.com/02_-_ISKCON_Swamis/ISKCON_Swamis_-_R_to_Y/His_Holiness_Radhanath_Swami/Lectures/00_-_Year_wise/Devotional_Nectar_-_2021/2021-04-21_Festivals_-_Sri_Ram_Navami_Lecture_-_Radhanath_Swami_ISKCON_Chowpatty.mp3", "2021-04-21_Festivals_-_Sri_Ram_Navami_Lecture_-_Radhanath_Swami_ISKCON_Chowpatty.mp3")</f>
        <v>2021-04-21_Festivals_-_Sri_Ram_Navami_Lecture_-_Radhanath_Swami_ISKCON_Chowpatty.mp3</v>
      </c>
      <c r="D3003" s="11"/>
      <c r="E3003" s="11"/>
    </row>
    <row r="3004" spans="1:5">
      <c r="A3004" s="12" t="s">
        <v>12462</v>
      </c>
      <c r="B3004" s="12" t="e">
        <v>#VALUE!</v>
      </c>
      <c r="C3004" s="13" t="e">
        <f>HYPERLINK("https://audio.iskcondesiretree.com/02_-_ISKCON_Swamis/ISKCON_Swamis_-_R_to_Y/His_Holiness_Radhanath_Swami/Lectures/00_-_Year_wise/Devotional_Nectar_-_2021/2021-05-11_Various_-_Memorial_Program_of_HG_Pankajanghri_Prabhu_-_Radhanath_Swami_ISKCON_Chowpatty.m"&amp;"p3", "2021-05-11_Various_-_Memorial_Program_of_HG_Pankajanghri_Prabhu_-_Radhanath_Swami_ISKCON_Chowpatty.mp3")</f>
        <v>#VALUE!</v>
      </c>
      <c r="D3004" s="11"/>
      <c r="E3004" s="11"/>
    </row>
    <row r="3005" spans="1:5">
      <c r="A3005" s="12" t="s">
        <v>12462</v>
      </c>
      <c r="B3005" s="12" t="s">
        <v>15727</v>
      </c>
      <c r="C3005" s="13" t="str">
        <f>HYPERLINK("https://audio.iskcondesiretree.com/02_-_ISKCON_Swamis/ISKCON_Swamis_-_R_to_Y/His_Holiness_Radhanath_Swami/Lectures/00_-_Year_wise/Devotional_Nectar_-_2021/2021-05-25_Festivals_-_Narasimha_Chaturdashi_Class_-_Radhanath_Swami_ISKCON_Chowpatty.mp3", "2021-05-25_Festivals_-_Narasimha_Chaturdashi_Class_-_Radhanath_Swami_ISKCON_Chowpatty.mp3")</f>
        <v>2021-05-25_Festivals_-_Narasimha_Chaturdashi_Class_-_Radhanath_Swami_ISKCON_Chowpatty.mp3</v>
      </c>
      <c r="D3005" s="11"/>
      <c r="E3005" s="11"/>
    </row>
    <row r="3006" spans="1:5">
      <c r="A3006" s="12" t="s">
        <v>12462</v>
      </c>
      <c r="B3006" s="12" t="s">
        <v>15728</v>
      </c>
      <c r="C3006" s="13" t="str">
        <f>HYPERLINK("https://audio.iskcondesiretree.com/02_-_ISKCON_Swamis/ISKCON_Swamis_-_R_to_Y/His_Holiness_Radhanath_Swami/Lectures/00_-_Year_wise/Devotional_Nectar_-_2021/2021-07-18_Festivals_-_Brahmotsavam_Festival_Lecture_-_Radhanath_Swami_ISKCON_Chowpatty.mp3", "2021-07-18_Festivals_-_Brahmotsavam_Festival_Lecture_-_Radhanath_Swami_ISKCON_Chowpatty.mp3")</f>
        <v>2021-07-18_Festivals_-_Brahmotsavam_Festival_Lecture_-_Radhanath_Swami_ISKCON_Chowpatty.mp3</v>
      </c>
      <c r="D3006" s="11"/>
      <c r="E3006" s="11"/>
    </row>
    <row r="3007" spans="1:5">
      <c r="A3007" s="12" t="s">
        <v>12462</v>
      </c>
      <c r="B3007" s="12" t="s">
        <v>15729</v>
      </c>
      <c r="C3007" s="13" t="str">
        <f>HYPERLINK("https://audio.iskcondesiretree.com/02_-_ISKCON_Swamis/ISKCON_Swamis_-_R_to_Y/His_Holiness_Radhanath_Swami/Lectures/00_-_Year_wise/Devotional_Nectar_-_2021/2021-09-14_Festivals_-_Radhastami_Class_-_Radhanath_Swami_ISKCON_Chowpatty.mp3", "2021-09-14_Festivals_-_Radhastami_Class_-_Radhanath_Swami_ISKCON_Chowpatty.mp3")</f>
        <v>2021-09-14_Festivals_-_Radhastami_Class_-_Radhanath_Swami_ISKCON_Chowpatty.mp3</v>
      </c>
      <c r="D3007" s="11"/>
      <c r="E3007" s="11"/>
    </row>
    <row r="3008" spans="1:5">
      <c r="A3008" s="12" t="s">
        <v>12462</v>
      </c>
      <c r="B3008" s="12" t="s">
        <v>15730</v>
      </c>
      <c r="C3008" s="13" t="str">
        <f>HYPERLINK("https://audio.iskcondesiretree.com/02_-_ISKCON_Swamis/ISKCON_Swamis_-_R_to_Y/His_Holiness_Radhanath_Swami/Lectures/00_-_Year_wise/Devotional_Nectar_-_2022/2022-01-09_Various_-_Satsang_Program_-_Radhanath_Swami_ISKCON_Chowpatty.mp3", "2022-01-09_Various_-_Satsang_Program_-_Radhanath_Swami_ISKCON_Chowpatty.mp3")</f>
        <v>2022-01-09_Various_-_Satsang_Program_-_Radhanath_Swami_ISKCON_Chowpatty.mp3</v>
      </c>
      <c r="D3008" s="11"/>
      <c r="E3008" s="11"/>
    </row>
    <row r="3009" spans="1:5">
      <c r="A3009" s="12" t="s">
        <v>12462</v>
      </c>
      <c r="B3009" s="12" t="s">
        <v>15731</v>
      </c>
      <c r="C3009" s="13" t="str">
        <f>HYPERLINK("https://audio.iskcondesiretree.com/02_-_ISKCON_Swamis/ISKCON_Swamis_-_R_to_Y/His_Holiness_Radhanath_Swami/Lectures/00_-_Year_wise/Devotional_Nectar_-_2022/2022-01-23_Various_-_Satsang_Program_-_Radhanath_Sw_ISKCON_Chowpatty.mp3", "2022-01-23_Various_-_Satsang_Program_-_Radhanath_Sw_ISKCON_Chowpatty.mp3")</f>
        <v>2022-01-23_Various_-_Satsang_Program_-_Radhanath_Sw_ISKCON_Chowpatty.mp3</v>
      </c>
      <c r="D3009" s="11"/>
      <c r="E3009" s="11"/>
    </row>
    <row r="3010" spans="1:5">
      <c r="A3010" s="12" t="s">
        <v>12462</v>
      </c>
      <c r="B3010" s="12" t="s">
        <v>15732</v>
      </c>
      <c r="C3010" s="13" t="str">
        <f>HYPERLINK("https://audio.iskcondesiretree.com/02_-_ISKCON_Swamis/ISKCON_Swamis_-_R_to_Y/His_Holiness_Radhanath_Swami/Lectures/00_-_Year_wise/Devotional_Nectar_-_2022/2022-01-26_Festival_-_Special_Class_-_Radhanath_Swami_ISKCON_Juhu.mp3", "2022-01-26_Festival_-_Special_Class_-_Radhanath_Swami_ISKCON_Juhu.mp3")</f>
        <v>2022-01-26_Festival_-_Special_Class_-_Radhanath_Swami_ISKCON_Juhu.mp3</v>
      </c>
      <c r="D3010" s="11"/>
      <c r="E3010" s="11"/>
    </row>
    <row r="3011" spans="1:5">
      <c r="A3011" s="12" t="s">
        <v>12462</v>
      </c>
      <c r="B3011" s="12" t="s">
        <v>15733</v>
      </c>
      <c r="C3011" s="13" t="str">
        <f>HYPERLINK("https://audio.iskcondesiretree.com/02_-_ISKCON_Swamis/ISKCON_Swamis_-_R_to_Y/His_Holiness_Radhanath_Swami/Lectures/00_-_Year_wise/Devotional_Nectar_-_2022/2022-01-29_Festivals_-_Pushya_Abhishek_Lecture_-_Radhanth_Swami_ISKCON_Chowpatty.mp3", "2022-01-29_Festivals_-_Pushya_Abhishek_Lecture_-_Radhanth_Swami_ISKCON_Chowpatty.mp3")</f>
        <v>2022-01-29_Festivals_-_Pushya_Abhishek_Lecture_-_Radhanth_Swami_ISKCON_Chowpatty.mp3</v>
      </c>
      <c r="D3011" s="11"/>
      <c r="E3011" s="11"/>
    </row>
    <row r="3012" spans="1:5">
      <c r="A3012" s="12" t="s">
        <v>12462</v>
      </c>
      <c r="B3012" s="12" t="s">
        <v>15734</v>
      </c>
      <c r="C3012" s="13" t="str">
        <f>HYPERLINK("https://audio.iskcondesiretree.com/02_-_ISKCON_Swamis/ISKCON_Swamis_-_R_to_Y/His_Holiness_Radhanath_Swami/Lectures/00_-_Year_wise/Devotional_Nectar_-_2022/2022-01-30_Various_-_Memorial_Program_of_HG_Vamshidhar_Prabhu_-_Radhanth_Swami_ISKCON_Chowpatty.mp3", "2022-01-30_Various_-_Memorial_Program_of_HG_Vamshidhar_Prabhu_-_Radhanth_Swami_ISKCON_Chowpatty.mp3")</f>
        <v>2022-01-30_Various_-_Memorial_Program_of_HG_Vamshidhar_Prabhu_-_Radhanth_Swami_ISKCON_Chowpatty.mp3</v>
      </c>
      <c r="D3012" s="11"/>
      <c r="E3012" s="11"/>
    </row>
    <row r="3013" spans="1:5">
      <c r="A3013" s="12" t="s">
        <v>12462</v>
      </c>
      <c r="B3013" s="12" t="s">
        <v>15735</v>
      </c>
      <c r="C3013" s="13" t="str">
        <f>HYPERLINK("https://audio.iskcondesiretree.com/02_-_ISKCON_Swamis/ISKCON_Swamis_-_R_to_Y/His_Holiness_Radhanath_Swami/Lectures/00_-_Year_wise/Devotional_Nectar_-_2022/2022-02-14_Festivals_-_Lord_Nityananda_Appearance_Class_-_Radhanath_Swami_ISKCON_Chowpatty.mp3", "2022-02-14_Festivals_-_Lord_Nityananda_Appearance_Class_-_Radhanath_Swami_ISKCON_Chowpatty.mp3")</f>
        <v>2022-02-14_Festivals_-_Lord_Nityananda_Appearance_Class_-_Radhanath_Swami_ISKCON_Chowpatty.mp3</v>
      </c>
      <c r="D3013" s="11"/>
      <c r="E3013" s="11"/>
    </row>
    <row r="3014" spans="1:5">
      <c r="A3014" s="12" t="s">
        <v>12462</v>
      </c>
      <c r="B3014" s="12" t="s">
        <v>15736</v>
      </c>
      <c r="C3014" s="13" t="str">
        <f>HYPERLINK("https://audio.iskcondesiretree.com/02_-_ISKCON_Swamis/ISKCON_Swamis_-_R_to_Y/His_Holiness_Radhanath_Swami/Lectures/00_-_Year_wise/Devotional_Nectar_-_2022/2022-02-27_Various_-_Satsang_Program_-_Radhanath_Swami_ISKCON_Chowpatty.mp3", "2022-02-27_Various_-_Satsang_Program_-_Radhanath_Swami_ISKCON_Chowpatty.mp3")</f>
        <v>2022-02-27_Various_-_Satsang_Program_-_Radhanath_Swami_ISKCON_Chowpatty.mp3</v>
      </c>
      <c r="D3014" s="11"/>
      <c r="E3014" s="11"/>
    </row>
    <row r="3015" spans="1:5">
      <c r="A3015" s="12" t="s">
        <v>12462</v>
      </c>
      <c r="B3015" s="12" t="s">
        <v>15737</v>
      </c>
      <c r="C3015" s="13" t="str">
        <f>HYPERLINK("https://audio.iskcondesiretree.com/02_-_ISKCON_Swamis/ISKCON_Swamis_-_R_to_Y/His_Holiness_Radhanath_Swami/Lectures/00_-_Year_wise/Devotional_Nectar_-_2022/2022-04-10_Festivals_-_Rama_Navami_Evening_Class_-_Radhanath_Swami_GEV.mp3", "2022-04-10_Festivals_-_Rama_Navami_Evening_Class_-_Radhanath_Swami_GEV.mp3")</f>
        <v>2022-04-10_Festivals_-_Rama_Navami_Evening_Class_-_Radhanath_Swami_GEV.mp3</v>
      </c>
      <c r="D3015" s="11"/>
      <c r="E3015" s="11"/>
    </row>
    <row r="3016" spans="1:5">
      <c r="A3016" s="12" t="s">
        <v>12462</v>
      </c>
      <c r="B3016" s="12" t="s">
        <v>15738</v>
      </c>
      <c r="C3016" s="13" t="str">
        <f>HYPERLINK("https://audio.iskcondesiretree.com/02_-_ISKCON_Swamis/ISKCON_Swamis_-_R_to_Y/His_Holiness_Radhanath_Swami/Lectures/00_-_Year_wise/Devotional_Nectar_-_2022/2022-05-14_Various_-_Green_Pilgrimage_Conference_-_Radhanath_Swami_GEV.mp3", "2022-05-14_Various_-_Green_Pilgrimage_Conference_-_Radhanath_Swami_GEV.mp3")</f>
        <v>2022-05-14_Various_-_Green_Pilgrimage_Conference_-_Radhanath_Swami_GEV.mp3</v>
      </c>
      <c r="D3016" s="11"/>
      <c r="E3016" s="11"/>
    </row>
    <row r="3017" spans="1:5">
      <c r="A3017" s="12" t="s">
        <v>12462</v>
      </c>
      <c r="B3017" s="12" t="s">
        <v>15739</v>
      </c>
      <c r="C3017" s="13" t="str">
        <f>HYPERLINK("https://audio.iskcondesiretree.com/02_-_ISKCON_Swamis/ISKCON_Swamis_-_R_to_Y/His_Holiness_Radhanath_Swami/Lectures/00_-_Year_wise/Devotional_Nectar_-_2022/2022-05-15_Festivals_-_Narsimha_Chaturdashi_Class_-_Radhanath_Swami_ISKCON_Chowpatty.mp3", "2022-05-15_Festivals_-_Narsimha_Chaturdashi_Class_-_Radhanath_Swami_ISKCON_Chowpatty.mp3")</f>
        <v>2022-05-15_Festivals_-_Narsimha_Chaturdashi_Class_-_Radhanath_Swami_ISKCON_Chowpatty.mp3</v>
      </c>
      <c r="D3017" s="11"/>
      <c r="E3017" s="11"/>
    </row>
    <row r="3018" spans="1:5">
      <c r="A3018" s="12" t="s">
        <v>12462</v>
      </c>
      <c r="B3018" s="12" t="e">
        <v>#VALUE!</v>
      </c>
      <c r="C3018" s="13" t="e">
        <f>HYPERLINK("https://audio.iskcondesiretree.com/02_-_ISKCON_Swamis/ISKCON_Swamis_-_R_to_Y/His_Holiness_Radhanath_Swami/Lectures/00_-_Year_wise/Devotional_Nectar_-_2022/2022-05-22_SB_01-11-16_-_Lord_Krishna_stirs_his_devotees_Hearts_-_Radhanath_Swami_ISKCON_Chowpatty.m"&amp;"p3", "2022-05-22_SB_01-11-16_-_Lord_Krishna_stirs_his_devotees_Hearts_-_Radhanath_Swami_ISKCON_Chowpatty.mp3")</f>
        <v>#VALUE!</v>
      </c>
      <c r="D3018" s="11"/>
      <c r="E3018" s="11"/>
    </row>
    <row r="3019" spans="1:5">
      <c r="A3019" s="12" t="s">
        <v>12462</v>
      </c>
      <c r="B3019" s="12" t="s">
        <v>15740</v>
      </c>
      <c r="C3019" s="13" t="str">
        <f>HYPERLINK("https://audio.iskcondesiretree.com/02_-_ISKCON_Swamis/ISKCON_Swamis_-_R_to_Y/His_Holiness_Radhanath_Swami/Lectures/00_-_Year_wise/Devotional_Nectar_-_2023/2023-03-07_Festivals_-_Gaur_Purnima_Class_-_Radhanath_Swami_ISKCON_Chowpatty.mp3", "2023-03-07_Festivals_-_Gaur_Purnima_Class_-_Radhanath_Swami_ISKCON_Chowpatty.mp3")</f>
        <v>2023-03-07_Festivals_-_Gaur_Purnima_Class_-_Radhanath_Swami_ISKCON_Chowpatty.mp3</v>
      </c>
      <c r="D3019" s="11"/>
      <c r="E3019" s="11"/>
    </row>
    <row r="3020" spans="1:5">
      <c r="A3020" s="12" t="s">
        <v>12462</v>
      </c>
      <c r="B3020" s="12" t="s">
        <v>15741</v>
      </c>
      <c r="C3020" s="13" t="str">
        <f>HYPERLINK("https://audio.iskcondesiretree.com/02_-_ISKCON_Swamis/ISKCON_Swamis_-_R_to_Y/His_Holiness_Radhanath_Swami/Lectures/00_-_Year_wise/Devotional_Nectar_-_2023/2023-03-30_Festivals_-_Rama_Navami_Lecture_-_Radhanath_Swami_ISKCON_Chowpatty.mp3", "2023-03-30_Festivals_-_Rama_Navami_Lecture_-_Radhanath_Swami_ISKCON_Chowpatty.mp3")</f>
        <v>2023-03-30_Festivals_-_Rama_Navami_Lecture_-_Radhanath_Swami_ISKCON_Chowpatty.mp3</v>
      </c>
      <c r="D3020" s="11"/>
      <c r="E3020" s="11"/>
    </row>
    <row r="3021" spans="1:5">
      <c r="A3021" s="12" t="s">
        <v>12462</v>
      </c>
      <c r="B3021" s="12" t="s">
        <v>15742</v>
      </c>
      <c r="C3021" s="13" t="str">
        <f>HYPERLINK("https://audio.iskcondesiretree.com/02_-_ISKCON_Swamis/ISKCON_Swamis_-_R_to_Y/His_Holiness_Radhanath_Swami/Lectures/00_-_Year_wise/Devotional_Nectar_-_2023/2023-04-02_SB_09-10-16_-_Lessons_from_Ramayana_-_Radhanath_Swami_ISKCON_Chowpatty.mp3", "2023-04-02_SB_09-10-16_-_Lessons_from_Ramayana_-_Radhanath_Swami_ISKCON_Chowpatty.mp3")</f>
        <v>2023-04-02_SB_09-10-16_-_Lessons_from_Ramayana_-_Radhanath_Swami_ISKCON_Chowpatty.mp3</v>
      </c>
      <c r="D3021" s="11"/>
      <c r="E3021" s="11"/>
    </row>
    <row r="3022" spans="1:5">
      <c r="A3022" s="12" t="s">
        <v>12462</v>
      </c>
      <c r="B3022" s="12" t="s">
        <v>15743</v>
      </c>
      <c r="C3022" s="13" t="str">
        <f>HYPERLINK("https://audio.iskcondesiretree.com/02_-_ISKCON_Swamis/ISKCON_Swamis_-_R_to_Y/His_Holiness_Radhanath_Swami/Lectures/00_-_Year_wise/Devotional_Nectar_-_2023/2023-04-09_SB_01-18-03_-_Glories_of_King_Parikshit_-_Radhanath_Swami_ISKCON_Chowpatty.mp3", "2023-04-09_SB_01-18-03_-_Glories_of_King_Parikshit_-_Radhanath_Swami_ISKCON_Chowpatty.mp3")</f>
        <v>2023-04-09_SB_01-18-03_-_Glories_of_King_Parikshit_-_Radhanath_Swami_ISKCON_Chowpatty.mp3</v>
      </c>
      <c r="D3022" s="11"/>
      <c r="E3022" s="11"/>
    </row>
    <row r="3023" spans="1:5">
      <c r="A3023" s="12" t="s">
        <v>12462</v>
      </c>
      <c r="B3023" s="12" t="s">
        <v>15744</v>
      </c>
      <c r="C3023" s="13" t="str">
        <f>HYPERLINK("https://audio.iskcondesiretree.com/02_-_ISKCON_Swamis/ISKCON_Swamis_-_R_to_Y/His_Holiness_Radhanath_Swami/Lectures/00_-_Year_wise/Devotional_Nectar_-_2023/2023-06-25_Various_-_Sunday_Feast_Lecture_-_Radhanath_Swami_ISKCON_Alachua.mp3", "2023-06-25_Various_-_Sunday_Feast_Lecture_-_Radhanath_Swami_ISKCON_Alachua.mp3")</f>
        <v>2023-06-25_Various_-_Sunday_Feast_Lecture_-_Radhanath_Swami_ISKCON_Alachua.mp3</v>
      </c>
      <c r="D3023" s="11"/>
      <c r="E3023" s="11"/>
    </row>
    <row r="3024" spans="1:5">
      <c r="A3024" s="12" t="s">
        <v>12462</v>
      </c>
      <c r="B3024" s="12" t="s">
        <v>15745</v>
      </c>
      <c r="C3024" s="13" t="str">
        <f>HYPERLINK("https://audio.iskcondesiretree.com/02_-_ISKCON_Swamis/ISKCON_Swamis_-_R_to_Y/His_Holiness_Radhanath_Swami/Lectures/00_-_Year_wise/Devotional_Nectar_-_2023/2023-06-26_Festivals_-_Initiation_Lecture_-_Radhanath_Swami_ISKCON_Alachua.mp3", "2023-06-26_Festivals_-_Initiation_Lecture_-_Radhanath_Swami_ISKCON_Alachua.mp3")</f>
        <v>2023-06-26_Festivals_-_Initiation_Lecture_-_Radhanath_Swami_ISKCON_Alachua.mp3</v>
      </c>
      <c r="D3024" s="11"/>
      <c r="E3024" s="11"/>
    </row>
    <row r="3025" spans="1:5">
      <c r="A3025" s="12" t="s">
        <v>12462</v>
      </c>
      <c r="B3025" s="12" t="s">
        <v>15746</v>
      </c>
      <c r="C3025" s="13" t="str">
        <f>HYPERLINK("https://audio.iskcondesiretree.com/02_-_ISKCON_Swamis/ISKCON_Swamis_-_R_to_Y/His_Holiness_Radhanath_Swami/Lectures/00_-_Year_wise/Devotional_Nectar_-_2023/2023-07-16_Festivals_-_Brahmotsav_Festival_Lecture_-_Radhanath_Swami_ISKCON_Chowpatty.mp3", "2023-07-16_Festivals_-_Brahmotsav_Festival_Lecture_-_Radhanath_Swami_ISKCON_Chowpatty.mp3")</f>
        <v>2023-07-16_Festivals_-_Brahmotsav_Festival_Lecture_-_Radhanath_Swami_ISKCON_Chowpatty.mp3</v>
      </c>
      <c r="D3025" s="11"/>
      <c r="E3025" s="11"/>
    </row>
    <row r="3026" spans="1:5">
      <c r="A3026" s="12" t="s">
        <v>12462</v>
      </c>
      <c r="B3026" s="12" t="s">
        <v>15747</v>
      </c>
      <c r="C3026" s="13" t="str">
        <f>HYPERLINK("https://audio.iskcondesiretree.com/02_-_ISKCON_Swamis/ISKCON_Swamis_-_R_to_Y/His_Holiness_Radhanath_Swami/Lectures/00_-_Year_wise/Devotional_Nectar_-_2023/2023-09-07_Festivals_-_Janmastami_Lecture-Krishna_Katha_-_Radhanath_Swami_ISKCON_Chowpatty.mp3", "2023-09-07_Festivals_-_Janmastami_Lecture-Krishna_Katha_-_Radhanath_Swami_ISKCON_Chowpatty.mp3")</f>
        <v>2023-09-07_Festivals_-_Janmastami_Lecture-Krishna_Katha_-_Radhanath_Swami_ISKCON_Chowpatty.mp3</v>
      </c>
      <c r="D3026" s="11"/>
      <c r="E3026" s="11"/>
    </row>
    <row r="3027" spans="1:5">
      <c r="A3027" s="12" t="s">
        <v>12462</v>
      </c>
      <c r="B3027" s="12" t="e">
        <v>#VALUE!</v>
      </c>
      <c r="C3027" s="13" t="e">
        <f>HYPERLINK("https://audio.iskcondesiretree.com/02_-_ISKCON_Swamis/ISKCON_Swamis_-_R_to_Y/His_Holiness_Radhanath_Swami/Lectures/00_-_Year_wise/Devotional_Nectar_-_2023/2023-09-23_Festivals_-_Radhastami_Class-Enchanting_Pastimes_of_Srimati_Radharani_-_Radhanath_Swami_I"&amp;"SKCON_Chowpatty.mp3", "2023-09-23_Festivals_-_Radhastami_Class-Enchanting_Pastimes_of_Srimati_Radharani_-_Radhanath_Swami_ISKCON_Chowpatty.mp3")</f>
        <v>#VALUE!</v>
      </c>
      <c r="D3027" s="11"/>
      <c r="E3027" s="11"/>
    </row>
    <row r="3028" spans="1:5">
      <c r="A3028" s="12" t="s">
        <v>12462</v>
      </c>
      <c r="B3028" s="12" t="s">
        <v>15748</v>
      </c>
      <c r="C3028" s="13" t="str">
        <f>HYPERLINK("https://audio.iskcondesiretree.com/02_-_ISKCON_Swamis/ISKCON_Swamis_-_R_to_Y/His_Holiness_Radhanath_Swami/Lectures/00_-_Year_wise/Devotional_Nectar_-_2023/2023-09-24_SB_02-02-36_-_Making_heart_a_better_place_-_Radhanath_Swami_Maharaj_ISKCON_Chowpatty.mp3", "2023-09-24_SB_02-02-36_-_Making_heart_a_better_place_-_Radhanath_Swami_Maharaj_ISKCON_Chowpatty.mp3")</f>
        <v>2023-09-24_SB_02-02-36_-_Making_heart_a_better_place_-_Radhanath_Swami_Maharaj_ISKCON_Chowpatty.mp3</v>
      </c>
      <c r="D3028" s="11"/>
      <c r="E3028" s="11"/>
    </row>
    <row r="3029" spans="1:5">
      <c r="A3029" s="12" t="s">
        <v>12462</v>
      </c>
      <c r="B3029" s="12" t="s">
        <v>15749</v>
      </c>
      <c r="C3029" s="13" t="str">
        <f>HYPERLINK("https://audio.iskcondesiretree.com/02_-_ISKCON_Swamis/ISKCON_Swamis_-_R_to_Y/His_Holiness_Radhanath_Swami/Lectures/00_-_Year_wise/Devotional_Nectar_-_2023/2023-10-12_Festivals_-_Vyas_Puja-Festival_of_Gratitude_-_Radhanath_Swami_GEV.mp3", "2023-10-12_Festivals_-_Vyas_Puja-Festival_of_Gratitude_-_Radhanath_Swami_GEV.mp3")</f>
        <v>2023-10-12_Festivals_-_Vyas_Puja-Festival_of_Gratitude_-_Radhanath_Swami_GEV.mp3</v>
      </c>
      <c r="D3029" s="11"/>
      <c r="E3029" s="11"/>
    </row>
    <row r="3030" spans="1:5">
      <c r="A3030" s="12" t="s">
        <v>12462</v>
      </c>
      <c r="B3030" s="12" t="s">
        <v>15750</v>
      </c>
      <c r="C3030" s="13" t="str">
        <f>HYPERLINK("https://audio.iskcondesiretree.com/02_-_ISKCON_Swamis/ISKCON_Swamis_-_R_to_Y/His_Holiness_Radhanath_Swami/Lectures/00_-_Year_wise/Devotional_Nectar_-_2024/2024-01-06_Festival_Lecture_-_Pushya_Abhishek_Lecture_-_Radhanath_Swami_ISKCON_Chowpatty.mp3", "2024-01-06_Festival_Lecture_-_Pushya_Abhishek_Lecture_-_Radhanath_Swami_ISKCON_Chowpatty.mp3")</f>
        <v>2024-01-06_Festival_Lecture_-_Pushya_Abhishek_Lecture_-_Radhanath_Swami_ISKCON_Chowpatty.mp3</v>
      </c>
      <c r="D3030" s="11"/>
      <c r="E3030" s="11"/>
    </row>
    <row r="3031" spans="1:5">
      <c r="A3031" s="12" t="s">
        <v>12462</v>
      </c>
      <c r="B3031" s="12" t="s">
        <v>15751</v>
      </c>
      <c r="C3031" s="13" t="str">
        <f>HYPERLINK("https://audio.iskcondesiretree.com/02_-_ISKCON_Swamis/ISKCON_Swamis_-_R_to_Y/His_Holiness_Radhanath_Swami/Lectures/00_-_Year_wise/Devotional_Nectar_-_2024/2024-01-07_SB_02-05-32_-_How_to_atone_for_offences_-_Radhanath_Swami_ISKCON_Chowpatty.mp3", "2024-01-07_SB_02-05-32_-_How_to_atone_for_offences_-_Radhanath_Swami_ISKCON_Chowpatty.mp3")</f>
        <v>2024-01-07_SB_02-05-32_-_How_to_atone_for_offences_-_Radhanath_Swami_ISKCON_Chowpatty.mp3</v>
      </c>
      <c r="D3031" s="11"/>
      <c r="E3031" s="11"/>
    </row>
    <row r="3032" spans="1:5">
      <c r="A3032" s="12" t="s">
        <v>12462</v>
      </c>
      <c r="B3032" s="12" t="s">
        <v>15752</v>
      </c>
      <c r="C3032" s="13" t="str">
        <f>HYPERLINK("https://audio.iskcondesiretree.com/02_-_ISKCON_Swamis/ISKCON_Swamis_-_R_to_Y/His_Holiness_Radhanath_Swami/Lectures/00_-_Year_wise/Devotional_Nectar_-_2024/2024-01-26_Special_Class_-_Welcoming_Sri_Rama_to_our_Life_-_Radhanath_Swami_ISKCON_Juhu.mp3", "2024-01-26_Special_Class_-_Welcoming_Sri_Rama_to_our_Life_-_Radhanath_Swami_ISKCON_Juhu.mp3")</f>
        <v>2024-01-26_Special_Class_-_Welcoming_Sri_Rama_to_our_Life_-_Radhanath_Swami_ISKCON_Juhu.mp3</v>
      </c>
      <c r="D3032" s="11"/>
      <c r="E3032" s="11"/>
    </row>
    <row r="3033" spans="1:5">
      <c r="A3033" s="12" t="s">
        <v>12462</v>
      </c>
      <c r="B3033" s="12" t="s">
        <v>15753</v>
      </c>
      <c r="C3033" s="13" t="str">
        <f>HYPERLINK("https://audio.iskcondesiretree.com/02_-_ISKCON_Swamis/ISKCON_Swamis_-_R_to_Y/His_Holiness_Radhanath_Swami/Lectures/00_-_Year_wise/Devotional_Nectar_-_2024/2024-04-07_SB_02-07-24_-_Lessons_from_Ramayan_-_Radhanath_Swami_ISKCON_Chowpatty.mp3", "2024-04-07_SB_02-07-24_-_Lessons_from_Ramayan_-_Radhanath_Swami_ISKCON_Chowpatty.mp3")</f>
        <v>2024-04-07_SB_02-07-24_-_Lessons_from_Ramayan_-_Radhanath_Swami_ISKCON_Chowpatty.mp3</v>
      </c>
      <c r="D3033" s="11"/>
      <c r="E3033" s="11"/>
    </row>
    <row r="3034" spans="1:5">
      <c r="A3034" s="12" t="s">
        <v>12462</v>
      </c>
      <c r="B3034" s="12" t="s">
        <v>15754</v>
      </c>
      <c r="C3034" s="13" t="str">
        <f>HYPERLINK("https://audio.iskcondesiretree.com/02_-_ISKCON_Swamis/ISKCON_Swamis_-_R_to_Y/His_Holiness_Radhanath_Swami/Lectures/00_-_Year_wise/Devotional_Nectar_-_2024/2024-07-14_SB_02-09-29_-_How_Lord_Krishna_reveals_Himself_-_Radhanath_Swami_ISKCON_Chowpatty.mp3", "2024-07-14_SB_02-09-29_-_How_Lord_Krishna_reveals_Himself_-_Radhanath_Swami_ISKCON_Chowpatty.mp3")</f>
        <v>2024-07-14_SB_02-09-29_-_How_Lord_Krishna_reveals_Himself_-_Radhanath_Swami_ISKCON_Chowpatty.mp3</v>
      </c>
      <c r="D3034" s="11"/>
      <c r="E3034" s="11"/>
    </row>
    <row r="3035" spans="1:5">
      <c r="A3035" s="12" t="s">
        <v>12462</v>
      </c>
      <c r="B3035" s="12" t="s">
        <v>15755</v>
      </c>
      <c r="C3035" s="13" t="str">
        <f>HYPERLINK("https://audio.iskcondesiretree.com/02_-_ISKCON_Swamis/ISKCON_Swamis_-_R_to_Y/His_Holiness_Radhanath_Swami/Lectures/00_-_Year_wise/Devotional_Nectar_-_2024/2024-07-21_Festival_Class_-_Brahmotsava_-_Radhanath_Swami_Maharaj_ISKCON_Chowpatty.mp3", "2024-07-21_Festival_Class_-_Brahmotsava_-_Radhanath_Swami_Maharaj_ISKCON_Chowpatty.mp3")</f>
        <v>2024-07-21_Festival_Class_-_Brahmotsava_-_Radhanath_Swami_Maharaj_ISKCON_Chowpatty.mp3</v>
      </c>
      <c r="D3035" s="11"/>
      <c r="E3035" s="11"/>
    </row>
    <row r="3036" spans="1:5">
      <c r="A3036" s="12" t="s">
        <v>12462</v>
      </c>
      <c r="B3036" s="12" t="s">
        <v>15756</v>
      </c>
      <c r="C3036" s="13" t="str">
        <f>HYPERLINK("https://audio.iskcondesiretree.com/02_-_ISKCON_Swamis/ISKCON_Swamis_-_R_to_Y/His_Holiness_Radhanath_Swami/Lectures/00_-_Year_wise/Devotional_Nectar_-_2024/2024-08-18_SB_02-09-46_-_Austerity_and_Bhakti_-_Radhanath_Swami_ISKCON_Chowpatty.mp3", "2024-08-18_SB_02-09-46_-_Austerity_and_Bhakti_-_Radhanath_Swami_ISKCON_Chowpatty.mp3")</f>
        <v>2024-08-18_SB_02-09-46_-_Austerity_and_Bhakti_-_Radhanath_Swami_ISKCON_Chowpatty.mp3</v>
      </c>
      <c r="D3036" s="11"/>
      <c r="E3036" s="11"/>
    </row>
    <row r="3037" spans="1:5">
      <c r="A3037" s="12" t="s">
        <v>12462</v>
      </c>
      <c r="B3037" s="12" t="s">
        <v>15757</v>
      </c>
      <c r="C3037" s="13" t="str">
        <f>HYPERLINK("https://audio.iskcondesiretree.com/02_-_ISKCON_Swamis/ISKCON_Swamis_-_R_to_Y/His_Holiness_Radhanath_Swami/Lectures/00_-_Year_wise/Devotional_Nectar_-_2024/2024-08-19_Festival_Class_-_Glories_of_Lord_Balarama_-_Radhanath_Swami_ISKCON_Chowpatty.mp3", "2024-08-19_Festival_Class_-_Glories_of_Lord_Balarama_-_Radhanath_Swami_ISKCON_Chowpatty.mp3")</f>
        <v>2024-08-19_Festival_Class_-_Glories_of_Lord_Balarama_-_Radhanath_Swami_ISKCON_Chowpatty.mp3</v>
      </c>
      <c r="D3037" s="11"/>
      <c r="E3037" s="11"/>
    </row>
    <row r="3038" spans="1:5">
      <c r="A3038" s="12" t="s">
        <v>12462</v>
      </c>
      <c r="B3038" s="12" t="e">
        <v>#VALUE!</v>
      </c>
      <c r="C3038" s="13" t="e">
        <f>HYPERLINK("https://audio.iskcondesiretree.com/02_-_ISKCON_Swamis/ISKCON_Swamis_-_R_to_Y/His_Holiness_Radhanath_Swami/Lectures/00_-_Year_wise/Devotional_Nectar_-_2024/2024-08-26_SB_03-02-12_-_Janmashtami_Lecture-Krishna_is_Supremely_Perfect_-_Radhanath_Swami_ISKCON_C"&amp;"howpatty.mp3", "2024-08-26_SB_03-02-12_-_Janmashtami_Lecture-Krishna_is_Supremely_Perfect_-_Radhanath_Swami_ISKCON_Chowpatty.mp3")</f>
        <v>#VALUE!</v>
      </c>
      <c r="D3038" s="11"/>
      <c r="E3038" s="11"/>
    </row>
    <row r="3039" spans="1:5">
      <c r="A3039" s="12" t="s">
        <v>12462</v>
      </c>
      <c r="B3039" s="12" t="e">
        <v>#VALUE!</v>
      </c>
      <c r="C3039" s="13" t="e">
        <f>HYPERLINK("https://audio.iskcondesiretree.com/02_-_ISKCON_Swamis/ISKCON_Swamis_-_R_to_Y/His_Holiness_Radhanath_Swami/Lectures/00_-_Year_wise/Devotional_Nectar_-_2024/2024-08-27_Festivals_-_Srila_Prabhupada_Vyas_Puja_Offering_-_Radhanath_Swami_Maharaj_ISKCON_Chowpatt"&amp;"y.mp3", "2024-08-27_Festivals_-_Srila_Prabhupada_Vyas_Puja_Offering_-_Radhanath_Swami_Maharaj_ISKCON_Chowpatty.mp3")</f>
        <v>#VALUE!</v>
      </c>
      <c r="D3039" s="11"/>
      <c r="E3039" s="11"/>
    </row>
    <row r="3040" spans="1:5">
      <c r="A3040" s="12" t="s">
        <v>12462</v>
      </c>
      <c r="B3040" s="12" t="s">
        <v>15758</v>
      </c>
      <c r="C3040" s="13" t="str">
        <f>HYPERLINK("https://audio.iskcondesiretree.com/02_-_ISKCON_Swamis/ISKCON_Swamis_-_R_to_Y/His_Holiness_Radhanath_Swami/Lectures/00_-_Year_wise/Devotional_Nectar_-_2024/2024-08-30_SB_06-19-06_-_Radhanath_Swami_ISKCON_Delhi.mp3", "2024-08-30_SB_06-19-06_-_Radhanath_Swami_ISKCON_Delhi.mp3")</f>
        <v>2024-08-30_SB_06-19-06_-_Radhanath_Swami_ISKCON_Delhi.mp3</v>
      </c>
      <c r="D3040" s="11"/>
      <c r="E3040" s="11"/>
    </row>
    <row r="3041" spans="1:5">
      <c r="A3041" s="12" t="s">
        <v>12462</v>
      </c>
      <c r="B3041" s="12" t="s">
        <v>15759</v>
      </c>
      <c r="C3041" s="13" t="str">
        <f>HYPERLINK("https://audio.iskcondesiretree.com/02_-_ISKCON_Swamis/ISKCON_Swamis_-_R_to_Y/His_Holiness_Radhanath_Swami/Lectures/00_-_Year_wise/Devotional_Nectar_-_2024/2024-09-11_CC_Adi_Lila_04-69_-_Radhastami_Lecture_-_Radhanath_Swami_ISKCON_Chowpatty.mp3", "2024-09-11_CC_Adi_Lila_04-69_-_Radhastami_Lecture_-_Radhanath_Swami_ISKCON_Chowpatty.mp3")</f>
        <v>2024-09-11_CC_Adi_Lila_04-69_-_Radhastami_Lecture_-_Radhanath_Swami_ISKCON_Chowpatty.mp3</v>
      </c>
      <c r="D3041" s="11"/>
      <c r="E3041" s="11"/>
    </row>
    <row r="3042" spans="1:5">
      <c r="A3042" s="12" t="s">
        <v>12462</v>
      </c>
      <c r="B3042" s="12" t="s">
        <v>15760</v>
      </c>
      <c r="C3042" s="13" t="str">
        <f>HYPERLINK("https://audio.iskcondesiretree.com/02_-_ISKCON_Swamis/ISKCON_Swamis_-_R_to_Y/His_Holiness_Radhanath_Swami/Lectures/00_-_Year_wise/Devotional_Nectar_-_2024/2024-12-01_SB_03-02-03_-_What_is_the_Difficulty_-_Radhanath_Swami_ISKCON_Chowpatty.mp3", "2024-12-01_SB_03-02-03_-_What_is_the_Difficulty_-_Radhanath_Swami_ISKCON_Chowpatty.mp3")</f>
        <v>2024-12-01_SB_03-02-03_-_What_is_the_Difficulty_-_Radhanath_Swami_ISKCON_Chowpatty.mp3</v>
      </c>
      <c r="D3042" s="11"/>
      <c r="E3042" s="11"/>
    </row>
    <row r="3043" spans="1:5">
      <c r="A3043" s="12" t="s">
        <v>12462</v>
      </c>
      <c r="B3043" s="12" t="s">
        <v>15761</v>
      </c>
      <c r="C3043" s="13" t="str">
        <f>HYPERLINK("https://audio.iskcondesiretree.com/02_-_ISKCON_Swamis/ISKCON_Swamis_-_R_to_Y/His_Holiness_Radhanath_Swami/Lectures/00_-_Year_wise/Devotional_Nectar_-_2024/2024-12-22_SB_03-22-20_-_Krishna_inconceivable_Plans_-_Radhanath_Swami_ISKCON_Chowpatty.mp3", "2024-12-22_SB_03-22-20_-_Krishna_inconceivable_Plans_-_Radhanath_Swami_ISKCON_Chowpatty.mp3")</f>
        <v>2024-12-22_SB_03-22-20_-_Krishna_inconceivable_Plans_-_Radhanath_Swami_ISKCON_Chowpatty.mp3</v>
      </c>
      <c r="D3043" s="11"/>
      <c r="E3043" s="11"/>
    </row>
    <row r="3044" spans="1:5">
      <c r="A3044" s="12" t="s">
        <v>12462</v>
      </c>
      <c r="B3044" s="12" t="e">
        <v>#VALUE!</v>
      </c>
      <c r="C3044" s="13" t="e">
        <f>HYPERLINK("https://audio.iskcondesiretree.com/02_-_ISKCON_Swamis/ISKCON_Swamis_-_R_to_Y/His_Holiness_Radhanath_Swami/Lectures/00_-_Year_wise/Devotional_Nectar_-_2025/2025-03-02_SB_03-04-28_-_Sacrifice_Maturity_and_Humanity_of_Uddhava_-_Radhanath_Swami_ISKCON_Chowpat"&amp;"ty.mp3", "2025-03-02_SB_03-04-28_-_Sacrifice_Maturity_and_Humanity_of_Uddhava_-_Radhanath_Swami_ISKCON_Chowpatty.mp3")</f>
        <v>#VALUE!</v>
      </c>
      <c r="D3044" s="11"/>
      <c r="E3044" s="11"/>
    </row>
    <row r="3045" spans="1:5">
      <c r="A3045" s="12" t="s">
        <v>12462</v>
      </c>
      <c r="B3045" s="12" t="s">
        <v>15762</v>
      </c>
      <c r="C3045" s="13" t="str">
        <f>HYPERLINK("https://audio.iskcondesiretree.com/02_-_ISKCON_Swamis/ISKCON_Swamis_-_R_to_Y/His_Holiness_Radhanath_Swami/Lectures/00_-_Year_wise/Devotional_Nectar_-_2025/2025-05-28_SB_03-15-33_-_Radhanath_Swami_ISKCON_Alachua.mp3", "2025-05-28_SB_03-15-33_-_Radhanath_Swami_ISKCON_Alachua.mp3")</f>
        <v>2025-05-28_SB_03-15-33_-_Radhanath_Swami_ISKCON_Alachua.mp3</v>
      </c>
      <c r="D3045" s="11"/>
      <c r="E3045" s="11"/>
    </row>
    <row r="3046" spans="1:5">
      <c r="A3046" s="12" t="s">
        <v>12462</v>
      </c>
      <c r="B3046" s="12" t="e">
        <v>#VALUE!</v>
      </c>
      <c r="C3046" s="13" t="e">
        <f>HYPERLINK("https://audio.iskcondesiretree.com/02_-_ISKCON_Swamis/ISKCON_Swamis_-_R_to_Y/His_Holiness_Radhanath_Swami/Lectures/00_-_Year_wise/Gita_Nagari_Retreat_2014/01_-_2014_Gita_Nagari_Retreat_-_Mission_of_Lord_Chaitanya_Mahaprabhu_Movement_-_Radhanath_Swami%20.m"&amp;"p3", "01_-_2014_Gita_Nagari_Retreat_-_Mission_of_Lord_Chaitanya_Mahaprabhu_Movement_-_Radhanath_Swami%20.mp3")</f>
        <v>#VALUE!</v>
      </c>
      <c r="D3046" s="11"/>
      <c r="E3046" s="11"/>
    </row>
    <row r="3047" spans="1:5">
      <c r="A3047" s="12" t="s">
        <v>12462</v>
      </c>
      <c r="B3047" s="12" t="s">
        <v>15763</v>
      </c>
      <c r="C3047" s="13" t="str">
        <f>HYPERLINK("https://audio.iskcondesiretree.com/02_-_ISKCON_Swamis/ISKCON_Swamis_-_R_to_Y/His_Holiness_Radhanath_Swami/Lectures/00_-_Year_wise/Gita_Nagari_Retreat_2014/02_-_2014_Gita_Nagari_Retreat_-_Bhajans-Hare_Krishna_Kirtan_-_Radhanath_Swami.mp3", "02_-_2014_Gita_Nagari_Retreat_-_Bhajans-Hare_Krishna_Kirtan_-_Radhanath_Swami.mp3")</f>
        <v>02_-_2014_Gita_Nagari_Retreat_-_Bhajans-Hare_Krishna_Kirtan_-_Radhanath_Swami.mp3</v>
      </c>
      <c r="D3047" s="11"/>
      <c r="E3047" s="11"/>
    </row>
    <row r="3048" spans="1:5">
      <c r="A3048" s="12" t="s">
        <v>12462</v>
      </c>
      <c r="B3048" s="12" t="s">
        <v>15764</v>
      </c>
      <c r="C3048" s="13" t="str">
        <f>HYPERLINK("https://audio.iskcondesiretree.com/02_-_ISKCON_Swamis/ISKCON_Swamis_-_R_to_Y/His_Holiness_Radhanath_Swami/Lectures/00_-_Year_wise/Gita_Nagari_Retreat_2014/03_-_2014_Gita_Nagari_Retreat_-_Bhajans-Hare_Krishna_Kirtan.mp3", "03_-_2014_Gita_Nagari_Retreat_-_Bhajans-Hare_Krishna_Kirtan.mp3")</f>
        <v>03_-_2014_Gita_Nagari_Retreat_-_Bhajans-Hare_Krishna_Kirtan.mp3</v>
      </c>
      <c r="D3048" s="11"/>
      <c r="E3048" s="11"/>
    </row>
    <row r="3049" spans="1:5">
      <c r="A3049" s="12" t="s">
        <v>12462</v>
      </c>
      <c r="B3049" s="12" t="s">
        <v>15765</v>
      </c>
      <c r="C3049" s="13" t="str">
        <f>HYPERLINK("https://audio.iskcondesiretree.com/02_-_ISKCON_Swamis/ISKCON_Swamis_-_R_to_Y/His_Holiness_Radhanath_Swami/Lectures/00_-_Year_wise/Gita_Nagari_Retreat_2014/04_-_2014_Gita_Nagari_Retreat_-_Morning_Session-Devotees_Chanting_-_Radhanath_Swami.mp3", "04_-_2014_Gita_Nagari_Retreat_-_Morning_Session-Devotees_Chanting_-_Radhanath_Swami.mp3")</f>
        <v>04_-_2014_Gita_Nagari_Retreat_-_Morning_Session-Devotees_Chanting_-_Radhanath_Swami.mp3</v>
      </c>
      <c r="D3049" s="11"/>
      <c r="E3049" s="11"/>
    </row>
    <row r="3050" spans="1:5">
      <c r="A3050" s="12" t="s">
        <v>12462</v>
      </c>
      <c r="B3050" s="12" t="s">
        <v>15766</v>
      </c>
      <c r="C3050" s="13" t="str">
        <f>HYPERLINK("https://audio.iskcondesiretree.com/02_-_ISKCON_Swamis/ISKCON_Swamis_-_R_to_Y/His_Holiness_Radhanath_Swami/Lectures/00_-_Year_wise/Gita_Nagari_Retreat_2014/05_-_2014_Gita_Nagari_Retreat_-_CC_Madhya_Lila_13-80_-_Sesa_Prabhu.mp3", "05_-_2014_Gita_Nagari_Retreat_-_CC_Madhya_Lila_13-80_-_Sesa_Prabhu.mp3")</f>
        <v>05_-_2014_Gita_Nagari_Retreat_-_CC_Madhya_Lila_13-80_-_Sesa_Prabhu.mp3</v>
      </c>
      <c r="D3050" s="11"/>
      <c r="E3050" s="11"/>
    </row>
    <row r="3051" spans="1:5">
      <c r="A3051" s="12" t="s">
        <v>12462</v>
      </c>
      <c r="B3051" s="12" t="s">
        <v>15767</v>
      </c>
      <c r="C3051" s="13" t="str">
        <f>HYPERLINK("https://audio.iskcondesiretree.com/02_-_ISKCON_Swamis/ISKCON_Swamis_-_R_to_Y/His_Holiness_Radhanath_Swami/Lectures/00_-_Year_wise/Gita_Nagari_Retreat_2014/06_-_2014_Gita_Nagari_Retreat_-_Bhajans-Hare_Krishna_Kirtan.mp3", "06_-_2014_Gita_Nagari_Retreat_-_Bhajans-Hare_Krishna_Kirtan.mp3")</f>
        <v>06_-_2014_Gita_Nagari_Retreat_-_Bhajans-Hare_Krishna_Kirtan.mp3</v>
      </c>
      <c r="D3051" s="11"/>
      <c r="E3051" s="11"/>
    </row>
    <row r="3052" spans="1:5">
      <c r="A3052" s="12" t="s">
        <v>12462</v>
      </c>
      <c r="B3052" s="12" t="s">
        <v>15768</v>
      </c>
      <c r="C3052" s="13" t="str">
        <f>HYPERLINK("https://audio.iskcondesiretree.com/02_-_ISKCON_Swamis/ISKCON_Swamis_-_R_to_Y/His_Holiness_Radhanath_Swami/Lectures/00_-_Year_wise/Gita_Nagari_Retreat_2014/07_-_2014_Gita_Nagari_Retreat_-_Bhajans-Hare_Krishna_Kirtan.mp3", "07_-_2014_Gita_Nagari_Retreat_-_Bhajans-Hare_Krishna_Kirtan.mp3")</f>
        <v>07_-_2014_Gita_Nagari_Retreat_-_Bhajans-Hare_Krishna_Kirtan.mp3</v>
      </c>
      <c r="D3052" s="11"/>
      <c r="E3052" s="11"/>
    </row>
    <row r="3053" spans="1:5">
      <c r="A3053" s="12" t="s">
        <v>12462</v>
      </c>
      <c r="B3053" s="12" t="s">
        <v>15769</v>
      </c>
      <c r="C3053" s="13" t="str">
        <f>HYPERLINK("https://audio.iskcondesiretree.com/02_-_ISKCON_Swamis/ISKCON_Swamis_-_R_to_Y/His_Holiness_Radhanath_Swami/Lectures/00_-_Year_wise/Gita_Nagari_Retreat_2014/08_-_2014_Gita_Nagari_Retreat_-_Bhajans-Hare_Krishna_Kirtan.mp3", "08_-_2014_Gita_Nagari_Retreat_-_Bhajans-Hare_Krishna_Kirtan.mp3")</f>
        <v>08_-_2014_Gita_Nagari_Retreat_-_Bhajans-Hare_Krishna_Kirtan.mp3</v>
      </c>
      <c r="D3053" s="11"/>
      <c r="E3053" s="11"/>
    </row>
    <row r="3054" spans="1:5">
      <c r="A3054" s="12" t="s">
        <v>12462</v>
      </c>
      <c r="B3054" s="12" t="s">
        <v>15770</v>
      </c>
      <c r="C3054" s="13" t="str">
        <f>HYPERLINK("https://audio.iskcondesiretree.com/02_-_ISKCON_Swamis/ISKCON_Swamis_-_R_to_Y/His_Holiness_Radhanath_Swami/Lectures/00_-_Year_wise/Gita_Nagari_Retreat_2014/09_-_2014_Gita_Nagari_Retreat_-_SB_04-20-16_-_Radhanath_Swami.mp3", "09_-_2014_Gita_Nagari_Retreat_-_SB_04-20-16_-_Radhanath_Swami.mp3")</f>
        <v>09_-_2014_Gita_Nagari_Retreat_-_SB_04-20-16_-_Radhanath_Swami.mp3</v>
      </c>
      <c r="D3054" s="11"/>
      <c r="E3054" s="11"/>
    </row>
    <row r="3055" spans="1:5">
      <c r="A3055" s="12" t="s">
        <v>12462</v>
      </c>
      <c r="B3055" s="12" t="s">
        <v>15771</v>
      </c>
      <c r="C3055" s="13" t="str">
        <f>HYPERLINK("https://audio.iskcondesiretree.com/02_-_ISKCON_Swamis/ISKCON_Swamis_-_R_to_Y/His_Holiness_Radhanath_Swami/Lectures/00_-_Year_wise/Gita_Nagari_Retreat_2014/10_-_2014_Gita_Nagari_Retreat_-_Bhajans-Hare_krishna_Kirtan_-_Radhanath_Swami.mp3", "10_-_2014_Gita_Nagari_Retreat_-_Bhajans-Hare_krishna_Kirtan_-_Radhanath_Swami.mp3")</f>
        <v>10_-_2014_Gita_Nagari_Retreat_-_Bhajans-Hare_krishna_Kirtan_-_Radhanath_Swami.mp3</v>
      </c>
      <c r="D3055" s="11"/>
      <c r="E3055" s="11"/>
    </row>
    <row r="3056" spans="1:5">
      <c r="A3056" s="12" t="s">
        <v>12462</v>
      </c>
      <c r="B3056" s="12" t="s">
        <v>15772</v>
      </c>
      <c r="C3056" s="13" t="str">
        <f>HYPERLINK("https://audio.iskcondesiretree.com/02_-_ISKCON_Swamis/ISKCON_Swamis_-_R_to_Y/His_Holiness_Radhanath_Swami/Lectures/00_-_Year_wise/Gita_Nagari_Retreat_2014/11_-_2014_Gita_Nagari_Retreat_-_Bhajans-Hare_krishna_Kirtan.mp3", "11_-_2014_Gita_Nagari_Retreat_-_Bhajans-Hare_krishna_Kirtan.mp3")</f>
        <v>11_-_2014_Gita_Nagari_Retreat_-_Bhajans-Hare_krishna_Kirtan.mp3</v>
      </c>
      <c r="D3056" s="11"/>
      <c r="E3056" s="11"/>
    </row>
    <row r="3057" spans="1:5">
      <c r="A3057" s="12" t="s">
        <v>12462</v>
      </c>
      <c r="B3057" s="12" t="s">
        <v>15773</v>
      </c>
      <c r="C3057" s="13" t="str">
        <f>HYPERLINK("https://audio.iskcondesiretree.com/02_-_ISKCON_Swamis/ISKCON_Swamis_-_R_to_Y/His_Holiness_Radhanath_Swami/Lectures/00_-_Year_wise/Gita_Nagari_Retreat_2014/12_-_2014_Gita_Nagari_Retreat_-_Mission_of_Lord_Chaitanya_Mahaprabhu_Movement_-_Rukmini_Mataji.mp3", "12_-_2014_Gita_Nagari_Retreat_-_Mission_of_Lord_Chaitanya_Mahaprabhu_Movement_-_Rukmini_Mataji.mp3")</f>
        <v>12_-_2014_Gita_Nagari_Retreat_-_Mission_of_Lord_Chaitanya_Mahaprabhu_Movement_-_Rukmini_Mataji.mp3</v>
      </c>
      <c r="D3057" s="11"/>
      <c r="E3057" s="11"/>
    </row>
    <row r="3058" spans="1:5">
      <c r="A3058" s="12" t="s">
        <v>12462</v>
      </c>
      <c r="B3058" s="12" t="s">
        <v>15774</v>
      </c>
      <c r="C3058" s="13" t="str">
        <f>HYPERLINK("https://audio.iskcondesiretree.com/02_-_ISKCON_Swamis/ISKCON_Swamis_-_R_to_Y/His_Holiness_Radhanath_Swami/Lectures/00_-_Year_wise/Gita_Nagari_Retreat_2014/15_-_2014_Gita_Nagari_Retreat_-_Bonafied_Spiritual_Master_-_Devamrita_Swami.mp3", "15_-_2014_Gita_Nagari_Retreat_-_Bonafied_Spiritual_Master_-_Devamrita_Swami.mp3")</f>
        <v>15_-_2014_Gita_Nagari_Retreat_-_Bonafied_Spiritual_Master_-_Devamrita_Swami.mp3</v>
      </c>
      <c r="D3058" s="11"/>
      <c r="E3058" s="11"/>
    </row>
    <row r="3059" spans="1:5">
      <c r="A3059" s="12" t="s">
        <v>12462</v>
      </c>
      <c r="B3059" s="12" t="s">
        <v>15775</v>
      </c>
      <c r="C3059" s="13" t="str">
        <f>HYPERLINK("https://audio.iskcondesiretree.com/02_-_ISKCON_Swamis/ISKCON_Swamis_-_R_to_Y/His_Holiness_Radhanath_Swami/Lectures/00_-_Year_wise/Gita_Nagari_Retreat_2014/16_-_2014_Gita_Nagari_Retreat_-_Initiation_Ceremony.mp3", "16_-_2014_Gita_Nagari_Retreat_-_Initiation_Ceremony.mp3")</f>
        <v>16_-_2014_Gita_Nagari_Retreat_-_Initiation_Ceremony.mp3</v>
      </c>
      <c r="D3059" s="11"/>
      <c r="E3059" s="11"/>
    </row>
    <row r="3060" spans="1:5">
      <c r="A3060" s="12" t="s">
        <v>12462</v>
      </c>
      <c r="B3060" s="12" t="s">
        <v>15776</v>
      </c>
      <c r="C3060" s="13" t="str">
        <f>HYPERLINK("https://audio.iskcondesiretree.com/02_-_ISKCON_Swamis/ISKCON_Swamis_-_R_to_Y/His_Holiness_Radhanath_Swami/Lectures/00_-_Year_wise/Gita_Nagari_Retreat_2014/17_-_2014_Gita_Nagari_Retreat_-_Devotion_to_Reach_Krishna_-_Radhanath_Swami.mp3", "17_-_2014_Gita_Nagari_Retreat_-_Devotion_to_Reach_Krishna_-_Radhanath_Swami.mp3")</f>
        <v>17_-_2014_Gita_Nagari_Retreat_-_Devotion_to_Reach_Krishna_-_Radhanath_Swami.mp3</v>
      </c>
      <c r="D3060" s="11"/>
      <c r="E3060" s="11"/>
    </row>
    <row r="3061" spans="1:5">
      <c r="A3061" s="12" t="s">
        <v>12462</v>
      </c>
      <c r="B3061" s="12" t="s">
        <v>15777</v>
      </c>
      <c r="C3061" s="13" t="str">
        <f>HYPERLINK("https://audio.iskcondesiretree.com/02_-_ISKCON_Swamis/ISKCON_Swamis_-_R_to_Y/His_Holiness_Radhanath_Swami/Lectures/00_-_Year_wise/Gita_Nagari_Retreat_2014/18_-_2014_Gita_Nagari_Retreat_-_Pure_Devotion_Service_-_Radhanath_Swami.mp3", "18_-_2014_Gita_Nagari_Retreat_-_Pure_Devotion_Service_-_Radhanath_Swami.mp3")</f>
        <v>18_-_2014_Gita_Nagari_Retreat_-_Pure_Devotion_Service_-_Radhanath_Swami.mp3</v>
      </c>
      <c r="D3061" s="11"/>
      <c r="E3061" s="11"/>
    </row>
    <row r="3062" spans="1:5">
      <c r="A3062" s="12" t="s">
        <v>12462</v>
      </c>
      <c r="B3062" s="12" t="s">
        <v>15778</v>
      </c>
      <c r="C3062" s="13" t="str">
        <f>HYPERLINK("https://audio.iskcondesiretree.com/02_-_ISKCON_Swamis/ISKCON_Swamis_-_R_to_Y/His_Holiness_Radhanath_Swami/Lectures/00_-_Year_wise/Gita_Nagari_Retreat_2014/19_-_2014_Gita_Nagari_Retreat_-_Initiation_Ceremony_-_Radhanath_Swami.mp3", "19_-_2014_Gita_Nagari_Retreat_-_Initiation_Ceremony_-_Radhanath_Swami.mp3")</f>
        <v>19_-_2014_Gita_Nagari_Retreat_-_Initiation_Ceremony_-_Radhanath_Swami.mp3</v>
      </c>
      <c r="D3062" s="11"/>
      <c r="E3062" s="11"/>
    </row>
    <row r="3063" spans="1:5">
      <c r="A3063" s="12" t="s">
        <v>12462</v>
      </c>
      <c r="B3063" s="12" t="s">
        <v>15779</v>
      </c>
      <c r="C3063" s="13" t="str">
        <f>HYPERLINK("https://audio.iskcondesiretree.com/02_-_ISKCON_Swamis/ISKCON_Swamis_-_R_to_Y/His_Holiness_Radhanath_Swami/Lectures/00_-_Year_wise/Gita_Nagari_Retreat_2014/20_-_2014_Gita_Nagari_Retreat_-_Initiation_Ceremony_-_Radhanath_Swami.mp3", "20_-_2014_Gita_Nagari_Retreat_-_Initiation_Ceremony_-_Radhanath_Swami.mp3")</f>
        <v>20_-_2014_Gita_Nagari_Retreat_-_Initiation_Ceremony_-_Radhanath_Swami.mp3</v>
      </c>
      <c r="D3063" s="11"/>
      <c r="E3063" s="11"/>
    </row>
    <row r="3064" spans="1:5">
      <c r="A3064" s="12" t="s">
        <v>12462</v>
      </c>
      <c r="B3064" s="12" t="s">
        <v>15780</v>
      </c>
      <c r="C3064" s="13" t="str">
        <f>HYPERLINK("https://audio.iskcondesiretree.com/02_-_ISKCON_Swamis/ISKCON_Swamis_-_R_to_Y/His_Holiness_Radhanath_Swami/Lectures/00_-_Year_wise/Gita_Nagari_Retreat_2014/21_-_2014_Gita_Nagari_Retreat_-_End_of_Initiation_Ceremony_-_Devamrita_Swami.mp3", "21_-_2014_Gita_Nagari_Retreat_-_End_of_Initiation_Ceremony_-_Devamrita_Swami.mp3")</f>
        <v>21_-_2014_Gita_Nagari_Retreat_-_End_of_Initiation_Ceremony_-_Devamrita_Swami.mp3</v>
      </c>
      <c r="D3064" s="11"/>
      <c r="E3064" s="11"/>
    </row>
    <row r="3065" spans="1:5">
      <c r="A3065" s="12" t="s">
        <v>12462</v>
      </c>
      <c r="B3065" s="12" t="s">
        <v>15781</v>
      </c>
      <c r="C3065" s="13" t="str">
        <f>HYPERLINK("https://audio.iskcondesiretree.com/02_-_ISKCON_Swamis/ISKCON_Swamis_-_R_to_Y/His_Holiness_Radhanath_Swami/Lectures/00_-_Year_wise/Gita_Nagari_Retreat_2014/22_-_2014-07-12_Gita_Nagari_Retreat_-_How_Creation_begins_-_Radhanath_Swami.mp3", "22_-_2014-07-12_Gita_Nagari_Retreat_-_How_Creation_begins_-_Radhanath_Swami.mp3")</f>
        <v>22_-_2014-07-12_Gita_Nagari_Retreat_-_How_Creation_begins_-_Radhanath_Swami.mp3</v>
      </c>
      <c r="D3065" s="11"/>
      <c r="E3065" s="11"/>
    </row>
    <row r="3066" spans="1:5">
      <c r="A3066" s="12" t="s">
        <v>12462</v>
      </c>
      <c r="B3066" s="12" t="s">
        <v>15782</v>
      </c>
      <c r="C3066" s="13" t="str">
        <f>HYPERLINK("https://audio.iskcondesiretree.com/02_-_ISKCON_Swamis/ISKCON_Swamis_-_R_to_Y/His_Holiness_Radhanath_Swami/Lectures/00_-_Year_wise/Gita_Nagari_Retreat_2014/23_-_2014-07-12_Gita_Nagari_Retreat_-_Proper_Attitude_-_Radhanath_Swami.mp3", "23_-_2014-07-12_Gita_Nagari_Retreat_-_Proper_Attitude_-_Radhanath_Swami.mp3")</f>
        <v>23_-_2014-07-12_Gita_Nagari_Retreat_-_Proper_Attitude_-_Radhanath_Swami.mp3</v>
      </c>
      <c r="D3066" s="11"/>
      <c r="E3066" s="11"/>
    </row>
    <row r="3067" spans="1:5">
      <c r="A3067" s="12" t="s">
        <v>12462</v>
      </c>
      <c r="B3067" s="12" t="s">
        <v>15783</v>
      </c>
      <c r="C3067" s="13" t="str">
        <f>HYPERLINK("https://audio.iskcondesiretree.com/02_-_ISKCON_Swamis/ISKCON_Swamis_-_R_to_Y/His_Holiness_Radhanath_Swami/Lectures/00_-_Year_wise/Gita_Nagari_Retreat_2015/2015_Gita_Nagari_Retreat_-_Authenticity_and_Harmony_-_Giriraj_Swami_2015-05-30.mp3", "2015_Gita_Nagari_Retreat_-_Authenticity_and_Harmony_-_Giriraj_Swami_2015-05-30.mp3")</f>
        <v>2015_Gita_Nagari_Retreat_-_Authenticity_and_Harmony_-_Giriraj_Swami_2015-05-30.mp3</v>
      </c>
      <c r="D3067" s="11"/>
      <c r="E3067" s="11"/>
    </row>
    <row r="3068" spans="1:5">
      <c r="A3068" s="12" t="s">
        <v>12462</v>
      </c>
      <c r="B3068" s="12" t="s">
        <v>15784</v>
      </c>
      <c r="C3068" s="13" t="str">
        <f>HYPERLINK("https://audio.iskcondesiretree.com/02_-_ISKCON_Swamis/ISKCON_Swamis_-_R_to_Y/His_Holiness_Radhanath_Swami/Lectures/00_-_Year_wise/Gita_Nagari_Retreat_2015/2015_Gita_Nagari_Retreat_-_Guru_Puja_-_2015-05-29.mp3", "2015_Gita_Nagari_Retreat_-_Guru_Puja_-_2015-05-29.mp3")</f>
        <v>2015_Gita_Nagari_Retreat_-_Guru_Puja_-_2015-05-29.mp3</v>
      </c>
      <c r="D3068" s="11"/>
      <c r="E3068" s="11"/>
    </row>
    <row r="3069" spans="1:5">
      <c r="A3069" s="12" t="s">
        <v>12462</v>
      </c>
      <c r="B3069" s="12" t="s">
        <v>15785</v>
      </c>
      <c r="C3069" s="13" t="str">
        <f>HYPERLINK("https://audio.iskcondesiretree.com/02_-_ISKCON_Swamis/ISKCON_Swamis_-_R_to_Y/His_Holiness_Radhanath_Swami/Lectures/00_-_Year_wise/Gita_Nagari_Retreat_2015/2015_Gita_Nagari_Retreat_-_Guru_Puja_-_2015-05-31.mp3", "2015_Gita_Nagari_Retreat_-_Guru_Puja_-_2015-05-31.mp3")</f>
        <v>2015_Gita_Nagari_Retreat_-_Guru_Puja_-_2015-05-31.mp3</v>
      </c>
      <c r="D3069" s="11"/>
      <c r="E3069" s="11"/>
    </row>
    <row r="3070" spans="1:5">
      <c r="A3070" s="12" t="s">
        <v>12462</v>
      </c>
      <c r="B3070" s="12" t="s">
        <v>15786</v>
      </c>
      <c r="C3070" s="13" t="str">
        <f>HYPERLINK("https://audio.iskcondesiretree.com/02_-_ISKCON_Swamis/ISKCON_Swamis_-_R_to_Y/His_Holiness_Radhanath_Swami/Lectures/00_-_Year_wise/Gita_Nagari_Retreat_2015/2015_Gita_Nagari_Retreat_-_Hare_Krishna_Kirtan_-_2015-05-30.mp3", "2015_Gita_Nagari_Retreat_-_Hare_Krishna_Kirtan_-_2015-05-30.mp3")</f>
        <v>2015_Gita_Nagari_Retreat_-_Hare_Krishna_Kirtan_-_2015-05-30.mp3</v>
      </c>
      <c r="D3070" s="11"/>
      <c r="E3070" s="11"/>
    </row>
    <row r="3071" spans="1:5">
      <c r="A3071" s="12" t="s">
        <v>12462</v>
      </c>
      <c r="B3071" s="12" t="s">
        <v>15787</v>
      </c>
      <c r="C3071" s="13" t="str">
        <f>HYPERLINK("https://audio.iskcondesiretree.com/02_-_ISKCON_Swamis/ISKCON_Swamis_-_R_to_Y/His_Holiness_Radhanath_Swami/Lectures/00_-_Year_wise/Gita_Nagari_Retreat_2015/2015_Gita_Nagari_Retreat_-_Hare_Krishna_Kirtan_-_Kids_Kirtan_2015-05-30.mp3", "2015_Gita_Nagari_Retreat_-_Hare_Krishna_Kirtan_-_Kids_Kirtan_2015-05-30.mp3")</f>
        <v>2015_Gita_Nagari_Retreat_-_Hare_Krishna_Kirtan_-_Kids_Kirtan_2015-05-30.mp3</v>
      </c>
      <c r="D3071" s="11"/>
      <c r="E3071" s="11"/>
    </row>
    <row r="3072" spans="1:5">
      <c r="A3072" s="12" t="s">
        <v>12462</v>
      </c>
      <c r="B3072" s="12" t="s">
        <v>15788</v>
      </c>
      <c r="C3072" s="13" t="str">
        <f>HYPERLINK("https://audio.iskcondesiretree.com/02_-_ISKCON_Swamis/ISKCON_Swamis_-_R_to_Y/His_Holiness_Radhanath_Swami/Lectures/00_-_Year_wise/Gita_Nagari_Retreat_2015/2015_Gita_Nagari_Retreat_-_Hare_Krishna_Kirtan_01_-_Acyuta_Gopi_Mataji_2015-05-30.mp3", "2015_Gita_Nagari_Retreat_-_Hare_Krishna_Kirtan_01_-_Acyuta_Gopi_Mataji_2015-05-30.mp3")</f>
        <v>2015_Gita_Nagari_Retreat_-_Hare_Krishna_Kirtan_01_-_Acyuta_Gopi_Mataji_2015-05-30.mp3</v>
      </c>
      <c r="D3072" s="11"/>
      <c r="E3072" s="11"/>
    </row>
    <row r="3073" spans="1:5">
      <c r="A3073" s="12" t="s">
        <v>12462</v>
      </c>
      <c r="B3073" s="12" t="s">
        <v>15789</v>
      </c>
      <c r="C3073" s="13" t="str">
        <f>HYPERLINK("https://audio.iskcondesiretree.com/02_-_ISKCON_Swamis/ISKCON_Swamis_-_R_to_Y/His_Holiness_Radhanath_Swami/Lectures/00_-_Year_wise/Gita_Nagari_Retreat_2015/2015_Gita_Nagari_Retreat_-_Hare_Krishna_Kirtan_02_-_Acyuta_Gopi_Mataji_2015-05-30.mp3", "2015_Gita_Nagari_Retreat_-_Hare_Krishna_Kirtan_02_-_Acyuta_Gopi_Mataji_2015-05-30.mp3")</f>
        <v>2015_Gita_Nagari_Retreat_-_Hare_Krishna_Kirtan_02_-_Acyuta_Gopi_Mataji_2015-05-30.mp3</v>
      </c>
      <c r="D3073" s="11"/>
      <c r="E3073" s="11"/>
    </row>
    <row r="3074" spans="1:5">
      <c r="A3074" s="12" t="s">
        <v>12462</v>
      </c>
      <c r="B3074" s="12" t="s">
        <v>15790</v>
      </c>
      <c r="C3074" s="13" t="str">
        <f>HYPERLINK("https://audio.iskcondesiretree.com/02_-_ISKCON_Swamis/ISKCON_Swamis_-_R_to_Y/His_Holiness_Radhanath_Swami/Lectures/00_-_Year_wise/Gita_Nagari_Retreat_2015/2015_Gita_Nagari_Retreat_-_Krishna_Integrity_and_Us_-_Vishaka_Mataji_2015-05-29.mp3", "2015_Gita_Nagari_Retreat_-_Krishna_Integrity_and_Us_-_Vishaka_Mataji_2015-05-29.mp3")</f>
        <v>2015_Gita_Nagari_Retreat_-_Krishna_Integrity_and_Us_-_Vishaka_Mataji_2015-05-29.mp3</v>
      </c>
      <c r="D3074" s="11"/>
      <c r="E3074" s="11"/>
    </row>
    <row r="3075" spans="1:5">
      <c r="A3075" s="12" t="s">
        <v>12462</v>
      </c>
      <c r="B3075" s="12" t="s">
        <v>15791</v>
      </c>
      <c r="C3075" s="13" t="str">
        <f>HYPERLINK("https://audio.iskcondesiretree.com/02_-_ISKCON_Swamis/ISKCON_Swamis_-_R_to_Y/His_Holiness_Radhanath_Swami/Lectures/00_-_Year_wise/Gita_Nagari_Retreat_2015/2015_Gita_Nagari_Retreat_-_Pleasing_Krishna_-_Radhanath_Swami_2015-05-30.mp3", "2015_Gita_Nagari_Retreat_-_Pleasing_Krishna_-_Radhanath_Swami_2015-05-30.mp3")</f>
        <v>2015_Gita_Nagari_Retreat_-_Pleasing_Krishna_-_Radhanath_Swami_2015-05-30.mp3</v>
      </c>
      <c r="D3075" s="11"/>
      <c r="E3075" s="11"/>
    </row>
    <row r="3076" spans="1:5">
      <c r="A3076" s="12" t="s">
        <v>12462</v>
      </c>
      <c r="B3076" s="12" t="s">
        <v>15792</v>
      </c>
      <c r="C3076" s="13" t="str">
        <f>HYPERLINK("https://audio.iskcondesiretree.com/02_-_ISKCON_Swamis/ISKCON_Swamis_-_R_to_Y/His_Holiness_Radhanath_Swami/Lectures/00_-_Year_wise/Gita_Nagari_Retreat_2015/2015_Gita_Nagari_Retreat_-_SB_02-07-15_-_2015-05-29.mp3", "2015_Gita_Nagari_Retreat_-_SB_02-07-15_-_2015-05-29.mp3")</f>
        <v>2015_Gita_Nagari_Retreat_-_SB_02-07-15_-_2015-05-29.mp3</v>
      </c>
      <c r="D3076" s="11"/>
      <c r="E3076" s="11"/>
    </row>
    <row r="3077" spans="1:5">
      <c r="A3077" s="12" t="s">
        <v>12462</v>
      </c>
      <c r="B3077" s="12" t="s">
        <v>15793</v>
      </c>
      <c r="C3077" s="13" t="str">
        <f>HYPERLINK("https://audio.iskcondesiretree.com/02_-_ISKCON_Swamis/ISKCON_Swamis_-_R_to_Y/His_Holiness_Radhanath_Swami/Lectures/00_-_Year_wise/Gita_Nagari_Retreat_2015/2015_Gita_Nagari_Retreat_-_SB_07-09-28_-_Malati_Mataji_2015-05-30.mp3", "2015_Gita_Nagari_Retreat_-_SB_07-09-28_-_Malati_Mataji_2015-05-30.mp3")</f>
        <v>2015_Gita_Nagari_Retreat_-_SB_07-09-28_-_Malati_Mataji_2015-05-30.mp3</v>
      </c>
      <c r="D3077" s="11"/>
      <c r="E3077" s="11"/>
    </row>
    <row r="3078" spans="1:5">
      <c r="A3078" s="12" t="s">
        <v>12462</v>
      </c>
      <c r="B3078" s="12" t="s">
        <v>15794</v>
      </c>
      <c r="C3078" s="13" t="str">
        <f>HYPERLINK("https://audio.iskcondesiretree.com/02_-_ISKCON_Swamis/ISKCON_Swamis_-_R_to_Y/His_Holiness_Radhanath_Swami/Lectures/00_-_Year_wise/Gita_Nagari_Retreat_2015/2015_Gita_Nagari_Retreat_-_Srila_Prabhupada_Pastimes_-_Vishaka_Mataji_2015-05-29.mp3", "2015_Gita_Nagari_Retreat_-_Srila_Prabhupada_Pastimes_-_Vishaka_Mataji_2015-05-29.mp3")</f>
        <v>2015_Gita_Nagari_Retreat_-_Srila_Prabhupada_Pastimes_-_Vishaka_Mataji_2015-05-29.mp3</v>
      </c>
      <c r="D3078" s="11"/>
      <c r="E3078" s="11"/>
    </row>
    <row r="3079" spans="1:5">
      <c r="A3079" s="12" t="s">
        <v>12462</v>
      </c>
      <c r="B3079" s="12" t="s">
        <v>15795</v>
      </c>
      <c r="C3079" s="13" t="str">
        <f>HYPERLINK("https://audio.iskcondesiretree.com/02_-_ISKCON_Swamis/ISKCON_Swamis_-_R_to_Y/His_Holiness_Radhanath_Swami/Lectures/00_-_Year_wise/Gita_Nagari_Retreat_2015/2015_Gita_Nagari_Retreat_-_Tulasi_Puja_-_2015-05-29.mp3", "2015_Gita_Nagari_Retreat_-_Tulasi_Puja_-_2015-05-29.mp3")</f>
        <v>2015_Gita_Nagari_Retreat_-_Tulasi_Puja_-_2015-05-29.mp3</v>
      </c>
      <c r="D3079" s="11"/>
      <c r="E3079" s="11"/>
    </row>
    <row r="3080" spans="1:5">
      <c r="A3080" s="12" t="s">
        <v>12462</v>
      </c>
      <c r="B3080" s="12" t="s">
        <v>15796</v>
      </c>
      <c r="C3080" s="13" t="str">
        <f>HYPERLINK("https://audio.iskcondesiretree.com/02_-_ISKCON_Swamis/ISKCON_Swamis_-_R_to_Y/His_Holiness_Radhanath_Swami/Lectures/00_-_Year_wise/More/SB_03-18-15_-_The_Battle_Between_Lord_Boar_and_the_Demon_Hiranyaksa_-_Radhanath_Swami.mp3", "SB_03-18-15_-_The_Battle_Between_Lord_Boar_and_the_Demon_Hiranyaksa_-_Radhanath_Swami.mp3")</f>
        <v>SB_03-18-15_-_The_Battle_Between_Lord_Boar_and_the_Demon_Hiranyaksa_-_Radhanath_Swami.mp3</v>
      </c>
      <c r="D3080" s="11"/>
      <c r="E3080" s="11"/>
    </row>
    <row r="3081" spans="1:5">
      <c r="A3081" s="12" t="s">
        <v>12462</v>
      </c>
      <c r="B3081" s="12" t="s">
        <v>15797</v>
      </c>
      <c r="C3081" s="13" t="str">
        <f>HYPERLINK("https://audio.iskcondesiretree.com/02_-_ISKCON_Swamis/ISKCON_Swamis_-_R_to_Y/His_Holiness_Radhanath_Swami/Lectures/00_-_Year_wise/More/Various_-_Building_a_Foundation_-_Radhanath_Swami.mp3", "Various_-_Building_a_Foundation_-_Radhanath_Swami.mp3")</f>
        <v>Various_-_Building_a_Foundation_-_Radhanath_Swami.mp3</v>
      </c>
      <c r="D3081" s="11"/>
      <c r="E3081" s="11"/>
    </row>
    <row r="3082" spans="1:5">
      <c r="A3082" s="12" t="s">
        <v>12462</v>
      </c>
      <c r="B3082" s="12" t="s">
        <v>15798</v>
      </c>
      <c r="C3082" s="13" t="str">
        <f>HYPERLINK("https://audio.iskcondesiretree.com/02_-_ISKCON_Swamis/ISKCON_Swamis_-_R_to_Y/His_Holiness_Radhanath_Swami/Lectures/00_-_Year_wise/More/Various_-_Encountering_God-Hindu_and_Christian_Perspectives_-_Radhanath_Swami.mp3", "Various_-_Encountering_God-Hindu_and_Christian_Perspectives_-_Radhanath_Swami.mp3")</f>
        <v>Various_-_Encountering_God-Hindu_and_Christian_Perspectives_-_Radhanath_Swami.mp3</v>
      </c>
      <c r="D3082" s="11"/>
      <c r="E3082" s="11"/>
    </row>
    <row r="3083" spans="1:5">
      <c r="A3083" s="12" t="s">
        <v>12462</v>
      </c>
      <c r="B3083" s="12" t="s">
        <v>15799</v>
      </c>
      <c r="C3083" s="13" t="str">
        <f>HYPERLINK("https://audio.iskcondesiretree.com/02_-_ISKCON_Swamis/ISKCON_Swamis_-_R_to_Y/His_Holiness_Radhanath_Swami/Lectures/00_-_Year_wise/More/Various_-_Every_situation_is_a_Blessing_-_Radhanath_Swami.mp3", "Various_-_Every_situation_is_a_Blessing_-_Radhanath_Swami.mp3")</f>
        <v>Various_-_Every_situation_is_a_Blessing_-_Radhanath_Swami.mp3</v>
      </c>
      <c r="D3083" s="11"/>
      <c r="E3083" s="11"/>
    </row>
    <row r="3084" spans="1:5">
      <c r="A3084" s="12" t="s">
        <v>12462</v>
      </c>
      <c r="B3084" s="12" t="s">
        <v>15800</v>
      </c>
      <c r="C3084" s="13" t="str">
        <f>HYPERLINK("https://audio.iskcondesiretree.com/02_-_ISKCON_Swamis/ISKCON_Swamis_-_R_to_Y/His_Holiness_Radhanath_Swami/Lectures/00_-_Year_wise/More/Various_-_Lessons_from_a_Hawk_-_Radhanath_Swami.mp3", "Various_-_Lessons_from_a_Hawk_-_Radhanath_Swami.mp3")</f>
        <v>Various_-_Lessons_from_a_Hawk_-_Radhanath_Swami.mp3</v>
      </c>
      <c r="D3084" s="11"/>
      <c r="E3084" s="11"/>
    </row>
    <row r="3085" spans="1:5">
      <c r="A3085" s="12" t="s">
        <v>12462</v>
      </c>
      <c r="B3085" s="12" t="s">
        <v>15801</v>
      </c>
      <c r="C3085" s="13" t="str">
        <f>HYPERLINK("https://audio.iskcondesiretree.com/02_-_ISKCON_Swamis/ISKCON_Swamis_-_R_to_Y/His_Holiness_Radhanath_Swami/Lectures/00_-_Year_wise/More/Various_-_Memories_and_Realization_with_his_mother_-_Radhanath_Swami.mp3", "Various_-_Memories_and_Realization_with_his_mother_-_Radhanath_Swami.mp3")</f>
        <v>Various_-_Memories_and_Realization_with_his_mother_-_Radhanath_Swami.mp3</v>
      </c>
      <c r="D3085" s="11"/>
      <c r="E3085" s="11"/>
    </row>
    <row r="3086" spans="1:5">
      <c r="A3086" s="12" t="s">
        <v>12462</v>
      </c>
      <c r="B3086" s="12" t="s">
        <v>15802</v>
      </c>
      <c r="C3086" s="13" t="str">
        <f>HYPERLINK("https://audio.iskcondesiretree.com/02_-_ISKCON_Swamis/ISKCON_Swamis_-_R_to_Y/His_Holiness_Radhanath_Swami/Lectures/00_-_Year_wise/More/Various_-_Real_Love_and_Perverted_Love_-_Radhanath_Swami.mp3", "Various_-_Real_Love_and_Perverted_Love_-_Radhanath_Swami.mp3")</f>
        <v>Various_-_Real_Love_and_Perverted_Love_-_Radhanath_Swami.mp3</v>
      </c>
      <c r="D3086" s="11"/>
      <c r="E3086" s="11"/>
    </row>
    <row r="3087" spans="1:5">
      <c r="A3087" s="12" t="s">
        <v>12462</v>
      </c>
      <c r="B3087" s="12" t="s">
        <v>15803</v>
      </c>
      <c r="C3087" s="13" t="str">
        <f>HYPERLINK("https://audio.iskcondesiretree.com/02_-_ISKCON_Swamis/ISKCON_Swamis_-_R_to_Y/His_Holiness_Radhanath_Swami/Lectures/00_-_Year_wise/More/Various_-_Relative_Perception_of_Reality_-_Radhanath_Swami.mp3", "Various_-_Relative_Perception_of_Reality_-_Radhanath_Swami.mp3")</f>
        <v>Various_-_Relative_Perception_of_Reality_-_Radhanath_Swami.mp3</v>
      </c>
      <c r="D3087" s="11"/>
      <c r="E3087" s="11"/>
    </row>
    <row r="3088" spans="1:5">
      <c r="A3088" s="12" t="s">
        <v>12462</v>
      </c>
      <c r="B3088" s="12" t="s">
        <v>15804</v>
      </c>
      <c r="C3088" s="13" t="str">
        <f>HYPERLINK("https://audio.iskcondesiretree.com/02_-_ISKCON_Swamis/ISKCON_Swamis_-_R_to_Y/His_Holiness_Radhanath_Swami/Lectures/00_-_Year_wise/More/Various_-_Saranagati_Series-Accepting_Lord_as_the_Supreme_Protector_-_Radhanath_Swami_ISKCON_Chicago.mp3", "Various_-_Saranagati_Series-Accepting_Lord_as_the_Supreme_Protector_-_Radhanath_Swami_ISKCON_Chicago.mp3")</f>
        <v>Various_-_Saranagati_Series-Accepting_Lord_as_the_Supreme_Protector_-_Radhanath_Swami_ISKCON_Chicago.mp3</v>
      </c>
      <c r="D3088" s="11"/>
      <c r="E3088" s="11"/>
    </row>
    <row r="3089" spans="1:5">
      <c r="A3089" s="12" t="s">
        <v>12462</v>
      </c>
      <c r="B3089" s="12" t="s">
        <v>15805</v>
      </c>
      <c r="C3089" s="13" t="str">
        <f>HYPERLINK("https://audio.iskcondesiretree.com/02_-_ISKCON_Swamis/ISKCON_Swamis_-_R_to_Y/His_Holiness_Radhanath_Swami/Lectures/00_-_Year_wise/More/Various_-_The_Stick_of_Sadhu%27s_Blessing_-_Radhanath_Swami.mp3", "Various_-_The_Stick_of_Sadhu%27s_Blessing_-_Radhanath_Swami.mp3")</f>
        <v>Various_-_The_Stick_of_Sadhu%27s_Blessing_-_Radhanath_Swami.mp3</v>
      </c>
      <c r="D3089" s="11"/>
      <c r="E3089" s="11"/>
    </row>
    <row r="3090" spans="1:5">
      <c r="A3090" s="12" t="s">
        <v>12463</v>
      </c>
      <c r="B3090" s="12" t="s">
        <v>15806</v>
      </c>
      <c r="C3090" s="13" t="str">
        <f>HYPERLINK("https://audio.iskcondesiretree.com/02_-_ISKCON_Swamis/ISKCON_Swamis_-_R_to_Y/His_Holiness_Radhanath_Swami/Lectures/01_-_Theme_wise/Anarthas/01_-_Envy/1991-052_The_Diesease_Of_Envy_SB_09-11-23_-_Radhanath_Swami_Mumbai_1991-05-24_IDesireTree.mp3", "1991-052_The_Diesease_Of_Envy_SB_09-11-23_-_Radhanath_Swami_Mumbai_1991-05-24_IDesireTree.mp3")</f>
        <v>1991-052_The_Diesease_Of_Envy_SB_09-11-23_-_Radhanath_Swami_Mumbai_1991-05-24_IDesireTree.mp3</v>
      </c>
      <c r="D3090" s="11"/>
      <c r="E3090" s="11"/>
    </row>
    <row r="3091" spans="1:5">
      <c r="A3091" s="12" t="s">
        <v>12463</v>
      </c>
      <c r="B3091" s="12" t="s">
        <v>15807</v>
      </c>
      <c r="C3091" s="13" t="str">
        <f>HYPERLINK("https://audio.iskcondesiretree.com/02_-_ISKCON_Swamis/ISKCON_Swamis_-_R_to_Y/His_Holiness_Radhanath_Swami/Lectures/01_-_Theme_wise/Anarthas/01_-_Envy/1991-133_Envious_Of_His_Mercy_SB_10-02-20_-_Radhanath_Swami_Mumbai_1991-11-29_IDesireTree.mp3", "1991-133_Envious_Of_His_Mercy_SB_10-02-20_-_Radhanath_Swami_Mumbai_1991-11-29_IDesireTree.mp3")</f>
        <v>1991-133_Envious_Of_His_Mercy_SB_10-02-20_-_Radhanath_Swami_Mumbai_1991-11-29_IDesireTree.mp3</v>
      </c>
      <c r="D3091" s="11"/>
      <c r="E3091" s="11"/>
    </row>
    <row r="3092" spans="1:5">
      <c r="A3092" s="12" t="s">
        <v>12463</v>
      </c>
      <c r="B3092" s="12" t="s">
        <v>15808</v>
      </c>
      <c r="C3092" s="13" t="str">
        <f>HYPERLINK("https://audio.iskcondesiretree.com/02_-_ISKCON_Swamis/ISKCON_Swamis_-_R_to_Y/His_Holiness_Radhanath_Swami/Lectures/01_-_Theme_wise/Anarthas/01_-_Envy/1991_Ravana-Personification_of_Lust_%26_Envy-02_-_Radhanath_Swami_Heideberg_1991-12-09_IDesireTree.mp3", "1991_Ravana-Personification_of_Lust_%26_Envy-02_-_Radhanath_Swami_Heideberg_1991-12-09_IDesireTree.mp3")</f>
        <v>1991_Ravana-Personification_of_Lust_%26_Envy-02_-_Radhanath_Swami_Heideberg_1991-12-09_IDesireTree.mp3</v>
      </c>
      <c r="D3092" s="11"/>
      <c r="E3092" s="11"/>
    </row>
    <row r="3093" spans="1:5">
      <c r="A3093" s="12" t="s">
        <v>12463</v>
      </c>
      <c r="B3093" s="12" t="s">
        <v>15809</v>
      </c>
      <c r="C3093" s="13" t="str">
        <f>HYPERLINK("https://audio.iskcondesiretree.com/02_-_ISKCON_Swamis/ISKCON_Swamis_-_R_to_Y/His_Holiness_Radhanath_Swami/Lectures/01_-_Theme_wise/Anarthas/01_-_Envy/1994-052_Curing_The_Disease_Of_Envy_SB_10-54-26_-_Radhanath_Swami_Mumbai_1994-03-23_IDesireTree.mp3", "1994-052_Curing_The_Disease_Of_Envy_SB_10-54-26_-_Radhanath_Swami_Mumbai_1994-03-23_IDesireTree.mp3")</f>
        <v>1994-052_Curing_The_Disease_Of_Envy_SB_10-54-26_-_Radhanath_Swami_Mumbai_1994-03-23_IDesireTree.mp3</v>
      </c>
      <c r="D3093" s="11"/>
      <c r="E3093" s="11"/>
    </row>
    <row r="3094" spans="1:5">
      <c r="A3094" s="12" t="s">
        <v>12463</v>
      </c>
      <c r="B3094" s="12" t="s">
        <v>15810</v>
      </c>
      <c r="C3094" s="13" t="str">
        <f>HYPERLINK("https://audio.iskcondesiretree.com/02_-_ISKCON_Swamis/ISKCON_Swamis_-_R_to_Y/His_Holiness_Radhanath_Swami/Lectures/01_-_Theme_wise/Anarthas/01_-_Envy/1996-076_Give_Up_Envy_And_Cooperate_SB_04-19-01-02_-_Radhanath_Swami_Pune_1996-04-10_IDesireTree.mp3", "1996-076_Give_Up_Envy_And_Cooperate_SB_04-19-01-02_-_Radhanath_Swami_Pune_1996-04-10_IDesireTree.mp3")</f>
        <v>1996-076_Give_Up_Envy_And_Cooperate_SB_04-19-01-02_-_Radhanath_Swami_Pune_1996-04-10_IDesireTree.mp3</v>
      </c>
      <c r="D3094" s="11"/>
      <c r="E3094" s="11"/>
    </row>
    <row r="3095" spans="1:5">
      <c r="A3095" s="12" t="s">
        <v>12463</v>
      </c>
      <c r="B3095" s="12" t="s">
        <v>15811</v>
      </c>
      <c r="C3095" s="13" t="str">
        <f>HYPERLINK("https://audio.iskcondesiretree.com/02_-_ISKCON_Swamis/ISKCON_Swamis_-_R_to_Y/His_Holiness_Radhanath_Swami/Lectures/01_-_Theme_wise/Anarthas/01_-_Envy/1997_Ravana-Personification_of_Lust_%26_Envy-01_-_Radhanath_Swami_Heideberg_1997-12-09_IDesireTree.mp3", "1997_Ravana-Personification_of_Lust_%26_Envy-01_-_Radhanath_Swami_Heideberg_1997-12-09_IDesireTree.mp3")</f>
        <v>1997_Ravana-Personification_of_Lust_%26_Envy-01_-_Radhanath_Swami_Heideberg_1997-12-09_IDesireTree.mp3</v>
      </c>
      <c r="D3095" s="11"/>
      <c r="E3095" s="11"/>
    </row>
    <row r="3096" spans="1:5">
      <c r="A3096" s="12" t="s">
        <v>12463</v>
      </c>
      <c r="B3096" s="12" t="s">
        <v>15812</v>
      </c>
      <c r="C3096" s="13" t="str">
        <f>HYPERLINK("https://audio.iskcondesiretree.com/02_-_ISKCON_Swamis/ISKCON_Swamis_-_R_to_Y/His_Holiness_Radhanath_Swami/Lectures/01_-_Theme_wise/Anarthas/01_-_Envy/1998-099_No_Competition_in_Vaikuntha_SB_03-15-20_-_Radhanath_Swami_Mumbai_1998-11-04_IDesireTree.mp3", "1998-099_No_Competition_in_Vaikuntha_SB_03-15-20_-_Radhanath_Swami_Mumbai_1998-11-04_IDesireTree.mp3")</f>
        <v>1998-099_No_Competition_in_Vaikuntha_SB_03-15-20_-_Radhanath_Swami_Mumbai_1998-11-04_IDesireTree.mp3</v>
      </c>
      <c r="D3096" s="11"/>
      <c r="E3096" s="11"/>
    </row>
    <row r="3097" spans="1:5">
      <c r="A3097" s="12" t="s">
        <v>12463</v>
      </c>
      <c r="B3097" s="12" t="s">
        <v>14597</v>
      </c>
      <c r="C3097" s="13" t="str">
        <f>HYPERLINK("https://audio.iskcondesiretree.com/02_-_ISKCON_Swamis/ISKCON_Swamis_-_R_to_Y/His_Holiness_Radhanath_Swami/Lectures/01_-_Theme_wise/Anarthas/01_-_Envy/2001-071_Overcoming_Sankachuda_Lecture_Mumbai_-_Radhanath_Swami_2001-12-30_IDesireTree.mp3", "2001-071_Overcoming_Sankachuda_Lecture_Mumbai_-_Radhanath_Swami_2001-12-30_IDesireTree.mp3")</f>
        <v>2001-071_Overcoming_Sankachuda_Lecture_Mumbai_-_Radhanath_Swami_2001-12-30_IDesireTree.mp3</v>
      </c>
      <c r="D3097" s="11"/>
      <c r="E3097" s="11"/>
    </row>
    <row r="3098" spans="1:5">
      <c r="A3098" s="12" t="s">
        <v>12463</v>
      </c>
      <c r="B3098" s="12" t="s">
        <v>15813</v>
      </c>
      <c r="C3098" s="13" t="str">
        <f>HYPERLINK("https://audio.iskcondesiretree.com/02_-_ISKCON_Swamis/ISKCON_Swamis_-_R_to_Y/His_Holiness_Radhanath_Swami/Lectures/01_-_Theme_wise/Anarthas/01_-_Envy/Cultivating_Compassion_by_Eliminating_Envy_-_Radhanath_Swami_IDesireTree.mp3", "Cultivating_Compassion_by_Eliminating_Envy_-_Radhanath_Swami_IDesireTree.mp3")</f>
        <v>Cultivating_Compassion_by_Eliminating_Envy_-_Radhanath_Swami_IDesireTree.mp3</v>
      </c>
      <c r="D3098" s="11"/>
      <c r="E3098" s="11"/>
    </row>
    <row r="3099" spans="1:5">
      <c r="A3099" s="12" t="s">
        <v>12463</v>
      </c>
      <c r="B3099" s="12" t="s">
        <v>15814</v>
      </c>
      <c r="C3099" s="13" t="str">
        <f>HYPERLINK("https://audio.iskcondesiretree.com/02_-_ISKCON_Swamis/ISKCON_Swamis_-_R_to_Y/His_Holiness_Radhanath_Swami/Lectures/01_-_Theme_wise/Anarthas/01_-_Envy/Do_Not_Eat_the_Forbidden_Apple_of_Envy-SB-05-14-12_-_Radhanath_Swami_24-09-05.MP3", "Do_Not_Eat_the_Forbidden_Apple_of_Envy-SB-05-14-12_-_Radhanath_Swami_24-09-05.MP3")</f>
        <v>Do_Not_Eat_the_Forbidden_Apple_of_Envy-SB-05-14-12_-_Radhanath_Swami_24-09-05.MP3</v>
      </c>
      <c r="D3099" s="11"/>
      <c r="E3099" s="11"/>
    </row>
    <row r="3100" spans="1:5">
      <c r="A3100" s="12" t="s">
        <v>12463</v>
      </c>
      <c r="B3100" s="12" t="s">
        <v>15815</v>
      </c>
      <c r="C3100" s="13" t="str">
        <f>HYPERLINK("https://audio.iskcondesiretree.com/02_-_ISKCON_Swamis/ISKCON_Swamis_-_R_to_Y/His_Holiness_Radhanath_Swami/Lectures/01_-_Theme_wise/Anarthas/01_-_Envy/Freeing_Ourselves_from_our_Kaliya_like_Envy_-_Radhanath_Swami_IDesireTree.mp3", "Freeing_Ourselves_from_our_Kaliya_like_Envy_-_Radhanath_Swami_IDesireTree.mp3")</f>
        <v>Freeing_Ourselves_from_our_Kaliya_like_Envy_-_Radhanath_Swami_IDesireTree.mp3</v>
      </c>
      <c r="D3100" s="11"/>
      <c r="E3100" s="11"/>
    </row>
    <row r="3101" spans="1:5">
      <c r="A3101" s="12" t="s">
        <v>12463</v>
      </c>
      <c r="B3101" s="12" t="s">
        <v>15816</v>
      </c>
      <c r="C3101" s="13" t="str">
        <f>HYPERLINK("https://audio.iskcondesiretree.com/02_-_ISKCON_Swamis/ISKCON_Swamis_-_R_to_Y/His_Holiness_Radhanath_Swami/Lectures/01_-_Theme_wise/Anarthas/01_-_Envy/To_Overcome_Envy_One_Must_Give_Up_Fault_Finding-Sunday_Feast_-_Radhanath_Swami_09-10-05.MP3", "To_Overcome_Envy_One_Must_Give_Up_Fault_Finding-Sunday_Feast_-_Radhanath_Swami_09-10-05.MP3")</f>
        <v>To_Overcome_Envy_One_Must_Give_Up_Fault_Finding-Sunday_Feast_-_Radhanath_Swami_09-10-05.MP3</v>
      </c>
      <c r="D3101" s="11"/>
      <c r="E3101" s="11"/>
    </row>
    <row r="3102" spans="1:5">
      <c r="A3102" s="12" t="s">
        <v>12463</v>
      </c>
      <c r="B3102" s="12" t="s">
        <v>15817</v>
      </c>
      <c r="C3102" s="13" t="str">
        <f>HYPERLINK("https://audio.iskcondesiretree.com/02_-_ISKCON_Swamis/ISKCON_Swamis_-_R_to_Y/His_Holiness_Radhanath_Swami/Lectures/01_-_Theme_wise/Anarthas/02_-_Anger/1997_Effects_of_Anger_SB-02-07-07_-_Radhanath_Swami_Mumbai_1997-01-05_IDesireTree.mp3", "1997_Effects_of_Anger_SB-02-07-07_-_Radhanath_Swami_Mumbai_1997-01-05_IDesireTree.mp3")</f>
        <v>1997_Effects_of_Anger_SB-02-07-07_-_Radhanath_Swami_Mumbai_1997-01-05_IDesireTree.mp3</v>
      </c>
      <c r="D3102" s="11"/>
      <c r="E3102" s="11"/>
    </row>
    <row r="3103" spans="1:5">
      <c r="A3103" s="12" t="s">
        <v>12463</v>
      </c>
      <c r="B3103" s="12" t="s">
        <v>15818</v>
      </c>
      <c r="C3103" s="13" t="str">
        <f>HYPERLINK("https://audio.iskcondesiretree.com/02_-_ISKCON_Swamis/ISKCON_Swamis_-_R_to_Y/His_Holiness_Radhanath_Swami/Lectures/01_-_Theme_wise/Anarthas/02_-_Anger/2001_Effect_and_Consequences_of_Anger_on_Daksa_-_Radhanath_Swami_2001-04-15_Mumbai_IDesireTree.mp3", "2001_Effect_and_Consequences_of_Anger_on_Daksa_-_Radhanath_Swami_2001-04-15_Mumbai_IDesireTree.mp3")</f>
        <v>2001_Effect_and_Consequences_of_Anger_on_Daksa_-_Radhanath_Swami_2001-04-15_Mumbai_IDesireTree.mp3</v>
      </c>
      <c r="D3103" s="11"/>
      <c r="E3103" s="11"/>
    </row>
    <row r="3104" spans="1:5">
      <c r="A3104" s="12" t="s">
        <v>12463</v>
      </c>
      <c r="B3104" s="12" t="s">
        <v>15819</v>
      </c>
      <c r="C3104" s="13" t="str">
        <f>HYPERLINK("https://audio.iskcondesiretree.com/02_-_ISKCON_Swamis/ISKCON_Swamis_-_R_to_Y/His_Holiness_Radhanath_Swami/Lectures/01_-_Theme_wise/Anarthas/03_-_Illusion/1991-099_Coming_Out_Of_Illusion_BG_15-07_-_Radhanath_Swami_Mumbai_1991-10-26_IDesireTree.mp3", "1991-099_Coming_Out_Of_Illusion_BG_15-07_-_Radhanath_Swami_Mumbai_1991-10-26_IDesireTree.mp3")</f>
        <v>1991-099_Coming_Out_Of_Illusion_BG_15-07_-_Radhanath_Swami_Mumbai_1991-10-26_IDesireTree.mp3</v>
      </c>
      <c r="D3104" s="11"/>
      <c r="E3104" s="11"/>
    </row>
    <row r="3105" spans="1:5">
      <c r="A3105" s="12" t="s">
        <v>12463</v>
      </c>
      <c r="B3105" s="12" t="s">
        <v>15820</v>
      </c>
      <c r="C3105" s="13" t="str">
        <f>HYPERLINK("https://audio.iskcondesiretree.com/02_-_ISKCON_Swamis/ISKCON_Swamis_-_R_to_Y/His_Holiness_Radhanath_Swami/Lectures/01_-_Theme_wise/Anarthas/03_-_Illusion/1993-145_Truth_And_Illusion_BG_03-27_-_Radhanath_Swami_Mumbai_1993-10-09_IDesireTree.mp3", "1993-145_Truth_And_Illusion_BG_03-27_-_Radhanath_Swami_Mumbai_1993-10-09_IDesireTree.mp3")</f>
        <v>1993-145_Truth_And_Illusion_BG_03-27_-_Radhanath_Swami_Mumbai_1993-10-09_IDesireTree.mp3</v>
      </c>
      <c r="D3105" s="11"/>
      <c r="E3105" s="11"/>
    </row>
    <row r="3106" spans="1:5">
      <c r="A3106" s="12" t="s">
        <v>12463</v>
      </c>
      <c r="B3106" s="12" t="s">
        <v>15821</v>
      </c>
      <c r="C3106" s="13" t="str">
        <f>HYPERLINK("https://audio.iskcondesiretree.com/02_-_ISKCON_Swamis/ISKCON_Swamis_-_R_to_Y/His_Holiness_Radhanath_Swami/Lectures/01_-_Theme_wise/Anarthas/03_-_Illusion/1996-010_Wake_Up_To_Reality_SB_01-15-51_-_Radhanath_Swami_Mumbai_1996-01-07.mp3", "1996-010_Wake_Up_To_Reality_SB_01-15-51_-_Radhanath_Swami_Mumbai_1996-01-07.mp3")</f>
        <v>1996-010_Wake_Up_To_Reality_SB_01-15-51_-_Radhanath_Swami_Mumbai_1996-01-07.mp3</v>
      </c>
      <c r="D3106" s="11"/>
      <c r="E3106" s="11"/>
    </row>
    <row r="3107" spans="1:5">
      <c r="A3107" s="12" t="s">
        <v>12463</v>
      </c>
      <c r="B3107" s="12" t="s">
        <v>15822</v>
      </c>
      <c r="C3107" s="13" t="str">
        <f>HYPERLINK("https://audio.iskcondesiretree.com/02_-_ISKCON_Swamis/ISKCON_Swamis_-_R_to_Y/His_Holiness_Radhanath_Swami/Lectures/01_-_Theme_wise/Anarthas/03_-_Illusion/1997-095_Conquer_Delusion_BG-07_-_Radhanath_Swami_Mumbai_1997-09-06_IDesireTree.mp3", "1997-095_Conquer_Delusion_BG-07_-_Radhanath_Swami_Mumbai_1997-09-06_IDesireTree.mp3")</f>
        <v>1997-095_Conquer_Delusion_BG-07_-_Radhanath_Swami_Mumbai_1997-09-06_IDesireTree.mp3</v>
      </c>
      <c r="D3107" s="11"/>
      <c r="E3107" s="11"/>
    </row>
    <row r="3108" spans="1:5">
      <c r="A3108" s="12" t="s">
        <v>12463</v>
      </c>
      <c r="B3108" s="12" t="s">
        <v>15823</v>
      </c>
      <c r="C3108" s="13" t="str">
        <f>HYPERLINK("https://audio.iskcondesiretree.com/02_-_ISKCON_Swamis/ISKCON_Swamis_-_R_to_Y/His_Holiness_Radhanath_Swami/Lectures/01_-_Theme_wise/Anarthas/03_-_Illusion/1997-115_Come_Out_Of_Dense_Illusion_BG_08-20_-_Radhanath_Swami_Mumbai_1997-10-04_IDesireTree.mp3", "1997-115_Come_Out_Of_Dense_Illusion_BG_08-20_-_Radhanath_Swami_Mumbai_1997-10-04_IDesireTree.mp3")</f>
        <v>1997-115_Come_Out_Of_Dense_Illusion_BG_08-20_-_Radhanath_Swami_Mumbai_1997-10-04_IDesireTree.mp3</v>
      </c>
      <c r="D3108" s="11"/>
      <c r="E3108" s="11"/>
    </row>
    <row r="3109" spans="1:5">
      <c r="A3109" s="12" t="s">
        <v>12463</v>
      </c>
      <c r="B3109" s="12" t="s">
        <v>15824</v>
      </c>
      <c r="C3109" s="13" t="str">
        <f>HYPERLINK("https://audio.iskcondesiretree.com/02_-_ISKCON_Swamis/ISKCON_Swamis_-_R_to_Y/His_Holiness_Radhanath_Swami/Lectures/01_-_Theme_wise/Anarthas/03_-_Illusion/Dissipating_the_Cloud_of_Material_Illusion_-_Radhanath_Swami_IDesireTree.mp3", "Dissipating_the_Cloud_of_Material_Illusion_-_Radhanath_Swami_IDesireTree.mp3")</f>
        <v>Dissipating_the_Cloud_of_Material_Illusion_-_Radhanath_Swami_IDesireTree.mp3</v>
      </c>
      <c r="D3109" s="11"/>
      <c r="E3109" s="11"/>
    </row>
    <row r="3110" spans="1:5">
      <c r="A3110" s="12" t="s">
        <v>12463</v>
      </c>
      <c r="B3110" s="12" t="s">
        <v>15825</v>
      </c>
      <c r="C3110" s="13" t="str">
        <f>HYPERLINK("https://audio.iskcondesiretree.com/02_-_ISKCON_Swamis/ISKCON_Swamis_-_R_to_Y/His_Holiness_Radhanath_Swami/Lectures/01_-_Theme_wise/Anarthas/03_-_Illusion/Everything_is_relative_-_Radhanath_Swami_IDesireTree.MP3", "Everything_is_relative_-_Radhanath_Swami_IDesireTree.MP3")</f>
        <v>Everything_is_relative_-_Radhanath_Swami_IDesireTree.MP3</v>
      </c>
      <c r="D3110" s="11"/>
      <c r="E3110" s="11"/>
    </row>
    <row r="3111" spans="1:5">
      <c r="A3111" s="12" t="s">
        <v>12463</v>
      </c>
      <c r="B3111" s="12" t="s">
        <v>15826</v>
      </c>
      <c r="C3111" s="13" t="str">
        <f>HYPERLINK("https://audio.iskcondesiretree.com/02_-_ISKCON_Swamis/ISKCON_Swamis_-_R_to_Y/His_Holiness_Radhanath_Swami/Lectures/01_-_Theme_wise/Anarthas/03_-_Illusion/How_the_Soul_Gets_Illusioned_-_Radhanath_Swami_IDesireTree.mp3", "How_the_Soul_Gets_Illusioned_-_Radhanath_Swami_IDesireTree.mp3")</f>
        <v>How_the_Soul_Gets_Illusioned_-_Radhanath_Swami_IDesireTree.mp3</v>
      </c>
      <c r="D3111" s="11"/>
      <c r="E3111" s="11"/>
    </row>
    <row r="3112" spans="1:5">
      <c r="A3112" s="12" t="s">
        <v>12463</v>
      </c>
      <c r="B3112" s="12" t="s">
        <v>15827</v>
      </c>
      <c r="C3112" s="13" t="str">
        <f>HYPERLINK("https://audio.iskcondesiretree.com/02_-_ISKCON_Swamis/ISKCON_Swamis_-_R_to_Y/His_Holiness_Radhanath_Swami/Lectures/01_-_Theme_wise/Anarthas/04_-_Lust/1989-010_Overcoming_Lust_Lecture_-_Radhanath_Swami_NV_1989-07-01_IDesireTree.mp3", "1989-010_Overcoming_Lust_Lecture_-_Radhanath_Swami_NV_1989-07-01_IDesireTree.mp3")</f>
        <v>1989-010_Overcoming_Lust_Lecture_-_Radhanath_Swami_NV_1989-07-01_IDesireTree.mp3</v>
      </c>
      <c r="D3112" s="11"/>
      <c r="E3112" s="11"/>
    </row>
    <row r="3113" spans="1:5">
      <c r="A3113" s="12" t="s">
        <v>12463</v>
      </c>
      <c r="B3113" s="12" t="s">
        <v>15828</v>
      </c>
      <c r="C3113" s="13" t="str">
        <f>HYPERLINK("https://audio.iskcondesiretree.com/02_-_ISKCON_Swamis/ISKCON_Swamis_-_R_to_Y/His_Holiness_Radhanath_Swami/Lectures/01_-_Theme_wise/Anarthas/04_-_Lust/1989-066_Overcoming_Lust_Lecture_-_Radhanath_Swami_Mumbai_1989-01-07_IDesireTree.mp3", "1989-066_Overcoming_Lust_Lecture_-_Radhanath_Swami_Mumbai_1989-01-07_IDesireTree.mp3")</f>
        <v>1989-066_Overcoming_Lust_Lecture_-_Radhanath_Swami_Mumbai_1989-01-07_IDesireTree.mp3</v>
      </c>
      <c r="D3113" s="11"/>
      <c r="E3113" s="11"/>
    </row>
    <row r="3114" spans="1:5">
      <c r="A3114" s="12" t="s">
        <v>12463</v>
      </c>
      <c r="B3114" s="12" t="s">
        <v>15829</v>
      </c>
      <c r="C3114" s="13" t="str">
        <f>HYPERLINK("https://audio.iskcondesiretree.com/02_-_ISKCON_Swamis/ISKCON_Swamis_-_R_to_Y/His_Holiness_Radhanath_Swami/Lectures/01_-_Theme_wise/Anarthas/04_-_Lust/1989-087_Conquering_The_Enemy_Of_Lust_SB_07-13-26_-_Radhanath_Swami_Mumbai_1989-12-29_IDesireTree.mp3", "1989-087_Conquering_The_Enemy_Of_Lust_SB_07-13-26_-_Radhanath_Swami_Mumbai_1989-12-29_IDesireTree.mp3")</f>
        <v>1989-087_Conquering_The_Enemy_Of_Lust_SB_07-13-26_-_Radhanath_Swami_Mumbai_1989-12-29_IDesireTree.mp3</v>
      </c>
      <c r="D3114" s="11"/>
      <c r="E3114" s="11"/>
    </row>
    <row r="3115" spans="1:5">
      <c r="A3115" s="12" t="s">
        <v>12463</v>
      </c>
      <c r="B3115" s="12" t="s">
        <v>15830</v>
      </c>
      <c r="C3115" s="13" t="str">
        <f>HYPERLINK("https://audio.iskcondesiretree.com/02_-_ISKCON_Swamis/ISKCON_Swamis_-_R_to_Y/His_Holiness_Radhanath_Swami/Lectures/01_-_Theme_wise/Anarthas/04_-_Lust/1990-013_The_Story_Of_Ajamila_Lecture_-_Radhanath_Swami_Mumbai_1990-01-28_IDesireTree.mp3", "1990-013_The_Story_Of_Ajamila_Lecture_-_Radhanath_Swami_Mumbai_1990-01-28_IDesireTree.mp3")</f>
        <v>1990-013_The_Story_Of_Ajamila_Lecture_-_Radhanath_Swami_Mumbai_1990-01-28_IDesireTree.mp3</v>
      </c>
      <c r="D3115" s="11"/>
      <c r="E3115" s="11"/>
    </row>
    <row r="3116" spans="1:5">
      <c r="A3116" s="12" t="s">
        <v>12463</v>
      </c>
      <c r="B3116" s="12" t="s">
        <v>15831</v>
      </c>
      <c r="C3116" s="13" t="str">
        <f>HYPERLINK("https://audio.iskcondesiretree.com/02_-_ISKCON_Swamis/ISKCON_Swamis_-_R_to_Y/His_Holiness_Radhanath_Swami/Lectures/01_-_Theme_wise/Anarthas/04_-_Lust/1990_The_Story_of_Ajamila_-_Radhanath_Swami_Mumbai_1990-01-28_IDesireTree.MP3", "1990_The_Story_of_Ajamila_-_Radhanath_Swami_Mumbai_1990-01-28_IDesireTree.MP3")</f>
        <v>1990_The_Story_of_Ajamila_-_Radhanath_Swami_Mumbai_1990-01-28_IDesireTree.MP3</v>
      </c>
      <c r="D3116" s="11"/>
      <c r="E3116" s="11"/>
    </row>
    <row r="3117" spans="1:5">
      <c r="A3117" s="12" t="s">
        <v>12463</v>
      </c>
      <c r="B3117" s="12" t="s">
        <v>15832</v>
      </c>
      <c r="C3117" s="13" t="str">
        <f>HYPERLINK("https://audio.iskcondesiretree.com/02_-_ISKCON_Swamis/ISKCON_Swamis_-_R_to_Y/His_Holiness_Radhanath_Swami/Lectures/01_-_Theme_wise/Anarthas/04_-_Lust/1991-035_Miseries_Of_Sex_Attraction_SB_09-10-09-11_-_Radhanath_Swami_Mumbai_1991-04-28_IDesireTree.mp3", "1991-035_Miseries_Of_Sex_Attraction_SB_09-10-09-11_-_Radhanath_Swami_Mumbai_1991-04-28_IDesireTree.mp3")</f>
        <v>1991-035_Miseries_Of_Sex_Attraction_SB_09-10-09-11_-_Radhanath_Swami_Mumbai_1991-04-28_IDesireTree.mp3</v>
      </c>
      <c r="D3117" s="11"/>
      <c r="E3117" s="11"/>
    </row>
    <row r="3118" spans="1:5">
      <c r="A3118" s="12" t="s">
        <v>12463</v>
      </c>
      <c r="B3118" s="12" t="s">
        <v>15833</v>
      </c>
      <c r="C3118" s="13" t="str">
        <f>HYPERLINK("https://audio.iskcondesiretree.com/02_-_ISKCON_Swamis/ISKCON_Swamis_-_R_to_Y/His_Holiness_Radhanath_Swami/Lectures/01_-_Theme_wise/Anarthas/04_-_Lust/1991-082_Story_Of_Ajamila_SB_06-03-22-23_-_Radhanath_Swami_Mumbai_1991-10-18_IDesireTree.mp3", "1991-082_Story_Of_Ajamila_SB_06-03-22-23_-_Radhanath_Swami_Mumbai_1991-10-18_IDesireTree.mp3")</f>
        <v>1991-082_Story_Of_Ajamila_SB_06-03-22-23_-_Radhanath_Swami_Mumbai_1991-10-18_IDesireTree.mp3</v>
      </c>
      <c r="D3118" s="11"/>
      <c r="E3118" s="11"/>
    </row>
    <row r="3119" spans="1:5">
      <c r="A3119" s="12" t="s">
        <v>12463</v>
      </c>
      <c r="B3119" s="12" t="s">
        <v>15834</v>
      </c>
      <c r="C3119" s="13" t="str">
        <f>HYPERLINK("https://audio.iskcondesiretree.com/02_-_ISKCON_Swamis/ISKCON_Swamis_-_R_to_Y/His_Holiness_Radhanath_Swami/Lectures/01_-_Theme_wise/Anarthas/04_-_Lust/1992-159_Teachings_From_Story_Of_Ajamila_SB_06-02-07_-_Radhanath_Swami_Mumbai_1992-12-28_IDesireTree.mp3", "1992-159_Teachings_From_Story_Of_Ajamila_SB_06-02-07_-_Radhanath_Swami_Mumbai_1992-12-28_IDesireTree.mp3")</f>
        <v>1992-159_Teachings_From_Story_Of_Ajamila_SB_06-02-07_-_Radhanath_Swami_Mumbai_1992-12-28_IDesireTree.mp3</v>
      </c>
      <c r="D3119" s="11"/>
      <c r="E3119" s="11"/>
    </row>
    <row r="3120" spans="1:5">
      <c r="A3120" s="12" t="s">
        <v>12463</v>
      </c>
      <c r="B3120" s="12" t="s">
        <v>15835</v>
      </c>
      <c r="C3120" s="13" t="str">
        <f>HYPERLINK("https://audio.iskcondesiretree.com/02_-_ISKCON_Swamis/ISKCON_Swamis_-_R_to_Y/His_Holiness_Radhanath_Swami/Lectures/01_-_Theme_wise/Anarthas/04_-_Lust/1995-011_Demoniac_Qualities-Lust_Pride_Prestige_BG_16-10_-_Radhanath_Swami_Mumbai_1995-01-08.mp3", "1995-011_Demoniac_Qualities-Lust_Pride_Prestige_BG_16-10_-_Radhanath_Swami_Mumbai_1995-01-08.mp3")</f>
        <v>1995-011_Demoniac_Qualities-Lust_Pride_Prestige_BG_16-10_-_Radhanath_Swami_Mumbai_1995-01-08.mp3</v>
      </c>
      <c r="D3120" s="11"/>
      <c r="E3120" s="11"/>
    </row>
    <row r="3121" spans="1:5">
      <c r="A3121" s="12" t="s">
        <v>12463</v>
      </c>
      <c r="B3121" s="12" t="s">
        <v>15836</v>
      </c>
      <c r="C3121" s="13" t="str">
        <f>HYPERLINK("https://audio.iskcondesiretree.com/02_-_ISKCON_Swamis/ISKCON_Swamis_-_R_to_Y/His_Holiness_Radhanath_Swami/Lectures/01_-_Theme_wise/Anarthas/04_-_Lust/1995-109_Lust_Greatest_Bondage_SB_07-06-17-18_-_Radhanath_Swami_Delhi_1995-09-29_IDesireTree.mp3", "1995-109_Lust_Greatest_Bondage_SB_07-06-17-18_-_Radhanath_Swami_Delhi_1995-09-29_IDesireTree.mp3")</f>
        <v>1995-109_Lust_Greatest_Bondage_SB_07-06-17-18_-_Radhanath_Swami_Delhi_1995-09-29_IDesireTree.mp3</v>
      </c>
      <c r="D3121" s="11"/>
      <c r="E3121" s="11"/>
    </row>
    <row r="3122" spans="1:5">
      <c r="A3122" s="12" t="s">
        <v>12463</v>
      </c>
      <c r="B3122" s="12" t="s">
        <v>15811</v>
      </c>
      <c r="C3122" s="13" t="str">
        <f>HYPERLINK("https://audio.iskcondesiretree.com/02_-_ISKCON_Swamis/ISKCON_Swamis_-_R_to_Y/His_Holiness_Radhanath_Swami/Lectures/01_-_Theme_wise/Anarthas/04_-_Lust/1997_Ravana-Personification_of_Lust_%26_Envy-01_-_Radhanath_Swami_Heideberg_1997-12-09_IDesireTree.mp3", "1997_Ravana-Personification_of_Lust_%26_Envy-01_-_Radhanath_Swami_Heideberg_1997-12-09_IDesireTree.mp3")</f>
        <v>1997_Ravana-Personification_of_Lust_%26_Envy-01_-_Radhanath_Swami_Heideberg_1997-12-09_IDesireTree.mp3</v>
      </c>
      <c r="D3122" s="11"/>
      <c r="E3122" s="11"/>
    </row>
    <row r="3123" spans="1:5">
      <c r="A3123" s="12" t="s">
        <v>12463</v>
      </c>
      <c r="B3123" s="12" t="s">
        <v>15837</v>
      </c>
      <c r="C3123" s="13" t="str">
        <f>HYPERLINK("https://audio.iskcondesiretree.com/02_-_ISKCON_Swamis/ISKCON_Swamis_-_R_to_Y/His_Holiness_Radhanath_Swami/Lectures/01_-_Theme_wise/Anarthas/04_-_Lust/1997_Ravana-Personification_of_Lust_%26_Envy-02_-_Radhanath_Swami_Heideberg_1997-12-09_IDesireTree.mp3", "1997_Ravana-Personification_of_Lust_%26_Envy-02_-_Radhanath_Swami_Heideberg_1997-12-09_IDesireTree.mp3")</f>
        <v>1997_Ravana-Personification_of_Lust_%26_Envy-02_-_Radhanath_Swami_Heideberg_1997-12-09_IDesireTree.mp3</v>
      </c>
      <c r="D3123" s="11"/>
      <c r="E3123" s="11"/>
    </row>
    <row r="3124" spans="1:5">
      <c r="A3124" s="12" t="s">
        <v>12463</v>
      </c>
      <c r="B3124" s="12" t="s">
        <v>15838</v>
      </c>
      <c r="C3124" s="13" t="str">
        <f>HYPERLINK("https://audio.iskcondesiretree.com/02_-_ISKCON_Swamis/ISKCON_Swamis_-_R_to_Y/His_Holiness_Radhanath_Swami/Lectures/01_-_Theme_wise/Anarthas/05_-_Greed/1994-130_Greed_For_Wealth_Ruins_Us_SB_10-10-38_-_Radhanath_Swami_Mumbai_1994-09-04_IDesireTree.mp3", "1994-130_Greed_For_Wealth_Ruins_Us_SB_10-10-38_-_Radhanath_Swami_Mumbai_1994-09-04_IDesireTree.mp3")</f>
        <v>1994-130_Greed_For_Wealth_Ruins_Us_SB_10-10-38_-_Radhanath_Swami_Mumbai_1994-09-04_IDesireTree.mp3</v>
      </c>
      <c r="D3124" s="11"/>
      <c r="E3124" s="11"/>
    </row>
    <row r="3125" spans="1:5">
      <c r="A3125" s="12" t="s">
        <v>12463</v>
      </c>
      <c r="B3125" s="12" t="s">
        <v>15839</v>
      </c>
      <c r="C3125" s="13" t="str">
        <f>HYPERLINK("https://audio.iskcondesiretree.com/02_-_ISKCON_Swamis/ISKCON_Swamis_-_R_to_Y/His_Holiness_Radhanath_Swami/Lectures/01_-_Theme_wise/Anarthas/05_-_Greed/1998-008_More_You_Have_More_You_Suffer_SB_03-09-06_-_Radhanath_Swami_Mumbai_1998-01-21_IDesireTree.mp3", "1998-008_More_You_Have_More_You_Suffer_SB_03-09-06_-_Radhanath_Swami_Mumbai_1998-01-21_IDesireTree.mp3")</f>
        <v>1998-008_More_You_Have_More_You_Suffer_SB_03-09-06_-_Radhanath_Swami_Mumbai_1998-01-21_IDesireTree.mp3</v>
      </c>
      <c r="D3125" s="11"/>
      <c r="E3125" s="11"/>
    </row>
    <row r="3126" spans="1:5">
      <c r="A3126" s="12" t="s">
        <v>12463</v>
      </c>
      <c r="B3126" s="12" t="s">
        <v>15840</v>
      </c>
      <c r="C3126" s="13" t="str">
        <f>HYPERLINK("https://audio.iskcondesiretree.com/02_-_ISKCON_Swamis/ISKCON_Swamis_-_R_to_Y/His_Holiness_Radhanath_Swami/Lectures/01_-_Theme_wise/Anarthas/05_-_Greed/Greed-No_Satisfaction_No_Relationships_SB-05-14-26_-_Radhanth_Swami_Mumbai_09-10-05.mp3", "Greed-No_Satisfaction_No_Relationships_SB-05-14-26_-_Radhanth_Swami_Mumbai_09-10-05.mp3")</f>
        <v>Greed-No_Satisfaction_No_Relationships_SB-05-14-26_-_Radhanth_Swami_Mumbai_09-10-05.mp3</v>
      </c>
      <c r="D3126" s="11"/>
      <c r="E3126" s="11"/>
    </row>
    <row r="3127" spans="1:5">
      <c r="A3127" s="12" t="s">
        <v>12463</v>
      </c>
      <c r="B3127" s="12" t="s">
        <v>15841</v>
      </c>
      <c r="C3127" s="13" t="str">
        <f>HYPERLINK("https://audio.iskcondesiretree.com/02_-_ISKCON_Swamis/ISKCON_Swamis_-_R_to_Y/His_Holiness_Radhanath_Swami/Lectures/01_-_Theme_wise/Anarthas/06_-_Pride/1989-062_Pride_Lecture_-_Radhanath_Swami_Mumbai_1989-10-05_IDesireTree.mp3", "1989-062_Pride_Lecture_-_Radhanath_Swami_Mumbai_1989-10-05_IDesireTree.mp3")</f>
        <v>1989-062_Pride_Lecture_-_Radhanath_Swami_Mumbai_1989-10-05_IDesireTree.mp3</v>
      </c>
      <c r="D3127" s="11"/>
      <c r="E3127" s="11"/>
    </row>
    <row r="3128" spans="1:5">
      <c r="A3128" s="12" t="s">
        <v>12463</v>
      </c>
      <c r="B3128" s="12" t="s">
        <v>15842</v>
      </c>
      <c r="C3128" s="13" t="str">
        <f>HYPERLINK("https://audio.iskcondesiretree.com/02_-_ISKCON_Swamis/ISKCON_Swamis_-_R_to_Y/His_Holiness_Radhanath_Swami/Lectures/01_-_Theme_wise/Anarthas/06_-_Pride/1991-004_Pride_Is_Sin_BG_11-55_-_Radhanath_Swami_Mumbai_1991-01-25_IDesireTree.mp3", "1991-004_Pride_Is_Sin_BG_11-55_-_Radhanath_Swami_Mumbai_1991-01-25_IDesireTree.mp3")</f>
        <v>1991-004_Pride_Is_Sin_BG_11-55_-_Radhanath_Swami_Mumbai_1991-01-25_IDesireTree.mp3</v>
      </c>
      <c r="D3128" s="11"/>
      <c r="E3128" s="11"/>
    </row>
    <row r="3129" spans="1:5">
      <c r="A3129" s="12" t="s">
        <v>12463</v>
      </c>
      <c r="B3129" s="12" t="s">
        <v>15843</v>
      </c>
      <c r="C3129" s="13" t="str">
        <f>HYPERLINK("https://audio.iskcondesiretree.com/02_-_ISKCON_Swamis/ISKCON_Swamis_-_R_to_Y/His_Holiness_Radhanath_Swami/Lectures/01_-_Theme_wise/Anarthas/06_-_Pride/1991-060_Dangerous_Road-_Pride_SB_09-14-04-06_-_Radhanath_Swami_Mumbai_1991-06-06_IDesireTree.mp3", "1991-060_Dangerous_Road-_Pride_SB_09-14-04-06_-_Radhanath_Swami_Mumbai_1991-06-06_IDesireTree.mp3")</f>
        <v>1991-060_Dangerous_Road-_Pride_SB_09-14-04-06_-_Radhanath_Swami_Mumbai_1991-06-06_IDesireTree.mp3</v>
      </c>
      <c r="D3129" s="11"/>
      <c r="E3129" s="11"/>
    </row>
    <row r="3130" spans="1:5">
      <c r="A3130" s="12" t="s">
        <v>12463</v>
      </c>
      <c r="B3130" s="12" t="s">
        <v>15844</v>
      </c>
      <c r="C3130" s="13" t="str">
        <f>HYPERLINK("https://audio.iskcondesiretree.com/02_-_ISKCON_Swamis/ISKCON_Swamis_-_R_to_Y/His_Holiness_Radhanath_Swami/Lectures/01_-_Theme_wise/Anarthas/06_-_Pride/1993-004_Meaning_Of_False_Pride_SB_10-20-19_-_Radhanath_Swami_Mumbai_1993-01-06_IDesireTree.mp3", "1993-004_Meaning_Of_False_Pride_SB_10-20-19_-_Radhanath_Swami_Mumbai_1993-01-06_IDesireTree.mp3")</f>
        <v>1993-004_Meaning_Of_False_Pride_SB_10-20-19_-_Radhanath_Swami_Mumbai_1993-01-06_IDesireTree.mp3</v>
      </c>
      <c r="D3130" s="11"/>
      <c r="E3130" s="11"/>
    </row>
    <row r="3131" spans="1:5">
      <c r="A3131" s="12" t="s">
        <v>12463</v>
      </c>
      <c r="B3131" s="12" t="s">
        <v>15845</v>
      </c>
      <c r="C3131" s="13" t="str">
        <f>HYPERLINK("https://audio.iskcondesiretree.com/02_-_ISKCON_Swamis/ISKCON_Swamis_-_R_to_Y/His_Holiness_Radhanath_Swami/Lectures/01_-_Theme_wise/Anarthas/06_-_Pride/1994-063_Humility_%26_Pride_SB_01-11-01_-_Radhanath_Swami_Mumbai_1994-04-07_IDesireTree.mp3", "1994-063_Humility_%26_Pride_SB_01-11-01_-_Radhanath_Swami_Mumbai_1994-04-07_IDesireTree.mp3")</f>
        <v>1994-063_Humility_%26_Pride_SB_01-11-01_-_Radhanath_Swami_Mumbai_1994-04-07_IDesireTree.mp3</v>
      </c>
      <c r="D3131" s="11"/>
      <c r="E3131" s="11"/>
    </row>
    <row r="3132" spans="1:5">
      <c r="A3132" s="12" t="s">
        <v>12463</v>
      </c>
      <c r="B3132" s="12" t="s">
        <v>15846</v>
      </c>
      <c r="C3132" s="13" t="str">
        <f>HYPERLINK("https://audio.iskcondesiretree.com/02_-_ISKCON_Swamis/ISKCON_Swamis_-_R_to_Y/His_Holiness_Radhanath_Swami/Lectures/01_-_Theme_wise/Anarthas/06_-_Pride/1994-162_Don%27t_Be_Arrogant_Ht_-_BG_03-11_-_Radhanath_Swami_Mumbai_1994-09-24_IDesireTree.mp3", "1994-162_Don%27t_Be_Arrogant_Ht_-_BG_03-11_-_Radhanath_Swami_Mumbai_1994-09-24_IDesireTree.mp3")</f>
        <v>1994-162_Don%27t_Be_Arrogant_Ht_-_BG_03-11_-_Radhanath_Swami_Mumbai_1994-09-24_IDesireTree.mp3</v>
      </c>
      <c r="D3132" s="11"/>
      <c r="E3132" s="11"/>
    </row>
    <row r="3133" spans="1:5">
      <c r="A3133" s="12" t="s">
        <v>12463</v>
      </c>
      <c r="B3133" s="12" t="s">
        <v>15847</v>
      </c>
      <c r="C3133" s="13" t="str">
        <f>HYPERLINK("https://audio.iskcondesiretree.com/02_-_ISKCON_Swamis/ISKCON_Swamis_-_R_to_Y/His_Holiness_Radhanath_Swami/Lectures/01_-_Theme_wise/Anarthas/06_-_Pride/1994-183_Pride_And_Criticism_SB_04-20-26_-_Radhanath_Swami_Mumbai_1994-10-08_IDesireTree.mp3", "1994-183_Pride_And_Criticism_SB_04-20-26_-_Radhanath_Swami_Mumbai_1994-10-08_IDesireTree.mp3")</f>
        <v>1994-183_Pride_And_Criticism_SB_04-20-26_-_Radhanath_Swami_Mumbai_1994-10-08_IDesireTree.mp3</v>
      </c>
      <c r="D3133" s="11"/>
      <c r="E3133" s="11"/>
    </row>
    <row r="3134" spans="1:5">
      <c r="A3134" s="12" t="s">
        <v>12463</v>
      </c>
      <c r="B3134" s="12" t="s">
        <v>15835</v>
      </c>
      <c r="C3134" s="13" t="str">
        <f>HYPERLINK("https://audio.iskcondesiretree.com/02_-_ISKCON_Swamis/ISKCON_Swamis_-_R_to_Y/His_Holiness_Radhanath_Swami/Lectures/01_-_Theme_wise/Anarthas/06_-_Pride/1995-011_Demoniac_Qualities-Lust_Pride_Prestige_BG_16-10_-_Radhanath_Swami_Mumbai_1995-01-08.mp3", "1995-011_Demoniac_Qualities-Lust_Pride_Prestige_BG_16-10_-_Radhanath_Swami_Mumbai_1995-01-08.mp3")</f>
        <v>1995-011_Demoniac_Qualities-Lust_Pride_Prestige_BG_16-10_-_Radhanath_Swami_Mumbai_1995-01-08.mp3</v>
      </c>
      <c r="D3134" s="11"/>
      <c r="E3134" s="11"/>
    </row>
    <row r="3135" spans="1:5">
      <c r="A3135" s="12" t="s">
        <v>12463</v>
      </c>
      <c r="B3135" s="12" t="s">
        <v>15848</v>
      </c>
      <c r="C3135" s="13" t="str">
        <f>HYPERLINK("https://audio.iskcondesiretree.com/02_-_ISKCON_Swamis/ISKCON_Swamis_-_R_to_Y/His_Holiness_Radhanath_Swami/Lectures/01_-_Theme_wise/Anarthas/06_-_Pride/1999-033_Pride_Cometh_Before_the_Fall_BG_18-26_-_Radhanath_Swami_Mumbai_1999-06-22_IDesireTree.mp3", "1999-033_Pride_Cometh_Before_the_Fall_BG_18-26_-_Radhanath_Swami_Mumbai_1999-06-22_IDesireTree.mp3")</f>
        <v>1999-033_Pride_Cometh_Before_the_Fall_BG_18-26_-_Radhanath_Swami_Mumbai_1999-06-22_IDesireTree.mp3</v>
      </c>
      <c r="D3135" s="11"/>
      <c r="E3135" s="11"/>
    </row>
    <row r="3136" spans="1:5">
      <c r="A3136" s="12" t="s">
        <v>12463</v>
      </c>
      <c r="B3136" s="12" t="s">
        <v>15849</v>
      </c>
      <c r="C3136" s="13" t="str">
        <f>HYPERLINK("https://audio.iskcondesiretree.com/02_-_ISKCON_Swamis/ISKCON_Swamis_-_R_to_Y/His_Holiness_Radhanath_Swami/Lectures/01_-_Theme_wise/Anarthas/06_-_Pride/2005_Maya_Traps_The_Puffed_Up_SB_05-13-23_-_Radhanath_Swami_Mumbai_-_2005-09-07.MP3", "2005_Maya_Traps_The_Puffed_Up_SB_05-13-23_-_Radhanath_Swami_Mumbai_-_2005-09-07.MP3")</f>
        <v>2005_Maya_Traps_The_Puffed_Up_SB_05-13-23_-_Radhanath_Swami_Mumbai_-_2005-09-07.MP3</v>
      </c>
      <c r="D3136" s="11"/>
      <c r="E3136" s="11"/>
    </row>
    <row r="3137" spans="1:5">
      <c r="A3137" s="12" t="s">
        <v>12463</v>
      </c>
      <c r="B3137" s="12" t="s">
        <v>15850</v>
      </c>
      <c r="C3137" s="13" t="str">
        <f>HYPERLINK("https://audio.iskcondesiretree.com/02_-_ISKCON_Swamis/ISKCON_Swamis_-_R_to_Y/His_Holiness_Radhanath_Swami/Lectures/01_-_Theme_wise/Anarthas/06_-_Pride/Do_not_become_a_prisoner_of_success_SB_06-11-24-26_-_Radhanath_Swami_IDesireTree.mp3", "Do_not_become_a_prisoner_of_success_SB_06-11-24-26_-_Radhanath_Swami_IDesireTree.mp3")</f>
        <v>Do_not_become_a_prisoner_of_success_SB_06-11-24-26_-_Radhanath_Swami_IDesireTree.mp3</v>
      </c>
      <c r="D3137" s="11"/>
      <c r="E3137" s="11"/>
    </row>
    <row r="3138" spans="1:5">
      <c r="A3138" s="12" t="s">
        <v>12463</v>
      </c>
      <c r="B3138" s="12" t="s">
        <v>15851</v>
      </c>
      <c r="C3138" s="13" t="str">
        <f>HYPERLINK("https://audio.iskcondesiretree.com/02_-_ISKCON_Swamis/ISKCON_Swamis_-_R_to_Y/His_Holiness_Radhanath_Swami/Lectures/01_-_Theme_wise/Anarthas/06_-_Pride/Keshi%27s_Pride_and_Yamuna%27s_Mercy_-_Radhanath_Swami_IDesireTree.mp3", "Keshi%27s_Pride_and_Yamuna%27s_Mercy_-_Radhanath_Swami_IDesireTree.mp3")</f>
        <v>Keshi%27s_Pride_and_Yamuna%27s_Mercy_-_Radhanath_Swami_IDesireTree.mp3</v>
      </c>
      <c r="D3138" s="11"/>
      <c r="E3138" s="11"/>
    </row>
    <row r="3139" spans="1:5">
      <c r="A3139" s="12" t="s">
        <v>12463</v>
      </c>
      <c r="B3139" s="12" t="s">
        <v>15852</v>
      </c>
      <c r="C3139" s="13" t="str">
        <f>HYPERLINK("https://audio.iskcondesiretree.com/02_-_ISKCON_Swamis/ISKCON_Swamis_-_R_to_Y/His_Holiness_Radhanath_Swami/Lectures/01_-_Theme_wise/Anarthas/07_-_How_to_overcome_anarthas/Destroying_The_Ravana_Within_%2837th_Prerana_-_Mumbai%29_15-10-05.MP3", "Destroying_The_Ravana_Within_%2837th_Prerana_-_Mumbai%29_15-10-05.MP3")</f>
        <v>Destroying_The_Ravana_Within_%2837th_Prerana_-_Mumbai%29_15-10-05.MP3</v>
      </c>
      <c r="D3139" s="11"/>
      <c r="E3139" s="11"/>
    </row>
    <row r="3140" spans="1:5">
      <c r="A3140" s="12" t="s">
        <v>12463</v>
      </c>
      <c r="B3140" s="12" t="s">
        <v>15853</v>
      </c>
      <c r="C3140" s="13" t="str">
        <f>HYPERLINK("https://audio.iskcondesiretree.com/02_-_ISKCON_Swamis/ISKCON_Swamis_-_R_to_Y/His_Holiness_Radhanath_Swami/Lectures/01_-_Theme_wise/Anarthas/07_-_How_to_overcome_anarthas/Lord_Balaram-The_Destroyer_of_Anarthas-Lord_Balaram_-_Radhanath_Swami.mp3", "Lord_Balaram-The_Destroyer_of_Anarthas-Lord_Balaram_-_Radhanath_Swami.mp3")</f>
        <v>Lord_Balaram-The_Destroyer_of_Anarthas-Lord_Balaram_-_Radhanath_Swami.mp3</v>
      </c>
      <c r="D3140" s="11"/>
      <c r="E3140" s="11"/>
    </row>
    <row r="3141" spans="1:5">
      <c r="A3141" s="12" t="s">
        <v>12463</v>
      </c>
      <c r="B3141" s="12" t="s">
        <v>15854</v>
      </c>
      <c r="C3141" s="13" t="str">
        <f>HYPERLINK("https://audio.iskcondesiretree.com/02_-_ISKCON_Swamis/ISKCON_Swamis_-_R_to_Y/His_Holiness_Radhanath_Swami/Lectures/01_-_Theme_wise/Attachment_and_Detachment/1992-016_Shun_Attachment_Now_SB_10-04-16-18_-_Radhanath_Swami_Mumbai_1992-01-29_IDesireTree.mp3", "1992-016_Shun_Attachment_Now_SB_10-04-16-18_-_Radhanath_Swami_Mumbai_1992-01-29_IDesireTree.mp3")</f>
        <v>1992-016_Shun_Attachment_Now_SB_10-04-16-18_-_Radhanath_Swami_Mumbai_1992-01-29_IDesireTree.mp3</v>
      </c>
      <c r="D3141" s="11"/>
      <c r="E3141" s="11"/>
    </row>
    <row r="3142" spans="1:5">
      <c r="A3142" s="12" t="s">
        <v>12463</v>
      </c>
      <c r="B3142" s="12" t="s">
        <v>15855</v>
      </c>
      <c r="C3142" s="13" t="str">
        <f>HYPERLINK("https://audio.iskcondesiretree.com/02_-_ISKCON_Swamis/ISKCON_Swamis_-_R_to_Y/His_Holiness_Radhanath_Swami/Lectures/01_-_Theme_wise/Attachment_and_Detachment/1992-061_Secret_Of_Detachment_Lecture_-_Radhanath_Swami_Mumbai_1992-04-04_IDesireTree.mp3", "1992-061_Secret_Of_Detachment_Lecture_-_Radhanath_Swami_Mumbai_1992-04-04_IDesireTree.mp3")</f>
        <v>1992-061_Secret_Of_Detachment_Lecture_-_Radhanath_Swami_Mumbai_1992-04-04_IDesireTree.mp3</v>
      </c>
      <c r="D3142" s="11"/>
      <c r="E3142" s="11"/>
    </row>
    <row r="3143" spans="1:5">
      <c r="A3143" s="12" t="s">
        <v>12463</v>
      </c>
      <c r="B3143" s="12" t="s">
        <v>15856</v>
      </c>
      <c r="C3143" s="13" t="str">
        <f>HYPERLINK("https://audio.iskcondesiretree.com/02_-_ISKCON_Swamis/ISKCON_Swamis_-_R_to_Y/His_Holiness_Radhanath_Swami/Lectures/01_-_Theme_wise/Attachment_and_Detachment/1992-074_Spiritual_Attachments_SB_10-13-33-34_-_Radhanath_Swami_Mumbai_1992-08-16_IDesireTree.mp3", "1992-074_Spiritual_Attachments_SB_10-13-33-34_-_Radhanath_Swami_Mumbai_1992-08-16_IDesireTree.mp3")</f>
        <v>1992-074_Spiritual_Attachments_SB_10-13-33-34_-_Radhanath_Swami_Mumbai_1992-08-16_IDesireTree.mp3</v>
      </c>
      <c r="D3143" s="11"/>
      <c r="E3143" s="11"/>
    </row>
    <row r="3144" spans="1:5">
      <c r="A3144" s="12" t="s">
        <v>12463</v>
      </c>
      <c r="B3144" s="12" t="s">
        <v>15857</v>
      </c>
      <c r="C3144" s="13" t="str">
        <f>HYPERLINK("https://audio.iskcondesiretree.com/02_-_ISKCON_Swamis/ISKCON_Swamis_-_R_to_Y/His_Holiness_Radhanath_Swami/Lectures/01_-_Theme_wise/Attachment_and_Detachment/1993-057_To_Be_Detached_SB_03-29-70-11_-_Radhanath_Swami_Mumbai_1993-04-17_IDesireTree.mp3", "1993-057_To_Be_Detached_SB_03-29-70-11_-_Radhanath_Swami_Mumbai_1993-04-17_IDesireTree.mp3")</f>
        <v>1993-057_To_Be_Detached_SB_03-29-70-11_-_Radhanath_Swami_Mumbai_1993-04-17_IDesireTree.mp3</v>
      </c>
      <c r="D3144" s="11"/>
      <c r="E3144" s="11"/>
    </row>
    <row r="3145" spans="1:5">
      <c r="A3145" s="12" t="s">
        <v>12463</v>
      </c>
      <c r="B3145" s="12" t="s">
        <v>15858</v>
      </c>
      <c r="C3145" s="13" t="str">
        <f>HYPERLINK("https://audio.iskcondesiretree.com/02_-_ISKCON_Swamis/ISKCON_Swamis_-_R_to_Y/His_Holiness_Radhanath_Swami/Lectures/01_-_Theme_wise/Attachment_and_Detachment/1994-079_Detachment_SB-01-15-42_-_Radhanath_Swami_Mumbai_1994-05-10_IDesireTree.mp3", "1994-079_Detachment_SB-01-15-42_-_Radhanath_Swami_Mumbai_1994-05-10_IDesireTree.mp3")</f>
        <v>1994-079_Detachment_SB-01-15-42_-_Radhanath_Swami_Mumbai_1994-05-10_IDesireTree.mp3</v>
      </c>
      <c r="D3145" s="11"/>
      <c r="E3145" s="11"/>
    </row>
    <row r="3146" spans="1:5">
      <c r="A3146" s="12" t="s">
        <v>12463</v>
      </c>
      <c r="B3146" s="12" t="s">
        <v>15859</v>
      </c>
      <c r="C3146" s="13" t="str">
        <f>HYPERLINK("https://audio.iskcondesiretree.com/02_-_ISKCON_Swamis/ISKCON_Swamis_-_R_to_Y/His_Holiness_Radhanath_Swami/Lectures/01_-_Theme_wise/Attachment_and_Detachment/1996-055_Where_To_Attach_Oneself_Ht_-_BG_07-01_-_Radhanath_Swami_Mumbai_1996-03-16_IDesireTree.mp3", "1996-055_Where_To_Attach_Oneself_Ht_-_BG_07-01_-_Radhanath_Swami_Mumbai_1996-03-16_IDesireTree.mp3")</f>
        <v>1996-055_Where_To_Attach_Oneself_Ht_-_BG_07-01_-_Radhanath_Swami_Mumbai_1996-03-16_IDesireTree.mp3</v>
      </c>
      <c r="D3146" s="11"/>
      <c r="E3146" s="11"/>
    </row>
    <row r="3147" spans="1:5">
      <c r="A3147" s="12" t="s">
        <v>12463</v>
      </c>
      <c r="B3147" s="12" t="s">
        <v>15860</v>
      </c>
      <c r="C3147" s="13" t="str">
        <f>HYPERLINK("https://audio.iskcondesiretree.com/02_-_ISKCON_Swamis/ISKCON_Swamis_-_R_to_Y/His_Holiness_Radhanath_Swami/Lectures/01_-_Theme_wise/Attachment_and_Detachment/1998-070_Indra%27s_Attachment_SB_03-25-16_-_Radhanath_Swami_NV_1998-05-25_IDesireTree.mp3", "1998-070_Indra%27s_Attachment_SB_03-25-16_-_Radhanath_Swami_NV_1998-05-25_IDesireTree.mp3")</f>
        <v>1998-070_Indra%27s_Attachment_SB_03-25-16_-_Radhanath_Swami_NV_1998-05-25_IDesireTree.mp3</v>
      </c>
      <c r="D3147" s="11"/>
      <c r="E3147" s="11"/>
    </row>
    <row r="3148" spans="1:5">
      <c r="A3148" s="12" t="s">
        <v>12463</v>
      </c>
      <c r="B3148" s="12" t="s">
        <v>15861</v>
      </c>
      <c r="C3148" s="13" t="str">
        <f>HYPERLINK("https://audio.iskcondesiretree.com/02_-_ISKCON_Swamis/ISKCON_Swamis_-_R_to_Y/His_Holiness_Radhanath_Swami/Lectures/01_-_Theme_wise/Attracting_to_Krsna_Consciousness/1989-011_An_Empty_Husk_Lecture_-_Radhanath_Swami_Mumbai_1989-07-08_IDesireTree.mp3", "1989-011_An_Empty_Husk_Lecture_-_Radhanath_Swami_Mumbai_1989-07-08_IDesireTree.mp3")</f>
        <v>1989-011_An_Empty_Husk_Lecture_-_Radhanath_Swami_Mumbai_1989-07-08_IDesireTree.mp3</v>
      </c>
      <c r="D3148" s="11"/>
      <c r="E3148" s="11"/>
    </row>
    <row r="3149" spans="1:5">
      <c r="A3149" s="12" t="s">
        <v>12463</v>
      </c>
      <c r="B3149" s="12" t="s">
        <v>15862</v>
      </c>
      <c r="C3149" s="13" t="str">
        <f>HYPERLINK("https://audio.iskcondesiretree.com/02_-_ISKCON_Swamis/ISKCON_Swamis_-_R_to_Y/His_Holiness_Radhanath_Swami/Lectures/01_-_Theme_wise/Back_To_Godhead/2007_What_it_Takes_to_Go_Back_To_Godhead_SB_06-11-19_-_Radhanath_Swami_2007-03-25_IDesireTree.MP3", "2007_What_it_Takes_to_Go_Back_To_Godhead_SB_06-11-19_-_Radhanath_Swami_2007-03-25_IDesireTree.MP3")</f>
        <v>2007_What_it_Takes_to_Go_Back_To_Godhead_SB_06-11-19_-_Radhanath_Swami_2007-03-25_IDesireTree.MP3</v>
      </c>
      <c r="D3149" s="11"/>
      <c r="E3149" s="11"/>
    </row>
    <row r="3150" spans="1:5">
      <c r="A3150" s="12" t="s">
        <v>12463</v>
      </c>
      <c r="B3150" s="12" t="s">
        <v>15863</v>
      </c>
      <c r="C3150" s="13" t="str">
        <f>HYPERLINK("https://audio.iskcondesiretree.com/02_-_ISKCON_Swamis/ISKCON_Swamis_-_R_to_Y/His_Holiness_Radhanath_Swami/Lectures/01_-_Theme_wise/Bhagavad_Gita/1989-003_The_Goal_Of_Life_BG_2-47_-_Radhanath_Swami_Mumbai_1989-02-17_IDesireTree.mp3", "1989-003_The_Goal_Of_Life_BG_2-47_-_Radhanath_Swami_Mumbai_1989-02-17_IDesireTree.mp3")</f>
        <v>1989-003_The_Goal_Of_Life_BG_2-47_-_Radhanath_Swami_Mumbai_1989-02-17_IDesireTree.mp3</v>
      </c>
      <c r="D3150" s="11"/>
      <c r="E3150" s="11"/>
    </row>
    <row r="3151" spans="1:5">
      <c r="A3151" s="12" t="s">
        <v>12463</v>
      </c>
      <c r="B3151" s="12" t="s">
        <v>15864</v>
      </c>
      <c r="C3151" s="13" t="str">
        <f>HYPERLINK("https://audio.iskcondesiretree.com/02_-_ISKCON_Swamis/ISKCON_Swamis_-_R_to_Y/His_Holiness_Radhanath_Swami/Lectures/01_-_Theme_wise/Bhagavad_Gita/1989-017_Take_The_Medicine_BG_05-20_-_Radhanath_Swami_Mumbai_1989-07-20_IDesireTree.mp3", "1989-017_Take_The_Medicine_BG_05-20_-_Radhanath_Swami_Mumbai_1989-07-20_IDesireTree.mp3")</f>
        <v>1989-017_Take_The_Medicine_BG_05-20_-_Radhanath_Swami_Mumbai_1989-07-20_IDesireTree.mp3</v>
      </c>
      <c r="D3151" s="11"/>
      <c r="E3151" s="11"/>
    </row>
    <row r="3152" spans="1:5">
      <c r="A3152" s="12" t="s">
        <v>12463</v>
      </c>
      <c r="B3152" s="12" t="s">
        <v>15865</v>
      </c>
      <c r="C3152" s="13" t="str">
        <f>HYPERLINK("https://audio.iskcondesiretree.com/02_-_ISKCON_Swamis/ISKCON_Swamis_-_R_to_Y/His_Holiness_Radhanath_Swami/Lectures/01_-_Theme_wise/Bhagavad_Gita/1989-069_Bhagavad_Gita_Rejects_Piety_BG_02-45_-_Radhanath_Swami_Mumbai_1989-10-18_IDesireTree.mp3", "1989-069_Bhagavad_Gita_Rejects_Piety_BG_02-45_-_Radhanath_Swami_Mumbai_1989-10-18_IDesireTree.mp3")</f>
        <v>1989-069_Bhagavad_Gita_Rejects_Piety_BG_02-45_-_Radhanath_Swami_Mumbai_1989-10-18_IDesireTree.mp3</v>
      </c>
      <c r="D3152" s="11"/>
      <c r="E3152" s="11"/>
    </row>
    <row r="3153" spans="1:5">
      <c r="A3153" s="12" t="s">
        <v>12463</v>
      </c>
      <c r="B3153" s="12" t="s">
        <v>15866</v>
      </c>
      <c r="C3153" s="13" t="str">
        <f>HYPERLINK("https://audio.iskcondesiretree.com/02_-_ISKCON_Swamis/ISKCON_Swamis_-_R_to_Y/His_Holiness_Radhanath_Swami/Lectures/01_-_Theme_wise/Bhagavad_Gita/1992-090_Dicussions_On_Bhagavad_Gita_Q%26A_-_Radhanath_Swami_Mumbai_1992-08-26_IDesireTree.mp3", "1992-090_Dicussions_On_Bhagavad_Gita_Q%26A_-_Radhanath_Swami_Mumbai_1992-08-26_IDesireTree.mp3")</f>
        <v>1992-090_Dicussions_On_Bhagavad_Gita_Q%26A_-_Radhanath_Swami_Mumbai_1992-08-26_IDesireTree.mp3</v>
      </c>
      <c r="D3153" s="11"/>
      <c r="E3153" s="11"/>
    </row>
    <row r="3154" spans="1:5">
      <c r="A3154" s="12" t="s">
        <v>12463</v>
      </c>
      <c r="B3154" s="12" t="s">
        <v>15867</v>
      </c>
      <c r="C3154" s="13" t="str">
        <f>HYPERLINK("https://audio.iskcondesiretree.com/02_-_ISKCON_Swamis/ISKCON_Swamis_-_R_to_Y/His_Holiness_Radhanath_Swami/Lectures/01_-_Theme_wise/Bhagavad_Gita/1993-045_Kshetra_And_Kshetra_Jna_BG_13-01-03_-_Radhanath_Swami_Mumbai_1993-04-10_IDesireTree.mp3", "1993-045_Kshetra_And_Kshetra_Jna_BG_13-01-03_-_Radhanath_Swami_Mumbai_1993-04-10_IDesireTree.mp3")</f>
        <v>1993-045_Kshetra_And_Kshetra_Jna_BG_13-01-03_-_Radhanath_Swami_Mumbai_1993-04-10_IDesireTree.mp3</v>
      </c>
      <c r="D3154" s="11"/>
      <c r="E3154" s="11"/>
    </row>
    <row r="3155" spans="1:5">
      <c r="A3155" s="12" t="s">
        <v>12463</v>
      </c>
      <c r="B3155" s="12" t="s">
        <v>15868</v>
      </c>
      <c r="C3155" s="13" t="str">
        <f>HYPERLINK("https://audio.iskcondesiretree.com/02_-_ISKCON_Swamis/ISKCON_Swamis_-_R_to_Y/His_Holiness_Radhanath_Swami/Lectures/01_-_Theme_wise/Bhagavad_Gita/1993-048_Inaction_In_Action_BG_04-17_-_Radhanath_Swami_Mumbai_1993-04-11_IDesireTree.mp3", "1993-048_Inaction_In_Action_BG_04-17_-_Radhanath_Swami_Mumbai_1993-04-11_IDesireTree.mp3")</f>
        <v>1993-048_Inaction_In_Action_BG_04-17_-_Radhanath_Swami_Mumbai_1993-04-11_IDesireTree.mp3</v>
      </c>
      <c r="D3155" s="11"/>
      <c r="E3155" s="11"/>
    </row>
    <row r="3156" spans="1:5">
      <c r="A3156" s="12" t="s">
        <v>12463</v>
      </c>
      <c r="B3156" s="12" t="s">
        <v>15869</v>
      </c>
      <c r="C3156" s="13" t="str">
        <f>HYPERLINK("https://audio.iskcondesiretree.com/02_-_ISKCON_Swamis/ISKCON_Swamis_-_R_to_Y/His_Holiness_Radhanath_Swami/Lectures/01_-_Theme_wise/Bhagavad_Gita/1993-066_Transcendental_Words_Of_Gita_BG_10-19_-_Radhanath_Swami_Mumbai_1993-04-24_IDesireTree.mp3", "1993-066_Transcendental_Words_Of_Gita_BG_10-19_-_Radhanath_Swami_Mumbai_1993-04-24_IDesireTree.mp3")</f>
        <v>1993-066_Transcendental_Words_Of_Gita_BG_10-19_-_Radhanath_Swami_Mumbai_1993-04-24_IDesireTree.mp3</v>
      </c>
      <c r="D3156" s="11"/>
      <c r="E3156" s="11"/>
    </row>
    <row r="3157" spans="1:5">
      <c r="A3157" s="12" t="s">
        <v>12463</v>
      </c>
      <c r="B3157" s="12" t="s">
        <v>15870</v>
      </c>
      <c r="C3157" s="13" t="str">
        <f>HYPERLINK("https://audio.iskcondesiretree.com/02_-_ISKCON_Swamis/ISKCON_Swamis_-_R_to_Y/His_Holiness_Radhanath_Swami/Lectures/01_-_Theme_wise/Bhagavad_Gita/1993-068_Everything_Emanates_From_Me_BG_10-08_-_Radhanath_Swami_Mumbai_1993-04-25_IDesireTree.mp3", "1993-068_Everything_Emanates_From_Me_BG_10-08_-_Radhanath_Swami_Mumbai_1993-04-25_IDesireTree.mp3")</f>
        <v>1993-068_Everything_Emanates_From_Me_BG_10-08_-_Radhanath_Swami_Mumbai_1993-04-25_IDesireTree.mp3</v>
      </c>
      <c r="D3157" s="11"/>
      <c r="E3157" s="11"/>
    </row>
    <row r="3158" spans="1:5">
      <c r="A3158" s="12" t="s">
        <v>12463</v>
      </c>
      <c r="B3158" s="12" t="s">
        <v>15871</v>
      </c>
      <c r="C3158" s="13" t="str">
        <f>HYPERLINK("https://audio.iskcondesiretree.com/02_-_ISKCON_Swamis/ISKCON_Swamis_-_R_to_Y/His_Holiness_Radhanath_Swami/Lectures/01_-_Theme_wise/Bhagavad_Gita/1994-005_Teachings_Of_Bhagavad_Gita_BG_07-02_-_Radhanath_Swami_Mumbai_1994-01-11_IDesireTree.mp3", "1994-005_Teachings_Of_Bhagavad_Gita_BG_07-02_-_Radhanath_Swami_Mumbai_1994-01-11_IDesireTree.mp3")</f>
        <v>1994-005_Teachings_Of_Bhagavad_Gita_BG_07-02_-_Radhanath_Swami_Mumbai_1994-01-11_IDesireTree.mp3</v>
      </c>
      <c r="D3158" s="11"/>
      <c r="E3158" s="11"/>
    </row>
    <row r="3159" spans="1:5">
      <c r="A3159" s="12" t="s">
        <v>12463</v>
      </c>
      <c r="B3159" s="12" t="s">
        <v>15872</v>
      </c>
      <c r="C3159" s="13" t="str">
        <f>HYPERLINK("https://audio.iskcondesiretree.com/02_-_ISKCON_Swamis/ISKCON_Swamis_-_R_to_Y/His_Holiness_Radhanath_Swami/Lectures/01_-_Theme_wise/Bhagavad_Gita/1994-058_Understanding_Bhagavad-Gita_Lecture_-_Radhanath_Swami_Mumbai_1994-03-28_IDesireTree.mp3", "1994-058_Understanding_Bhagavad-Gita_Lecture_-_Radhanath_Swami_Mumbai_1994-03-28_IDesireTree.mp3")</f>
        <v>1994-058_Understanding_Bhagavad-Gita_Lecture_-_Radhanath_Swami_Mumbai_1994-03-28_IDesireTree.mp3</v>
      </c>
      <c r="D3159" s="11"/>
      <c r="E3159" s="11"/>
    </row>
    <row r="3160" spans="1:5">
      <c r="A3160" s="12" t="s">
        <v>12463</v>
      </c>
      <c r="B3160" s="12" t="s">
        <v>15873</v>
      </c>
      <c r="C3160" s="13" t="str">
        <f>HYPERLINK("https://audio.iskcondesiretree.com/02_-_ISKCON_Swamis/ISKCON_Swamis_-_R_to_Y/His_Holiness_Radhanath_Swami/Lectures/01_-_Theme_wise/Bhagavad_Gita/1995-013_Nature_The_Enjoyer_And_Consciousness_BG_13-01-02_-_Radhanath_Swami_Mumbai_1995-01-10.mp3", "1995-013_Nature_The_Enjoyer_And_Consciousness_BG_13-01-02_-_Radhanath_Swami_Mumbai_1995-01-10.mp3")</f>
        <v>1995-013_Nature_The_Enjoyer_And_Consciousness_BG_13-01-02_-_Radhanath_Swami_Mumbai_1995-01-10.mp3</v>
      </c>
      <c r="D3160" s="11"/>
      <c r="E3160" s="11"/>
    </row>
    <row r="3161" spans="1:5">
      <c r="A3161" s="12" t="s">
        <v>12463</v>
      </c>
      <c r="B3161" s="12" t="s">
        <v>15874</v>
      </c>
      <c r="C3161" s="13" t="str">
        <f>HYPERLINK("https://audio.iskcondesiretree.com/02_-_ISKCON_Swamis/ISKCON_Swamis_-_R_to_Y/His_Holiness_Radhanath_Swami/Lectures/01_-_Theme_wise/Bhagavad_Gita/1995-016_Bhagavad_Gita-The_Greatest_Science_Mt_BG_05-24_-_Radhanath_Swami_Pune_1995-01-12.mp3", "1995-016_Bhagavad_Gita-The_Greatest_Science_Mt_BG_05-24_-_Radhanath_Swami_Pune_1995-01-12.mp3")</f>
        <v>1995-016_Bhagavad_Gita-The_Greatest_Science_Mt_BG_05-24_-_Radhanath_Swami_Pune_1995-01-12.mp3</v>
      </c>
      <c r="D3161" s="11"/>
      <c r="E3161" s="11"/>
    </row>
    <row r="3162" spans="1:5">
      <c r="A3162" s="12" t="s">
        <v>12463</v>
      </c>
      <c r="B3162" s="12" t="s">
        <v>15875</v>
      </c>
      <c r="C3162" s="13" t="str">
        <f>HYPERLINK("https://audio.iskcondesiretree.com/02_-_ISKCON_Swamis/ISKCON_Swamis_-_R_to_Y/His_Holiness_Radhanath_Swami/Lectures/01_-_Theme_wise/Bhagavad_Gita/1995-033_Take_Gita_Seriously_BG_07-01_-_Radhanath_Swami_Mumbai_1995-01-22.mp3", "1995-033_Take_Gita_Seriously_BG_07-01_-_Radhanath_Swami_Mumbai_1995-01-22.mp3")</f>
        <v>1995-033_Take_Gita_Seriously_BG_07-01_-_Radhanath_Swami_Mumbai_1995-01-22.mp3</v>
      </c>
      <c r="D3162" s="11"/>
      <c r="E3162" s="11"/>
    </row>
    <row r="3163" spans="1:5">
      <c r="A3163" s="12" t="s">
        <v>12463</v>
      </c>
      <c r="B3163" s="12" t="s">
        <v>15876</v>
      </c>
      <c r="C3163" s="13" t="str">
        <f>HYPERLINK("https://audio.iskcondesiretree.com/02_-_ISKCON_Swamis/ISKCON_Swamis_-_R_to_Y/His_Holiness_Radhanath_Swami/Lectures/01_-_Theme_wise/Bhagavad_Gita/1995-068_Understanding_Kurukshetra_And_Gita_Lecture_-_Radhanath_Swami_Kurukshetra_1995-03-24.mp3", "1995-068_Understanding_Kurukshetra_And_Gita_Lecture_-_Radhanath_Swami_Kurukshetra_1995-03-24.mp3")</f>
        <v>1995-068_Understanding_Kurukshetra_And_Gita_Lecture_-_Radhanath_Swami_Kurukshetra_1995-03-24.mp3</v>
      </c>
      <c r="D3163" s="11"/>
      <c r="E3163" s="11"/>
    </row>
    <row r="3164" spans="1:5">
      <c r="A3164" s="12" t="s">
        <v>12463</v>
      </c>
      <c r="B3164" s="12" t="s">
        <v>15877</v>
      </c>
      <c r="C3164" s="13" t="str">
        <f>HYPERLINK("https://audio.iskcondesiretree.com/02_-_ISKCON_Swamis/ISKCON_Swamis_-_R_to_Y/His_Holiness_Radhanath_Swami/Lectures/01_-_Theme_wise/Bhagavad_Gita/1995-100_Gita_Practical_Way_OF_Life_HT_-_BG_03-30_-_Radhanath_Swami_Pune_1995-08-31_IDesireTree.mp3", "1995-100_Gita_Practical_Way_OF_Life_HT_-_BG_03-30_-_Radhanath_Swami_Pune_1995-08-31_IDesireTree.mp3")</f>
        <v>1995-100_Gita_Practical_Way_OF_Life_HT_-_BG_03-30_-_Radhanath_Swami_Pune_1995-08-31_IDesireTree.mp3</v>
      </c>
      <c r="D3164" s="11"/>
      <c r="E3164" s="11"/>
    </row>
    <row r="3165" spans="1:5">
      <c r="A3165" s="12" t="s">
        <v>12463</v>
      </c>
      <c r="B3165" s="12" t="s">
        <v>15878</v>
      </c>
      <c r="C3165" s="13" t="str">
        <f>HYPERLINK("https://audio.iskcondesiretree.com/02_-_ISKCON_Swamis/ISKCON_Swamis_-_R_to_Y/His_Holiness_Radhanath_Swami/Lectures/01_-_Theme_wise/Bhagavad_Gita/1996_Arjuna%27s_Purifying_Arrows-01_-_Radhanath_Swami_Columbus_1996-07-21_IDesireTree.mp3", "1996_Arjuna%27s_Purifying_Arrows-01_-_Radhanath_Swami_Columbus_1996-07-21_IDesireTree.mp3")</f>
        <v>1996_Arjuna%27s_Purifying_Arrows-01_-_Radhanath_Swami_Columbus_1996-07-21_IDesireTree.mp3</v>
      </c>
      <c r="D3165" s="11"/>
      <c r="E3165" s="11"/>
    </row>
    <row r="3166" spans="1:5">
      <c r="A3166" s="12" t="s">
        <v>12463</v>
      </c>
      <c r="B3166" s="12" t="s">
        <v>15879</v>
      </c>
      <c r="C3166" s="13" t="str">
        <f>HYPERLINK("https://audio.iskcondesiretree.com/02_-_ISKCON_Swamis/ISKCON_Swamis_-_R_to_Y/His_Holiness_Radhanath_Swami/Lectures/01_-_Theme_wise/Bhagavad_Gita/1996_Arjuna%27s_Purifying_Arrows-02_-_Radhanath_Swami_Columbus_1996-07-21_IDesireTree.mp3", "1996_Arjuna%27s_Purifying_Arrows-02_-_Radhanath_Swami_Columbus_1996-07-21_IDesireTree.mp3")</f>
        <v>1996_Arjuna%27s_Purifying_Arrows-02_-_Radhanath_Swami_Columbus_1996-07-21_IDesireTree.mp3</v>
      </c>
      <c r="D3166" s="11"/>
      <c r="E3166" s="11"/>
    </row>
    <row r="3167" spans="1:5">
      <c r="A3167" s="12" t="s">
        <v>12463</v>
      </c>
      <c r="B3167" s="12" t="s">
        <v>15880</v>
      </c>
      <c r="C3167" s="13" t="str">
        <f>HYPERLINK("https://audio.iskcondesiretree.com/02_-_ISKCON_Swamis/ISKCON_Swamis_-_R_to_Y/His_Holiness_Radhanath_Swami/Lectures/01_-_Theme_wise/Bhagavad_Gita/1997-003_Bhagavad_Gita_For_The_Modern_Man_Ht_-_Lecture_-_Radhanath_Swami_Mumbai_1997-01-04_IDesireTree.mp3", "1997-003_Bhagavad_Gita_For_The_Modern_Man_Ht_-_Lecture_-_Radhanath_Swami_Mumbai_1997-01-04_IDesireTree.mp3")</f>
        <v>1997-003_Bhagavad_Gita_For_The_Modern_Man_Ht_-_Lecture_-_Radhanath_Swami_Mumbai_1997-01-04_IDesireTree.mp3</v>
      </c>
      <c r="D3167" s="11"/>
      <c r="E3167" s="11"/>
    </row>
    <row r="3168" spans="1:5">
      <c r="A3168" s="12" t="s">
        <v>12463</v>
      </c>
      <c r="B3168" s="12" t="s">
        <v>15881</v>
      </c>
      <c r="C3168" s="13" t="str">
        <f>HYPERLINK("https://audio.iskcondesiretree.com/02_-_ISKCON_Swamis/ISKCON_Swamis_-_R_to_Y/His_Holiness_Radhanath_Swami/Lectures/01_-_Theme_wise/Bhagavad_Gita/1997_BG-08-20_If_You_are_Eager_Nothing_is_Impossible_-_Radhanath_Swami_1997-09-19_IDesireTree.mp3", "1997_BG-08-20_If_You_are_Eager_Nothing_is_Impossible_-_Radhanath_Swami_1997-09-19_IDesireTree.mp3")</f>
        <v>1997_BG-08-20_If_You_are_Eager_Nothing_is_Impossible_-_Radhanath_Swami_1997-09-19_IDesireTree.mp3</v>
      </c>
      <c r="D3168" s="11"/>
      <c r="E3168" s="11"/>
    </row>
    <row r="3169" spans="1:5">
      <c r="A3169" s="12" t="s">
        <v>12463</v>
      </c>
      <c r="B3169" s="12" t="s">
        <v>15882</v>
      </c>
      <c r="C3169" s="13" t="str">
        <f>HYPERLINK("https://audio.iskcondesiretree.com/02_-_ISKCON_Swamis/ISKCON_Swamis_-_R_to_Y/His_Holiness_Radhanath_Swami/Lectures/01_-_Theme_wise/Bhagavad_Gita/1998_BG-02-50_The_Art_of_Living_-_Radhanath_Swami_Germany_1998-08-27_IDesireTree.mp3", "1998_BG-02-50_The_Art_of_Living_-_Radhanath_Swami_Germany_1998-08-27_IDesireTree.mp3")</f>
        <v>1998_BG-02-50_The_Art_of_Living_-_Radhanath_Swami_Germany_1998-08-27_IDesireTree.mp3</v>
      </c>
      <c r="D3169" s="11"/>
      <c r="E3169" s="11"/>
    </row>
    <row r="3170" spans="1:5">
      <c r="A3170" s="12" t="s">
        <v>12463</v>
      </c>
      <c r="B3170" s="12" t="s">
        <v>15883</v>
      </c>
      <c r="C3170" s="13" t="str">
        <f>HYPERLINK("https://audio.iskcondesiretree.com/02_-_ISKCON_Swamis/ISKCON_Swamis_-_R_to_Y/His_Holiness_Radhanath_Swami/Lectures/01_-_Theme_wise/Bhagavad_Gita/1998_BG-17-20_The_Ultimate_Charity_of_Krishna_Consciousness_-_Radhanath_Swami_1998-08-08_IDesireTree.mp3", "1998_BG-17-20_The_Ultimate_Charity_of_Krishna_Consciousness_-_Radhanath_Swami_1998-08-08_IDesireTree.mp3")</f>
        <v>1998_BG-17-20_The_Ultimate_Charity_of_Krishna_Consciousness_-_Radhanath_Swami_1998-08-08_IDesireTree.mp3</v>
      </c>
      <c r="D3170" s="11"/>
      <c r="E3170" s="11"/>
    </row>
    <row r="3171" spans="1:5">
      <c r="A3171" s="12" t="s">
        <v>12463</v>
      </c>
      <c r="B3171" s="12" t="s">
        <v>15884</v>
      </c>
      <c r="C3171" s="13" t="str">
        <f>HYPERLINK("https://audio.iskcondesiretree.com/02_-_ISKCON_Swamis/ISKCON_Swamis_-_R_to_Y/His_Holiness_Radhanath_Swami/Lectures/01_-_Theme_wise/Bhagavad_Gita/1999-062_Following_In_The_Footstep_Of_Arjuna_I_BG_18-64-66_-_Radhanath_Swami_Mumbai_1999-12-19_IDesireTree.mp3", "1999-062_Following_In_The_Footstep_Of_Arjuna_I_BG_18-64-66_-_Radhanath_Swami_Mumbai_1999-12-19_IDesireTree.mp3")</f>
        <v>1999-062_Following_In_The_Footstep_Of_Arjuna_I_BG_18-64-66_-_Radhanath_Swami_Mumbai_1999-12-19_IDesireTree.mp3</v>
      </c>
      <c r="D3171" s="11"/>
      <c r="E3171" s="11"/>
    </row>
    <row r="3172" spans="1:5">
      <c r="A3172" s="12" t="s">
        <v>12463</v>
      </c>
      <c r="B3172" s="12" t="s">
        <v>15885</v>
      </c>
      <c r="C3172" s="13" t="str">
        <f>HYPERLINK("https://audio.iskcondesiretree.com/02_-_ISKCON_Swamis/ISKCON_Swamis_-_R_to_Y/His_Holiness_Radhanath_Swami/Lectures/01_-_Theme_wise/Bhagavad_Gita/2000-039_How_Bhagavad_Gita_is_an_Open_Secret_Lecture_-_Radhanath_Swami_Mumbai_2000-03-12_IDesireTree.mp3", "2000-039_How_Bhagavad_Gita_is_an_Open_Secret_Lecture_-_Radhanath_Swami_Mumbai_2000-03-12_IDesireTree.mp3")</f>
        <v>2000-039_How_Bhagavad_Gita_is_an_Open_Secret_Lecture_-_Radhanath_Swami_Mumbai_2000-03-12_IDesireTree.mp3</v>
      </c>
      <c r="D3172" s="11"/>
      <c r="E3172" s="11"/>
    </row>
    <row r="3173" spans="1:5">
      <c r="A3173" s="12" t="s">
        <v>12463</v>
      </c>
      <c r="B3173" s="12" t="s">
        <v>15886</v>
      </c>
      <c r="C3173" s="13" t="str">
        <f>HYPERLINK("https://audio.iskcondesiretree.com/02_-_ISKCON_Swamis/ISKCON_Swamis_-_R_to_Y/His_Holiness_Radhanath_Swami/Lectures/01_-_Theme_wise/Bhagavad_Gita/2003-101_Gita_Jayanti_Sunday_Feast_-_Radhanath_Swami_US_2003-11-30_IDesireTree.mp3", "2003-101_Gita_Jayanti_Sunday_Feast_-_Radhanath_Swami_US_2003-11-30_IDesireTree.mp3")</f>
        <v>2003-101_Gita_Jayanti_Sunday_Feast_-_Radhanath_Swami_US_2003-11-30_IDesireTree.mp3</v>
      </c>
      <c r="D3173" s="11"/>
      <c r="E3173" s="11"/>
    </row>
    <row r="3174" spans="1:5">
      <c r="A3174" s="12" t="s">
        <v>12463</v>
      </c>
      <c r="B3174" s="12" t="s">
        <v>15887</v>
      </c>
      <c r="C3174" s="13" t="str">
        <f>HYPERLINK("https://audio.iskcondesiretree.com/02_-_ISKCON_Swamis/ISKCON_Swamis_-_R_to_Y/His_Holiness_Radhanath_Swami/Lectures/01_-_Theme_wise/Bhagavad_Gita/2005_Gita_Jayanti_Lecture_-_Sunday_Feast_-_Radhanath_Swami_Mumbai_2005-12-11_IDesireTree.mp3", "2005_Gita_Jayanti_Lecture_-_Sunday_Feast_-_Radhanath_Swami_Mumbai_2005-12-11_IDesireTree.mp3")</f>
        <v>2005_Gita_Jayanti_Lecture_-_Sunday_Feast_-_Radhanath_Swami_Mumbai_2005-12-11_IDesireTree.mp3</v>
      </c>
      <c r="D3174" s="11"/>
      <c r="E3174" s="11"/>
    </row>
    <row r="3175" spans="1:5">
      <c r="A3175" s="12" t="s">
        <v>12463</v>
      </c>
      <c r="B3175" s="12" t="s">
        <v>15888</v>
      </c>
      <c r="C3175" s="13" t="str">
        <f>HYPERLINK("https://audio.iskcondesiretree.com/02_-_ISKCON_Swamis/ISKCON_Swamis_-_R_to_Y/His_Holiness_Radhanath_Swami/Lectures/01_-_Theme_wise/Bhagavad_Gita/2005_The_Essence_of_the_Meaning_of_Bhagavad_Gita_Radhanath_Swami_-_Mumbai_2005-01-10_IDesireTree.mp3", "2005_The_Essence_of_the_Meaning_of_Bhagavad_Gita_Radhanath_Swami_-_Mumbai_2005-01-10_IDesireTree.mp3")</f>
        <v>2005_The_Essence_of_the_Meaning_of_Bhagavad_Gita_Radhanath_Swami_-_Mumbai_2005-01-10_IDesireTree.mp3</v>
      </c>
      <c r="D3175" s="11"/>
      <c r="E3175" s="11"/>
    </row>
    <row r="3176" spans="1:5">
      <c r="A3176" s="12" t="s">
        <v>12463</v>
      </c>
      <c r="B3176" s="12" t="s">
        <v>15889</v>
      </c>
      <c r="C3176" s="13" t="str">
        <f>HYPERLINK("https://audio.iskcondesiretree.com/02_-_ISKCON_Swamis/ISKCON_Swamis_-_R_to_Y/His_Holiness_Radhanath_Swami/Lectures/01_-_Theme_wise/Bhagavad_Gita/BG_05-14_Serving_the_Lord_with_Simplicity_-_Radhanath_Swami_Zurich_IDesireTree.mp3", "BG_05-14_Serving_the_Lord_with_Simplicity_-_Radhanath_Swami_Zurich_IDesireTree.mp3")</f>
        <v>BG_05-14_Serving_the_Lord_with_Simplicity_-_Radhanath_Swami_Zurich_IDesireTree.mp3</v>
      </c>
      <c r="D3176" s="11"/>
      <c r="E3176" s="11"/>
    </row>
    <row r="3177" spans="1:5">
      <c r="A3177" s="12" t="s">
        <v>12463</v>
      </c>
      <c r="B3177" s="12" t="s">
        <v>15890</v>
      </c>
      <c r="C3177" s="13" t="str">
        <f>HYPERLINK("https://audio.iskcondesiretree.com/02_-_ISKCON_Swamis/ISKCON_Swamis_-_R_to_Y/His_Holiness_Radhanath_Swami/Lectures/01_-_Theme_wise/Bhagavad_Gita/Purifying_Ourselves_by_Performing_Devotional_Service_BG-04-14_-_Mumbai_08-01-92_IDesireTree.MP3", "Purifying_Ourselves_by_Performing_Devotional_Service_BG-04-14_-_Mumbai_08-01-92_IDesireTree.MP3")</f>
        <v>Purifying_Ourselves_by_Performing_Devotional_Service_BG-04-14_-_Mumbai_08-01-92_IDesireTree.MP3</v>
      </c>
      <c r="D3177" s="11"/>
      <c r="E3177" s="11"/>
    </row>
    <row r="3178" spans="1:5">
      <c r="A3178" s="12" t="s">
        <v>12463</v>
      </c>
      <c r="B3178" s="12" t="s">
        <v>15891</v>
      </c>
      <c r="C3178" s="13" t="str">
        <f>HYPERLINK("https://audio.iskcondesiretree.com/02_-_ISKCON_Swamis/ISKCON_Swamis_-_R_to_Y/His_Holiness_Radhanath_Swami/Lectures/01_-_Theme_wise/Bhagavad_Gita/The_Activities_of_a_Krishna_Conscious_Person_BG-03-18-20_-_Mumbai_29-03-05_IDesireTree.mp3", "The_Activities_of_a_Krishna_Conscious_Person_BG-03-18-20_-_Mumbai_29-03-05_IDesireTree.mp3")</f>
        <v>The_Activities_of_a_Krishna_Conscious_Person_BG-03-18-20_-_Mumbai_29-03-05_IDesireTree.mp3</v>
      </c>
      <c r="D3178" s="11"/>
      <c r="E3178" s="11"/>
    </row>
    <row r="3179" spans="1:5">
      <c r="A3179" s="12" t="s">
        <v>12463</v>
      </c>
      <c r="B3179" s="12" t="s">
        <v>15892</v>
      </c>
      <c r="C3179" s="13" t="str">
        <f>HYPERLINK("https://audio.iskcondesiretree.com/02_-_ISKCON_Swamis/ISKCON_Swamis_-_R_to_Y/His_Holiness_Radhanath_Swami/Lectures/01_-_Theme_wise/Bhakti/1989-012_The_Correct_Anchorage_BG_08-28_-_Radhanath_Swami_Mumbai_1989-07-09_IDesireTree.mp3", "1989-012_The_Correct_Anchorage_BG_08-28_-_Radhanath_Swami_Mumbai_1989-07-09_IDesireTree.mp3")</f>
        <v>1989-012_The_Correct_Anchorage_BG_08-28_-_Radhanath_Swami_Mumbai_1989-07-09_IDesireTree.mp3</v>
      </c>
      <c r="D3179" s="11"/>
      <c r="E3179" s="11"/>
    </row>
    <row r="3180" spans="1:5">
      <c r="A3180" s="12" t="s">
        <v>12463</v>
      </c>
      <c r="B3180" s="12" t="s">
        <v>15893</v>
      </c>
      <c r="C3180" s="13" t="str">
        <f>HYPERLINK("https://audio.iskcondesiretree.com/02_-_ISKCON_Swamis/ISKCON_Swamis_-_R_to_Y/His_Holiness_Radhanath_Swami/Lectures/01_-_Theme_wise/Bhakti/1989-065_Entering_The_Supreme_Mystery_SB_07-10-50_-_Radhanath_Swami_Mumbai_1989-10-06_IDesireTree.mp3", "1989-065_Entering_The_Supreme_Mystery_SB_07-10-50_-_Radhanath_Swami_Mumbai_1989-10-06_IDesireTree.mp3")</f>
        <v>1989-065_Entering_The_Supreme_Mystery_SB_07-10-50_-_Radhanath_Swami_Mumbai_1989-10-06_IDesireTree.mp3</v>
      </c>
      <c r="D3180" s="11"/>
      <c r="E3180" s="11"/>
    </row>
    <row r="3181" spans="1:5">
      <c r="A3181" s="12" t="s">
        <v>12463</v>
      </c>
      <c r="B3181" s="12" t="s">
        <v>15894</v>
      </c>
      <c r="C3181" s="13" t="str">
        <f>HYPERLINK("https://audio.iskcondesiretree.com/02_-_ISKCON_Swamis/ISKCON_Swamis_-_R_to_Y/His_Holiness_Radhanath_Swami/Lectures/01_-_Theme_wise/Bhakti/1989-067_Bhakti-_The_Process_Of_Becoming_Greater_Than_God_Lecture_-_Radhanath_Swami_Mumbai_1989-10-15_IDesireTree.mp3", "1989-067_Bhakti-_The_Process_Of_Becoming_Greater_Than_God_Lecture_-_Radhanath_Swami_Mumbai_1989-10-15_IDesireTree.mp3")</f>
        <v>1989-067_Bhakti-_The_Process_Of_Becoming_Greater_Than_God_Lecture_-_Radhanath_Swami_Mumbai_1989-10-15_IDesireTree.mp3</v>
      </c>
      <c r="D3181" s="11"/>
      <c r="E3181" s="11"/>
    </row>
    <row r="3182" spans="1:5">
      <c r="A3182" s="12" t="s">
        <v>12463</v>
      </c>
      <c r="B3182" s="12" t="s">
        <v>15895</v>
      </c>
      <c r="C3182" s="13" t="str">
        <f>HYPERLINK("https://audio.iskcondesiretree.com/02_-_ISKCON_Swamis/ISKCON_Swamis_-_R_to_Y/His_Holiness_Radhanath_Swami/Lectures/01_-_Theme_wise/Bhakti/1990-006_Spiritual_Progress_SB_07-13-45_-_Radhanath_Swami_Mumbai_1990-01-12_IDesireTree.mp3", "1990-006_Spiritual_Progress_SB_07-13-45_-_Radhanath_Swami_Mumbai_1990-01-12_IDesireTree.mp3")</f>
        <v>1990-006_Spiritual_Progress_SB_07-13-45_-_Radhanath_Swami_Mumbai_1990-01-12_IDesireTree.mp3</v>
      </c>
      <c r="D3182" s="11"/>
      <c r="E3182" s="11"/>
    </row>
    <row r="3183" spans="1:5">
      <c r="A3183" s="12" t="s">
        <v>12463</v>
      </c>
      <c r="B3183" s="12" t="s">
        <v>15896</v>
      </c>
      <c r="C3183" s="13" t="str">
        <f>HYPERLINK("https://audio.iskcondesiretree.com/02_-_ISKCON_Swamis/ISKCON_Swamis_-_R_to_Y/His_Holiness_Radhanath_Swami/Lectures/01_-_Theme_wise/Bhakti/1990-030_Six_Characteristics_Of_Pure_Devotional_Service_Lecture_-_Radhanath_Swami_Mumbai_1990-03-18_IDesireTree.mp3", "1990-030_Six_Characteristics_Of_Pure_Devotional_Service_Lecture_-_Radhanath_Swami_Mumbai_1990-03-18_IDesireTree.mp3")</f>
        <v>1990-030_Six_Characteristics_Of_Pure_Devotional_Service_Lecture_-_Radhanath_Swami_Mumbai_1990-03-18_IDesireTree.mp3</v>
      </c>
      <c r="D3183" s="11"/>
      <c r="E3183" s="11"/>
    </row>
    <row r="3184" spans="1:5">
      <c r="A3184" s="12" t="s">
        <v>12463</v>
      </c>
      <c r="B3184" s="12" t="s">
        <v>15897</v>
      </c>
      <c r="C3184" s="13" t="str">
        <f>HYPERLINK("https://audio.iskcondesiretree.com/02_-_ISKCON_Swamis/ISKCON_Swamis_-_R_to_Y/His_Holiness_Radhanath_Swami/Lectures/01_-_Theme_wise/Bhakti/1990-035_Nourishing_The_Spiritual_Plant_SB_07-15-52_-_Radhanath_Swami_Mumbai_1990-03-25_IDesireTree.mp3", "1990-035_Nourishing_The_Spiritual_Plant_SB_07-15-52_-_Radhanath_Swami_Mumbai_1990-03-25_IDesireTree.mp3")</f>
        <v>1990-035_Nourishing_The_Spiritual_Plant_SB_07-15-52_-_Radhanath_Swami_Mumbai_1990-03-25_IDesireTree.mp3</v>
      </c>
      <c r="D3184" s="11"/>
      <c r="E3184" s="11"/>
    </row>
    <row r="3185" spans="1:5">
      <c r="A3185" s="12" t="s">
        <v>12463</v>
      </c>
      <c r="B3185" s="12" t="s">
        <v>15898</v>
      </c>
      <c r="C3185" s="13" t="str">
        <f>HYPERLINK("https://audio.iskcondesiretree.com/02_-_ISKCON_Swamis/ISKCON_Swamis_-_R_to_Y/His_Holiness_Radhanath_Swami/Lectures/01_-_Theme_wise/Bhakti/1990-039_Pleasing_Krishna_And_His_Devotees_SB_07-15-77_-_Radhanath_Swami_Mumbai_1990-04-14_IDesireTree.mp3", "1990-039_Pleasing_Krishna_And_His_Devotees_SB_07-15-77_-_Radhanath_Swami_Mumbai_1990-04-14_IDesireTree.mp3")</f>
        <v>1990-039_Pleasing_Krishna_And_His_Devotees_SB_07-15-77_-_Radhanath_Swami_Mumbai_1990-04-14_IDesireTree.mp3</v>
      </c>
      <c r="D3185" s="11"/>
      <c r="E3185" s="11"/>
    </row>
    <row r="3186" spans="1:5">
      <c r="A3186" s="12" t="s">
        <v>12463</v>
      </c>
      <c r="B3186" s="12" t="s">
        <v>15899</v>
      </c>
      <c r="C3186" s="13" t="str">
        <f>HYPERLINK("https://audio.iskcondesiretree.com/02_-_ISKCON_Swamis/ISKCON_Swamis_-_R_to_Y/His_Holiness_Radhanath_Swami/Lectures/01_-_Theme_wise/Bhakti/1990-047_How_To_Begin_Spiritual_Life_Lecture_-_Radhanath_Swami_Mumbai_1990-04-28_IDesireTree.mp3", "1990-047_How_To_Begin_Spiritual_Life_Lecture_-_Radhanath_Swami_Mumbai_1990-04-28_IDesireTree.mp3")</f>
        <v>1990-047_How_To_Begin_Spiritual_Life_Lecture_-_Radhanath_Swami_Mumbai_1990-04-28_IDesireTree.mp3</v>
      </c>
      <c r="D3186" s="11"/>
      <c r="E3186" s="11"/>
    </row>
    <row r="3187" spans="1:5">
      <c r="A3187" s="12" t="s">
        <v>12463</v>
      </c>
      <c r="B3187" s="12" t="s">
        <v>15900</v>
      </c>
      <c r="C3187" s="13" t="str">
        <f>HYPERLINK("https://audio.iskcondesiretree.com/02_-_ISKCON_Swamis/ISKCON_Swamis_-_R_to_Y/His_Holiness_Radhanath_Swami/Lectures/01_-_Theme_wise/Bhakti/1990-068_Making_Krishna_Happy_SB_08-07-05-06_-_Radhanath_Swami_Mumbai_1990-08-24_IDesireTree.mp3", "1990-068_Making_Krishna_Happy_SB_08-07-05-06_-_Radhanath_Swami_Mumbai_1990-08-24_IDesireTree.mp3")</f>
        <v>1990-068_Making_Krishna_Happy_SB_08-07-05-06_-_Radhanath_Swami_Mumbai_1990-08-24_IDesireTree.mp3</v>
      </c>
      <c r="D3187" s="11"/>
      <c r="E3187" s="11"/>
    </row>
    <row r="3188" spans="1:5">
      <c r="A3188" s="12" t="s">
        <v>12463</v>
      </c>
      <c r="B3188" s="12" t="s">
        <v>15901</v>
      </c>
      <c r="C3188" s="13" t="str">
        <f>HYPERLINK("https://audio.iskcondesiretree.com/02_-_ISKCON_Swamis/ISKCON_Swamis_-_R_to_Y/His_Holiness_Radhanath_Swami/Lectures/01_-_Theme_wise/Bhakti/1990-085_How_To_Become_Pure_Devotee_Lecture_-_Radhanath_Swami_Mumbai_1990-10-04_IDesireTree.mp3", "1990-085_How_To_Become_Pure_Devotee_Lecture_-_Radhanath_Swami_Mumbai_1990-10-04_IDesireTree.mp3")</f>
        <v>1990-085_How_To_Become_Pure_Devotee_Lecture_-_Radhanath_Swami_Mumbai_1990-10-04_IDesireTree.mp3</v>
      </c>
      <c r="D3188" s="11"/>
      <c r="E3188" s="11"/>
    </row>
    <row r="3189" spans="1:5">
      <c r="A3189" s="12" t="s">
        <v>12463</v>
      </c>
      <c r="B3189" s="12" t="s">
        <v>15902</v>
      </c>
      <c r="C3189" s="13" t="str">
        <f>HYPERLINK("https://audio.iskcondesiretree.com/02_-_ISKCON_Swamis/ISKCON_Swamis_-_R_to_Y/His_Holiness_Radhanath_Swami/Lectures/01_-_Theme_wise/Bhakti/1990-096_Aspiring_For_Nothing_But_Service_BG_10-01_-_Radhanath_Swami_Mumbai_1990-10-21_IDesireTree.mp3", "1990-096_Aspiring_For_Nothing_But_Service_BG_10-01_-_Radhanath_Swami_Mumbai_1990-10-21_IDesireTree.mp3")</f>
        <v>1990-096_Aspiring_For_Nothing_But_Service_BG_10-01_-_Radhanath_Swami_Mumbai_1990-10-21_IDesireTree.mp3</v>
      </c>
      <c r="D3189" s="11"/>
      <c r="E3189" s="11"/>
    </row>
    <row r="3190" spans="1:5">
      <c r="A3190" s="12" t="s">
        <v>12463</v>
      </c>
      <c r="B3190" s="12" t="s">
        <v>15903</v>
      </c>
      <c r="C3190" s="13" t="str">
        <f>HYPERLINK("https://audio.iskcondesiretree.com/02_-_ISKCON_Swamis/ISKCON_Swamis_-_R_to_Y/His_Holiness_Radhanath_Swami/Lectures/01_-_Theme_wise/Bhakti/1991-012_Spiritual_Sentiments_BG_14-04_-_Radhanath_Swami_Mumbai_1991-02-01_IDesireTree.mp3", "1991-012_Spiritual_Sentiments_BG_14-04_-_Radhanath_Swami_Mumbai_1991-02-01_IDesireTree.mp3")</f>
        <v>1991-012_Spiritual_Sentiments_BG_14-04_-_Radhanath_Swami_Mumbai_1991-02-01_IDesireTree.mp3</v>
      </c>
      <c r="D3190" s="11"/>
      <c r="E3190" s="11"/>
    </row>
    <row r="3191" spans="1:5">
      <c r="A3191" s="12" t="s">
        <v>12463</v>
      </c>
      <c r="B3191" s="12" t="s">
        <v>15904</v>
      </c>
      <c r="C3191" s="13" t="str">
        <f>HYPERLINK("https://audio.iskcondesiretree.com/02_-_ISKCON_Swamis/ISKCON_Swamis_-_R_to_Y/His_Holiness_Radhanath_Swami/Lectures/01_-_Theme_wise/Bhakti/1991-055_The_Greatness_Of_devotee_SB_1991-05-27_-_Radhanath_Swami_IDesireTree.mp3", "1991-055_The_Greatness_Of_devotee_SB_1991-05-27_-_Radhanath_Swami_IDesireTree.mp3")</f>
        <v>1991-055_The_Greatness_Of_devotee_SB_1991-05-27_-_Radhanath_Swami_IDesireTree.mp3</v>
      </c>
      <c r="D3191" s="11"/>
      <c r="E3191" s="11"/>
    </row>
    <row r="3192" spans="1:5">
      <c r="A3192" s="12" t="s">
        <v>12463</v>
      </c>
      <c r="B3192" s="12" t="s">
        <v>15905</v>
      </c>
      <c r="C3192" s="13" t="str">
        <f>HYPERLINK("https://audio.iskcondesiretree.com/02_-_ISKCON_Swamis/ISKCON_Swamis_-_R_to_Y/His_Holiness_Radhanath_Swami/Lectures/01_-_Theme_wise/Bhakti/1992-079_Importance_Of_Tulasi_Maharani_SB_10-13-49_-_Radhanath_Swami_Mumbai_1992-08-28_IDesireTree.mp3", "1992-079_Importance_Of_Tulasi_Maharani_SB_10-13-49_-_Radhanath_Swami_Mumbai_1992-08-28_IDesireTree.mp3")</f>
        <v>1992-079_Importance_Of_Tulasi_Maharani_SB_10-13-49_-_Radhanath_Swami_Mumbai_1992-08-28_IDesireTree.mp3</v>
      </c>
      <c r="D3192" s="11"/>
      <c r="E3192" s="11"/>
    </row>
    <row r="3193" spans="1:5">
      <c r="A3193" s="12" t="s">
        <v>12463</v>
      </c>
      <c r="B3193" s="12" t="s">
        <v>15906</v>
      </c>
      <c r="C3193" s="13" t="str">
        <f>HYPERLINK("https://audio.iskcondesiretree.com/02_-_ISKCON_Swamis/ISKCON_Swamis_-_R_to_Y/His_Holiness_Radhanath_Swami/Lectures/01_-_Theme_wise/Bhakti/1992-082_Mysticism_And_Devotion_SB_10-13-37-38_-_Radhanath_Swami_Mumbai_1992-08-19_IDesireTree.mp3", "1992-082_Mysticism_And_Devotion_SB_10-13-37-38_-_Radhanath_Swami_Mumbai_1992-08-19_IDesireTree.mp3")</f>
        <v>1992-082_Mysticism_And_Devotion_SB_10-13-37-38_-_Radhanath_Swami_Mumbai_1992-08-19_IDesireTree.mp3</v>
      </c>
      <c r="D3193" s="11"/>
      <c r="E3193" s="11"/>
    </row>
    <row r="3194" spans="1:5">
      <c r="A3194" s="12" t="s">
        <v>12463</v>
      </c>
      <c r="B3194" s="12" t="s">
        <v>15907</v>
      </c>
      <c r="C3194" s="13" t="str">
        <f>HYPERLINK("https://audio.iskcondesiretree.com/02_-_ISKCON_Swamis/ISKCON_Swamis_-_R_to_Y/His_Holiness_Radhanath_Swami/Lectures/01_-_Theme_wise/Bhakti/1992-106_The_Power_Of_Devotion_SB_10-14-11_-_Radhanath_Swami_Mumbai_1992-09-19_IDesireTree.mp3", "1992-106_The_Power_Of_Devotion_SB_10-14-11_-_Radhanath_Swami_Mumbai_1992-09-19_IDesireTree.mp3")</f>
        <v>1992-106_The_Power_Of_Devotion_SB_10-14-11_-_Radhanath_Swami_Mumbai_1992-09-19_IDesireTree.mp3</v>
      </c>
      <c r="D3194" s="11"/>
      <c r="E3194" s="11"/>
    </row>
    <row r="3195" spans="1:5">
      <c r="A3195" s="12" t="s">
        <v>12463</v>
      </c>
      <c r="B3195" s="12" t="s">
        <v>15908</v>
      </c>
      <c r="C3195" s="13" t="str">
        <f>HYPERLINK("https://audio.iskcondesiretree.com/02_-_ISKCON_Swamis/ISKCON_Swamis_-_R_to_Y/His_Holiness_Radhanath_Swami/Lectures/01_-_Theme_wise/Bhakti/1992-112_Importance_Of_Austerity_SB_01-03-09_-_Radhanath_Swami_Mumbai_1992-09-13_IDesireTree.mp3", "1992-112_Importance_Of_Austerity_SB_01-03-09_-_Radhanath_Swami_Mumbai_1992-09-13_IDesireTree.mp3")</f>
        <v>1992-112_Importance_Of_Austerity_SB_01-03-09_-_Radhanath_Swami_Mumbai_1992-09-13_IDesireTree.mp3</v>
      </c>
      <c r="D3195" s="11"/>
      <c r="E3195" s="11"/>
    </row>
    <row r="3196" spans="1:5">
      <c r="A3196" s="12" t="s">
        <v>12463</v>
      </c>
      <c r="B3196" s="12" t="s">
        <v>15909</v>
      </c>
      <c r="C3196" s="13" t="str">
        <f>HYPERLINK("https://audio.iskcondesiretree.com/02_-_ISKCON_Swamis/ISKCON_Swamis_-_R_to_Y/His_Holiness_Radhanath_Swami/Lectures/01_-_Theme_wise/Bhakti/1992-160_Pure_Devotional_Service_Is_Real_Diamond_SB_10-20-08_-_Radhanath_Swami_Mumbai_1992-12-29_IDesireTree.mp3", "1992-160_Pure_Devotional_Service_Is_Real_Diamond_SB_10-20-08_-_Radhanath_Swami_Mumbai_1992-12-29_IDesireTree.mp3")</f>
        <v>1992-160_Pure_Devotional_Service_Is_Real_Diamond_SB_10-20-08_-_Radhanath_Swami_Mumbai_1992-12-29_IDesireTree.mp3</v>
      </c>
      <c r="D3196" s="11"/>
      <c r="E3196" s="11"/>
    </row>
    <row r="3197" spans="1:5">
      <c r="A3197" s="12" t="s">
        <v>12463</v>
      </c>
      <c r="B3197" s="12" t="s">
        <v>15910</v>
      </c>
      <c r="C3197" s="13" t="str">
        <f>HYPERLINK("https://audio.iskcondesiretree.com/02_-_ISKCON_Swamis/ISKCON_Swamis_-_R_to_Y/His_Holiness_Radhanath_Swami/Lectures/01_-_Theme_wise/Bhakti/1993-075_Science_Of_Bhakti_BG_12-16_-_Radhanath_Swami_Mumbai_1993-05-02_IDesireTree.mp3", "1993-075_Science_Of_Bhakti_BG_12-16_-_Radhanath_Swami_Mumbai_1993-05-02_IDesireTree.mp3")</f>
        <v>1993-075_Science_Of_Bhakti_BG_12-16_-_Radhanath_Swami_Mumbai_1993-05-02_IDesireTree.mp3</v>
      </c>
      <c r="D3197" s="11"/>
      <c r="E3197" s="11"/>
    </row>
    <row r="3198" spans="1:5">
      <c r="A3198" s="12" t="s">
        <v>12463</v>
      </c>
      <c r="B3198" s="12" t="s">
        <v>15911</v>
      </c>
      <c r="C3198" s="13" t="str">
        <f>HYPERLINK("https://audio.iskcondesiretree.com/02_-_ISKCON_Swamis/ISKCON_Swamis_-_R_to_Y/His_Holiness_Radhanath_Swami/Lectures/01_-_Theme_wise/Bhakti/1993-083_How_To_Attain_Love_Of_God_SB_03-01-04_-_Radhanath_Swami_Mumbai_1993-05-07_IDesireTree.mp3", "1993-083_How_To_Attain_Love_Of_God_SB_03-01-04_-_Radhanath_Swami_Mumbai_1993-05-07_IDesireTree.mp3")</f>
        <v>1993-083_How_To_Attain_Love_Of_God_SB_03-01-04_-_Radhanath_Swami_Mumbai_1993-05-07_IDesireTree.mp3</v>
      </c>
      <c r="D3198" s="11"/>
      <c r="E3198" s="11"/>
    </row>
    <row r="3199" spans="1:5">
      <c r="A3199" s="12" t="s">
        <v>12463</v>
      </c>
      <c r="B3199" s="12" t="s">
        <v>15912</v>
      </c>
      <c r="C3199" s="13" t="str">
        <f>HYPERLINK("https://audio.iskcondesiretree.com/02_-_ISKCON_Swamis/ISKCON_Swamis_-_R_to_Y/His_Holiness_Radhanath_Swami/Lectures/01_-_Theme_wise/Bhakti/1993-132_Sweetness_Of_Bhakti_SB_04-24-55_-_Radhanath_Swami_Mumbai_1993-09-26_IDesireTree.mp3", "1993-132_Sweetness_Of_Bhakti_SB_04-24-55_-_Radhanath_Swami_Mumbai_1993-09-26_IDesireTree.mp3")</f>
        <v>1993-132_Sweetness_Of_Bhakti_SB_04-24-55_-_Radhanath_Swami_Mumbai_1993-09-26_IDesireTree.mp3</v>
      </c>
      <c r="D3199" s="11"/>
      <c r="E3199" s="11"/>
    </row>
    <row r="3200" spans="1:5">
      <c r="A3200" s="12" t="s">
        <v>12463</v>
      </c>
      <c r="B3200" s="12" t="s">
        <v>15913</v>
      </c>
      <c r="C3200" s="13" t="str">
        <f>HYPERLINK("https://audio.iskcondesiretree.com/02_-_ISKCON_Swamis/ISKCON_Swamis_-_R_to_Y/His_Holiness_Radhanath_Swami/Lectures/01_-_Theme_wise/Bhakti/1994-001_Unalloyed_Devotional_Service_SB_03-29-10_-_Radhanath_Swami_Mayapur_1994-01-02_IDesireTree.mp3", "1994-001_Unalloyed_Devotional_Service_SB_03-29-10_-_Radhanath_Swami_Mayapur_1994-01-02_IDesireTree.mp3")</f>
        <v>1994-001_Unalloyed_Devotional_Service_SB_03-29-10_-_Radhanath_Swami_Mayapur_1994-01-02_IDesireTree.mp3</v>
      </c>
      <c r="D3200" s="11"/>
      <c r="E3200" s="11"/>
    </row>
    <row r="3201" spans="1:5">
      <c r="A3201" s="12" t="s">
        <v>12463</v>
      </c>
      <c r="B3201" s="12" t="s">
        <v>15914</v>
      </c>
      <c r="C3201" s="13" t="str">
        <f>HYPERLINK("https://audio.iskcondesiretree.com/02_-_ISKCON_Swamis/ISKCON_Swamis_-_R_to_Y/His_Holiness_Radhanath_Swami/Lectures/01_-_Theme_wise/Bhakti/1994-011_Path_of_Pure_devotional_service_I_SB_02-03-24_-_Radhanath_Swami_Pune_1994-01-22_IDesireTree.mp3", "1994-011_Path_of_Pure_devotional_service_I_SB_02-03-24_-_Radhanath_Swami_Pune_1994-01-22_IDesireTree.mp3")</f>
        <v>1994-011_Path_of_Pure_devotional_service_I_SB_02-03-24_-_Radhanath_Swami_Pune_1994-01-22_IDesireTree.mp3</v>
      </c>
      <c r="D3201" s="11"/>
      <c r="E3201" s="11"/>
    </row>
    <row r="3202" spans="1:5">
      <c r="A3202" s="12" t="s">
        <v>12463</v>
      </c>
      <c r="B3202" s="12" t="s">
        <v>15915</v>
      </c>
      <c r="C3202" s="13" t="str">
        <f>HYPERLINK("https://audio.iskcondesiretree.com/02_-_ISKCON_Swamis/ISKCON_Swamis_-_R_to_Y/His_Holiness_Radhanath_Swami/Lectures/01_-_Theme_wise/Bhakti/1994-050_What_Does_Bhakti_Means_SB_01-05-12_-_Radhanath_Swami_Mumbai_1994-03-13_IDesireTree.mp3", "1994-050_What_Does_Bhakti_Means_SB_01-05-12_-_Radhanath_Swami_Mumbai_1994-03-13_IDesireTree.mp3")</f>
        <v>1994-050_What_Does_Bhakti_Means_SB_01-05-12_-_Radhanath_Swami_Mumbai_1994-03-13_IDesireTree.mp3</v>
      </c>
      <c r="D3202" s="11"/>
      <c r="E3202" s="11"/>
    </row>
    <row r="3203" spans="1:5">
      <c r="A3203" s="12" t="s">
        <v>12463</v>
      </c>
      <c r="B3203" s="12" t="s">
        <v>15916</v>
      </c>
      <c r="C3203" s="13" t="str">
        <f>HYPERLINK("https://audio.iskcondesiretree.com/02_-_ISKCON_Swamis/ISKCON_Swamis_-_R_to_Y/His_Holiness_Radhanath_Swami/Lectures/01_-_Theme_wise/Bhakti/1994-141_Strive_For_Service_Of_Sakhis_Lecture_-_Radhanath_Swami_Mumbai_1994-09-11_IDesireTree.mp3", "1994-141_Strive_For_Service_Of_Sakhis_Lecture_-_Radhanath_Swami_Mumbai_1994-09-11_IDesireTree.mp3")</f>
        <v>1994-141_Strive_For_Service_Of_Sakhis_Lecture_-_Radhanath_Swami_Mumbai_1994-09-11_IDesireTree.mp3</v>
      </c>
      <c r="D3203" s="11"/>
      <c r="E3203" s="11"/>
    </row>
    <row r="3204" spans="1:5">
      <c r="A3204" s="12" t="s">
        <v>12463</v>
      </c>
      <c r="B3204" s="12" t="s">
        <v>15917</v>
      </c>
      <c r="C3204" s="13" t="str">
        <f>HYPERLINK("https://audio.iskcondesiretree.com/02_-_ISKCON_Swamis/ISKCON_Swamis_-_R_to_Y/His_Holiness_Radhanath_Swami/Lectures/01_-_Theme_wise/Bhakti/1994-147_Priorities_Of_Bhakti_BG_03-08_-_Radhanath_Swami_Mumbai_1994-09-13_IDesireTree.mp3", "1994-147_Priorities_Of_Bhakti_BG_03-08_-_Radhanath_Swami_Mumbai_1994-09-13_IDesireTree.mp3")</f>
        <v>1994-147_Priorities_Of_Bhakti_BG_03-08_-_Radhanath_Swami_Mumbai_1994-09-13_IDesireTree.mp3</v>
      </c>
      <c r="D3204" s="11"/>
      <c r="E3204" s="11"/>
    </row>
    <row r="3205" spans="1:5">
      <c r="A3205" s="12" t="s">
        <v>12463</v>
      </c>
      <c r="B3205" s="12" t="s">
        <v>15918</v>
      </c>
      <c r="C3205" s="13" t="str">
        <f>HYPERLINK("https://audio.iskcondesiretree.com/02_-_ISKCON_Swamis/ISKCON_Swamis_-_R_to_Y/His_Holiness_Radhanath_Swami/Lectures/01_-_Theme_wise/Bhakti/1994-190_Give_Best_For_Krishna_SB_03-33-17_-_Radhanath_Swami_Pune_1994-10-13_IDesireTree.mp3", "1994-190_Give_Best_For_Krishna_SB_03-33-17_-_Radhanath_Swami_Pune_1994-10-13_IDesireTree.mp3")</f>
        <v>1994-190_Give_Best_For_Krishna_SB_03-33-17_-_Radhanath_Swami_Pune_1994-10-13_IDesireTree.mp3</v>
      </c>
      <c r="D3205" s="11"/>
      <c r="E3205" s="11"/>
    </row>
    <row r="3206" spans="1:5">
      <c r="A3206" s="12" t="s">
        <v>12463</v>
      </c>
      <c r="B3206" s="12" t="s">
        <v>15919</v>
      </c>
      <c r="C3206" s="13" t="str">
        <f>HYPERLINK("https://audio.iskcondesiretree.com/02_-_ISKCON_Swamis/ISKCON_Swamis_-_R_to_Y/His_Holiness_Radhanath_Swami/Lectures/01_-_Theme_wise/Bhakti/1995-060_Take_To_Bhakti_Now_Ht_-_BG_07-06_-_Radhanath_Swami_Mumbai_1995-03-12.mp3", "1995-060_Take_To_Bhakti_Now_Ht_-_BG_07-06_-_Radhanath_Swami_Mumbai_1995-03-12.mp3")</f>
        <v>1995-060_Take_To_Bhakti_Now_Ht_-_BG_07-06_-_Radhanath_Swami_Mumbai_1995-03-12.mp3</v>
      </c>
      <c r="D3206" s="11"/>
      <c r="E3206" s="11"/>
    </row>
    <row r="3207" spans="1:5">
      <c r="A3207" s="12" t="s">
        <v>12463</v>
      </c>
      <c r="B3207" s="12" t="s">
        <v>15920</v>
      </c>
      <c r="C3207" s="13" t="str">
        <f>HYPERLINK("https://audio.iskcondesiretree.com/02_-_ISKCON_Swamis/ISKCON_Swamis_-_R_to_Y/His_Holiness_Radhanath_Swami/Lectures/01_-_Theme_wise/Bhakti/1996-112_Bhakti_Yoga-_Most_Auspicious_SB_02-02-33_-_Radhanath_Swami_Mumbai_1996-08-25_IDesireTree.mp3", "1996-112_Bhakti_Yoga-_Most_Auspicious_SB_02-02-33_-_Radhanath_Swami_Mumbai_1996-08-25_IDesireTree.mp3")</f>
        <v>1996-112_Bhakti_Yoga-_Most_Auspicious_SB_02-02-33_-_Radhanath_Swami_Mumbai_1996-08-25_IDesireTree.mp3</v>
      </c>
      <c r="D3207" s="11"/>
      <c r="E3207" s="11"/>
    </row>
    <row r="3208" spans="1:5">
      <c r="A3208" s="12" t="s">
        <v>12463</v>
      </c>
      <c r="B3208" s="12" t="s">
        <v>15921</v>
      </c>
      <c r="C3208" s="13" t="str">
        <f>HYPERLINK("https://audio.iskcondesiretree.com/02_-_ISKCON_Swamis/ISKCON_Swamis_-_R_to_Y/His_Holiness_Radhanath_Swami/Lectures/01_-_Theme_wise/Bhakti/1996-118_Bhakti-_The_Greatest_Wealth_SB_02-03-08-09_-_Radhanath_Swami_Mumbai_1996-09-01_IDesireTree.mp3", "1996-118_Bhakti-_The_Greatest_Wealth_SB_02-03-08-09_-_Radhanath_Swami_Mumbai_1996-09-01_IDesireTree.mp3")</f>
        <v>1996-118_Bhakti-_The_Greatest_Wealth_SB_02-03-08-09_-_Radhanath_Swami_Mumbai_1996-09-01_IDesireTree.mp3</v>
      </c>
      <c r="D3208" s="11"/>
      <c r="E3208" s="11"/>
    </row>
    <row r="3209" spans="1:5">
      <c r="A3209" s="12" t="s">
        <v>12463</v>
      </c>
      <c r="B3209" s="12" t="s">
        <v>15922</v>
      </c>
      <c r="C3209" s="13" t="str">
        <f>HYPERLINK("https://audio.iskcondesiretree.com/02_-_ISKCON_Swamis/ISKCON_Swamis_-_R_to_Y/His_Holiness_Radhanath_Swami/Lectures/01_-_Theme_wise/Bhakti/1996-152_Power_Of_Bhakti_SB_02-04-18_-_Radhanath_Swami_Mumbai_1996-10-13_IDesireTree.mp3", "1996-152_Power_Of_Bhakti_SB_02-04-18_-_Radhanath_Swami_Mumbai_1996-10-13_IDesireTree.mp3")</f>
        <v>1996-152_Power_Of_Bhakti_SB_02-04-18_-_Radhanath_Swami_Mumbai_1996-10-13_IDesireTree.mp3</v>
      </c>
      <c r="D3209" s="11"/>
      <c r="E3209" s="11"/>
    </row>
    <row r="3210" spans="1:5">
      <c r="A3210" s="12" t="s">
        <v>12463</v>
      </c>
      <c r="B3210" s="12" t="s">
        <v>15923</v>
      </c>
      <c r="C3210" s="13" t="str">
        <f>HYPERLINK("https://audio.iskcondesiretree.com/02_-_ISKCON_Swamis/ISKCON_Swamis_-_R_to_Y/His_Holiness_Radhanath_Swami/Lectures/01_-_Theme_wise/Bhakti/1998-004_Perform_Your_Duties_In_Devotional_Service_SB_03-05-40_-_Radhanath_Swami_Mumbai_1998-01-17_IDesireTree.mp3", "1998-004_Perform_Your_Duties_In_Devotional_Service_SB_03-05-40_-_Radhanath_Swami_Mumbai_1998-01-17_IDesireTree.mp3")</f>
        <v>1998-004_Perform_Your_Duties_In_Devotional_Service_SB_03-05-40_-_Radhanath_Swami_Mumbai_1998-01-17_IDesireTree.mp3</v>
      </c>
      <c r="D3210" s="11"/>
      <c r="E3210" s="11"/>
    </row>
    <row r="3211" spans="1:5">
      <c r="A3211" s="12" t="s">
        <v>12463</v>
      </c>
      <c r="B3211" s="12" t="s">
        <v>15924</v>
      </c>
      <c r="C3211" s="13" t="str">
        <f>HYPERLINK("https://audio.iskcondesiretree.com/02_-_ISKCON_Swamis/ISKCON_Swamis_-_R_to_Y/His_Holiness_Radhanath_Swami/Lectures/01_-_Theme_wise/Bhakti/1998-049_Bhakti_is_the_Only_Way_BG_07-01_-_Radhanath_Swami_Mumbai_1998-03-21_IDesireTree.mp3", "1998-049_Bhakti_is_the_Only_Way_BG_07-01_-_Radhanath_Swami_Mumbai_1998-03-21_IDesireTree.mp3")</f>
        <v>1998-049_Bhakti_is_the_Only_Way_BG_07-01_-_Radhanath_Swami_Mumbai_1998-03-21_IDesireTree.mp3</v>
      </c>
      <c r="D3211" s="11"/>
      <c r="E3211" s="11"/>
    </row>
    <row r="3212" spans="1:5">
      <c r="A3212" s="12" t="s">
        <v>12463</v>
      </c>
      <c r="B3212" s="12" t="s">
        <v>15925</v>
      </c>
      <c r="C3212" s="13" t="str">
        <f>HYPERLINK("https://audio.iskcondesiretree.com/02_-_ISKCON_Swamis/ISKCON_Swamis_-_R_to_Y/His_Holiness_Radhanath_Swami/Lectures/01_-_Theme_wise/Bhakti/1998-055_Process_of_Devotional_Service_is_Gradual_SB_03-07-12_-_Radhanath_Swami_Mumbai_1998-03-29_IDesireTree.mp3", "1998-055_Process_of_Devotional_Service_is_Gradual_SB_03-07-12_-_Radhanath_Swami_Mumbai_1998-03-29_IDesireTree.mp3")</f>
        <v>1998-055_Process_of_Devotional_Service_is_Gradual_SB_03-07-12_-_Radhanath_Swami_Mumbai_1998-03-29_IDesireTree.mp3</v>
      </c>
      <c r="D3212" s="11"/>
      <c r="E3212" s="11"/>
    </row>
    <row r="3213" spans="1:5">
      <c r="A3213" s="12" t="s">
        <v>12463</v>
      </c>
      <c r="B3213" s="12" t="s">
        <v>15926</v>
      </c>
      <c r="C3213" s="13" t="str">
        <f>HYPERLINK("https://audio.iskcondesiretree.com/02_-_ISKCON_Swamis/ISKCON_Swamis_-_R_to_Y/His_Holiness_Radhanath_Swami/Lectures/01_-_Theme_wise/Bhakti/1998-110_Serving_the_Lord_with_Love_%26_Devotion_BG_08-15_-_Radhanath_Swami_Mumbai_1998-12-04_IDesireTree.mp3", "1998-110_Serving_the_Lord_with_Love_%26_Devotion_BG_08-15_-_Radhanath_Swami_Mumbai_1998-12-04_IDesireTree.mp3")</f>
        <v>1998-110_Serving_the_Lord_with_Love_%26_Devotion_BG_08-15_-_Radhanath_Swami_Mumbai_1998-12-04_IDesireTree.mp3</v>
      </c>
      <c r="D3213" s="11"/>
      <c r="E3213" s="11"/>
    </row>
    <row r="3214" spans="1:5">
      <c r="A3214" s="12" t="s">
        <v>12463</v>
      </c>
      <c r="B3214" s="12" t="s">
        <v>15927</v>
      </c>
      <c r="C3214" s="13" t="str">
        <f>HYPERLINK("https://audio.iskcondesiretree.com/02_-_ISKCON_Swamis/ISKCON_Swamis_-_R_to_Y/His_Holiness_Radhanath_Swami/Lectures/01_-_Theme_wise/Bhakti/1999-039_Surrendering_Krsna_With_Full_Devotion_Lecture_-_Radhanath_Swami_Nasik_1999-07-07_IDesireTree.mp3", "1999-039_Surrendering_Krsna_With_Full_Devotion_Lecture_-_Radhanath_Swami_Nasik_1999-07-07_IDesireTree.mp3")</f>
        <v>1999-039_Surrendering_Krsna_With_Full_Devotion_Lecture_-_Radhanath_Swami_Nasik_1999-07-07_IDesireTree.mp3</v>
      </c>
      <c r="D3214" s="11"/>
      <c r="E3214" s="11"/>
    </row>
    <row r="3215" spans="1:5">
      <c r="A3215" s="12" t="s">
        <v>12463</v>
      </c>
      <c r="B3215" s="12" t="s">
        <v>15928</v>
      </c>
      <c r="C3215" s="13" t="str">
        <f>HYPERLINK("https://audio.iskcondesiretree.com/02_-_ISKCON_Swamis/ISKCON_Swamis_-_R_to_Y/His_Holiness_Radhanath_Swami/Lectures/01_-_Theme_wise/Bhakti/1999-047_Tapasya_Is_The_Basic_Element_Of_Bhakti_SB_03-20-32-34_-_Radhanath_Swami_Mumbai_1999-07-20_IDesireTree.mp3", "1999-047_Tapasya_Is_The_Basic_Element_Of_Bhakti_SB_03-20-32-34_-_Radhanath_Swami_Mumbai_1999-07-20_IDesireTree.mp3")</f>
        <v>1999-047_Tapasya_Is_The_Basic_Element_Of_Bhakti_SB_03-20-32-34_-_Radhanath_Swami_Mumbai_1999-07-20_IDesireTree.mp3</v>
      </c>
      <c r="D3215" s="11"/>
      <c r="E3215" s="11"/>
    </row>
    <row r="3216" spans="1:5">
      <c r="A3216" s="12" t="s">
        <v>12463</v>
      </c>
      <c r="B3216" s="12" t="s">
        <v>15929</v>
      </c>
      <c r="C3216" s="13" t="str">
        <f>HYPERLINK("https://audio.iskcondesiretree.com/02_-_ISKCON_Swamis/ISKCON_Swamis_-_R_to_Y/His_Holiness_Radhanath_Swami/Lectures/01_-_Theme_wise/Bhakti/2000_Only_Bhakti_Can_Eradicate_all_Sinful_Desires_SB-03-31-29_-_Radhanath_Swami_Mumbai_2000-11-25_IDesireTree.MP3", "2000_Only_Bhakti_Can_Eradicate_all_Sinful_Desires_SB-03-31-29_-_Radhanath_Swami_Mumbai_2000-11-25_IDesireTree.MP3")</f>
        <v>2000_Only_Bhakti_Can_Eradicate_all_Sinful_Desires_SB-03-31-29_-_Radhanath_Swami_Mumbai_2000-11-25_IDesireTree.MP3</v>
      </c>
      <c r="D3216" s="11"/>
      <c r="E3216" s="11"/>
    </row>
    <row r="3217" spans="1:5">
      <c r="A3217" s="12" t="s">
        <v>12463</v>
      </c>
      <c r="B3217" s="12" t="s">
        <v>15930</v>
      </c>
      <c r="C3217" s="13" t="str">
        <f>HYPERLINK("https://audio.iskcondesiretree.com/02_-_ISKCON_Swamis/ISKCON_Swamis_-_R_to_Y/His_Holiness_Radhanath_Swami/Lectures/01_-_Theme_wise/Bhakti/2000_SB-03-29-20_The_Only_True_Wealth_Is_Bhakti_-_Radhanath_Swami_2000-09-06_IDesireTree.mp3", "2000_SB-03-29-20_The_Only_True_Wealth_Is_Bhakti_-_Radhanath_Swami_2000-09-06_IDesireTree.mp3")</f>
        <v>2000_SB-03-29-20_The_Only_True_Wealth_Is_Bhakti_-_Radhanath_Swami_2000-09-06_IDesireTree.mp3</v>
      </c>
      <c r="D3217" s="11"/>
      <c r="E3217" s="11"/>
    </row>
    <row r="3218" spans="1:5">
      <c r="A3218" s="12" t="s">
        <v>12463</v>
      </c>
      <c r="B3218" s="12" t="s">
        <v>15931</v>
      </c>
      <c r="C3218" s="13" t="str">
        <f>HYPERLINK("https://audio.iskcondesiretree.com/02_-_ISKCON_Swamis/ISKCON_Swamis_-_R_to_Y/His_Holiness_Radhanath_Swami/Lectures/01_-_Theme_wise/Bhakti/2001-014_Bhakti_Free_From_Motivations_Lecture_-_Radhanath_Swami_Mumbai_2001-02-04_IDesireTree.mp3", "2001-014_Bhakti_Free_From_Motivations_Lecture_-_Radhanath_Swami_Mumbai_2001-02-04_IDesireTree.mp3")</f>
        <v>2001-014_Bhakti_Free_From_Motivations_Lecture_-_Radhanath_Swami_Mumbai_2001-02-04_IDesireTree.mp3</v>
      </c>
      <c r="D3218" s="11"/>
      <c r="E3218" s="11"/>
    </row>
    <row r="3219" spans="1:5">
      <c r="A3219" s="12" t="s">
        <v>12463</v>
      </c>
      <c r="B3219" s="12" t="s">
        <v>15932</v>
      </c>
      <c r="C3219" s="13" t="str">
        <f>HYPERLINK("https://audio.iskcondesiretree.com/02_-_ISKCON_Swamis/ISKCON_Swamis_-_R_to_Y/His_Holiness_Radhanath_Swami/Lectures/01_-_Theme_wise/Bhakti/2001-055_Real_Fortune_Is_Bhakti_Lecture_-_Radhanath_Swami_Mumbai_2001-12-07_IDesireTree.mp3", "2001-055_Real_Fortune_Is_Bhakti_Lecture_-_Radhanath_Swami_Mumbai_2001-12-07_IDesireTree.mp3")</f>
        <v>2001-055_Real_Fortune_Is_Bhakti_Lecture_-_Radhanath_Swami_Mumbai_2001-12-07_IDesireTree.mp3</v>
      </c>
      <c r="D3219" s="11"/>
      <c r="E3219" s="11"/>
    </row>
    <row r="3220" spans="1:5">
      <c r="A3220" s="12" t="s">
        <v>12463</v>
      </c>
      <c r="B3220" s="12" t="s">
        <v>15933</v>
      </c>
      <c r="C3220" s="13" t="str">
        <f>HYPERLINK("https://audio.iskcondesiretree.com/02_-_ISKCON_Swamis/ISKCON_Swamis_-_R_to_Y/His_Holiness_Radhanath_Swami/Lectures/01_-_Theme_wise/Bhakti/2001-061_Ecstacy_Through_Spiritualised_Senses_SB_04-09-03_-_Radhanath_Swami_Mumbai_2001-12-16_IDesireTree.mp3", "2001-061_Ecstacy_Through_Spiritualised_Senses_SB_04-09-03_-_Radhanath_Swami_Mumbai_2001-12-16_IDesireTree.mp3")</f>
        <v>2001-061_Ecstacy_Through_Spiritualised_Senses_SB_04-09-03_-_Radhanath_Swami_Mumbai_2001-12-16_IDesireTree.mp3</v>
      </c>
      <c r="D3220" s="11"/>
      <c r="E3220" s="11"/>
    </row>
    <row r="3221" spans="1:5">
      <c r="A3221" s="12" t="s">
        <v>12463</v>
      </c>
      <c r="B3221" s="12" t="s">
        <v>15934</v>
      </c>
      <c r="C3221" s="13" t="str">
        <f>HYPERLINK("https://audio.iskcondesiretree.com/02_-_ISKCON_Swamis/ISKCON_Swamis_-_R_to_Y/His_Holiness_Radhanath_Swami/Lectures/01_-_Theme_wise/Bhakti/2002-052_Bhakti_Is_the_Only_Real_Fortune_SB_04-12-23_-_Radhanath_Swami_Mumbai_2002-04-14_IDesireTree.mp3", "2002-052_Bhakti_Is_the_Only_Real_Fortune_SB_04-12-23_-_Radhanath_Swami_Mumbai_2002-04-14_IDesireTree.mp3")</f>
        <v>2002-052_Bhakti_Is_the_Only_Real_Fortune_SB_04-12-23_-_Radhanath_Swami_Mumbai_2002-04-14_IDesireTree.mp3</v>
      </c>
      <c r="D3221" s="11"/>
      <c r="E3221" s="11"/>
    </row>
    <row r="3222" spans="1:5">
      <c r="A3222" s="12" t="s">
        <v>12463</v>
      </c>
      <c r="B3222" s="12" t="s">
        <v>15935</v>
      </c>
      <c r="C3222" s="13" t="str">
        <f>HYPERLINK("https://audio.iskcondesiretree.com/02_-_ISKCON_Swamis/ISKCON_Swamis_-_R_to_Y/His_Holiness_Radhanath_Swami/Lectures/01_-_Theme_wise/Bhakti/2003-053_Bhakti_is_the_Highest_form_of_Meditation_SB_04-24-53_-_Radhanath_Swami_Mumbai_1998-03-23_IDesireTree.mp3", "2003-053_Bhakti_is_the_Highest_form_of_Meditation_SB_04-24-53_-_Radhanath_Swami_Mumbai_1998-03-23_IDesireTree.mp3")</f>
        <v>2003-053_Bhakti_is_the_Highest_form_of_Meditation_SB_04-24-53_-_Radhanath_Swami_Mumbai_1998-03-23_IDesireTree.mp3</v>
      </c>
      <c r="D3222" s="11"/>
      <c r="E3222" s="11"/>
    </row>
    <row r="3223" spans="1:5">
      <c r="A3223" s="12" t="s">
        <v>12463</v>
      </c>
      <c r="B3223" s="12" t="s">
        <v>15936</v>
      </c>
      <c r="C3223" s="13" t="str">
        <f>HYPERLINK("https://audio.iskcondesiretree.com/02_-_ISKCON_Swamis/ISKCON_Swamis_-_R_to_Y/His_Holiness_Radhanath_Swami/Lectures/01_-_Theme_wise/Bhakti/2003_Love_and_Devotion_of_Bharat_to_Sri_Rama-01_-_Radhanath_Swami_Mumbai_2003-04-06_IDesireTree.MP3", "2003_Love_and_Devotion_of_Bharat_to_Sri_Rama-01_-_Radhanath_Swami_Mumbai_2003-04-06_IDesireTree.MP3")</f>
        <v>2003_Love_and_Devotion_of_Bharat_to_Sri_Rama-01_-_Radhanath_Swami_Mumbai_2003-04-06_IDesireTree.MP3</v>
      </c>
      <c r="D3223" s="11"/>
      <c r="E3223" s="11"/>
    </row>
    <row r="3224" spans="1:5">
      <c r="A3224" s="12" t="s">
        <v>12463</v>
      </c>
      <c r="B3224" s="12" t="s">
        <v>15937</v>
      </c>
      <c r="C3224" s="13" t="str">
        <f>HYPERLINK("https://audio.iskcondesiretree.com/02_-_ISKCON_Swamis/ISKCON_Swamis_-_R_to_Y/His_Holiness_Radhanath_Swami/Lectures/01_-_Theme_wise/Bhakti/2003_Love_and_Devotion_of_Bharat_to_Sri_Rama-02_-_Radhanath_Swami_Mumbai_2003-04-06_IDesireTree.MP3", "2003_Love_and_Devotion_of_Bharat_to_Sri_Rama-02_-_Radhanath_Swami_Mumbai_2003-04-06_IDesireTree.MP3")</f>
        <v>2003_Love_and_Devotion_of_Bharat_to_Sri_Rama-02_-_Radhanath_Swami_Mumbai_2003-04-06_IDesireTree.MP3</v>
      </c>
      <c r="D3224" s="11"/>
      <c r="E3224" s="11"/>
    </row>
    <row r="3225" spans="1:5">
      <c r="A3225" s="12" t="s">
        <v>12463</v>
      </c>
      <c r="B3225" s="12" t="s">
        <v>15938</v>
      </c>
      <c r="C3225" s="13" t="str">
        <f>HYPERLINK("https://audio.iskcondesiretree.com/02_-_ISKCON_Swamis/ISKCON_Swamis_-_R_to_Y/His_Holiness_Radhanath_Swami/Lectures/01_-_Theme_wise/Bhakti/2004_Krishna_Sees_Only_our_Devotion_-_Radhanath_Swami_New_Vrindavan_2004-05-27_IDesireTree.mp3", "2004_Krishna_Sees_Only_our_Devotion_-_Radhanath_Swami_New_Vrindavan_2004-05-27_IDesireTree.mp3")</f>
        <v>2004_Krishna_Sees_Only_our_Devotion_-_Radhanath_Swami_New_Vrindavan_2004-05-27_IDesireTree.mp3</v>
      </c>
      <c r="D3225" s="11"/>
      <c r="E3225" s="11"/>
    </row>
    <row r="3226" spans="1:5">
      <c r="A3226" s="12" t="s">
        <v>12463</v>
      </c>
      <c r="B3226" s="12" t="s">
        <v>15939</v>
      </c>
      <c r="C3226" s="13" t="str">
        <f>HYPERLINK("https://audio.iskcondesiretree.com/02_-_ISKCON_Swamis/ISKCON_Swamis_-_R_to_Y/His_Holiness_Radhanath_Swami/Lectures/01_-_Theme_wise/Bhakti/2004_Simply_Love_and_Devotion_Pushya_Abhishek_-_Radhanath_Swami_Mumbai_2004-01-29_IDesireTree.mp3", "2004_Simply_Love_and_Devotion_Pushya_Abhishek_-_Radhanath_Swami_Mumbai_2004-01-29_IDesireTree.mp3")</f>
        <v>2004_Simply_Love_and_Devotion_Pushya_Abhishek_-_Radhanath_Swami_Mumbai_2004-01-29_IDesireTree.mp3</v>
      </c>
      <c r="D3226" s="11"/>
      <c r="E3226" s="11"/>
    </row>
    <row r="3227" spans="1:5">
      <c r="A3227" s="12" t="s">
        <v>12463</v>
      </c>
      <c r="B3227" s="12" t="s">
        <v>15940</v>
      </c>
      <c r="C3227" s="13" t="str">
        <f>HYPERLINK("https://audio.iskcondesiretree.com/02_-_ISKCON_Swamis/ISKCON_Swamis_-_R_to_Y/His_Holiness_Radhanath_Swami/Lectures/01_-_Theme_wise/Bhakti/2004_The_Power_of_Bhakti_-_Radhanath_Swami_Mumbai_2004-03-15_IDesireTree.mp3", "2004_The_Power_of_Bhakti_-_Radhanath_Swami_Mumbai_2004-03-15_IDesireTree.mp3")</f>
        <v>2004_The_Power_of_Bhakti_-_Radhanath_Swami_Mumbai_2004-03-15_IDesireTree.mp3</v>
      </c>
      <c r="D3227" s="11"/>
      <c r="E3227" s="11"/>
    </row>
    <row r="3228" spans="1:5">
      <c r="A3228" s="12" t="s">
        <v>12463</v>
      </c>
      <c r="B3228" s="12" t="s">
        <v>15941</v>
      </c>
      <c r="C3228" s="13" t="str">
        <f>HYPERLINK("https://audio.iskcondesiretree.com/02_-_ISKCON_Swamis/ISKCON_Swamis_-_R_to_Y/His_Holiness_Radhanath_Swami/Lectures/01_-_Theme_wise/Bhakti/Bhakti_The_Only_Means_To_Attain_Spiritual_Perfection_SB-04-28-38_-_Mumbai_28-03-04_IDesireTree.mp3", "Bhakti_The_Only_Means_To_Attain_Spiritual_Perfection_SB-04-28-38_-_Mumbai_28-03-04_IDesireTree.mp3")</f>
        <v>Bhakti_The_Only_Means_To_Attain_Spiritual_Perfection_SB-04-28-38_-_Mumbai_28-03-04_IDesireTree.mp3</v>
      </c>
      <c r="D3228" s="11"/>
      <c r="E3228" s="11"/>
    </row>
    <row r="3229" spans="1:5">
      <c r="A3229" s="12" t="s">
        <v>12463</v>
      </c>
      <c r="B3229" s="12" t="s">
        <v>15942</v>
      </c>
      <c r="C3229" s="13" t="str">
        <f>HYPERLINK("https://audio.iskcondesiretree.com/02_-_ISKCON_Swamis/ISKCON_Swamis_-_R_to_Y/His_Holiness_Radhanath_Swami/Lectures/01_-_Theme_wise/Bhakti/Bhakti_The_Wealth_of_Heart_SB-05-03-02_-_Mumbai_26-12-04_IDesireTree.mp3", "Bhakti_The_Wealth_of_Heart_SB-05-03-02_-_Mumbai_26-12-04_IDesireTree.mp3")</f>
        <v>Bhakti_The_Wealth_of_Heart_SB-05-03-02_-_Mumbai_26-12-04_IDesireTree.mp3</v>
      </c>
      <c r="D3229" s="11"/>
      <c r="E3229" s="11"/>
    </row>
    <row r="3230" spans="1:5">
      <c r="A3230" s="12" t="s">
        <v>12463</v>
      </c>
      <c r="B3230" s="12" t="s">
        <v>15943</v>
      </c>
      <c r="C3230" s="13" t="str">
        <f>HYPERLINK("https://audio.iskcondesiretree.com/02_-_ISKCON_Swamis/ISKCON_Swamis_-_R_to_Y/His_Holiness_Radhanath_Swami/Lectures/01_-_Theme_wise/Bhakti/Holding_unto_the_Life_wreth_of_Devotional_Service_-_Radhanath_Swami_IDesireTree.mp3", "Holding_unto_the_Life_wreth_of_Devotional_Service_-_Radhanath_Swami_IDesireTree.mp3")</f>
        <v>Holding_unto_the_Life_wreth_of_Devotional_Service_-_Radhanath_Swami_IDesireTree.mp3</v>
      </c>
      <c r="D3230" s="11"/>
      <c r="E3230" s="11"/>
    </row>
    <row r="3231" spans="1:5">
      <c r="A3231" s="12" t="s">
        <v>12463</v>
      </c>
      <c r="B3231" s="12" t="s">
        <v>15944</v>
      </c>
      <c r="C3231" s="13" t="str">
        <f>HYPERLINK("https://audio.iskcondesiretree.com/02_-_ISKCON_Swamis/ISKCON_Swamis_-_R_to_Y/His_Holiness_Radhanath_Swami/Lectures/01_-_Theme_wise/Bhakti/Nourishing_Our_Spiritual_Strength_-_Radhanath_Swami_IDesireTree.mp3", "Nourishing_Our_Spiritual_Strength_-_Radhanath_Swami_IDesireTree.mp3")</f>
        <v>Nourishing_Our_Spiritual_Strength_-_Radhanath_Swami_IDesireTree.mp3</v>
      </c>
      <c r="D3231" s="11"/>
      <c r="E3231" s="11"/>
    </row>
    <row r="3232" spans="1:5">
      <c r="A3232" s="12" t="s">
        <v>12463</v>
      </c>
      <c r="B3232" s="12" t="s">
        <v>15945</v>
      </c>
      <c r="C3232" s="13" t="str">
        <f>HYPERLINK("https://audio.iskcondesiretree.com/02_-_ISKCON_Swamis/ISKCON_Swamis_-_R_to_Y/His_Holiness_Radhanath_Swami/Lectures/01_-_Theme_wise/Bhakti/Only_Bhakti_Can_Eradicate_all_Sinful_Desires_SB-03-31-29_-_Mumbai_25-11-00_IDesireTree.MP3", "Only_Bhakti_Can_Eradicate_all_Sinful_Desires_SB-03-31-29_-_Mumbai_25-11-00_IDesireTree.MP3")</f>
        <v>Only_Bhakti_Can_Eradicate_all_Sinful_Desires_SB-03-31-29_-_Mumbai_25-11-00_IDesireTree.MP3</v>
      </c>
      <c r="D3232" s="11"/>
      <c r="E3232" s="11"/>
    </row>
    <row r="3233" spans="1:5">
      <c r="A3233" s="12" t="s">
        <v>12463</v>
      </c>
      <c r="B3233" s="12" t="s">
        <v>15946</v>
      </c>
      <c r="C3233" s="13" t="str">
        <f>HYPERLINK("https://audio.iskcondesiretree.com/02_-_ISKCON_Swamis/ISKCON_Swamis_-_R_to_Y/His_Holiness_Radhanath_Swami/Lectures/01_-_Theme_wise/Bhakti/Quresh_and_Dhanurdas%27_Supreme_Devotion_To_Ramanuja_-_Radhanath_Swami_IDesireTree.mp3", "Quresh_and_Dhanurdas%27_Supreme_Devotion_To_Ramanuja_-_Radhanath_Swami_IDesireTree.mp3")</f>
        <v>Quresh_and_Dhanurdas%27_Supreme_Devotion_To_Ramanuja_-_Radhanath_Swami_IDesireTree.mp3</v>
      </c>
      <c r="D3233" s="11"/>
      <c r="E3233" s="11"/>
    </row>
    <row r="3234" spans="1:5">
      <c r="A3234" s="12" t="s">
        <v>12463</v>
      </c>
      <c r="B3234" s="12" t="s">
        <v>15947</v>
      </c>
      <c r="C3234" s="13" t="str">
        <f>HYPERLINK("https://audio.iskcondesiretree.com/02_-_ISKCON_Swamis/ISKCON_Swamis_-_R_to_Y/His_Holiness_Radhanath_Swami/Lectures/01_-_Theme_wise/Bhakti/Serving_the_Lord_with_Humility_and_Devotion_-_Radhanath_Swami_IDesireTree.mp3", "Serving_the_Lord_with_Humility_and_Devotion_-_Radhanath_Swami_IDesireTree.mp3")</f>
        <v>Serving_the_Lord_with_Humility_and_Devotion_-_Radhanath_Swami_IDesireTree.mp3</v>
      </c>
      <c r="D3234" s="11"/>
      <c r="E3234" s="11"/>
    </row>
    <row r="3235" spans="1:5">
      <c r="A3235" s="12" t="s">
        <v>12463</v>
      </c>
      <c r="B3235" s="12" t="s">
        <v>15948</v>
      </c>
      <c r="C3235" s="13" t="str">
        <f>HYPERLINK("https://audio.iskcondesiretree.com/02_-_ISKCON_Swamis/ISKCON_Swamis_-_R_to_Y/His_Holiness_Radhanath_Swami/Lectures/01_-_Theme_wise/Bhakti/Srimad_Bhagvatam_Only_Deals_with_Unalloyed_Devotion_SB-01-01-02_-_Prabhupadade_21-08-01_IDesireTree.MP3", "Srimad_Bhagvatam_Only_Deals_with_Unalloyed_Devotion_SB-01-01-02_-_Prabhupadade_21-08-01_IDesireTree.MP3")</f>
        <v>Srimad_Bhagvatam_Only_Deals_with_Unalloyed_Devotion_SB-01-01-02_-_Prabhupadade_21-08-01_IDesireTree.MP3</v>
      </c>
      <c r="D3235" s="11"/>
      <c r="E3235" s="11"/>
    </row>
    <row r="3236" spans="1:5">
      <c r="A3236" s="12" t="s">
        <v>12463</v>
      </c>
      <c r="B3236" s="12" t="s">
        <v>15949</v>
      </c>
      <c r="C3236" s="13" t="str">
        <f>HYPERLINK("https://audio.iskcondesiretree.com/02_-_ISKCON_Swamis/ISKCON_Swamis_-_R_to_Y/His_Holiness_Radhanath_Swami/Lectures/01_-_Theme_wise/Bhakti/Stages_of_devotional_Serves-01_-_Radhanath_Swami_IDesireTree.MP3", "Stages_of_devotional_Serves-01_-_Radhanath_Swami_IDesireTree.MP3")</f>
        <v>Stages_of_devotional_Serves-01_-_Radhanath_Swami_IDesireTree.MP3</v>
      </c>
      <c r="D3236" s="11"/>
      <c r="E3236" s="11"/>
    </row>
    <row r="3237" spans="1:5">
      <c r="A3237" s="12" t="s">
        <v>12463</v>
      </c>
      <c r="B3237" s="12" t="s">
        <v>15950</v>
      </c>
      <c r="C3237" s="13" t="str">
        <f>HYPERLINK("https://audio.iskcondesiretree.com/02_-_ISKCON_Swamis/ISKCON_Swamis_-_R_to_Y/His_Holiness_Radhanath_Swami/Lectures/01_-_Theme_wise/Bhakti/The_Power_of_Bhakti_-_Mumbai_15-03-04_IDesireTree.mp3", "The_Power_of_Bhakti_-_Mumbai_15-03-04_IDesireTree.mp3")</f>
        <v>The_Power_of_Bhakti_-_Mumbai_15-03-04_IDesireTree.mp3</v>
      </c>
      <c r="D3237" s="11"/>
      <c r="E3237" s="11"/>
    </row>
    <row r="3238" spans="1:5">
      <c r="A3238" s="12" t="s">
        <v>12463</v>
      </c>
      <c r="B3238" s="12" t="s">
        <v>15951</v>
      </c>
      <c r="C3238" s="13" t="str">
        <f>HYPERLINK("https://audio.iskcondesiretree.com/02_-_ISKCON_Swamis/ISKCON_Swamis_-_R_to_Y/His_Holiness_Radhanath_Swami/Lectures/01_-_Theme_wise/Bhakti/Unmotivated_%26_Unalloyed_Devotion_of_Vasudev_for_Krishna_SB-10-08-09_-_Mumbai_10-04-92_IDesireTree.MP3", "Unmotivated_%26_Unalloyed_Devotion_of_Vasudev_for_Krishna_SB-10-08-09_-_Mumbai_10-04-92_IDesireTree.MP3")</f>
        <v>Unmotivated_%26_Unalloyed_Devotion_of_Vasudev_for_Krishna_SB-10-08-09_-_Mumbai_10-04-92_IDesireTree.MP3</v>
      </c>
      <c r="D3238" s="11"/>
      <c r="E3238" s="11"/>
    </row>
    <row r="3239" spans="1:5">
      <c r="A3239" s="12" t="s">
        <v>12463</v>
      </c>
      <c r="B3239" s="12" t="s">
        <v>15952</v>
      </c>
      <c r="C3239" s="13" t="str">
        <f>HYPERLINK("https://audio.iskcondesiretree.com/02_-_ISKCON_Swamis/ISKCON_Swamis_-_R_to_Y/His_Holiness_Radhanath_Swami/Lectures/01_-_Theme_wise/Bhakti/Worshipping_the_Lord_for_Material_Benefit_is_Foolish_23_-_Radhanath_Swami_IDesireTree.mp3", "Worshipping_the_Lord_for_Material_Benefit_is_Foolish_23_-_Radhanath_Swami_IDesireTree.mp3")</f>
        <v>Worshipping_the_Lord_for_Material_Benefit_is_Foolish_23_-_Radhanath_Swami_IDesireTree.mp3</v>
      </c>
      <c r="D3239" s="11"/>
      <c r="E3239" s="11"/>
    </row>
    <row r="3240" spans="1:5">
      <c r="A3240" s="12" t="s">
        <v>12463</v>
      </c>
      <c r="B3240" s="12" t="s">
        <v>15953</v>
      </c>
      <c r="C3240" s="13" t="str">
        <f>HYPERLINK("https://audio.iskcondesiretree.com/02_-_ISKCON_Swamis/ISKCON_Swamis_-_R_to_Y/His_Holiness_Radhanath_Swami/Lectures/01_-_Theme_wise/Blessings/1991-069_Blessing_Of_Acharyas_Is_Necessary_Lecture_-_Radhanath_Swami_Mumbai_1991-05-27_IDesireTree.mp3", "1991-069_Blessing_Of_Acharyas_Is_Necessary_Lecture_-_Radhanath_Swami_Mumbai_1991-05-27_IDesireTree.mp3")</f>
        <v>1991-069_Blessing_Of_Acharyas_Is_Necessary_Lecture_-_Radhanath_Swami_Mumbai_1991-05-27_IDesireTree.mp3</v>
      </c>
      <c r="D3240" s="11"/>
      <c r="E3240" s="11"/>
    </row>
    <row r="3241" spans="1:5">
      <c r="A3241" s="12" t="s">
        <v>12463</v>
      </c>
      <c r="B3241" s="12" t="s">
        <v>15954</v>
      </c>
      <c r="C3241" s="13" t="str">
        <f>HYPERLINK("https://audio.iskcondesiretree.com/02_-_ISKCON_Swamis/ISKCON_Swamis_-_R_to_Y/His_Holiness_Radhanath_Swami/Lectures/01_-_Theme_wise/Blessings/1991-088_Need_For_Vaishnava_Blessings_Lecture_-_Radhanath_Swami_Mumbai_1991-10-23_IDesireTree.mp3", "1991-088_Need_For_Vaishnava_Blessings_Lecture_-_Radhanath_Swami_Mumbai_1991-10-23_IDesireTree.mp3")</f>
        <v>1991-088_Need_For_Vaishnava_Blessings_Lecture_-_Radhanath_Swami_Mumbai_1991-10-23_IDesireTree.mp3</v>
      </c>
      <c r="D3241" s="11"/>
      <c r="E3241" s="11"/>
    </row>
    <row r="3242" spans="1:5">
      <c r="A3242" s="12" t="s">
        <v>12463</v>
      </c>
      <c r="B3242" s="12" t="s">
        <v>15955</v>
      </c>
      <c r="C3242" s="13" t="str">
        <f>HYPERLINK("https://audio.iskcondesiretree.com/02_-_ISKCON_Swamis/ISKCON_Swamis_-_R_to_Y/His_Holiness_Radhanath_Swami/Lectures/01_-_Theme_wise/Blessings/1992-064_Guru_And_Vaishnava_Blessing_SB_10-08-06_-_Radhanath_Swami_Mumbai_1992-04-09_IDesireTree.mp3", "1992-064_Guru_And_Vaishnava_Blessing_SB_10-08-06_-_Radhanath_Swami_Mumbai_1992-04-09_IDesireTree.mp3")</f>
        <v>1992-064_Guru_And_Vaishnava_Blessing_SB_10-08-06_-_Radhanath_Swami_Mumbai_1992-04-09_IDesireTree.mp3</v>
      </c>
      <c r="D3242" s="11"/>
      <c r="E3242" s="11"/>
    </row>
    <row r="3243" spans="1:5">
      <c r="A3243" s="12" t="s">
        <v>12463</v>
      </c>
      <c r="B3243" s="12" t="s">
        <v>15956</v>
      </c>
      <c r="C3243" s="13" t="str">
        <f>HYPERLINK("https://audio.iskcondesiretree.com/02_-_ISKCON_Swamis/ISKCON_Swamis_-_R_to_Y/His_Holiness_Radhanath_Swami/Lectures/01_-_Theme_wise/Blessings/1992-139_Prayers_Of_Vaishnavas_Never_Go_In_Vain_SB_10-16-60-64_-_Radhanath_Swami_Mumbai_1992-12-12_IDesireTree.mp3", "1992-139_Prayers_Of_Vaishnavas_Never_Go_In_Vain_SB_10-16-60-64_-_Radhanath_Swami_Mumbai_1992-12-12_IDesireTree.mp3")</f>
        <v>1992-139_Prayers_Of_Vaishnavas_Never_Go_In_Vain_SB_10-16-60-64_-_Radhanath_Swami_Mumbai_1992-12-12_IDesireTree.mp3</v>
      </c>
      <c r="D3243" s="11"/>
      <c r="E3243" s="11"/>
    </row>
    <row r="3244" spans="1:5">
      <c r="A3244" s="12" t="s">
        <v>12463</v>
      </c>
      <c r="B3244" s="12" t="s">
        <v>15957</v>
      </c>
      <c r="C3244" s="13" t="str">
        <f>HYPERLINK("https://audio.iskcondesiretree.com/02_-_ISKCON_Swamis/ISKCON_Swamis_-_R_to_Y/His_Holiness_Radhanath_Swami/Lectures/01_-_Theme_wise/Blessings/1993-087_Lord_Krishna%27s_Blessing_On_His_Devotees_SB_10-28-17_-_Radhanath_Swami_Mumbai_1993-05-18_IDesireTree.mp3", "1993-087_Lord_Krishna%27s_Blessing_On_His_Devotees_SB_10-28-17_-_Radhanath_Swami_Mumbai_1993-05-18_IDesireTree.mp3")</f>
        <v>1993-087_Lord_Krishna%27s_Blessing_On_His_Devotees_SB_10-28-17_-_Radhanath_Swami_Mumbai_1993-05-18_IDesireTree.mp3</v>
      </c>
      <c r="D3244" s="11"/>
      <c r="E3244" s="11"/>
    </row>
    <row r="3245" spans="1:5">
      <c r="A3245" s="12" t="s">
        <v>12463</v>
      </c>
      <c r="B3245" s="12" t="s">
        <v>15958</v>
      </c>
      <c r="C3245" s="13" t="str">
        <f>HYPERLINK("https://audio.iskcondesiretree.com/02_-_ISKCON_Swamis/ISKCON_Swamis_-_R_to_Y/His_Holiness_Radhanath_Swami/Lectures/01_-_Theme_wise/Blessings/1998-111_Best_Blessings_of_Demigods_SB_03-14-26_-_Radhanath_Swami_Mumbai_1998-12-06_IDesireTree.mp3", "1998-111_Best_Blessings_of_Demigods_SB_03-14-26_-_Radhanath_Swami_Mumbai_1998-12-06_IDesireTree.mp3")</f>
        <v>1998-111_Best_Blessings_of_Demigods_SB_03-14-26_-_Radhanath_Swami_Mumbai_1998-12-06_IDesireTree.mp3</v>
      </c>
      <c r="D3245" s="11"/>
      <c r="E3245" s="11"/>
    </row>
    <row r="3246" spans="1:5">
      <c r="A3246" s="12" t="s">
        <v>12463</v>
      </c>
      <c r="B3246" s="12" t="s">
        <v>15959</v>
      </c>
      <c r="C3246" s="13" t="str">
        <f>HYPERLINK("https://audio.iskcondesiretree.com/02_-_ISKCON_Swamis/ISKCON_Swamis_-_R_to_Y/His_Holiness_Radhanath_Swami/Lectures/01_-_Theme_wise/Blessings/2002-026_To_Seek_Blessing_Is_a_Sign_Of_Humility_Lecture_-_Radhanath_Swami_Mumbai_2002-01-31_IDesireTree.mp3", "2002-026_To_Seek_Blessing_Is_a_Sign_Of_Humility_Lecture_-_Radhanath_Swami_Mumbai_2002-01-31_IDesireTree.mp3")</f>
        <v>2002-026_To_Seek_Blessing_Is_a_Sign_Of_Humility_Lecture_-_Radhanath_Swami_Mumbai_2002-01-31_IDesireTree.mp3</v>
      </c>
      <c r="D3246" s="11"/>
      <c r="E3246" s="11"/>
    </row>
    <row r="3247" spans="1:5">
      <c r="A3247" s="12" t="s">
        <v>12463</v>
      </c>
      <c r="B3247" s="12" t="s">
        <v>15960</v>
      </c>
      <c r="C3247" s="13" t="str">
        <f>HYPERLINK("https://audio.iskcondesiretree.com/02_-_ISKCON_Swamis/ISKCON_Swamis_-_R_to_Y/His_Holiness_Radhanath_Swami/Lectures/01_-_Theme_wise/Books_are_the_basis/1989-055_Studying_Bhagavatam_SB_07-10-43-44_-_Radhanath_Swami_Mumbai_1989-09-28_IDesireTree.mp3", "1989-055_Studying_Bhagavatam_SB_07-10-43-44_-_Radhanath_Swami_Mumbai_1989-09-28_IDesireTree.mp3")</f>
        <v>1989-055_Studying_Bhagavatam_SB_07-10-43-44_-_Radhanath_Swami_Mumbai_1989-09-28_IDesireTree.mp3</v>
      </c>
      <c r="D3247" s="11"/>
      <c r="E3247" s="11"/>
    </row>
    <row r="3248" spans="1:5">
      <c r="A3248" s="12" t="s">
        <v>12463</v>
      </c>
      <c r="B3248" s="12" t="s">
        <v>15961</v>
      </c>
      <c r="C3248" s="13" t="str">
        <f>HYPERLINK("https://audio.iskcondesiretree.com/02_-_ISKCON_Swamis/ISKCON_Swamis_-_R_to_Y/His_Holiness_Radhanath_Swami/Lectures/01_-_Theme_wise/Books_are_the_basis/1996-166_Book_Distribution_Meeting_Lecture_-_Radhanath_Swami_Mumbai_1996-11-03_IDesireTree.mp3", "1996-166_Book_Distribution_Meeting_Lecture_-_Radhanath_Swami_Mumbai_1996-11-03_IDesireTree.mp3")</f>
        <v>1996-166_Book_Distribution_Meeting_Lecture_-_Radhanath_Swami_Mumbai_1996-11-03_IDesireTree.mp3</v>
      </c>
      <c r="D3248" s="11"/>
      <c r="E3248" s="11"/>
    </row>
    <row r="3249" spans="1:5">
      <c r="A3249" s="12" t="s">
        <v>12463</v>
      </c>
      <c r="B3249" s="12" t="s">
        <v>15962</v>
      </c>
      <c r="C3249" s="13" t="str">
        <f>HYPERLINK("https://audio.iskcondesiretree.com/02_-_ISKCON_Swamis/ISKCON_Swamis_-_R_to_Y/His_Holiness_Radhanath_Swami/Lectures/01_-_Theme_wise/Books_are_the_basis/1997-012_BTG_Festival_Lecture_-_Radhanath_Swami_Mumbai_1997-01-13_IDesireTree.mp3", "1997-012_BTG_Festival_Lecture_-_Radhanath_Swami_Mumbai_1997-01-13_IDesireTree.mp3")</f>
        <v>1997-012_BTG_Festival_Lecture_-_Radhanath_Swami_Mumbai_1997-01-13_IDesireTree.mp3</v>
      </c>
      <c r="D3249" s="11"/>
      <c r="E3249" s="11"/>
    </row>
    <row r="3250" spans="1:5">
      <c r="A3250" s="12" t="s">
        <v>12463</v>
      </c>
      <c r="B3250" s="12" t="s">
        <v>15963</v>
      </c>
      <c r="C3250" s="13" t="str">
        <f>HYPERLINK("https://audio.iskcondesiretree.com/02_-_ISKCON_Swamis/ISKCON_Swamis_-_R_to_Y/His_Holiness_Radhanath_Swami/Lectures/01_-_Theme_wise/Books_are_the_basis/1997-088_Krishna_Book_Reading_Lecture_-_Radhanath_Swami_Mumbai_1997-08-25_IDesireTree.mp3", "1997-088_Krishna_Book_Reading_Lecture_-_Radhanath_Swami_Mumbai_1997-08-25_IDesireTree.mp3")</f>
        <v>1997-088_Krishna_Book_Reading_Lecture_-_Radhanath_Swami_Mumbai_1997-08-25_IDesireTree.mp3</v>
      </c>
      <c r="D3250" s="11"/>
      <c r="E3250" s="11"/>
    </row>
    <row r="3251" spans="1:5">
      <c r="A3251" s="12" t="s">
        <v>12463</v>
      </c>
      <c r="B3251" s="12" t="s">
        <v>15964</v>
      </c>
      <c r="C3251" s="13" t="str">
        <f>HYPERLINK("https://audio.iskcondesiretree.com/02_-_ISKCON_Swamis/ISKCON_Swamis_-_R_to_Y/His_Holiness_Radhanath_Swami/Lectures/01_-_Theme_wise/Books_are_the_basis/1999-061_Original_Book_Distribution_BG_07-27_-_Radhanath_Swami_Mumbai_1999-12-12_IDesireTree.mp3", "1999-061_Original_Book_Distribution_BG_07-27_-_Radhanath_Swami_Mumbai_1999-12-12_IDesireTree.mp3")</f>
        <v>1999-061_Original_Book_Distribution_BG_07-27_-_Radhanath_Swami_Mumbai_1999-12-12_IDesireTree.mp3</v>
      </c>
      <c r="D3251" s="11"/>
      <c r="E3251" s="11"/>
    </row>
    <row r="3252" spans="1:5">
      <c r="A3252" s="12" t="s">
        <v>12463</v>
      </c>
      <c r="B3252" s="12" t="s">
        <v>15965</v>
      </c>
      <c r="C3252" s="13" t="str">
        <f>HYPERLINK("https://audio.iskcondesiretree.com/02_-_ISKCON_Swamis/ISKCON_Swamis_-_R_to_Y/His_Holiness_Radhanath_Swami/Lectures/01_-_Theme_wise/Books_are_the_basis/2001-069_Book_Distribution_Nectar_Lecture_-_Radhanath_Swami_Mumbai_2001-12-29_IDesireTree.mp3", "2001-069_Book_Distribution_Nectar_Lecture_-_Radhanath_Swami_Mumbai_2001-12-29_IDesireTree.mp3")</f>
        <v>2001-069_Book_Distribution_Nectar_Lecture_-_Radhanath_Swami_Mumbai_2001-12-29_IDesireTree.mp3</v>
      </c>
      <c r="D3252" s="11"/>
      <c r="E3252" s="11"/>
    </row>
    <row r="3253" spans="1:5">
      <c r="A3253" s="12" t="s">
        <v>12463</v>
      </c>
      <c r="B3253" s="12" t="s">
        <v>15966</v>
      </c>
      <c r="C3253" s="13" t="str">
        <f>HYPERLINK("https://audio.iskcondesiretree.com/02_-_ISKCON_Swamis/ISKCON_Swamis_-_R_to_Y/His_Holiness_Radhanath_Swami/Lectures/01_-_Theme_wise/Books_are_the_basis/2002-009_Book_Distribution_Of_Address_Lecture_-_Radhanath_Swami_Mumbai_2002-01-10_IDesireTree.mp3", "2002-009_Book_Distribution_Of_Address_Lecture_-_Radhanath_Swami_Mumbai_2002-01-10_IDesireTree.mp3")</f>
        <v>2002-009_Book_Distribution_Of_Address_Lecture_-_Radhanath_Swami_Mumbai_2002-01-10_IDesireTree.mp3</v>
      </c>
      <c r="D3253" s="11"/>
      <c r="E3253" s="11"/>
    </row>
    <row r="3254" spans="1:5">
      <c r="A3254" s="12" t="s">
        <v>12463</v>
      </c>
      <c r="B3254" s="12" t="s">
        <v>15967</v>
      </c>
      <c r="C3254" s="13" t="str">
        <f>HYPERLINK("https://audio.iskcondesiretree.com/02_-_ISKCON_Swamis/ISKCON_Swamis_-_R_to_Y/His_Holiness_Radhanath_Swami/Lectures/01_-_Theme_wise/Brahmachari_Training/1989-008_Proper_Behaviour_of_a_Brahmacari_SB_-_Radhanath_Swami_NV_1989-06-27_IDesireTree.mp3", "1989-008_Proper_Behaviour_of_a_Brahmacari_SB_-_Radhanath_Swami_NV_1989-06-27_IDesireTree.mp3")</f>
        <v>1989-008_Proper_Behaviour_of_a_Brahmacari_SB_-_Radhanath_Swami_NV_1989-06-27_IDesireTree.mp3</v>
      </c>
      <c r="D3254" s="11"/>
      <c r="E3254" s="11"/>
    </row>
    <row r="3255" spans="1:5">
      <c r="A3255" s="12" t="s">
        <v>12463</v>
      </c>
      <c r="B3255" s="12" t="s">
        <v>15968</v>
      </c>
      <c r="C3255" s="13" t="str">
        <f>HYPERLINK("https://audio.iskcondesiretree.com/02_-_ISKCON_Swamis/ISKCON_Swamis_-_R_to_Y/His_Holiness_Radhanath_Swami/Lectures/01_-_Theme_wise/Brahmachari_Training/1992-111_Lecture_On_Accepting_Saffron_Lecture_-_Radhanath_Swami_Mumbai_1992-09-11_IDesireTree.mp3", "1992-111_Lecture_On_Accepting_Saffron_Lecture_-_Radhanath_Swami_Mumbai_1992-09-11_IDesireTree.mp3")</f>
        <v>1992-111_Lecture_On_Accepting_Saffron_Lecture_-_Radhanath_Swami_Mumbai_1992-09-11_IDesireTree.mp3</v>
      </c>
      <c r="D3255" s="11"/>
      <c r="E3255" s="11"/>
    </row>
    <row r="3256" spans="1:5">
      <c r="A3256" s="12" t="s">
        <v>12463</v>
      </c>
      <c r="B3256" s="12" t="s">
        <v>15969</v>
      </c>
      <c r="C3256" s="13" t="str">
        <f>HYPERLINK("https://audio.iskcondesiretree.com/02_-_ISKCON_Swamis/ISKCON_Swamis_-_R_to_Y/His_Holiness_Radhanath_Swami/Lectures/01_-_Theme_wise/Brahmachari_Training/1994-098_Talk_With_Brahmachari%27s_Q%26A_-_Radhanath_Swami_Mumbai_1994-05-25_IDesireTree.mp3", "1994-098_Talk_With_Brahmachari%27s_Q%26A_-_Radhanath_Swami_Mumbai_1994-05-25_IDesireTree.mp3")</f>
        <v>1994-098_Talk_With_Brahmachari%27s_Q%26A_-_Radhanath_Swami_Mumbai_1994-05-25_IDesireTree.mp3</v>
      </c>
      <c r="D3256" s="11"/>
      <c r="E3256" s="11"/>
    </row>
    <row r="3257" spans="1:5">
      <c r="A3257" s="12" t="s">
        <v>12463</v>
      </c>
      <c r="B3257" s="12" t="s">
        <v>15970</v>
      </c>
      <c r="C3257" s="13" t="str">
        <f>HYPERLINK("https://audio.iskcondesiretree.com/02_-_ISKCON_Swamis/ISKCON_Swamis_-_R_to_Y/His_Holiness_Radhanath_Swami/Lectures/01_-_Theme_wise/Brahmachari_Training/1994-158_Ishtagoshti_With_Brahmacharis_Q%26A_-_Radhanath_Swami_Mumbai_1994-09-22_IDesireTree.mp3", "1994-158_Ishtagoshti_With_Brahmacharis_Q%26A_-_Radhanath_Swami_Mumbai_1994-09-22_IDesireTree.mp3")</f>
        <v>1994-158_Ishtagoshti_With_Brahmacharis_Q%26A_-_Radhanath_Swami_Mumbai_1994-09-22_IDesireTree.mp3</v>
      </c>
      <c r="D3257" s="11"/>
      <c r="E3257" s="11"/>
    </row>
    <row r="3258" spans="1:5">
      <c r="A3258" s="12" t="s">
        <v>12463</v>
      </c>
      <c r="B3258" s="12" t="s">
        <v>15971</v>
      </c>
      <c r="C3258" s="13" t="str">
        <f>HYPERLINK("https://audio.iskcondesiretree.com/02_-_ISKCON_Swamis/ISKCON_Swamis_-_R_to_Y/His_Holiness_Radhanath_Swami/Lectures/01_-_Theme_wise/Brahmachari_Training/1996-070_Saffron_Awarding_Ceremony_Lecture_-_Radhanath_Swami_Mumbai_1996-04-03_IDesireTree.mp3", "1996-070_Saffron_Awarding_Ceremony_Lecture_-_Radhanath_Swami_Mumbai_1996-04-03_IDesireTree.mp3")</f>
        <v>1996-070_Saffron_Awarding_Ceremony_Lecture_-_Radhanath_Swami_Mumbai_1996-04-03_IDesireTree.mp3</v>
      </c>
      <c r="D3258" s="11"/>
      <c r="E3258" s="11"/>
    </row>
    <row r="3259" spans="1:5">
      <c r="A3259" s="12" t="s">
        <v>12463</v>
      </c>
      <c r="B3259" s="12" t="s">
        <v>15972</v>
      </c>
      <c r="C3259" s="13" t="str">
        <f>HYPERLINK("https://audio.iskcondesiretree.com/02_-_ISKCON_Swamis/ISKCON_Swamis_-_R_to_Y/His_Holiness_Radhanath_Swami/Lectures/01_-_Theme_wise/Brahmachari_Training/1997-077_Departure_Address_To_Brahmacari_Lecture_-_Radhanath_Swami_Mumbai_1997-05-14_IDesireTree.mp3", "1997-077_Departure_Address_To_Brahmacari_Lecture_-_Radhanath_Swami_Mumbai_1997-05-14_IDesireTree.mp3")</f>
        <v>1997-077_Departure_Address_To_Brahmacari_Lecture_-_Radhanath_Swami_Mumbai_1997-05-14_IDesireTree.mp3</v>
      </c>
      <c r="D3259" s="11"/>
      <c r="E3259" s="11"/>
    </row>
    <row r="3260" spans="1:5">
      <c r="A3260" s="12" t="s">
        <v>12463</v>
      </c>
      <c r="B3260" s="12" t="s">
        <v>15973</v>
      </c>
      <c r="C3260" s="13" t="str">
        <f>HYPERLINK("https://audio.iskcondesiretree.com/02_-_ISKCON_Swamis/ISKCON_Swamis_-_R_to_Y/His_Holiness_Radhanath_Swami/Lectures/01_-_Theme_wise/Brahmachari_Training/1998-012_Brahmacari_Class_and_Q%26A_Q%26A_-_Radhanath_Swami_Mumbai_1998-01-30_IDesireTree.mp3", "1998-012_Brahmacari_Class_and_Q%26A_Q%26A_-_Radhanath_Swami_Mumbai_1998-01-30_IDesireTree.mp3")</f>
        <v>1998-012_Brahmacari_Class_and_Q%26A_Q%26A_-_Radhanath_Swami_Mumbai_1998-01-30_IDesireTree.mp3</v>
      </c>
      <c r="D3260" s="11"/>
      <c r="E3260" s="11"/>
    </row>
    <row r="3261" spans="1:5">
      <c r="A3261" s="12" t="s">
        <v>12463</v>
      </c>
      <c r="B3261" s="12" t="s">
        <v>15974</v>
      </c>
      <c r="C3261" s="13" t="str">
        <f>HYPERLINK("https://audio.iskcondesiretree.com/02_-_ISKCON_Swamis/ISKCON_Swamis_-_R_to_Y/His_Holiness_Radhanath_Swami/Lectures/01_-_Theme_wise/Brahmachari_Training/1998-066_Address_to_Brahmacaris-_I%26II_Lecture_-_Radhanath_Swami_Mumbai_1998-05-13_IDesireTree.mp3", "1998-066_Address_to_Brahmacaris-_I%26II_Lecture_-_Radhanath_Swami_Mumbai_1998-05-13_IDesireTree.mp3")</f>
        <v>1998-066_Address_to_Brahmacaris-_I%26II_Lecture_-_Radhanath_Swami_Mumbai_1998-05-13_IDesireTree.mp3</v>
      </c>
      <c r="D3261" s="11"/>
      <c r="E3261" s="11"/>
    </row>
    <row r="3262" spans="1:5">
      <c r="A3262" s="12" t="s">
        <v>12463</v>
      </c>
      <c r="B3262" s="12" t="s">
        <v>15975</v>
      </c>
      <c r="C3262" s="13" t="str">
        <f>HYPERLINK("https://audio.iskcondesiretree.com/02_-_ISKCON_Swamis/ISKCON_Swamis_-_R_to_Y/His_Holiness_Radhanath_Swami/Lectures/01_-_Theme_wise/Chaitanya_Charithamritha/1991-025_Chaitanya_Charitamrita_Reading_Lecture_-_Radhanath_Swami_Mumbai_1991-02-28_IDesireTree.mp3", "1991-025_Chaitanya_Charitamrita_Reading_Lecture_-_Radhanath_Swami_Mumbai_1991-02-28_IDesireTree.mp3")</f>
        <v>1991-025_Chaitanya_Charitamrita_Reading_Lecture_-_Radhanath_Swami_Mumbai_1991-02-28_IDesireTree.mp3</v>
      </c>
      <c r="D3262" s="11"/>
      <c r="E3262" s="11"/>
    </row>
    <row r="3263" spans="1:5">
      <c r="A3263" s="12" t="s">
        <v>12463</v>
      </c>
      <c r="B3263" s="12" t="s">
        <v>15976</v>
      </c>
      <c r="C3263" s="13" t="str">
        <f>HYPERLINK("https://audio.iskcondesiretree.com/02_-_ISKCON_Swamis/ISKCON_Swamis_-_R_to_Y/His_Holiness_Radhanath_Swami/Lectures/01_-_Theme_wise/Chaitanya_Charithamritha/1992-054_The_Highest_Pastimes_CC_01-01-04-22_-_Radhanath_Swami_Mumbai_1992-03-31_IDesireTree.mp3", "1992-054_The_Highest_Pastimes_CC_01-01-04-22_-_Radhanath_Swami_Mumbai_1992-03-31_IDesireTree.mp3")</f>
        <v>1992-054_The_Highest_Pastimes_CC_01-01-04-22_-_Radhanath_Swami_Mumbai_1992-03-31_IDesireTree.mp3</v>
      </c>
      <c r="D3263" s="11"/>
      <c r="E3263" s="11"/>
    </row>
    <row r="3264" spans="1:5">
      <c r="A3264" s="12" t="s">
        <v>12463</v>
      </c>
      <c r="B3264" s="12" t="s">
        <v>15977</v>
      </c>
      <c r="C3264" s="13" t="str">
        <f>HYPERLINK("https://audio.iskcondesiretree.com/02_-_ISKCON_Swamis/ISKCON_Swamis_-_R_to_Y/His_Holiness_Radhanath_Swami/Lectures/01_-_Theme_wise/Chaitanya_Charithamritha/Setting_the_Scene-The_Writing_of_Caitanya_Caritamrta_Sunday_Feast_-_Mumbai_04-11-05.mp3", "Setting_the_Scene-The_Writing_of_Caitanya_Caritamrta_Sunday_Feast_-_Mumbai_04-11-05.mp3")</f>
        <v>Setting_the_Scene-The_Writing_of_Caitanya_Caritamrta_Sunday_Feast_-_Mumbai_04-11-05.mp3</v>
      </c>
      <c r="D3264" s="11"/>
      <c r="E3264" s="11"/>
    </row>
    <row r="3265" spans="1:5">
      <c r="A3265" s="12" t="s">
        <v>12463</v>
      </c>
      <c r="B3265" s="12" t="s">
        <v>15978</v>
      </c>
      <c r="C3265" s="13" t="str">
        <f>HYPERLINK("https://audio.iskcondesiretree.com/02_-_ISKCON_Swamis/ISKCON_Swamis_-_R_to_Y/His_Holiness_Radhanath_Swami/Lectures/01_-_Theme_wise/Chaitanya_Charithamritha/Srila_Krishnadas_Kaviraj_Goswami_CC_Adi-08_01-02_Mumbai_26-10-93_IDesireTree.mp3", "Srila_Krishnadas_Kaviraj_Goswami_CC_Adi-08_01-02_Mumbai_26-10-93_IDesireTree.mp3")</f>
        <v>Srila_Krishnadas_Kaviraj_Goswami_CC_Adi-08_01-02_Mumbai_26-10-93_IDesireTree.mp3</v>
      </c>
      <c r="D3265" s="11"/>
      <c r="E3265" s="11"/>
    </row>
    <row r="3266" spans="1:5">
      <c r="A3266" s="12" t="s">
        <v>12463</v>
      </c>
      <c r="B3266" s="12" t="s">
        <v>15979</v>
      </c>
      <c r="C3266" s="13" t="str">
        <f>HYPERLINK("https://audio.iskcondesiretree.com/02_-_ISKCON_Swamis/ISKCON_Swamis_-_R_to_Y/His_Holiness_Radhanath_Swami/Lectures/01_-_Theme_wise/Charity/1989-013_Charity_BG_15-18_-_Radhanath_Swami_Mumbai_1989-07-16_IDesireTree.mp3", "1989-013_Charity_BG_15-18_-_Radhanath_Swami_Mumbai_1989-07-16_IDesireTree.mp3")</f>
        <v>1989-013_Charity_BG_15-18_-_Radhanath_Swami_Mumbai_1989-07-16_IDesireTree.mp3</v>
      </c>
      <c r="D3266" s="11"/>
      <c r="E3266" s="11"/>
    </row>
    <row r="3267" spans="1:5">
      <c r="A3267" s="12" t="s">
        <v>12463</v>
      </c>
      <c r="B3267" s="12" t="s">
        <v>15980</v>
      </c>
      <c r="C3267" s="13" t="str">
        <f>HYPERLINK("https://audio.iskcondesiretree.com/02_-_ISKCON_Swamis/ISKCON_Swamis_-_R_to_Y/His_Holiness_Radhanath_Swami/Lectures/01_-_Theme_wise/Charity/1990-007_Greatest_charity_to_others_Lecture_-_Radhanath_Swami_Mumbai_1990-01-14_IDesireTree.mp3", "1990-007_Greatest_charity_to_others_Lecture_-_Radhanath_Swami_Mumbai_1990-01-14_IDesireTree.mp3")</f>
        <v>1990-007_Greatest_charity_to_others_Lecture_-_Radhanath_Swami_Mumbai_1990-01-14_IDesireTree.mp3</v>
      </c>
      <c r="D3267" s="11"/>
      <c r="E3267" s="11"/>
    </row>
    <row r="3268" spans="1:5">
      <c r="A3268" s="12" t="s">
        <v>12463</v>
      </c>
      <c r="B3268" s="12" t="s">
        <v>15981</v>
      </c>
      <c r="C3268" s="13" t="str">
        <f>HYPERLINK("https://audio.iskcondesiretree.com/02_-_ISKCON_Swamis/ISKCON_Swamis_-_R_to_Y/His_Holiness_Radhanath_Swami/Lectures/01_-_Theme_wise/Chastity/1991-057_The_Importance_Of_Chastity_SB_09-10-24-27_-_Radhanath_Swami_Mumbai_1991-05-06_IDesireTree.mp3", "1991-057_The_Importance_Of_Chastity_SB_09-10-24-27_-_Radhanath_Swami_Mumbai_1991-05-06_IDesireTree.mp3")</f>
        <v>1991-057_The_Importance_Of_Chastity_SB_09-10-24-27_-_Radhanath_Swami_Mumbai_1991-05-06_IDesireTree.mp3</v>
      </c>
      <c r="D3268" s="11"/>
      <c r="E3268" s="11"/>
    </row>
    <row r="3269" spans="1:5">
      <c r="A3269" s="12" t="s">
        <v>12463</v>
      </c>
      <c r="B3269" s="12" t="s">
        <v>15982</v>
      </c>
      <c r="C3269" s="13" t="str">
        <f>HYPERLINK("https://audio.iskcondesiretree.com/02_-_ISKCON_Swamis/ISKCON_Swamis_-_R_to_Y/His_Holiness_Radhanath_Swami/Lectures/01_-_Theme_wise/Compassion/1989-046_Not_Bad_Not_Mad_But_Sick_Lecture_-_Radhanath_Swami_Mumbai_1989-09-23_IDesireTree.mp3", "1989-046_Not_Bad_Not_Mad_But_Sick_Lecture_-_Radhanath_Swami_Mumbai_1989-09-23_IDesireTree.mp3")</f>
        <v>1989-046_Not_Bad_Not_Mad_But_Sick_Lecture_-_Radhanath_Swami_Mumbai_1989-09-23_IDesireTree.mp3</v>
      </c>
      <c r="D3269" s="11"/>
      <c r="E3269" s="11"/>
    </row>
    <row r="3270" spans="1:5">
      <c r="A3270" s="12" t="s">
        <v>12463</v>
      </c>
      <c r="B3270" s="12" t="s">
        <v>15983</v>
      </c>
      <c r="C3270" s="13" t="str">
        <f>HYPERLINK("https://audio.iskcondesiretree.com/02_-_ISKCON_Swamis/ISKCON_Swamis_-_R_to_Y/His_Holiness_Radhanath_Swami/Lectures/01_-_Theme_wise/Compassion/1992-132_Love_And_Compassion_SB_06-10-08-10_-_Radhanath_Swami_Mumbai_1992-11-28_IDesireTree.mp3", "1992-132_Love_And_Compassion_SB_06-10-08-10_-_Radhanath_Swami_Mumbai_1992-11-28_IDesireTree.mp3")</f>
        <v>1992-132_Love_And_Compassion_SB_06-10-08-10_-_Radhanath_Swami_Mumbai_1992-11-28_IDesireTree.mp3</v>
      </c>
      <c r="D3270" s="11"/>
      <c r="E3270" s="11"/>
    </row>
    <row r="3271" spans="1:5">
      <c r="A3271" s="12" t="s">
        <v>12463</v>
      </c>
      <c r="B3271" s="12" t="s">
        <v>15984</v>
      </c>
      <c r="C3271" s="13" t="str">
        <f>HYPERLINK("https://audio.iskcondesiretree.com/02_-_ISKCON_Swamis/ISKCON_Swamis_-_R_to_Y/His_Holiness_Radhanath_Swami/Lectures/01_-_Theme_wise/Compassion/1994-076_Compassion_Of_Haridas_Thakur_BG_02-15_-_Radhanath_Swami_Mumbai_1994-05-08_IDesireTree.mp3", "1994-076_Compassion_Of_Haridas_Thakur_BG_02-15_-_Radhanath_Swami_Mumbai_1994-05-08_IDesireTree.mp3")</f>
        <v>1994-076_Compassion_Of_Haridas_Thakur_BG_02-15_-_Radhanath_Swami_Mumbai_1994-05-08_IDesireTree.mp3</v>
      </c>
      <c r="D3271" s="11"/>
      <c r="E3271" s="11"/>
    </row>
    <row r="3272" spans="1:5">
      <c r="A3272" s="12" t="s">
        <v>12463</v>
      </c>
      <c r="B3272" s="12" t="s">
        <v>15985</v>
      </c>
      <c r="C3272" s="13" t="str">
        <f>HYPERLINK("https://audio.iskcondesiretree.com/02_-_ISKCON_Swamis/ISKCON_Swamis_-_R_to_Y/His_Holiness_Radhanath_Swami/Lectures/01_-_Theme_wise/Compassion/1995-032_Compassion_Exemplified_SB_01-07-45-47_-_Radhanath_Swami_Mumbai_1995-01-22.mp3", "1995-032_Compassion_Exemplified_SB_01-07-45-47_-_Radhanath_Swami_Mumbai_1995-01-22.mp3")</f>
        <v>1995-032_Compassion_Exemplified_SB_01-07-45-47_-_Radhanath_Swami_Mumbai_1995-01-22.mp3</v>
      </c>
      <c r="D3272" s="11"/>
      <c r="E3272" s="11"/>
    </row>
    <row r="3273" spans="1:5">
      <c r="A3273" s="12" t="s">
        <v>12463</v>
      </c>
      <c r="B3273" s="12" t="s">
        <v>15986</v>
      </c>
      <c r="C3273" s="13" t="str">
        <f>HYPERLINK("https://audio.iskcondesiretree.com/02_-_ISKCON_Swamis/ISKCON_Swamis_-_R_to_Y/His_Holiness_Radhanath_Swami/Lectures/01_-_Theme_wise/Compassion/1997-035_Preach_With_Compassion_Lecture_-_Radhanath_Swami_Mumbai_1997-02-09_IDesireTree.mp3", "1997-035_Preach_With_Compassion_Lecture_-_Radhanath_Swami_Mumbai_1997-02-09_IDesireTree.mp3")</f>
        <v>1997-035_Preach_With_Compassion_Lecture_-_Radhanath_Swami_Mumbai_1997-02-09_IDesireTree.mp3</v>
      </c>
      <c r="D3273" s="11"/>
      <c r="E3273" s="11"/>
    </row>
    <row r="3274" spans="1:5">
      <c r="A3274" s="12" t="s">
        <v>12463</v>
      </c>
      <c r="B3274" s="12" t="s">
        <v>15987</v>
      </c>
      <c r="C3274" s="13" t="str">
        <f>HYPERLINK("https://audio.iskcondesiretree.com/02_-_ISKCON_Swamis/ISKCON_Swamis_-_R_to_Y/His_Holiness_Radhanath_Swami/Lectures/01_-_Theme_wise/Compassion/1997-080_Compassionate_Nature_of_Devotees_Lecture_-_Radhanath_Swami_London_IDesireTree.mp3", "1997-080_Compassionate_Nature_of_Devotees_Lecture_-_Radhanath_Swami_London_IDesireTree.mp3")</f>
        <v>1997-080_Compassionate_Nature_of_Devotees_Lecture_-_Radhanath_Swami_London_IDesireTree.mp3</v>
      </c>
      <c r="D3274" s="11"/>
      <c r="E3274" s="11"/>
    </row>
    <row r="3275" spans="1:5">
      <c r="A3275" s="12" t="s">
        <v>12463</v>
      </c>
      <c r="B3275" s="12" t="s">
        <v>15988</v>
      </c>
      <c r="C3275" s="13" t="str">
        <f>HYPERLINK("https://audio.iskcondesiretree.com/02_-_ISKCON_Swamis/ISKCON_Swamis_-_R_to_Y/His_Holiness_Radhanath_Swami/Lectures/01_-_Theme_wise/Compassion/2000-063_Genuine_Compassion_Please_Krishna_SB_03-29-26_-_Radhanath_Swam_Mumbaii_2000-09-030_IDesireTree.mp3", "2000-063_Genuine_Compassion_Please_Krishna_SB_03-29-26_-_Radhanath_Swam_Mumbaii_2000-09-030_IDesireTree.mp3")</f>
        <v>2000-063_Genuine_Compassion_Please_Krishna_SB_03-29-26_-_Radhanath_Swam_Mumbaii_2000-09-030_IDesireTree.mp3</v>
      </c>
      <c r="D3275" s="11"/>
      <c r="E3275" s="11"/>
    </row>
    <row r="3276" spans="1:5">
      <c r="A3276" s="12" t="s">
        <v>12463</v>
      </c>
      <c r="B3276" s="12" t="s">
        <v>15989</v>
      </c>
      <c r="C3276" s="13" t="str">
        <f>HYPERLINK("https://audio.iskcondesiretree.com/02_-_ISKCON_Swamis/ISKCON_Swamis_-_R_to_Y/His_Holiness_Radhanath_Swami/Lectures/01_-_Theme_wise/Compassion/2000_SB-03-29-06_Real_Compassion_is_Done_in_the_mood_-_Radhanath_Swami_2000-08-09_IDesireTree.mp3", "2000_SB-03-29-06_Real_Compassion_is_Done_in_the_mood_-_Radhanath_Swami_2000-08-09_IDesireTree.mp3")</f>
        <v>2000_SB-03-29-06_Real_Compassion_is_Done_in_the_mood_-_Radhanath_Swami_2000-08-09_IDesireTree.mp3</v>
      </c>
      <c r="D3276" s="11"/>
      <c r="E3276" s="11"/>
    </row>
    <row r="3277" spans="1:5">
      <c r="A3277" s="12" t="s">
        <v>12463</v>
      </c>
      <c r="B3277" s="12" t="s">
        <v>15990</v>
      </c>
      <c r="C3277" s="13" t="str">
        <f>HYPERLINK("https://audio.iskcondesiretree.com/02_-_ISKCON_Swamis/ISKCON_Swamis_-_R_to_Y/His_Holiness_Radhanath_Swami/Lectures/01_-_Theme_wise/Compassion/2002-038_quality_Of_Compassion_that_Decorates_Devotee_Lecture_-_Radhanath_Swami_Mumbai_2002-02-17_IDesireTree.mp3", "2002-038_quality_Of_Compassion_that_Decorates_Devotee_Lecture_-_Radhanath_Swami_Mumbai_2002-02-17_IDesireTree.mp3")</f>
        <v>2002-038_quality_Of_Compassion_that_Decorates_Devotee_Lecture_-_Radhanath_Swami_Mumbai_2002-02-17_IDesireTree.mp3</v>
      </c>
      <c r="D3277" s="11"/>
      <c r="E3277" s="11"/>
    </row>
    <row r="3278" spans="1:5">
      <c r="A3278" s="12" t="s">
        <v>12463</v>
      </c>
      <c r="B3278" s="12" t="s">
        <v>15991</v>
      </c>
      <c r="C3278" s="13" t="str">
        <f>HYPERLINK("https://audio.iskcondesiretree.com/02_-_ISKCON_Swamis/ISKCON_Swamis_-_R_to_Y/His_Holiness_Radhanath_Swami/Lectures/01_-_Theme_wise/Compassion/2003-013_Compassion_Melts_Heart_SB_06-01-01_-_Radhanath_Swami_Mumbai_2003-03-17_IDesireTree.mp3", "2003-013_Compassion_Melts_Heart_SB_06-01-01_-_Radhanath_Swami_Mumbai_2003-03-17_IDesireTree.mp3")</f>
        <v>2003-013_Compassion_Melts_Heart_SB_06-01-01_-_Radhanath_Swami_Mumbai_2003-03-17_IDesireTree.mp3</v>
      </c>
      <c r="D3278" s="11"/>
      <c r="E3278" s="11"/>
    </row>
    <row r="3279" spans="1:5">
      <c r="A3279" s="12" t="s">
        <v>12463</v>
      </c>
      <c r="B3279" s="12" t="s">
        <v>15992</v>
      </c>
      <c r="C3279" s="13" t="str">
        <f>HYPERLINK("https://audio.iskcondesiretree.com/02_-_ISKCON_Swamis/ISKCON_Swamis_-_R_to_Y/His_Holiness_Radhanath_Swami/Lectures/01_-_Theme_wise/Compassion/2003-059_Being_Compassionate_to_all_Living_Entities_Lecture_-_Radhanath_Swami_Mumbai_2003-08-31_IDesireTree.mp3", "2003-059_Being_Compassionate_to_all_Living_Entities_Lecture_-_Radhanath_Swami_Mumbai_2003-08-31_IDesireTree.mp3")</f>
        <v>2003-059_Being_Compassionate_to_all_Living_Entities_Lecture_-_Radhanath_Swami_Mumbai_2003-08-31_IDesireTree.mp3</v>
      </c>
      <c r="D3279" s="11"/>
      <c r="E3279" s="11"/>
    </row>
    <row r="3280" spans="1:5">
      <c r="A3280" s="12" t="s">
        <v>12463</v>
      </c>
      <c r="B3280" s="12" t="s">
        <v>15993</v>
      </c>
      <c r="C3280" s="13" t="str">
        <f>HYPERLINK("https://audio.iskcondesiretree.com/02_-_ISKCON_Swamis/ISKCON_Swamis_-_R_to_Y/His_Holiness_Radhanath_Swami/Lectures/01_-_Theme_wise/Compassion/2003_Being_Compassionate_to_All_Living_Entities_Lecture_-_Radhanath_Swami_Mumbai_2003-08-31_IDesireTree.mp3", "2003_Being_Compassionate_to_All_Living_Entities_Lecture_-_Radhanath_Swami_Mumbai_2003-08-31_IDesireTree.mp3")</f>
        <v>2003_Being_Compassionate_to_All_Living_Entities_Lecture_-_Radhanath_Swami_Mumbai_2003-08-31_IDesireTree.mp3</v>
      </c>
      <c r="D3280" s="11"/>
      <c r="E3280" s="11"/>
    </row>
    <row r="3281" spans="1:5">
      <c r="A3281" s="12" t="s">
        <v>12463</v>
      </c>
      <c r="B3281" s="12" t="s">
        <v>15994</v>
      </c>
      <c r="C3281" s="13" t="str">
        <f>HYPERLINK("https://audio.iskcondesiretree.com/02_-_ISKCON_Swamis/ISKCON_Swamis_-_R_to_Y/His_Holiness_Radhanath_Swami/Lectures/01_-_Theme_wise/Compassion/2004_A_Sadhu_is_Tolerant_and_Compassionate_SB_06-05-43_-_Radhanath_Swami_New_Vrindavan_2004-05-08_IDesireTree.mp3", "2004_A_Sadhu_is_Tolerant_and_Compassionate_SB_06-05-43_-_Radhanath_Swami_New_Vrindavan_2004-05-08_IDesireTree.mp3")</f>
        <v>2004_A_Sadhu_is_Tolerant_and_Compassionate_SB_06-05-43_-_Radhanath_Swami_New_Vrindavan_2004-05-08_IDesireTree.mp3</v>
      </c>
      <c r="D3281" s="11"/>
      <c r="E3281" s="11"/>
    </row>
    <row r="3282" spans="1:5">
      <c r="A3282" s="12" t="s">
        <v>12463</v>
      </c>
      <c r="B3282" s="12" t="s">
        <v>15995</v>
      </c>
      <c r="C3282" s="13" t="str">
        <f>HYPERLINK("https://audio.iskcondesiretree.com/02_-_ISKCON_Swamis/ISKCON_Swamis_-_R_to_Y/His_Holiness_Radhanath_Swami/Lectures/01_-_Theme_wise/Compassion/2004_Becoming_Instrument_of_Real_Compassion_SB_04-27-11_-_Radhanath_Swami_Mumbai_2004-01-17_IDesireTree.mp3", "2004_Becoming_Instrument_of_Real_Compassion_SB_04-27-11_-_Radhanath_Swami_Mumbai_2004-01-17_IDesireTree.mp3")</f>
        <v>2004_Becoming_Instrument_of_Real_Compassion_SB_04-27-11_-_Radhanath_Swami_Mumbai_2004-01-17_IDesireTree.mp3</v>
      </c>
      <c r="D3282" s="11"/>
      <c r="E3282" s="11"/>
    </row>
    <row r="3283" spans="1:5">
      <c r="A3283" s="12" t="s">
        <v>12463</v>
      </c>
      <c r="B3283" s="12" t="s">
        <v>15996</v>
      </c>
      <c r="C3283" s="13" t="str">
        <f>HYPERLINK("https://audio.iskcondesiretree.com/02_-_ISKCON_Swamis/ISKCON_Swamis_-_R_to_Y/His_Holiness_Radhanath_Swami/Lectures/01_-_Theme_wise/Compassion/2004_Showing_Real_Compassion_Through_Preaching_SB_04-31-19_-_Radhanath_Swami_Mumbai_2004-10-17IDesireTree.mp3", "2004_Showing_Real_Compassion_Through_Preaching_SB_04-31-19_-_Radhanath_Swami_Mumbai_2004-10-17IDesireTree.mp3")</f>
        <v>2004_Showing_Real_Compassion_Through_Preaching_SB_04-31-19_-_Radhanath_Swami_Mumbai_2004-10-17IDesireTree.mp3</v>
      </c>
      <c r="D3283" s="11"/>
      <c r="E3283" s="11"/>
    </row>
    <row r="3284" spans="1:5">
      <c r="A3284" s="12" t="s">
        <v>12463</v>
      </c>
      <c r="B3284" s="12" t="s">
        <v>15997</v>
      </c>
      <c r="C3284" s="13" t="str">
        <f>HYPERLINK("https://audio.iskcondesiretree.com/02_-_ISKCON_Swamis/ISKCON_Swamis_-_R_to_Y/His_Holiness_Radhanath_Swami/Lectures/01_-_Theme_wise/Compassion/2005_Compassion_of_Lord_Shiva_SB_05-17-17-19_-_Radhanath_Swami_Mumbai_2005-12-18_IDesireTree.MP3", "2005_Compassion_of_Lord_Shiva_SB_05-17-17-19_-_Radhanath_Swami_Mumbai_2005-12-18_IDesireTree.MP3")</f>
        <v>2005_Compassion_of_Lord_Shiva_SB_05-17-17-19_-_Radhanath_Swami_Mumbai_2005-12-18_IDesireTree.MP3</v>
      </c>
      <c r="D3284" s="11"/>
      <c r="E3284" s="11"/>
    </row>
    <row r="3285" spans="1:5">
      <c r="A3285" s="12" t="s">
        <v>12463</v>
      </c>
      <c r="B3285" s="12" t="s">
        <v>15998</v>
      </c>
      <c r="C3285" s="13" t="str">
        <f>HYPERLINK("https://audio.iskcondesiretree.com/02_-_ISKCON_Swamis/ISKCON_Swamis_-_R_to_Y/His_Holiness_Radhanath_Swami/Lectures/01_-_Theme_wise/Compassion/2007_From_Passion_To_Compassion-Prerna_Festival_-_Radhanath_Swami_and_Giriraj_Swami_2007-12-15_IDesireTree.mp3", "2007_From_Passion_To_Compassion-Prerna_Festival_-_Radhanath_Swami_and_Giriraj_Swami_2007-12-15_IDesireTree.mp3")</f>
        <v>2007_From_Passion_To_Compassion-Prerna_Festival_-_Radhanath_Swami_and_Giriraj_Swami_2007-12-15_IDesireTree.mp3</v>
      </c>
      <c r="D3285" s="11"/>
      <c r="E3285" s="11"/>
    </row>
    <row r="3286" spans="1:5">
      <c r="A3286" s="12" t="s">
        <v>12463</v>
      </c>
      <c r="B3286" s="12" t="s">
        <v>15999</v>
      </c>
      <c r="C3286" s="13" t="str">
        <f>HYPERLINK("https://audio.iskcondesiretree.com/02_-_ISKCON_Swamis/ISKCON_Swamis_-_R_to_Y/His_Holiness_Radhanath_Swami/Lectures/01_-_Theme_wise/Compassion/Compassion-The_Real_Spirit_of_Renunciation_SB-05-01-25-26_-_Mumbai_28-11-04_IDesireTree.mp3", "Compassion-The_Real_Spirit_of_Renunciation_SB-05-01-25-26_-_Mumbai_28-11-04_IDesireTree.mp3")</f>
        <v>Compassion-The_Real_Spirit_of_Renunciation_SB-05-01-25-26_-_Mumbai_28-11-04_IDesireTree.mp3</v>
      </c>
      <c r="D3286" s="11"/>
      <c r="E3286" s="11"/>
    </row>
    <row r="3287" spans="1:5">
      <c r="A3287" s="12" t="s">
        <v>12463</v>
      </c>
      <c r="B3287" s="12" t="s">
        <v>16000</v>
      </c>
      <c r="C3287" s="13" t="str">
        <f>HYPERLINK("https://audio.iskcondesiretree.com/02_-_ISKCON_Swamis/ISKCON_Swamis_-_R_to_Y/His_Holiness_Radhanath_Swami/Lectures/01_-_Theme_wise/Compassion/Preachers_Must_Have_Compassionate_Heart_like_Vidura_SB-04-31-30-31_-_Mumbai_30-10-04_IDesireTree.mp3", "Preachers_Must_Have_Compassionate_Heart_like_Vidura_SB-04-31-30-31_-_Mumbai_30-10-04_IDesireTree.mp3")</f>
        <v>Preachers_Must_Have_Compassionate_Heart_like_Vidura_SB-04-31-30-31_-_Mumbai_30-10-04_IDesireTree.mp3</v>
      </c>
      <c r="D3287" s="11"/>
      <c r="E3287" s="11"/>
    </row>
    <row r="3288" spans="1:5">
      <c r="A3288" s="12" t="s">
        <v>12463</v>
      </c>
      <c r="B3288" s="12" t="s">
        <v>16001</v>
      </c>
      <c r="C3288" s="13" t="str">
        <f>HYPERLINK("https://audio.iskcondesiretree.com/02_-_ISKCON_Swamis/ISKCON_Swamis_-_R_to_Y/His_Holiness_Radhanath_Swami/Lectures/01_-_Theme_wise/Compassion/SB-03-29-06_Real_Compassion_is_Done_in_the_mood_-_09.08.00_IDesireTree.mp3", "SB-03-29-06_Real_Compassion_is_Done_in_the_mood_-_09.08.00_IDesireTree.mp3")</f>
        <v>SB-03-29-06_Real_Compassion_is_Done_in_the_mood_-_09.08.00_IDesireTree.mp3</v>
      </c>
      <c r="D3288" s="11"/>
      <c r="E3288" s="11"/>
    </row>
    <row r="3289" spans="1:5">
      <c r="A3289" s="12" t="s">
        <v>12463</v>
      </c>
      <c r="B3289" s="12" t="s">
        <v>16002</v>
      </c>
      <c r="C3289" s="13" t="str">
        <f>HYPERLINK("https://audio.iskcondesiretree.com/02_-_ISKCON_Swamis/ISKCON_Swamis_-_R_to_Y/His_Holiness_Radhanath_Swami/Lectures/01_-_Theme_wise/Compassion/Showing_Real_Compassion_Thru_Preaching_SB-04-31-19_-_Mumbai_17-10-04_IDesireTree.mp3", "Showing_Real_Compassion_Thru_Preaching_SB-04-31-19_-_Mumbai_17-10-04_IDesireTree.mp3")</f>
        <v>Showing_Real_Compassion_Thru_Preaching_SB-04-31-19_-_Mumbai_17-10-04_IDesireTree.mp3</v>
      </c>
      <c r="D3289" s="11"/>
      <c r="E3289" s="11"/>
    </row>
    <row r="3290" spans="1:5">
      <c r="A3290" s="12" t="s">
        <v>12463</v>
      </c>
      <c r="B3290" s="12" t="s">
        <v>16003</v>
      </c>
      <c r="C3290" s="13" t="str">
        <f>HYPERLINK("https://audio.iskcondesiretree.com/02_-_ISKCON_Swamis/ISKCON_Swamis_-_R_to_Y/His_Holiness_Radhanath_Swami/Lectures/01_-_Theme_wise/Conflict_Resolution/2001-016_Establishing_Unity_In_Diversity_SB_04-01-04_-_Radhanath_Swami_Mumbai_2001-03-03_IDesireTree.mp3", "2001-016_Establishing_Unity_In_Diversity_SB_04-01-04_-_Radhanath_Swami_Mumbai_2001-03-03_IDesireTree.mp3")</f>
        <v>2001-016_Establishing_Unity_In_Diversity_SB_04-01-04_-_Radhanath_Swami_Mumbai_2001-03-03_IDesireTree.mp3</v>
      </c>
      <c r="D3290" s="11"/>
      <c r="E3290" s="11"/>
    </row>
    <row r="3291" spans="1:5">
      <c r="A3291" s="12" t="s">
        <v>12463</v>
      </c>
      <c r="B3291" s="12" t="s">
        <v>16004</v>
      </c>
      <c r="C3291" s="13" t="str">
        <f>HYPERLINK("https://audio.iskcondesiretree.com/02_-_ISKCON_Swamis/ISKCON_Swamis_-_R_to_Y/His_Holiness_Radhanath_Swami/Lectures/01_-_Theme_wise/Conflict_Resolution/2002-103_Conflict_resolution_Lecture_-_Radhanath_Swami_Mumbai_2002-10-17_IDesireTree.mp3", "2002-103_Conflict_resolution_Lecture_-_Radhanath_Swami_Mumbai_2002-10-17_IDesireTree.mp3")</f>
        <v>2002-103_Conflict_resolution_Lecture_-_Radhanath_Swami_Mumbai_2002-10-17_IDesireTree.mp3</v>
      </c>
      <c r="D3291" s="11"/>
      <c r="E3291" s="11"/>
    </row>
    <row r="3292" spans="1:5">
      <c r="A3292" s="12" t="s">
        <v>12463</v>
      </c>
      <c r="B3292" s="12" t="s">
        <v>16005</v>
      </c>
      <c r="C3292" s="13" t="str">
        <f>HYPERLINK("https://audio.iskcondesiretree.com/02_-_ISKCON_Swamis/ISKCON_Swamis_-_R_to_Y/His_Holiness_Radhanath_Swami/Lectures/01_-_Theme_wise/Cultural_Activities/1996-128_On_Dramas_Lecture_-_Radhanath_Swami_Mumbai_1996-09-09_IDesireTree.mp3", "1996-128_On_Dramas_Lecture_-_Radhanath_Swami_Mumbai_1996-09-09_IDesireTree.mp3")</f>
        <v>1996-128_On_Dramas_Lecture_-_Radhanath_Swami_Mumbai_1996-09-09_IDesireTree.mp3</v>
      </c>
      <c r="D3292" s="11"/>
      <c r="E3292" s="11"/>
    </row>
    <row r="3293" spans="1:5">
      <c r="A3293" s="12" t="s">
        <v>12463</v>
      </c>
      <c r="B3293" s="12" t="s">
        <v>16006</v>
      </c>
      <c r="C3293" s="13" t="str">
        <f>HYPERLINK("https://audio.iskcondesiretree.com/02_-_ISKCON_Swamis/ISKCON_Swamis_-_R_to_Y/His_Holiness_Radhanath_Swami/Lectures/01_-_Theme_wise/Cultural_Activities/2000-088_Drama_Realisation_Lecture_-_Radhanath_Swami_Mumbai_2000-11-10_IDesireTree.mp3", "2000-088_Drama_Realisation_Lecture_-_Radhanath_Swami_Mumbai_2000-11-10_IDesireTree.mp3")</f>
        <v>2000-088_Drama_Realisation_Lecture_-_Radhanath_Swami_Mumbai_2000-11-10_IDesireTree.mp3</v>
      </c>
      <c r="D3293" s="11"/>
      <c r="E3293" s="11"/>
    </row>
    <row r="3294" spans="1:5">
      <c r="A3294" s="12" t="s">
        <v>12463</v>
      </c>
      <c r="B3294" s="12" t="s">
        <v>16007</v>
      </c>
      <c r="C3294" s="13" t="str">
        <f>HYPERLINK("https://audio.iskcondesiretree.com/02_-_ISKCON_Swamis/ISKCON_Swamis_-_R_to_Y/His_Holiness_Radhanath_Swami/Lectures/01_-_Theme_wise/Cultural_Activities/2001-053_Drama_Realisation_Lec_Lecture_-_Radhanath_Swami_Mumbai_2001-12-01_IDesireTree.mp3", "2001-053_Drama_Realisation_Lec_Lecture_-_Radhanath_Swami_Mumbai_2001-12-01_IDesireTree.mp3")</f>
        <v>2001-053_Drama_Realisation_Lec_Lecture_-_Radhanath_Swami_Mumbai_2001-12-01_IDesireTree.mp3</v>
      </c>
      <c r="D3294" s="11"/>
      <c r="E3294" s="11"/>
    </row>
    <row r="3295" spans="1:5">
      <c r="A3295" s="12" t="s">
        <v>12463</v>
      </c>
      <c r="B3295" s="12" t="s">
        <v>16008</v>
      </c>
      <c r="C3295" s="13" t="str">
        <f>HYPERLINK("https://audio.iskcondesiretree.com/02_-_ISKCON_Swamis/ISKCON_Swamis_-_R_to_Y/His_Holiness_Radhanath_Swami/Lectures/01_-_Theme_wise/Cultural_Activities/2002-121_Drama_Realisation_Lecture_-_Radhanath_Swami_Mumbai_2002-12-05_IDesireTree.mp3", "2002-121_Drama_Realisation_Lecture_-_Radhanath_Swami_Mumbai_2002-12-05_IDesireTree.mp3")</f>
        <v>2002-121_Drama_Realisation_Lecture_-_Radhanath_Swami_Mumbai_2002-12-05_IDesireTree.mp3</v>
      </c>
      <c r="D3295" s="11"/>
      <c r="E3295" s="11"/>
    </row>
    <row r="3296" spans="1:5">
      <c r="A3296" s="12" t="s">
        <v>12463</v>
      </c>
      <c r="B3296" s="12" t="s">
        <v>16009</v>
      </c>
      <c r="C3296" s="13" t="str">
        <f>HYPERLINK("https://audio.iskcondesiretree.com/02_-_ISKCON_Swamis/ISKCON_Swamis_-_R_to_Y/His_Holiness_Radhanath_Swami/Lectures/01_-_Theme_wise/Cultural_Activities/2003-005_Tamal_Tree_Plantation_Ceremony_Lecture_-_Radhanath_Swami_Mumbai_2003-01-07_IDesireTree.mp3", "2003-005_Tamal_Tree_Plantation_Ceremony_Lecture_-_Radhanath_Swami_Mumbai_2003-01-07_IDesireTree.mp3")</f>
        <v>2003-005_Tamal_Tree_Plantation_Ceremony_Lecture_-_Radhanath_Swami_Mumbai_2003-01-07_IDesireTree.mp3</v>
      </c>
      <c r="D3296" s="11"/>
      <c r="E3296" s="11"/>
    </row>
    <row r="3297" spans="1:5">
      <c r="A3297" s="12" t="s">
        <v>12463</v>
      </c>
      <c r="B3297" s="12" t="s">
        <v>16010</v>
      </c>
      <c r="C3297" s="13" t="str">
        <f>HYPERLINK("https://audio.iskcondesiretree.com/02_-_ISKCON_Swamis/ISKCON_Swamis_-_R_to_Y/His_Holiness_Radhanath_Swami/Lectures/01_-_Theme_wise/Death/1989-051_Preparing_For_Death_SB_07-10-39_-_Radhanath_Swami_Mumbai_1989-09-25_IDesireTree.mp3", "1989-051_Preparing_For_Death_SB_07-10-39_-_Radhanath_Swami_Mumbai_1989-09-25_IDesireTree.mp3")</f>
        <v>1989-051_Preparing_For_Death_SB_07-10-39_-_Radhanath_Swami_Mumbai_1989-09-25_IDesireTree.mp3</v>
      </c>
      <c r="D3297" s="11"/>
      <c r="E3297" s="11"/>
    </row>
    <row r="3298" spans="1:5">
      <c r="A3298" s="12" t="s">
        <v>12463</v>
      </c>
      <c r="B3298" s="12" t="s">
        <v>16011</v>
      </c>
      <c r="C3298" s="13" t="str">
        <f>HYPERLINK("https://audio.iskcondesiretree.com/02_-_ISKCON_Swamis/ISKCON_Swamis_-_R_to_Y/His_Holiness_Radhanath_Swami/Lectures/01_-_Theme_wise/Death/1989-063_Will_You_Be_A_Kitten_Or_Rat_BG_11-36_-_Radhanath_Swami_Mumbai_1989-10-05_IDesireTree.mp3", "1989-063_Will_You_Be_A_Kitten_Or_Rat_BG_11-36_-_Radhanath_Swami_Mumbai_1989-10-05_IDesireTree.mp3")</f>
        <v>1989-063_Will_You_Be_A_Kitten_Or_Rat_BG_11-36_-_Radhanath_Swami_Mumbai_1989-10-05_IDesireTree.mp3</v>
      </c>
      <c r="D3298" s="11"/>
      <c r="E3298" s="11"/>
    </row>
    <row r="3299" spans="1:5">
      <c r="A3299" s="12" t="s">
        <v>12463</v>
      </c>
      <c r="B3299" s="12" t="s">
        <v>16012</v>
      </c>
      <c r="C3299" s="13" t="str">
        <f>HYPERLINK("https://audio.iskcondesiretree.com/02_-_ISKCON_Swamis/ISKCON_Swamis_-_R_to_Y/His_Holiness_Radhanath_Swami/Lectures/01_-_Theme_wise/Death/1991-048_Life_After_Death_Lecture_-_Radhanath_Swami_Mumbai_1991-05-12_IDesireTree.mp3", "1991-048_Life_After_Death_Lecture_-_Radhanath_Swami_Mumbai_1991-05-12_IDesireTree.mp3")</f>
        <v>1991-048_Life_After_Death_Lecture_-_Radhanath_Swami_Mumbai_1991-05-12_IDesireTree.mp3</v>
      </c>
      <c r="D3299" s="11"/>
      <c r="E3299" s="11"/>
    </row>
    <row r="3300" spans="1:5">
      <c r="A3300" s="12" t="s">
        <v>12463</v>
      </c>
      <c r="B3300" s="12" t="s">
        <v>16013</v>
      </c>
      <c r="C3300" s="13" t="str">
        <f>HYPERLINK("https://audio.iskcondesiretree.com/02_-_ISKCON_Swamis/ISKCON_Swamis_-_R_to_Y/His_Holiness_Radhanath_Swami/Lectures/01_-_Theme_wise/Death/1991-086_Death_Is_the_End_Lecture_-_Radhanath_Swami_Mumbai_1991-10-02_IDesireTree.mp3", "1991-086_Death_Is_the_End_Lecture_-_Radhanath_Swami_Mumbai_1991-10-02_IDesireTree.mp3")</f>
        <v>1991-086_Death_Is_the_End_Lecture_-_Radhanath_Swami_Mumbai_1991-10-02_IDesireTree.mp3</v>
      </c>
      <c r="D3300" s="11"/>
      <c r="E3300" s="11"/>
    </row>
    <row r="3301" spans="1:5">
      <c r="A3301" s="12" t="s">
        <v>12463</v>
      </c>
      <c r="B3301" s="12" t="s">
        <v>16014</v>
      </c>
      <c r="C3301" s="13" t="str">
        <f>HYPERLINK("https://audio.iskcondesiretree.com/02_-_ISKCON_Swamis/ISKCON_Swamis_-_R_to_Y/His_Holiness_Radhanath_Swami/Lectures/01_-_Theme_wise/Death/1991-105_Death_Is_Sure_Sir_SB_10-01-36_-_Radhanath_Swami_Mumbai_1991-10-29_IDesireTree.mp3", "1991-105_Death_Is_Sure_Sir_SB_10-01-36_-_Radhanath_Swami_Mumbai_1991-10-29_IDesireTree.mp3")</f>
        <v>1991-105_Death_Is_Sure_Sir_SB_10-01-36_-_Radhanath_Swami_Mumbai_1991-10-29_IDesireTree.mp3</v>
      </c>
      <c r="D3301" s="11"/>
      <c r="E3301" s="11"/>
    </row>
    <row r="3302" spans="1:5">
      <c r="A3302" s="12" t="s">
        <v>12463</v>
      </c>
      <c r="B3302" s="12" t="s">
        <v>16015</v>
      </c>
      <c r="C3302" s="13" t="str">
        <f>HYPERLINK("https://audio.iskcondesiretree.com/02_-_ISKCON_Swamis/ISKCON_Swamis_-_R_to_Y/His_Holiness_Radhanath_Swami/Lectures/01_-_Theme_wise/Death/1991-107_Parikshit%27s_Enquiry_Before_Death_SB_01-19-24_-_Radhanath_Swami_Mumbai_1991-10-29_IDesireTree.mp3", "1991-107_Parikshit%27s_Enquiry_Before_Death_SB_01-19-24_-_Radhanath_Swami_Mumbai_1991-10-29_IDesireTree.mp3")</f>
        <v>1991-107_Parikshit%27s_Enquiry_Before_Death_SB_01-19-24_-_Radhanath_Swami_Mumbai_1991-10-29_IDesireTree.mp3</v>
      </c>
      <c r="D3302" s="11"/>
      <c r="E3302" s="11"/>
    </row>
    <row r="3303" spans="1:5">
      <c r="A3303" s="12" t="s">
        <v>12463</v>
      </c>
      <c r="B3303" s="12" t="s">
        <v>16016</v>
      </c>
      <c r="C3303" s="13" t="str">
        <f>HYPERLINK("https://audio.iskcondesiretree.com/02_-_ISKCON_Swamis/ISKCON_Swamis_-_R_to_Y/His_Holiness_Radhanath_Swami/Lectures/01_-_Theme_wise/Death/1991-109_When_Death_Comes_SB_10-01-42_-_Radhanath_Swami_Mumbai_1991-10-30_IDesireTree.mp3", "1991-109_When_Death_Comes_SB_10-01-42_-_Radhanath_Swami_Mumbai_1991-10-30_IDesireTree.mp3")</f>
        <v>1991-109_When_Death_Comes_SB_10-01-42_-_Radhanath_Swami_Mumbai_1991-10-30_IDesireTree.mp3</v>
      </c>
      <c r="D3303" s="11"/>
      <c r="E3303" s="11"/>
    </row>
    <row r="3304" spans="1:5">
      <c r="A3304" s="12" t="s">
        <v>12463</v>
      </c>
      <c r="B3304" s="12" t="s">
        <v>16017</v>
      </c>
      <c r="C3304" s="13" t="str">
        <f>HYPERLINK("https://audio.iskcondesiretree.com/02_-_ISKCON_Swamis/ISKCON_Swamis_-_R_to_Y/His_Holiness_Radhanath_Swami/Lectures/01_-_Theme_wise/Death/1993-006_We_Are_Like_Puppets_In_The_Hands_Of_Death_SB_12-03-01-08_-_Radhanath_Swami_Mumbai_1993-01-09_IDesireTree.mp3", "1993-006_We_Are_Like_Puppets_In_The_Hands_Of_Death_SB_12-03-01-08_-_Radhanath_Swami_Mumbai_1993-01-09_IDesireTree.mp3")</f>
        <v>1993-006_We_Are_Like_Puppets_In_The_Hands_Of_Death_SB_12-03-01-08_-_Radhanath_Swami_Mumbai_1993-01-09_IDesireTree.mp3</v>
      </c>
      <c r="D3304" s="11"/>
      <c r="E3304" s="11"/>
    </row>
    <row r="3305" spans="1:5">
      <c r="A3305" s="12" t="s">
        <v>12463</v>
      </c>
      <c r="B3305" s="12" t="s">
        <v>16018</v>
      </c>
      <c r="C3305" s="13" t="str">
        <f>HYPERLINK("https://audio.iskcondesiretree.com/02_-_ISKCON_Swamis/ISKCON_Swamis_-_R_to_Y/His_Holiness_Radhanath_Swami/Lectures/01_-_Theme_wise/Death/1993-019_Death_Means_Eternal_Life_SB_10-20-47-48_-_Radhanath_Swami_Mumbai_1993-01-18_IDesireTree.mp3", "1993-019_Death_Means_Eternal_Life_SB_10-20-47-48_-_Radhanath_Swami_Mumbai_1993-01-18_IDesireTree.mp3")</f>
        <v>1993-019_Death_Means_Eternal_Life_SB_10-20-47-48_-_Radhanath_Swami_Mumbai_1993-01-18_IDesireTree.mp3</v>
      </c>
      <c r="D3305" s="11"/>
      <c r="E3305" s="11"/>
    </row>
    <row r="3306" spans="1:5">
      <c r="A3306" s="12" t="s">
        <v>12463</v>
      </c>
      <c r="B3306" s="12" t="s">
        <v>16019</v>
      </c>
      <c r="C3306" s="13" t="str">
        <f>HYPERLINK("https://audio.iskcondesiretree.com/02_-_ISKCON_Swamis/ISKCON_Swamis_-_R_to_Y/His_Holiness_Radhanath_Swami/Lectures/01_-_Theme_wise/Death/1993-067_Death_Is_Knocking_At_The_Door_SB_01-15-21_-_Radhanath_Swami_Mumbai_1993-04-25_IDesireTree.mp3", "1993-067_Death_Is_Knocking_At_The_Door_SB_01-15-21_-_Radhanath_Swami_Mumbai_1993-04-25_IDesireTree.mp3")</f>
        <v>1993-067_Death_Is_Knocking_At_The_Door_SB_01-15-21_-_Radhanath_Swami_Mumbai_1993-04-25_IDesireTree.mp3</v>
      </c>
      <c r="D3306" s="11"/>
      <c r="E3306" s="11"/>
    </row>
    <row r="3307" spans="1:5">
      <c r="A3307" s="12" t="s">
        <v>12463</v>
      </c>
      <c r="B3307" s="12" t="s">
        <v>16020</v>
      </c>
      <c r="C3307" s="13" t="str">
        <f>HYPERLINK("https://audio.iskcondesiretree.com/02_-_ISKCON_Swamis/ISKCON_Swamis_-_R_to_Y/His_Holiness_Radhanath_Swami/Lectures/01_-_Theme_wise/Death/1993-088_Preparing_For_Final_Test_SB_01-19-15_-_Radhanath_Swami_1993-05-19_IDesireTree.mp3", "1993-088_Preparing_For_Final_Test_SB_01-19-15_-_Radhanath_Swami_1993-05-19_IDesireTree.mp3")</f>
        <v>1993-088_Preparing_For_Final_Test_SB_01-19-15_-_Radhanath_Swami_1993-05-19_IDesireTree.mp3</v>
      </c>
      <c r="D3307" s="11"/>
      <c r="E3307" s="11"/>
    </row>
    <row r="3308" spans="1:5">
      <c r="A3308" s="12" t="s">
        <v>12463</v>
      </c>
      <c r="B3308" s="12" t="s">
        <v>16021</v>
      </c>
      <c r="C3308" s="13" t="str">
        <f>HYPERLINK("https://audio.iskcondesiretree.com/02_-_ISKCON_Swamis/ISKCON_Swamis_-_R_to_Y/His_Holiness_Radhanath_Swami/Lectures/01_-_Theme_wise/Death/1993-131_Lord_Krsna_In_the_Form_of_Death_SB_10-45-45-50_-_Radhanath_Swami_Mumbai_1993-09-25_IDesireTree.mp3", "1993-131_Lord_Krsna_In_the_Form_of_Death_SB_10-45-45-50_-_Radhanath_Swami_Mumbai_1993-09-25_IDesireTree.mp3")</f>
        <v>1993-131_Lord_Krsna_In_the_Form_of_Death_SB_10-45-45-50_-_Radhanath_Swami_Mumbai_1993-09-25_IDesireTree.mp3</v>
      </c>
      <c r="D3308" s="11"/>
      <c r="E3308" s="11"/>
    </row>
    <row r="3309" spans="1:5">
      <c r="A3309" s="12" t="s">
        <v>12463</v>
      </c>
      <c r="B3309" s="12" t="s">
        <v>16022</v>
      </c>
      <c r="C3309" s="13" t="str">
        <f>HYPERLINK("https://audio.iskcondesiretree.com/02_-_ISKCON_Swamis/ISKCON_Swamis_-_R_to_Y/His_Holiness_Radhanath_Swami/Lectures/01_-_Theme_wise/Death/1996-001_Quit_Home_Timely_SB_01-15-44_-_Radhanath_Swami_Mumbai_1996-01-01.mp3", "1996-001_Quit_Home_Timely_SB_01-15-44_-_Radhanath_Swami_Mumbai_1996-01-01.mp3")</f>
        <v>1996-001_Quit_Home_Timely_SB_01-15-44_-_Radhanath_Swami_Mumbai_1996-01-01.mp3</v>
      </c>
      <c r="D3309" s="11"/>
      <c r="E3309" s="11"/>
    </row>
    <row r="3310" spans="1:5">
      <c r="A3310" s="12" t="s">
        <v>12463</v>
      </c>
      <c r="B3310" s="12" t="s">
        <v>16023</v>
      </c>
      <c r="C3310" s="13" t="str">
        <f>HYPERLINK("https://audio.iskcondesiretree.com/02_-_ISKCON_Swamis/ISKCON_Swamis_-_R_to_Y/His_Holiness_Radhanath_Swami/Lectures/01_-_Theme_wise/Deity_Worship/1991-001_Worshiping_diety_Lecture_-_Radhanath_Swami_Mumbai_1991-01-10_IDesireTree.mp3", "1991-001_Worshiping_diety_Lecture_-_Radhanath_Swami_Mumbai_1991-01-10_IDesireTree.mp3")</f>
        <v>1991-001_Worshiping_diety_Lecture_-_Radhanath_Swami_Mumbai_1991-01-10_IDesireTree.mp3</v>
      </c>
      <c r="D3310" s="11"/>
      <c r="E3310" s="11"/>
    </row>
    <row r="3311" spans="1:5">
      <c r="A3311" s="12" t="s">
        <v>12463</v>
      </c>
      <c r="B3311" s="12" t="s">
        <v>16024</v>
      </c>
      <c r="C3311" s="13" t="str">
        <f>HYPERLINK("https://audio.iskcondesiretree.com/02_-_ISKCON_Swamis/ISKCON_Swamis_-_R_to_Y/His_Holiness_Radhanath_Swami/Lectures/01_-_Theme_wise/Deity_Worship/1992-092_Grihastha_Ashrama_and_Deity_Worship_BG-07-07_-_Radhanath_Swami_Mumbai_1992-08-27_IDesireTree.mp3", "1992-092_Grihastha_Ashrama_and_Deity_Worship_BG-07-07_-_Radhanath_Swami_Mumbai_1992-08-27_IDesireTree.mp3")</f>
        <v>1992-092_Grihastha_Ashrama_and_Deity_Worship_BG-07-07_-_Radhanath_Swami_Mumbai_1992-08-27_IDesireTree.mp3</v>
      </c>
      <c r="D3311" s="11"/>
      <c r="E3311" s="11"/>
    </row>
    <row r="3312" spans="1:5">
      <c r="A3312" s="12" t="s">
        <v>12463</v>
      </c>
      <c r="B3312" s="12" t="s">
        <v>16025</v>
      </c>
      <c r="C3312" s="13" t="str">
        <f>HYPERLINK("https://audio.iskcondesiretree.com/02_-_ISKCON_Swamis/ISKCON_Swamis_-_R_to_Y/His_Holiness_Radhanath_Swami/Lectures/01_-_Theme_wise/Deity_Worship/1993-033_Meditation_On_Aarati_Lecture_-_Radhanath_Swami_Mumbai_1993-03-29_IDesireTree.mp3", "1993-033_Meditation_On_Aarati_Lecture_-_Radhanath_Swami_Mumbai_1993-03-29_IDesireTree.mp3")</f>
        <v>1993-033_Meditation_On_Aarati_Lecture_-_Radhanath_Swami_Mumbai_1993-03-29_IDesireTree.mp3</v>
      </c>
      <c r="D3312" s="11"/>
      <c r="E3312" s="11"/>
    </row>
    <row r="3313" spans="1:5">
      <c r="A3313" s="12" t="s">
        <v>12463</v>
      </c>
      <c r="B3313" s="12" t="s">
        <v>16026</v>
      </c>
      <c r="C3313" s="13" t="str">
        <f>HYPERLINK("https://audio.iskcondesiretree.com/02_-_ISKCON_Swamis/ISKCON_Swamis_-_R_to_Y/His_Holiness_Radhanath_Swami/Lectures/01_-_Theme_wise/Deity_Worship/1996-009_Importance_Of_Deity_Worship_BG_07-18_-_Radhanath_Swami_Mumbai_1996-01-05.mp3", "1996-009_Importance_Of_Deity_Worship_BG_07-18_-_Radhanath_Swami_Mumbai_1996-01-05.mp3")</f>
        <v>1996-009_Importance_Of_Deity_Worship_BG_07-18_-_Radhanath_Swami_Mumbai_1996-01-05.mp3</v>
      </c>
      <c r="D3313" s="11"/>
      <c r="E3313" s="11"/>
    </row>
    <row r="3314" spans="1:5">
      <c r="A3314" s="12" t="s">
        <v>12463</v>
      </c>
      <c r="B3314" s="12" t="s">
        <v>16027</v>
      </c>
      <c r="C3314" s="13" t="str">
        <f>HYPERLINK("https://audio.iskcondesiretree.com/02_-_ISKCON_Swamis/ISKCON_Swamis_-_R_to_Y/His_Holiness_Radhanath_Swami/Lectures/01_-_Theme_wise/Deity_Worship/1996-138_Gaura_Nitai_Deity_Welcoming_Lecture_-_Radhanath_Swami_Pune_1996-09-23_IDesireTree.mp3", "1996-138_Gaura_Nitai_Deity_Welcoming_Lecture_-_Radhanath_Swami_Pune_1996-09-23_IDesireTree.mp3")</f>
        <v>1996-138_Gaura_Nitai_Deity_Welcoming_Lecture_-_Radhanath_Swami_Pune_1996-09-23_IDesireTree.mp3</v>
      </c>
      <c r="D3314" s="11"/>
      <c r="E3314" s="11"/>
    </row>
    <row r="3315" spans="1:5">
      <c r="A3315" s="12" t="s">
        <v>12463</v>
      </c>
      <c r="B3315" s="12" t="s">
        <v>16028</v>
      </c>
      <c r="C3315" s="13" t="str">
        <f>HYPERLINK("https://audio.iskcondesiretree.com/02_-_ISKCON_Swamis/ISKCON_Swamis_-_R_to_Y/His_Holiness_Radhanath_Swami/Lectures/01_-_Theme_wise/Deity_Worship/1998-013_Gaura_Nitai_Deity_Welcoming_Lecture_-_Radhanath_Swami_Mumbai_1998-01-30_IDesireTree.mp3", "1998-013_Gaura_Nitai_Deity_Welcoming_Lecture_-_Radhanath_Swami_Mumbai_1998-01-30_IDesireTree.mp3")</f>
        <v>1998-013_Gaura_Nitai_Deity_Welcoming_Lecture_-_Radhanath_Swami_Mumbai_1998-01-30_IDesireTree.mp3</v>
      </c>
      <c r="D3315" s="11"/>
      <c r="E3315" s="11"/>
    </row>
    <row r="3316" spans="1:5">
      <c r="A3316" s="12" t="s">
        <v>12463</v>
      </c>
      <c r="B3316" s="12" t="s">
        <v>16029</v>
      </c>
      <c r="C3316" s="13" t="str">
        <f>HYPERLINK("https://audio.iskcondesiretree.com/02_-_ISKCON_Swamis/ISKCON_Swamis_-_R_to_Y/His_Holiness_Radhanath_Swami/Lectures/01_-_Theme_wise/Deity_Worship/1999-043_Eager_and_Enthusiastic_to_Serve_the_Deity_Lecture_-_Radhanath_Swami_Mumbai_1999-07-18_IDesireTree.mp3", "1999-043_Eager_and_Enthusiastic_to_Serve_the_Deity_Lecture_-_Radhanath_Swami_Mumbai_1999-07-18_IDesireTree.mp3")</f>
        <v>1999-043_Eager_and_Enthusiastic_to_Serve_the_Deity_Lecture_-_Radhanath_Swami_Mumbai_1999-07-18_IDesireTree.mp3</v>
      </c>
      <c r="D3316" s="11"/>
      <c r="E3316" s="11"/>
    </row>
    <row r="3317" spans="1:5">
      <c r="A3317" s="12" t="s">
        <v>12463</v>
      </c>
      <c r="B3317" s="12" t="s">
        <v>16030</v>
      </c>
      <c r="C3317" s="13" t="str">
        <f>HYPERLINK("https://audio.iskcondesiretree.com/02_-_ISKCON_Swamis/ISKCON_Swamis_-_R_to_Y/His_Holiness_Radhanath_Swami/Lectures/01_-_Theme_wise/Deity_Worship/2000_SB-03-29-16_Properly_Worshipping_the_Deity-01_-_Radhanath_Swami_2000-08-19_IDesireTree.mp3", "2000_SB-03-29-16_Properly_Worshipping_the_Deity-01_-_Radhanath_Swami_2000-08-19_IDesireTree.mp3")</f>
        <v>2000_SB-03-29-16_Properly_Worshipping_the_Deity-01_-_Radhanath_Swami_2000-08-19_IDesireTree.mp3</v>
      </c>
      <c r="D3317" s="11"/>
      <c r="E3317" s="11"/>
    </row>
    <row r="3318" spans="1:5">
      <c r="A3318" s="12" t="s">
        <v>12463</v>
      </c>
      <c r="B3318" s="12" t="s">
        <v>16031</v>
      </c>
      <c r="C3318" s="13" t="str">
        <f>HYPERLINK("https://audio.iskcondesiretree.com/02_-_ISKCON_Swamis/ISKCON_Swamis_-_R_to_Y/His_Holiness_Radhanath_Swami/Lectures/01_-_Theme_wise/Deity_Worship/2000_SB-03-29-16_Properly_Worshipping_the_Deity-02_-_Radhanath_Swami_2000-08-19_IDesireTree.mp3", "2000_SB-03-29-16_Properly_Worshipping_the_Deity-02_-_Radhanath_Swami_2000-08-19_IDesireTree.mp3")</f>
        <v>2000_SB-03-29-16_Properly_Worshipping_the_Deity-02_-_Radhanath_Swami_2000-08-19_IDesireTree.mp3</v>
      </c>
      <c r="D3318" s="11"/>
      <c r="E3318" s="11"/>
    </row>
    <row r="3319" spans="1:5">
      <c r="A3319" s="12" t="s">
        <v>12463</v>
      </c>
      <c r="B3319" s="12" t="s">
        <v>16032</v>
      </c>
      <c r="C3319" s="13" t="str">
        <f>HYPERLINK("https://audio.iskcondesiretree.com/02_-_ISKCON_Swamis/ISKCON_Swamis_-_R_to_Y/His_Holiness_Radhanath_Swami/Lectures/01_-_Theme_wise/Deity_Worship/2002-024_Deity_Welcoming_Address_Lecture_-_Radhanath_Swami_Mumbai_2002-01-29_IDesireTree.mp3", "2002-024_Deity_Welcoming_Address_Lecture_-_Radhanath_Swami_Mumbai_2002-01-29_IDesireTree.mp3")</f>
        <v>2002-024_Deity_Welcoming_Address_Lecture_-_Radhanath_Swami_Mumbai_2002-01-29_IDesireTree.mp3</v>
      </c>
      <c r="D3319" s="11"/>
      <c r="E3319" s="11"/>
    </row>
    <row r="3320" spans="1:5">
      <c r="A3320" s="12" t="s">
        <v>12463</v>
      </c>
      <c r="B3320" s="12" t="s">
        <v>16033</v>
      </c>
      <c r="C3320" s="13" t="str">
        <f>HYPERLINK("https://audio.iskcondesiretree.com/02_-_ISKCON_Swamis/ISKCON_Swamis_-_R_to_Y/His_Holiness_Radhanath_Swami/Lectures/01_-_Theme_wise/Deity_Worship/2003-006_Deity_Welcoming_Lecture_-_Radhanath_Swami_Mumbai_2003-02-07_IDesireTree.mp3", "2003-006_Deity_Welcoming_Lecture_-_Radhanath_Swami_Mumbai_2003-02-07_IDesireTree.mp3")</f>
        <v>2003-006_Deity_Welcoming_Lecture_-_Radhanath_Swami_Mumbai_2003-02-07_IDesireTree.mp3</v>
      </c>
      <c r="D3320" s="11"/>
      <c r="E3320" s="11"/>
    </row>
    <row r="3321" spans="1:5">
      <c r="A3321" s="12" t="s">
        <v>12463</v>
      </c>
      <c r="B3321" s="12" t="s">
        <v>16034</v>
      </c>
      <c r="C3321" s="13" t="str">
        <f>HYPERLINK("https://audio.iskcondesiretree.com/02_-_ISKCON_Swamis/ISKCON_Swamis_-_R_to_Y/His_Holiness_Radhanath_Swami/Lectures/01_-_Theme_wise/Deity_Worship/2004_The_Right_Mood_for_Deity_Worship_SB_03-29-16_-_Radhanath_Swami_Los_Angeles_2004-07-18_IDesireTree.mp3", "2004_The_Right_Mood_for_Deity_Worship_SB_03-29-16_-_Radhanath_Swami_Los_Angeles_2004-07-18_IDesireTree.mp3")</f>
        <v>2004_The_Right_Mood_for_Deity_Worship_SB_03-29-16_-_Radhanath_Swami_Los_Angeles_2004-07-18_IDesireTree.mp3</v>
      </c>
      <c r="D3321" s="11"/>
      <c r="E3321" s="11"/>
    </row>
    <row r="3322" spans="1:5">
      <c r="A3322" s="12" t="s">
        <v>12463</v>
      </c>
      <c r="B3322" s="12" t="s">
        <v>16035</v>
      </c>
      <c r="C3322" s="13" t="str">
        <f>HYPERLINK("https://audio.iskcondesiretree.com/02_-_ISKCON_Swamis/ISKCON_Swamis_-_R_to_Y/His_Holiness_Radhanath_Swami/Lectures/01_-_Theme_wise/Deity_Worship/2005_Lalita_Vishaka_Installation_Evening_Class_-_Radhanath_Swami_Mumbai_2005-04-02_IDesireTree.mp3", "2005_Lalita_Vishaka_Installation_Evening_Class_-_Radhanath_Swami_Mumbai_2005-04-02_IDesireTree.mp3")</f>
        <v>2005_Lalita_Vishaka_Installation_Evening_Class_-_Radhanath_Swami_Mumbai_2005-04-02_IDesireTree.mp3</v>
      </c>
      <c r="D3322" s="11"/>
      <c r="E3322" s="11"/>
    </row>
    <row r="3323" spans="1:5">
      <c r="A3323" s="12" t="s">
        <v>12463</v>
      </c>
      <c r="B3323" s="12" t="s">
        <v>16036</v>
      </c>
      <c r="C3323" s="13" t="str">
        <f>HYPERLINK("https://audio.iskcondesiretree.com/02_-_ISKCON_Swamis/ISKCON_Swamis_-_R_to_Y/His_Holiness_Radhanath_Swami/Lectures/01_-_Theme_wise/Deity_Worship/Sri_Bhasya_Compiled_and_Deity_Worship_Established_-_Radhanath_Swami_IDesireTree.mp3", "Sri_Bhasya_Compiled_and_Deity_Worship_Established_-_Radhanath_Swami_IDesireTree.mp3")</f>
        <v>Sri_Bhasya_Compiled_and_Deity_Worship_Established_-_Radhanath_Swami_IDesireTree.mp3</v>
      </c>
      <c r="D3323" s="11"/>
      <c r="E3323" s="11"/>
    </row>
    <row r="3324" spans="1:5">
      <c r="A3324" s="12" t="s">
        <v>12463</v>
      </c>
      <c r="B3324" s="12" t="s">
        <v>16037</v>
      </c>
      <c r="C3324" s="13" t="str">
        <f>HYPERLINK("https://audio.iskcondesiretree.com/02_-_ISKCON_Swamis/ISKCON_Swamis_-_R_to_Y/His_Holiness_Radhanath_Swami/Lectures/01_-_Theme_wise/Deity_Worship/The_Installation_of_Sri_Panca_Tattva_-_Sunday_Feast_-_New_Vrindavan_16-05-04_IDesireTree.mp3", "The_Installation_of_Sri_Panca_Tattva_-_Sunday_Feast_-_New_Vrindavan_16-05-04_IDesireTree.mp3")</f>
        <v>The_Installation_of_Sri_Panca_Tattva_-_Sunday_Feast_-_New_Vrindavan_16-05-04_IDesireTree.mp3</v>
      </c>
      <c r="D3324" s="11"/>
      <c r="E3324" s="11"/>
    </row>
    <row r="3325" spans="1:5">
      <c r="A3325" s="12" t="s">
        <v>12463</v>
      </c>
      <c r="B3325" s="12" t="s">
        <v>16038</v>
      </c>
      <c r="C3325" s="13" t="str">
        <f>HYPERLINK("https://audio.iskcondesiretree.com/02_-_ISKCON_Swamis/ISKCON_Swamis_-_R_to_Y/His_Holiness_Radhanath_Swami/Lectures/01_-_Theme_wise/Demigods/1990-069_The_Perfect_Worship_Of_Lord_Ganesh_BG_02-45_-_Radhanath_Swami_Mumbai_1990-08-26_IDesireTree.mp3", "1990-069_The_Perfect_Worship_Of_Lord_Ganesh_BG_02-45_-_Radhanath_Swami_Mumbai_1990-08-26_IDesireTree.mp3")</f>
        <v>1990-069_The_Perfect_Worship_Of_Lord_Ganesh_BG_02-45_-_Radhanath_Swami_Mumbai_1990-08-26_IDesireTree.mp3</v>
      </c>
      <c r="D3325" s="11"/>
      <c r="E3325" s="11"/>
    </row>
    <row r="3326" spans="1:5">
      <c r="A3326" s="12" t="s">
        <v>12463</v>
      </c>
      <c r="B3326" s="12" t="s">
        <v>16039</v>
      </c>
      <c r="C3326" s="13" t="str">
        <f>HYPERLINK("https://audio.iskcondesiretree.com/02_-_ISKCON_Swamis/ISKCON_Swamis_-_R_to_Y/His_Holiness_Radhanath_Swami/Lectures/01_-_Theme_wise/Demigods/1991-067_Man_And_Demigods_SB_09-13-11_-_Radhanath_Swami_Mumbai_1991-06-02_IDesireTree.mp3", "1991-067_Man_And_Demigods_SB_09-13-11_-_Radhanath_Swami_Mumbai_1991-06-02_IDesireTree.mp3")</f>
        <v>1991-067_Man_And_Demigods_SB_09-13-11_-_Radhanath_Swami_Mumbai_1991-06-02_IDesireTree.mp3</v>
      </c>
      <c r="D3326" s="11"/>
      <c r="E3326" s="11"/>
    </row>
    <row r="3327" spans="1:5">
      <c r="A3327" s="12" t="s">
        <v>12463</v>
      </c>
      <c r="B3327" s="12" t="s">
        <v>16040</v>
      </c>
      <c r="C3327" s="13" t="str">
        <f>HYPERLINK("https://audio.iskcondesiretree.com/02_-_ISKCON_Swamis/ISKCON_Swamis_-_R_to_Y/His_Holiness_Radhanath_Swami/Lectures/01_-_Theme_wise/Demigods/1992-110_Demigod_Worship_SB_06-03-12_-_Radhanath_Swami_Mumbai_1992-09-11_IDesireTree.mp3", "1992-110_Demigod_Worship_SB_06-03-12_-_Radhanath_Swami_Mumbai_1992-09-11_IDesireTree.mp3")</f>
        <v>1992-110_Demigod_Worship_SB_06-03-12_-_Radhanath_Swami_Mumbai_1992-09-11_IDesireTree.mp3</v>
      </c>
      <c r="D3327" s="11"/>
      <c r="E3327" s="11"/>
    </row>
    <row r="3328" spans="1:5">
      <c r="A3328" s="12" t="s">
        <v>12463</v>
      </c>
      <c r="B3328" s="12" t="s">
        <v>16041</v>
      </c>
      <c r="C3328" s="13" t="str">
        <f>HYPERLINK("https://audio.iskcondesiretree.com/02_-_ISKCON_Swamis/ISKCON_Swamis_-_R_to_Y/His_Holiness_Radhanath_Swami/Lectures/01_-_Theme_wise/Demigods/1993-122_Respecting_Demigods_SB_10-34-10-15_-_Radhanath_Swami_1993-06-19_IDesireTree.mp3", "1993-122_Respecting_Demigods_SB_10-34-10-15_-_Radhanath_Swami_1993-06-19_IDesireTree.mp3")</f>
        <v>1993-122_Respecting_Demigods_SB_10-34-10-15_-_Radhanath_Swami_1993-06-19_IDesireTree.mp3</v>
      </c>
      <c r="D3328" s="11"/>
      <c r="E3328" s="11"/>
    </row>
    <row r="3329" spans="1:5">
      <c r="A3329" s="12" t="s">
        <v>12463</v>
      </c>
      <c r="B3329" s="12" t="s">
        <v>16042</v>
      </c>
      <c r="C3329" s="13" t="str">
        <f>HYPERLINK("https://audio.iskcondesiretree.com/02_-_ISKCON_Swamis/ISKCON_Swamis_-_R_to_Y/His_Holiness_Radhanath_Swami/Lectures/01_-_Theme_wise/Demigods/1994-117_Role_Of_Durga_Devi_SB_01-03-34_-_Radhanath_Swami_Mumbai_1994-08-29_IDesireTree.mp3", "1994-117_Role_Of_Durga_Devi_SB_01-03-34_-_Radhanath_Swami_Mumbai_1994-08-29_IDesireTree.mp3")</f>
        <v>1994-117_Role_Of_Durga_Devi_SB_01-03-34_-_Radhanath_Swami_Mumbai_1994-08-29_IDesireTree.mp3</v>
      </c>
      <c r="D3329" s="11"/>
      <c r="E3329" s="11"/>
    </row>
    <row r="3330" spans="1:5">
      <c r="A3330" s="12" t="s">
        <v>12463</v>
      </c>
      <c r="B3330" s="12" t="s">
        <v>16043</v>
      </c>
      <c r="C3330" s="13" t="str">
        <f>HYPERLINK("https://audio.iskcondesiretree.com/02_-_ISKCON_Swamis/ISKCON_Swamis_-_R_to_Y/His_Holiness_Radhanath_Swami/Lectures/01_-_Theme_wise/Demigods/1994-136_Proper_Worship_Of_Demigods_SB_08-06-09_-_Radhanath_Swami_Mumbai_1994-09-09_IDesireTree.mp3", "1994-136_Proper_Worship_Of_Demigods_SB_08-06-09_-_Radhanath_Swami_Mumbai_1994-09-09_IDesireTree.mp3")</f>
        <v>1994-136_Proper_Worship_Of_Demigods_SB_08-06-09_-_Radhanath_Swami_Mumbai_1994-09-09_IDesireTree.mp3</v>
      </c>
      <c r="D3330" s="11"/>
      <c r="E3330" s="11"/>
    </row>
    <row r="3331" spans="1:5">
      <c r="A3331" s="12" t="s">
        <v>12463</v>
      </c>
      <c r="B3331" s="12" t="s">
        <v>16044</v>
      </c>
      <c r="C3331" s="13" t="str">
        <f>HYPERLINK("https://audio.iskcondesiretree.com/02_-_ISKCON_Swamis/ISKCON_Swamis_-_R_to_Y/His_Holiness_Radhanath_Swami/Lectures/01_-_Theme_wise/Demigods/1996-154_Demigods_And_Story_Of_Keshav_Kashmiri_HT_-_BG_09-23_-_Radhanath_Swami_Mumbai_1996-10-16_IDesireTree.mp3", "1996-154_Demigods_And_Story_Of_Keshav_Kashmiri_HT_-_BG_09-23_-_Radhanath_Swami_Mumbai_1996-10-16_IDesireTree.mp3")</f>
        <v>1996-154_Demigods_And_Story_Of_Keshav_Kashmiri_HT_-_BG_09-23_-_Radhanath_Swami_Mumbai_1996-10-16_IDesireTree.mp3</v>
      </c>
      <c r="D3331" s="11"/>
      <c r="E3331" s="11"/>
    </row>
    <row r="3332" spans="1:5">
      <c r="A3332" s="12" t="s">
        <v>12463</v>
      </c>
      <c r="B3332" s="12" t="s">
        <v>16045</v>
      </c>
      <c r="C3332" s="13" t="str">
        <f>HYPERLINK("https://audio.iskcondesiretree.com/02_-_ISKCON_Swamis/ISKCON_Swamis_-_R_to_Y/His_Holiness_Radhanath_Swami/Lectures/01_-_Theme_wise/Demigods/1997-114_Honour_Demigods_But_Worship_Only_Krishna_SB_03-02-31-32_-_Radhanath_Swami_1997-10-04_IDesireTree.mp3", "1997-114_Honour_Demigods_But_Worship_Only_Krishna_SB_03-02-31-32_-_Radhanath_Swami_1997-10-04_IDesireTree.mp3")</f>
        <v>1997-114_Honour_Demigods_But_Worship_Only_Krishna_SB_03-02-31-32_-_Radhanath_Swami_1997-10-04_IDesireTree.mp3</v>
      </c>
      <c r="D3332" s="11"/>
      <c r="E3332" s="11"/>
    </row>
    <row r="3333" spans="1:5">
      <c r="A3333" s="12" t="s">
        <v>12463</v>
      </c>
      <c r="B3333" s="12" t="s">
        <v>16046</v>
      </c>
      <c r="C3333" s="13" t="str">
        <f>HYPERLINK("https://audio.iskcondesiretree.com/02_-_ISKCON_Swamis/ISKCON_Swamis_-_R_to_Y/His_Holiness_Radhanath_Swami/Lectures/01_-_Theme_wise/Demigods/1998-014_Pleasing_Demigods_SB_03-05-49_-_Radhanath_Swami_Mumbai_1998-01-31_IDesireTree.mp3", "1998-014_Pleasing_Demigods_SB_03-05-49_-_Radhanath_Swami_Mumbai_1998-01-31_IDesireTree.mp3")</f>
        <v>1998-014_Pleasing_Demigods_SB_03-05-49_-_Radhanath_Swami_Mumbai_1998-01-31_IDesireTree.mp3</v>
      </c>
      <c r="D3333" s="11"/>
      <c r="E3333" s="11"/>
    </row>
    <row r="3334" spans="1:5">
      <c r="A3334" s="12" t="s">
        <v>12463</v>
      </c>
      <c r="B3334" s="12" t="s">
        <v>16047</v>
      </c>
      <c r="C3334" s="13" t="str">
        <f>HYPERLINK("https://audio.iskcondesiretree.com/02_-_ISKCON_Swamis/ISKCON_Swamis_-_R_to_Y/His_Holiness_Radhanath_Swami/Lectures/01_-_Theme_wise/Demigods/1998-081_Demigods_Depend_on_Krishna_SB_03-05-37-38_-_Radhanath_Swami_Mumbai_1998-08-15_IDesireTree.mp3", "1998-081_Demigods_Depend_on_Krishna_SB_03-05-37-38_-_Radhanath_Swami_Mumbai_1998-08-15_IDesireTree.mp3")</f>
        <v>1998-081_Demigods_Depend_on_Krishna_SB_03-05-37-38_-_Radhanath_Swami_Mumbai_1998-08-15_IDesireTree.mp3</v>
      </c>
      <c r="D3334" s="11"/>
      <c r="E3334" s="11"/>
    </row>
    <row r="3335" spans="1:5">
      <c r="A3335" s="12" t="s">
        <v>12463</v>
      </c>
      <c r="B3335" s="12" t="s">
        <v>16048</v>
      </c>
      <c r="C3335" s="13" t="str">
        <f>HYPERLINK("https://audio.iskcondesiretree.com/02_-_ISKCON_Swamis/ISKCON_Swamis_-_R_to_Y/His_Holiness_Radhanath_Swami/Lectures/01_-_Theme_wise/Demigods/1998-111_Best_Blessings_of_Demigods_SB_03-14-26_-_Radhanath_Swami_Mumbai_1998-06-12_IDesireTree.mp3", "1998-111_Best_Blessings_of_Demigods_SB_03-14-26_-_Radhanath_Swami_Mumbai_1998-06-12_IDesireTree.mp3")</f>
        <v>1998-111_Best_Blessings_of_Demigods_SB_03-14-26_-_Radhanath_Swami_Mumbai_1998-06-12_IDesireTree.mp3</v>
      </c>
      <c r="D3335" s="11"/>
      <c r="E3335" s="11"/>
    </row>
    <row r="3336" spans="1:5">
      <c r="A3336" s="12" t="s">
        <v>12463</v>
      </c>
      <c r="B3336" s="12" t="s">
        <v>16049</v>
      </c>
      <c r="C3336" s="13" t="str">
        <f>HYPERLINK("https://audio.iskcondesiretree.com/02_-_ISKCON_Swamis/ISKCON_Swamis_-_R_to_Y/His_Holiness_Radhanath_Swami/Lectures/01_-_Theme_wise/Desires/1989-057_Krishna_Reciprocates_To_Your_Desire_SB_07-01-03_-_Radhanath_Swami_Mumbai_1989-09-29_IDesireTree.mp3", "1989-057_Krishna_Reciprocates_To_Your_Desire_SB_07-01-03_-_Radhanath_Swami_Mumbai_1989-09-29_IDesireTree.mp3")</f>
        <v>1989-057_Krishna_Reciprocates_To_Your_Desire_SB_07-01-03_-_Radhanath_Swami_Mumbai_1989-09-29_IDesireTree.mp3</v>
      </c>
      <c r="D3336" s="11"/>
      <c r="E3336" s="11"/>
    </row>
    <row r="3337" spans="1:5">
      <c r="A3337" s="12" t="s">
        <v>12463</v>
      </c>
      <c r="B3337" s="12" t="s">
        <v>16050</v>
      </c>
      <c r="C3337" s="13" t="str">
        <f>HYPERLINK("https://audio.iskcondesiretree.com/02_-_ISKCON_Swamis/ISKCON_Swamis_-_R_to_Y/His_Holiness_Radhanath_Swami/Lectures/01_-_Theme_wise/Desires/1991-119_Desire_To_Please_Krishna_BG_02-14_-_Radhanath_Swami_Mumbai_1991-11-20_IDesireTree.mp3", "1991-119_Desire_To_Please_Krishna_BG_02-14_-_Radhanath_Swami_Mumbai_1991-11-20_IDesireTree.mp3")</f>
        <v>1991-119_Desire_To_Please_Krishna_BG_02-14_-_Radhanath_Swami_Mumbai_1991-11-20_IDesireTree.mp3</v>
      </c>
      <c r="D3337" s="11"/>
      <c r="E3337" s="11"/>
    </row>
    <row r="3338" spans="1:5">
      <c r="A3338" s="12" t="s">
        <v>12463</v>
      </c>
      <c r="B3338" s="12" t="s">
        <v>16051</v>
      </c>
      <c r="C3338" s="13" t="str">
        <f>HYPERLINK("https://audio.iskcondesiretree.com/02_-_ISKCON_Swamis/ISKCON_Swamis_-_R_to_Y/His_Holiness_Radhanath_Swami/Lectures/01_-_Theme_wise/Desires/1995-076_Devotees_Desire-_Only_To_Serve_BG_12-17_-_Radhanath_Swami_Mumbai_1995-04-02_new_IDesireTree.mp3", "1995-076_Devotees_Desire-_Only_To_Serve_BG_12-17_-_Radhanath_Swami_Mumbai_1995-04-02_new_IDesireTree.mp3")</f>
        <v>1995-076_Devotees_Desire-_Only_To_Serve_BG_12-17_-_Radhanath_Swami_Mumbai_1995-04-02_new_IDesireTree.mp3</v>
      </c>
      <c r="D3338" s="11"/>
      <c r="E3338" s="11"/>
    </row>
    <row r="3339" spans="1:5">
      <c r="A3339" s="12" t="s">
        <v>12463</v>
      </c>
      <c r="B3339" s="12" t="s">
        <v>16052</v>
      </c>
      <c r="C3339" s="13" t="str">
        <f>HYPERLINK("https://audio.iskcondesiretree.com/02_-_ISKCON_Swamis/ISKCON_Swamis_-_R_to_Y/His_Holiness_Radhanath_Swami/Lectures/01_-_Theme_wise/Desires/1997-103_Desires_Limited_-_Resourses_Unlimited_SB_04-12-08_-_Radhanath_Swami_Moscow_1997-09-16_IDesireTree.mp3", "1997-103_Desires_Limited_-_Resourses_Unlimited_SB_04-12-08_-_Radhanath_Swami_Moscow_1997-09-16_IDesireTree.mp3")</f>
        <v>1997-103_Desires_Limited_-_Resourses_Unlimited_SB_04-12-08_-_Radhanath_Swami_Moscow_1997-09-16_IDesireTree.mp3</v>
      </c>
      <c r="D3339" s="11"/>
      <c r="E3339" s="11"/>
    </row>
    <row r="3340" spans="1:5">
      <c r="A3340" s="12" t="s">
        <v>12463</v>
      </c>
      <c r="B3340" s="12" t="s">
        <v>16053</v>
      </c>
      <c r="C3340" s="13" t="str">
        <f>HYPERLINK("https://audio.iskcondesiretree.com/02_-_ISKCON_Swamis/ISKCON_Swamis_-_R_to_Y/His_Holiness_Radhanath_Swami/Lectures/01_-_Theme_wise/Desires/2000_Only_Bhakti_Can_Eradicate_all_Sinful_Desires_SB_03-31-29_-_Radhanath_Swami_Mumbai_2000-11-25_IDesireTree.MP3", "2000_Only_Bhakti_Can_Eradicate_all_Sinful_Desires_SB_03-31-29_-_Radhanath_Swami_Mumbai_2000-11-25_IDesireTree.MP3")</f>
        <v>2000_Only_Bhakti_Can_Eradicate_all_Sinful_Desires_SB_03-31-29_-_Radhanath_Swami_Mumbai_2000-11-25_IDesireTree.MP3</v>
      </c>
      <c r="D3340" s="11"/>
      <c r="E3340" s="11"/>
    </row>
    <row r="3341" spans="1:5">
      <c r="A3341" s="12" t="s">
        <v>12463</v>
      </c>
      <c r="B3341" s="12" t="s">
        <v>16054</v>
      </c>
      <c r="C3341" s="13" t="str">
        <f>HYPERLINK("https://audio.iskcondesiretree.com/02_-_ISKCON_Swamis/ISKCON_Swamis_-_R_to_Y/His_Holiness_Radhanath_Swami/Lectures/01_-_Theme_wise/Desires/2007_We_Must_Cultivate_Proper_Desires_SB_06-10-0_-_Radhanath_Swami_2007-03-11_IDesireTree.mp3", "2007_We_Must_Cultivate_Proper_Desires_SB_06-10-0_-_Radhanath_Swami_2007-03-11_IDesireTree.mp3")</f>
        <v>2007_We_Must_Cultivate_Proper_Desires_SB_06-10-0_-_Radhanath_Swami_2007-03-11_IDesireTree.mp3</v>
      </c>
      <c r="D3341" s="11"/>
      <c r="E3341" s="11"/>
    </row>
    <row r="3342" spans="1:5">
      <c r="A3342" s="12" t="s">
        <v>12463</v>
      </c>
      <c r="B3342" s="12" t="s">
        <v>16055</v>
      </c>
      <c r="C3342" s="13" t="str">
        <f>HYPERLINK("https://audio.iskcondesiretree.com/02_-_ISKCON_Swamis/ISKCON_Swamis_-_R_to_Y/His_Holiness_Radhanath_Swami/Lectures/01_-_Theme_wise/Determination/1990-079_Comitting_To_This_Great_Mission_SB_08-07-24_-_Radhanath_Swami_Mumbai_1990-09-05_IDesireTree.mp3", "1990-079_Comitting_To_This_Great_Mission_SB_08-07-24_-_Radhanath_Swami_Mumbai_1990-09-05_IDesireTree.mp3")</f>
        <v>1990-079_Comitting_To_This_Great_Mission_SB_08-07-24_-_Radhanath_Swami_Mumbai_1990-09-05_IDesireTree.mp3</v>
      </c>
      <c r="D3342" s="11"/>
      <c r="E3342" s="11"/>
    </row>
    <row r="3343" spans="1:5">
      <c r="A3343" s="12" t="s">
        <v>12463</v>
      </c>
      <c r="B3343" s="12" t="s">
        <v>16056</v>
      </c>
      <c r="C3343" s="13" t="str">
        <f>HYPERLINK("https://audio.iskcondesiretree.com/02_-_ISKCON_Swamis/ISKCON_Swamis_-_R_to_Y/His_Holiness_Radhanath_Swami/Lectures/01_-_Theme_wise/Determination/1990-086_Determination_BG_02-41_-_Radhanath_Swami_Mumbai_1990-10-05_IDesireTree.mp3", "1990-086_Determination_BG_02-41_-_Radhanath_Swami_Mumbai_1990-10-05_IDesireTree.mp3")</f>
        <v>1990-086_Determination_BG_02-41_-_Radhanath_Swami_Mumbai_1990-10-05_IDesireTree.mp3</v>
      </c>
      <c r="D3343" s="11"/>
      <c r="E3343" s="11"/>
    </row>
    <row r="3344" spans="1:5">
      <c r="A3344" s="12" t="s">
        <v>12463</v>
      </c>
      <c r="B3344" s="12" t="s">
        <v>16057</v>
      </c>
      <c r="C3344" s="13" t="str">
        <f>HYPERLINK("https://audio.iskcondesiretree.com/02_-_ISKCON_Swamis/ISKCON_Swamis_-_R_to_Y/His_Holiness_Radhanath_Swami/Lectures/01_-_Theme_wise/Determination/1990-087_Be_Fixed_In_Your_Aim_BG_08-27_-_Radhanath_Swami_Mumbai_1990-10-06_IDesireTree.mp3", "1990-087_Be_Fixed_In_Your_Aim_BG_08-27_-_Radhanath_Swami_Mumbai_1990-10-06_IDesireTree.mp3")</f>
        <v>1990-087_Be_Fixed_In_Your_Aim_BG_08-27_-_Radhanath_Swami_Mumbai_1990-10-06_IDesireTree.mp3</v>
      </c>
      <c r="D3344" s="11"/>
      <c r="E3344" s="11"/>
    </row>
    <row r="3345" spans="1:5">
      <c r="A3345" s="12" t="s">
        <v>12463</v>
      </c>
      <c r="B3345" s="12" t="s">
        <v>16058</v>
      </c>
      <c r="C3345" s="13" t="str">
        <f>HYPERLINK("https://audio.iskcondesiretree.com/02_-_ISKCON_Swamis/ISKCON_Swamis_-_R_to_Y/His_Holiness_Radhanath_Swami/Lectures/01_-_Theme_wise/Determination/1992-077_One_Pointed_Determination_BG_02-41_-_Radhanath_Swami_Mumbai_1992-04-10_IDesireTree.mp3", "1992-077_One_Pointed_Determination_BG_02-41_-_Radhanath_Swami_Mumbai_1992-04-10_IDesireTree.mp3")</f>
        <v>1992-077_One_Pointed_Determination_BG_02-41_-_Radhanath_Swami_Mumbai_1992-04-10_IDesireTree.mp3</v>
      </c>
      <c r="D3345" s="11"/>
      <c r="E3345" s="11"/>
    </row>
    <row r="3346" spans="1:5">
      <c r="A3346" s="12" t="s">
        <v>12463</v>
      </c>
      <c r="B3346" s="12" t="s">
        <v>16059</v>
      </c>
      <c r="C3346" s="13" t="str">
        <f>HYPERLINK("https://audio.iskcondesiretree.com/02_-_ISKCON_Swamis/ISKCON_Swamis_-_R_to_Y/His_Holiness_Radhanath_Swami/Lectures/01_-_Theme_wise/Determination/1993-189_To_Have_Determination_SB_01-06-22_-_Radhanath_Swami_Mumbai_1993-12-19_IDesireTree.mp3", "1993-189_To_Have_Determination_SB_01-06-22_-_Radhanath_Swami_Mumbai_1993-12-19_IDesireTree.mp3")</f>
        <v>1993-189_To_Have_Determination_SB_01-06-22_-_Radhanath_Swami_Mumbai_1993-12-19_IDesireTree.mp3</v>
      </c>
      <c r="D3346" s="11"/>
      <c r="E3346" s="11"/>
    </row>
    <row r="3347" spans="1:5">
      <c r="A3347" s="12" t="s">
        <v>12463</v>
      </c>
      <c r="B3347" s="12" t="s">
        <v>16060</v>
      </c>
      <c r="C3347" s="13" t="str">
        <f>HYPERLINK("https://audio.iskcondesiretree.com/02_-_ISKCON_Swamis/ISKCON_Swamis_-_R_to_Y/His_Holiness_Radhanath_Swami/Lectures/01_-_Theme_wise/Determination/1994-167_Without_Determination_We_Are_Animals_SB_04-24-44_-_Radhanath_Swam_Mumbaii_1994-09-25_IDesireTree.mp3", "1994-167_Without_Determination_We_Are_Animals_SB_04-24-44_-_Radhanath_Swam_Mumbaii_1994-09-25_IDesireTree.mp3")</f>
        <v>1994-167_Without_Determination_We_Are_Animals_SB_04-24-44_-_Radhanath_Swam_Mumbaii_1994-09-25_IDesireTree.mp3</v>
      </c>
      <c r="D3347" s="11"/>
      <c r="E3347" s="11"/>
    </row>
    <row r="3348" spans="1:5">
      <c r="A3348" s="12" t="s">
        <v>12463</v>
      </c>
      <c r="B3348" s="12" t="s">
        <v>16061</v>
      </c>
      <c r="C3348" s="13" t="str">
        <f>HYPERLINK("https://audio.iskcondesiretree.com/02_-_ISKCON_Swamis/ISKCON_Swamis_-_R_to_Y/His_Holiness_Radhanath_Swami/Lectures/01_-_Theme_wise/Determination/1995-099_Be_Determined_In_Devotional_Service_SB_04-11-02_-_Radhanath_Swami_Pune_1995-08-31_IDesireTree.mp3", "1995-099_Be_Determined_In_Devotional_Service_SB_04-11-02_-_Radhanath_Swami_Pune_1995-08-31_IDesireTree.mp3")</f>
        <v>1995-099_Be_Determined_In_Devotional_Service_SB_04-11-02_-_Radhanath_Swami_Pune_1995-08-31_IDesireTree.mp3</v>
      </c>
      <c r="D3348" s="11"/>
      <c r="E3348" s="11"/>
    </row>
    <row r="3349" spans="1:5">
      <c r="A3349" s="12" t="s">
        <v>12463</v>
      </c>
      <c r="B3349" s="12" t="s">
        <v>16062</v>
      </c>
      <c r="C3349" s="13" t="str">
        <f>HYPERLINK("https://audio.iskcondesiretree.com/02_-_ISKCON_Swamis/ISKCON_Swamis_-_R_to_Y/His_Holiness_Radhanath_Swami/Lectures/01_-_Theme_wise/Determination/1996-023_Determination_Like_Bird_Chatak_Lecture_-_Radhanath_Swami_Mumbai_1996-01-21_IDesireTree.mp3", "1996-023_Determination_Like_Bird_Chatak_Lecture_-_Radhanath_Swami_Mumbai_1996-01-21_IDesireTree.mp3")</f>
        <v>1996-023_Determination_Like_Bird_Chatak_Lecture_-_Radhanath_Swami_Mumbai_1996-01-21_IDesireTree.mp3</v>
      </c>
      <c r="D3349" s="11"/>
      <c r="E3349" s="11"/>
    </row>
    <row r="3350" spans="1:5">
      <c r="A3350" s="12" t="s">
        <v>12463</v>
      </c>
      <c r="B3350" s="12" t="s">
        <v>16063</v>
      </c>
      <c r="C3350" s="13" t="str">
        <f>HYPERLINK("https://audio.iskcondesiretree.com/02_-_ISKCON_Swamis/ISKCON_Swamis_-_R_to_Y/His_Holiness_Radhanath_Swami/Lectures/01_-_Theme_wise/Determination/1998-015_Fixed_Determination_BG_02-41_-_Radhanath_Swami_Mumbai_1998-01-31_IDesireTree.mp3", "1998-015_Fixed_Determination_BG_02-41_-_Radhanath_Swami_Mumbai_1998-01-31_IDesireTree.mp3")</f>
        <v>1998-015_Fixed_Determination_BG_02-41_-_Radhanath_Swami_Mumbai_1998-01-31_IDesireTree.mp3</v>
      </c>
      <c r="D3350" s="11"/>
      <c r="E3350" s="11"/>
    </row>
    <row r="3351" spans="1:5">
      <c r="A3351" s="12" t="s">
        <v>12463</v>
      </c>
      <c r="B3351" s="12" t="s">
        <v>16064</v>
      </c>
      <c r="C3351" s="13" t="str">
        <f>HYPERLINK("https://audio.iskcondesiretree.com/02_-_ISKCON_Swamis/ISKCON_Swamis_-_R_to_Y/His_Holiness_Radhanath_Swami/Lectures/01_-_Theme_wise/Determination/2004_Determination_of_Ahilya_Ram_Navami_-_Radhanath_Swami_Mumbai_2004-03-30_IDesireTree.mp3", "2004_Determination_of_Ahilya_Ram_Navami_-_Radhanath_Swami_Mumbai_2004-03-30_IDesireTree.mp3")</f>
        <v>2004_Determination_of_Ahilya_Ram_Navami_-_Radhanath_Swami_Mumbai_2004-03-30_IDesireTree.mp3</v>
      </c>
      <c r="D3351" s="11"/>
      <c r="E3351" s="11"/>
    </row>
    <row r="3352" spans="1:5">
      <c r="A3352" s="12" t="s">
        <v>12463</v>
      </c>
      <c r="B3352" s="12" t="s">
        <v>16065</v>
      </c>
      <c r="C3352" s="13" t="str">
        <f>HYPERLINK("https://audio.iskcondesiretree.com/02_-_ISKCON_Swamis/ISKCON_Swamis_-_R_to_Y/His_Holiness_Radhanath_Swami/Lectures/01_-_Theme_wise/Determination/2004_The_Importance_of_Determination_-_Radhanath_Swami_New_York_2004-06-04_IDesireTree.mp3", "2004_The_Importance_of_Determination_-_Radhanath_Swami_New_York_2004-06-04_IDesireTree.mp3")</f>
        <v>2004_The_Importance_of_Determination_-_Radhanath_Swami_New_York_2004-06-04_IDesireTree.mp3</v>
      </c>
      <c r="D3352" s="11"/>
      <c r="E3352" s="11"/>
    </row>
    <row r="3353" spans="1:5">
      <c r="A3353" s="12" t="s">
        <v>12463</v>
      </c>
      <c r="B3353" s="12" t="s">
        <v>16066</v>
      </c>
      <c r="C3353" s="13" t="str">
        <f>HYPERLINK("https://audio.iskcondesiretree.com/02_-_ISKCON_Swamis/ISKCON_Swamis_-_R_to_Y/His_Holiness_Radhanath_Swami/Lectures/01_-_Theme_wise/Devotees_Association/01.Inspiring_One_Another_in_Krishna_Consciousness_SB-07-03-30_-_US_Spring_2005_IDesireTree.mp3", "01.Inspiring_One_Another_in_Krishna_Consciousness_SB-07-03-30_-_US_Spring_2005_IDesireTree.mp3")</f>
        <v>01.Inspiring_One_Another_in_Krishna_Consciousness_SB-07-03-30_-_US_Spring_2005_IDesireTree.mp3</v>
      </c>
      <c r="D3353" s="11"/>
      <c r="E3353" s="11"/>
    </row>
    <row r="3354" spans="1:5">
      <c r="A3354" s="12" t="s">
        <v>12463</v>
      </c>
      <c r="B3354" s="12" t="s">
        <v>16067</v>
      </c>
      <c r="C3354" s="13" t="str">
        <f>HYPERLINK("https://audio.iskcondesiretree.com/02_-_ISKCON_Swamis/ISKCON_Swamis_-_R_to_Y/His_Holiness_Radhanath_Swami/Lectures/01_-_Theme_wise/Devotees_Association/02.Seeking_Shelter_of_Vaisnavas_CC-ML-22-53_-_London_2004_IDesireTree.mp3", "02.Seeking_Shelter_of_Vaisnavas_CC-ML-22-53_-_London_2004_IDesireTree.mp3")</f>
        <v>02.Seeking_Shelter_of_Vaisnavas_CC-ML-22-53_-_London_2004_IDesireTree.mp3</v>
      </c>
      <c r="D3354" s="11"/>
      <c r="E3354" s="11"/>
    </row>
    <row r="3355" spans="1:5">
      <c r="A3355" s="12" t="s">
        <v>12463</v>
      </c>
      <c r="B3355" s="12" t="s">
        <v>16068</v>
      </c>
      <c r="C3355" s="13" t="str">
        <f>HYPERLINK("https://audio.iskcondesiretree.com/02_-_ISKCON_Swamis/ISKCON_Swamis_-_R_to_Y/His_Holiness_Radhanath_Swami/Lectures/01_-_Theme_wise/Devotees_Association/03.Value_of_Sadhu_Sanga_-_Questions_%26_Answers_-_Radhanath_Swami_London_2005-04-06_IDesireTree.mp3", "03.Value_of_Sadhu_Sanga_-_Questions_%26_Answers_-_Radhanath_Swami_London_2005-04-06_IDesireTree.mp3")</f>
        <v>03.Value_of_Sadhu_Sanga_-_Questions_%26_Answers_-_Radhanath_Swami_London_2005-04-06_IDesireTree.mp3</v>
      </c>
      <c r="D3355" s="11"/>
      <c r="E3355" s="11"/>
    </row>
    <row r="3356" spans="1:5">
      <c r="A3356" s="12" t="s">
        <v>12463</v>
      </c>
      <c r="B3356" s="12" t="s">
        <v>16069</v>
      </c>
      <c r="C3356" s="13" t="str">
        <f>HYPERLINK("https://audio.iskcondesiretree.com/02_-_ISKCON_Swamis/ISKCON_Swamis_-_R_to_Y/His_Holiness_Radhanath_Swami/Lectures/01_-_Theme_wise/Devotees_Association/04.Value_of_a_Moment%27s_Association_With_a_Pure_Devotee_SB-04-30-34_-_06-04-05_IDesireTree.mp3", "04.Value_of_a_Moment%27s_Association_With_a_Pure_Devotee_SB-04-30-34_-_06-04-05_IDesireTree.mp3")</f>
        <v>04.Value_of_a_Moment%27s_Association_With_a_Pure_Devotee_SB-04-30-34_-_06-04-05_IDesireTree.mp3</v>
      </c>
      <c r="D3356" s="11"/>
      <c r="E3356" s="11"/>
    </row>
    <row r="3357" spans="1:5">
      <c r="A3357" s="12" t="s">
        <v>12463</v>
      </c>
      <c r="B3357" s="12" t="s">
        <v>16070</v>
      </c>
      <c r="C3357" s="13" t="str">
        <f>HYPERLINK("https://audio.iskcondesiretree.com/02_-_ISKCON_Swamis/ISKCON_Swamis_-_R_to_Y/His_Holiness_Radhanath_Swami/Lectures/01_-_Theme_wise/Devotees_Association/05.Developing_Culture_of_Respecting_Others_SB_06-07-33_-_New_Vrindavan_22-05-04_IDesireTree.mp3", "05.Developing_Culture_of_Respecting_Others_SB_06-07-33_-_New_Vrindavan_22-05-04_IDesireTree.mp3")</f>
        <v>05.Developing_Culture_of_Respecting_Others_SB_06-07-33_-_New_Vrindavan_22-05-04_IDesireTree.mp3</v>
      </c>
      <c r="D3357" s="11"/>
      <c r="E3357" s="11"/>
    </row>
    <row r="3358" spans="1:5">
      <c r="A3358" s="12" t="s">
        <v>12463</v>
      </c>
      <c r="B3358" s="12" t="s">
        <v>16071</v>
      </c>
      <c r="C3358" s="13" t="str">
        <f>HYPERLINK("https://audio.iskcondesiretree.com/02_-_ISKCON_Swamis/ISKCON_Swamis_-_R_to_Y/His_Holiness_Radhanath_Swami/Lectures/01_-_Theme_wise/Devotees_Association/06.07-04-28_Do_Not_Mistreat_Anyone_SB_06-14-01_-_Radhanath_Swami_IDesireTree.mp3", "06.07-04-28_Do_Not_Mistreat_Anyone_SB_06-14-01_-_Radhanath_Swami_IDesireTree.mp3")</f>
        <v>06.07-04-28_Do_Not_Mistreat_Anyone_SB_06-14-01_-_Radhanath_Swami_IDesireTree.mp3</v>
      </c>
      <c r="D3358" s="11"/>
      <c r="E3358" s="11"/>
    </row>
    <row r="3359" spans="1:5">
      <c r="A3359" s="12" t="s">
        <v>12463</v>
      </c>
      <c r="B3359" s="12" t="s">
        <v>16072</v>
      </c>
      <c r="C3359" s="13" t="str">
        <f>HYPERLINK("https://audio.iskcondesiretree.com/02_-_ISKCON_Swamis/ISKCON_Swamis_-_R_to_Y/His_Holiness_Radhanath_Swami/Lectures/01_-_Theme_wise/Devotees_Association/08.Cooperation_Amongst_Devotees_SB_05-01-40_-_Mumbai_2004-12-12_IDesireTree.mp3", "08.Cooperation_Amongst_Devotees_SB_05-01-40_-_Mumbai_2004-12-12_IDesireTree.mp3")</f>
        <v>08.Cooperation_Amongst_Devotees_SB_05-01-40_-_Mumbai_2004-12-12_IDesireTree.mp3</v>
      </c>
      <c r="D3359" s="11"/>
      <c r="E3359" s="11"/>
    </row>
    <row r="3360" spans="1:5">
      <c r="A3360" s="12" t="s">
        <v>12463</v>
      </c>
      <c r="B3360" s="12" t="s">
        <v>16073</v>
      </c>
      <c r="C3360" s="13" t="str">
        <f>HYPERLINK("https://audio.iskcondesiretree.com/02_-_ISKCON_Swamis/ISKCON_Swamis_-_R_to_Y/His_Holiness_Radhanath_Swami/Lectures/01_-_Theme_wise/Devotees_Association/09.08-03-26_Devotees_Do_not_Create_Enemies_SB_07-05-03_-_Radhanath_Swami_IDesireTree.mp3", "09.08-03-26_Devotees_Do_not_Create_Enemies_SB_07-05-03_-_Radhanath_Swami_IDesireTree.mp3")</f>
        <v>09.08-03-26_Devotees_Do_not_Create_Enemies_SB_07-05-03_-_Radhanath_Swami_IDesireTree.mp3</v>
      </c>
      <c r="D3360" s="11"/>
      <c r="E3360" s="11"/>
    </row>
    <row r="3361" spans="1:5">
      <c r="A3361" s="12" t="s">
        <v>12463</v>
      </c>
      <c r="B3361" s="12" t="s">
        <v>16074</v>
      </c>
      <c r="C3361" s="13" t="str">
        <f>HYPERLINK("https://audio.iskcondesiretree.com/02_-_ISKCON_Swamis/ISKCON_Swamis_-_R_to_Y/His_Holiness_Radhanath_Swami/Lectures/01_-_Theme_wise/Devotees_Association/10.Immense_Value_of_Association_SB_04-30-34_-_Radhanath_Swami_Mumbai_2004-09-05_IDesireTree.mp3", "10.Immense_Value_of_Association_SB_04-30-34_-_Radhanath_Swami_Mumbai_2004-09-05_IDesireTree.mp3")</f>
        <v>10.Immense_Value_of_Association_SB_04-30-34_-_Radhanath_Swami_Mumbai_2004-09-05_IDesireTree.mp3</v>
      </c>
      <c r="D3361" s="11"/>
      <c r="E3361" s="11"/>
    </row>
    <row r="3362" spans="1:5">
      <c r="A3362" s="12" t="s">
        <v>12463</v>
      </c>
      <c r="B3362" s="12" t="s">
        <v>16075</v>
      </c>
      <c r="C3362" s="13" t="str">
        <f>HYPERLINK("https://audio.iskcondesiretree.com/02_-_ISKCON_Swamis/ISKCON_Swamis_-_R_to_Y/His_Holiness_Radhanath_Swami/Lectures/01_-_Theme_wise/Devotees_Association/11.Cooperation_Among_Devotees_SB_04-22-32_-_Radhanath_Swami_Gita_Nagari_June_2005_IDesireTree.mp3", "11.Cooperation_Among_Devotees_SB_04-22-32_-_Radhanath_Swami_Gita_Nagari_June_2005_IDesireTree.mp3")</f>
        <v>11.Cooperation_Among_Devotees_SB_04-22-32_-_Radhanath_Swami_Gita_Nagari_June_2005_IDesireTree.mp3</v>
      </c>
      <c r="D3362" s="11"/>
      <c r="E3362" s="11"/>
    </row>
    <row r="3363" spans="1:5">
      <c r="A3363" s="12" t="s">
        <v>12463</v>
      </c>
      <c r="B3363" s="12" t="s">
        <v>16076</v>
      </c>
      <c r="C3363" s="13" t="str">
        <f>HYPERLINK("https://audio.iskcondesiretree.com/02_-_ISKCON_Swamis/ISKCON_Swamis_-_R_to_Y/His_Holiness_Radhanath_Swami/Lectures/01_-_Theme_wise/Devotees_Association/12.Real_Love_is_Only_Possible_when_We_are_United_-_Radhanath_Swami_IDesireTree.mp3", "12.Real_Love_is_Only_Possible_when_We_are_United_-_Radhanath_Swami_IDesireTree.mp3")</f>
        <v>12.Real_Love_is_Only_Possible_when_We_are_United_-_Radhanath_Swami_IDesireTree.mp3</v>
      </c>
      <c r="D3363" s="11"/>
      <c r="E3363" s="11"/>
    </row>
    <row r="3364" spans="1:5">
      <c r="A3364" s="12" t="s">
        <v>12463</v>
      </c>
      <c r="B3364" s="12" t="s">
        <v>16077</v>
      </c>
      <c r="C3364" s="13" t="str">
        <f>HYPERLINK("https://audio.iskcondesiretree.com/02_-_ISKCON_Swamis/ISKCON_Swamis_-_R_to_Y/His_Holiness_Radhanath_Swami/Lectures/01_-_Theme_wise/Devotees_Association/15.Getting_Attached_to_the_Lord%27s_Devotees_-_Radhanath_Swami_IDesireTree.mp3", "15.Getting_Attached_to_the_Lord%27s_Devotees_-_Radhanath_Swami_IDesireTree.mp3")</f>
        <v>15.Getting_Attached_to_the_Lord%27s_Devotees_-_Radhanath_Swami_IDesireTree.mp3</v>
      </c>
      <c r="D3364" s="11"/>
      <c r="E3364" s="11"/>
    </row>
    <row r="3365" spans="1:5">
      <c r="A3365" s="12" t="s">
        <v>12463</v>
      </c>
      <c r="B3365" s="12" t="s">
        <v>16078</v>
      </c>
      <c r="C3365" s="13" t="str">
        <f>HYPERLINK("https://audio.iskcondesiretree.com/02_-_ISKCON_Swamis/ISKCON_Swamis_-_R_to_Y/His_Holiness_Radhanath_Swami/Lectures/01_-_Theme_wise/Devotees_Association/16.Association_of_Devotees_is_the_Greatest_Benediction_SB-04-22-20_-_Mumbai_22-03-03.mp3", "16.Association_of_Devotees_is_the_Greatest_Benediction_SB-04-22-20_-_Mumbai_22-03-03.mp3")</f>
        <v>16.Association_of_Devotees_is_the_Greatest_Benediction_SB-04-22-20_-_Mumbai_22-03-03.mp3</v>
      </c>
      <c r="D3365" s="11"/>
      <c r="E3365" s="11"/>
    </row>
    <row r="3366" spans="1:5">
      <c r="A3366" s="12" t="s">
        <v>12463</v>
      </c>
      <c r="B3366" s="12" t="s">
        <v>16079</v>
      </c>
      <c r="C3366" s="13" t="str">
        <f>HYPERLINK("https://audio.iskcondesiretree.com/02_-_ISKCON_Swamis/ISKCON_Swamis_-_R_to_Y/His_Holiness_Radhanath_Swami/Lectures/01_-_Theme_wise/Devotees_Association/17.Cooperation_Means_the_Process_of_Pleasing_-_New_Vrindavan_03-05-99_IDesireTree.mp3", "17.Cooperation_Means_the_Process_of_Pleasing_-_New_Vrindavan_03-05-99_IDesireTree.mp3")</f>
        <v>17.Cooperation_Means_the_Process_of_Pleasing_-_New_Vrindavan_03-05-99_IDesireTree.mp3</v>
      </c>
      <c r="D3366" s="11"/>
      <c r="E3366" s="11"/>
    </row>
    <row r="3367" spans="1:5">
      <c r="A3367" s="12" t="s">
        <v>12463</v>
      </c>
      <c r="B3367" s="12" t="s">
        <v>16080</v>
      </c>
      <c r="C3367" s="13" t="str">
        <f>HYPERLINK("https://audio.iskcondesiretree.com/02_-_ISKCON_Swamis/ISKCON_Swamis_-_R_to_Y/His_Holiness_Radhanath_Swami/Lectures/01_-_Theme_wise/Devotees_Association/18.Purpose_of_Associating_with_the_Devotees_Belga_-_Radhanath_Swami_2002-01-19_IDesireTree.mp3", "18.Purpose_of_Associating_with_the_Devotees_Belga_-_Radhanath_Swami_2002-01-19_IDesireTree.mp3")</f>
        <v>18.Purpose_of_Associating_with_the_Devotees_Belga_-_Radhanath_Swami_2002-01-19_IDesireTree.mp3</v>
      </c>
      <c r="D3367" s="11"/>
      <c r="E3367" s="11"/>
    </row>
    <row r="3368" spans="1:5">
      <c r="A3368" s="12" t="s">
        <v>12463</v>
      </c>
      <c r="B3368" s="12" t="s">
        <v>16081</v>
      </c>
      <c r="C3368" s="13" t="str">
        <f>HYPERLINK("https://audio.iskcondesiretree.com/02_-_ISKCON_Swamis/ISKCON_Swamis_-_R_to_Y/His_Holiness_Radhanath_Swami/Lectures/01_-_Theme_wise/Devotees_Association/1990-056_Association_Of_Devotees_BG_10-09_-_Radhanath_Swami_Mumbai_1990-07-27_IDesireTree.mp3", "1990-056_Association_Of_Devotees_BG_10-09_-_Radhanath_Swami_Mumbai_1990-07-27_IDesireTree.mp3")</f>
        <v>1990-056_Association_Of_Devotees_BG_10-09_-_Radhanath_Swami_Mumbai_1990-07-27_IDesireTree.mp3</v>
      </c>
      <c r="D3368" s="11"/>
      <c r="E3368" s="11"/>
    </row>
    <row r="3369" spans="1:5">
      <c r="A3369" s="12" t="s">
        <v>12463</v>
      </c>
      <c r="B3369" s="12" t="s">
        <v>16082</v>
      </c>
      <c r="C3369" s="13" t="str">
        <f>HYPERLINK("https://audio.iskcondesiretree.com/02_-_ISKCON_Swamis/ISKCON_Swamis_-_R_to_Y/His_Holiness_Radhanath_Swami/Lectures/01_-_Theme_wise/Devotees_Association/1991-136_Different_Categories_Of_Devotees_Lecture_-_Radhanath_Swami_Mumbai_1991-11-30_IDesireTree.mp3", "1991-136_Different_Categories_Of_Devotees_Lecture_-_Radhanath_Swami_Mumbai_1991-11-30_IDesireTree.mp3")</f>
        <v>1991-136_Different_Categories_Of_Devotees_Lecture_-_Radhanath_Swami_Mumbai_1991-11-30_IDesireTree.mp3</v>
      </c>
      <c r="D3369" s="11"/>
      <c r="E3369" s="11"/>
    </row>
    <row r="3370" spans="1:5">
      <c r="A3370" s="12" t="s">
        <v>12463</v>
      </c>
      <c r="B3370" s="12" t="s">
        <v>16083</v>
      </c>
      <c r="C3370" s="13" t="str">
        <f>HYPERLINK("https://audio.iskcondesiretree.com/02_-_ISKCON_Swamis/ISKCON_Swamis_-_R_to_Y/His_Holiness_Radhanath_Swami/Lectures/01_-_Theme_wise/Devotees_Association/1991-154_Lord%27s_Merciful_Devotees_CC_AL_01-01_-_Radhanath_Swami_Mumbai_1991-12-12_IDesireTree.mp3", "1991-154_Lord%27s_Merciful_Devotees_CC_AL_01-01_-_Radhanath_Swami_Mumbai_1991-12-12_IDesireTree.mp3")</f>
        <v>1991-154_Lord%27s_Merciful_Devotees_CC_AL_01-01_-_Radhanath_Swami_Mumbai_1991-12-12_IDesireTree.mp3</v>
      </c>
      <c r="D3370" s="11"/>
      <c r="E3370" s="11"/>
    </row>
    <row r="3371" spans="1:5">
      <c r="A3371" s="12" t="s">
        <v>12463</v>
      </c>
      <c r="B3371" s="12" t="s">
        <v>16084</v>
      </c>
      <c r="C3371" s="13" t="str">
        <f>HYPERLINK("https://audio.iskcondesiretree.com/02_-_ISKCON_Swamis/ISKCON_Swamis_-_R_to_Y/His_Holiness_Radhanath_Swami/Lectures/01_-_Theme_wise/Devotees_Association/1992-046_A_Moment%27s_Association_SB_07-13-42_-_Radhanath_Swami_Mumbai_1992-03-27_IDesireTree.mp3", "1992-046_A_Moment%27s_Association_SB_07-13-42_-_Radhanath_Swami_Mumbai_1992-03-27_IDesireTree.mp3")</f>
        <v>1992-046_A_Moment%27s_Association_SB_07-13-42_-_Radhanath_Swami_Mumbai_1992-03-27_IDesireTree.mp3</v>
      </c>
      <c r="D3371" s="11"/>
      <c r="E3371" s="11"/>
    </row>
    <row r="3372" spans="1:5">
      <c r="A3372" s="12" t="s">
        <v>12463</v>
      </c>
      <c r="B3372" s="12" t="s">
        <v>16085</v>
      </c>
      <c r="C3372" s="13" t="str">
        <f>HYPERLINK("https://audio.iskcondesiretree.com/02_-_ISKCON_Swamis/ISKCON_Swamis_-_R_to_Y/His_Holiness_Radhanath_Swami/Lectures/01_-_Theme_wise/Devotees_Association/1992-152_Power_Of_Association_SB_03-07-14_-_Radhanath_Swami_Mumbai_1992-12-25_IDesireTree.mp3", "1992-152_Power_Of_Association_SB_03-07-14_-_Radhanath_Swami_Mumbai_1992-12-25_IDesireTree.mp3")</f>
        <v>1992-152_Power_Of_Association_SB_03-07-14_-_Radhanath_Swami_Mumbai_1992-12-25_IDesireTree.mp3</v>
      </c>
      <c r="D3372" s="11"/>
      <c r="E3372" s="11"/>
    </row>
    <row r="3373" spans="1:5">
      <c r="A3373" s="12" t="s">
        <v>12463</v>
      </c>
      <c r="B3373" s="12" t="s">
        <v>16086</v>
      </c>
      <c r="C3373" s="13" t="str">
        <f>HYPERLINK("https://audio.iskcondesiretree.com/02_-_ISKCON_Swamis/ISKCON_Swamis_-_R_to_Y/His_Holiness_Radhanath_Swami/Lectures/01_-_Theme_wise/Devotees_Association/1993-002_what_is_real_satsang_SB_10-20-15_-_Radhanath_Swami_Pune_1993-01-03_IDesireTree.mp3", "1993-002_what_is_real_satsang_SB_10-20-15_-_Radhanath_Swami_Pune_1993-01-03_IDesireTree.mp3")</f>
        <v>1993-002_what_is_real_satsang_SB_10-20-15_-_Radhanath_Swami_Pune_1993-01-03_IDesireTree.mp3</v>
      </c>
      <c r="D3373" s="11"/>
      <c r="E3373" s="11"/>
    </row>
    <row r="3374" spans="1:5">
      <c r="A3374" s="12" t="s">
        <v>12463</v>
      </c>
      <c r="B3374" s="12" t="s">
        <v>16087</v>
      </c>
      <c r="C3374" s="13" t="str">
        <f>HYPERLINK("https://audio.iskcondesiretree.com/02_-_ISKCON_Swamis/ISKCON_Swamis_-_R_to_Y/His_Holiness_Radhanath_Swami/Lectures/01_-_Theme_wise/Devotees_Association/1993-105_Attachment_To_Devotees_SB_03-25-24_-_Radhanath_Swami_Mumbai_1993-06-05_IDesireTree.mp3", "1993-105_Attachment_To_Devotees_SB_03-25-24_-_Radhanath_Swami_Mumbai_1993-06-05_IDesireTree.mp3")</f>
        <v>1993-105_Attachment_To_Devotees_SB_03-25-24_-_Radhanath_Swami_Mumbai_1993-06-05_IDesireTree.mp3</v>
      </c>
      <c r="D3374" s="11"/>
      <c r="E3374" s="11"/>
    </row>
    <row r="3375" spans="1:5">
      <c r="A3375" s="12" t="s">
        <v>12463</v>
      </c>
      <c r="B3375" s="12" t="s">
        <v>16088</v>
      </c>
      <c r="C3375" s="13" t="str">
        <f>HYPERLINK("https://audio.iskcondesiretree.com/02_-_ISKCON_Swamis/ISKCON_Swamis_-_R_to_Y/His_Holiness_Radhanath_Swami/Lectures/01_-_Theme_wise/Devotees_Association/1993-141_Need_For_Association_BG_10-09_-_Radhanath_Swami_Mumbai_1993-10-03_IDesireTree.mp3", "1993-141_Need_For_Association_BG_10-09_-_Radhanath_Swami_Mumbai_1993-10-03_IDesireTree.mp3")</f>
        <v>1993-141_Need_For_Association_BG_10-09_-_Radhanath_Swami_Mumbai_1993-10-03_IDesireTree.mp3</v>
      </c>
      <c r="D3375" s="11"/>
      <c r="E3375" s="11"/>
    </row>
    <row r="3376" spans="1:5">
      <c r="A3376" s="12" t="s">
        <v>12463</v>
      </c>
      <c r="B3376" s="12" t="s">
        <v>16089</v>
      </c>
      <c r="C3376" s="13" t="str">
        <f>HYPERLINK("https://audio.iskcondesiretree.com/02_-_ISKCON_Swamis/ISKCON_Swamis_-_R_to_Y/His_Holiness_Radhanath_Swami/Lectures/01_-_Theme_wise/Devotees_Association/1995-003_Association_Of_Devotees_SB_01-07-17-19_-_Radhanath_Swami_Mumbai_1995-01-03.mp3", "1995-003_Association_Of_Devotees_SB_01-07-17-19_-_Radhanath_Swami_Mumbai_1995-01-03.mp3")</f>
        <v>1995-003_Association_Of_Devotees_SB_01-07-17-19_-_Radhanath_Swami_Mumbai_1995-01-03.mp3</v>
      </c>
      <c r="D3376" s="11"/>
      <c r="E3376" s="11"/>
    </row>
    <row r="3377" spans="1:5">
      <c r="A3377" s="12" t="s">
        <v>12463</v>
      </c>
      <c r="B3377" s="12" t="s">
        <v>16090</v>
      </c>
      <c r="C3377" s="13" t="str">
        <f>HYPERLINK("https://audio.iskcondesiretree.com/02_-_ISKCON_Swamis/ISKCON_Swamis_-_R_to_Y/His_Holiness_Radhanath_Swami/Lectures/01_-_Theme_wise/Devotees_Association/1995-023_Materialistic_People_Are_Animals_Ht_-_SB_02-03-18_-_Radhanath_Swami_Belgaum_1995-01-16.mp3", "1995-023_Materialistic_People_Are_Animals_Ht_-_SB_02-03-18_-_Radhanath_Swami_Belgaum_1995-01-16.mp3")</f>
        <v>1995-023_Materialistic_People_Are_Animals_Ht_-_SB_02-03-18_-_Radhanath_Swami_Belgaum_1995-01-16.mp3</v>
      </c>
      <c r="D3377" s="11"/>
      <c r="E3377" s="11"/>
    </row>
    <row r="3378" spans="1:5">
      <c r="A3378" s="12" t="s">
        <v>12463</v>
      </c>
      <c r="B3378" s="12" t="s">
        <v>16091</v>
      </c>
      <c r="C3378" s="13" t="str">
        <f>HYPERLINK("https://audio.iskcondesiretree.com/02_-_ISKCON_Swamis/ISKCON_Swamis_-_R_to_Y/His_Holiness_Radhanath_Swami/Lectures/01_-_Theme_wise/Devotees_Association/1995-051_Affection_Between_Devotees_SB_01-08-31_-_Radhanath_Swami_Mumbai_1995-03-05.mp3", "1995-051_Affection_Between_Devotees_SB_01-08-31_-_Radhanath_Swami_Mumbai_1995-03-05.mp3")</f>
        <v>1995-051_Affection_Between_Devotees_SB_01-08-31_-_Radhanath_Swami_Mumbai_1995-03-05.mp3</v>
      </c>
      <c r="D3378" s="11"/>
      <c r="E3378" s="11"/>
    </row>
    <row r="3379" spans="1:5">
      <c r="A3379" s="12" t="s">
        <v>12463</v>
      </c>
      <c r="B3379" s="12" t="s">
        <v>16092</v>
      </c>
      <c r="C3379" s="13" t="str">
        <f>HYPERLINK("https://audio.iskcondesiretree.com/02_-_ISKCON_Swamis/ISKCON_Swamis_-_R_to_Y/His_Holiness_Radhanath_Swami/Lectures/01_-_Theme_wise/Devotees_Association/1997-064_Association_of_Devotees_Lecture_-_Radhanath_Swami_Udipi_1997-04-21_IDesireTree.mp3", "1997-064_Association_of_Devotees_Lecture_-_Radhanath_Swami_Udipi_1997-04-21_IDesireTree.mp3")</f>
        <v>1997-064_Association_of_Devotees_Lecture_-_Radhanath_Swami_Udipi_1997-04-21_IDesireTree.mp3</v>
      </c>
      <c r="D3379" s="11"/>
      <c r="E3379" s="11"/>
    </row>
    <row r="3380" spans="1:5">
      <c r="A3380" s="12" t="s">
        <v>12463</v>
      </c>
      <c r="B3380" s="12" t="s">
        <v>16093</v>
      </c>
      <c r="C3380" s="13" t="str">
        <f>HYPERLINK("https://audio.iskcondesiretree.com/02_-_ISKCON_Swamis/ISKCON_Swamis_-_R_to_Y/His_Holiness_Radhanath_Swami/Lectures/01_-_Theme_wise/Devotees_Association/1998-104_Bad_Association_is_Dangerous_SB_10-04-36_-_Radhanath_Swami_Mumbai_1998-11-26_IDesireTree.mp3", "1998-104_Bad_Association_is_Dangerous_SB_10-04-36_-_Radhanath_Swami_Mumbai_1998-11-26_IDesireTree.mp3")</f>
        <v>1998-104_Bad_Association_is_Dangerous_SB_10-04-36_-_Radhanath_Swami_Mumbai_1998-11-26_IDesireTree.mp3</v>
      </c>
      <c r="D3380" s="11"/>
      <c r="E3380" s="11"/>
    </row>
    <row r="3381" spans="1:5">
      <c r="A3381" s="12" t="s">
        <v>12463</v>
      </c>
      <c r="B3381" s="12" t="s">
        <v>16094</v>
      </c>
      <c r="C3381" s="13" t="str">
        <f>HYPERLINK("https://audio.iskcondesiretree.com/02_-_ISKCON_Swamis/ISKCON_Swamis_-_R_to_Y/His_Holiness_Radhanath_Swami/Lectures/01_-_Theme_wise/Devotees_Association/2004_Seeking_Shelter_of_Vaisnavas_CC-Madhya_Lila-22-53_-_Radhanath_Swami_London_2004_IDesireTree.mp3", "2004_Seeking_Shelter_of_Vaisnavas_CC-Madhya_Lila-22-53_-_Radhanath_Swami_London_2004_IDesireTree.mp3")</f>
        <v>2004_Seeking_Shelter_of_Vaisnavas_CC-Madhya_Lila-22-53_-_Radhanath_Swami_London_2004_IDesireTree.mp3</v>
      </c>
      <c r="D3381" s="11"/>
      <c r="E3381" s="11"/>
    </row>
    <row r="3382" spans="1:5">
      <c r="A3382" s="12" t="s">
        <v>12463</v>
      </c>
      <c r="B3382" s="12" t="s">
        <v>16095</v>
      </c>
      <c r="C3382" s="13" t="str">
        <f>HYPERLINK("https://audio.iskcondesiretree.com/02_-_ISKCON_Swamis/ISKCON_Swamis_-_R_to_Y/His_Holiness_Radhanath_Swami/Lectures/01_-_Theme_wise/Dhaams/01_-_General/01.While_in_Pandharpur_-_Radhanath_Swami_Pandharpur_2004-09-19_IDesireTree.mp3", "01.While_in_Pandharpur_-_Radhanath_Swami_Pandharpur_2004-09-19_IDesireTree.mp3")</f>
        <v>01.While_in_Pandharpur_-_Radhanath_Swami_Pandharpur_2004-09-19_IDesireTree.mp3</v>
      </c>
      <c r="D3382" s="11"/>
      <c r="E3382" s="11"/>
    </row>
    <row r="3383" spans="1:5">
      <c r="A3383" s="12" t="s">
        <v>12463</v>
      </c>
      <c r="B3383" s="12" t="s">
        <v>16096</v>
      </c>
      <c r="C3383" s="13" t="str">
        <f>HYPERLINK("https://audio.iskcondesiretree.com/02_-_ISKCON_Swamis/ISKCON_Swamis_-_R_to_Y/His_Holiness_Radhanath_Swami/Lectures/01_-_Theme_wise/Dhaams/01_-_General/02.Pandharpur-A_Place_of_Immense_Spirituality_-_Radhanath_Swami_Pandharpur_2004-09-20_IDesireTree.mp3", "02.Pandharpur-A_Place_of_Immense_Spirituality_-_Radhanath_Swami_Pandharpur_2004-09-20_IDesireTree.mp3")</f>
        <v>02.Pandharpur-A_Place_of_Immense_Spirituality_-_Radhanath_Swami_Pandharpur_2004-09-20_IDesireTree.mp3</v>
      </c>
      <c r="D3383" s="11"/>
      <c r="E3383" s="11"/>
    </row>
    <row r="3384" spans="1:5">
      <c r="A3384" s="12" t="s">
        <v>12463</v>
      </c>
      <c r="B3384" s="12" t="s">
        <v>16097</v>
      </c>
      <c r="C3384" s="13" t="str">
        <f>HYPERLINK("https://audio.iskcondesiretree.com/02_-_ISKCON_Swamis/ISKCON_Swamis_-_R_to_Y/His_Holiness_Radhanath_Swami/Lectures/01_-_Theme_wise/Dhaams/01_-_General/03.Being_Conscious_of_the_Holy_Dhama.mp3", "03.Being_Conscious_of_the_Holy_Dhama.mp3")</f>
        <v>03.Being_Conscious_of_the_Holy_Dhama.mp3</v>
      </c>
      <c r="D3384" s="11"/>
      <c r="E3384" s="11"/>
    </row>
    <row r="3385" spans="1:5">
      <c r="A3385" s="12" t="s">
        <v>12463</v>
      </c>
      <c r="B3385" s="12" t="s">
        <v>16098</v>
      </c>
      <c r="C3385" s="13" t="str">
        <f>HYPERLINK("https://audio.iskcondesiretree.com/02_-_ISKCON_Swamis/ISKCON_Swamis_-_R_to_Y/His_Holiness_Radhanath_Swami/Lectures/01_-_Theme_wise/Dhaams/01_-_General/04.How_to_Appreciate_Sri_Vrindavana_Dhama_-_Radhanath_Swami_IDesireTree.mp3", "04.How_to_Appreciate_Sri_Vrindavana_Dhama_-_Radhanath_Swami_IDesireTree.mp3")</f>
        <v>04.How_to_Appreciate_Sri_Vrindavana_Dhama_-_Radhanath_Swami_IDesireTree.mp3</v>
      </c>
      <c r="D3385" s="11"/>
      <c r="E3385" s="11"/>
    </row>
    <row r="3386" spans="1:5">
      <c r="A3386" s="12" t="s">
        <v>12463</v>
      </c>
      <c r="B3386" s="12" t="s">
        <v>16099</v>
      </c>
      <c r="C3386" s="13" t="str">
        <f>HYPERLINK("https://audio.iskcondesiretree.com/02_-_ISKCON_Swamis/ISKCON_Swamis_-_R_to_Y/His_Holiness_Radhanath_Swami/Lectures/01_-_Theme_wise/Dhaams/01_-_General/05.Perceiving_Vrindavan_-_Radhanath_Swami_Mumbai_1991-10-14_IDesireTree.mp3", "05.Perceiving_Vrindavan_-_Radhanath_Swami_Mumbai_1991-10-14_IDesireTree.mp3")</f>
        <v>05.Perceiving_Vrindavan_-_Radhanath_Swami_Mumbai_1991-10-14_IDesireTree.mp3</v>
      </c>
      <c r="D3386" s="11"/>
      <c r="E3386" s="11"/>
    </row>
    <row r="3387" spans="1:5">
      <c r="A3387" s="12" t="s">
        <v>12463</v>
      </c>
      <c r="B3387" s="12" t="s">
        <v>16100</v>
      </c>
      <c r="C3387" s="13" t="str">
        <f>HYPERLINK("https://audio.iskcondesiretree.com/02_-_ISKCON_Swamis/ISKCON_Swamis_-_R_to_Y/His_Holiness_Radhanath_Swami/Lectures/01_-_Theme_wise/Dhaams/01_-_General/06.Establishing_the_Spirit_of_Yatra_-_Radhanath_Swami_IDesireTree.mp3", "06.Establishing_the_Spirit_of_Yatra_-_Radhanath_Swami_IDesireTree.mp3")</f>
        <v>06.Establishing_the_Spirit_of_Yatra_-_Radhanath_Swami_IDesireTree.mp3</v>
      </c>
      <c r="D3387" s="11"/>
      <c r="E3387" s="11"/>
    </row>
    <row r="3388" spans="1:5">
      <c r="A3388" s="12" t="s">
        <v>12463</v>
      </c>
      <c r="B3388" s="12" t="s">
        <v>16101</v>
      </c>
      <c r="C3388" s="13" t="str">
        <f>HYPERLINK("https://audio.iskcondesiretree.com/02_-_ISKCON_Swamis/ISKCON_Swamis_-_R_to_Y/His_Holiness_Radhanath_Swami/Lectures/01_-_Theme_wise/Dhaams/01_-_General/07.Qualifications_to_Enter_the_Holy_Dhama.mp3", "07.Qualifications_to_Enter_the_Holy_Dhama.mp3")</f>
        <v>07.Qualifications_to_Enter_the_Holy_Dhama.mp3</v>
      </c>
      <c r="D3388" s="11"/>
      <c r="E3388" s="11"/>
    </row>
    <row r="3389" spans="1:5">
      <c r="A3389" s="12" t="s">
        <v>12463</v>
      </c>
      <c r="B3389" s="12" t="s">
        <v>16102</v>
      </c>
      <c r="C3389" s="13" t="str">
        <f>HYPERLINK("https://audio.iskcondesiretree.com/02_-_ISKCON_Swamis/ISKCON_Swamis_-_R_to_Y/His_Holiness_Radhanath_Swami/Lectures/01_-_Theme_wise/Dhaams/01_-_General/08.Taking_the_Spirit_of_Vrindavan_Everywhere_-_Radhanath_Swami_IDesireTree.mp3", "08.Taking_the_Spirit_of_Vrindavan_Everywhere_-_Radhanath_Swami_IDesireTree.mp3")</f>
        <v>08.Taking_the_Spirit_of_Vrindavan_Everywhere_-_Radhanath_Swami_IDesireTree.mp3</v>
      </c>
      <c r="D3389" s="11"/>
      <c r="E3389" s="11"/>
    </row>
    <row r="3390" spans="1:5">
      <c r="A3390" s="12" t="s">
        <v>12463</v>
      </c>
      <c r="B3390" s="12" t="s">
        <v>16103</v>
      </c>
      <c r="C3390" s="13" t="str">
        <f>HYPERLINK("https://audio.iskcondesiretree.com/02_-_ISKCON_Swamis/ISKCON_Swamis_-_R_to_Y/His_Holiness_Radhanath_Swami/Lectures/01_-_Theme_wise/Dhaams/01_-_General/09.The_Mood_of_Entering_Vrindavan.mp3", "09.The_Mood_of_Entering_Vrindavan.mp3")</f>
        <v>09.The_Mood_of_Entering_Vrindavan.mp3</v>
      </c>
      <c r="D3390" s="11"/>
      <c r="E3390" s="11"/>
    </row>
    <row r="3391" spans="1:5">
      <c r="A3391" s="12" t="s">
        <v>12463</v>
      </c>
      <c r="B3391" s="12" t="s">
        <v>16104</v>
      </c>
      <c r="C3391" s="13" t="str">
        <f>HYPERLINK("https://audio.iskcondesiretree.com/02_-_ISKCON_Swamis/ISKCON_Swamis_-_R_to_Y/His_Holiness_Radhanath_Swami/Lectures/01_-_Theme_wise/Dhaams/02_-_Ashrams/Lecture_at_Fugla_Ashram_-_Radhanath_Swami_IDesireTree.mp3", "Lecture_at_Fugla_Ashram_-_Radhanath_Swami_IDesireTree.mp3")</f>
        <v>Lecture_at_Fugla_Ashram_-_Radhanath_Swami_IDesireTree.mp3</v>
      </c>
      <c r="D3391" s="11"/>
      <c r="E3391" s="11"/>
    </row>
    <row r="3392" spans="1:5">
      <c r="A3392" s="12" t="s">
        <v>12463</v>
      </c>
      <c r="B3392" s="12" t="s">
        <v>16105</v>
      </c>
      <c r="C3392" s="13" t="str">
        <f>HYPERLINK("https://audio.iskcondesiretree.com/02_-_ISKCON_Swamis/ISKCON_Swamis_-_R_to_Y/His_Holiness_Radhanath_Swami/Lectures/01_-_Theme_wise/Dhaams/03_-_Ghaats/Akrura_Ghat/01.Lecture_at_Akrura_ghat_01_-_Radhanath_Swami_IDesireTree.mp3", "01.Lecture_at_Akrura_ghat_01_-_Radhanath_Swami_IDesireTree.mp3")</f>
        <v>01.Lecture_at_Akrura_ghat_01_-_Radhanath_Swami_IDesireTree.mp3</v>
      </c>
      <c r="D3392" s="11"/>
      <c r="E3392" s="11"/>
    </row>
    <row r="3393" spans="1:5">
      <c r="A3393" s="12" t="s">
        <v>12463</v>
      </c>
      <c r="B3393" s="12" t="s">
        <v>16106</v>
      </c>
      <c r="C3393" s="13" t="str">
        <f>HYPERLINK("https://audio.iskcondesiretree.com/02_-_ISKCON_Swamis/ISKCON_Swamis_-_R_to_Y/His_Holiness_Radhanath_Swami/Lectures/01_-_Theme_wise/Dhaams/03_-_Ghaats/Akrura_Ghat/01.Lecture_at_Akrura_ghat_02_-_Radhanath_Swami_IDesireTree.mp3", "01.Lecture_at_Akrura_ghat_02_-_Radhanath_Swami_IDesireTree.mp3")</f>
        <v>01.Lecture_at_Akrura_ghat_02_-_Radhanath_Swami_IDesireTree.mp3</v>
      </c>
      <c r="D3393" s="11"/>
      <c r="E3393" s="11"/>
    </row>
    <row r="3394" spans="1:5">
      <c r="A3394" s="12" t="s">
        <v>12463</v>
      </c>
      <c r="B3394" s="12" t="s">
        <v>16107</v>
      </c>
      <c r="C3394" s="13" t="str">
        <f>HYPERLINK("https://audio.iskcondesiretree.com/02_-_ISKCON_Swamis/ISKCON_Swamis_-_R_to_Y/His_Holiness_Radhanath_Swami/Lectures/01_-_Theme_wise/Dhaams/03_-_Ghaats/Kaliya_Ghat/01.Lecture_at_kaliya_ghat_-_Radhanath_Swami_IDesireTree.mp3", "01.Lecture_at_kaliya_ghat_-_Radhanath_Swami_IDesireTree.mp3")</f>
        <v>01.Lecture_at_kaliya_ghat_-_Radhanath_Swami_IDesireTree.mp3</v>
      </c>
      <c r="D3394" s="11"/>
      <c r="E3394" s="11"/>
    </row>
    <row r="3395" spans="1:5">
      <c r="A3395" s="12" t="s">
        <v>12463</v>
      </c>
      <c r="B3395" s="12" t="s">
        <v>16108</v>
      </c>
      <c r="C3395" s="13" t="str">
        <f>HYPERLINK("https://audio.iskcondesiretree.com/02_-_ISKCON_Swamis/ISKCON_Swamis_-_R_to_Y/His_Holiness_Radhanath_Swami/Lectures/01_-_Theme_wise/Dhaams/03_-_Ghaats/Kaliya_Ghat/02.Lecture_at_kaliya_ghat_-_Radhanath_Swami_IDesireTree.mp3", "02.Lecture_at_kaliya_ghat_-_Radhanath_Swami_IDesireTree.mp3")</f>
        <v>02.Lecture_at_kaliya_ghat_-_Radhanath_Swami_IDesireTree.mp3</v>
      </c>
      <c r="D3395" s="11"/>
      <c r="E3395" s="11"/>
    </row>
    <row r="3396" spans="1:5">
      <c r="A3396" s="12" t="s">
        <v>12463</v>
      </c>
      <c r="B3396" s="12" t="s">
        <v>16109</v>
      </c>
      <c r="C3396" s="13" t="str">
        <f>HYPERLINK("https://audio.iskcondesiretree.com/02_-_ISKCON_Swamis/ISKCON_Swamis_-_R_to_Y/His_Holiness_Radhanath_Swami/Lectures/01_-_Theme_wise/Dhaams/04_-_Various_places_in_Vrindavana/01_-_Gokul/01.Pastimes_of_Gokula_-_Gokula_Mahavana_IDesireTree.mp3", "01.Pastimes_of_Gokula_-_Gokula_Mahavana_IDesireTree.mp3")</f>
        <v>01.Pastimes_of_Gokula_-_Gokula_Mahavana_IDesireTree.mp3</v>
      </c>
      <c r="D3396" s="11"/>
      <c r="E3396" s="11"/>
    </row>
    <row r="3397" spans="1:5">
      <c r="A3397" s="12" t="s">
        <v>12463</v>
      </c>
      <c r="B3397" s="12" t="s">
        <v>16110</v>
      </c>
      <c r="C3397" s="13" t="str">
        <f>HYPERLINK("https://audio.iskcondesiretree.com/02_-_ISKCON_Swamis/ISKCON_Swamis_-_R_to_Y/His_Holiness_Radhanath_Swami/Lectures/01_-_Theme_wise/Dhaams/04_-_Various_places_in_Vrindavana/01_-_Gokul/02.Lecture_at_Gokula-01_-_Radhanath_Swami_IDesireTree.mp3", "02.Lecture_at_Gokula-01_-_Radhanath_Swami_IDesireTree.mp3")</f>
        <v>02.Lecture_at_Gokula-01_-_Radhanath_Swami_IDesireTree.mp3</v>
      </c>
      <c r="D3397" s="11"/>
      <c r="E3397" s="11"/>
    </row>
    <row r="3398" spans="1:5">
      <c r="A3398" s="12" t="s">
        <v>12463</v>
      </c>
      <c r="B3398" s="12" t="s">
        <v>16111</v>
      </c>
      <c r="C3398" s="13" t="str">
        <f>HYPERLINK("https://audio.iskcondesiretree.com/02_-_ISKCON_Swamis/ISKCON_Swamis_-_R_to_Y/His_Holiness_Radhanath_Swami/Lectures/01_-_Theme_wise/Dhaams/04_-_Various_places_in_Vrindavana/01_-_Gokul/03.Lecture_at_Gokula-02_-_Radhanath_Swami_IDesireTree.mp3", "03.Lecture_at_Gokula-02_-_Radhanath_Swami_IDesireTree.mp3")</f>
        <v>03.Lecture_at_Gokula-02_-_Radhanath_Swami_IDesireTree.mp3</v>
      </c>
      <c r="D3398" s="11"/>
      <c r="E3398" s="11"/>
    </row>
    <row r="3399" spans="1:5">
      <c r="A3399" s="12" t="s">
        <v>12463</v>
      </c>
      <c r="B3399" s="12" t="s">
        <v>16112</v>
      </c>
      <c r="C3399" s="13" t="str">
        <f>HYPERLINK("https://audio.iskcondesiretree.com/02_-_ISKCON_Swamis/ISKCON_Swamis_-_R_to_Y/His_Holiness_Radhanath_Swami/Lectures/01_-_Theme_wise/Dhaams/04_-_Various_places_in_Vrindavana/01_-_Gokul/04.Lecture_at_Gokula-03_-_Radhanath_Swami_IDesireTree.mp3", "04.Lecture_at_Gokula-03_-_Radhanath_Swami_IDesireTree.mp3")</f>
        <v>04.Lecture_at_Gokula-03_-_Radhanath_Swami_IDesireTree.mp3</v>
      </c>
      <c r="D3399" s="11"/>
      <c r="E3399" s="11"/>
    </row>
    <row r="3400" spans="1:5">
      <c r="A3400" s="12" t="s">
        <v>12463</v>
      </c>
      <c r="B3400" s="12" t="e">
        <v>#VALUE!</v>
      </c>
      <c r="C3400" s="13" t="e">
        <f>HYPERLINK("https://audio.iskcondesiretree.com/02_-_ISKCON_Swamis/ISKCON_Swamis_-_R_to_Y/His_Holiness_Radhanath_Swami/Lectures/01_-_Theme_wise/Dhaams/04_-_Various_places_in_Vrindavana/02%20-%20Govardhan%20Parikrama/01.Prayers_to_Begin_Govardhana_Parikrama_IDesireTree"&amp;".mp3", "01.Prayers_to_Begin_Govardhana_Parikrama_IDesireTree.mp3")</f>
        <v>#VALUE!</v>
      </c>
      <c r="D3400" s="11"/>
      <c r="E3400" s="11"/>
    </row>
    <row r="3401" spans="1:5">
      <c r="A3401" s="12" t="s">
        <v>12463</v>
      </c>
      <c r="B3401" s="12" t="s">
        <v>16113</v>
      </c>
      <c r="C3401" s="13" t="str">
        <f>HYPERLINK("https://audio.iskcondesiretree.com/02_-_ISKCON_Swamis/ISKCON_Swamis_-_R_to_Y/His_Holiness_Radhanath_Swami/Lectures/01_-_Theme_wise/Dhaams/04_-_Various_places_in_Vrindavana/02%20-%20Govardhan%20Parikrama/02.The_Lifting_of_Govardhana_Hill_IDesireTree.mp3", "02.The_Lifting_of_Govardhana_Hill_IDesireTree.mp3")</f>
        <v>02.The_Lifting_of_Govardhana_Hill_IDesireTree.mp3</v>
      </c>
      <c r="D3401" s="11"/>
      <c r="E3401" s="11"/>
    </row>
    <row r="3402" spans="1:5">
      <c r="A3402" s="12" t="s">
        <v>12463</v>
      </c>
      <c r="B3402" s="12" t="s">
        <v>16114</v>
      </c>
      <c r="C3402" s="13" t="str">
        <f>HYPERLINK("https://audio.iskcondesiretree.com/02_-_ISKCON_Swamis/ISKCON_Swamis_-_R_to_Y/His_Holiness_Radhanath_Swami/Lectures/01_-_Theme_wise/Dhaams/04_-_Various_places_in_Vrindavana/02%20-%20Govardhan%20Parikrama/03.Parikrama_Completion_Prayers_IDesireTree.mp3", "03.Parikrama_Completion_Prayers_IDesireTree.mp3")</f>
        <v>03.Parikrama_Completion_Prayers_IDesireTree.mp3</v>
      </c>
      <c r="D3402" s="11"/>
      <c r="E3402" s="11"/>
    </row>
    <row r="3403" spans="1:5">
      <c r="A3403" s="12" t="s">
        <v>12463</v>
      </c>
      <c r="B3403" s="12" t="e">
        <v>#VALUE!</v>
      </c>
      <c r="C3403" s="13" t="e">
        <f>HYPERLINK("https://audio.iskcondesiretree.com/02_-_ISKCON_Swamis/ISKCON_Swamis_-_R_to_Y/His_Holiness_Radhanath_Swami/Lectures/01_-_Theme_wise/Dhaams/04_-_Various_places_in_Vrindavana/02%20-%20Govardhan%20Parikrama/04.Pastimes_of_Govardhan_Lila_in_boat_IDesireTree.mp"&amp;"3", "04.Pastimes_of_Govardhan_Lila_in_boat_IDesireTree.mp3")</f>
        <v>#VALUE!</v>
      </c>
      <c r="D3403" s="11"/>
      <c r="E3403" s="11"/>
    </row>
    <row r="3404" spans="1:5">
      <c r="A3404" s="12" t="s">
        <v>12463</v>
      </c>
      <c r="B3404" s="12" t="s">
        <v>16115</v>
      </c>
      <c r="C3404" s="13" t="str">
        <f>HYPERLINK("https://audio.iskcondesiretree.com/02_-_ISKCON_Swamis/ISKCON_Swamis_-_R_to_Y/His_Holiness_Radhanath_Swami/Lectures/01_-_Theme_wise/Dhaams/04_-_Various_places_in_Vrindavana/02%20-%20Govardhan%20Parikrama/05.Govardhan_Parikrama-01_IDesireTree.mp3", "05.Govardhan_Parikrama-01_IDesireTree.mp3")</f>
        <v>05.Govardhan_Parikrama-01_IDesireTree.mp3</v>
      </c>
      <c r="D3404" s="11"/>
      <c r="E3404" s="11"/>
    </row>
    <row r="3405" spans="1:5">
      <c r="A3405" s="12" t="s">
        <v>12463</v>
      </c>
      <c r="B3405" s="12" t="s">
        <v>16116</v>
      </c>
      <c r="C3405" s="13" t="str">
        <f>HYPERLINK("https://audio.iskcondesiretree.com/02_-_ISKCON_Swamis/ISKCON_Swamis_-_R_to_Y/His_Holiness_Radhanath_Swami/Lectures/01_-_Theme_wise/Dhaams/04_-_Various_places_in_Vrindavana/02%20-%20Govardhan%20Parikrama/06.Govardhan_Parikrama-02_IDesireTree.mp3", "06.Govardhan_Parikrama-02_IDesireTree.mp3")</f>
        <v>06.Govardhan_Parikrama-02_IDesireTree.mp3</v>
      </c>
      <c r="D3405" s="11"/>
      <c r="E3405" s="11"/>
    </row>
    <row r="3406" spans="1:5">
      <c r="A3406" s="12" t="s">
        <v>12463</v>
      </c>
      <c r="B3406" s="12" t="s">
        <v>16117</v>
      </c>
      <c r="C3406" s="13" t="str">
        <f>HYPERLINK("https://audio.iskcondesiretree.com/02_-_ISKCON_Swamis/ISKCON_Swamis_-_R_to_Y/His_Holiness_Radhanath_Swami/Lectures/01_-_Theme_wise/Dhaams/04_-_Various_places_in_Vrindavana/03_-_Kunds/01.Bhajan_and_Lecture_at_Govind_Kund_-_Radhanath_Swami_IDesireTree.mp3", "01.Bhajan_and_Lecture_at_Govind_Kund_-_Radhanath_Swami_IDesireTree.mp3")</f>
        <v>01.Bhajan_and_Lecture_at_Govind_Kund_-_Radhanath_Swami_IDesireTree.mp3</v>
      </c>
      <c r="D3406" s="11"/>
      <c r="E3406" s="11"/>
    </row>
    <row r="3407" spans="1:5">
      <c r="A3407" s="12" t="s">
        <v>12463</v>
      </c>
      <c r="B3407" s="12" t="s">
        <v>16118</v>
      </c>
      <c r="C3407" s="13" t="str">
        <f>HYPERLINK("https://audio.iskcondesiretree.com/02_-_ISKCON_Swamis/ISKCON_Swamis_-_R_to_Y/His_Holiness_Radhanath_Swami/Lectures/01_-_Theme_wise/Dhaams/04_-_Various_places_in_Vrindavana/03_-_Kunds/02.Lecture_at_Govind_Kund_IDesireTree_-_Radhanath_Swami_IDesireTree.mp3", "02.Lecture_at_Govind_Kund_IDesireTree_-_Radhanath_Swami_IDesireTree.mp3")</f>
        <v>02.Lecture_at_Govind_Kund_IDesireTree_-_Radhanath_Swami_IDesireTree.mp3</v>
      </c>
      <c r="D3407" s="11"/>
      <c r="E3407" s="11"/>
    </row>
    <row r="3408" spans="1:5">
      <c r="A3408" s="12" t="s">
        <v>12463</v>
      </c>
      <c r="B3408" s="12" t="s">
        <v>16119</v>
      </c>
      <c r="C3408" s="13" t="str">
        <f>HYPERLINK("https://audio.iskcondesiretree.com/02_-_ISKCON_Swamis/ISKCON_Swamis_-_R_to_Y/His_Holiness_Radhanath_Swami/Lectures/01_-_Theme_wise/Dhaams/04_-_Various_places_in_Vrindavana/03_-_Kunds/03.Bhajan_and_Lecture_at_Govind_Kund_-_Radhanath_Swami_IDesireTree.mp3", "03.Bhajan_and_Lecture_at_Govind_Kund_-_Radhanath_Swami_IDesireTree.mp3")</f>
        <v>03.Bhajan_and_Lecture_at_Govind_Kund_-_Radhanath_Swami_IDesireTree.mp3</v>
      </c>
      <c r="D3408" s="11"/>
      <c r="E3408" s="11"/>
    </row>
    <row r="3409" spans="1:5">
      <c r="A3409" s="12" t="s">
        <v>12463</v>
      </c>
      <c r="B3409" s="12" t="s">
        <v>16120</v>
      </c>
      <c r="C3409" s="13" t="str">
        <f>HYPERLINK("https://audio.iskcondesiretree.com/02_-_ISKCON_Swamis/ISKCON_Swamis_-_R_to_Y/His_Holiness_Radhanath_Swami/Lectures/01_-_Theme_wise/Dhaams/04_-_Various_places_in_Vrindavana/03_-_Kunds/04.Lecture_at_Krsna_Kund_-_Radhanath_Swami_IDesireTree.mp3", "04.Lecture_at_Krsna_Kund_-_Radhanath_Swami_IDesireTree.mp3")</f>
        <v>04.Lecture_at_Krsna_Kund_-_Radhanath_Swami_IDesireTree.mp3</v>
      </c>
      <c r="D3409" s="11"/>
      <c r="E3409" s="11"/>
    </row>
    <row r="3410" spans="1:5">
      <c r="A3410" s="12" t="s">
        <v>12463</v>
      </c>
      <c r="B3410" s="12" t="s">
        <v>16121</v>
      </c>
      <c r="C3410" s="13" t="str">
        <f>HYPERLINK("https://audio.iskcondesiretree.com/02_-_ISKCON_Swamis/ISKCON_Swamis_-_R_to_Y/His_Holiness_Radhanath_Swami/Lectures/01_-_Theme_wise/Dhaams/04_-_Various_places_in_Vrindavana/03_-_Kunds/05.The_Glories_of_Radha_Kunda_-_Radhanath_Swami_IDesireTree.mp3", "05.The_Glories_of_Radha_Kunda_-_Radhanath_Swami_IDesireTree.mp3")</f>
        <v>05.The_Glories_of_Radha_Kunda_-_Radhanath_Swami_IDesireTree.mp3</v>
      </c>
      <c r="D3410" s="11"/>
      <c r="E3410" s="11"/>
    </row>
    <row r="3411" spans="1:5">
      <c r="A3411" s="12" t="s">
        <v>12463</v>
      </c>
      <c r="B3411" s="12" t="s">
        <v>16122</v>
      </c>
      <c r="C3411" s="13" t="str">
        <f>HYPERLINK("https://audio.iskcondesiretree.com/02_-_ISKCON_Swamis/ISKCON_Swamis_-_R_to_Y/His_Holiness_Radhanath_Swami/Lectures/01_-_Theme_wise/Dhaams/04_-_Various_places_in_Vrindavana/03_-_Kunds/06.Bathing_with_Strong_Faith_-_Radhanath_Swami_IDesireTree.mp3", "06.Bathing_with_Strong_Faith_-_Radhanath_Swami_IDesireTree.mp3")</f>
        <v>06.Bathing_with_Strong_Faith_-_Radhanath_Swami_IDesireTree.mp3</v>
      </c>
      <c r="D3411" s="11"/>
      <c r="E3411" s="11"/>
    </row>
    <row r="3412" spans="1:5">
      <c r="A3412" s="12" t="s">
        <v>12463</v>
      </c>
      <c r="B3412" s="12" t="s">
        <v>16123</v>
      </c>
      <c r="C3412" s="13" t="str">
        <f>HYPERLINK("https://audio.iskcondesiretree.com/02_-_ISKCON_Swamis/ISKCON_Swamis_-_R_to_Y/His_Holiness_Radhanath_Swami/Lectures/01_-_Theme_wise/Dhaams/04_-_Various_places_in_Vrindavana/03_-_Kunds/07.Lecture_at_Radhakund_-_Radhanath_Swami_IDesireTree.mp3", "07.Lecture_at_Radhakund_-_Radhanath_Swami_IDesireTree.mp3")</f>
        <v>07.Lecture_at_Radhakund_-_Radhanath_Swami_IDesireTree.mp3</v>
      </c>
      <c r="D3412" s="11"/>
      <c r="E3412" s="11"/>
    </row>
    <row r="3413" spans="1:5">
      <c r="A3413" s="12" t="s">
        <v>12463</v>
      </c>
      <c r="B3413" s="12" t="s">
        <v>16124</v>
      </c>
      <c r="C3413" s="13" t="str">
        <f>HYPERLINK("https://audio.iskcondesiretree.com/02_-_ISKCON_Swamis/ISKCON_Swamis_-_R_to_Y/His_Holiness_Radhanath_Swami/Lectures/01_-_Theme_wise/Dhaams/04_-_Various_places_in_Vrindavana/03_-_Kunds/08.Lecture_at_Surya_Kund_-_Radhanath_Swami_IDesireTree.mp3", "08.Lecture_at_Surya_Kund_-_Radhanath_Swami_IDesireTree.mp3")</f>
        <v>08.Lecture_at_Surya_Kund_-_Radhanath_Swami_IDesireTree.mp3</v>
      </c>
      <c r="D3413" s="11"/>
      <c r="E3413" s="11"/>
    </row>
    <row r="3414" spans="1:5">
      <c r="A3414" s="12" t="s">
        <v>12463</v>
      </c>
      <c r="B3414" s="12" t="s">
        <v>16125</v>
      </c>
      <c r="C3414" s="13" t="str">
        <f>HYPERLINK("https://audio.iskcondesiretree.com/02_-_ISKCON_Swamis/ISKCON_Swamis_-_R_to_Y/His_Holiness_Radhanath_Swami/Lectures/01_-_Theme_wise/Dhaams/04_-_Various_places_in_Vrindavana/03_-_Kunds/09.Lecture_at_uddhava_kund_-_Radhanath_Swami_IDesireTree.mp3", "09.Lecture_at_uddhava_kund_-_Radhanath_Swami_IDesireTree.mp3")</f>
        <v>09.Lecture_at_uddhava_kund_-_Radhanath_Swami_IDesireTree.mp3</v>
      </c>
      <c r="D3414" s="11"/>
      <c r="E3414" s="11"/>
    </row>
    <row r="3415" spans="1:5">
      <c r="A3415" s="12" t="s">
        <v>12463</v>
      </c>
      <c r="B3415" s="12" t="s">
        <v>16126</v>
      </c>
      <c r="C3415" s="13" t="str">
        <f>HYPERLINK("https://audio.iskcondesiretree.com/02_-_ISKCON_Swamis/ISKCON_Swamis_-_R_to_Y/His_Holiness_Radhanath_Swami/Lectures/01_-_Theme_wise/Dhaams/04_-_Various_places_in_Vrindavana/03_-_Kunds/10.Lecture_at_vrinda_kund_with_Bhagavat_Prasad_Pr_IDesireTree.mp3", "10.Lecture_at_vrinda_kund_with_Bhagavat_Prasad_Pr_IDesireTree.mp3")</f>
        <v>10.Lecture_at_vrinda_kund_with_Bhagavat_Prasad_Pr_IDesireTree.mp3</v>
      </c>
      <c r="D3415" s="11"/>
      <c r="E3415" s="11"/>
    </row>
    <row r="3416" spans="1:5">
      <c r="A3416" s="12" t="s">
        <v>12463</v>
      </c>
      <c r="B3416" s="12" t="s">
        <v>16127</v>
      </c>
      <c r="C3416" s="13" t="str">
        <f>HYPERLINK("https://audio.iskcondesiretree.com/02_-_ISKCON_Swamis/ISKCON_Swamis_-_R_to_Y/His_Holiness_Radhanath_Swami/Lectures/01_-_Theme_wise/Dhaams/04_-_Various_places_in_Vrindavana/04_-_Sarovars/01.Lecture_at_Candra_Sarovar_-_Radhanath_Swami_IDesireTree.mp3", "01.Lecture_at_Candra_Sarovar_-_Radhanath_Swami_IDesireTree.mp3")</f>
        <v>01.Lecture_at_Candra_Sarovar_-_Radhanath_Swami_IDesireTree.mp3</v>
      </c>
      <c r="D3416" s="11"/>
      <c r="E3416" s="11"/>
    </row>
    <row r="3417" spans="1:5">
      <c r="A3417" s="12" t="s">
        <v>12463</v>
      </c>
      <c r="B3417" s="12" t="s">
        <v>16128</v>
      </c>
      <c r="C3417" s="13" t="str">
        <f>HYPERLINK("https://audio.iskcondesiretree.com/02_-_ISKCON_Swamis/ISKCON_Swamis_-_R_to_Y/His_Holiness_Radhanath_Swami/Lectures/01_-_Theme_wise/Dhaams/04_-_Various_places_in_Vrindavana/04_-_Sarovars/02.Bhajan_and_Lecture_-_Maan_Sarovar_IDesireTree.mp3", "02.Bhajan_and_Lecture_-_Maan_Sarovar_IDesireTree.mp3")</f>
        <v>02.Bhajan_and_Lecture_-_Maan_Sarovar_IDesireTree.mp3</v>
      </c>
      <c r="D3417" s="11"/>
      <c r="E3417" s="11"/>
    </row>
    <row r="3418" spans="1:5">
      <c r="A3418" s="12" t="s">
        <v>12463</v>
      </c>
      <c r="B3418" s="12" t="s">
        <v>16129</v>
      </c>
      <c r="C3418" s="13" t="str">
        <f>HYPERLINK("https://audio.iskcondesiretree.com/02_-_ISKCON_Swamis/ISKCON_Swamis_-_R_to_Y/His_Holiness_Radhanath_Swami/Lectures/01_-_Theme_wise/Dhaams/04_-_Various_places_in_Vrindavana/04_-_Sarovars/02.Lecture_at_Kusum_Sarovar-01_-_Radhanath_Swami_IDesireTree.mp3", "02.Lecture_at_Kusum_Sarovar-01_-_Radhanath_Swami_IDesireTree.mp3")</f>
        <v>02.Lecture_at_Kusum_Sarovar-01_-_Radhanath_Swami_IDesireTree.mp3</v>
      </c>
      <c r="D3418" s="11"/>
      <c r="E3418" s="11"/>
    </row>
    <row r="3419" spans="1:5">
      <c r="A3419" s="12" t="s">
        <v>12463</v>
      </c>
      <c r="B3419" s="12" t="s">
        <v>16130</v>
      </c>
      <c r="C3419" s="13" t="str">
        <f>HYPERLINK("https://audio.iskcondesiretree.com/02_-_ISKCON_Swamis/ISKCON_Swamis_-_R_to_Y/His_Holiness_Radhanath_Swami/Lectures/01_-_Theme_wise/Dhaams/04_-_Various_places_in_Vrindavana/04_-_Sarovars/03.Lecture_at_Kusum_Sarovar-02_-_Radhanath_Swami_IDesireTree.mp3", "03.Lecture_at_Kusum_Sarovar-02_-_Radhanath_Swami_IDesireTree.mp3")</f>
        <v>03.Lecture_at_Kusum_Sarovar-02_-_Radhanath_Swami_IDesireTree.mp3</v>
      </c>
      <c r="D3419" s="11"/>
      <c r="E3419" s="11"/>
    </row>
    <row r="3420" spans="1:5">
      <c r="A3420" s="12" t="s">
        <v>12463</v>
      </c>
      <c r="B3420" s="12" t="s">
        <v>16131</v>
      </c>
      <c r="C3420" s="13" t="str">
        <f>HYPERLINK("https://audio.iskcondesiretree.com/02_-_ISKCON_Swamis/ISKCON_Swamis_-_R_to_Y/His_Holiness_Radhanath_Swami/Lectures/01_-_Theme_wise/Dhaams/04_-_Various_places_in_Vrindavana/04_-_Sarovars/04.Concluding_speech_at_kusum_Sarovar_IDesireTree.mp3", "04.Concluding_speech_at_kusum_Sarovar_IDesireTree.mp3")</f>
        <v>04.Concluding_speech_at_kusum_Sarovar_IDesireTree.mp3</v>
      </c>
      <c r="D3420" s="11"/>
      <c r="E3420" s="11"/>
    </row>
    <row r="3421" spans="1:5">
      <c r="A3421" s="12" t="s">
        <v>12463</v>
      </c>
      <c r="B3421" s="12" t="s">
        <v>16132</v>
      </c>
      <c r="C3421" s="13" t="str">
        <f>HYPERLINK("https://audio.iskcondesiretree.com/02_-_ISKCON_Swamis/ISKCON_Swamis_-_R_to_Y/His_Holiness_Radhanath_Swami/Lectures/01_-_Theme_wise/Dhaams/04_-_Various_places_in_Vrindavana/04_-_Sarovars/06.Lecture_at_Pawan_sarovar_-_Radhanath_Swami_IDesireTree.mp3", "06.Lecture_at_Pawan_sarovar_-_Radhanath_Swami_IDesireTree.mp3")</f>
        <v>06.Lecture_at_Pawan_sarovar_-_Radhanath_Swami_IDesireTree.mp3</v>
      </c>
      <c r="D3421" s="11"/>
      <c r="E3421" s="11"/>
    </row>
    <row r="3422" spans="1:5">
      <c r="A3422" s="12" t="s">
        <v>12463</v>
      </c>
      <c r="B3422" s="12" t="s">
        <v>16133</v>
      </c>
      <c r="C3422" s="13" t="str">
        <f>HYPERLINK("https://audio.iskcondesiretree.com/02_-_ISKCON_Swamis/ISKCON_Swamis_-_R_to_Y/His_Holiness_Radhanath_Swami/Lectures/01_-_Theme_wise/Dhaams/04_-_Various_places_in_Vrindavana/04_-_Sarovars/07.Pavan_Sarovar_-_Radhanath_Swami_IDesireTree.mp3", "07.Pavan_Sarovar_-_Radhanath_Swami_IDesireTree.mp3")</f>
        <v>07.Pavan_Sarovar_-_Radhanath_Swami_IDesireTree.mp3</v>
      </c>
      <c r="D3422" s="11"/>
      <c r="E3422" s="11"/>
    </row>
    <row r="3423" spans="1:5">
      <c r="A3423" s="12" t="s">
        <v>12463</v>
      </c>
      <c r="B3423" s="12" t="s">
        <v>16134</v>
      </c>
      <c r="C3423" s="13" t="str">
        <f>HYPERLINK("https://audio.iskcondesiretree.com/02_-_ISKCON_Swamis/ISKCON_Swamis_-_R_to_Y/His_Holiness_Radhanath_Swami/Lectures/01_-_Theme_wise/Dhaams/04_-_Various_places_in_Vrindavana/05_-_Temples/01.Lecture_at_Radha_Damodar_Temple_-_Radhanath_Swami_IDesireTree.mp3", "01.Lecture_at_Radha_Damodar_Temple_-_Radhanath_Swami_IDesireTree.mp3")</f>
        <v>01.Lecture_at_Radha_Damodar_Temple_-_Radhanath_Swami_IDesireTree.mp3</v>
      </c>
      <c r="D3423" s="11"/>
      <c r="E3423" s="11"/>
    </row>
    <row r="3424" spans="1:5">
      <c r="A3424" s="12" t="s">
        <v>12463</v>
      </c>
      <c r="B3424" s="12" t="s">
        <v>16135</v>
      </c>
      <c r="C3424" s="13" t="str">
        <f>HYPERLINK("https://audio.iskcondesiretree.com/02_-_ISKCON_Swamis/ISKCON_Swamis_-_R_to_Y/His_Holiness_Radhanath_Swami/Lectures/01_-_Theme_wise/Dhaams/04_-_Various_places_in_Vrindavana/05_-_Temples/02.Lecture_at_Radha_Gopijanvallabh_Temple-01_IDesireTree.mp3", "02.Lecture_at_Radha_Gopijanvallabh_Temple-01_IDesireTree.mp3")</f>
        <v>02.Lecture_at_Radha_Gopijanvallabh_Temple-01_IDesireTree.mp3</v>
      </c>
      <c r="D3424" s="11"/>
      <c r="E3424" s="11"/>
    </row>
    <row r="3425" spans="1:5">
      <c r="A3425" s="12" t="s">
        <v>12463</v>
      </c>
      <c r="B3425" s="12" t="s">
        <v>16136</v>
      </c>
      <c r="C3425" s="13" t="str">
        <f>HYPERLINK("https://audio.iskcondesiretree.com/02_-_ISKCON_Swamis/ISKCON_Swamis_-_R_to_Y/His_Holiness_Radhanath_Swami/Lectures/01_-_Theme_wise/Dhaams/04_-_Various_places_in_Vrindavana/05_-_Temples/03.Lecture_at_Radha_Gopijanvallabh_Temple-02_IDesireTree.mp3", "03.Lecture_at_Radha_Gopijanvallabh_Temple-02_IDesireTree.mp3")</f>
        <v>03.Lecture_at_Radha_Gopijanvallabh_Temple-02_IDesireTree.mp3</v>
      </c>
      <c r="D3425" s="11"/>
      <c r="E3425" s="11"/>
    </row>
    <row r="3426" spans="1:5">
      <c r="A3426" s="12" t="s">
        <v>12463</v>
      </c>
      <c r="B3426" s="12" t="s">
        <v>16137</v>
      </c>
      <c r="C3426" s="13" t="str">
        <f>HYPERLINK("https://audio.iskcondesiretree.com/02_-_ISKCON_Swamis/ISKCON_Swamis_-_R_to_Y/His_Holiness_Radhanath_Swami/Lectures/01_-_Theme_wise/Dhaams/04_-_Various_places_in_Vrindavana/05_-_Temples/04.Lecture_at_Radha_Govindji_Temple_-_Radhanath_Swami_IDesireTree.mp3", "04.Lecture_at_Radha_Govindji_Temple_-_Radhanath_Swami_IDesireTree.mp3")</f>
        <v>04.Lecture_at_Radha_Govindji_Temple_-_Radhanath_Swami_IDesireTree.mp3</v>
      </c>
      <c r="D3426" s="11"/>
      <c r="E3426" s="11"/>
    </row>
    <row r="3427" spans="1:5">
      <c r="A3427" s="12" t="s">
        <v>12463</v>
      </c>
      <c r="B3427" s="12" t="s">
        <v>16138</v>
      </c>
      <c r="C3427" s="13" t="str">
        <f>HYPERLINK("https://audio.iskcondesiretree.com/02_-_ISKCON_Swamis/ISKCON_Swamis_-_R_to_Y/His_Holiness_Radhanath_Swami/Lectures/01_-_Theme_wise/Dhaams/04_-_Various_places_in_Vrindavana/05_-_Temples/05.Raval_Dauji_Temple_-_Radhanath_Swami_IDesireTree.mp3", "05.Raval_Dauji_Temple_-_Radhanath_Swami_IDesireTree.mp3")</f>
        <v>05.Raval_Dauji_Temple_-_Radhanath_Swami_IDesireTree.mp3</v>
      </c>
      <c r="D3427" s="11"/>
      <c r="E3427" s="11"/>
    </row>
    <row r="3428" spans="1:5">
      <c r="A3428" s="12" t="s">
        <v>12463</v>
      </c>
      <c r="B3428" s="12" t="s">
        <v>16139</v>
      </c>
      <c r="C3428" s="13" t="str">
        <f>HYPERLINK("https://audio.iskcondesiretree.com/02_-_ISKCON_Swamis/ISKCON_Swamis_-_R_to_Y/His_Holiness_Radhanath_Swami/Lectures/01_-_Theme_wise/Dhaams/04_-_Various_places_in_Vrindavana/05_-_Temples/06.The_Seven_Main_Temples_of_Vrindavan_IDesireTree.mp3", "06.The_Seven_Main_Temples_of_Vrindavan_IDesireTree.mp3")</f>
        <v>06.The_Seven_Main_Temples_of_Vrindavan_IDesireTree.mp3</v>
      </c>
      <c r="D3428" s="11"/>
      <c r="E3428" s="11"/>
    </row>
    <row r="3429" spans="1:5">
      <c r="A3429" s="12" t="s">
        <v>12463</v>
      </c>
      <c r="B3429" s="12" t="s">
        <v>16140</v>
      </c>
      <c r="C3429" s="13" t="str">
        <f>HYPERLINK("https://audio.iskcondesiretree.com/02_-_ISKCON_Swamis/ISKCON_Swamis_-_R_to_Y/His_Holiness_Radhanath_Swami/Lectures/01_-_Theme_wise/Dhaams/04_-_Various_places_in_Vrindavana/05_-_Temples/07.Various_Temples_Of_Vrindavan-01_-_Radhanath_Swami_IDesireTree.mp3", "07.Various_Temples_Of_Vrindavan-01_-_Radhanath_Swami_IDesireTree.mp3")</f>
        <v>07.Various_Temples_Of_Vrindavan-01_-_Radhanath_Swami_IDesireTree.mp3</v>
      </c>
      <c r="D3429" s="11"/>
      <c r="E3429" s="11"/>
    </row>
    <row r="3430" spans="1:5">
      <c r="A3430" s="12" t="s">
        <v>12463</v>
      </c>
      <c r="B3430" s="12" t="s">
        <v>16141</v>
      </c>
      <c r="C3430" s="13" t="str">
        <f>HYPERLINK("https://audio.iskcondesiretree.com/02_-_ISKCON_Swamis/ISKCON_Swamis_-_R_to_Y/His_Holiness_Radhanath_Swami/Lectures/01_-_Theme_wise/Dhaams/04_-_Various_places_in_Vrindavana/05_-_Temples/08.Various_Temples_Of_Vrindavan-02_-_Radhanath_Swami_IDesireTree.mp3", "08.Various_Temples_Of_Vrindavan-02_-_Radhanath_Swami_IDesireTree.mp3")</f>
        <v>08.Various_Temples_Of_Vrindavan-02_-_Radhanath_Swami_IDesireTree.mp3</v>
      </c>
      <c r="D3430" s="11"/>
      <c r="E3430" s="11"/>
    </row>
    <row r="3431" spans="1:5">
      <c r="A3431" s="12" t="s">
        <v>12463</v>
      </c>
      <c r="B3431" s="12" t="s">
        <v>16142</v>
      </c>
      <c r="C3431" s="13" t="str">
        <f>HYPERLINK("https://audio.iskcondesiretree.com/02_-_ISKCON_Swamis/ISKCON_Swamis_-_R_to_Y/His_Holiness_Radhanath_Swami/Lectures/01_-_Theme_wise/Dhaams/04_-_Various_places_in_Vrindavana/06_-_Ter_Kadamba/01.Bhajan_%26_Lecture_at_Tera_kadam_IDesireTree.mp3", "01.Bhajan_%26_Lecture_at_Tera_kadam_IDesireTree.mp3")</f>
        <v>01.Bhajan_%26_Lecture_at_Tera_kadam_IDesireTree.mp3</v>
      </c>
      <c r="D3431" s="11"/>
      <c r="E3431" s="11"/>
    </row>
    <row r="3432" spans="1:5">
      <c r="A3432" s="12" t="s">
        <v>12463</v>
      </c>
      <c r="B3432" s="12" t="s">
        <v>16143</v>
      </c>
      <c r="C3432" s="13" t="str">
        <f>HYPERLINK("https://audio.iskcondesiretree.com/02_-_ISKCON_Swamis/ISKCON_Swamis_-_R_to_Y/His_Holiness_Radhanath_Swami/Lectures/01_-_Theme_wise/Dhaams/04_-_Various_places_in_Vrindavana/06_-_Ter_Kadamba/02.Lecture_at_Tera_kadam-02_-_Radhanath_Swami_IDesireTree.mp3", "02.Lecture_at_Tera_kadam-02_-_Radhanath_Swami_IDesireTree.mp3")</f>
        <v>02.Lecture_at_Tera_kadam-02_-_Radhanath_Swami_IDesireTree.mp3</v>
      </c>
      <c r="D3432" s="11"/>
      <c r="E3432" s="11"/>
    </row>
    <row r="3433" spans="1:5">
      <c r="A3433" s="12" t="s">
        <v>12463</v>
      </c>
      <c r="B3433" s="12" t="s">
        <v>16144</v>
      </c>
      <c r="C3433" s="13" t="str">
        <f>HYPERLINK("https://audio.iskcondesiretree.com/02_-_ISKCON_Swamis/ISKCON_Swamis_-_R_to_Y/His_Holiness_Radhanath_Swami/Lectures/01_-_Theme_wise/Dhaams/04_-_Various_places_in_Vrindavana/06_-_Ter_Kadamba/03.Terakadamba_-_Radhanath_Swami_IDesireTree.mp3", "03.Terakadamba_-_Radhanath_Swami_IDesireTree.mp3")</f>
        <v>03.Terakadamba_-_Radhanath_Swami_IDesireTree.mp3</v>
      </c>
      <c r="D3433" s="11"/>
      <c r="E3433" s="11"/>
    </row>
    <row r="3434" spans="1:5">
      <c r="A3434" s="12" t="s">
        <v>12463</v>
      </c>
      <c r="B3434" s="12" t="s">
        <v>16145</v>
      </c>
      <c r="C3434" s="13" t="str">
        <f>HYPERLINK("https://audio.iskcondesiretree.com/02_-_ISKCON_Swamis/ISKCON_Swamis_-_R_to_Y/His_Holiness_Radhanath_Swami/Lectures/01_-_Theme_wise/Dhaams/04_-_Various_places_in_Vrindavana/07_-_Vanaas/01.Bandiravan_-_Radhanath_Swami_IDesireTree.mp3", "01.Bandiravan_-_Radhanath_Swami_IDesireTree.mp3")</f>
        <v>01.Bandiravan_-_Radhanath_Swami_IDesireTree.mp3</v>
      </c>
      <c r="D3434" s="11"/>
      <c r="E3434" s="11"/>
    </row>
    <row r="3435" spans="1:5">
      <c r="A3435" s="12" t="s">
        <v>12463</v>
      </c>
      <c r="B3435" s="12" t="s">
        <v>16146</v>
      </c>
      <c r="C3435" s="13" t="str">
        <f>HYPERLINK("https://audio.iskcondesiretree.com/02_-_ISKCON_Swamis/ISKCON_Swamis_-_R_to_Y/His_Holiness_Radhanath_Swami/Lectures/01_-_Theme_wise/Dhaams/04_-_Various_places_in_Vrindavana/07_-_Vanaas/02.Lecture_at_Bilvavan_-_Radhanath_Swami_IDesireTree.mp3", "02.Lecture_at_Bilvavan_-_Radhanath_Swami_IDesireTree.mp3")</f>
        <v>02.Lecture_at_Bilvavan_-_Radhanath_Swami_IDesireTree.mp3</v>
      </c>
      <c r="D3435" s="11"/>
      <c r="E3435" s="11"/>
    </row>
    <row r="3436" spans="1:5">
      <c r="A3436" s="12" t="s">
        <v>12463</v>
      </c>
      <c r="B3436" s="12" t="s">
        <v>16147</v>
      </c>
      <c r="C3436" s="13" t="str">
        <f>HYPERLINK("https://audio.iskcondesiretree.com/02_-_ISKCON_Swamis/ISKCON_Swamis_-_R_to_Y/His_Holiness_Radhanath_Swami/Lectures/01_-_Theme_wise/Dhaams/04_-_Various_places_in_Vrindavana/07_-_Vanaas/03.Kamyavana_with_Sachinanadana_Swami_-_Radhanath_Swami_IDesireTree.mp3", "03.Kamyavana_with_Sachinanadana_Swami_-_Radhanath_Swami_IDesireTree.mp3")</f>
        <v>03.Kamyavana_with_Sachinanadana_Swami_-_Radhanath_Swami_IDesireTree.mp3</v>
      </c>
      <c r="D3436" s="11"/>
      <c r="E3436" s="11"/>
    </row>
    <row r="3437" spans="1:5">
      <c r="A3437" s="12" t="s">
        <v>12463</v>
      </c>
      <c r="B3437" s="12" t="s">
        <v>16148</v>
      </c>
      <c r="C3437" s="13" t="str">
        <f>HYPERLINK("https://audio.iskcondesiretree.com/02_-_ISKCON_Swamis/ISKCON_Swamis_-_R_to_Y/His_Holiness_Radhanath_Swami/Lectures/01_-_Theme_wise/Dhaams/04_-_Various_places_in_Vrindavana/07_-_Vanaas/04.Lecture_at_Shyamvan_-_Radhanath_Swami_IDesireTree.mp3", "04.Lecture_at_Shyamvan_-_Radhanath_Swami_IDesireTree.mp3")</f>
        <v>04.Lecture_at_Shyamvan_-_Radhanath_Swami_IDesireTree.mp3</v>
      </c>
      <c r="D3437" s="11"/>
      <c r="E3437" s="11"/>
    </row>
    <row r="3438" spans="1:5">
      <c r="A3438" s="12" t="s">
        <v>12463</v>
      </c>
      <c r="B3438" s="12" t="s">
        <v>16149</v>
      </c>
      <c r="C3438" s="13" t="str">
        <f>HYPERLINK("https://audio.iskcondesiretree.com/02_-_ISKCON_Swamis/ISKCON_Swamis_-_R_to_Y/His_Holiness_Radhanath_Swami/Lectures/01_-_Theme_wise/Dhaams/04_-_Various_places_in_Vrindavana/07_-_Vanaas/05.Talvan_Madhuban_-_Radhanath_Swami_IDesireTree.mp3", "05.Talvan_Madhuban_-_Radhanath_Swami_IDesireTree.mp3")</f>
        <v>05.Talvan_Madhuban_-_Radhanath_Swami_IDesireTree.mp3</v>
      </c>
      <c r="D3438" s="11"/>
      <c r="E3438" s="11"/>
    </row>
    <row r="3439" spans="1:5">
      <c r="A3439" s="12" t="s">
        <v>12463</v>
      </c>
      <c r="B3439" s="12" t="s">
        <v>16150</v>
      </c>
      <c r="C3439" s="13" t="str">
        <f>HYPERLINK("https://audio.iskcondesiretree.com/02_-_ISKCON_Swamis/ISKCON_Swamis_-_R_to_Y/His_Holiness_Radhanath_Swami/Lectures/01_-_Theme_wise/Dhaams/04_-_Various_places_in_Vrindavana/08_-_Barsana/01.The_Beautiful_Birthplace.mp3", "01.The_Beautiful_Birthplace.mp3")</f>
        <v>01.The_Beautiful_Birthplace.mp3</v>
      </c>
      <c r="D3439" s="11"/>
      <c r="E3439" s="11"/>
    </row>
    <row r="3440" spans="1:5">
      <c r="A3440" s="12" t="s">
        <v>12463</v>
      </c>
      <c r="B3440" s="12" t="s">
        <v>16151</v>
      </c>
      <c r="C3440" s="13" t="str">
        <f>HYPERLINK("https://audio.iskcondesiretree.com/02_-_ISKCON_Swamis/ISKCON_Swamis_-_R_to_Y/His_Holiness_Radhanath_Swami/Lectures/01_-_Theme_wise/Dhaams/04_-_Various_places_in_Vrindavana/08_-_Barsana/02.Wonderful_Pastimes_of_Varsana_-_Radhanath_Swami_IDesireTree.mp3", "02.Wonderful_Pastimes_of_Varsana_-_Radhanath_Swami_IDesireTree.mp3")</f>
        <v>02.Wonderful_Pastimes_of_Varsana_-_Radhanath_Swami_IDesireTree.mp3</v>
      </c>
      <c r="D3440" s="11"/>
      <c r="E3440" s="11"/>
    </row>
    <row r="3441" spans="1:5">
      <c r="A3441" s="12" t="s">
        <v>12463</v>
      </c>
      <c r="B3441" s="12" t="s">
        <v>16152</v>
      </c>
      <c r="C3441" s="13" t="str">
        <f>HYPERLINK("https://audio.iskcondesiretree.com/02_-_ISKCON_Swamis/ISKCON_Swamis_-_R_to_Y/His_Holiness_Radhanath_Swami/Lectures/01_-_Theme_wise/Dhaams/04_-_Various_places_in_Vrindavana/08_-_Barsana/03.Barsana-01_-_Radhanath_Swami_IDesireTree.mp3", "03.Barsana-01_-_Radhanath_Swami_IDesireTree.mp3")</f>
        <v>03.Barsana-01_-_Radhanath_Swami_IDesireTree.mp3</v>
      </c>
      <c r="D3441" s="11"/>
      <c r="E3441" s="11"/>
    </row>
    <row r="3442" spans="1:5">
      <c r="A3442" s="12" t="s">
        <v>12463</v>
      </c>
      <c r="B3442" s="12" t="s">
        <v>16153</v>
      </c>
      <c r="C3442" s="13" t="str">
        <f>HYPERLINK("https://audio.iskcondesiretree.com/02_-_ISKCON_Swamis/ISKCON_Swamis_-_R_to_Y/His_Holiness_Radhanath_Swami/Lectures/01_-_Theme_wise/Dhaams/04_-_Various_places_in_Vrindavana/08_-_Barsana/04.Barsana-02_-_Radhanath_Swami_IDesireTree.mp3", "04.Barsana-02_-_Radhanath_Swami_IDesireTree.mp3")</f>
        <v>04.Barsana-02_-_Radhanath_Swami_IDesireTree.mp3</v>
      </c>
      <c r="D3442" s="11"/>
      <c r="E3442" s="11"/>
    </row>
    <row r="3443" spans="1:5">
      <c r="A3443" s="12" t="s">
        <v>12463</v>
      </c>
      <c r="B3443" s="12" t="s">
        <v>16154</v>
      </c>
      <c r="C3443" s="13" t="str">
        <f>HYPERLINK("https://audio.iskcondesiretree.com/02_-_ISKCON_Swamis/ISKCON_Swamis_-_R_to_Y/His_Holiness_Radhanath_Swami/Lectures/01_-_Theme_wise/Dhaams/04_-_Various_places_in_Vrindavana/08_-_Barsana/05.Barsana-03_-_Radhanath_Swami_IDesireTree.mp3", "05.Barsana-03_-_Radhanath_Swami_IDesireTree.mp3")</f>
        <v>05.Barsana-03_-_Radhanath_Swami_IDesireTree.mp3</v>
      </c>
      <c r="D3443" s="11"/>
      <c r="E3443" s="11"/>
    </row>
    <row r="3444" spans="1:5">
      <c r="A3444" s="12" t="s">
        <v>12463</v>
      </c>
      <c r="B3444" s="12" t="e">
        <v>#VALUE!</v>
      </c>
      <c r="C3444" s="13" t="e">
        <f>HYPERLINK("https://audio.iskcondesiretree.com/02_-_ISKCON_Swamis/ISKCON_Swamis_-_R_to_Y/His_Holiness_Radhanath_Swami/Lectures/01_-_Theme_wise/Dhaams/04_-_Various_places_in_Vrindavana/09_-_Vatas/01.Krishna%27s_Pastimes_at_Sringara_Vata_-_Radhanath_Swami_IDesireTree.m"&amp;"p3", "01.Krishna%27s_Pastimes_at_Sringara_Vata_-_Radhanath_Swami_IDesireTree.mp3")</f>
        <v>#VALUE!</v>
      </c>
      <c r="D3444" s="11"/>
      <c r="E3444" s="11"/>
    </row>
    <row r="3445" spans="1:5">
      <c r="A3445" s="12" t="s">
        <v>12463</v>
      </c>
      <c r="B3445" s="12" t="s">
        <v>16155</v>
      </c>
      <c r="C3445" s="13" t="str">
        <f>HYPERLINK("https://audio.iskcondesiretree.com/02_-_ISKCON_Swamis/ISKCON_Swamis_-_R_to_Y/His_Holiness_Radhanath_Swami/Lectures/01_-_Theme_wise/Dhaams/04_-_Various_places_in_Vrindavana/09_-_Vatas/02.Lecture_%26_Kirtan_at_Vamsi_Vatas_-_Radhanath_Swami_IDesireTree.mp3", "02.Lecture_%26_Kirtan_at_Vamsi_Vatas_-_Radhanath_Swami_IDesireTree.mp3")</f>
        <v>02.Lecture_%26_Kirtan_at_Vamsi_Vatas_-_Radhanath_Swami_IDesireTree.mp3</v>
      </c>
      <c r="D3445" s="11"/>
      <c r="E3445" s="11"/>
    </row>
    <row r="3446" spans="1:5">
      <c r="A3446" s="12" t="s">
        <v>12463</v>
      </c>
      <c r="B3446" s="12" t="s">
        <v>16156</v>
      </c>
      <c r="C3446" s="13" t="str">
        <f>HYPERLINK("https://audio.iskcondesiretree.com/02_-_ISKCON_Swamis/ISKCON_Swamis_-_R_to_Y/His_Holiness_Radhanath_Swami/Lectures/01_-_Theme_wise/Dhaams/04_-_Various_places_in_Vrindavana/10_-_Other_places/01.The_Sacred_Lake_of_Nandagaon_-_Radhanath_Swami_IDesireTree.mp3", "01.The_Sacred_Lake_of_Nandagaon_-_Radhanath_Swami_IDesireTree.mp3")</f>
        <v>01.The_Sacred_Lake_of_Nandagaon_-_Radhanath_Swami_IDesireTree.mp3</v>
      </c>
      <c r="D3446" s="11"/>
      <c r="E3446" s="11"/>
    </row>
    <row r="3447" spans="1:5">
      <c r="A3447" s="12" t="s">
        <v>12463</v>
      </c>
      <c r="B3447" s="12" t="s">
        <v>16157</v>
      </c>
      <c r="C3447" s="13" t="str">
        <f>HYPERLINK("https://audio.iskcondesiretree.com/02_-_ISKCON_Swamis/ISKCON_Swamis_-_R_to_Y/His_Holiness_Radhanath_Swami/Lectures/01_-_Theme_wise/Dhaams/04_-_Various_places_in_Vrindavana/10_-_Other_places/02.Nand_Gaon_-_Radhanath_Swami_IDesireTree.mp3", "02.Nand_Gaon_-_Radhanath_Swami_IDesireTree.mp3")</f>
        <v>02.Nand_Gaon_-_Radhanath_Swami_IDesireTree.mp3</v>
      </c>
      <c r="D3447" s="11"/>
      <c r="E3447" s="11"/>
    </row>
    <row r="3448" spans="1:5">
      <c r="A3448" s="12" t="s">
        <v>12463</v>
      </c>
      <c r="B3448" s="12" t="s">
        <v>16158</v>
      </c>
      <c r="C3448" s="13" t="str">
        <f>HYPERLINK("https://audio.iskcondesiretree.com/02_-_ISKCON_Swamis/ISKCON_Swamis_-_R_to_Y/His_Holiness_Radhanath_Swami/Lectures/01_-_Theme_wise/Dhaams/04_-_Various_places_in_Vrindavana/10_-_Other_places/03.Rupa_Goswami%27s_Beautiful_Bhajan_Kutir_IDesireTree.mp3", "03.Rupa_Goswami%27s_Beautiful_Bhajan_Kutir_IDesireTree.mp3")</f>
        <v>03.Rupa_Goswami%27s_Beautiful_Bhajan_Kutir_IDesireTree.mp3</v>
      </c>
      <c r="D3448" s="11"/>
      <c r="E3448" s="11"/>
    </row>
    <row r="3449" spans="1:5">
      <c r="A3449" s="12" t="s">
        <v>12463</v>
      </c>
      <c r="B3449" s="12" t="s">
        <v>16159</v>
      </c>
      <c r="C3449" s="13" t="str">
        <f>HYPERLINK("https://audio.iskcondesiretree.com/02_-_ISKCON_Swamis/ISKCON_Swamis_-_R_to_Y/His_Holiness_Radhanath_Swami/Lectures/01_-_Theme_wise/Dhaams/04_-_Various_places_in_Vrindavana/10_-_Other_places/04.Lecture_at_uddhava_kyari_-_Radhanath_Swami_IDesireTree.mp3", "04.Lecture_at_uddhava_kyari_-_Radhanath_Swami_IDesireTree.mp3")</f>
        <v>04.Lecture_at_uddhava_kyari_-_Radhanath_Swami_IDesireTree.mp3</v>
      </c>
      <c r="D3449" s="11"/>
      <c r="E3449" s="11"/>
    </row>
    <row r="3450" spans="1:5">
      <c r="A3450" s="12" t="s">
        <v>12463</v>
      </c>
      <c r="B3450" s="12" t="s">
        <v>16160</v>
      </c>
      <c r="C3450" s="13" t="str">
        <f>HYPERLINK("https://audio.iskcondesiretree.com/02_-_ISKCON_Swamis/ISKCON_Swamis_-_R_to_Y/His_Holiness_Radhanath_Swami/Lectures/01_-_Theme_wise/Dhaams/04_-_Various_places_in_Vrindavana/10_-_Other_places/05.Talk_at_Yajya_Sthali_-_Radhanath_Swami_IDesireTree.mp3", "05.Talk_at_Yajya_Sthali_-_Radhanath_Swami_IDesireTree.mp3")</f>
        <v>05.Talk_at_Yajya_Sthali_-_Radhanath_Swami_IDesireTree.mp3</v>
      </c>
      <c r="D3450" s="11"/>
      <c r="E3450" s="11"/>
    </row>
    <row r="3451" spans="1:5">
      <c r="A3451" s="12" t="s">
        <v>12463</v>
      </c>
      <c r="B3451" s="12" t="s">
        <v>16161</v>
      </c>
      <c r="C3451" s="13" t="str">
        <f>HYPERLINK("https://audio.iskcondesiretree.com/02_-_ISKCON_Swamis/ISKCON_Swamis_-_R_to_Y/His_Holiness_Radhanath_Swami/Lectures/01_-_Theme_wise/Dhaams/05_-_Various_places_in_Mayapur/01_-_Aam_Ghat/01.%20Lecture_at_Aam_Ghat_-_Radhanath_Swami_2003.mp3", "01.%20Lecture_at_Aam_Ghat_-_Radhanath_Swami_2003.mp3")</f>
        <v>01.%20Lecture_at_Aam_Ghat_-_Radhanath_Swami_2003.mp3</v>
      </c>
      <c r="D3451" s="11"/>
      <c r="E3451" s="11"/>
    </row>
    <row r="3452" spans="1:5">
      <c r="A3452" s="12" t="s">
        <v>12463</v>
      </c>
      <c r="B3452" s="12" t="s">
        <v>16162</v>
      </c>
      <c r="C3452" s="13" t="str">
        <f>HYPERLINK("https://audio.iskcondesiretree.com/02_-_ISKCON_Swamis/ISKCON_Swamis_-_R_to_Y/His_Holiness_Radhanath_Swami/Lectures/01_-_Theme_wise/Dhaams/05_-_Various_places_in_Mayapur/02_-_Ambika_Kalana/Lecture_at_Anbika_Kalana_-_Radhanath_Swami_2003_IDesireTree.mp3", "Lecture_at_Anbika_Kalana_-_Radhanath_Swami_2003_IDesireTree.mp3")</f>
        <v>Lecture_at_Anbika_Kalana_-_Radhanath_Swami_2003_IDesireTree.mp3</v>
      </c>
      <c r="D3452" s="11"/>
      <c r="E3452" s="11"/>
    </row>
    <row r="3453" spans="1:5">
      <c r="A3453" s="12" t="s">
        <v>12463</v>
      </c>
      <c r="B3453" s="12" t="s">
        <v>16163</v>
      </c>
      <c r="C3453" s="13" t="str">
        <f>HYPERLINK("https://audio.iskcondesiretree.com/02_-_ISKCON_Swamis/ISKCON_Swamis_-_R_to_Y/His_Holiness_Radhanath_Swami/Lectures/01_-_Theme_wise/Dhaams/05_-_Various_places_in_Mayapur/03_-_Champahatti/Lecture_at_Champahatti_-_Radhanath_Swami_2003_IDesireTree.mp3", "Lecture_at_Champahatti_-_Radhanath_Swami_2003_IDesireTree.mp3")</f>
        <v>Lecture_at_Champahatti_-_Radhanath_Swami_2003_IDesireTree.mp3</v>
      </c>
      <c r="D3453" s="11"/>
      <c r="E3453" s="11"/>
    </row>
    <row r="3454" spans="1:5">
      <c r="A3454" s="12" t="s">
        <v>12463</v>
      </c>
      <c r="B3454" s="12" t="s">
        <v>16164</v>
      </c>
      <c r="C3454" s="13" t="str">
        <f>HYPERLINK("https://audio.iskcondesiretree.com/02_-_ISKCON_Swamis/ISKCON_Swamis_-_R_to_Y/His_Holiness_Radhanath_Swami/Lectures/01_-_Theme_wise/Dhaams/05_-_Various_places_in_Mayapur/04_-_Dhameshwar_Mahaprabhu/Lecture_at_Dhameshwar_Mahaprabhu_-_2003_IDesireTree.mp3", "Lecture_at_Dhameshwar_Mahaprabhu_-_2003_IDesireTree.mp3")</f>
        <v>Lecture_at_Dhameshwar_Mahaprabhu_-_2003_IDesireTree.mp3</v>
      </c>
      <c r="D3454" s="11"/>
      <c r="E3454" s="11"/>
    </row>
    <row r="3455" spans="1:5">
      <c r="A3455" s="12" t="s">
        <v>12463</v>
      </c>
      <c r="B3455" s="12" t="s">
        <v>16165</v>
      </c>
      <c r="C3455" s="13" t="str">
        <f>HYPERLINK("https://audio.iskcondesiretree.com/02_-_ISKCON_Swamis/ISKCON_Swamis_-_R_to_Y/His_Holiness_Radhanath_Swami/Lectures/01_-_Theme_wise/Dhaams/05_-_Various_places_in_Mayapur/05_-_Ekchakra/Lecture_at_Bankim_Rai_-_Ekchakra_-_Radhanath_Swami_2003_IDesireTree.mp3", "Lecture_at_Bankim_Rai_-_Ekchakra_-_Radhanath_Swami_2003_IDesireTree.mp3")</f>
        <v>Lecture_at_Bankim_Rai_-_Ekchakra_-_Radhanath_Swami_2003_IDesireTree.mp3</v>
      </c>
      <c r="D3455" s="11"/>
      <c r="E3455" s="11"/>
    </row>
    <row r="3456" spans="1:5">
      <c r="A3456" s="12" t="s">
        <v>12463</v>
      </c>
      <c r="B3456" s="12" t="s">
        <v>16166</v>
      </c>
      <c r="C3456" s="13" t="str">
        <f>HYPERLINK("https://audio.iskcondesiretree.com/02_-_ISKCON_Swamis/ISKCON_Swamis_-_R_to_Y/His_Holiness_Radhanath_Swami/Lectures/01_-_Theme_wise/Dhaams/05_-_Various_places_in_Mayapur/05_-_Ekchakra/Lecture_at_Ekcakra-01_-_Radhanath_Swami_2003_IDesireTree.mp3", "Lecture_at_Ekcakra-01_-_Radhanath_Swami_2003_IDesireTree.mp3")</f>
        <v>Lecture_at_Ekcakra-01_-_Radhanath_Swami_2003_IDesireTree.mp3</v>
      </c>
      <c r="D3456" s="11"/>
      <c r="E3456" s="11"/>
    </row>
    <row r="3457" spans="1:5">
      <c r="A3457" s="12" t="s">
        <v>12463</v>
      </c>
      <c r="B3457" s="12" t="s">
        <v>16167</v>
      </c>
      <c r="C3457" s="13" t="str">
        <f>HYPERLINK("https://audio.iskcondesiretree.com/02_-_ISKCON_Swamis/ISKCON_Swamis_-_R_to_Y/His_Holiness_Radhanath_Swami/Lectures/01_-_Theme_wise/Dhaams/05_-_Various_places_in_Mayapur/05_-_Ekchakra/Lecture_at_Ekcakra-02_-_Radhanath_Swami_2003_IDesireTree.mp3", "Lecture_at_Ekcakra-02_-_Radhanath_Swami_2003_IDesireTree.mp3")</f>
        <v>Lecture_at_Ekcakra-02_-_Radhanath_Swami_2003_IDesireTree.mp3</v>
      </c>
      <c r="D3457" s="11"/>
      <c r="E3457" s="11"/>
    </row>
    <row r="3458" spans="1:5">
      <c r="A3458" s="12" t="s">
        <v>12463</v>
      </c>
      <c r="B3458" s="12" t="s">
        <v>16168</v>
      </c>
      <c r="C3458" s="13" t="str">
        <f>HYPERLINK("https://audio.iskcondesiretree.com/02_-_ISKCON_Swamis/ISKCON_Swamis_-_R_to_Y/His_Holiness_Radhanath_Swami/Lectures/01_-_Theme_wise/Dhaams/05_-_Various_places_in_Mayapur/05_-_Ekchakra/Lecture_at_Ekcakra-03_-_Radhanath_Swami_2003_IDesireTree.mp3", "Lecture_at_Ekcakra-03_-_Radhanath_Swami_2003_IDesireTree.mp3")</f>
        <v>Lecture_at_Ekcakra-03_-_Radhanath_Swami_2003_IDesireTree.mp3</v>
      </c>
      <c r="D3458" s="11"/>
      <c r="E3458" s="11"/>
    </row>
    <row r="3459" spans="1:5">
      <c r="A3459" s="12" t="s">
        <v>12463</v>
      </c>
      <c r="B3459" s="12" t="s">
        <v>16169</v>
      </c>
      <c r="C3459" s="13" t="str">
        <f>HYPERLINK("https://audio.iskcondesiretree.com/02_-_ISKCON_Swamis/ISKCON_Swamis_-_R_to_Y/His_Holiness_Radhanath_Swami/Lectures/01_-_Theme_wise/Dhaams/05_-_Various_places_in_Mayapur/06_-_Gada_Gardens/Lecture_at_Gada_Garden-01_-_Radhanath_Swami_2003_IDesireTree.mp3", "Lecture_at_Gada_Garden-01_-_Radhanath_Swami_2003_IDesireTree.mp3")</f>
        <v>Lecture_at_Gada_Garden-01_-_Radhanath_Swami_2003_IDesireTree.mp3</v>
      </c>
      <c r="D3459" s="11"/>
      <c r="E3459" s="11"/>
    </row>
    <row r="3460" spans="1:5">
      <c r="A3460" s="12" t="s">
        <v>12463</v>
      </c>
      <c r="B3460" s="12" t="s">
        <v>16170</v>
      </c>
      <c r="C3460" s="13" t="str">
        <f>HYPERLINK("https://audio.iskcondesiretree.com/02_-_ISKCON_Swamis/ISKCON_Swamis_-_R_to_Y/His_Holiness_Radhanath_Swami/Lectures/01_-_Theme_wise/Dhaams/05_-_Various_places_in_Mayapur/06_-_Gada_Gardens/Lecture_at_Gada_Garden-02_-_Radhanath_Swami_2003_IDesireTree.mp3", "Lecture_at_Gada_Garden-02_-_Radhanath_Swami_2003_IDesireTree.mp3")</f>
        <v>Lecture_at_Gada_Garden-02_-_Radhanath_Swami_2003_IDesireTree.mp3</v>
      </c>
      <c r="D3460" s="11"/>
      <c r="E3460" s="11"/>
    </row>
    <row r="3461" spans="1:5">
      <c r="A3461" s="12" t="s">
        <v>12463</v>
      </c>
      <c r="B3461" s="12" t="s">
        <v>16171</v>
      </c>
      <c r="C3461" s="13" t="str">
        <f>HYPERLINK("https://audio.iskcondesiretree.com/02_-_ISKCON_Swamis/ISKCON_Swamis_-_R_to_Y/His_Holiness_Radhanath_Swami/Lectures/01_-_Theme_wise/Dhaams/05_-_Various_places_in_Mayapur/06_-_Gada_Gardens/Lecture_at_Gada_Garden-03_-_Radhanath_Swami_2003_IDesireTree.mp3", "Lecture_at_Gada_Garden-03_-_Radhanath_Swami_2003_IDesireTree.mp3")</f>
        <v>Lecture_at_Gada_Garden-03_-_Radhanath_Swami_2003_IDesireTree.mp3</v>
      </c>
      <c r="D3461" s="11"/>
      <c r="E3461" s="11"/>
    </row>
    <row r="3462" spans="1:5">
      <c r="A3462" s="12" t="s">
        <v>12463</v>
      </c>
      <c r="B3462" s="12" t="s">
        <v>16172</v>
      </c>
      <c r="C3462" s="13" t="str">
        <f>HYPERLINK("https://audio.iskcondesiretree.com/02_-_ISKCON_Swamis/ISKCON_Swamis_-_R_to_Y/His_Holiness_Radhanath_Swami/Lectures/01_-_Theme_wise/Dhaams/05_-_Various_places_in_Mayapur/06_-_Gada_Gardens/Lecture_at_Gada_Garden-04_-_Radhanath_Swami_2003_IDesireTree.mp3", "Lecture_at_Gada_Garden-04_-_Radhanath_Swami_2003_IDesireTree.mp3")</f>
        <v>Lecture_at_Gada_Garden-04_-_Radhanath_Swami_2003_IDesireTree.mp3</v>
      </c>
      <c r="D3462" s="11"/>
      <c r="E3462" s="11"/>
    </row>
    <row r="3463" spans="1:5">
      <c r="A3463" s="12" t="s">
        <v>12463</v>
      </c>
      <c r="B3463" s="12" t="s">
        <v>16173</v>
      </c>
      <c r="C3463" s="13" t="str">
        <f>HYPERLINK("https://audio.iskcondesiretree.com/02_-_ISKCON_Swamis/ISKCON_Swamis_-_R_to_Y/His_Holiness_Radhanath_Swami/Lectures/01_-_Theme_wise/Dhaams/05_-_Various_places_in_Mayapur/06_-_Gada_Gardens/Lecture_at_Gada_Garden-05_-_Radhanath_Swami_2003_IDesireTree.mp3", "Lecture_at_Gada_Garden-05_-_Radhanath_Swami_2003_IDesireTree.mp3")</f>
        <v>Lecture_at_Gada_Garden-05_-_Radhanath_Swami_2003_IDesireTree.mp3</v>
      </c>
      <c r="D3463" s="11"/>
      <c r="E3463" s="11"/>
    </row>
    <row r="3464" spans="1:5">
      <c r="A3464" s="12" t="s">
        <v>12463</v>
      </c>
      <c r="B3464" s="12" t="s">
        <v>16174</v>
      </c>
      <c r="C3464" s="13" t="str">
        <f>HYPERLINK("https://audio.iskcondesiretree.com/02_-_ISKCON_Swamis/ISKCON_Swamis_-_R_to_Y/His_Holiness_Radhanath_Swami/Lectures/01_-_Theme_wise/Dhaams/05_-_Various_places_in_Mayapur/06_-_Gada_Gardens/Lecture_at_Gada_Garden-06_-_Radhanath_Swami_2003_IDesireTree.mp3", "Lecture_at_Gada_Garden-06_-_Radhanath_Swami_2003_IDesireTree.mp3")</f>
        <v>Lecture_at_Gada_Garden-06_-_Radhanath_Swami_2003_IDesireTree.mp3</v>
      </c>
      <c r="D3464" s="11"/>
      <c r="E3464" s="11"/>
    </row>
    <row r="3465" spans="1:5">
      <c r="A3465" s="12" t="s">
        <v>12463</v>
      </c>
      <c r="B3465" s="12" t="s">
        <v>16175</v>
      </c>
      <c r="C3465" s="13" t="str">
        <f>HYPERLINK("https://audio.iskcondesiretree.com/02_-_ISKCON_Swamis/ISKCON_Swamis_-_R_to_Y/His_Holiness_Radhanath_Swami/Lectures/01_-_Theme_wise/Dhaams/05_-_Various_places_in_Mayapur/07_-_Gaur_Doha/01.Lecture_at_Gaur_Doha_-_Radhanath_Swami_2003_IDesireTree.mp3", "01.Lecture_at_Gaur_Doha_-_Radhanath_Swami_2003_IDesireTree.mp3")</f>
        <v>01.Lecture_at_Gaur_Doha_-_Radhanath_Swami_2003_IDesireTree.mp3</v>
      </c>
      <c r="D3465" s="11"/>
      <c r="E3465" s="11"/>
    </row>
    <row r="3466" spans="1:5">
      <c r="A3466" s="12" t="s">
        <v>12463</v>
      </c>
      <c r="B3466" s="12" t="s">
        <v>16176</v>
      </c>
      <c r="C3466" s="13" t="str">
        <f>HYPERLINK("https://audio.iskcondesiretree.com/02_-_ISKCON_Swamis/ISKCON_Swamis_-_R_to_Y/His_Holiness_Radhanath_Swami/Lectures/01_-_Theme_wise/Dhaams/05_-_Various_places_in_Mayapur/08_-_Jajigram/Pastimes_at_Jajigram_-_Radhanath_Swami_IDesireTree.mp3", "Pastimes_at_Jajigram_-_Radhanath_Swami_IDesireTree.mp3")</f>
        <v>Pastimes_at_Jajigram_-_Radhanath_Swami_IDesireTree.mp3</v>
      </c>
      <c r="D3466" s="11"/>
      <c r="E3466" s="11"/>
    </row>
    <row r="3467" spans="1:5">
      <c r="A3467" s="12" t="s">
        <v>12463</v>
      </c>
      <c r="B3467" s="12" t="s">
        <v>16177</v>
      </c>
      <c r="C3467" s="13" t="str">
        <f>HYPERLINK("https://audio.iskcondesiretree.com/02_-_ISKCON_Swamis/ISKCON_Swamis_-_R_to_Y/His_Holiness_Radhanath_Swami/Lectures/01_-_Theme_wise/Dhaams/05_-_Various_places_in_Mayapur/09_-_Kadam_Kanini/Lecture_at_Kadam_Kanini_-_Radhanath_Swami_2003_IDesireTree.mp3", "Lecture_at_Kadam_Kanini_-_Radhanath_Swami_2003_IDesireTree.mp3")</f>
        <v>Lecture_at_Kadam_Kanini_-_Radhanath_Swami_2003_IDesireTree.mp3</v>
      </c>
      <c r="D3467" s="11"/>
      <c r="E3467" s="11"/>
    </row>
    <row r="3468" spans="1:5">
      <c r="A3468" s="12" t="s">
        <v>12463</v>
      </c>
      <c r="B3468" s="12" t="s">
        <v>16178</v>
      </c>
      <c r="C3468" s="13" t="str">
        <f>HYPERLINK("https://audio.iskcondesiretree.com/02_-_ISKCON_Swamis/ISKCON_Swamis_-_R_to_Y/His_Holiness_Radhanath_Swami/Lectures/01_-_Theme_wise/Dhaams/05_-_Various_places_in_Mayapur/10_-_Kanainatshala/Pastimes_at_Kanainatshala_-_Radhanath_Swami_IDesireTree.mp3", "Pastimes_at_Kanainatshala_-_Radhanath_Swami_IDesireTree.mp3")</f>
        <v>Pastimes_at_Kanainatshala_-_Radhanath_Swami_IDesireTree.mp3</v>
      </c>
      <c r="D3468" s="11"/>
      <c r="E3468" s="11"/>
    </row>
    <row r="3469" spans="1:5">
      <c r="A3469" s="12" t="s">
        <v>12463</v>
      </c>
      <c r="B3469" s="12" t="s">
        <v>16179</v>
      </c>
      <c r="C3469" s="13" t="str">
        <f>HYPERLINK("https://audio.iskcondesiretree.com/02_-_ISKCON_Swamis/ISKCON_Swamis_-_R_to_Y/His_Holiness_Radhanath_Swami/Lectures/01_-_Theme_wise/Dhaams/05_-_Various_places_in_Mayapur/11_-_Mamghachi/House_of_Vrindavan_Das_Thakur_-_Modrum_Dwip_07-11-15_IDesireTree.mp3", "House_of_Vrindavan_Das_Thakur_-_Modrum_Dwip_07-11-15_IDesireTree.mp3")</f>
        <v>House_of_Vrindavan_Das_Thakur_-_Modrum_Dwip_07-11-15_IDesireTree.mp3</v>
      </c>
      <c r="D3469" s="11"/>
      <c r="E3469" s="11"/>
    </row>
    <row r="3470" spans="1:5">
      <c r="A3470" s="12" t="s">
        <v>12463</v>
      </c>
      <c r="B3470" s="12" t="s">
        <v>16180</v>
      </c>
      <c r="C3470" s="13" t="str">
        <f>HYPERLINK("https://audio.iskcondesiretree.com/02_-_ISKCON_Swamis/ISKCON_Swamis_-_R_to_Y/His_Holiness_Radhanath_Swami/Lectures/01_-_Theme_wise/Dhaams/05_-_Various_places_in_Mayapur/11_-_Mamghachi/Lecture_at_Mamghachi-01_-_Radhanath_Swami_2003_IDesireTree.mp3", "Lecture_at_Mamghachi-01_-_Radhanath_Swami_2003_IDesireTree.mp3")</f>
        <v>Lecture_at_Mamghachi-01_-_Radhanath_Swami_2003_IDesireTree.mp3</v>
      </c>
      <c r="D3470" s="11"/>
      <c r="E3470" s="11"/>
    </row>
    <row r="3471" spans="1:5">
      <c r="A3471" s="12" t="s">
        <v>12463</v>
      </c>
      <c r="B3471" s="12" t="s">
        <v>16181</v>
      </c>
      <c r="C3471" s="13" t="str">
        <f>HYPERLINK("https://audio.iskcondesiretree.com/02_-_ISKCON_Swamis/ISKCON_Swamis_-_R_to_Y/His_Holiness_Radhanath_Swami/Lectures/01_-_Theme_wise/Dhaams/05_-_Various_places_in_Mayapur/11_-_Mamghachi/Lecture_at_Mamghachi-02_-_Radhanath_Swami_2003_IDesireTree.mp3", "Lecture_at_Mamghachi-02_-_Radhanath_Swami_2003_IDesireTree.mp3")</f>
        <v>Lecture_at_Mamghachi-02_-_Radhanath_Swami_2003_IDesireTree.mp3</v>
      </c>
      <c r="D3471" s="11"/>
      <c r="E3471" s="11"/>
    </row>
    <row r="3472" spans="1:5">
      <c r="A3472" s="12" t="s">
        <v>12463</v>
      </c>
      <c r="B3472" s="12" t="s">
        <v>16182</v>
      </c>
      <c r="C3472" s="13" t="str">
        <f>HYPERLINK("https://audio.iskcondesiretree.com/02_-_ISKCON_Swamis/ISKCON_Swamis_-_R_to_Y/His_Holiness_Radhanath_Swami/Lectures/01_-_Theme_wise/Dhaams/05_-_Various_places_in_Mayapur/12_-_Phulia/01.%20Lecture_at_Phulia-01_-_Radhanath_Swami_2003_IDesireTree.mp3", "01.%20Lecture_at_Phulia-01_-_Radhanath_Swami_2003_IDesireTree.mp3")</f>
        <v>01.%20Lecture_at_Phulia-01_-_Radhanath_Swami_2003_IDesireTree.mp3</v>
      </c>
      <c r="D3472" s="11"/>
      <c r="E3472" s="11"/>
    </row>
    <row r="3473" spans="1:5">
      <c r="A3473" s="12" t="s">
        <v>12463</v>
      </c>
      <c r="B3473" s="12" t="s">
        <v>16183</v>
      </c>
      <c r="C3473" s="13" t="str">
        <f>HYPERLINK("https://audio.iskcondesiretree.com/02_-_ISKCON_Swamis/ISKCON_Swamis_-_R_to_Y/His_Holiness_Radhanath_Swami/Lectures/01_-_Theme_wise/Dhaams/05_-_Various_places_in_Mayapur/12_-_Phulia/01.%20Lecture_at_Phulia-02_-_Radhanath_Swami_2003_IDesireTree.mp3", "01.%20Lecture_at_Phulia-02_-_Radhanath_Swami_2003_IDesireTree.mp3")</f>
        <v>01.%20Lecture_at_Phulia-02_-_Radhanath_Swami_2003_IDesireTree.mp3</v>
      </c>
      <c r="D3473" s="11"/>
      <c r="E3473" s="11"/>
    </row>
    <row r="3474" spans="1:5">
      <c r="A3474" s="12" t="s">
        <v>12463</v>
      </c>
      <c r="B3474" s="12" t="s">
        <v>16184</v>
      </c>
      <c r="C3474" s="13" t="str">
        <f>HYPERLINK("https://audio.iskcondesiretree.com/02_-_ISKCON_Swamis/ISKCON_Swamis_-_R_to_Y/His_Holiness_Radhanath_Swami/Lectures/01_-_Theme_wise/Dhaams/05_-_Various_places_in_Mayapur/13_-_Ramkeli/Pastimes_at_Ramkeli_-_Radhanath_Swami_IDesireTree.mp3", "Pastimes_at_Ramkeli_-_Radhanath_Swami_IDesireTree.mp3")</f>
        <v>Pastimes_at_Ramkeli_-_Radhanath_Swami_IDesireTree.mp3</v>
      </c>
      <c r="D3474" s="11"/>
      <c r="E3474" s="11"/>
    </row>
    <row r="3475" spans="1:5">
      <c r="A3475" s="12" t="s">
        <v>12463</v>
      </c>
      <c r="B3475" s="12" t="s">
        <v>16185</v>
      </c>
      <c r="C3475" s="13" t="str">
        <f>HYPERLINK("https://audio.iskcondesiretree.com/02_-_ISKCON_Swamis/ISKCON_Swamis_-_R_to_Y/His_Holiness_Radhanath_Swami/Lectures/01_-_Theme_wise/Dhaams/05_-_Various_places_in_Mayapur/14_-_Shantipur/Lecture_at_Shantipur-01_-_Radhanath_Swami_2003_IDesireTree.mp3", "Lecture_at_Shantipur-01_-_Radhanath_Swami_2003_IDesireTree.mp3")</f>
        <v>Lecture_at_Shantipur-01_-_Radhanath_Swami_2003_IDesireTree.mp3</v>
      </c>
      <c r="D3475" s="11"/>
      <c r="E3475" s="11"/>
    </row>
    <row r="3476" spans="1:5">
      <c r="A3476" s="12" t="s">
        <v>12463</v>
      </c>
      <c r="B3476" s="12" t="s">
        <v>16186</v>
      </c>
      <c r="C3476" s="13" t="str">
        <f>HYPERLINK("https://audio.iskcondesiretree.com/02_-_ISKCON_Swamis/ISKCON_Swamis_-_R_to_Y/His_Holiness_Radhanath_Swami/Lectures/01_-_Theme_wise/Dhaams/05_-_Various_places_in_Mayapur/14_-_Shantipur/Lecture_at_Shantipur-02_-_Radhanath_Swami_2003_IDesireTree.mp3", "Lecture_at_Shantipur-02_-_Radhanath_Swami_2003_IDesireTree.mp3")</f>
        <v>Lecture_at_Shantipur-02_-_Radhanath_Swami_2003_IDesireTree.mp3</v>
      </c>
      <c r="D3476" s="11"/>
      <c r="E3476" s="11"/>
    </row>
    <row r="3477" spans="1:5">
      <c r="A3477" s="12" t="s">
        <v>12463</v>
      </c>
      <c r="B3477" s="12" t="s">
        <v>16187</v>
      </c>
      <c r="C3477" s="13" t="str">
        <f>HYPERLINK("https://audio.iskcondesiretree.com/02_-_ISKCON_Swamis/ISKCON_Swamis_-_R_to_Y/His_Holiness_Radhanath_Swami/Lectures/01_-_Theme_wise/Dhaams/05_-_Various_places_in_Mayapur/15_-_Srikhand/Lecture_at_Srikhanda-01_-_Radhanath_Swami_2003_IDesireeTree.mp3", "Lecture_at_Srikhanda-01_-_Radhanath_Swami_2003_IDesireeTree.mp3")</f>
        <v>Lecture_at_Srikhanda-01_-_Radhanath_Swami_2003_IDesireeTree.mp3</v>
      </c>
      <c r="D3477" s="11"/>
      <c r="E3477" s="11"/>
    </row>
    <row r="3478" spans="1:5">
      <c r="A3478" s="12" t="s">
        <v>12463</v>
      </c>
      <c r="B3478" s="12" t="s">
        <v>16188</v>
      </c>
      <c r="C3478" s="13" t="str">
        <f>HYPERLINK("https://audio.iskcondesiretree.com/02_-_ISKCON_Swamis/ISKCON_Swamis_-_R_to_Y/His_Holiness_Radhanath_Swami/Lectures/01_-_Theme_wise/Dhaams/05_-_Various_places_in_Mayapur/15_-_Srikhand/Lecture_at_Srikhanda-02_-_Radhanath_Swami_2003_IDesireeTree.mp3", "Lecture_at_Srikhanda-02_-_Radhanath_Swami_2003_IDesireeTree.mp3")</f>
        <v>Lecture_at_Srikhanda-02_-_Radhanath_Swami_2003_IDesireeTree.mp3</v>
      </c>
      <c r="D3478" s="11"/>
      <c r="E3478" s="11"/>
    </row>
    <row r="3479" spans="1:5">
      <c r="A3479" s="12" t="s">
        <v>12463</v>
      </c>
      <c r="B3479" s="12" t="s">
        <v>16189</v>
      </c>
      <c r="C3479" s="13" t="str">
        <f>HYPERLINK("https://audio.iskcondesiretree.com/02_-_ISKCON_Swamis/ISKCON_Swamis_-_R_to_Y/His_Holiness_Radhanath_Swami/Lectures/01_-_Theme_wise/Dhaams/05_-_Various_places_in_Mayapur/15_-_Srikhand/Lecture_at_Srivas_Angan-01_-_Radhanath_Swami_2003_IDesireTree.mp3", "Lecture_at_Srivas_Angan-01_-_Radhanath_Swami_2003_IDesireTree.mp3")</f>
        <v>Lecture_at_Srivas_Angan-01_-_Radhanath_Swami_2003_IDesireTree.mp3</v>
      </c>
      <c r="D3479" s="11"/>
      <c r="E3479" s="11"/>
    </row>
    <row r="3480" spans="1:5">
      <c r="A3480" s="12" t="s">
        <v>12463</v>
      </c>
      <c r="B3480" s="12" t="s">
        <v>16190</v>
      </c>
      <c r="C3480" s="13" t="str">
        <f>HYPERLINK("https://audio.iskcondesiretree.com/02_-_ISKCON_Swamis/ISKCON_Swamis_-_R_to_Y/His_Holiness_Radhanath_Swami/Lectures/01_-_Theme_wise/Dhaams/05_-_Various_places_in_Mayapur/15_-_Srikhand/Lecture_at_Srivas_Angan-02_-_Radhanath_Swami_2003_IDesireTree.mp3", "Lecture_at_Srivas_Angan-02_-_Radhanath_Swami_2003_IDesireTree.mp3")</f>
        <v>Lecture_at_Srivas_Angan-02_-_Radhanath_Swami_2003_IDesireTree.mp3</v>
      </c>
      <c r="D3480" s="11"/>
      <c r="E3480" s="11"/>
    </row>
    <row r="3481" spans="1:5">
      <c r="A3481" s="12" t="s">
        <v>12463</v>
      </c>
      <c r="B3481" s="12" t="s">
        <v>16191</v>
      </c>
      <c r="C3481" s="13" t="str">
        <f>HYPERLINK("https://audio.iskcondesiretree.com/02_-_ISKCON_Swamis/ISKCON_Swamis_-_R_to_Y/His_Holiness_Radhanath_Swami/Lectures/01_-_Theme_wise/Dhaams/05_-_Various_places_in_Mayapur/15_-_Srikhand/Lecture_at_Srivas_Angan-03_-_Radhanath_Swami_2003_IDesireTree.mp3", "Lecture_at_Srivas_Angan-03_-_Radhanath_Swami_2003_IDesireTree.mp3")</f>
        <v>Lecture_at_Srivas_Angan-03_-_Radhanath_Swami_2003_IDesireTree.mp3</v>
      </c>
      <c r="D3481" s="11"/>
      <c r="E3481" s="11"/>
    </row>
    <row r="3482" spans="1:5">
      <c r="A3482" s="12" t="s">
        <v>12463</v>
      </c>
      <c r="B3482" s="12" t="s">
        <v>16192</v>
      </c>
      <c r="C3482" s="13" t="str">
        <f>HYPERLINK("https://audio.iskcondesiretree.com/02_-_ISKCON_Swamis/ISKCON_Swamis_-_R_to_Y/His_Holiness_Radhanath_Swami/Lectures/01_-_Theme_wise/Dhaams/05_-_Various_places_in_Mayapur/15_-_Srikhand/Lecture_at_Srivas_Angan-04_-_Radhanath_Swami_2003_IDesireTree.mp3", "Lecture_at_Srivas_Angan-04_-_Radhanath_Swami_2003_IDesireTree.mp3")</f>
        <v>Lecture_at_Srivas_Angan-04_-_Radhanath_Swami_2003_IDesireTree.mp3</v>
      </c>
      <c r="D3482" s="11"/>
      <c r="E3482" s="11"/>
    </row>
    <row r="3483" spans="1:5">
      <c r="A3483" s="12" t="s">
        <v>12463</v>
      </c>
      <c r="B3483" s="12" t="s">
        <v>16193</v>
      </c>
      <c r="C3483" s="13" t="str">
        <f>HYPERLINK("https://audio.iskcondesiretree.com/02_-_ISKCON_Swamis/ISKCON_Swamis_-_R_to_Y/His_Holiness_Radhanath_Swami/Lectures/01_-_Theme_wise/Dhaams/05_-_Various_places_in_Mayapur/15_-_Srikhand/Lecture_at_Srivas_Angan-05_-_Radhanath_Swami_2003_IDesireTree.mp3", "Lecture_at_Srivas_Angan-05_-_Radhanath_Swami_2003_IDesireTree.mp3")</f>
        <v>Lecture_at_Srivas_Angan-05_-_Radhanath_Swami_2003_IDesireTree.mp3</v>
      </c>
      <c r="D3483" s="11"/>
      <c r="E3483" s="11"/>
    </row>
    <row r="3484" spans="1:5">
      <c r="A3484" s="12" t="s">
        <v>12463</v>
      </c>
      <c r="B3484" s="12" t="s">
        <v>16194</v>
      </c>
      <c r="C3484" s="13" t="str">
        <f>HYPERLINK("https://audio.iskcondesiretree.com/02_-_ISKCON_Swamis/ISKCON_Swamis_-_R_to_Y/His_Holiness_Radhanath_Swami/Lectures/01_-_Theme_wise/Dhaams/05_-_Various_places_in_Mayapur/15_-_Srikhand/Pastimes_at_Srikhanda_-_Radhanath_Swami_IDesireeTree.mp3", "Pastimes_at_Srikhanda_-_Radhanath_Swami_IDesireeTree.mp3")</f>
        <v>Pastimes_at_Srikhanda_-_Radhanath_Swami_IDesireeTree.mp3</v>
      </c>
      <c r="D3484" s="11"/>
      <c r="E3484" s="11"/>
    </row>
    <row r="3485" spans="1:5">
      <c r="A3485" s="12" t="s">
        <v>12463</v>
      </c>
      <c r="B3485" s="12" t="s">
        <v>16195</v>
      </c>
      <c r="C3485" s="13" t="str">
        <f>HYPERLINK("https://audio.iskcondesiretree.com/02_-_ISKCON_Swamis/ISKCON_Swamis_-_R_to_Y/His_Holiness_Radhanath_Swami/Lectures/01_-_Theme_wise/Dhaams/05_-_Various_places_in_Mayapur/16_-_Sridhar_Aangan/Lecture_at_Sridhar_Angaan_-_Radhanath_Swami_-_2003_IDesireTree.mp3", "Lecture_at_Sridhar_Angaan_-_Radhanath_Swami_-_2003_IDesireTree.mp3")</f>
        <v>Lecture_at_Sridhar_Angaan_-_Radhanath_Swami_-_2003_IDesireTree.mp3</v>
      </c>
      <c r="D3485" s="11"/>
      <c r="E3485" s="11"/>
    </row>
    <row r="3486" spans="1:5">
      <c r="A3486" s="12" t="s">
        <v>12463</v>
      </c>
      <c r="B3486" s="12" t="s">
        <v>16196</v>
      </c>
      <c r="C3486" s="13" t="str">
        <f>HYPERLINK("https://audio.iskcondesiretree.com/02_-_ISKCON_Swamis/ISKCON_Swamis_-_R_to_Y/His_Holiness_Radhanath_Swami/Lectures/01_-_Theme_wise/Dhaams/05_-_Various_places_in_Mayapur/17_-_Srinivas_Aangan/Pastimes_at_Srinivas_Angaan_-_Radhanath_Swami_IDesireTree.mp3", "Pastimes_at_Srinivas_Angaan_-_Radhanath_Swami_IDesireTree.mp3")</f>
        <v>Pastimes_at_Srinivas_Angaan_-_Radhanath_Swami_IDesireTree.mp3</v>
      </c>
      <c r="D3486" s="11"/>
      <c r="E3486" s="11"/>
    </row>
    <row r="3487" spans="1:5">
      <c r="A3487" s="12" t="s">
        <v>12463</v>
      </c>
      <c r="B3487" s="12" t="s">
        <v>16197</v>
      </c>
      <c r="C3487" s="13" t="str">
        <f>HYPERLINK("https://audio.iskcondesiretree.com/02_-_ISKCON_Swamis/ISKCON_Swamis_-_R_to_Y/His_Holiness_Radhanath_Swami/Lectures/01_-_Theme_wise/Dhaams/05_-_Various_places_in_Mayapur/18_-_Surbhi_Kunj/Pastimes_at_Surbhi_Kunj_-_Radhanath_Swami_IDesireTree.mp3", "Pastimes_at_Surbhi_Kunj_-_Radhanath_Swami_IDesireTree.mp3")</f>
        <v>Pastimes_at_Surbhi_Kunj_-_Radhanath_Swami_IDesireTree.mp3</v>
      </c>
      <c r="D3487" s="11"/>
      <c r="E3487" s="11"/>
    </row>
    <row r="3488" spans="1:5">
      <c r="A3488" s="12" t="s">
        <v>12463</v>
      </c>
      <c r="B3488" s="12" t="s">
        <v>16198</v>
      </c>
      <c r="C3488" s="13" t="str">
        <f>HYPERLINK("https://audio.iskcondesiretree.com/02_-_ISKCON_Swamis/ISKCON_Swamis_-_R_to_Y/His_Holiness_Radhanath_Swami/Lectures/01_-_Theme_wise/Dhaams/05_-_Various_places_in_Mayapur/19_-_Temples/Lecture_at_Candrodaya_Temple-01_-_Radhanath_Swami_2003_IDesireTree.mp3", "Lecture_at_Candrodaya_Temple-01_-_Radhanath_Swami_2003_IDesireTree.mp3")</f>
        <v>Lecture_at_Candrodaya_Temple-01_-_Radhanath_Swami_2003_IDesireTree.mp3</v>
      </c>
      <c r="D3488" s="11"/>
      <c r="E3488" s="11"/>
    </row>
    <row r="3489" spans="1:5">
      <c r="A3489" s="12" t="s">
        <v>12463</v>
      </c>
      <c r="B3489" s="12" t="s">
        <v>16199</v>
      </c>
      <c r="C3489" s="13" t="str">
        <f>HYPERLINK("https://audio.iskcondesiretree.com/02_-_ISKCON_Swamis/ISKCON_Swamis_-_R_to_Y/His_Holiness_Radhanath_Swami/Lectures/01_-_Theme_wise/Dhaams/05_-_Various_places_in_Mayapur/19_-_Temples/Lecture_at_Candrodaya_Temple-02_-_Radhanath_Swami_2003_IDesireTree.mp3", "Lecture_at_Candrodaya_Temple-02_-_Radhanath_Swami_2003_IDesireTree.mp3")</f>
        <v>Lecture_at_Candrodaya_Temple-02_-_Radhanath_Swami_2003_IDesireTree.mp3</v>
      </c>
      <c r="D3489" s="11"/>
      <c r="E3489" s="11"/>
    </row>
    <row r="3490" spans="1:5">
      <c r="A3490" s="12" t="s">
        <v>12463</v>
      </c>
      <c r="B3490" s="12" t="s">
        <v>16200</v>
      </c>
      <c r="C3490" s="13" t="str">
        <f>HYPERLINK("https://audio.iskcondesiretree.com/02_-_ISKCON_Swamis/ISKCON_Swamis_-_R_to_Y/His_Holiness_Radhanath_Swami/Lectures/01_-_Theme_wise/Dhaams/05_-_Various_places_in_Mayapur/20_-_Vidyanagar/Lecture_at_Vidyanagar_-_Radhanath_Swami_2003_IDesireTree.mp3", "Lecture_at_Vidyanagar_-_Radhanath_Swami_2003_IDesireTree.mp3")</f>
        <v>Lecture_at_Vidyanagar_-_Radhanath_Swami_2003_IDesireTree.mp3</v>
      </c>
      <c r="D3490" s="11"/>
      <c r="E3490" s="11"/>
    </row>
    <row r="3491" spans="1:5">
      <c r="A3491" s="12" t="s">
        <v>12463</v>
      </c>
      <c r="B3491" s="12" t="s">
        <v>16201</v>
      </c>
      <c r="C3491" s="13" t="str">
        <f>HYPERLINK("https://audio.iskcondesiretree.com/02_-_ISKCON_Swamis/ISKCON_Swamis_-_R_to_Y/His_Holiness_Radhanath_Swami/Lectures/01_-_Theme_wise/Dhaams/05_-_Various_places_in_Mayapur/20_-_Vidyanagar/Pastimes_at_Vidhyanagar_and_Champahati.mp3", "Pastimes_at_Vidhyanagar_and_Champahati.mp3")</f>
        <v>Pastimes_at_Vidhyanagar_and_Champahati.mp3</v>
      </c>
      <c r="D3491" s="11"/>
      <c r="E3491" s="11"/>
    </row>
    <row r="3492" spans="1:5">
      <c r="A3492" s="12" t="s">
        <v>12463</v>
      </c>
      <c r="B3492" s="12" t="s">
        <v>16202</v>
      </c>
      <c r="C3492" s="13" t="str">
        <f>HYPERLINK("https://audio.iskcondesiretree.com/02_-_ISKCON_Swamis/ISKCON_Swamis_-_R_to_Y/His_Holiness_Radhanath_Swami/Lectures/01_-_Theme_wise/Dhaams/05_-_Various_places_in_Mayapur/21_-_Madhyam_Dwip/Lecture_at_Madhyam_Dvip_-_Radhanath_Swami_2007-11-08_IDesireTree.MP3", "Lecture_at_Madhyam_Dvip_-_Radhanath_Swami_2007-11-08_IDesireTree.MP3")</f>
        <v>Lecture_at_Madhyam_Dvip_-_Radhanath_Swami_2007-11-08_IDesireTree.MP3</v>
      </c>
      <c r="D3492" s="11"/>
      <c r="E3492" s="11"/>
    </row>
    <row r="3493" spans="1:5">
      <c r="A3493" s="12" t="s">
        <v>12463</v>
      </c>
      <c r="B3493" s="12" t="s">
        <v>16203</v>
      </c>
      <c r="C3493" s="13" t="str">
        <f>HYPERLINK("https://audio.iskcondesiretree.com/02_-_ISKCON_Swamis/ISKCON_Swamis_-_R_to_Y/His_Holiness_Radhanath_Swami/Lectures/01_-_Theme_wise/Dhaams/05_-_Various_places_in_Mayapur/22_-_Yogapith/Childhood_Pastimes_of_Nimai-01_-_2003_Yogapith_IDesireTree.mp3", "Childhood_Pastimes_of_Nimai-01_-_2003_Yogapith_IDesireTree.mp3")</f>
        <v>Childhood_Pastimes_of_Nimai-01_-_2003_Yogapith_IDesireTree.mp3</v>
      </c>
      <c r="D3493" s="11"/>
      <c r="E3493" s="11"/>
    </row>
    <row r="3494" spans="1:5">
      <c r="A3494" s="12" t="s">
        <v>12463</v>
      </c>
      <c r="B3494" s="12" t="s">
        <v>16204</v>
      </c>
      <c r="C3494" s="13" t="str">
        <f>HYPERLINK("https://audio.iskcondesiretree.com/02_-_ISKCON_Swamis/ISKCON_Swamis_-_R_to_Y/His_Holiness_Radhanath_Swami/Lectures/01_-_Theme_wise/Dhaams/05_-_Various_places_in_Mayapur/22_-_Yogapith/Childhood_Pastimes_of_Nimai-02_-_2003_Yogapith_IDesireTree.mp3", "Childhood_Pastimes_of_Nimai-02_-_2003_Yogapith_IDesireTree.mp3")</f>
        <v>Childhood_Pastimes_of_Nimai-02_-_2003_Yogapith_IDesireTree.mp3</v>
      </c>
      <c r="D3494" s="11"/>
      <c r="E3494" s="11"/>
    </row>
    <row r="3495" spans="1:5">
      <c r="A3495" s="12" t="s">
        <v>12463</v>
      </c>
      <c r="B3495" s="12" t="s">
        <v>16205</v>
      </c>
      <c r="C3495" s="13" t="str">
        <f>HYPERLINK("https://audio.iskcondesiretree.com/02_-_ISKCON_Swamis/ISKCON_Swamis_-_R_to_Y/His_Holiness_Radhanath_Swami/Lectures/01_-_Theme_wise/Dhaams/05_-_Various_places_in_Mayapur/22_-_Yogapith/Childhood_Pastimes_of_Nimai-03_-_2003_Yogapith_IDesireTree.mp3", "Childhood_Pastimes_of_Nimai-03_-_2003_Yogapith_IDesireTree.mp3")</f>
        <v>Childhood_Pastimes_of_Nimai-03_-_2003_Yogapith_IDesireTree.mp3</v>
      </c>
      <c r="D3495" s="11"/>
      <c r="E3495" s="11"/>
    </row>
    <row r="3496" spans="1:5">
      <c r="A3496" s="12" t="s">
        <v>12463</v>
      </c>
      <c r="B3496" s="12" t="s">
        <v>16206</v>
      </c>
      <c r="C3496" s="13" t="str">
        <f>HYPERLINK("https://audio.iskcondesiretree.com/02_-_ISKCON_Swamis/ISKCON_Swamis_-_R_to_Y/His_Holiness_Radhanath_Swami/Lectures/01_-_Theme_wise/Dhaams/05_-_Various_places_in_Mayapur/22_-_Yogapith/Childhood_Pastimes_of_Nimai-04_-_2003_Yogapith_IDesireTree.mp3", "Childhood_Pastimes_of_Nimai-04_-_2003_Yogapith_IDesireTree.mp3")</f>
        <v>Childhood_Pastimes_of_Nimai-04_-_2003_Yogapith_IDesireTree.mp3</v>
      </c>
      <c r="D3496" s="11"/>
      <c r="E3496" s="11"/>
    </row>
    <row r="3497" spans="1:5">
      <c r="A3497" s="12" t="s">
        <v>12463</v>
      </c>
      <c r="B3497" s="12" t="s">
        <v>16207</v>
      </c>
      <c r="C3497" s="13" t="str">
        <f>HYPERLINK("https://audio.iskcondesiretree.com/02_-_ISKCON_Swamis/ISKCON_Swamis_-_R_to_Y/His_Holiness_Radhanath_Swami/Lectures/01_-_Theme_wise/Dhaams/05_-_Various_places_in_Mayapur/22_-_Yogapith/Jaya_Jaya_Jagannath_-_07-11-05_Yogapith_IDesireTree.mp3", "Jaya_Jaya_Jagannath_-_07-11-05_Yogapith_IDesireTree.mp3")</f>
        <v>Jaya_Jaya_Jagannath_-_07-11-05_Yogapith_IDesireTree.mp3</v>
      </c>
      <c r="D3497" s="11"/>
      <c r="E3497" s="11"/>
    </row>
    <row r="3498" spans="1:5">
      <c r="A3498" s="12" t="s">
        <v>12463</v>
      </c>
      <c r="B3498" s="12" t="e">
        <v>#VALUE!</v>
      </c>
      <c r="C3498" s="13" t="e">
        <f>HYPERLINK("https://audio.iskcondesiretree.com/02_-_ISKCON_Swamis/ISKCON_Swamis_-_R_to_Y/His_Holiness_Radhanath_Swami/Lectures/01_-_Theme_wise/Dhaams/06_-_Lectures_at_various_place_in_Puri/01.Lord_Caitanya%27s_Pastimes_at_Gambira_-_2006-06-30_Radhanath_Swami%2030-06-"&amp;"06.mp3", "06_-_Lectures_at_various_place_in_Puri")</f>
        <v>#VALUE!</v>
      </c>
      <c r="D3498" s="11"/>
      <c r="E3498" s="11"/>
    </row>
    <row r="3499" spans="1:5">
      <c r="A3499" s="12" t="s">
        <v>12463</v>
      </c>
      <c r="B3499" s="12" t="s">
        <v>16208</v>
      </c>
      <c r="C3499" s="13" t="str">
        <f>HYPERLINK("https://audio.iskcondesiretree.com/02_-_ISKCON_Swamis/ISKCON_Swamis_-_R_to_Y/His_Holiness_Radhanath_Swami/Lectures/01_-_Theme_wise/Dhaams/06_-_Lectures_at_various_place_in_Puri/02.Lord_Performing_Pastimes_at_Kamalpur_and_Attarnala.mp3", "06_-_Lectures_at_various_place_in_Puri")</f>
        <v>06_-_Lectures_at_various_place_in_Puri</v>
      </c>
      <c r="D3499" s="11"/>
      <c r="E3499" s="11"/>
    </row>
    <row r="3500" spans="1:5">
      <c r="A3500" s="12" t="s">
        <v>12463</v>
      </c>
      <c r="B3500" s="12" t="s">
        <v>16208</v>
      </c>
      <c r="C3500" s="13" t="str">
        <f>HYPERLINK("https://audio.iskcondesiretree.com/02_-_ISKCON_Swamis/ISKCON_Swamis_-_R_to_Y/His_Holiness_Radhanath_Swami/Lectures/01_-_Theme_wise/Dhaams/06_-_Lectures_at_various_place_in_Puri/03.Pastimes_at_the_House_of_Sarvabhauma_Bhattacarya.mp3", "06_-_Lectures_at_various_place_in_Puri")</f>
        <v>06_-_Lectures_at_various_place_in_Puri</v>
      </c>
      <c r="D3500" s="11"/>
      <c r="E3500" s="11"/>
    </row>
    <row r="3501" spans="1:5">
      <c r="A3501" s="12" t="s">
        <v>12463</v>
      </c>
      <c r="B3501" s="12" t="s">
        <v>16208</v>
      </c>
      <c r="C3501" s="13" t="str">
        <f>HYPERLINK("https://audio.iskcondesiretree.com/02_-_ISKCON_Swamis/ISKCON_Swamis_-_R_to_Y/His_Holiness_Radhanath_Swami/Lectures/01_-_Theme_wise/Dhaams/06_-_Lectures_at_various_place_in_Puri/04.Pastimes_at_Narendra_Sarovar_-_Radhanath_Swami_IDesireTree.mp3", "06_-_Lectures_at_various_place_in_Puri")</f>
        <v>06_-_Lectures_at_various_place_in_Puri</v>
      </c>
      <c r="D3501" s="11"/>
      <c r="E3501" s="11"/>
    </row>
    <row r="3502" spans="1:5">
      <c r="A3502" s="12" t="s">
        <v>12463</v>
      </c>
      <c r="B3502" s="12" t="e">
        <v>#VALUE!</v>
      </c>
      <c r="C3502" s="13" t="e">
        <f>HYPERLINK("https://audio.iskcondesiretree.com/02_-_ISKCON_Swamis/ISKCON_Swamis_-_R_to_Y/His_Holiness_Radhanath_Swami/Lectures/01_-_Theme_wise/Dhaams/06_-_Lectures_at_various_place_in_Puri/05.%20The_Residence_of_Lord_Chaitanya-Gambhira_-_Radhanath_Swami_IDesireTree.m"&amp;"p3", "06_-_Lectures_at_various_place_in_Puri")</f>
        <v>#VALUE!</v>
      </c>
      <c r="D3502" s="11"/>
      <c r="E3502" s="11"/>
    </row>
    <row r="3503" spans="1:5">
      <c r="A3503" s="12" t="s">
        <v>12463</v>
      </c>
      <c r="B3503" s="12" t="s">
        <v>16208</v>
      </c>
      <c r="C3503" s="13" t="str">
        <f>HYPERLINK("https://audio.iskcondesiretree.com/02_-_ISKCON_Swamis/ISKCON_Swamis_-_R_to_Y/His_Holiness_Radhanath_Swami/Lectures/01_-_Theme_wise/Dhaams/06_-_Lectures_at_various_place_in_Puri/06.%20Pastimes_at_Chataka_parvat_-_Radhanath_Swami_IDesireTree.mp3", "06_-_Lectures_at_various_place_in_Puri")</f>
        <v>06_-_Lectures_at_various_place_in_Puri</v>
      </c>
      <c r="D3503" s="11"/>
      <c r="E3503" s="11"/>
    </row>
    <row r="3504" spans="1:5">
      <c r="A3504" s="12" t="s">
        <v>12463</v>
      </c>
      <c r="B3504" s="12" t="s">
        <v>16208</v>
      </c>
      <c r="C3504" s="13" t="str">
        <f>HYPERLINK("https://audio.iskcondesiretree.com/02_-_ISKCON_Swamis/ISKCON_Swamis_-_R_to_Y/His_Holiness_Radhanath_Swami/Lectures/01_-_Theme_wise/Dhaams/06_-_Lectures_at_various_place_in_Puri/07.%20Totagopinath_-_Radhanath_Swami_IDesireTree.mp3", "06_-_Lectures_at_various_place_in_Puri")</f>
        <v>06_-_Lectures_at_various_place_in_Puri</v>
      </c>
      <c r="D3504" s="11"/>
      <c r="E3504" s="11"/>
    </row>
    <row r="3505" spans="1:5">
      <c r="A3505" s="12" t="s">
        <v>12463</v>
      </c>
      <c r="B3505" s="12" t="e">
        <v>#VALUE!</v>
      </c>
      <c r="C3505" s="13" t="e">
        <f>HYPERLINK("https://audio.iskcondesiretree.com/02_-_ISKCON_Swamis/ISKCON_Swamis_-_R_to_Y/His_Holiness_Radhanath_Swami/Lectures/01_-_Theme_wise/Dhaams/06_-_Lectures_at_various_place_in_Puri/08%20-%20Pastimes%20at%20Jagannath%20Vallabh%20Garden%20%26%20Gundicha%20Templ"&amp;"e.mp3", "06_-_Lectures_at_various_place_in_Puri")</f>
        <v>#VALUE!</v>
      </c>
      <c r="D3505" s="11"/>
      <c r="E3505" s="11"/>
    </row>
    <row r="3506" spans="1:5">
      <c r="A3506" s="12" t="s">
        <v>12463</v>
      </c>
      <c r="B3506" s="12" t="s">
        <v>16208</v>
      </c>
      <c r="C3506" s="13" t="str">
        <f>HYPERLINK("https://audio.iskcondesiretree.com/02_-_ISKCON_Swamis/ISKCON_Swamis_-_R_to_Y/His_Holiness_Radhanath_Swami/Lectures/01_-_Theme_wise/Dhaams/06_-_Lectures_at_various_place_in_Puri/09.%20Pastimes_at_Indradumna_Sarovar_-_Radhanath_Swami_IDesireTree.mp3", "06_-_Lectures_at_various_place_in_Puri")</f>
        <v>06_-_Lectures_at_various_place_in_Puri</v>
      </c>
      <c r="D3506" s="11"/>
      <c r="E3506" s="11"/>
    </row>
    <row r="3507" spans="1:5">
      <c r="A3507" s="12" t="s">
        <v>12463</v>
      </c>
      <c r="B3507" s="12" t="s">
        <v>16209</v>
      </c>
      <c r="C3507" s="13" t="str">
        <f>HYPERLINK("https://audio.iskcondesiretree.com/02_-_ISKCON_Swamis/ISKCON_Swamis_-_R_to_Y/His_Holiness_Radhanath_Swami/Lectures/01_-_Theme_wise/Dhaams/07_-_Various_places_in_South_India/01_-_Kanchipuram/01_Alavandaar_The_King_Becomes_a_Saint-Yamunacarya.mp3", "07_-_Various_places_in_South_India")</f>
        <v>07_-_Various_places_in_South_India</v>
      </c>
      <c r="D3507" s="11"/>
      <c r="E3507" s="11"/>
    </row>
    <row r="3508" spans="1:5">
      <c r="A3508" s="12" t="s">
        <v>12463</v>
      </c>
      <c r="B3508" s="12" t="s">
        <v>16209</v>
      </c>
      <c r="C3508" s="13" t="str">
        <f>HYPERLINK("https://audio.iskcondesiretree.com/02_-_ISKCON_Swamis/ISKCON_Swamis_-_R_to_Y/His_Holiness_Radhanath_Swami/Lectures/01_-_Theme_wise/Dhaams/07_-_Various_places_in_South_India/01_-_Kanchipuram/02_Defeat_Of_Yadavprakash_%26_Varadraj_Directs_Ramanuja.mp3", "07_-_Various_places_in_South_India")</f>
        <v>07_-_Various_places_in_South_India</v>
      </c>
      <c r="D3508" s="11"/>
      <c r="E3508" s="11"/>
    </row>
    <row r="3509" spans="1:5">
      <c r="A3509" s="12" t="s">
        <v>12463</v>
      </c>
      <c r="B3509" s="12" t="s">
        <v>16209</v>
      </c>
      <c r="C3509" s="13" t="str">
        <f>HYPERLINK("https://audio.iskcondesiretree.com/02_-_ISKCON_Swamis/ISKCON_Swamis_-_R_to_Y/His_Holiness_Radhanath_Swami/Lectures/01_-_Theme_wise/Dhaams/07_-_Various_places_in_South_India/01_-_Kanchipuram/03_Ramanuja_Accepts_Sannyas_-_Radhanath_Swami_IDesireTree.mp3", "07_-_Various_places_in_South_India")</f>
        <v>07_-_Various_places_in_South_India</v>
      </c>
      <c r="D3509" s="11"/>
      <c r="E3509" s="11"/>
    </row>
    <row r="3510" spans="1:5">
      <c r="A3510" s="12" t="s">
        <v>12463</v>
      </c>
      <c r="B3510" s="12" t="s">
        <v>16209</v>
      </c>
      <c r="C3510" s="13" t="str">
        <f>HYPERLINK("https://audio.iskcondesiretree.com/02_-_ISKCON_Swamis/ISKCON_Swamis_-_R_to_Y/His_Holiness_Radhanath_Swami/Lectures/01_-_Theme_wise/Dhaams/07_-_Various_places_in_South_India/01_-_Kanchipuram/04_Kanchipurna%27s_Loving_Relation_With_Lord_Vardaraj.mp3", "07_-_Various_places_in_South_India")</f>
        <v>07_-_Various_places_in_South_India</v>
      </c>
      <c r="D3510" s="11"/>
      <c r="E3510" s="11"/>
    </row>
    <row r="3511" spans="1:5">
      <c r="A3511" s="12" t="s">
        <v>12463</v>
      </c>
      <c r="B3511" s="12" t="e">
        <v>#VALUE!</v>
      </c>
      <c r="C3511" s="13" t="e">
        <f>HYPERLINK("https://audio.iskcondesiretree.com/02_-_ISKCON_Swamis/ISKCON_Swamis_-_R_to_Y/His_Holiness_Radhanath_Swami/Lectures/01_-_Theme_wise/Dhaams/07_-_Various_places_in_South_India/02_-_Madurai/01_Significance_of_Darbha_Shayana_lecture_at_Tirupallani_-_Radhanath_"&amp;"Swami.mp3", "07_-_Various_places_in_South_India")</f>
        <v>#VALUE!</v>
      </c>
      <c r="D3511" s="11"/>
      <c r="E3511" s="11"/>
    </row>
    <row r="3512" spans="1:5">
      <c r="A3512" s="12" t="s">
        <v>12463</v>
      </c>
      <c r="B3512" s="12" t="s">
        <v>16209</v>
      </c>
      <c r="C3512" s="13" t="str">
        <f>HYPERLINK("https://audio.iskcondesiretree.com/02_-_ISKCON_Swamis/ISKCON_Swamis_-_R_to_Y/His_Holiness_Radhanath_Swami/Lectures/01_-_Theme_wise/Dhaams/07_-_Various_places_in_South_India/03_-_Rameshwaram/02_-_Mighty_Hanuman%27s_Mighty_Deeds_-_Radhanath_Swami.mp3", "07_-_Various_places_in_South_India")</f>
        <v>07_-_Various_places_in_South_India</v>
      </c>
      <c r="D3512" s="11"/>
      <c r="E3512" s="11"/>
    </row>
    <row r="3513" spans="1:5">
      <c r="A3513" s="12" t="s">
        <v>12463</v>
      </c>
      <c r="B3513" s="12" t="e">
        <v>#VALUE!</v>
      </c>
      <c r="C3513" s="13" t="e">
        <f>HYPERLINK("https://audio.iskcondesiretree.com/02_-_ISKCON_Swamis/ISKCON_Swamis_-_R_to_Y/His_Holiness_Radhanath_Swami/Lectures/01_-_Theme_wise/Dhaams/07_-_Various_places_in_South_India/03_-_Rameshwaram/03_-_Vibhishana%27s_Advice_To_Ravana%27s_Plot_-_Radhanath_Swami.m"&amp;"p3", "07_-_Various_places_in_South_India")</f>
        <v>#VALUE!</v>
      </c>
      <c r="D3513" s="11"/>
      <c r="E3513" s="11"/>
    </row>
    <row r="3514" spans="1:5">
      <c r="A3514" s="12" t="s">
        <v>12463</v>
      </c>
      <c r="B3514" s="12" t="s">
        <v>16209</v>
      </c>
      <c r="C3514" s="13" t="str">
        <f>HYPERLINK("https://audio.iskcondesiretree.com/02_-_ISKCON_Swamis/ISKCON_Swamis_-_R_to_Y/His_Holiness_Radhanath_Swami/Lectures/01_-_Theme_wise/Dhaams/07_-_Various_places_in_South_India/03_-_Rameshwaram/04_-_Vibhishana_Surrenders_to_Lord_Rama_-_Radhanath_Swami.mp3", "07_-_Various_places_in_South_India")</f>
        <v>07_-_Various_places_in_South_India</v>
      </c>
      <c r="D3514" s="11"/>
      <c r="E3514" s="11"/>
    </row>
    <row r="3515" spans="1:5">
      <c r="A3515" s="12" t="s">
        <v>12463</v>
      </c>
      <c r="B3515" s="12" t="s">
        <v>16209</v>
      </c>
      <c r="C3515" s="13" t="str">
        <f>HYPERLINK("https://audio.iskcondesiretree.com/02_-_ISKCON_Swamis/ISKCON_Swamis_-_R_to_Y/His_Holiness_Radhanath_Swami/Lectures/01_-_Theme_wise/Dhaams/07_-_Various_places_in_South_India/03_-_Rameshwaram/05_-_Sacrifice_of_Lord_Laksman_-_Radhanath_Swami_IDesireTree.mp3", "07_-_Various_places_in_South_India")</f>
        <v>07_-_Various_places_in_South_India</v>
      </c>
      <c r="D3515" s="11"/>
      <c r="E3515" s="11"/>
    </row>
    <row r="3516" spans="1:5">
      <c r="A3516" s="12" t="s">
        <v>12463</v>
      </c>
      <c r="B3516" s="12" t="e">
        <v>#VALUE!</v>
      </c>
      <c r="C3516" s="13" t="e">
        <f>HYPERLINK("https://audio.iskcondesiretree.com/02_-_ISKCON_Swamis/ISKCON_Swamis_-_R_to_Y/His_Holiness_Radhanath_Swami/Lectures/01_-_Theme_wise/Dhaams/07_-_Various_places_in_South_India/03_-_Rameshwaram/06_-_Glories_Of_King_Kulashekar_%26_Andal_Alwar_-_Radhanath_Swami"&amp;".mp3", "07_-_Various_places_in_South_India")</f>
        <v>#VALUE!</v>
      </c>
      <c r="D3516" s="11"/>
      <c r="E3516" s="11"/>
    </row>
    <row r="3517" spans="1:5">
      <c r="A3517" s="12" t="s">
        <v>12463</v>
      </c>
      <c r="B3517" s="12" t="s">
        <v>16209</v>
      </c>
      <c r="C3517" s="13" t="str">
        <f>HYPERLINK("https://audio.iskcondesiretree.com/02_-_ISKCON_Swamis/ISKCON_Swamis_-_R_to_Y/His_Holiness_Radhanath_Swami/Lectures/01_-_Theme_wise/Dhaams/07_-_Various_places_in_South_India/03_-_Rameshwaram/07_-_Summary_of_Mahaprabhu%27s_Further_Tour_of_South_India.mp3", "07_-_Various_places_in_South_India")</f>
        <v>07_-_Various_places_in_South_India</v>
      </c>
      <c r="D3517" s="11"/>
      <c r="E3517" s="11"/>
    </row>
    <row r="3518" spans="1:5">
      <c r="A3518" s="12" t="s">
        <v>12463</v>
      </c>
      <c r="B3518" s="12" t="s">
        <v>16209</v>
      </c>
      <c r="C3518" s="13" t="str">
        <f>HYPERLINK("https://audio.iskcondesiretree.com/02_-_ISKCON_Swamis/ISKCON_Swamis_-_R_to_Y/His_Holiness_Radhanath_Swami/Lectures/01_-_Theme_wise/Dhaams/07_-_Various_places_in_South_India/04_-_Sri_Rangam/01_History_of_the_Sri_Rangam_Temple_-_Radhanath_Swami.mp3", "07_-_Various_places_in_South_India")</f>
        <v>07_-_Various_places_in_South_India</v>
      </c>
      <c r="D3518" s="11"/>
      <c r="E3518" s="11"/>
    </row>
    <row r="3519" spans="1:5">
      <c r="A3519" s="12" t="s">
        <v>12463</v>
      </c>
      <c r="B3519" s="12" t="s">
        <v>16209</v>
      </c>
      <c r="C3519" s="13" t="str">
        <f>HYPERLINK("https://audio.iskcondesiretree.com/02_-_ISKCON_Swamis/ISKCON_Swamis_-_R_to_Y/His_Holiness_Radhanath_Swami/Lectures/01_-_Theme_wise/Dhaams/07_-_Various_places_in_South_India/04_-_Sri_Rangam/02_Mahaprabhu_Begins_his_South_India_Tour_-_Radhanath_Swami.mp3", "07_-_Various_places_in_South_India")</f>
        <v>07_-_Various_places_in_South_India</v>
      </c>
      <c r="D3519" s="11"/>
      <c r="E3519" s="11"/>
    </row>
    <row r="3520" spans="1:5">
      <c r="A3520" s="12" t="s">
        <v>12463</v>
      </c>
      <c r="B3520" s="12" t="s">
        <v>16209</v>
      </c>
      <c r="C3520" s="13" t="str">
        <f>HYPERLINK("https://audio.iskcondesiretree.com/02_-_ISKCON_Swamis/ISKCON_Swamis_-_R_to_Y/His_Holiness_Radhanath_Swami/Lectures/01_-_Theme_wise/Dhaams/07_-_Various_places_in_South_India/04_-_Sri_Rangam/03_Ramanuja%27s_pastimes_Sri_Rangam_-_Radhanath_Swami.mp3", "07_-_Various_places_in_South_India")</f>
        <v>07_-_Various_places_in_South_India</v>
      </c>
      <c r="D3520" s="11"/>
      <c r="E3520" s="11"/>
    </row>
    <row r="3521" spans="1:5">
      <c r="A3521" s="12" t="s">
        <v>12463</v>
      </c>
      <c r="B3521" s="12" t="e">
        <v>#VALUE!</v>
      </c>
      <c r="C3521" s="13" t="e">
        <f>HYPERLINK("https://audio.iskcondesiretree.com/02_-_ISKCON_Swamis/ISKCON_Swamis_-_R_to_Y/His_Holiness_Radhanath_Swami/Lectures/01_-_Theme_wise/Dhaams/07_-_Various_places_in_South_India/04_-_Sri_Rangam/04_Mahaprabhu%27s_Stay_at_Venkata_Bhatt%27s_House_-_Radhanath_Swam"&amp;"i.mp3", "07_-_Various_places_in_South_India")</f>
        <v>#VALUE!</v>
      </c>
      <c r="D3521" s="11"/>
      <c r="E3521" s="11"/>
    </row>
    <row r="3522" spans="1:5">
      <c r="A3522" s="12" t="s">
        <v>12463</v>
      </c>
      <c r="B3522" s="12" t="e">
        <v>#VALUE!</v>
      </c>
      <c r="C3522" s="13" t="e">
        <f>HYPERLINK("https://audio.iskcondesiretree.com/02_-_ISKCON_Swamis/ISKCON_Swamis_-_R_to_Y/His_Holiness_Radhanath_Swami/Lectures/01_-_Theme_wise/Dhaams/07_-_Various_places_in_South_India/04_-_Sri_Rangam/05_Sri_Rangakshetra-The_Place_of_Selfless_Service_-_Radhanath_Sw.m"&amp;"p3", "07_-_Various_places_in_South_India")</f>
        <v>#VALUE!</v>
      </c>
      <c r="D3522" s="11"/>
      <c r="E3522" s="11"/>
    </row>
    <row r="3523" spans="1:5">
      <c r="A3523" s="12" t="s">
        <v>12463</v>
      </c>
      <c r="B3523" s="12" t="e">
        <v>#VALUE!</v>
      </c>
      <c r="C3523" s="13" t="e">
        <f>HYPERLINK("https://audio.iskcondesiretree.com/02_-_ISKCON_Swamis/ISKCON_Swamis_-_R_to_Y/His_Holiness_Radhanath_Swami/Lectures/01_-_Theme_wise/Dhaams/07_-_Various_places_in_South_India/04_-_Sri_Rangam/06_Lord_Nityananda_Prabhu%27s_Journey_to_Navadvipa_-_Radhanath_Sw."&amp;"mp3", "07_-_Various_places_in_South_India")</f>
        <v>#VALUE!</v>
      </c>
      <c r="D3523" s="11"/>
      <c r="E3523" s="11"/>
    </row>
    <row r="3524" spans="1:5">
      <c r="A3524" s="12" t="s">
        <v>12463</v>
      </c>
      <c r="B3524" s="12" t="e">
        <v>#VALUE!</v>
      </c>
      <c r="C3524" s="13" t="e">
        <f>HYPERLINK("https://audio.iskcondesiretree.com/02_-_ISKCON_Swamis/ISKCON_Swamis_-_R_to_Y/His_Holiness_Radhanath_Swami/Lectures/01_-_Theme_wise/Dhaams/07_-_Various_places_in_South_India/05_-_Tirupati/01_-_Lord_Srinivas%27s_Separation_for_Lakshmi_Devi_-_Radhanath_Swami"&amp;".mp3", "07_-_Various_places_in_South_India")</f>
        <v>#VALUE!</v>
      </c>
      <c r="D3524" s="11"/>
      <c r="E3524" s="11"/>
    </row>
    <row r="3525" spans="1:5">
      <c r="A3525" s="12" t="s">
        <v>12463</v>
      </c>
      <c r="B3525" s="12" t="e">
        <v>#VALUE!</v>
      </c>
      <c r="C3525" s="13" t="e">
        <f>HYPERLINK("https://audio.iskcondesiretree.com/02_-_ISKCON_Swamis/ISKCON_Swamis_-_R_to_Y/His_Holiness_Radhanath_Swami/Lectures/01_-_Theme_wise/Dhaams/07_-_Various_places_in_South_India/05_-_Tirupati/02_-_Vedavati_The_Emblem_of_Chastity_and_Patience_-_Radhanath_Swami."&amp;"mp3", "07_-_Various_places_in_South_India")</f>
        <v>#VALUE!</v>
      </c>
      <c r="D3525" s="11"/>
      <c r="E3525" s="11"/>
    </row>
    <row r="3526" spans="1:5">
      <c r="A3526" s="12" t="s">
        <v>12463</v>
      </c>
      <c r="B3526" s="12" t="s">
        <v>16210</v>
      </c>
      <c r="C3526" s="13" t="str">
        <f>HYPERLINK("https://audio.iskcondesiretree.com/02_-_ISKCON_Swamis/ISKCON_Swamis_-_R_to_Y/His_Holiness_Radhanath_Swami/Lectures/01_-_Theme_wise/Dhaams/08_-_Mayapur/1996-033_Glorification_Of_Mayapur_Lecture_-_Radhanath_Swami_Mayapur_1996-02-18_IDesireTree.mp3", "08_-_Mayapur")</f>
        <v>08_-_Mayapur</v>
      </c>
      <c r="D3526" s="11"/>
      <c r="E3526" s="11"/>
    </row>
    <row r="3527" spans="1:5">
      <c r="A3527" s="12" t="s">
        <v>12463</v>
      </c>
      <c r="B3527" s="12" t="s">
        <v>16210</v>
      </c>
      <c r="C3527" s="13" t="str">
        <f>HYPERLINK("https://audio.iskcondesiretree.com/02_-_ISKCON_Swamis/ISKCON_Swamis_-_R_to_Y/His_Holiness_Radhanath_Swami/Lectures/01_-_Theme_wise/Dhaams/08_-_Mayapur/1997-128_Glories_Of_Navadwipdhama_Lecture_-_Radhanath_Swami_Mumbai_1997-10-18_IDesireTree.mp3", "08_-_Mayapur")</f>
        <v>08_-_Mayapur</v>
      </c>
      <c r="D3527" s="11"/>
      <c r="E3527" s="11"/>
    </row>
    <row r="3528" spans="1:5">
      <c r="A3528" s="12" t="s">
        <v>12463</v>
      </c>
      <c r="B3528" s="12" t="s">
        <v>16211</v>
      </c>
      <c r="C3528" s="13" t="str">
        <f>HYPERLINK("https://audio.iskcondesiretree.com/02_-_ISKCON_Swamis/ISKCON_Swamis_-_R_to_Y/His_Holiness_Radhanath_Swami/Lectures/01_-_Theme_wise/Dhaams/09_-_South%20India/1995-001_South_India_Yatra_SB_01-01-13_-_Radhanath_Swami_Mumbai_1995-01-01.mp3", "09_-_South%20India")</f>
        <v>09_-_South%20India</v>
      </c>
      <c r="D3528" s="11"/>
      <c r="E3528" s="11"/>
    </row>
    <row r="3529" spans="1:5">
      <c r="A3529" s="12" t="s">
        <v>12463</v>
      </c>
      <c r="B3529" s="12" t="s">
        <v>16212</v>
      </c>
      <c r="C3529" s="13" t="str">
        <f>HYPERLINK("https://audio.iskcondesiretree.com/02_-_ISKCON_Swamis/ISKCON_Swamis_-_R_to_Y/His_Holiness_Radhanath_Swami/Lectures/01_-_Theme_wise/Dhaams/10_-_Udipi/1997-065_Udipi_Yatra_Lecture_-_Radhanath_Swami_Udipi_1997-04-22_IDesireTree.mp3", "10_-_Udipi")</f>
        <v>10_-_Udipi</v>
      </c>
      <c r="D3529" s="11"/>
      <c r="E3529" s="11"/>
    </row>
    <row r="3530" spans="1:5">
      <c r="A3530" s="12" t="s">
        <v>12463</v>
      </c>
      <c r="B3530" s="12" t="s">
        <v>16213</v>
      </c>
      <c r="C3530" s="13" t="str">
        <f>HYPERLINK("https://audio.iskcondesiretree.com/02_-_ISKCON_Swamis/ISKCON_Swamis_-_R_to_Y/His_Holiness_Radhanath_Swami/Lectures/01_-_Theme_wise/Disciple_and_Devotee--Ideal_Qualities/1990-023_Discipline_BG_02-64_-_Radhanath_Swami_Mumbai_19990-02-19_IDesireTree.mp3", "1990-023_Discipline_BG_02-64_-_Radhanath_Swami_Mumbai_19990-02-19_IDesireTree.mp3")</f>
        <v>1990-023_Discipline_BG_02-64_-_Radhanath_Swami_Mumbai_19990-02-19_IDesireTree.mp3</v>
      </c>
      <c r="D3530" s="11"/>
      <c r="E3530" s="11"/>
    </row>
    <row r="3531" spans="1:5">
      <c r="A3531" s="12" t="s">
        <v>12463</v>
      </c>
      <c r="B3531" s="12" t="s">
        <v>16214</v>
      </c>
      <c r="C3531" s="13" t="str">
        <f>HYPERLINK("https://audio.iskcondesiretree.com/02_-_ISKCON_Swamis/ISKCON_Swamis_-_R_to_Y/His_Holiness_Radhanath_Swami/Lectures/01_-_Theme_wise/Disciplic_Succession/1994-135_Submitting_To_The_Parampara_SB_01-04-01_-_Radhanath_Swami_Mumbai_1994-09-07_IDesireTree.mp3", "1994-135_Submitting_To_The_Parampara_SB_01-04-01_-_Radhanath_Swami_Mumbai_1994-09-07_IDesireTree.mp3")</f>
        <v>1994-135_Submitting_To_The_Parampara_SB_01-04-01_-_Radhanath_Swami_Mumbai_1994-09-07_IDesireTree.mp3</v>
      </c>
      <c r="D3531" s="11"/>
      <c r="E3531" s="11"/>
    </row>
    <row r="3532" spans="1:5">
      <c r="A3532" s="12" t="s">
        <v>12463</v>
      </c>
      <c r="B3532" s="12" t="s">
        <v>16215</v>
      </c>
      <c r="C3532" s="13" t="str">
        <f>HYPERLINK("https://audio.iskcondesiretree.com/02_-_ISKCON_Swamis/ISKCON_Swamis_-_R_to_Y/His_Holiness_Radhanath_Swami/Lectures/01_-_Theme_wise/Disciplic_Succession/1995-097_Importance_Of_Disciplic_Succession_Lecture_-_Radhanath_Swami_Pune_1995-08-30_IDesireTree.mp3", "1995-097_Importance_Of_Disciplic_Succession_Lecture_-_Radhanath_Swami_Pune_1995-08-30_IDesireTree.mp3")</f>
        <v>1995-097_Importance_Of_Disciplic_Succession_Lecture_-_Radhanath_Swami_Pune_1995-08-30_IDesireTree.mp3</v>
      </c>
      <c r="D3532" s="11"/>
      <c r="E3532" s="11"/>
    </row>
    <row r="3533" spans="1:5">
      <c r="A3533" s="12" t="s">
        <v>12463</v>
      </c>
      <c r="B3533" s="12" t="s">
        <v>16216</v>
      </c>
      <c r="C3533" s="13" t="str">
        <f>HYPERLINK("https://audio.iskcondesiretree.com/02_-_ISKCON_Swamis/ISKCON_Swamis_-_R_to_Y/His_Holiness_Radhanath_Swami/Lectures/01_-_Theme_wise/Disciplic_Succession/2000-019_Following_Guru_Parampara_SB_01-03-42_-_Radhanath_Swami_Mumbai_2000-02-03_IDesireTree.mp3", "2000-019_Following_Guru_Parampara_SB_01-03-42_-_Radhanath_Swami_Mumbai_2000-02-03_IDesireTree.mp3")</f>
        <v>2000-019_Following_Guru_Parampara_SB_01-03-42_-_Radhanath_Swami_Mumbai_2000-02-03_IDesireTree.mp3</v>
      </c>
      <c r="D3533" s="11"/>
      <c r="E3533" s="11"/>
    </row>
    <row r="3534" spans="1:5">
      <c r="A3534" s="12" t="s">
        <v>12463</v>
      </c>
      <c r="B3534" s="12" t="s">
        <v>16217</v>
      </c>
      <c r="C3534" s="13" t="str">
        <f>HYPERLINK("https://audio.iskcondesiretree.com/02_-_ISKCON_Swamis/ISKCON_Swamis_-_R_to_Y/His_Holiness_Radhanath_Swami/Lectures/01_-_Theme_wise/Eagerness/1993-175_Being_Eager_And_Greedy_For_Krishna_BG_10-31_-_Radhanath_Swami_Mumbai_1993-12-09_IDesireTree.mp3", "1993-175_Being_Eager_And_Greedy_For_Krishna_BG_10-31_-_Radhanath_Swami_Mumbai_1993-12-09_IDesireTree.mp3")</f>
        <v>1993-175_Being_Eager_And_Greedy_For_Krishna_BG_10-31_-_Radhanath_Swami_Mumbai_1993-12-09_IDesireTree.mp3</v>
      </c>
      <c r="D3534" s="11"/>
      <c r="E3534" s="11"/>
    </row>
    <row r="3535" spans="1:5">
      <c r="A3535" s="12" t="s">
        <v>12463</v>
      </c>
      <c r="B3535" s="12" t="s">
        <v>16218</v>
      </c>
      <c r="C3535" s="13" t="str">
        <f>HYPERLINK("https://audio.iskcondesiretree.com/02_-_ISKCON_Swamis/ISKCON_Swamis_-_R_to_Y/His_Holiness_Radhanath_Swami/Lectures/01_-_Theme_wise/Eagerness/1997-015_Be_Eager_Like_Dhruva_BG_05-12_-_Radhanath_Swami_Pune_1997-01-17_IDesireTree.mp3", "1997-015_Be_Eager_Like_Dhruva_BG_05-12_-_Radhanath_Swami_Pune_1997-01-17_IDesireTree.mp3")</f>
        <v>1997-015_Be_Eager_Like_Dhruva_BG_05-12_-_Radhanath_Swami_Pune_1997-01-17_IDesireTree.mp3</v>
      </c>
      <c r="D3535" s="11"/>
      <c r="E3535" s="11"/>
    </row>
    <row r="3536" spans="1:5">
      <c r="A3536" s="12" t="s">
        <v>12463</v>
      </c>
      <c r="B3536" s="12" t="s">
        <v>16219</v>
      </c>
      <c r="C3536" s="13" t="str">
        <f>HYPERLINK("https://audio.iskcondesiretree.com/02_-_ISKCON_Swamis/ISKCON_Swamis_-_R_to_Y/His_Holiness_Radhanath_Swami/Lectures/01_-_Theme_wise/Eagerness/1997-070_Eagerness_Of_Krishna_BG_06-15_-_Radhanath_Swami_Mumbai_1997-05-03_IDesireTree.mp3", "1997-070_Eagerness_Of_Krishna_BG_06-15_-_Radhanath_Swami_Mumbai_1997-05-03_IDesireTree.mp3")</f>
        <v>1997-070_Eagerness_Of_Krishna_BG_06-15_-_Radhanath_Swami_Mumbai_1997-05-03_IDesireTree.mp3</v>
      </c>
      <c r="D3536" s="11"/>
      <c r="E3536" s="11"/>
    </row>
    <row r="3537" spans="1:5">
      <c r="A3537" s="12" t="s">
        <v>12463</v>
      </c>
      <c r="B3537" s="12" t="s">
        <v>16220</v>
      </c>
      <c r="C3537" s="13" t="str">
        <f>HYPERLINK("https://audio.iskcondesiretree.com/02_-_ISKCON_Swamis/ISKCON_Swamis_-_R_to_Y/His_Holiness_Radhanath_Swami/Lectures/01_-_Theme_wise/Eagerness/1997-078_Our_Eagerness_Attracts_Krishna_Lecture_K_ford_-_Radhanath_Swami_London_1997-05-26_IDesireTree.mp3", "1997-078_Our_Eagerness_Attracts_Krishna_Lecture_K_ford_-_Radhanath_Swami_London_1997-05-26_IDesireTree.mp3")</f>
        <v>1997-078_Our_Eagerness_Attracts_Krishna_Lecture_K_ford_-_Radhanath_Swami_London_1997-05-26_IDesireTree.mp3</v>
      </c>
      <c r="D3537" s="11"/>
      <c r="E3537" s="11"/>
    </row>
    <row r="3538" spans="1:5">
      <c r="A3538" s="12" t="s">
        <v>12463</v>
      </c>
      <c r="B3538" s="12" t="s">
        <v>16221</v>
      </c>
      <c r="C3538" s="13" t="str">
        <f>HYPERLINK("https://audio.iskcondesiretree.com/02_-_ISKCON_Swamis/ISKCON_Swamis_-_R_to_Y/His_Holiness_Radhanath_Swami/Lectures/01_-_Theme_wise/Eagerness/1997-091_Our_Life_Is_Our_Eagerness_SB_03-01-44_-_Radhanath_Swami_Mumbai_1997-08-28_IDesireTree.mp3", "1997-091_Our_Life_Is_Our_Eagerness_SB_03-01-44_-_Radhanath_Swami_Mumbai_1997-08-28_IDesireTree.mp3")</f>
        <v>1997-091_Our_Life_Is_Our_Eagerness_SB_03-01-44_-_Radhanath_Swami_Mumbai_1997-08-28_IDesireTree.mp3</v>
      </c>
      <c r="D3538" s="11"/>
      <c r="E3538" s="11"/>
    </row>
    <row r="3539" spans="1:5">
      <c r="A3539" s="12" t="s">
        <v>12463</v>
      </c>
      <c r="B3539" s="12" t="s">
        <v>16222</v>
      </c>
      <c r="C3539" s="13" t="str">
        <f>HYPERLINK("https://audio.iskcondesiretree.com/02_-_ISKCON_Swamis/ISKCON_Swamis_-_R_to_Y/His_Holiness_Radhanath_Swami/Lectures/01_-_Theme_wise/Eagerness/1997-093_Be_Eager_For_Krishna_CC_Antya_-_Radhanath_Swami_Mumbai_1997-08-31_IDesireTree.mp3", "1997-093_Be_Eager_For_Krishna_CC_Antya_-_Radhanath_Swami_Mumbai_1997-08-31_IDesireTree.mp3")</f>
        <v>1997-093_Be_Eager_For_Krishna_CC_Antya_-_Radhanath_Swami_Mumbai_1997-08-31_IDesireTree.mp3</v>
      </c>
      <c r="D3539" s="11"/>
      <c r="E3539" s="11"/>
    </row>
    <row r="3540" spans="1:5">
      <c r="A3540" s="12" t="s">
        <v>12463</v>
      </c>
      <c r="B3540" s="12" t="s">
        <v>16223</v>
      </c>
      <c r="C3540" s="13" t="str">
        <f>HYPERLINK("https://audio.iskcondesiretree.com/02_-_ISKCON_Swamis/ISKCON_Swamis_-_R_to_Y/His_Holiness_Radhanath_Swami/Lectures/01_-_Theme_wise/Eagerness/1997-100_Eagerness_To_Please_Krsna_Lecture_-_Radhanath_Swami_MOscow_1997-09-13_IDesireTree.mp3", "1997-100_Eagerness_To_Please_Krsna_Lecture_-_Radhanath_Swami_MOscow_1997-09-13_IDesireTree.mp3")</f>
        <v>1997-100_Eagerness_To_Please_Krsna_Lecture_-_Radhanath_Swami_MOscow_1997-09-13_IDesireTree.mp3</v>
      </c>
      <c r="D3540" s="11"/>
      <c r="E3540" s="11"/>
    </row>
    <row r="3541" spans="1:5">
      <c r="A3541" s="12" t="s">
        <v>12463</v>
      </c>
      <c r="B3541" s="12" t="s">
        <v>16224</v>
      </c>
      <c r="C3541" s="13" t="str">
        <f>HYPERLINK("https://audio.iskcondesiretree.com/02_-_ISKCON_Swamis/ISKCON_Swamis_-_R_to_Y/His_Holiness_Radhanath_Swami/Lectures/01_-_Theme_wise/Eagerness/1999-043_Eager_%26_Enthusiastic_to_Serve_the_Deity_Lecture_-_Radhanath_Swami_Mumbai_1999-07-18_IDesireTree.mp3", "1999-043_Eager_%26_Enthusiastic_to_Serve_the_Deity_Lecture_-_Radhanath_Swami_Mumbai_1999-07-18_IDesireTree.mp3")</f>
        <v>1999-043_Eager_%26_Enthusiastic_to_Serve_the_Deity_Lecture_-_Radhanath_Swami_Mumbai_1999-07-18_IDesireTree.mp3</v>
      </c>
      <c r="D3541" s="11"/>
      <c r="E3541" s="11"/>
    </row>
    <row r="3542" spans="1:5">
      <c r="A3542" s="12" t="s">
        <v>12463</v>
      </c>
      <c r="B3542" s="12" t="s">
        <v>16225</v>
      </c>
      <c r="C3542" s="13" t="str">
        <f>HYPERLINK("https://audio.iskcondesiretree.com/02_-_ISKCON_Swamis/ISKCON_Swamis_-_R_to_Y/His_Holiness_Radhanath_Swami/Lectures/01_-_Theme_wise/Eagerness/2002-008_Looking_For_An_Every_Opportunity_To_See_Krsna_Lecture_-_Radhanath_Swami_Mumbai_2002-01-08_IDesireTree.mp3", "2002-008_Looking_For_An_Every_Opportunity_To_See_Krsna_Lecture_-_Radhanath_Swami_Mumbai_2002-01-08_IDesireTree.mp3")</f>
        <v>2002-008_Looking_For_An_Every_Opportunity_To_See_Krsna_Lecture_-_Radhanath_Swami_Mumbai_2002-01-08_IDesireTree.mp3</v>
      </c>
      <c r="D3542" s="11"/>
      <c r="E3542" s="11"/>
    </row>
    <row r="3543" spans="1:5">
      <c r="A3543" s="12" t="s">
        <v>12463</v>
      </c>
      <c r="B3543" s="12" t="s">
        <v>16226</v>
      </c>
      <c r="C3543" s="13" t="str">
        <f>HYPERLINK("https://audio.iskcondesiretree.com/02_-_ISKCON_Swamis/ISKCON_Swamis_-_R_to_Y/His_Holiness_Radhanath_Swami/Lectures/01_-_Theme_wise/Enthusiasm/1990-088_Be_Enthusiastic_CC_ML-01_02_-_Radhanath_Swami_Mumbai_1990-10-060_new_IDesireTree.mp3", "1990-088_Be_Enthusiastic_CC_ML-01_02_-_Radhanath_Swami_Mumbai_1990-10-060_new_IDesireTree.mp3")</f>
        <v>1990-088_Be_Enthusiastic_CC_ML-01_02_-_Radhanath_Swami_Mumbai_1990-10-060_new_IDesireTree.mp3</v>
      </c>
      <c r="D3543" s="11"/>
      <c r="E3543" s="11"/>
    </row>
    <row r="3544" spans="1:5">
      <c r="A3544" s="12" t="s">
        <v>12463</v>
      </c>
      <c r="B3544" s="12" t="s">
        <v>16227</v>
      </c>
      <c r="C3544" s="13" t="str">
        <f>HYPERLINK("https://audio.iskcondesiretree.com/02_-_ISKCON_Swamis/ISKCON_Swamis_-_R_to_Y/His_Holiness_Radhanath_Swami/Lectures/01_-_Theme_wise/Enthusiasm/1993-015_Enthusiasm_Patience_And_Faith_SB_10-20-45-46_-_Radhanath_Swami_Mumbai_1993-01-17_IDesireTree.mp3", "1993-015_Enthusiasm_Patience_And_Faith_SB_10-20-45-46_-_Radhanath_Swami_Mumbai_1993-01-17_IDesireTree.mp3")</f>
        <v>1993-015_Enthusiasm_Patience_And_Faith_SB_10-20-45-46_-_Radhanath_Swami_Mumbai_1993-01-17_IDesireTree.mp3</v>
      </c>
      <c r="D3544" s="11"/>
      <c r="E3544" s="11"/>
    </row>
    <row r="3545" spans="1:5">
      <c r="A3545" s="12" t="s">
        <v>12463</v>
      </c>
      <c r="B3545" s="12" t="s">
        <v>16228</v>
      </c>
      <c r="C3545" s="13" t="str">
        <f>HYPERLINK("https://audio.iskcondesiretree.com/02_-_ISKCON_Swamis/ISKCON_Swamis_-_R_to_Y/His_Holiness_Radhanath_Swami/Lectures/01_-_Theme_wise/Enthusiasm/1997-071_Always_Be_Alert_SB_02-09-28_-_Radhanath_Swami_Mumbai_1997-05-04_IDesireTree.mp3", "1997-071_Always_Be_Alert_SB_02-09-28_-_Radhanath_Swami_Mumbai_1997-05-04_IDesireTree.mp3")</f>
        <v>1997-071_Always_Be_Alert_SB_02-09-28_-_Radhanath_Swami_Mumbai_1997-05-04_IDesireTree.mp3</v>
      </c>
      <c r="D3545" s="11"/>
      <c r="E3545" s="11"/>
    </row>
    <row r="3546" spans="1:5">
      <c r="A3546" s="12" t="s">
        <v>12463</v>
      </c>
      <c r="B3546" s="12" t="s">
        <v>16224</v>
      </c>
      <c r="C3546" s="13" t="str">
        <f>HYPERLINK("https://audio.iskcondesiretree.com/02_-_ISKCON_Swamis/ISKCON_Swamis_-_R_to_Y/His_Holiness_Radhanath_Swami/Lectures/01_-_Theme_wise/Enthusiasm/1999-043_Eager_%26_Enthusiastic_to_Serve_the_Deity_Lecture_-_Radhanath_Swami_Mumbai_1999-07-18_IDesireTree.mp3", "1999-043_Eager_%26_Enthusiastic_to_Serve_the_Deity_Lecture_-_Radhanath_Swami_Mumbai_1999-07-18_IDesireTree.mp3")</f>
        <v>1999-043_Eager_%26_Enthusiastic_to_Serve_the_Deity_Lecture_-_Radhanath_Swami_Mumbai_1999-07-18_IDesireTree.mp3</v>
      </c>
      <c r="D3546" s="11"/>
      <c r="E3546" s="11"/>
    </row>
    <row r="3547" spans="1:5">
      <c r="A3547" s="12" t="s">
        <v>12463</v>
      </c>
      <c r="B3547" s="12" t="s">
        <v>16229</v>
      </c>
      <c r="C3547" s="13" t="str">
        <f>HYPERLINK("https://audio.iskcondesiretree.com/02_-_ISKCON_Swamis/ISKCON_Swamis_-_R_to_Y/His_Holiness_Radhanath_Swami/Lectures/01_-_Theme_wise/Faith/1989-049_Becoming_Peaceful_SB_08-05-47_-_Radhanath_Swami_Mumbai_1989-09-24_IDesireTree.mp3",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3547" s="11"/>
      <c r="E3547" s="11"/>
    </row>
    <row r="3548" spans="1:5">
      <c r="A3548" s="12" t="s">
        <v>12463</v>
      </c>
      <c r="B3548" s="12" t="s">
        <v>16230</v>
      </c>
      <c r="C3548" s="13" t="str">
        <f>HYPERLINK("https://audio.iskcondesiretree.com/02_-_ISKCON_Swamis/ISKCON_Swamis_-_R_to_Y/His_Holiness_Radhanath_Swami/Lectures/01_-_Theme_wise/Faith/1989-056_Faith_Lecture_-_Radhanath_Swami_Mumbai_1989-09-29_IDesireTree.mp3", "1989-056_Faith_Lecture_-_Radhanath_Swami_Mumbai_1989-09-29_IDesireTree.mp3")</f>
        <v>1989-056_Faith_Lecture_-_Radhanath_Swami_Mumbai_1989-09-29_IDesireTree.mp3</v>
      </c>
      <c r="D3548" s="11"/>
      <c r="E3548" s="11"/>
    </row>
    <row r="3549" spans="1:5">
      <c r="A3549" s="12" t="s">
        <v>12463</v>
      </c>
      <c r="B3549" s="12" t="s">
        <v>16231</v>
      </c>
      <c r="C3549" s="13" t="str">
        <f>HYPERLINK("https://audio.iskcondesiretree.com/02_-_ISKCON_Swamis/ISKCON_Swamis_-_R_to_Y/His_Holiness_Radhanath_Swami/Lectures/01_-_Theme_wise/Faith/1990-055_A_Vaishnava_Has_Faith_SB_08-05-47_-_Radhanath_Swami_Mumbai_1990-07-27_IDesireTree.mp3", "1990-055_A_Vaishnava_Has_Faith_SB_08-05-47_-_Radhanath_Swami_Mumbai_1990-07-27_IDesireTree.mp3")</f>
        <v>1990-055_A_Vaishnava_Has_Faith_SB_08-05-47_-_Radhanath_Swami_Mumbai_1990-07-27_IDesireTree.mp3</v>
      </c>
      <c r="D3549" s="11"/>
      <c r="E3549" s="11"/>
    </row>
    <row r="3550" spans="1:5">
      <c r="A3550" s="12" t="s">
        <v>12463</v>
      </c>
      <c r="B3550" s="12" t="s">
        <v>16232</v>
      </c>
      <c r="C3550" s="13" t="str">
        <f>HYPERLINK("https://audio.iskcondesiretree.com/02_-_ISKCON_Swamis/ISKCON_Swamis_-_R_to_Y/His_Holiness_Radhanath_Swami/Lectures/01_-_Theme_wise/Faith/1990-058_Trust_In_Mercy_Of_God_SB_08-06-14_-_Radhanath_Swami_Mumbai_1990-08-09_IDesireTree.mp3", "1990-058_Trust_In_Mercy_Of_God_SB_08-06-14_-_Radhanath_Swami_Mumbai_1990-08-09_IDesireTree.mp3")</f>
        <v>1990-058_Trust_In_Mercy_Of_God_SB_08-06-14_-_Radhanath_Swami_Mumbai_1990-08-09_IDesireTree.mp3</v>
      </c>
      <c r="D3550" s="11"/>
      <c r="E3550" s="11"/>
    </row>
    <row r="3551" spans="1:5">
      <c r="A3551" s="12" t="s">
        <v>12463</v>
      </c>
      <c r="B3551" s="12" t="s">
        <v>16233</v>
      </c>
      <c r="C3551" s="13" t="str">
        <f>HYPERLINK("https://audio.iskcondesiretree.com/02_-_ISKCON_Swamis/ISKCON_Swamis_-_R_to_Y/His_Holiness_Radhanath_Swami/Lectures/01_-_Theme_wise/Faith/1991-031_Surrender_And_Faith_BG_11-30-32_-_Radhanath_Swami_Mumbai_1991-03-08_IDesireTree.mp3", "1991-031_Surrender_And_Faith_BG_11-30-32_-_Radhanath_Swami_Mumbai_1991-03-08_IDesireTree.mp3")</f>
        <v>1991-031_Surrender_And_Faith_BG_11-30-32_-_Radhanath_Swami_Mumbai_1991-03-08_IDesireTree.mp3</v>
      </c>
      <c r="D3551" s="11"/>
      <c r="E3551" s="11"/>
    </row>
    <row r="3552" spans="1:5">
      <c r="A3552" s="12" t="s">
        <v>12463</v>
      </c>
      <c r="B3552" s="12" t="s">
        <v>16234</v>
      </c>
      <c r="C3552" s="13" t="str">
        <f>HYPERLINK("https://audio.iskcondesiretree.com/02_-_ISKCON_Swamis/ISKCON_Swamis_-_R_to_Y/His_Holiness_Radhanath_Swami/Lectures/01_-_Theme_wise/Faith/1991-066_Devahuti%27s_Enquiries_To_Lord_Kapila_SB_03-25-07_-_Radhanath_Swami_Mumbai_1991-06-01_IDesireTree.mp3", "1991-066_Devahuti%27s_Enquiries_To_Lord_Kapila_SB_03-25-07_-_Radhanath_Swami_Mumbai_1991-06-01_IDesireTree.mp3")</f>
        <v>1991-066_Devahuti%27s_Enquiries_To_Lord_Kapila_SB_03-25-07_-_Radhanath_Swami_Mumbai_1991-06-01_IDesireTree.mp3</v>
      </c>
      <c r="D3552" s="11"/>
      <c r="E3552" s="11"/>
    </row>
    <row r="3553" spans="1:5">
      <c r="A3553" s="12" t="s">
        <v>12463</v>
      </c>
      <c r="B3553" s="12" t="s">
        <v>16015</v>
      </c>
      <c r="C3553" s="13" t="str">
        <f>HYPERLINK("https://audio.iskcondesiretree.com/02_-_ISKCON_Swamis/ISKCON_Swamis_-_R_to_Y/His_Holiness_Radhanath_Swami/Lectures/01_-_Theme_wise/Faith/1991-107_Parikshit%27s_Enquiry_Before_Death_SB_01-19-24_-_Radhanath_Swami_Mumbai_1991-10-29_IDesireTree.mp3", "1991-107_Parikshit%27s_Enquiry_Before_Death_SB_01-19-24_-_Radhanath_Swami_Mumbai_1991-10-29_IDesireTree.mp3")</f>
        <v>1991-107_Parikshit%27s_Enquiry_Before_Death_SB_01-19-24_-_Radhanath_Swami_Mumbai_1991-10-29_IDesireTree.mp3</v>
      </c>
      <c r="D3553" s="11"/>
      <c r="E3553" s="11"/>
    </row>
    <row r="3554" spans="1:5">
      <c r="A3554" s="12" t="s">
        <v>12463</v>
      </c>
      <c r="B3554" s="12" t="s">
        <v>16235</v>
      </c>
      <c r="C3554" s="13" t="str">
        <f>HYPERLINK("https://audio.iskcondesiretree.com/02_-_ISKCON_Swamis/ISKCON_Swamis_-_R_to_Y/His_Holiness_Radhanath_Swami/Lectures/01_-_Theme_wise/Faith/1991-116_Hearing-_Washes_All_Doubts_BG_04-38-39_-_Radhanath_Swami_Mumbai_1991-11-03_IDesireTree.mp3", "1991-116_Hearing-_Washes_All_Doubts_BG_04-38-39_-_Radhanath_Swami_Mumbai_1991-11-03_IDesireTree.mp3")</f>
        <v>1991-116_Hearing-_Washes_All_Doubts_BG_04-38-39_-_Radhanath_Swami_Mumbai_1991-11-03_IDesireTree.mp3</v>
      </c>
      <c r="D3554" s="11"/>
      <c r="E3554" s="11"/>
    </row>
    <row r="3555" spans="1:5">
      <c r="A3555" s="12" t="s">
        <v>12463</v>
      </c>
      <c r="B3555" s="12" t="s">
        <v>16236</v>
      </c>
      <c r="C3555" s="13" t="str">
        <f>HYPERLINK("https://audio.iskcondesiretree.com/02_-_ISKCON_Swamis/ISKCON_Swamis_-_R_to_Y/His_Holiness_Radhanath_Swami/Lectures/01_-_Theme_wise/Faith/1991-156_The_Pillar_Of_Faith_SB_01-12-30_-_Radhanath_Swami_Surat_1991-12-09_IDesireTree.mp3", "1991-156_The_Pillar_Of_Faith_SB_01-12-30_-_Radhanath_Swami_Surat_1991-12-09_IDesireTree.mp3")</f>
        <v>1991-156_The_Pillar_Of_Faith_SB_01-12-30_-_Radhanath_Swami_Surat_1991-12-09_IDesireTree.mp3</v>
      </c>
      <c r="D3555" s="11"/>
      <c r="E3555" s="11"/>
    </row>
    <row r="3556" spans="1:5">
      <c r="A3556" s="12" t="s">
        <v>12463</v>
      </c>
      <c r="B3556" s="12" t="s">
        <v>16237</v>
      </c>
      <c r="C3556" s="13" t="str">
        <f>HYPERLINK("https://audio.iskcondesiretree.com/02_-_ISKCON_Swamis/ISKCON_Swamis_-_R_to_Y/His_Holiness_Radhanath_Swami/Lectures/01_-_Theme_wise/Faith/1992-131_Our_Faith_Is_Our_Life_SB_10-16-25-30_-_Radhanath_Swami_Mumbai_1992-11-28_IDesireTree.mp3", "1992-131_Our_Faith_Is_Our_Life_SB_10-16-25-30_-_Radhanath_Swami_Mumbai_1992-11-28_IDesireTree.mp3")</f>
        <v>1992-131_Our_Faith_Is_Our_Life_SB_10-16-25-30_-_Radhanath_Swami_Mumbai_1992-11-28_IDesireTree.mp3</v>
      </c>
      <c r="D3556" s="11"/>
      <c r="E3556" s="11"/>
    </row>
    <row r="3557" spans="1:5">
      <c r="A3557" s="12" t="s">
        <v>12463</v>
      </c>
      <c r="B3557" s="12" t="s">
        <v>16238</v>
      </c>
      <c r="C3557" s="13" t="str">
        <f>HYPERLINK("https://audio.iskcondesiretree.com/02_-_ISKCON_Swamis/ISKCON_Swamis_-_R_to_Y/His_Holiness_Radhanath_Swami/Lectures/01_-_Theme_wise/Faith/1992-150_Don%27t_Put_Your_Faith_In_This_Material_World_SB_10-18-27_-_Radhanath_Swami_Mumbai_1992-12-24_IDesireTree.mp3", "1992-150_Don%27t_Put_Your_Faith_In_This_Material_World_SB_10-18-27_-_Radhanath_Swami_Mumbai_1992-12-24_IDesireTree.mp3")</f>
        <v>1992-150_Don%27t_Put_Your_Faith_In_This_Material_World_SB_10-18-27_-_Radhanath_Swami_Mumbai_1992-12-24_IDesireTree.mp3</v>
      </c>
      <c r="D3557" s="11"/>
      <c r="E3557" s="11"/>
    </row>
    <row r="3558" spans="1:5">
      <c r="A3558" s="12" t="s">
        <v>12463</v>
      </c>
      <c r="B3558" s="12" t="s">
        <v>16239</v>
      </c>
      <c r="C3558" s="13" t="str">
        <f>HYPERLINK("https://audio.iskcondesiretree.com/02_-_ISKCON_Swamis/ISKCON_Swamis_-_R_to_Y/His_Holiness_Radhanath_Swami/Lectures/01_-_Theme_wise/Faith/1992-153_Kill_The_Demon_Of_Doubt_SB_10-18-28-32_-_Radhanath_Swami_Mumbai_1992-12-25_IDesireTree.mp3", "1992-153_Kill_The_Demon_Of_Doubt_SB_10-18-28-32_-_Radhanath_Swami_Mumbai_1992-12-25_IDesireTree.mp3")</f>
        <v>1992-153_Kill_The_Demon_Of_Doubt_SB_10-18-28-32_-_Radhanath_Swami_Mumbai_1992-12-25_IDesireTree.mp3</v>
      </c>
      <c r="D3558" s="11"/>
      <c r="E3558" s="11"/>
    </row>
    <row r="3559" spans="1:5">
      <c r="A3559" s="12" t="s">
        <v>12463</v>
      </c>
      <c r="B3559" s="12" t="s">
        <v>16240</v>
      </c>
      <c r="C3559" s="13" t="str">
        <f>HYPERLINK("https://audio.iskcondesiretree.com/02_-_ISKCON_Swamis/ISKCON_Swamis_-_R_to_Y/His_Holiness_Radhanath_Swami/Lectures/01_-_Theme_wise/Faith/1993-014_To_Have_Innocent_Faith_SB_10-20-42-44_-_Radhanath_Swami_Mumbai_1993-01-16_IDesireTree.mp3", "1993-014_To_Have_Innocent_Faith_SB_10-20-42-44_-_Radhanath_Swami_Mumbai_1993-01-16_IDesireTree.mp3")</f>
        <v>1993-014_To_Have_Innocent_Faith_SB_10-20-42-44_-_Radhanath_Swami_Mumbai_1993-01-16_IDesireTree.mp3</v>
      </c>
      <c r="D3559" s="11"/>
      <c r="E3559" s="11"/>
    </row>
    <row r="3560" spans="1:5">
      <c r="A3560" s="12" t="s">
        <v>12463</v>
      </c>
      <c r="B3560" s="12" t="s">
        <v>16227</v>
      </c>
      <c r="C3560" s="13" t="str">
        <f>HYPERLINK("https://audio.iskcondesiretree.com/02_-_ISKCON_Swamis/ISKCON_Swamis_-_R_to_Y/His_Holiness_Radhanath_Swami/Lectures/01_-_Theme_wise/Faith/1993-015_Enthusiasm_Patience_And_Faith_SB_10-20-45-46_-_Radhanath_Swami_Mumbai_1993-01-17_IDesireTree.mp3", "1993-015_Enthusiasm_Patience_And_Faith_SB_10-20-45-46_-_Radhanath_Swami_Mumbai_1993-01-17_IDesireTree.mp3")</f>
        <v>1993-015_Enthusiasm_Patience_And_Faith_SB_10-20-45-46_-_Radhanath_Swami_Mumbai_1993-01-17_IDesireTree.mp3</v>
      </c>
      <c r="D3560" s="11"/>
      <c r="E3560" s="11"/>
    </row>
    <row r="3561" spans="1:5">
      <c r="A3561" s="12" t="s">
        <v>12463</v>
      </c>
      <c r="B3561" s="12" t="s">
        <v>16241</v>
      </c>
      <c r="C3561" s="13" t="str">
        <f>HYPERLINK("https://audio.iskcondesiretree.com/02_-_ISKCON_Swamis/ISKCON_Swamis_-_R_to_Y/His_Holiness_Radhanath_Swami/Lectures/01_-_Theme_wise/Faith/1993-029_Purpose_Of_Creation_SB_02-09-36_-_Radhanath_Swami_1993-03-26_IDesireTree.mp3", "1993-029_Purpose_Of_Creation_SB_02-09-36_-_Radhanath_Swami_1993-03-26_IDesireTree.mp3")</f>
        <v>1993-029_Purpose_Of_Creation_SB_02-09-36_-_Radhanath_Swami_1993-03-26_IDesireTree.mp3</v>
      </c>
      <c r="D3561" s="11"/>
      <c r="E3561" s="11"/>
    </row>
    <row r="3562" spans="1:5">
      <c r="A3562" s="12" t="s">
        <v>12463</v>
      </c>
      <c r="B3562" s="12" t="s">
        <v>16242</v>
      </c>
      <c r="C3562" s="13" t="str">
        <f>HYPERLINK("https://audio.iskcondesiretree.com/02_-_ISKCON_Swamis/ISKCON_Swamis_-_R_to_Y/His_Holiness_Radhanath_Swami/Lectures/01_-_Theme_wise/Faith/1994-138_How_Much_Faith_Do_We_Have_BG_04-39_-_Radhanath_Swami_Mumbai_1994-09-10_IDesireTree.mp3", "1994-138_How_Much_Faith_Do_We_Have_BG_04-39_-_Radhanath_Swami_Mumbai_1994-09-10_IDesireTree.mp3")</f>
        <v>1994-138_How_Much_Faith_Do_We_Have_BG_04-39_-_Radhanath_Swami_Mumbai_1994-09-10_IDesireTree.mp3</v>
      </c>
      <c r="D3562" s="11"/>
      <c r="E3562" s="11"/>
    </row>
    <row r="3563" spans="1:5">
      <c r="A3563" s="12" t="s">
        <v>12463</v>
      </c>
      <c r="B3563" s="12" t="s">
        <v>16243</v>
      </c>
      <c r="C3563" s="13" t="str">
        <f>HYPERLINK("https://audio.iskcondesiretree.com/02_-_ISKCON_Swamis/ISKCON_Swamis_-_R_to_Y/His_Holiness_Radhanath_Swami/Lectures/01_-_Theme_wise/Faith/1995-028_What_Is_Faith_SB_03-02-10_-_Radhanath_Swami_Mumbai_1995-01-20.mp3", "1995-028_What_Is_Faith_SB_03-02-10_-_Radhanath_Swami_Mumbai_1995-01-20.mp3")</f>
        <v>1995-028_What_Is_Faith_SB_03-02-10_-_Radhanath_Swami_Mumbai_1995-01-20.mp3</v>
      </c>
      <c r="D3563" s="11"/>
      <c r="E3563" s="11"/>
    </row>
    <row r="3564" spans="1:5">
      <c r="A3564" s="12" t="s">
        <v>12463</v>
      </c>
      <c r="B3564" s="12" t="s">
        <v>16244</v>
      </c>
      <c r="C3564" s="13" t="str">
        <f>HYPERLINK("https://audio.iskcondesiretree.com/02_-_ISKCON_Swamis/ISKCON_Swamis_-_R_to_Y/His_Holiness_Radhanath_Swami/Lectures/01_-_Theme_wise/Faith/1995-084_Fight_Against_Crisis_Of_Doubts_SB_01-12-21_-_Radhanath_Swami_Mumbai_1995-08-13_IDesireTree.mp3", "1995-084_Fight_Against_Crisis_Of_Doubts_SB_01-12-21_-_Radhanath_Swami_Mumbai_1995-08-13_IDesireTree.mp3")</f>
        <v>1995-084_Fight_Against_Crisis_Of_Doubts_SB_01-12-21_-_Radhanath_Swami_Mumbai_1995-08-13_IDesireTree.mp3</v>
      </c>
      <c r="D3564" s="11"/>
      <c r="E3564" s="11"/>
    </row>
    <row r="3565" spans="1:5">
      <c r="A3565" s="12" t="s">
        <v>12463</v>
      </c>
      <c r="B3565" s="12" t="s">
        <v>16245</v>
      </c>
      <c r="C3565" s="13" t="str">
        <f>HYPERLINK("https://audio.iskcondesiretree.com/02_-_ISKCON_Swamis/ISKCON_Swamis_-_R_to_Y/His_Holiness_Radhanath_Swami/Lectures/01_-_Theme_wise/Faith/1996-061_Faith_Removes_Fear_SB_01-18-04_-_Radhanath_Swami_Mumbai_1996-03-24_IDesireTree.mp3", "1996-061_Faith_Removes_Fear_SB_01-18-04_-_Radhanath_Swami_Mumbai_1996-03-24_IDesireTree.mp3")</f>
        <v>1996-061_Faith_Removes_Fear_SB_01-18-04_-_Radhanath_Swami_Mumbai_1996-03-24_IDesireTree.mp3</v>
      </c>
      <c r="D3565" s="11"/>
      <c r="E3565" s="11"/>
    </row>
    <row r="3566" spans="1:5">
      <c r="A3566" s="12" t="s">
        <v>12463</v>
      </c>
      <c r="B3566" s="12" t="s">
        <v>16246</v>
      </c>
      <c r="C3566" s="13" t="str">
        <f>HYPERLINK("https://audio.iskcondesiretree.com/02_-_ISKCON_Swamis/ISKCON_Swamis_-_R_to_Y/His_Holiness_Radhanath_Swami/Lectures/01_-_Theme_wise/Faith/1998-073_Total_Faith_in_Scriptures_SB_03-09-37_-_Radhanath_Swami_Mumbai_1998-07-20_IDesireTree.mp3", "1998-073_Total_Faith_in_Scriptures_SB_03-09-37_-_Radhanath_Swami_Mumbai_1998-07-20_IDesireTree.mp3")</f>
        <v>1998-073_Total_Faith_in_Scriptures_SB_03-09-37_-_Radhanath_Swami_Mumbai_1998-07-20_IDesireTree.mp3</v>
      </c>
      <c r="D3566" s="11"/>
      <c r="E3566" s="11"/>
    </row>
    <row r="3567" spans="1:5">
      <c r="A3567" s="12" t="s">
        <v>12463</v>
      </c>
      <c r="B3567" s="12" t="s">
        <v>16247</v>
      </c>
      <c r="C3567" s="13" t="str">
        <f>HYPERLINK("https://audio.iskcondesiretree.com/02_-_ISKCON_Swamis/ISKCON_Swamis_-_R_to_Y/His_Holiness_Radhanath_Swami/Lectures/01_-_Theme_wise/Faith/2000-045_Placing_Our_Full_Faith_in_Krishna_SB_03-26-07_-_Radhanath_Swami_Mumbai_2000-03-25_IDesireTree.mp3", "2000-045_Placing_Our_Full_Faith_in_Krishna_SB_03-26-07_-_Radhanath_Swami_Mumbai_2000-03-25_IDesireTree.mp3")</f>
        <v>2000-045_Placing_Our_Full_Faith_in_Krishna_SB_03-26-07_-_Radhanath_Swami_Mumbai_2000-03-25_IDesireTree.mp3</v>
      </c>
      <c r="D3567" s="11"/>
      <c r="E3567" s="11"/>
    </row>
    <row r="3568" spans="1:5">
      <c r="A3568" s="12" t="s">
        <v>12463</v>
      </c>
      <c r="B3568" s="12" t="s">
        <v>16248</v>
      </c>
      <c r="C3568" s="13" t="str">
        <f>HYPERLINK("https://audio.iskcondesiretree.com/02_-_ISKCON_Swamis/ISKCON_Swamis_-_R_to_Y/His_Holiness_Radhanath_Swami/Lectures/01_-_Theme_wise/Faith/2000-060_Firm_Conviction_in_Lord_Krishna_BG_07-30_-_Radhanath_Swami_Mumbai_2000-08-26_IDesireTree.mp3", "2000-060_Firm_Conviction_in_Lord_Krishna_BG_07-30_-_Radhanath_Swami_Mumbai_2000-08-26_IDesireTree.mp3")</f>
        <v>2000-060_Firm_Conviction_in_Lord_Krishna_BG_07-30_-_Radhanath_Swami_Mumbai_2000-08-26_IDesireTree.mp3</v>
      </c>
      <c r="D3568" s="11"/>
      <c r="E3568" s="11"/>
    </row>
    <row r="3569" spans="1:5">
      <c r="A3569" s="12" t="s">
        <v>12463</v>
      </c>
      <c r="B3569" s="12" t="s">
        <v>16249</v>
      </c>
      <c r="C3569" s="13" t="str">
        <f>HYPERLINK("https://audio.iskcondesiretree.com/02_-_ISKCON_Swamis/ISKCON_Swamis_-_R_to_Y/His_Holiness_Radhanath_Swami/Lectures/01_-_Theme_wise/Faith/2001-060_Seeing_Krishna_Through_Faith_SB_04-09-02_-_Radhanath_Swami_2001-12-15_IDesireTree.mp3", "2001-060_Seeing_Krishna_Through_Faith_SB_04-09-02_-_Radhanath_Swami_2001-12-15_IDesireTree.mp3")</f>
        <v>2001-060_Seeing_Krishna_Through_Faith_SB_04-09-02_-_Radhanath_Swami_2001-12-15_IDesireTree.mp3</v>
      </c>
      <c r="D3569" s="11"/>
      <c r="E3569" s="11"/>
    </row>
    <row r="3570" spans="1:5">
      <c r="A3570" s="12" t="s">
        <v>12463</v>
      </c>
      <c r="B3570" s="12" t="s">
        <v>16250</v>
      </c>
      <c r="C3570" s="13" t="str">
        <f>HYPERLINK("https://audio.iskcondesiretree.com/02_-_ISKCON_Swamis/ISKCON_Swamis_-_R_to_Y/His_Holiness_Radhanath_Swami/Lectures/01_-_Theme_wise/False_Ego/01.SB-10-27-12-14_Ego_Purification_-_Radhanath_Swami_Mumbai_1993-04-30_IDesireTree.mp3", "01.SB-10-27-12-14_Ego_Purification_-_Radhanath_Swami_Mumbai_1993-04-30_IDesireTree.mp3")</f>
        <v>01.SB-10-27-12-14_Ego_Purification_-_Radhanath_Swami_Mumbai_1993-04-30_IDesireTree.mp3</v>
      </c>
      <c r="D3570" s="11"/>
      <c r="E3570" s="11"/>
    </row>
    <row r="3571" spans="1:5">
      <c r="A3571" s="12" t="s">
        <v>12463</v>
      </c>
      <c r="B3571" s="12" t="s">
        <v>16251</v>
      </c>
      <c r="C3571" s="13" t="str">
        <f>HYPERLINK("https://audio.iskcondesiretree.com/02_-_ISKCON_Swamis/ISKCON_Swamis_-_R_to_Y/His_Holiness_Radhanath_Swami/Lectures/01_-_Theme_wise/False_Ego/02.SB_02-03-31-32_Ego_Crushed_-_Radhanath_Swami_Mumbai_1997-05-07_IDesireTree.mp3", "02.SB_02-03-31-32_Ego_Crushed_-_Radhanath_Swami_Mumbai_1997-05-07_IDesireTree.mp3")</f>
        <v>02.SB_02-03-31-32_Ego_Crushed_-_Radhanath_Swami_Mumbai_1997-05-07_IDesireTree.mp3</v>
      </c>
      <c r="D3571" s="11"/>
      <c r="E3571" s="11"/>
    </row>
    <row r="3572" spans="1:5">
      <c r="A3572" s="12" t="s">
        <v>12463</v>
      </c>
      <c r="B3572" s="12" t="s">
        <v>16252</v>
      </c>
      <c r="C3572" s="13" t="str">
        <f>HYPERLINK("https://audio.iskcondesiretree.com/02_-_ISKCON_Swamis/ISKCON_Swamis_-_R_to_Y/His_Holiness_Radhanath_Swami/Lectures/01_-_Theme_wise/False_Ego/03.When_Ego_is_Attacked_-_Radhanath_Swami_IDesireTree.mp3", "03.When_Ego_is_Attacked_-_Radhanath_Swami_IDesireTree.mp3")</f>
        <v>03.When_Ego_is_Attacked_-_Radhanath_Swami_IDesireTree.mp3</v>
      </c>
      <c r="D3572" s="11"/>
      <c r="E3572" s="11"/>
    </row>
    <row r="3573" spans="1:5">
      <c r="A3573" s="12" t="s">
        <v>12463</v>
      </c>
      <c r="B3573" s="12" t="s">
        <v>16253</v>
      </c>
      <c r="C3573" s="13" t="str">
        <f>HYPERLINK("https://audio.iskcondesiretree.com/02_-_ISKCON_Swamis/ISKCON_Swamis_-_R_to_Y/His_Holiness_Radhanath_Swami/Lectures/01_-_Theme_wise/False_Ego/04.Giving_Up_Our_Egoistic_Attachments_-_Radhanath_Swami_1997-11-21_Ilford_IDesireTree.mp3", "04.Giving_Up_Our_Egoistic_Attachments_-_Radhanath_Swami_1997-11-21_Ilford_IDesireTree.mp3")</f>
        <v>04.Giving_Up_Our_Egoistic_Attachments_-_Radhanath_Swami_1997-11-21_Ilford_IDesireTree.mp3</v>
      </c>
      <c r="D3573" s="11"/>
      <c r="E3573" s="11"/>
    </row>
    <row r="3574" spans="1:5">
      <c r="A3574" s="12" t="s">
        <v>12463</v>
      </c>
      <c r="B3574" s="12" t="s">
        <v>16254</v>
      </c>
      <c r="C3574" s="13" t="str">
        <f>HYPERLINK("https://audio.iskcondesiretree.com/02_-_ISKCON_Swamis/ISKCON_Swamis_-_R_to_Y/His_Holiness_Radhanath_Swami/Lectures/01_-_Theme_wise/False_Ego/05.Cutting_Down_the_Weed_of_False_Ego-01_SB_04-26-08_-_Radhanath_Swami_Mumbai_2003-12-14_IDesireTree.mp3", "05.Cutting_Down_the_Weed_of_False_Ego-01_SB_04-26-08_-_Radhanath_Swami_Mumbai_2003-12-14_IDesireTree.mp3")</f>
        <v>05.Cutting_Down_the_Weed_of_False_Ego-01_SB_04-26-08_-_Radhanath_Swami_Mumbai_2003-12-14_IDesireTree.mp3</v>
      </c>
      <c r="D3574" s="11"/>
      <c r="E3574" s="11"/>
    </row>
    <row r="3575" spans="1:5">
      <c r="A3575" s="12" t="s">
        <v>12463</v>
      </c>
      <c r="B3575" s="12" t="s">
        <v>16255</v>
      </c>
      <c r="C3575" s="13" t="str">
        <f>HYPERLINK("https://audio.iskcondesiretree.com/02_-_ISKCON_Swamis/ISKCON_Swamis_-_R_to_Y/His_Holiness_Radhanath_Swami/Lectures/01_-_Theme_wise/False_Ego/06.Cutting_Down_the_Weed_of_False_Ego-02_SB_04-26-08_-_Radhanath_Swami_Mumbai_2003-12-14_IDesireTree.mp3", "06.Cutting_Down_the_Weed_of_False_Ego-02_SB_04-26-08_-_Radhanath_Swami_Mumbai_2003-12-14_IDesireTree.mp3")</f>
        <v>06.Cutting_Down_the_Weed_of_False_Ego-02_SB_04-26-08_-_Radhanath_Swami_Mumbai_2003-12-14_IDesireTree.mp3</v>
      </c>
      <c r="D3575" s="11"/>
      <c r="E3575" s="11"/>
    </row>
    <row r="3576" spans="1:5">
      <c r="A3576" s="12" t="s">
        <v>12463</v>
      </c>
      <c r="B3576" s="12" t="s">
        <v>16256</v>
      </c>
      <c r="C3576" s="13" t="str">
        <f>HYPERLINK("https://audio.iskcondesiretree.com/02_-_ISKCON_Swamis/ISKCON_Swamis_-_R_to_Y/His_Holiness_Radhanath_Swami/Lectures/01_-_Theme_wise/False_Ego/1991-007_Smashing_The_Illusion_Of_False_Ego_Lecture_-_Radhanath_Swami_Mumbai_1991-01-27_IDesireTree.mp3", "1991-007_Smashing_The_Illusion_Of_False_Ego_Lecture_-_Radhanath_Swami_Mumbai_1991-01-27_IDesireTree.mp3")</f>
        <v>1991-007_Smashing_The_Illusion_Of_False_Ego_Lecture_-_Radhanath_Swami_Mumbai_1991-01-27_IDesireTree.mp3</v>
      </c>
      <c r="D3576" s="11"/>
      <c r="E3576" s="11"/>
    </row>
    <row r="3577" spans="1:5">
      <c r="A3577" s="12" t="s">
        <v>12463</v>
      </c>
      <c r="B3577" s="12" t="s">
        <v>16257</v>
      </c>
      <c r="C3577" s="13" t="str">
        <f>HYPERLINK("https://audio.iskcondesiretree.com/02_-_ISKCON_Swamis/ISKCON_Swamis_-_R_to_Y/His_Holiness_Radhanath_Swami/Lectures/01_-_Theme_wise/False_Ego/1992-073_Laziness_And_False_Ego_BG_03-30_-_Radhanath_Swami_Mumbai_1992-08-16_IDesireTree.mp3", "1992-073_Laziness_And_False_Ego_BG_03-30_-_Radhanath_Swami_Mumbai_1992-08-16_IDesireTree.mp3")</f>
        <v>1992-073_Laziness_And_False_Ego_BG_03-30_-_Radhanath_Swami_Mumbai_1992-08-16_IDesireTree.mp3</v>
      </c>
      <c r="D3577" s="11"/>
      <c r="E3577" s="11"/>
    </row>
    <row r="3578" spans="1:5">
      <c r="A3578" s="12" t="s">
        <v>12463</v>
      </c>
      <c r="B3578" s="12" t="s">
        <v>16258</v>
      </c>
      <c r="C3578" s="13" t="str">
        <f>HYPERLINK("https://audio.iskcondesiretree.com/02_-_ISKCON_Swamis/ISKCON_Swamis_-_R_to_Y/His_Holiness_Radhanath_Swami/Lectures/01_-_Theme_wise/False_Ego/1996-069_Glorify_Devotees_Inspite_Of_Our_Ego_Lecture_-_Radhanath_Swami_Mumbai_1996-03-31_IDesireTree.mp3", "1996-069_Glorify_Devotees_Inspite_Of_Our_Ego_Lecture_-_Radhanath_Swami_Mumbai_1996-03-31_IDesireTree.mp3")</f>
        <v>1996-069_Glorify_Devotees_Inspite_Of_Our_Ego_Lecture_-_Radhanath_Swami_Mumbai_1996-03-31_IDesireTree.mp3</v>
      </c>
      <c r="D3578" s="11"/>
      <c r="E3578" s="11"/>
    </row>
    <row r="3579" spans="1:5">
      <c r="A3579" s="12" t="s">
        <v>12463</v>
      </c>
      <c r="B3579" s="12" t="s">
        <v>16259</v>
      </c>
      <c r="C3579" s="13" t="str">
        <f>HYPERLINK("https://audio.iskcondesiretree.com/02_-_ISKCON_Swamis/ISKCON_Swamis_-_R_to_Y/His_Holiness_Radhanath_Swami/Lectures/01_-_Theme_wise/False_Ego/1998-001_Weeds_of_False_Ego_SB_03-05_29_-_Radhanath_Swami_Mumbai_1998-01-01_IDesireTree.mp3", "1998-001_Weeds_of_False_Ego_SB_03-05_29_-_Radhanath_Swami_Mumbai_1998-01-01_IDesireTree.mp3")</f>
        <v>1998-001_Weeds_of_False_Ego_SB_03-05_29_-_Radhanath_Swami_Mumbai_1998-01-01_IDesireTree.mp3</v>
      </c>
      <c r="D3579" s="11"/>
      <c r="E3579" s="11"/>
    </row>
    <row r="3580" spans="1:5">
      <c r="A3580" s="12" t="s">
        <v>12463</v>
      </c>
      <c r="B3580" s="12" t="s">
        <v>16260</v>
      </c>
      <c r="C3580" s="13" t="str">
        <f>HYPERLINK("https://audio.iskcondesiretree.com/02_-_ISKCON_Swamis/ISKCON_Swamis_-_R_to_Y/His_Holiness_Radhanath_Swami/Lectures/01_-_Theme_wise/False_Ego/2003-105_Cutting_Down_the_Weed_of_False_Ego_SB_04-26-08_-_Radhanath_Swami_Mumbai_2003-12-14_IDesireTree.mp3", "2003-105_Cutting_Down_the_Weed_of_False_Ego_SB_04-26-08_-_Radhanath_Swami_Mumbai_2003-12-14_IDesireTree.mp3")</f>
        <v>2003-105_Cutting_Down_the_Weed_of_False_Ego_SB_04-26-08_-_Radhanath_Swami_Mumbai_2003-12-14_IDesireTree.mp3</v>
      </c>
      <c r="D3580" s="11"/>
      <c r="E3580" s="11"/>
    </row>
    <row r="3581" spans="1:5">
      <c r="A3581" s="12" t="s">
        <v>12463</v>
      </c>
      <c r="B3581" s="12" t="s">
        <v>16261</v>
      </c>
      <c r="C3581" s="13" t="str">
        <f>HYPERLINK("https://audio.iskcondesiretree.com/02_-_ISKCON_Swamis/ISKCON_Swamis_-_R_to_Y/His_Holiness_Radhanath_Swami/Lectures/01_-_Theme_wise/Festivals/1989-072_Fool_Number_One_Lecture_-_Radhanath_Swami_Mumbai_1989-10-30_IDesireTree.mp3", "1989-072_Fool_Number_One_Lecture_-_Radhanath_Swami_Mumbai_1989-10-30_IDesireTree.mp3")</f>
        <v>1989-072_Fool_Number_One_Lecture_-_Radhanath_Swami_Mumbai_1989-10-30_IDesireTree.mp3</v>
      </c>
      <c r="D3581" s="11"/>
      <c r="E3581" s="11"/>
    </row>
    <row r="3582" spans="1:5">
      <c r="A3582" s="12" t="s">
        <v>12463</v>
      </c>
      <c r="B3582" s="12" t="s">
        <v>16262</v>
      </c>
      <c r="C3582" s="13" t="str">
        <f>HYPERLINK("https://audio.iskcondesiretree.com/02_-_ISKCON_Swamis/ISKCON_Swamis_-_R_to_Y/His_Holiness_Radhanath_Swami/Lectures/01_-_Theme_wise/Festivals/1989-076_Meditation_On_The_Month_Of_Damodar_BG_04-09_-_Radhanath_Swami_Mumbai_1989-10-22_IDesireTree.mp3", "1989-076_Meditation_On_The_Month_Of_Damodar_BG_04-09_-_Radhanath_Swami_Mumbai_1989-10-22_IDesireTree.mp3")</f>
        <v>1989-076_Meditation_On_The_Month_Of_Damodar_BG_04-09_-_Radhanath_Swami_Mumbai_1989-10-22_IDesireTree.mp3</v>
      </c>
      <c r="D3582" s="11"/>
      <c r="E3582" s="11"/>
    </row>
    <row r="3583" spans="1:5">
      <c r="A3583" s="12" t="s">
        <v>12463</v>
      </c>
      <c r="B3583" s="12" t="s">
        <v>16263</v>
      </c>
      <c r="C3583" s="13" t="str">
        <f>HYPERLINK("https://audio.iskcondesiretree.com/02_-_ISKCON_Swamis/ISKCON_Swamis_-_R_to_Y/His_Holiness_Radhanath_Swami/Lectures/01_-_Theme_wise/Festivals/1990-022_Lord_Nityananda_Appearance_Day_VS_1-1-12_-_Radhanath_Swami_Mumbai_1990-02-17_IDesireTree.mp3", "1990-022_Lord_Nityananda_Appearance_Day_VS_1-1-12_-_Radhanath_Swami_Mumbai_1990-02-17_IDesireTree.mp3")</f>
        <v>1990-022_Lord_Nityananda_Appearance_Day_VS_1-1-12_-_Radhanath_Swami_Mumbai_1990-02-17_IDesireTree.mp3</v>
      </c>
      <c r="D3583" s="11"/>
      <c r="E3583" s="11"/>
    </row>
    <row r="3584" spans="1:5">
      <c r="A3584" s="12" t="s">
        <v>12463</v>
      </c>
      <c r="B3584" s="12" t="s">
        <v>16264</v>
      </c>
      <c r="C3584" s="13" t="str">
        <f>HYPERLINK("https://audio.iskcondesiretree.com/02_-_ISKCON_Swamis/ISKCON_Swamis_-_R_to_Y/His_Holiness_Radhanath_Swami/Lectures/01_-_Theme_wise/Festivals/1990-061_What_Janmashtami_Really_Means_BG_11-53_-_Radhanath_Swami_1990-08-12_IDesireTree.mp3", "1990-061_What_Janmashtami_Really_Means_BG_11-53_-_Radhanath_Swami_1990-08-12_IDesireTree.mp3")</f>
        <v>1990-061_What_Janmashtami_Really_Means_BG_11-53_-_Radhanath_Swami_1990-08-12_IDesireTree.mp3</v>
      </c>
      <c r="D3584" s="11"/>
      <c r="E3584" s="11"/>
    </row>
    <row r="3585" spans="1:5">
      <c r="A3585" s="12" t="s">
        <v>12463</v>
      </c>
      <c r="B3585" s="12" t="s">
        <v>16265</v>
      </c>
      <c r="C3585" s="13" t="str">
        <f>HYPERLINK("https://audio.iskcondesiretree.com/02_-_ISKCON_Swamis/ISKCON_Swamis_-_R_to_Y/His_Holiness_Radhanath_Swami/Lectures/01_-_Theme_wise/Festivals/1990-093_Govardhan_Lilla_Lecture_-_Radhanath_Swami_Mumbai_1990-10-19_IDesireTree.mp3", "1990-093_Govardhan_Lilla_Lecture_-_Radhanath_Swami_Mumbai_1990-10-19_IDesireTree.mp3")</f>
        <v>1990-093_Govardhan_Lilla_Lecture_-_Radhanath_Swami_Mumbai_1990-10-19_IDesireTree.mp3</v>
      </c>
      <c r="D3585" s="11"/>
      <c r="E3585" s="11"/>
    </row>
    <row r="3586" spans="1:5">
      <c r="A3586" s="12" t="s">
        <v>12463</v>
      </c>
      <c r="B3586" s="12" t="s">
        <v>16266</v>
      </c>
      <c r="C3586" s="13" t="str">
        <f>HYPERLINK("https://audio.iskcondesiretree.com/02_-_ISKCON_Swamis/ISKCON_Swamis_-_R_to_Y/His_Holiness_Radhanath_Swami/Lectures/01_-_Theme_wise/Festivals/1990_What_Janmastami_Really_Means_BG_11-53_-_Radhanath_Swami_Mumbai_1990-08-12_IDesireTree.mp3", "1990_What_Janmastami_Really_Means_BG_11-53_-_Radhanath_Swami_Mumbai_1990-08-12_IDesireTree.mp3")</f>
        <v>1990_What_Janmastami_Really_Means_BG_11-53_-_Radhanath_Swami_Mumbai_1990-08-12_IDesireTree.mp3</v>
      </c>
      <c r="D3586" s="11"/>
      <c r="E3586" s="11"/>
    </row>
    <row r="3587" spans="1:5">
      <c r="A3587" s="12" t="s">
        <v>12463</v>
      </c>
      <c r="B3587" s="12" t="s">
        <v>16267</v>
      </c>
      <c r="C3587" s="13" t="str">
        <f>HYPERLINK("https://audio.iskcondesiretree.com/02_-_ISKCON_Swamis/ISKCON_Swamis_-_R_to_Y/His_Holiness_Radhanath_Swami/Lectures/01_-_Theme_wise/Festivals/1991-054_The_Story_Of_Narasimhadev_Lecture_-_Radhanath_Swami_Mumbai_1991-05-26_IDesireTree.mp3", "1991-054_The_Story_Of_Narasimhadev_Lecture_-_Radhanath_Swami_Mumbai_1991-05-26_IDesireTree.mp3")</f>
        <v>1991-054_The_Story_Of_Narasimhadev_Lecture_-_Radhanath_Swami_Mumbai_1991-05-26_IDesireTree.mp3</v>
      </c>
      <c r="D3587" s="11"/>
      <c r="E3587" s="11"/>
    </row>
    <row r="3588" spans="1:5">
      <c r="A3588" s="12" t="s">
        <v>12463</v>
      </c>
      <c r="B3588" s="12" t="s">
        <v>16268</v>
      </c>
      <c r="C3588" s="13" t="str">
        <f>HYPERLINK("https://audio.iskcondesiretree.com/02_-_ISKCON_Swamis/ISKCON_Swamis_-_R_to_Y/His_Holiness_Radhanath_Swami/Lectures/01_-_Theme_wise/Festivals/1991-117_Teaching_From_Govardhan_Lila_Lecture_-_Radhanath_Swami_Mumbai_1991-11-07_IDesireTree.mp3", "1991-117_Teaching_From_Govardhan_Lila_Lecture_-_Radhanath_Swami_Mumbai_1991-11-07_IDesireTree.mp3")</f>
        <v>1991-117_Teaching_From_Govardhan_Lila_Lecture_-_Radhanath_Swami_Mumbai_1991-11-07_IDesireTree.mp3</v>
      </c>
      <c r="D3588" s="11"/>
      <c r="E3588" s="11"/>
    </row>
    <row r="3589" spans="1:5">
      <c r="A3589" s="12" t="s">
        <v>12463</v>
      </c>
      <c r="B3589" s="12" t="s">
        <v>16269</v>
      </c>
      <c r="C3589" s="13" t="str">
        <f>HYPERLINK("https://audio.iskcondesiretree.com/02_-_ISKCON_Swamis/ISKCON_Swamis_-_R_to_Y/His_Holiness_Radhanath_Swami/Lectures/01_-_Theme_wise/Festivals/1992-021_Dhenukasura_Within_Us_BG_03-30_-_Radhanath_Swami_Mumbai_1992-02-03_IDesireTree.mp3", "1992-021_Dhenukasura_Within_Us_BG_03-30_-_Radhanath_Swami_Mumbai_1992-02-03_IDesireTree.mp3")</f>
        <v>1992-021_Dhenukasura_Within_Us_BG_03-30_-_Radhanath_Swami_Mumbai_1992-02-03_IDesireTree.mp3</v>
      </c>
      <c r="D3589" s="11"/>
      <c r="E3589" s="11"/>
    </row>
    <row r="3590" spans="1:5">
      <c r="A3590" s="12" t="s">
        <v>12463</v>
      </c>
      <c r="B3590" s="12" t="s">
        <v>16270</v>
      </c>
      <c r="C3590" s="13" t="str">
        <f>HYPERLINK("https://audio.iskcondesiretree.com/02_-_ISKCON_Swamis/ISKCON_Swamis_-_R_to_Y/His_Holiness_Radhanath_Swami/Lectures/01_-_Theme_wise/Festivals/1992-038_Gaur_Purnima_Lecture_-_Radhanath_Swami_Mumbai_1992-03-18_IDesireTree.mp3", "1992-038_Gaur_Purnima_Lecture_-_Radhanath_Swami_Mumbai_1992-03-18_IDesireTree.mp3")</f>
        <v>1992-038_Gaur_Purnima_Lecture_-_Radhanath_Swami_Mumbai_1992-03-18_IDesireTree.mp3</v>
      </c>
      <c r="D3590" s="11"/>
      <c r="E3590" s="11"/>
    </row>
    <row r="3591" spans="1:5">
      <c r="A3591" s="12" t="s">
        <v>12463</v>
      </c>
      <c r="B3591" s="12" t="s">
        <v>16271</v>
      </c>
      <c r="C3591" s="13" t="str">
        <f>HYPERLINK("https://audio.iskcondesiretree.com/02_-_ISKCON_Swamis/ISKCON_Swamis_-_R_to_Y/His_Holiness_Radhanath_Swami/Lectures/01_-_Theme_wise/Festivals/1992-071_Lord_Balarama_Appearance_Day_Lecture_-_Radhanath_Swami_Mumbai_1992-08-15_IDesireTree.mp3", "1992-071_Lord_Balarama_Appearance_Day_Lecture_-_Radhanath_Swami_Mumbai_1992-08-15_IDesireTree.mp3")</f>
        <v>1992-071_Lord_Balarama_Appearance_Day_Lecture_-_Radhanath_Swami_Mumbai_1992-08-15_IDesireTree.mp3</v>
      </c>
      <c r="D3591" s="11"/>
      <c r="E3591" s="11"/>
    </row>
    <row r="3592" spans="1:5">
      <c r="A3592" s="12" t="s">
        <v>12463</v>
      </c>
      <c r="B3592" s="12" t="s">
        <v>16272</v>
      </c>
      <c r="C3592" s="13" t="str">
        <f>HYPERLINK("https://audio.iskcondesiretree.com/02_-_ISKCON_Swamis/ISKCON_Swamis_-_R_to_Y/His_Holiness_Radhanath_Swami/Lectures/01_-_Theme_wise/Festivals/1992-085_Meaning_Of_Janamashtami_Lecture_-_Radhanath_Swami_Mumbai_1992-08-21_IDesireTree.mp3", "1992-085_Meaning_Of_Janamashtami_Lecture_-_Radhanath_Swami_Mumbai_1992-08-21_IDesireTree.mp3")</f>
        <v>1992-085_Meaning_Of_Janamashtami_Lecture_-_Radhanath_Swami_Mumbai_1992-08-21_IDesireTree.mp3</v>
      </c>
      <c r="D3592" s="11"/>
      <c r="E3592" s="11"/>
    </row>
    <row r="3593" spans="1:5">
      <c r="A3593" s="12" t="s">
        <v>12463</v>
      </c>
      <c r="B3593" s="12" t="s">
        <v>16273</v>
      </c>
      <c r="C3593" s="13" t="str">
        <f>HYPERLINK("https://audio.iskcondesiretree.com/02_-_ISKCON_Swamis/ISKCON_Swamis_-_R_to_Y/His_Holiness_Radhanath_Swami/Lectures/01_-_Theme_wise/Festivals/1993-107_Story_Of_Lord_Jagannath_BG_13-17_-_Radhanath_Swami_Mumbai_1993-06-06_IDesireTree.mp3", "1993-107_Story_Of_Lord_Jagannath_BG_13-17_-_Radhanath_Swami_Mumbai_1993-06-06_IDesireTree.mp3")</f>
        <v>1993-107_Story_Of_Lord_Jagannath_BG_13-17_-_Radhanath_Swami_Mumbai_1993-06-06_IDesireTree.mp3</v>
      </c>
      <c r="D3593" s="11"/>
      <c r="E3593" s="11"/>
    </row>
    <row r="3594" spans="1:5">
      <c r="A3594" s="12" t="s">
        <v>12463</v>
      </c>
      <c r="B3594" s="12" t="s">
        <v>16274</v>
      </c>
      <c r="C3594" s="13" t="str">
        <f>HYPERLINK("https://audio.iskcondesiretree.com/02_-_ISKCON_Swamis/ISKCON_Swamis_-_R_to_Y/His_Holiness_Radhanath_Swami/Lectures/01_-_Theme_wise/Festivals/1993-169_Govardhan_Puja_SB_10-25-13_-_Radhanath_Swami_Mumbai_1993-11-15_IDesireTree.mp3", "1993-169_Govardhan_Puja_SB_10-25-13_-_Radhanath_Swami_Mumbai_1993-11-15_IDesireTree.mp3")</f>
        <v>1993-169_Govardhan_Puja_SB_10-25-13_-_Radhanath_Swami_Mumbai_1993-11-15_IDesireTree.mp3</v>
      </c>
      <c r="D3594" s="11"/>
      <c r="E3594" s="11"/>
    </row>
    <row r="3595" spans="1:5">
      <c r="A3595" s="12" t="s">
        <v>12463</v>
      </c>
      <c r="B3595" s="12" t="s">
        <v>16275</v>
      </c>
      <c r="C3595" s="13" t="str">
        <f>HYPERLINK("https://audio.iskcondesiretree.com/02_-_ISKCON_Swamis/ISKCON_Swamis_-_R_to_Y/His_Holiness_Radhanath_Swami/Lectures/01_-_Theme_wise/Festivals/1994-027_Story_Of_Vasant_Panchami_Lecture_-_Radhanath_Swami_Mumbai_1994-02-15_IDesireTree.mp3", "1994-027_Story_Of_Vasant_Panchami_Lecture_-_Radhanath_Swami_Mumbai_1994-02-15_IDesireTree.mp3")</f>
        <v>1994-027_Story_Of_Vasant_Panchami_Lecture_-_Radhanath_Swami_Mumbai_1994-02-15_IDesireTree.mp3</v>
      </c>
      <c r="D3595" s="11"/>
      <c r="E3595" s="11"/>
    </row>
    <row r="3596" spans="1:5">
      <c r="A3596" s="12" t="s">
        <v>12463</v>
      </c>
      <c r="B3596" s="12" t="s">
        <v>16276</v>
      </c>
      <c r="C3596" s="13" t="str">
        <f>HYPERLINK("https://audio.iskcondesiretree.com/02_-_ISKCON_Swamis/ISKCON_Swamis_-_R_to_Y/His_Holiness_Radhanath_Swami/Lectures/01_-_Theme_wise/Festivals/1994-097_Significance_Of_Chandan_Yatra_Lecture_-_Radhanath_Swami_Mumbai_1994-05-15_IDesireTree.mp3", "1994-097_Significance_Of_Chandan_Yatra_Lecture_-_Radhanath_Swami_Mumbai_1994-05-15_IDesireTree.mp3")</f>
        <v>1994-097_Significance_Of_Chandan_Yatra_Lecture_-_Radhanath_Swami_Mumbai_1994-05-15_IDesireTree.mp3</v>
      </c>
      <c r="D3596" s="11"/>
      <c r="E3596" s="11"/>
    </row>
    <row r="3597" spans="1:5">
      <c r="A3597" s="12" t="s">
        <v>12463</v>
      </c>
      <c r="B3597" s="12" t="s">
        <v>16277</v>
      </c>
      <c r="C3597" s="13" t="str">
        <f>HYPERLINK("https://audio.iskcondesiretree.com/02_-_ISKCON_Swamis/ISKCON_Swamis_-_R_to_Y/His_Holiness_Radhanath_Swami/Lectures/01_-_Theme_wise/Festivals/1994-103_Significance_Of_Jhulan_Yatra_Lecture_-_Radhanath_Swami_Mumbai_1994-08-20_IDesireTree.mp3", "1994-103_Significance_Of_Jhulan_Yatra_Lecture_-_Radhanath_Swami_Mumbai_1994-08-20_IDesireTree.mp3")</f>
        <v>1994-103_Significance_Of_Jhulan_Yatra_Lecture_-_Radhanath_Swami_Mumbai_1994-08-20_IDesireTree.mp3</v>
      </c>
      <c r="D3597" s="11"/>
      <c r="E3597" s="11"/>
    </row>
    <row r="3598" spans="1:5">
      <c r="A3598" s="12" t="s">
        <v>12463</v>
      </c>
      <c r="B3598" s="12" t="s">
        <v>16278</v>
      </c>
      <c r="C3598" s="13" t="str">
        <f>HYPERLINK("https://audio.iskcondesiretree.com/02_-_ISKCON_Swamis/ISKCON_Swamis_-_R_to_Y/His_Holiness_Radhanath_Swami/Lectures/01_-_Theme_wise/Festivals/1994-106_Lord_Balaram%27s_Mercy_Is_must_BG_10-08_-_Radhanath_Swami_Mumbai_1994-08-21_IDesireTree.mp3", "1994-106_Lord_Balaram%27s_Mercy_Is_must_BG_10-08_-_Radhanath_Swami_Mumbai_1994-08-21_IDesireTree.mp3")</f>
        <v>1994-106_Lord_Balaram%27s_Mercy_Is_must_BG_10-08_-_Radhanath_Swami_Mumbai_1994-08-21_IDesireTree.mp3</v>
      </c>
      <c r="D3598" s="11"/>
      <c r="E3598" s="11"/>
    </row>
    <row r="3599" spans="1:5">
      <c r="A3599" s="12" t="s">
        <v>12463</v>
      </c>
      <c r="B3599" s="12" t="s">
        <v>16279</v>
      </c>
      <c r="C3599" s="13" t="str">
        <f>HYPERLINK("https://audio.iskcondesiretree.com/02_-_ISKCON_Swamis/ISKCON_Swamis_-_R_to_Y/His_Holiness_Radhanath_Swami/Lectures/01_-_Theme_wise/Festivals/1994-202_Meditation_On_Sharad_Purnima_SB_10-29-01-02_-_Radhanath_Swami_Mumbai_1994-10-19_IDesireTree.mp3", "1994-202_Meditation_On_Sharad_Purnima_SB_10-29-01-02_-_Radhanath_Swami_Mumbai_1994-10-19_IDesireTree.mp3")</f>
        <v>1994-202_Meditation_On_Sharad_Purnima_SB_10-29-01-02_-_Radhanath_Swami_Mumbai_1994-10-19_IDesireTree.mp3</v>
      </c>
      <c r="D3599" s="11"/>
      <c r="E3599" s="11"/>
    </row>
    <row r="3600" spans="1:5">
      <c r="A3600" s="12" t="s">
        <v>12463</v>
      </c>
      <c r="B3600" s="12" t="s">
        <v>16280</v>
      </c>
      <c r="C3600" s="13" t="str">
        <f>HYPERLINK("https://audio.iskcondesiretree.com/02_-_ISKCON_Swamis/ISKCON_Swamis_-_R_to_Y/His_Holiness_Radhanath_Swami/Lectures/01_-_Theme_wise/Festivals/1994-208_Govardhan_Lilla_Lecture_-_Radhanath_Swami_Mumbai_1994-10-23_IDesireTree.mp3", "1994-208_Govardhan_Lilla_Lecture_-_Radhanath_Swami_Mumbai_1994-10-23_IDesireTree.mp3")</f>
        <v>1994-208_Govardhan_Lilla_Lecture_-_Radhanath_Swami_Mumbai_1994-10-23_IDesireTree.mp3</v>
      </c>
      <c r="D3600" s="11"/>
      <c r="E3600" s="11"/>
    </row>
    <row r="3601" spans="1:5">
      <c r="A3601" s="12" t="s">
        <v>12463</v>
      </c>
      <c r="B3601" s="12" t="s">
        <v>16281</v>
      </c>
      <c r="C3601" s="13" t="str">
        <f>HYPERLINK("https://audio.iskcondesiretree.com/02_-_ISKCON_Swamis/ISKCON_Swamis_-_R_to_Y/His_Holiness_Radhanath_Swami/Lectures/01_-_Theme_wise/Festivals/1995-020_Importance_Of_Makar_Sankranti_Mt_-_SB_01-09-29-30_-_Radhanath_Swami_Kolhapur_1995-01-14.mp3", "1995-020_Importance_Of_Makar_Sankranti_Mt_-_SB_01-09-29-30_-_Radhanath_Swami_Kolhapur_1995-01-14.mp3")</f>
        <v>1995-020_Importance_Of_Makar_Sankranti_Mt_-_SB_01-09-29-30_-_Radhanath_Swami_Kolhapur_1995-01-14.mp3</v>
      </c>
      <c r="D3601" s="11"/>
      <c r="E3601" s="11"/>
    </row>
    <row r="3602" spans="1:5">
      <c r="A3602" s="12" t="s">
        <v>12463</v>
      </c>
      <c r="B3602" s="12" t="s">
        <v>16282</v>
      </c>
      <c r="C3602" s="13" t="str">
        <f>HYPERLINK("https://audio.iskcondesiretree.com/02_-_ISKCON_Swamis/ISKCON_Swamis_-_R_to_Y/His_Holiness_Radhanath_Swami/Lectures/01_-_Theme_wise/Festivals/1995-069_Lord_Jaganatha_Ratha_Yatra_SB_02-09-36_-_Radhanath_Swami_Kurukshetra_1995-03-25.mp3", "1995-069_Lord_Jaganatha_Ratha_Yatra_SB_02-09-36_-_Radhanath_Swami_Kurukshetra_1995-03-25.mp3")</f>
        <v>1995-069_Lord_Jaganatha_Ratha_Yatra_SB_02-09-36_-_Radhanath_Swami_Kurukshetra_1995-03-25.mp3</v>
      </c>
      <c r="D3602" s="11"/>
      <c r="E3602" s="11"/>
    </row>
    <row r="3603" spans="1:5">
      <c r="A3603" s="12" t="s">
        <v>12463</v>
      </c>
      <c r="B3603" s="12" t="s">
        <v>16283</v>
      </c>
      <c r="C3603" s="13" t="str">
        <f>HYPERLINK("https://audio.iskcondesiretree.com/02_-_ISKCON_Swamis/ISKCON_Swamis_-_R_to_Y/His_Holiness_Radhanath_Swami/Lectures/01_-_Theme_wise/Festivals/1995-074_Rath_Yatra_CC_ML_13-03_-_Radhanath_Swami_Mumbai_1995-03-31_IDesireTree.mp3", "1995-074_Rath_Yatra_CC_ML_13-03_-_Radhanath_Swami_Mumbai_1995-03-31_IDesireTree.mp3")</f>
        <v>1995-074_Rath_Yatra_CC_ML_13-03_-_Radhanath_Swami_Mumbai_1995-03-31_IDesireTree.mp3</v>
      </c>
      <c r="D3603" s="11"/>
      <c r="E3603" s="11"/>
    </row>
    <row r="3604" spans="1:5">
      <c r="A3604" s="12" t="s">
        <v>12463</v>
      </c>
      <c r="B3604" s="12" t="s">
        <v>16284</v>
      </c>
      <c r="C3604" s="13" t="str">
        <f>HYPERLINK("https://audio.iskcondesiretree.com/02_-_ISKCON_Swamis/ISKCON_Swamis_-_R_to_Y/His_Holiness_Radhanath_Swami/Lectures/01_-_Theme_wise/Festivals/1995-080_Festival_Of_Jhulan_Yatra_Lecture_-_Radhanath_Swami_Mumbai_1995-08-09_IDesireTree.mp3", "1995-080_Festival_Of_Jhulan_Yatra_Lecture_-_Radhanath_Swami_Mumbai_1995-08-09_IDesireTree.mp3")</f>
        <v>1995-080_Festival_Of_Jhulan_Yatra_Lecture_-_Radhanath_Swami_Mumbai_1995-08-09_IDesireTree.mp3</v>
      </c>
      <c r="D3604" s="11"/>
      <c r="E3604" s="11"/>
    </row>
    <row r="3605" spans="1:5">
      <c r="A3605" s="12" t="s">
        <v>12463</v>
      </c>
      <c r="B3605" s="12" t="s">
        <v>16285</v>
      </c>
      <c r="C3605" s="13" t="str">
        <f>HYPERLINK("https://audio.iskcondesiretree.com/02_-_ISKCON_Swamis/ISKCON_Swamis_-_R_to_Y/His_Holiness_Radhanath_Swami/Lectures/01_-_Theme_wise/Festivals/1995-082_Lord_Balaram%27s_Appearence_Day_SB_10-08-12_-_Radhanath_Swami_Mumbai_1995-08-10_IDesireTree.mp3", "1995-082_Lord_Balaram%27s_Appearence_Day_SB_10-08-12_-_Radhanath_Swami_Mumbai_1995-08-10_IDesireTree.mp3")</f>
        <v>1995-082_Lord_Balaram%27s_Appearence_Day_SB_10-08-12_-_Radhanath_Swami_Mumbai_1995-08-10_IDesireTree.mp3</v>
      </c>
      <c r="D3605" s="11"/>
      <c r="E3605" s="11"/>
    </row>
    <row r="3606" spans="1:5">
      <c r="A3606" s="12" t="s">
        <v>12463</v>
      </c>
      <c r="B3606" s="12" t="s">
        <v>16286</v>
      </c>
      <c r="C3606" s="13" t="str">
        <f>HYPERLINK("https://audio.iskcondesiretree.com/02_-_ISKCON_Swamis/ISKCON_Swamis_-_R_to_Y/His_Holiness_Radhanath_Swami/Lectures/01_-_Theme_wise/Festivals/1995-087_Significance_Of_Krishna%27s_Appearance_Lecture_-_Radhanath_Swami_Mumbai_1995-08-18_IDesireTree.mp3", "1995-087_Significance_Of_Krishna%27s_Appearance_Lecture_-_Radhanath_Swami_Mumbai_1995-08-18_IDesireTree.mp3")</f>
        <v>1995-087_Significance_Of_Krishna%27s_Appearance_Lecture_-_Radhanath_Swami_Mumbai_1995-08-18_IDesireTree.mp3</v>
      </c>
      <c r="D3606" s="11"/>
      <c r="E3606" s="11"/>
    </row>
    <row r="3607" spans="1:5">
      <c r="A3607" s="12" t="s">
        <v>12463</v>
      </c>
      <c r="B3607" s="12" t="s">
        <v>16287</v>
      </c>
      <c r="C3607" s="13" t="str">
        <f>HYPERLINK("https://audio.iskcondesiretree.com/02_-_ISKCON_Swamis/ISKCON_Swamis_-_R_to_Y/His_Holiness_Radhanath_Swami/Lectures/01_-_Theme_wise/Festivals/1995-088_Janmashtami_Katha_SB_10-01-16_-_Radhanath_Swami_Mumbai_1995-08-18_IDesireTree.mp3", "1995-088_Janmashtami_Katha_SB_10-01-16_-_Radhanath_Swami_Mumbai_1995-08-18_IDesireTree.mp3")</f>
        <v>1995-088_Janmashtami_Katha_SB_10-01-16_-_Radhanath_Swami_Mumbai_1995-08-18_IDesireTree.mp3</v>
      </c>
      <c r="D3607" s="11"/>
      <c r="E3607" s="11"/>
    </row>
    <row r="3608" spans="1:5">
      <c r="A3608" s="12" t="s">
        <v>12463</v>
      </c>
      <c r="B3608" s="12" t="s">
        <v>16288</v>
      </c>
      <c r="C3608" s="13" t="str">
        <f>HYPERLINK("https://audio.iskcondesiretree.com/02_-_ISKCON_Swamis/ISKCON_Swamis_-_R_to_Y/His_Holiness_Radhanath_Swami/Lectures/01_-_Theme_wise/Festivals/1995-119_Sharad_Purnima_Lecture_-_Radhanath_Swami_Mumbai_1995-10-08_IDesireTree.mp3", "1995-119_Sharad_Purnima_Lecture_-_Radhanath_Swami_Mumbai_1995-10-08_IDesireTree.mp3")</f>
        <v>1995-119_Sharad_Purnima_Lecture_-_Radhanath_Swami_Mumbai_1995-10-08_IDesireTree.mp3</v>
      </c>
      <c r="D3608" s="11"/>
      <c r="E3608" s="11"/>
    </row>
    <row r="3609" spans="1:5">
      <c r="A3609" s="12" t="s">
        <v>12463</v>
      </c>
      <c r="B3609" s="12" t="s">
        <v>16289</v>
      </c>
      <c r="C3609" s="13" t="str">
        <f>HYPERLINK("https://audio.iskcondesiretree.com/02_-_ISKCON_Swamis/ISKCON_Swamis_-_R_to_Y/His_Holiness_Radhanath_Swami/Lectures/01_-_Theme_wise/Festivals/1995-130_Worship_Of_Govardhan_Hill_BG_09-26_-_Radhanath_Swami_Mumbai_1995-10-29_IDesireTree.mp3", "1995-130_Worship_Of_Govardhan_Hill_BG_09-26_-_Radhanath_Swami_Mumbai_1995-10-29_IDesireTree.mp3")</f>
        <v>1995-130_Worship_Of_Govardhan_Hill_BG_09-26_-_Radhanath_Swami_Mumbai_1995-10-29_IDesireTree.mp3</v>
      </c>
      <c r="D3609" s="11"/>
      <c r="E3609" s="11"/>
    </row>
    <row r="3610" spans="1:5">
      <c r="A3610" s="12" t="s">
        <v>12463</v>
      </c>
      <c r="B3610" s="12" t="s">
        <v>16290</v>
      </c>
      <c r="C3610" s="13" t="str">
        <f>HYPERLINK("https://audio.iskcondesiretree.com/02_-_ISKCON_Swamis/ISKCON_Swamis_-_R_to_Y/His_Holiness_Radhanath_Swami/Lectures/01_-_Theme_wise/Festivals/1996-110_Lord_Balarama%27s_Appearence_Day_Lecture_-_Radhanath_Swami_Mumbai_1996-08-28_IDesireTree.mp3", "1996-110_Lord_Balarama%27s_Appearence_Day_Lecture_-_Radhanath_Swami_Mumbai_1996-08-28_IDesireTree.mp3")</f>
        <v>1996-110_Lord_Balarama%27s_Appearence_Day_Lecture_-_Radhanath_Swami_Mumbai_1996-08-28_IDesireTree.mp3</v>
      </c>
      <c r="D3610" s="11"/>
      <c r="E3610" s="11"/>
    </row>
    <row r="3611" spans="1:5">
      <c r="A3611" s="12" t="s">
        <v>12463</v>
      </c>
      <c r="B3611" s="12" t="s">
        <v>16291</v>
      </c>
      <c r="C3611" s="13" t="str">
        <f>HYPERLINK("https://audio.iskcondesiretree.com/02_-_ISKCON_Swamis/ISKCON_Swamis_-_R_to_Y/His_Holiness_Radhanath_Swami/Lectures/01_-_Theme_wise/Festivals/1996-161_Importance_Of_The_Month_Of_Damodar_Lecture_-_Radhanath_Swami_Mumbai_1996-10-27_IDesireTree.mp3", "1996-161_Importance_Of_The_Month_Of_Damodar_Lecture_-_Radhanath_Swami_Mumbai_1996-10-27_IDesireTree.mp3")</f>
        <v>1996-161_Importance_Of_The_Month_Of_Damodar_Lecture_-_Radhanath_Swami_Mumbai_1996-10-27_IDesireTree.mp3</v>
      </c>
      <c r="D3611" s="11"/>
      <c r="E3611" s="11"/>
    </row>
    <row r="3612" spans="1:5">
      <c r="A3612" s="12" t="s">
        <v>12463</v>
      </c>
      <c r="B3612" s="12" t="s">
        <v>16292</v>
      </c>
      <c r="C3612" s="13" t="str">
        <f>HYPERLINK("https://audio.iskcondesiretree.com/02_-_ISKCON_Swamis/ISKCON_Swamis_-_R_to_Y/His_Holiness_Radhanath_Swami/Lectures/01_-_Theme_wise/Festivals/1996-162_Sharad_Purnima_Festival_Lecture_-_Radhanath_Swami_Mumbai_1996-10-27_IDesireTree.mp3", "1996-162_Sharad_Purnima_Festival_Lecture_-_Radhanath_Swami_Mumbai_1996-10-27_IDesireTree.mp3")</f>
        <v>1996-162_Sharad_Purnima_Festival_Lecture_-_Radhanath_Swami_Mumbai_1996-10-27_IDesireTree.mp3</v>
      </c>
      <c r="D3612" s="11"/>
      <c r="E3612" s="11"/>
    </row>
    <row r="3613" spans="1:5">
      <c r="A3613" s="12" t="s">
        <v>12463</v>
      </c>
      <c r="B3613" s="12" t="s">
        <v>16293</v>
      </c>
      <c r="C3613" s="13" t="str">
        <f>HYPERLINK("https://audio.iskcondesiretree.com/02_-_ISKCON_Swamis/ISKCON_Swamis_-_R_to_Y/His_Holiness_Radhanath_Swami/Lectures/01_-_Theme_wise/Festivals/1996-167_Bahulastami_Lecture_-_Radhanath_Swami_Mumbai_1996-11-03_IDesireTree.mp3", "1996-167_Bahulastami_Lecture_-_Radhanath_Swami_Mumbai_1996-11-03_IDesireTree.mp3")</f>
        <v>1996-167_Bahulastami_Lecture_-_Radhanath_Swami_Mumbai_1996-11-03_IDesireTree.mp3</v>
      </c>
      <c r="D3613" s="11"/>
      <c r="E3613" s="11"/>
    </row>
    <row r="3614" spans="1:5">
      <c r="A3614" s="12" t="s">
        <v>12463</v>
      </c>
      <c r="B3614" s="12" t="s">
        <v>16294</v>
      </c>
      <c r="C3614" s="13" t="str">
        <f>HYPERLINK("https://audio.iskcondesiretree.com/02_-_ISKCON_Swamis/ISKCON_Swamis_-_R_to_Y/His_Holiness_Radhanath_Swami/Lectures/01_-_Theme_wise/Festivals/1997-037_Vasant_Panchmi_Festival_Lecture_-_Radhanath_Swami_Mumbai_1997-02-11_IDesireTree.mp3", "1997-037_Vasant_Panchmi_Festival_Lecture_-_Radhanath_Swami_Mumbai_1997-02-11_IDesireTree.mp3")</f>
        <v>1997-037_Vasant_Panchmi_Festival_Lecture_-_Radhanath_Swami_Mumbai_1997-02-11_IDesireTree.mp3</v>
      </c>
      <c r="D3614" s="11"/>
      <c r="E3614" s="11"/>
    </row>
    <row r="3615" spans="1:5">
      <c r="A3615" s="12" t="s">
        <v>12463</v>
      </c>
      <c r="B3615" s="12" t="s">
        <v>16295</v>
      </c>
      <c r="C3615" s="13" t="str">
        <f>HYPERLINK("https://audio.iskcondesiretree.com/02_-_ISKCON_Swamis/ISKCON_Swamis_-_R_to_Y/His_Holiness_Radhanath_Swami/Lectures/01_-_Theme_wise/Festivals/1998-002_Pushya_Abhishek_Lecture_-_Radhanath_Swami_Mumbai_1998-01-12_IDesireTree.mp3", "1998-002_Pushya_Abhishek_Lecture_-_Radhanath_Swami_Mumbai_1998-01-12_IDesireTree.mp3")</f>
        <v>1998-002_Pushya_Abhishek_Lecture_-_Radhanath_Swami_Mumbai_1998-01-12_IDesireTree.mp3</v>
      </c>
      <c r="D3615" s="11"/>
      <c r="E3615" s="11"/>
    </row>
    <row r="3616" spans="1:5">
      <c r="A3616" s="12" t="s">
        <v>12463</v>
      </c>
      <c r="B3616" s="12" t="s">
        <v>16296</v>
      </c>
      <c r="C3616" s="13" t="str">
        <f>HYPERLINK("https://audio.iskcondesiretree.com/02_-_ISKCON_Swamis/ISKCON_Swamis_-_R_to_Y/His_Holiness_Radhanath_Swami/Lectures/01_-_Theme_wise/Festivals/1998-069_Lord_Caitanya_Celebrating_Ratha_Yatra_Lecture_-_Radhanath_Swami_NV_1998-05-21_IDesireTree.mp3", "1998-069_Lord_Caitanya_Celebrating_Ratha_Yatra_Lecture_-_Radhanath_Swami_NV_1998-05-21_IDesireTree.mp3")</f>
        <v>1998-069_Lord_Caitanya_Celebrating_Ratha_Yatra_Lecture_-_Radhanath_Swami_NV_1998-05-21_IDesireTree.mp3</v>
      </c>
      <c r="D3616" s="11"/>
      <c r="E3616" s="11"/>
    </row>
    <row r="3617" spans="1:5">
      <c r="A3617" s="12" t="s">
        <v>12463</v>
      </c>
      <c r="B3617" s="12" t="s">
        <v>16297</v>
      </c>
      <c r="C3617" s="13" t="str">
        <f>HYPERLINK("https://audio.iskcondesiretree.com/02_-_ISKCON_Swamis/ISKCON_Swamis_-_R_to_Y/His_Holiness_Radhanath_Swami/Lectures/01_-_Theme_wise/Festivals/1999-018_Gaura_Poornima_Celebration_Lecture_-_Radhanath_Swami_Mumbai_1999-03-02_IDesireTree.mp3", "1999-018_Gaura_Poornima_Celebration_Lecture_-_Radhanath_Swami_Mumbai_1999-03-02_IDesireTree.mp3")</f>
        <v>1999-018_Gaura_Poornima_Celebration_Lecture_-_Radhanath_Swami_Mumbai_1999-03-02_IDesireTree.mp3</v>
      </c>
      <c r="D3617" s="11"/>
      <c r="E3617" s="11"/>
    </row>
    <row r="3618" spans="1:5">
      <c r="A3618" s="12" t="s">
        <v>12463</v>
      </c>
      <c r="B3618" s="12" t="s">
        <v>16298</v>
      </c>
      <c r="C3618" s="13" t="str">
        <f>HYPERLINK("https://audio.iskcondesiretree.com/02_-_ISKCON_Swamis/ISKCON_Swamis_-_R_to_Y/His_Holiness_Radhanath_Swami/Lectures/01_-_Theme_wise/Festivals/2000-018_Pushya_Abhishek_Lecture_-_Radhanath_Swami_Mumbai_2000-01-31_IDesireTree.mp3", "2000-018_Pushya_Abhishek_Lecture_-_Radhanath_Swami_Mumbai_2000-01-31_IDesireTree.mp3")</f>
        <v>2000-018_Pushya_Abhishek_Lecture_-_Radhanath_Swami_Mumbai_2000-01-31_IDesireTree.mp3</v>
      </c>
      <c r="D3618" s="11"/>
      <c r="E3618" s="11"/>
    </row>
    <row r="3619" spans="1:5">
      <c r="A3619" s="12" t="s">
        <v>12463</v>
      </c>
      <c r="B3619" s="12" t="s">
        <v>16299</v>
      </c>
      <c r="C3619" s="13" t="str">
        <f>HYPERLINK("https://audio.iskcondesiretree.com/02_-_ISKCON_Swamis/ISKCON_Swamis_-_R_to_Y/His_Holiness_Radhanath_Swami/Lectures/01_-_Theme_wise/Festivals/2000-041_Gaura_Poornima_Celebrations_Lecture_-_Radhanath_Swami_Mumbai_2000-03-19_IDesireTree.mp3", "2000-041_Gaura_Poornima_Celebrations_Lecture_-_Radhanath_Swami_Mumbai_2000-03-19_IDesireTree.mp3")</f>
        <v>2000-041_Gaura_Poornima_Celebrations_Lecture_-_Radhanath_Swami_Mumbai_2000-03-19_IDesireTree.mp3</v>
      </c>
      <c r="D3619" s="11"/>
      <c r="E3619" s="11"/>
    </row>
    <row r="3620" spans="1:5">
      <c r="A3620" s="12" t="s">
        <v>12463</v>
      </c>
      <c r="B3620" s="12" t="s">
        <v>16300</v>
      </c>
      <c r="C3620" s="13" t="str">
        <f>HYPERLINK("https://audio.iskcondesiretree.com/02_-_ISKCON_Swamis/ISKCON_Swamis_-_R_to_Y/His_Holiness_Radhanath_Swami/Lectures/01_-_Theme_wise/Festivals/2000-042_Gaura_Poornima_Celebrations_Lecture_-_Radhanath_Swami_Mumbai_2000-03-20_IDesireTree.mp3", "2000-042_Gaura_Poornima_Celebrations_Lecture_-_Radhanath_Swami_Mumbai_2000-03-20_IDesireTree.mp3")</f>
        <v>2000-042_Gaura_Poornima_Celebrations_Lecture_-_Radhanath_Swami_Mumbai_2000-03-20_IDesireTree.mp3</v>
      </c>
      <c r="D3620" s="11"/>
      <c r="E3620" s="11"/>
    </row>
    <row r="3621" spans="1:5">
      <c r="A3621" s="12" t="s">
        <v>12463</v>
      </c>
      <c r="B3621" s="12" t="s">
        <v>16301</v>
      </c>
      <c r="C3621" s="13" t="str">
        <f>HYPERLINK("https://audio.iskcondesiretree.com/02_-_ISKCON_Swamis/ISKCON_Swamis_-_R_to_Y/His_Holiness_Radhanath_Swami/Lectures/01_-_Theme_wise/Festivals/2000-044_Jagannath_Misra_Festival_Initiation_Lecture_-_Radhanath_Swami_Chek_2000-03-21_IDesireTree.mp3", "2000-044_Jagannath_Misra_Festival_Initiation_Lecture_-_Radhanath_Swami_Chek_2000-03-21_IDesireTree.mp3")</f>
        <v>2000-044_Jagannath_Misra_Festival_Initiation_Lecture_-_Radhanath_Swami_Chek_2000-03-21_IDesireTree.mp3</v>
      </c>
      <c r="D3621" s="11"/>
      <c r="E3621" s="11"/>
    </row>
    <row r="3622" spans="1:5">
      <c r="A3622" s="12" t="s">
        <v>12463</v>
      </c>
      <c r="B3622" s="12" t="s">
        <v>16302</v>
      </c>
      <c r="C3622" s="13" t="str">
        <f>HYPERLINK("https://audio.iskcondesiretree.com/02_-_ISKCON_Swamis/ISKCON_Swamis_-_R_to_Y/His_Holiness_Radhanath_Swami/Lectures/01_-_Theme_wise/Festivals/2000-057_The_Appearance_of_Lord_Krishna_-_SB_10_-_Radhanath_Swami_IDesireTree.mp3", "2000-057_The_Appearance_of_Lord_Krishna_-_SB_10_-_Radhanath_Swami_IDesireTree.mp3")</f>
        <v>2000-057_The_Appearance_of_Lord_Krishna_-_SB_10_-_Radhanath_Swami_IDesireTree.mp3</v>
      </c>
      <c r="D3622" s="11"/>
      <c r="E3622" s="11"/>
    </row>
    <row r="3623" spans="1:5">
      <c r="A3623" s="12" t="s">
        <v>12463</v>
      </c>
      <c r="B3623" s="12" t="s">
        <v>16303</v>
      </c>
      <c r="C3623" s="13" t="str">
        <f>HYPERLINK("https://audio.iskcondesiretree.com/02_-_ISKCON_Swamis/ISKCON_Swamis_-_R_to_Y/His_Holiness_Radhanath_Swami/Lectures/01_-_Theme_wise/Festivals/2000-059_Wonderful_Appearance_of_Lord_Krishna_Lecture_-_Radhanath_Swami_Mumbai_2000-08-25_IDesireTree.mp3", "2000-059_Wonderful_Appearance_of_Lord_Krishna_Lecture_-_Radhanath_Swami_Mumbai_2000-08-25_IDesireTree.mp3")</f>
        <v>2000-059_Wonderful_Appearance_of_Lord_Krishna_Lecture_-_Radhanath_Swami_Mumbai_2000-08-25_IDesireTree.mp3</v>
      </c>
      <c r="D3623" s="11"/>
      <c r="E3623" s="11"/>
    </row>
    <row r="3624" spans="1:5">
      <c r="A3624" s="12" t="s">
        <v>12463</v>
      </c>
      <c r="B3624" s="12" t="s">
        <v>14534</v>
      </c>
      <c r="C3624" s="13" t="str">
        <f>HYPERLINK("https://audio.iskcondesiretree.com/02_-_ISKCON_Swamis/ISKCON_Swamis_-_R_to_Y/His_Holiness_Radhanath_Swami/Lectures/01_-_Theme_wise/Festivals/2001-001_Rath_Yatra_Lec_Lecture_-_Radhanath_Swami_2001-01-05_IDesireTree.mp3", "2001-001_Rath_Yatra_Lec_Lecture_-_Radhanath_Swami_2001-01-05_IDesireTree.mp3")</f>
        <v>2001-001_Rath_Yatra_Lec_Lecture_-_Radhanath_Swami_2001-01-05_IDesireTree.mp3</v>
      </c>
      <c r="D3624" s="11"/>
      <c r="E3624" s="11"/>
    </row>
    <row r="3625" spans="1:5">
      <c r="A3625" s="12" t="s">
        <v>12463</v>
      </c>
      <c r="B3625" s="12" t="s">
        <v>16304</v>
      </c>
      <c r="C3625" s="13" t="str">
        <f>HYPERLINK("https://audio.iskcondesiretree.com/02_-_ISKCON_Swamis/ISKCON_Swamis_-_R_to_Y/His_Holiness_Radhanath_Swami/Lectures/01_-_Theme_wise/Festivals/2001-027_Lord_Caitanya_And_Rath_Yatra_Lecture_-_Radhanath_Swami_Mumbai_2001-06-17_IDesireTree.mp3", "2001-027_Lord_Caitanya_And_Rath_Yatra_Lecture_-_Radhanath_Swami_Mumbai_2001-06-17_IDesireTree.mp3")</f>
        <v>2001-027_Lord_Caitanya_And_Rath_Yatra_Lecture_-_Radhanath_Swami_Mumbai_2001-06-17_IDesireTree.mp3</v>
      </c>
      <c r="D3625" s="11"/>
      <c r="E3625" s="11"/>
    </row>
    <row r="3626" spans="1:5">
      <c r="A3626" s="12" t="s">
        <v>12463</v>
      </c>
      <c r="B3626" s="12" t="s">
        <v>16305</v>
      </c>
      <c r="C3626" s="13" t="str">
        <f>HYPERLINK("https://audio.iskcondesiretree.com/02_-_ISKCON_Swamis/ISKCON_Swamis_-_R_to_Y/His_Holiness_Radhanath_Swami/Lectures/01_-_Theme_wise/Festivals/2001-052_Damodar_Lila_Of_Krsna_Lecture_-_Radhanath_Swami_London_2001-11-04_IDesireTree.mp3", "2001-052_Damodar_Lila_Of_Krsna_Lecture_-_Radhanath_Swami_London_2001-11-04_IDesireTree.mp3")</f>
        <v>2001-052_Damodar_Lila_Of_Krsna_Lecture_-_Radhanath_Swami_London_2001-11-04_IDesireTree.mp3</v>
      </c>
      <c r="D3626" s="11"/>
      <c r="E3626" s="11"/>
    </row>
    <row r="3627" spans="1:5">
      <c r="A3627" s="12" t="s">
        <v>12463</v>
      </c>
      <c r="B3627" s="12" t="s">
        <v>16306</v>
      </c>
      <c r="C3627" s="13" t="str">
        <f>HYPERLINK("https://audio.iskcondesiretree.com/02_-_ISKCON_Swamis/ISKCON_Swamis_-_R_to_Y/His_Holiness_Radhanath_Swami/Lectures/01_-_Theme_wise/Festivals/2001_Narshima_Chaturdasi_Festival_Morn_Lec_SB_07-09-18_-_Radhanath_Swami_-_2001-05-07_IDesireTree.mp3", "2001_Narshima_Chaturdasi_Festival_Morn_Lec_SB_07-09-18_-_Radhanath_Swami_-_2001-05-07_IDesireTree.mp3")</f>
        <v>2001_Narshima_Chaturdasi_Festival_Morn_Lec_SB_07-09-18_-_Radhanath_Swami_-_2001-05-07_IDesireTree.mp3</v>
      </c>
      <c r="D3627" s="11"/>
      <c r="E3627" s="11"/>
    </row>
    <row r="3628" spans="1:5">
      <c r="A3628" s="12" t="s">
        <v>12463</v>
      </c>
      <c r="B3628" s="12" t="s">
        <v>16307</v>
      </c>
      <c r="C3628" s="13" t="str">
        <f>HYPERLINK("https://audio.iskcondesiretree.com/02_-_ISKCON_Swamis/ISKCON_Swamis_-_R_to_Y/His_Holiness_Radhanath_Swami/Lectures/01_-_Theme_wise/Festivals/2001_Sri_Krishna%27s_Damodara_Lila_-_Radhanath_Swami_Mumbai_2001-11-04_IDesireTree.mp3", "2001_Sri_Krishna%27s_Damodara_Lila_-_Radhanath_Swami_Mumbai_2001-11-04_IDesireTree.mp3")</f>
        <v>2001_Sri_Krishna%27s_Damodara_Lila_-_Radhanath_Swami_Mumbai_2001-11-04_IDesireTree.mp3</v>
      </c>
      <c r="D3628" s="11"/>
      <c r="E3628" s="11"/>
    </row>
    <row r="3629" spans="1:5">
      <c r="A3629" s="12" t="s">
        <v>12463</v>
      </c>
      <c r="B3629" s="12" t="s">
        <v>16308</v>
      </c>
      <c r="C3629" s="13" t="str">
        <f>HYPERLINK("https://audio.iskcondesiretree.com/02_-_ISKCON_Swamis/ISKCON_Swamis_-_R_to_Y/His_Holiness_Radhanath_Swami/Lectures/01_-_Theme_wise/Festivals/2002-004_Lord_Caitanya_%26_Rath_Yatra_Lecture_-_Radhanath_Swami_Mumbai_2002-01-05_IDesireTree.mp3", "2002-004_Lord_Caitanya_%26_Rath_Yatra_Lecture_-_Radhanath_Swami_Mumbai_2002-01-05_IDesireTree.mp3")</f>
        <v>2002-004_Lord_Caitanya_%26_Rath_Yatra_Lecture_-_Radhanath_Swami_Mumbai_2002-01-05_IDesireTree.mp3</v>
      </c>
      <c r="D3629" s="11"/>
      <c r="E3629" s="11"/>
    </row>
    <row r="3630" spans="1:5">
      <c r="A3630" s="12" t="s">
        <v>12463</v>
      </c>
      <c r="B3630" s="12" t="s">
        <v>16309</v>
      </c>
      <c r="C3630" s="13" t="str">
        <f>HYPERLINK("https://audio.iskcondesiretree.com/02_-_ISKCON_Swamis/ISKCON_Swamis_-_R_to_Y/His_Holiness_Radhanath_Swami/Lectures/01_-_Theme_wise/Festivals/2002-005_Lord_Caitanya_Celebrating_Rath_Yatra_CC_-_Radhanath_Swami_Mumbai_2002-01-05_IDesireTree.mp3", "2002-005_Lord_Caitanya_Celebrating_Rath_Yatra_CC_-_Radhanath_Swami_Mumbai_2002-01-05_IDesireTree.mp3")</f>
        <v>2002-005_Lord_Caitanya_Celebrating_Rath_Yatra_CC_-_Radhanath_Swami_Mumbai_2002-01-05_IDesireTree.mp3</v>
      </c>
      <c r="D3630" s="11"/>
      <c r="E3630" s="11"/>
    </row>
    <row r="3631" spans="1:5">
      <c r="A3631" s="12" t="s">
        <v>12463</v>
      </c>
      <c r="B3631" s="12" t="s">
        <v>14623</v>
      </c>
      <c r="C3631" s="13" t="str">
        <f>HYPERLINK("https://audio.iskcondesiretree.com/02_-_ISKCON_Swamis/ISKCON_Swamis_-_R_to_Y/His_Holiness_Radhanath_Swami/Lectures/01_-_Theme_wise/Festivals/2002-023_Pushpa_Abhishek_Lect_-_Radhanath_Swami_IDesireTree.mp3", "2002-023_Pushpa_Abhishek_Lect_-_Radhanath_Swami_IDesireTree.mp3")</f>
        <v>2002-023_Pushpa_Abhishek_Lect_-_Radhanath_Swami_IDesireTree.mp3</v>
      </c>
      <c r="D3631" s="11"/>
      <c r="E3631" s="11"/>
    </row>
    <row r="3632" spans="1:5">
      <c r="A3632" s="12" t="s">
        <v>12463</v>
      </c>
      <c r="B3632" s="12" t="s">
        <v>16310</v>
      </c>
      <c r="C3632" s="13" t="str">
        <f>HYPERLINK("https://audio.iskcondesiretree.com/02_-_ISKCON_Swamis/ISKCON_Swamis_-_R_to_Y/His_Holiness_Radhanath_Swami/Lectures/01_-_Theme_wise/Festivals/2002-109_Sharad_Purnima_Lecture_-_Radhanath_Swami_Mumbai_2002-10-21_IDesireTree.mp3", "2002-109_Sharad_Purnima_Lecture_-_Radhanath_Swami_Mumbai_2002-10-21_IDesireTree.mp3")</f>
        <v>2002-109_Sharad_Purnima_Lecture_-_Radhanath_Swami_Mumbai_2002-10-21_IDesireTree.mp3</v>
      </c>
      <c r="D3632" s="11"/>
      <c r="E3632" s="11"/>
    </row>
    <row r="3633" spans="1:5">
      <c r="A3633" s="12" t="s">
        <v>12463</v>
      </c>
      <c r="B3633" s="12" t="s">
        <v>16311</v>
      </c>
      <c r="C3633" s="13" t="str">
        <f>HYPERLINK("https://audio.iskcondesiretree.com/02_-_ISKCON_Swamis/ISKCON_Swamis_-_R_to_Y/His_Holiness_Radhanath_Swami/Lectures/01_-_Theme_wise/Festivals/2002_Pushya_Abhishek_-_Radhanath_Swami_2002-02-08_IDesireTree.mp3", "2002_Pushya_Abhishek_-_Radhanath_Swami_2002-02-08_IDesireTree.mp3")</f>
        <v>2002_Pushya_Abhishek_-_Radhanath_Swami_2002-02-08_IDesireTree.mp3</v>
      </c>
      <c r="D3633" s="11"/>
      <c r="E3633" s="11"/>
    </row>
    <row r="3634" spans="1:5">
      <c r="A3634" s="12" t="s">
        <v>12463</v>
      </c>
      <c r="B3634" s="12" t="s">
        <v>16312</v>
      </c>
      <c r="C3634" s="13" t="str">
        <f>HYPERLINK("https://audio.iskcondesiretree.com/02_-_ISKCON_Swamis/ISKCON_Swamis_-_R_to_Y/His_Holiness_Radhanath_Swami/Lectures/01_-_Theme_wise/Festivals/2003-018_Jagannatha_Mishra_Festival_Lecture_-_Radhanath_Swami_Mumbai_2003-03-19_IDesireTree.mp3", "2003-018_Jagannatha_Mishra_Festival_Lecture_-_Radhanath_Swami_Mumbai_2003-03-19_IDesireTree.mp3")</f>
        <v>2003-018_Jagannatha_Mishra_Festival_Lecture_-_Radhanath_Swami_Mumbai_2003-03-19_IDesireTree.mp3</v>
      </c>
      <c r="D3634" s="11"/>
      <c r="E3634" s="11"/>
    </row>
    <row r="3635" spans="1:5">
      <c r="A3635" s="12" t="s">
        <v>12463</v>
      </c>
      <c r="B3635" s="12" t="s">
        <v>16313</v>
      </c>
      <c r="C3635" s="13" t="str">
        <f>HYPERLINK("https://audio.iskcondesiretree.com/02_-_ISKCON_Swamis/ISKCON_Swamis_-_R_to_Y/His_Holiness_Radhanath_Swami/Lectures/01_-_Theme_wise/Festivals/2003-040_Ratha_Yatra_Lecture_-_Radhanath_Swami_New_York_2003-06-08_IDesireTree.mp3", "2003-040_Ratha_Yatra_Lecture_-_Radhanath_Swami_New_York_2003-06-08_IDesireTree.mp3")</f>
        <v>2003-040_Ratha_Yatra_Lecture_-_Radhanath_Swami_New_York_2003-06-08_IDesireTree.mp3</v>
      </c>
      <c r="D3635" s="11"/>
      <c r="E3635" s="11"/>
    </row>
    <row r="3636" spans="1:5">
      <c r="A3636" s="12" t="s">
        <v>12463</v>
      </c>
      <c r="B3636" s="12" t="s">
        <v>16314</v>
      </c>
      <c r="C3636" s="13" t="str">
        <f>HYPERLINK("https://audio.iskcondesiretree.com/02_-_ISKCON_Swamis/ISKCON_Swamis_-_R_to_Y/His_Holiness_Radhanath_Swami/Lectures/01_-_Theme_wise/Festivals/2003-043_Preparing_for_Ratha_Yatra_Lecture_-_Radhanath_Swami_New_Vrindavan_2003-07-20_IDesireTree.mp3", "2003-043_Preparing_for_Ratha_Yatra_Lecture_-_Radhanath_Swami_New_Vrindavan_2003-07-20_IDesireTree.mp3")</f>
        <v>2003-043_Preparing_for_Ratha_Yatra_Lecture_-_Radhanath_Swami_New_Vrindavan_2003-07-20_IDesireTree.mp3</v>
      </c>
      <c r="D3636" s="11"/>
      <c r="E3636" s="11"/>
    </row>
    <row r="3637" spans="1:5">
      <c r="A3637" s="12" t="s">
        <v>12463</v>
      </c>
      <c r="B3637" s="12" t="s">
        <v>16315</v>
      </c>
      <c r="C3637" s="13" t="str">
        <f>HYPERLINK("https://audio.iskcondesiretree.com/02_-_ISKCON_Swamis/ISKCON_Swamis_-_R_to_Y/His_Holiness_Radhanath_Swami/Lectures/01_-_Theme_wise/Festivals/2003-071_Lord_Krishna%27s_Damodar_Lila_Lecture_-_Radhanath_Swami_Mumbai_2003-10-03_IDesireTree.mp3", "2003-071_Lord_Krishna%27s_Damodar_Lila_Lecture_-_Radhanath_Swami_Mumbai_2003-10-03_IDesireTree.mp3")</f>
        <v>2003-071_Lord_Krishna%27s_Damodar_Lila_Lecture_-_Radhanath_Swami_Mumbai_2003-10-03_IDesireTree.mp3</v>
      </c>
      <c r="D3637" s="11"/>
      <c r="E3637" s="11"/>
    </row>
    <row r="3638" spans="1:5">
      <c r="A3638" s="12" t="s">
        <v>12463</v>
      </c>
      <c r="B3638" s="12" t="s">
        <v>16316</v>
      </c>
      <c r="C3638" s="13" t="str">
        <f>HYPERLINK("https://audio.iskcondesiretree.com/02_-_ISKCON_Swamis/ISKCON_Swamis_-_R_to_Y/His_Holiness_Radhanath_Swami/Lectures/01_-_Theme_wise/Festivals/2003-076_Govardhan_Puja_SB_10-21-18_-_Radhanath_Swami_New_Vrindavan_2003-10-25_IDesireTree.mp3", "2003-076_Govardhan_Puja_SB_10-21-18_-_Radhanath_Swami_New_Vrindavan_2003-10-25_IDesireTree.mp3")</f>
        <v>2003-076_Govardhan_Puja_SB_10-21-18_-_Radhanath_Swami_New_Vrindavan_2003-10-25_IDesireTree.mp3</v>
      </c>
      <c r="D3638" s="11"/>
      <c r="E3638" s="11"/>
    </row>
    <row r="3639" spans="1:5">
      <c r="A3639" s="12" t="s">
        <v>12463</v>
      </c>
      <c r="B3639" s="12" t="e">
        <v>#VALUE!</v>
      </c>
      <c r="C3639" s="13" t="e">
        <f>HYPERLINK("https://audio.iskcondesiretree.com/02_-_ISKCON_Swamis/ISKCON_Swamis_-_R_to_Y/His_Holiness_Radhanath_Swami/Lectures/01_-_Theme_wise/Festivals/2003-077_Krishna%27s_All-Attractive_Damodara-Lila_Lecture_New_Vrindavan_-_Radhanath_Swami_2003-10-26_IDesireTree.m"&amp;"p3", "2003-077_Krishna%27s_All-Attractive_Damodara-Lila_Lecture_New_Vrindavan_-_Radhanath_Swami_2003-10-26_IDesireTree.mp3")</f>
        <v>#VALUE!</v>
      </c>
      <c r="D3639" s="11"/>
      <c r="E3639" s="11"/>
    </row>
    <row r="3640" spans="1:5">
      <c r="A3640" s="12" t="s">
        <v>12463</v>
      </c>
      <c r="B3640" s="12" t="s">
        <v>16317</v>
      </c>
      <c r="C3640" s="13" t="str">
        <f>HYPERLINK("https://audio.iskcondesiretree.com/02_-_ISKCON_Swamis/ISKCON_Swamis_-_R_to_Y/His_Holiness_Radhanath_Swami/Lectures/01_-_Theme_wise/Festivals/2004_Appearance_of_Lord_Jagannath_-_Radhanath_Swami_Los_Angeles_2004_IDesireTree.mp3", "2004_Appearance_of_Lord_Jagannath_-_Radhanath_Swami_Los_Angeles_2004_IDesireTree.mp3")</f>
        <v>2004_Appearance_of_Lord_Jagannath_-_Radhanath_Swami_Los_Angeles_2004_IDesireTree.mp3</v>
      </c>
      <c r="D3640" s="11"/>
      <c r="E3640" s="11"/>
    </row>
    <row r="3641" spans="1:5">
      <c r="A3641" s="12" t="s">
        <v>12463</v>
      </c>
      <c r="B3641" s="12" t="s">
        <v>16318</v>
      </c>
      <c r="C3641" s="13" t="str">
        <f>HYPERLINK("https://audio.iskcondesiretree.com/02_-_ISKCON_Swamis/ISKCON_Swamis_-_R_to_Y/His_Holiness_Radhanath_Swami/Lectures/01_-_Theme_wise/Festivals/2004_Appearance_of_Lord_Krishna_-_Janmashtami_-_Radhanath_Swami_Mumbai_2004-09-07_IDesireTree.mp3", "2004_Appearance_of_Lord_Krishna_-_Janmashtami_-_Radhanath_Swami_Mumbai_2004-09-07_IDesireTree.mp3")</f>
        <v>2004_Appearance_of_Lord_Krishna_-_Janmashtami_-_Radhanath_Swami_Mumbai_2004-09-07_IDesireTree.mp3</v>
      </c>
      <c r="D3641" s="11"/>
      <c r="E3641" s="11"/>
    </row>
    <row r="3642" spans="1:5">
      <c r="A3642" s="12" t="s">
        <v>12463</v>
      </c>
      <c r="B3642" s="12" t="s">
        <v>16319</v>
      </c>
      <c r="C3642" s="13" t="str">
        <f>HYPERLINK("https://audio.iskcondesiretree.com/02_-_ISKCON_Swamis/ISKCON_Swamis_-_R_to_Y/His_Holiness_Radhanath_Swami/Lectures/01_-_Theme_wise/Festivals/2004_Appearance_of_Lord_Narsimhadeva_-_Radhanath_Swami_New_Vrindavan_2004-05-03_IDesireTree.mp3", "2004_Appearance_of_Lord_Narsimhadeva_-_Radhanath_Swami_New_Vrindavan_2004-05-03_IDesireTree.mp3")</f>
        <v>2004_Appearance_of_Lord_Narsimhadeva_-_Radhanath_Swami_New_Vrindavan_2004-05-03_IDesireTree.mp3</v>
      </c>
      <c r="D3642" s="11"/>
      <c r="E3642" s="11"/>
    </row>
    <row r="3643" spans="1:5">
      <c r="A3643" s="12" t="s">
        <v>12463</v>
      </c>
      <c r="B3643" s="12" t="s">
        <v>16320</v>
      </c>
      <c r="C3643" s="13" t="str">
        <f>HYPERLINK("https://audio.iskcondesiretree.com/02_-_ISKCON_Swamis/ISKCON_Swamis_-_R_to_Y/His_Holiness_Radhanath_Swami/Lectures/01_-_Theme_wise/Festivals/2004_Begging_for_Compassionate_Love-Radhashtami_-_Radhanath_Swami_Mumbai_2004-09-22_IDesireTree.mp3", "2004_Begging_for_Compassionate_Love-Radhashtami_-_Radhanath_Swami_Mumbai_2004-09-22_IDesireTree.mp3")</f>
        <v>2004_Begging_for_Compassionate_Love-Radhashtami_-_Radhanath_Swami_Mumbai_2004-09-22_IDesireTree.mp3</v>
      </c>
      <c r="D3643" s="11"/>
      <c r="E3643" s="11"/>
    </row>
    <row r="3644" spans="1:5">
      <c r="A3644" s="12" t="s">
        <v>12463</v>
      </c>
      <c r="B3644" s="12" t="s">
        <v>16321</v>
      </c>
      <c r="C3644" s="13" t="str">
        <f>HYPERLINK("https://audio.iskcondesiretree.com/02_-_ISKCON_Swamis/ISKCON_Swamis_-_R_to_Y/His_Holiness_Radhanath_Swami/Lectures/01_-_Theme_wise/Festivals/2004_Crying_Out_for_Mercy-Radhashtami_-_Radhanath_Swami_Mumbai_2004-09-22_IDesireTree.mp3", "2004_Crying_Out_for_Mercy-Radhashtami_-_Radhanath_Swami_Mumbai_2004-09-22_IDesireTree.mp3")</f>
        <v>2004_Crying_Out_for_Mercy-Radhashtami_-_Radhanath_Swami_Mumbai_2004-09-22_IDesireTree.mp3</v>
      </c>
      <c r="D3644" s="11"/>
      <c r="E3644" s="11"/>
    </row>
    <row r="3645" spans="1:5">
      <c r="A3645" s="12" t="s">
        <v>12463</v>
      </c>
      <c r="B3645" s="12" t="s">
        <v>16322</v>
      </c>
      <c r="C3645" s="13" t="str">
        <f>HYPERLINK("https://audio.iskcondesiretree.com/02_-_ISKCON_Swamis/ISKCON_Swamis_-_R_to_Y/His_Holiness_Radhanath_Swami/Lectures/01_-_Theme_wise/Festivals/2004_How_Srila_Prabhupada_Established_Worldwide_Ratha_Yatra_-_Radhanath_Swami_Pune_2004-03-20_IDesireTree.mp3", "2004_How_Srila_Prabhupada_Established_Worldwide_Ratha_Yatra_-_Radhanath_Swami_Pune_2004-03-20_IDesireTree.mp3")</f>
        <v>2004_How_Srila_Prabhupada_Established_Worldwide_Ratha_Yatra_-_Radhanath_Swami_Pune_2004-03-20_IDesireTree.mp3</v>
      </c>
      <c r="D3645" s="11"/>
      <c r="E3645" s="11"/>
    </row>
    <row r="3646" spans="1:5">
      <c r="A3646" s="12" t="s">
        <v>12463</v>
      </c>
      <c r="B3646" s="12" t="s">
        <v>16323</v>
      </c>
      <c r="C3646" s="13" t="str">
        <f>HYPERLINK("https://audio.iskcondesiretree.com/02_-_ISKCON_Swamis/ISKCON_Swamis_-_R_to_Y/His_Holiness_Radhanath_Swami/Lectures/01_-_Theme_wise/Festivals/2004_Jagannath_Misra_Festival_-_Radhanath_Swami_2004-03-07_IDesireTree.MP3", "2004_Jagannath_Misra_Festival_-_Radhanath_Swami_2004-03-07_IDesireTree.MP3")</f>
        <v>2004_Jagannath_Misra_Festival_-_Radhanath_Swami_2004-03-07_IDesireTree.MP3</v>
      </c>
      <c r="D3646" s="11"/>
      <c r="E3646" s="11"/>
    </row>
    <row r="3647" spans="1:5">
      <c r="A3647" s="12" t="s">
        <v>12463</v>
      </c>
      <c r="B3647" s="12" t="s">
        <v>16324</v>
      </c>
      <c r="C3647" s="13" t="str">
        <f>HYPERLINK("https://audio.iskcondesiretree.com/02_-_ISKCON_Swamis/ISKCON_Swamis_-_R_to_Y/His_Holiness_Radhanath_Swami/Lectures/01_-_Theme_wise/Festivals/2004_Lord_Caitanya_-_The_Most_Magnanimous-01_Gaur_Purnima_-_Radhanath_Swami_Mumbai_2004-03-05_IDesireTree.mp3", "2004_Lord_Caitanya_-_The_Most_Magnanimous-01_Gaur_Purnima_-_Radhanath_Swami_Mumbai_2004-03-05_IDesireTree.mp3")</f>
        <v>2004_Lord_Caitanya_-_The_Most_Magnanimous-01_Gaur_Purnima_-_Radhanath_Swami_Mumbai_2004-03-05_IDesireTree.mp3</v>
      </c>
      <c r="D3647" s="11"/>
      <c r="E3647" s="11"/>
    </row>
    <row r="3648" spans="1:5">
      <c r="A3648" s="12" t="s">
        <v>12463</v>
      </c>
      <c r="B3648" s="12" t="s">
        <v>16325</v>
      </c>
      <c r="C3648" s="13" t="str">
        <f>HYPERLINK("https://audio.iskcondesiretree.com/02_-_ISKCON_Swamis/ISKCON_Swamis_-_R_to_Y/His_Holiness_Radhanath_Swami/Lectures/01_-_Theme_wise/Festivals/2004_Lord_Caitanya_-_The_Most_Magnanimous-02_Gaur_Purnima_-_Radhanath_Swami_Mumbai_2004-03-05_IDesireTree.mp3", "2004_Lord_Caitanya_-_The_Most_Magnanimous-02_Gaur_Purnima_-_Radhanath_Swami_Mumbai_2004-03-05_IDesireTree.mp3")</f>
        <v>2004_Lord_Caitanya_-_The_Most_Magnanimous-02_Gaur_Purnima_-_Radhanath_Swami_Mumbai_2004-03-05_IDesireTree.mp3</v>
      </c>
      <c r="D3648" s="11"/>
      <c r="E3648" s="11"/>
    </row>
    <row r="3649" spans="1:5">
      <c r="A3649" s="12" t="s">
        <v>12463</v>
      </c>
      <c r="B3649" s="12" t="s">
        <v>16326</v>
      </c>
      <c r="C3649" s="13" t="str">
        <f>HYPERLINK("https://audio.iskcondesiretree.com/02_-_ISKCON_Swamis/ISKCON_Swamis_-_R_to_Y/His_Holiness_Radhanath_Swami/Lectures/01_-_Theme_wise/Festivals/2004_Lord_Caitanya_Tour_of_South_India_-_Gaur_Purnima_-_Radhanath_SwamiMumbai_2004-03-05_IDesireTree.mp3", "2004_Lord_Caitanya_Tour_of_South_India_-_Gaur_Purnima_-_Radhanath_SwamiMumbai_2004-03-05_IDesireTree.mp3")</f>
        <v>2004_Lord_Caitanya_Tour_of_South_India_-_Gaur_Purnima_-_Radhanath_SwamiMumbai_2004-03-05_IDesireTree.mp3</v>
      </c>
      <c r="D3649" s="11"/>
      <c r="E3649" s="11"/>
    </row>
    <row r="3650" spans="1:5">
      <c r="A3650" s="12" t="s">
        <v>12463</v>
      </c>
      <c r="B3650" s="12" t="e">
        <v>#VALUE!</v>
      </c>
      <c r="C3650" s="13" t="e">
        <f>HYPERLINK("https://audio.iskcondesiretree.com/02_-_ISKCON_Swamis/ISKCON_Swamis_-_R_to_Y/His_Holiness_Radhanath_Swami/Lectures/01_-_Theme_wise/Festivals/2004_Lord_Caitanya%E2%80%99s_Childhood_Pastimes-01_Gaur_Purnima_-_Radhanath_Swami_Mumbai_2004-03-06_IDesireTree.mp"&amp;"3", "2004_Lord_Caitanya%E2%80%99s_Childhood_Pastimes-01_Gaur_Purnima_-_Radhanath_Swami_Mumbai_2004-03-06_IDesireTree.mp3")</f>
        <v>#VALUE!</v>
      </c>
      <c r="D3650" s="11"/>
      <c r="E3650" s="11"/>
    </row>
    <row r="3651" spans="1:5">
      <c r="A3651" s="12" t="s">
        <v>12463</v>
      </c>
      <c r="B3651" s="12" t="e">
        <v>#VALUE!</v>
      </c>
      <c r="C3651" s="13" t="e">
        <f>HYPERLINK("https://audio.iskcondesiretree.com/02_-_ISKCON_Swamis/ISKCON_Swamis_-_R_to_Y/His_Holiness_Radhanath_Swami/Lectures/01_-_Theme_wise/Festivals/2004_Lord_Caitanya%E2%80%99s_Childhood_Pastimes-02_Gaur_Purnima_-_Radhanath_Swami_Mumbai_2004-03-06_IDesireTree.mp"&amp;"3", "2004_Lord_Caitanya%E2%80%99s_Childhood_Pastimes-02_Gaur_Purnima_-_Radhanath_Swami_Mumbai_2004-03-06_IDesireTree.mp3")</f>
        <v>#VALUE!</v>
      </c>
      <c r="D3651" s="11"/>
      <c r="E3651" s="11"/>
    </row>
    <row r="3652" spans="1:5">
      <c r="A3652" s="12" t="s">
        <v>12463</v>
      </c>
      <c r="B3652" s="12" t="e">
        <v>#VALUE!</v>
      </c>
      <c r="C3652" s="13" t="e">
        <f>HYPERLINK("https://audio.iskcondesiretree.com/02_-_ISKCON_Swamis/ISKCON_Swamis_-_R_to_Y/His_Holiness_Radhanath_Swami/Lectures/01_-_Theme_wise/Festivals/2004_Lord_Caitanya%E2%80%99s_Childhood_Pastimes-03_Gaur_Purnima_-_Radhanath_Swami_Mumbai_2004-03-06_IDesireTree.mp"&amp;"3", "2004_Lord_Caitanya%E2%80%99s_Childhood_Pastimes-03_Gaur_Purnima_-_Radhanath_Swami_Mumbai_2004-03-06_IDesireTree.mp3")</f>
        <v>#VALUE!</v>
      </c>
      <c r="D3652" s="11"/>
      <c r="E3652" s="11"/>
    </row>
    <row r="3653" spans="1:5">
      <c r="A3653" s="12" t="s">
        <v>12463</v>
      </c>
      <c r="B3653" s="12" t="s">
        <v>16327</v>
      </c>
      <c r="C3653" s="13" t="str">
        <f>HYPERLINK("https://audio.iskcondesiretree.com/02_-_ISKCON_Swamis/ISKCON_Swamis_-_R_to_Y/His_Holiness_Radhanath_Swami/Lectures/01_-_Theme_wise/Festivals/2004_Ramayan_-_The_Legend_of_Selfless_Pure_Devotion_-_Radhanath_Swami_Mumbai_2004-03-31_IDesireTree.mp3", "2004_Ramayan_-_The_Legend_of_Selfless_Pure_Devotion_-_Radhanath_Swami_Mumbai_2004-03-31_IDesireTree.mp3")</f>
        <v>2004_Ramayan_-_The_Legend_of_Selfless_Pure_Devotion_-_Radhanath_Swami_Mumbai_2004-03-31_IDesireTree.mp3</v>
      </c>
      <c r="D3653" s="11"/>
      <c r="E3653" s="11"/>
    </row>
    <row r="3654" spans="1:5">
      <c r="A3654" s="12" t="s">
        <v>12463</v>
      </c>
      <c r="B3654" s="12" t="s">
        <v>16328</v>
      </c>
      <c r="C3654" s="13" t="str">
        <f>HYPERLINK("https://audio.iskcondesiretree.com/02_-_ISKCON_Swamis/ISKCON_Swamis_-_R_to_Y/His_Holiness_Radhanath_Swami/Lectures/01_-_Theme_wise/Festivals/2004_Simply_Love_%26_Devotion_-_Pushya_Abhishek_-_Radhanath_Swami_Mumbai_2004-01-29_IDesireTree.mp3", "2004_Simply_Love_%26_Devotion_-_Pushya_Abhishek_-_Radhanath_Swami_Mumbai_2004-01-29_IDesireTree.mp3")</f>
        <v>2004_Simply_Love_%26_Devotion_-_Pushya_Abhishek_-_Radhanath_Swami_Mumbai_2004-01-29_IDesireTree.mp3</v>
      </c>
      <c r="D3654" s="11"/>
      <c r="E3654" s="11"/>
    </row>
    <row r="3655" spans="1:5">
      <c r="A3655" s="12" t="s">
        <v>12463</v>
      </c>
      <c r="B3655" s="12" t="s">
        <v>16329</v>
      </c>
      <c r="C3655" s="13" t="str">
        <f>HYPERLINK("https://audio.iskcondesiretree.com/02_-_ISKCON_Swamis/ISKCON_Swamis_-_R_to_Y/His_Holiness_Radhanath_Swami/Lectures/01_-_Theme_wise/Festivals/2004_Snana_Yatra_-_Giving_Pleasure_to_Krishna_-_Radhanath_Swami_Los_Angeles_2004_IDesireTree.mp3", "2004_Snana_Yatra_-_Giving_Pleasure_to_Krishna_-_Radhanath_Swami_Los_Angeles_2004_IDesireTree.mp3")</f>
        <v>2004_Snana_Yatra_-_Giving_Pleasure_to_Krishna_-_Radhanath_Swami_Los_Angeles_2004_IDesireTree.mp3</v>
      </c>
      <c r="D3655" s="11"/>
      <c r="E3655" s="11"/>
    </row>
    <row r="3656" spans="1:5">
      <c r="A3656" s="12" t="s">
        <v>12463</v>
      </c>
      <c r="B3656" s="12" t="s">
        <v>16330</v>
      </c>
      <c r="C3656" s="13" t="str">
        <f>HYPERLINK("https://audio.iskcondesiretree.com/02_-_ISKCON_Swamis/ISKCON_Swamis_-_R_to_Y/His_Holiness_Radhanath_Swami/Lectures/01_-_Theme_wise/Festivals/2004_The_Appearance_%26_Pastimes_of_Lord_Jagannath_Rath_yatra_-_Radhanath_Swami_Mumbai_2004-01-16_IDesireTree.mp3", "2004_The_Appearance_%26_Pastimes_of_Lord_Jagannath_Rath_yatra_-_Radhanath_Swami_Mumbai_2004-01-16_IDesireTree.mp3")</f>
        <v>2004_The_Appearance_%26_Pastimes_of_Lord_Jagannath_Rath_yatra_-_Radhanath_Swami_Mumbai_2004-01-16_IDesireTree.mp3</v>
      </c>
      <c r="D3656" s="11"/>
      <c r="E3656" s="11"/>
    </row>
    <row r="3657" spans="1:5">
      <c r="A3657" s="12" t="s">
        <v>12463</v>
      </c>
      <c r="B3657" s="12" t="s">
        <v>16331</v>
      </c>
      <c r="C3657" s="13" t="str">
        <f>HYPERLINK("https://audio.iskcondesiretree.com/02_-_ISKCON_Swamis/ISKCON_Swamis_-_R_to_Y/His_Holiness_Radhanath_Swami/Lectures/01_-_Theme_wise/Festivals/2004_The_Cleansing_of_Gundica_Temple-CC_Reading_-_Radhanath_Swami_Los_Angeles_2004_IDesireTree.mp3", "2004_The_Cleansing_of_Gundica_Temple-CC_Reading_-_Radhanath_Swami_Los_Angeles_2004_IDesireTree.mp3")</f>
        <v>2004_The_Cleansing_of_Gundica_Temple-CC_Reading_-_Radhanath_Swami_Los_Angeles_2004_IDesireTree.mp3</v>
      </c>
      <c r="D3657" s="11"/>
      <c r="E3657" s="11"/>
    </row>
    <row r="3658" spans="1:5">
      <c r="A3658" s="12" t="s">
        <v>12463</v>
      </c>
      <c r="B3658" s="12" t="s">
        <v>16332</v>
      </c>
      <c r="C3658" s="13" t="str">
        <f>HYPERLINK("https://audio.iskcondesiretree.com/02_-_ISKCON_Swamis/ISKCON_Swamis_-_R_to_Y/His_Holiness_Radhanath_Swami/Lectures/01_-_Theme_wise/Festivals/2004_The_Ecstatic_Dancing_of_Lord_Caitanya_at_Ratha-yatra_-_Radhanath_Swami_New_York_2004-06-11_IDesireTree.mp3", "2004_The_Ecstatic_Dancing_of_Lord_Caitanya_at_Ratha-yatra_-_Radhanath_Swami_New_York_2004-06-11_IDesireTree.mp3")</f>
        <v>2004_The_Ecstatic_Dancing_of_Lord_Caitanya_at_Ratha-yatra_-_Radhanath_Swami_New_York_2004-06-11_IDesireTree.mp3</v>
      </c>
      <c r="D3658" s="11"/>
      <c r="E3658" s="11"/>
    </row>
    <row r="3659" spans="1:5">
      <c r="A3659" s="12" t="s">
        <v>12463</v>
      </c>
      <c r="B3659" s="12" t="s">
        <v>16333</v>
      </c>
      <c r="C3659" s="13" t="str">
        <f>HYPERLINK("https://audio.iskcondesiretree.com/02_-_ISKCON_Swamis/ISKCON_Swamis_-_R_to_Y/His_Holiness_Radhanath_Swami/Lectures/01_-_Theme_wise/Festivals/2005_First_Rath_Yatra-San_Francisco_Becomes_New_Jagannath_Puri_-_Radhanath_Swami_US_Spring_2005_IDesireTree.mp3", "2005_First_Rath_Yatra-San_Francisco_Becomes_New_Jagannath_Puri_-_Radhanath_Swami_US_Spring_2005_IDesireTree.mp3")</f>
        <v>2005_First_Rath_Yatra-San_Francisco_Becomes_New_Jagannath_Puri_-_Radhanath_Swami_US_Spring_2005_IDesireTree.mp3</v>
      </c>
      <c r="D3659" s="11"/>
      <c r="E3659" s="11"/>
    </row>
    <row r="3660" spans="1:5">
      <c r="A3660" s="12" t="s">
        <v>12463</v>
      </c>
      <c r="B3660" s="12" t="s">
        <v>16334</v>
      </c>
      <c r="C3660" s="13" t="str">
        <f>HYPERLINK("https://audio.iskcondesiretree.com/02_-_ISKCON_Swamis/ISKCON_Swamis_-_R_to_Y/His_Holiness_Radhanath_Swami/Lectures/01_-_Theme_wise/Festivals/2005_Glories_of_the_Month_of_Kartik_SB_03-21-30_-_Radhanath_Swami_Mumbai_2005-10-17_IDesireTree.MP3", "2005_Glories_of_the_Month_of_Kartik_SB_03-21-30_-_Radhanath_Swami_Mumbai_2005-10-17_IDesireTree.MP3")</f>
        <v>2005_Glories_of_the_Month_of_Kartik_SB_03-21-30_-_Radhanath_Swami_Mumbai_2005-10-17_IDesireTree.MP3</v>
      </c>
      <c r="D3660" s="11"/>
      <c r="E3660" s="11"/>
    </row>
    <row r="3661" spans="1:5">
      <c r="A3661" s="12" t="s">
        <v>12463</v>
      </c>
      <c r="B3661" s="12" t="s">
        <v>16335</v>
      </c>
      <c r="C3661" s="13" t="str">
        <f>HYPERLINK("https://audio.iskcondesiretree.com/02_-_ISKCON_Swamis/ISKCON_Swamis_-_R_to_Y/His_Holiness_Radhanath_Swami/Lectures/01_-_Theme_wise/Festivals/2005_Govardhan_Puja_-_Radhanath_Swami_Mumbai_2005-11-03_IDesireTree.MP3", "2005_Govardhan_Puja_-_Radhanath_Swami_Mumbai_2005-11-03_IDesireTree.MP3")</f>
        <v>2005_Govardhan_Puja_-_Radhanath_Swami_Mumbai_2005-11-03_IDesireTree.MP3</v>
      </c>
      <c r="D3661" s="11"/>
      <c r="E3661" s="11"/>
    </row>
    <row r="3662" spans="1:5">
      <c r="A3662" s="12" t="s">
        <v>12463</v>
      </c>
      <c r="B3662" s="12" t="s">
        <v>16336</v>
      </c>
      <c r="C3662" s="13" t="str">
        <f>HYPERLINK("https://audio.iskcondesiretree.com/02_-_ISKCON_Swamis/ISKCON_Swamis_-_R_to_Y/His_Holiness_Radhanath_Swami/Lectures/01_-_Theme_wise/Festivals/2005_Laxmi_Naryan_Festival_-_Radhanath_Swami_Mumbai_2005-03-30_IDesireTree.mp3", "2005_Laxmi_Naryan_Festival_-_Radhanath_Swami_Mumbai_2005-03-30_IDesireTree.mp3")</f>
        <v>2005_Laxmi_Naryan_Festival_-_Radhanath_Swami_Mumbai_2005-03-30_IDesireTree.mp3</v>
      </c>
      <c r="D3662" s="11"/>
      <c r="E3662" s="11"/>
    </row>
    <row r="3663" spans="1:5">
      <c r="A3663" s="12" t="s">
        <v>12463</v>
      </c>
      <c r="B3663" s="12" t="s">
        <v>16337</v>
      </c>
      <c r="C3663" s="13" t="str">
        <f>HYPERLINK("https://audio.iskcondesiretree.com/02_-_ISKCON_Swamis/ISKCON_Swamis_-_R_to_Y/His_Holiness_Radhanath_Swami/Lectures/01_-_Theme_wise/Festivals/2005_Sharad_Poornima_-_Radhanath_Swami_Mumbai_2005-10-17_IDesireTree.MP3", "2005_Sharad_Poornima_-_Radhanath_Swami_Mumbai_2005-10-17_IDesireTree.MP3")</f>
        <v>2005_Sharad_Poornima_-_Radhanath_Swami_Mumbai_2005-10-17_IDesireTree.MP3</v>
      </c>
      <c r="D3663" s="11"/>
      <c r="E3663" s="11"/>
    </row>
    <row r="3664" spans="1:5">
      <c r="A3664" s="12" t="s">
        <v>12463</v>
      </c>
      <c r="B3664" s="12" t="s">
        <v>16338</v>
      </c>
      <c r="C3664" s="13" t="str">
        <f>HYPERLINK("https://audio.iskcondesiretree.com/02_-_ISKCON_Swamis/ISKCON_Swamis_-_R_to_Y/His_Holiness_Radhanath_Swami/Lectures/01_-_Theme_wise/Festivals/2005_Significance_of_Gundica_Marjanam_-_Radhanath_Swami_US_Spring_2005_IDesireTree.mp3", "2005_Significance_of_Gundica_Marjanam_-_Radhanath_Swami_US_Spring_2005_IDesireTree.mp3")</f>
        <v>2005_Significance_of_Gundica_Marjanam_-_Radhanath_Swami_US_Spring_2005_IDesireTree.mp3</v>
      </c>
      <c r="D3664" s="11"/>
      <c r="E3664" s="11"/>
    </row>
    <row r="3665" spans="1:5">
      <c r="A3665" s="12" t="s">
        <v>12463</v>
      </c>
      <c r="B3665" s="12" t="s">
        <v>16339</v>
      </c>
      <c r="C3665" s="13" t="str">
        <f>HYPERLINK("https://audio.iskcondesiretree.com/02_-_ISKCON_Swamis/ISKCON_Swamis_-_R_to_Y/His_Holiness_Radhanath_Swami/Lectures/01_-_Theme_wise/Festivals/2005_What_Janmashtami_Really_Means_-_Radhanath_Swami_Mumbai_2005-09-09_IDesireTree.MP3", "2005_What_Janmashtami_Really_Means_-_Radhanath_Swami_Mumbai_2005-09-09_IDesireTree.MP3")</f>
        <v>2005_What_Janmashtami_Really_Means_-_Radhanath_Swami_Mumbai_2005-09-09_IDesireTree.MP3</v>
      </c>
      <c r="D3665" s="11"/>
      <c r="E3665" s="11"/>
    </row>
    <row r="3666" spans="1:5">
      <c r="A3666" s="12" t="s">
        <v>12463</v>
      </c>
      <c r="B3666" s="12" t="s">
        <v>16340</v>
      </c>
      <c r="C3666" s="13" t="str">
        <f>HYPERLINK("https://audio.iskcondesiretree.com/02_-_ISKCON_Swamis/ISKCON_Swamis_-_R_to_Y/His_Holiness_Radhanath_Swami/Lectures/01_-_Theme_wise/Festivals/2006_Appearance_of_Lord_Jagannath_-_Radhanath_Swami_2006-06-26_IDesireTree.mp3", "2006_Appearance_of_Lord_Jagannath_-_Radhanath_Swami_2006-06-26_IDesireTree.mp3")</f>
        <v>2006_Appearance_of_Lord_Jagannath_-_Radhanath_Swami_2006-06-26_IDesireTree.mp3</v>
      </c>
      <c r="D3666" s="11"/>
      <c r="E3666" s="11"/>
    </row>
    <row r="3667" spans="1:5">
      <c r="A3667" s="12" t="s">
        <v>12463</v>
      </c>
      <c r="B3667" s="12" t="s">
        <v>16341</v>
      </c>
      <c r="C3667" s="13" t="str">
        <f>HYPERLINK("https://audio.iskcondesiretree.com/02_-_ISKCON_Swamis/ISKCON_Swamis_-_R_to_Y/His_Holiness_Radhanath_Swami/Lectures/01_-_Theme_wise/Festivals/2006_Janmashtami_Lecture_-_Radhanath_Swami_Bhartiya_Vidya_Bhavan_2006-08-17_IDesireTree.mp3", "2006_Janmashtami_Lecture_-_Radhanath_Swami_Bhartiya_Vidya_Bhavan_2006-08-17_IDesireTree.mp3")</f>
        <v>2006_Janmashtami_Lecture_-_Radhanath_Swami_Bhartiya_Vidya_Bhavan_2006-08-17_IDesireTree.mp3</v>
      </c>
      <c r="D3667" s="11"/>
      <c r="E3667" s="11"/>
    </row>
    <row r="3668" spans="1:5">
      <c r="A3668" s="12" t="s">
        <v>12463</v>
      </c>
      <c r="B3668" s="12" t="s">
        <v>16342</v>
      </c>
      <c r="C3668" s="13" t="str">
        <f>HYPERLINK("https://audio.iskcondesiretree.com/02_-_ISKCON_Swamis/ISKCON_Swamis_-_R_to_Y/His_Holiness_Radhanath_Swami/Lectures/01_-_Theme_wise/Festivals/2006_Lord_Balaram_App_Day-The_Destroyer_of_Anarthas_-_Radhanath_Swami_2006-08-09_IDesireTree.MP3", "2006_Lord_Balaram_App_Day-The_Destroyer_of_Anarthas_-_Radhanath_Swami_2006-08-09_IDesireTree.MP3")</f>
        <v>2006_Lord_Balaram_App_Day-The_Destroyer_of_Anarthas_-_Radhanath_Swami_2006-08-09_IDesireTree.MP3</v>
      </c>
      <c r="D3668" s="11"/>
      <c r="E3668" s="11"/>
    </row>
    <row r="3669" spans="1:5">
      <c r="A3669" s="12" t="s">
        <v>12463</v>
      </c>
      <c r="B3669" s="12" t="s">
        <v>16343</v>
      </c>
      <c r="C3669" s="13" t="str">
        <f>HYPERLINK("https://audio.iskcondesiretree.com/02_-_ISKCON_Swamis/ISKCON_Swamis_-_R_to_Y/His_Holiness_Radhanath_Swami/Lectures/01_-_Theme_wise/Festivals/2006_Pushya_Abhishek_-_Radhanath_Swami_2006-01-28_IDesireTree.MP3", "2006_Pushya_Abhishek_-_Radhanath_Swami_2006-01-28_IDesireTree.MP3")</f>
        <v>2006_Pushya_Abhishek_-_Radhanath_Swami_2006-01-28_IDesireTree.MP3</v>
      </c>
      <c r="D3669" s="11"/>
      <c r="E3669" s="11"/>
    </row>
    <row r="3670" spans="1:5">
      <c r="A3670" s="12" t="s">
        <v>12463</v>
      </c>
      <c r="B3670" s="12" t="s">
        <v>16344</v>
      </c>
      <c r="C3670" s="13" t="str">
        <f>HYPERLINK("https://audio.iskcondesiretree.com/02_-_ISKCON_Swamis/ISKCON_Swamis_-_R_to_Y/His_Holiness_Radhanath_Swami/Lectures/01_-_Theme_wise/Festivals/2007_Ramnavmi_Lec_-_Radhanath_Swami_2007-03-27_IDesireTree.mp3", "2007_Ramnavmi_Lec_-_Radhanath_Swami_2007-03-27_IDesireTree.mp3")</f>
        <v>2007_Ramnavmi_Lec_-_Radhanath_Swami_2007-03-27_IDesireTree.mp3</v>
      </c>
      <c r="D3670" s="11"/>
      <c r="E3670" s="11"/>
    </row>
    <row r="3671" spans="1:5">
      <c r="A3671" s="12" t="s">
        <v>12463</v>
      </c>
      <c r="B3671" s="12" t="s">
        <v>16345</v>
      </c>
      <c r="C3671" s="13" t="str">
        <f>HYPERLINK("https://audio.iskcondesiretree.com/02_-_ISKCON_Swamis/ISKCON_Swamis_-_R_to_Y/His_Holiness_Radhanath_Swami/Lectures/01_-_Theme_wise/Festivals/2008_Ramnavami_-_Exemplary_Character_Of_Lord_Ramchandra_-_Juhu-Mumbai_-_Radhanath_Swami_2008-04-14_IDesireTree.mp3", "2008_Ramnavami_-_Exemplary_Character_Of_Lord_Ramchandra_-_Juhu-Mumbai_-_Radhanath_Swami_2008-04-14_IDesireTree.mp3")</f>
        <v>2008_Ramnavami_-_Exemplary_Character_Of_Lord_Ramchandra_-_Juhu-Mumbai_-_Radhanath_Swami_2008-04-14_IDesireTree.mp3</v>
      </c>
      <c r="D3671" s="11"/>
      <c r="E3671" s="11"/>
    </row>
    <row r="3672" spans="1:5">
      <c r="A3672" s="12" t="s">
        <v>12463</v>
      </c>
      <c r="B3672" s="12" t="s">
        <v>16346</v>
      </c>
      <c r="C3672" s="13" t="str">
        <f>HYPERLINK("https://audio.iskcondesiretree.com/02_-_ISKCON_Swamis/ISKCON_Swamis_-_R_to_Y/His_Holiness_Radhanath_Swami/Lectures/01_-_Theme_wise/Festivals/2018-01-27_Pushya_Abhishek_Festival_-_Krishna_Accepts_Our_Love_-_Radhanath_Swami_ISKCON_Chowpatty.mp3", "2018-01-27_Pushya_Abhishek_Festival_-_Krishna_Accepts_Our_Love_-_Radhanath_Swami_ISKCON_Chowpatty.mp3")</f>
        <v>2018-01-27_Pushya_Abhishek_Festival_-_Krishna_Accepts_Our_Love_-_Radhanath_Swami_ISKCON_Chowpatty.mp3</v>
      </c>
      <c r="D3672" s="11"/>
      <c r="E3672" s="11"/>
    </row>
    <row r="3673" spans="1:5">
      <c r="A3673" s="12" t="s">
        <v>12463</v>
      </c>
      <c r="B3673" s="12" t="s">
        <v>16347</v>
      </c>
      <c r="C3673" s="13" t="str">
        <f>HYPERLINK("https://audio.iskcondesiretree.com/02_-_ISKCON_Swamis/ISKCON_Swamis_-_R_to_Y/His_Holiness_Radhanath_Swami/Lectures/01_-_Theme_wise/Festivals/Appearance_of_Lord_Narsimhadeva_-_New_Vrindavan_03-05-04_IDesireTree.mp3", "Appearance_of_Lord_Narsimhadeva_-_New_Vrindavan_03-05-04_IDesireTree.mp3")</f>
        <v>Appearance_of_Lord_Narsimhadeva_-_New_Vrindavan_03-05-04_IDesireTree.mp3</v>
      </c>
      <c r="D3673" s="11"/>
      <c r="E3673" s="11"/>
    </row>
    <row r="3674" spans="1:5">
      <c r="A3674" s="12" t="s">
        <v>12463</v>
      </c>
      <c r="B3674" s="12" t="s">
        <v>16348</v>
      </c>
      <c r="C3674" s="13" t="str">
        <f>HYPERLINK("https://audio.iskcondesiretree.com/02_-_ISKCON_Swamis/ISKCON_Swamis_-_R_to_Y/His_Holiness_Radhanath_Swami/Lectures/01_-_Theme_wise/Festivals/Damodar_Leela_-_Radhanath_Swami_IDesireTree.mp3", "Damodar_Leela_-_Radhanath_Swami_IDesireTree.mp3")</f>
        <v>Damodar_Leela_-_Radhanath_Swami_IDesireTree.mp3</v>
      </c>
      <c r="D3674" s="11"/>
      <c r="E3674" s="11"/>
    </row>
    <row r="3675" spans="1:5">
      <c r="A3675" s="12" t="s">
        <v>12463</v>
      </c>
      <c r="B3675" s="12" t="s">
        <v>16349</v>
      </c>
      <c r="C3675" s="13" t="str">
        <f>HYPERLINK("https://audio.iskcondesiretree.com/02_-_ISKCON_Swamis/ISKCON_Swamis_-_R_to_Y/His_Holiness_Radhanath_Swami/Lectures/01_-_Theme_wise/Festivals/Damodarastakam_Prayers_-_Radhanath_Swami_IDesireTree.mp3", "Damodarastakam_Prayers_-_Radhanath_Swami_IDesireTree.mp3")</f>
        <v>Damodarastakam_Prayers_-_Radhanath_Swami_IDesireTree.mp3</v>
      </c>
      <c r="D3675" s="11"/>
      <c r="E3675" s="11"/>
    </row>
    <row r="3676" spans="1:5">
      <c r="A3676" s="12" t="s">
        <v>12463</v>
      </c>
      <c r="B3676" s="12" t="s">
        <v>16350</v>
      </c>
      <c r="C3676" s="13" t="str">
        <f>HYPERLINK("https://audio.iskcondesiretree.com/02_-_ISKCON_Swamis/ISKCON_Swamis_-_R_to_Y/His_Holiness_Radhanath_Swami/Lectures/01_-_Theme_wise/Festivals/Eventful_Kartik_Month_-_Radhanath_Swami_IDesireTree.mp3", "Eventful_Kartik_Month_-_Radhanath_Swami_IDesireTree.mp3")</f>
        <v>Eventful_Kartik_Month_-_Radhanath_Swami_IDesireTree.mp3</v>
      </c>
      <c r="D3676" s="11"/>
      <c r="E3676" s="11"/>
    </row>
    <row r="3677" spans="1:5">
      <c r="A3677" s="12" t="s">
        <v>12463</v>
      </c>
      <c r="B3677" s="12" t="s">
        <v>16351</v>
      </c>
      <c r="C3677" s="13" t="str">
        <f>HYPERLINK("https://audio.iskcondesiretree.com/02_-_ISKCON_Swamis/ISKCON_Swamis_-_R_to_Y/His_Holiness_Radhanath_Swami/Lectures/01_-_Theme_wise/Festivals/Glories_of_Giriraj_Govardhan_-_Radhanath_Swami_IDesireTree.mp3", "Glories_of_Giriraj_Govardhan_-_Radhanath_Swami_IDesireTree.mp3")</f>
        <v>Glories_of_Giriraj_Govardhan_-_Radhanath_Swami_IDesireTree.mp3</v>
      </c>
      <c r="D3677" s="11"/>
      <c r="E3677" s="11"/>
    </row>
    <row r="3678" spans="1:5">
      <c r="A3678" s="12" t="s">
        <v>12463</v>
      </c>
      <c r="B3678" s="12" t="s">
        <v>16352</v>
      </c>
      <c r="C3678" s="13" t="str">
        <f>HYPERLINK("https://audio.iskcondesiretree.com/02_-_ISKCON_Swamis/ISKCON_Swamis_-_R_to_Y/His_Holiness_Radhanath_Swami/Lectures/01_-_Theme_wise/Festivals/Lord_Caitanya_The_Supreme_Munificent_-_Gaur_Purnima_CC_ML-02-81_-_Mumbai_04-03-04_IDesireTree.mp3", "Lord_Caitanya_The_Supreme_Munificent_-_Gaur_Purnima_CC_ML-02-81_-_Mumbai_04-03-04_IDesireTree.mp3")</f>
        <v>Lord_Caitanya_The_Supreme_Munificent_-_Gaur_Purnima_CC_ML-02-81_-_Mumbai_04-03-04_IDesireTree.mp3</v>
      </c>
      <c r="D3678" s="11"/>
      <c r="E3678" s="11"/>
    </row>
    <row r="3679" spans="1:5">
      <c r="A3679" s="12" t="s">
        <v>12463</v>
      </c>
      <c r="B3679" s="12" t="s">
        <v>16353</v>
      </c>
      <c r="C3679" s="13" t="str">
        <f>HYPERLINK("https://audio.iskcondesiretree.com/02_-_ISKCON_Swamis/ISKCON_Swamis_-_R_to_Y/His_Holiness_Radhanath_Swami/Lectures/01_-_Theme_wise/Festivals/Lord_Narsimhadeva_Appearance_Day_-_Radhanath_Swami_Mumbai_1998-05-10_IDesireTree.mp3", "Lord_Narsimhadeva_Appearance_Day_-_Radhanath_Swami_Mumbai_1998-05-10_IDesireTree.mp3")</f>
        <v>Lord_Narsimhadeva_Appearance_Day_-_Radhanath_Swami_Mumbai_1998-05-10_IDesireTree.mp3</v>
      </c>
      <c r="D3679" s="11"/>
      <c r="E3679" s="11"/>
    </row>
    <row r="3680" spans="1:5">
      <c r="A3680" s="12" t="s">
        <v>12463</v>
      </c>
      <c r="B3680" s="12" t="s">
        <v>16354</v>
      </c>
      <c r="C3680" s="13" t="str">
        <f>HYPERLINK("https://audio.iskcondesiretree.com/02_-_ISKCON_Swamis/ISKCON_Swamis_-_R_to_Y/His_Holiness_Radhanath_Swami/Lectures/01_-_Theme_wise/Festivals/Open_Your_Heart_To_Invite_Lord_Nityananda_Prabhu%27s_Mercy_-_Nityananda_Trayodasi_-_Mumbai_IDesireTree.mp3", "Open_Your_Heart_To_Invite_Lord_Nityananda_Prabhu%27s_Mercy_-_Nityananda_Trayodasi_-_Mumbai_IDesireTree.mp3")</f>
        <v>Open_Your_Heart_To_Invite_Lord_Nityananda_Prabhu%27s_Mercy_-_Nityananda_Trayodasi_-_Mumbai_IDesireTree.mp3</v>
      </c>
      <c r="D3680" s="11"/>
      <c r="E3680" s="11"/>
    </row>
    <row r="3681" spans="1:5">
      <c r="A3681" s="12" t="s">
        <v>12463</v>
      </c>
      <c r="B3681" s="12" t="s">
        <v>16355</v>
      </c>
      <c r="C3681" s="13" t="str">
        <f>HYPERLINK("https://audio.iskcondesiretree.com/02_-_ISKCON_Swamis/ISKCON_Swamis_-_R_to_Y/His_Holiness_Radhanath_Swami/Lectures/01_-_Theme_wise/Festivals/Pastimes_at_Indradumna_Sarovar_-_Radhanath_Swami_IDesireTree.mp3", "Pastimes_at_Indradumna_Sarovar_-_Radhanath_Swami_IDesireTree.mp3")</f>
        <v>Pastimes_at_Indradumna_Sarovar_-_Radhanath_Swami_IDesireTree.mp3</v>
      </c>
      <c r="D3681" s="11"/>
      <c r="E3681" s="11"/>
    </row>
    <row r="3682" spans="1:5">
      <c r="A3682" s="12" t="s">
        <v>12463</v>
      </c>
      <c r="B3682" s="12" t="s">
        <v>16356</v>
      </c>
      <c r="C3682" s="13" t="str">
        <f>HYPERLINK("https://audio.iskcondesiretree.com/02_-_ISKCON_Swamis/ISKCON_Swamis_-_R_to_Y/His_Holiness_Radhanath_Swami/Lectures/01_-_Theme_wise/Festivals/Pastimes_at_Jagannath_Vallabh_Garden_%26_Gundicha_Temple_-_Radhanath_Swami_IDesireTree.mp3", "Pastimes_at_Jagannath_Vallabh_Garden_%26_Gundicha_Temple_-_Radhanath_Swami_IDesireTree.mp3")</f>
        <v>Pastimes_at_Jagannath_Vallabh_Garden_%26_Gundicha_Temple_-_Radhanath_Swami_IDesireTree.mp3</v>
      </c>
      <c r="D3682" s="11"/>
      <c r="E3682" s="11"/>
    </row>
    <row r="3683" spans="1:5">
      <c r="A3683" s="12" t="s">
        <v>12463</v>
      </c>
      <c r="B3683" s="12" t="s">
        <v>16357</v>
      </c>
      <c r="C3683" s="13" t="str">
        <f>HYPERLINK("https://audio.iskcondesiretree.com/02_-_ISKCON_Swamis/ISKCON_Swamis_-_R_to_Y/His_Holiness_Radhanath_Swami/Lectures/01_-_Theme_wise/Festivals/Perfect_Love-Radhastami_-_Radhanath_Swami_IDesireTree.mp3", "Perfect_Love-Radhastami_-_Radhanath_Swami_IDesireTree.mp3")</f>
        <v>Perfect_Love-Radhastami_-_Radhanath_Swami_IDesireTree.mp3</v>
      </c>
      <c r="D3683" s="11"/>
      <c r="E3683" s="11"/>
    </row>
    <row r="3684" spans="1:5">
      <c r="A3684" s="12" t="s">
        <v>12463</v>
      </c>
      <c r="B3684" s="12" t="s">
        <v>16358</v>
      </c>
      <c r="C3684" s="13" t="str">
        <f>HYPERLINK("https://audio.iskcondesiretree.com/02_-_ISKCON_Swamis/ISKCON_Swamis_-_R_to_Y/His_Holiness_Radhanath_Swami/Lectures/01_-_Theme_wise/Festivals/Stories_of_Lord_Jagannath_-_Radhanath_Swami_IDesireTree.mp3", "Stories_of_Lord_Jagannath_-_Radhanath_Swami_IDesireTree.mp3")</f>
        <v>Stories_of_Lord_Jagannath_-_Radhanath_Swami_IDesireTree.mp3</v>
      </c>
      <c r="D3684" s="11"/>
      <c r="E3684" s="11"/>
    </row>
    <row r="3685" spans="1:5">
      <c r="A3685" s="12" t="s">
        <v>12463</v>
      </c>
      <c r="B3685" s="12" t="s">
        <v>16359</v>
      </c>
      <c r="C3685" s="13" t="str">
        <f>HYPERLINK("https://audio.iskcondesiretree.com/02_-_ISKCON_Swamis/ISKCON_Swamis_-_R_to_Y/His_Holiness_Radhanath_Swami/Lectures/01_-_Theme_wise/Festivals/Story_of_Kshir_Chor_Gopinath_-_Radhanath_Swami_IDesireTree.mp3", "Story_of_Kshir_Chor_Gopinath_-_Radhanath_Swami_IDesireTree.mp3")</f>
        <v>Story_of_Kshir_Chor_Gopinath_-_Radhanath_Swami_IDesireTree.mp3</v>
      </c>
      <c r="D3685" s="11"/>
      <c r="E3685" s="11"/>
    </row>
    <row r="3686" spans="1:5">
      <c r="A3686" s="12" t="s">
        <v>12463</v>
      </c>
      <c r="B3686" s="12" t="s">
        <v>16360</v>
      </c>
      <c r="C3686" s="13" t="str">
        <f>HYPERLINK("https://audio.iskcondesiretree.com/02_-_ISKCON_Swamis/ISKCON_Swamis_-_R_to_Y/His_Holiness_Radhanath_Swami/Lectures/01_-_Theme_wise/Festivals/Transcending_Material_Misery_%26_Lalita_Devi%27s_App_Day_SB-05-14-01_-_Mumbai_10-09-05_IDesireTree.MP3", "Transcending_Material_Misery_%26_Lalita_Devi%27s_App_Day_SB-05-14-01_-_Mumbai_10-09-05_IDesireTree.MP3")</f>
        <v>Transcending_Material_Misery_%26_Lalita_Devi%27s_App_Day_SB-05-14-01_-_Mumbai_10-09-05_IDesireTree.MP3</v>
      </c>
      <c r="D3686" s="11"/>
      <c r="E3686" s="11"/>
    </row>
    <row r="3687" spans="1:5">
      <c r="A3687" s="12" t="s">
        <v>12463</v>
      </c>
      <c r="B3687" s="12" t="s">
        <v>16361</v>
      </c>
      <c r="C3687" s="13" t="str">
        <f>HYPERLINK("https://audio.iskcondesiretree.com/02_-_ISKCON_Swamis/ISKCON_Swamis_-_R_to_Y/His_Holiness_Radhanath_Swami/Lectures/01_-_Theme_wise/Festivals/Who_is_an_advanced_yogi_and_glories_of_Karthik_month_-_Radhanath_Swami_IDesireTree.mp3", "Who_is_an_advanced_yogi_and_glories_of_Karthik_month_-_Radhanath_Swami_IDesireTree.mp3")</f>
        <v>Who_is_an_advanced_yogi_and_glories_of_Karthik_month_-_Radhanath_Swami_IDesireTree.mp3</v>
      </c>
      <c r="D3687" s="11"/>
      <c r="E3687" s="11"/>
    </row>
    <row r="3688" spans="1:5">
      <c r="A3688" s="12" t="s">
        <v>12463</v>
      </c>
      <c r="B3688" s="12" t="s">
        <v>16362</v>
      </c>
      <c r="C3688" s="13" t="str">
        <f>HYPERLINK("https://audio.iskcondesiretree.com/02_-_ISKCON_Swamis/ISKCON_Swamis_-_R_to_Y/His_Holiness_Radhanath_Swami/Lectures/01_-_Theme_wise/Following_the_footsteps_of_great_souls/01.Following_in_the_Footsteps_SB-04-22-56_-_Gita_Nagari_-_June_2005_IDesireTree.mp3", "01.Following_in_the_Footsteps_SB-04-22-56_-_Gita_Nagari_-_June_2005_IDesireTree.mp3")</f>
        <v>01.Following_in_the_Footsteps_SB-04-22-56_-_Gita_Nagari_-_June_2005_IDesireTree.mp3</v>
      </c>
      <c r="D3688" s="11"/>
      <c r="E3688" s="11"/>
    </row>
    <row r="3689" spans="1:5">
      <c r="A3689" s="12" t="s">
        <v>12463</v>
      </c>
      <c r="B3689" s="12" t="e">
        <v>#VALUE!</v>
      </c>
      <c r="C3689" s="13" t="e">
        <f>HYPERLINK("https://audio.iskcondesiretree.com/02_-_ISKCON_Swamis/ISKCON_Swamis_-_R_to_Y/His_Holiness_Radhanath_Swami/Lectures/01_-_Theme_wise/Following_the_footsteps_of_great_souls/02.Following_in_the_Footsteps_of_Great_Souls_-_Sunday_Feast_-_Mumbai_29-2-04_IDesireT"&amp;"ree.mp3", "02.Following_in_the_Footsteps_of_Great_Souls_-_Sunday_Feast_-_Mumbai_29-2-04_IDesireTree.mp3")</f>
        <v>#VALUE!</v>
      </c>
      <c r="D3689" s="11"/>
      <c r="E3689" s="11"/>
    </row>
    <row r="3690" spans="1:5">
      <c r="A3690" s="12" t="s">
        <v>12463</v>
      </c>
      <c r="B3690" s="12" t="s">
        <v>16363</v>
      </c>
      <c r="C3690" s="13" t="str">
        <f>HYPERLINK("https://audio.iskcondesiretree.com/02_-_ISKCON_Swamis/ISKCON_Swamis_-_R_to_Y/His_Holiness_Radhanath_Swami/Lectures/01_-_Theme_wise/Following_the_footsteps_of_great_souls/Following_the_Great_Acaryas_-_Bhajan_and_Purport_-_Radhanath_Swami_IDesireTree.mp3", "Following_the_Great_Acaryas_-_Bhajan_and_Purport_-_Radhanath_Swami_IDesireTree.mp3")</f>
        <v>Following_the_Great_Acaryas_-_Bhajan_and_Purport_-_Radhanath_Swami_IDesireTree.mp3</v>
      </c>
      <c r="D3690" s="11"/>
      <c r="E3690" s="11"/>
    </row>
    <row r="3691" spans="1:5">
      <c r="A3691" s="12" t="s">
        <v>12463</v>
      </c>
      <c r="B3691" s="12" t="s">
        <v>16364</v>
      </c>
      <c r="C3691" s="13" t="str">
        <f>HYPERLINK("https://audio.iskcondesiretree.com/02_-_ISKCON_Swamis/ISKCON_Swamis_-_R_to_Y/His_Holiness_Radhanath_Swami/Lectures/01_-_Theme_wise/Forgiveness/1989-037_Forgiveness_Lecture_-_Radhanath_Swami_Mumbai_1989-08-29_IDesireTree.mp3", "1989-037_Forgiveness_Lecture_-_Radhanath_Swami_Mumbai_1989-08-29_IDesireTree.mp3")</f>
        <v>1989-037_Forgiveness_Lecture_-_Radhanath_Swami_Mumbai_1989-08-29_IDesireTree.mp3</v>
      </c>
      <c r="D3691" s="11"/>
      <c r="E3691" s="11"/>
    </row>
    <row r="3692" spans="1:5">
      <c r="A3692" s="12" t="s">
        <v>12463</v>
      </c>
      <c r="B3692" s="12" t="s">
        <v>16365</v>
      </c>
      <c r="C3692" s="13" t="str">
        <f>HYPERLINK("https://audio.iskcondesiretree.com/02_-_ISKCON_Swamis/ISKCON_Swamis_-_R_to_Y/His_Holiness_Radhanath_Swami/Lectures/01_-_Theme_wise/Forgiveness/1993-137_Power_Of_Forgiveness_Lecture_-_Radhanath_Swami_Mumbai_1993-09-29_IDesireTree.mp3", "1993-137_Power_Of_Forgiveness_Lecture_-_Radhanath_Swami_Mumbai_1993-09-29_IDesireTree.mp3")</f>
        <v>1993-137_Power_Of_Forgiveness_Lecture_-_Radhanath_Swami_Mumbai_1993-09-29_IDesireTree.mp3</v>
      </c>
      <c r="D3692" s="11"/>
      <c r="E3692" s="11"/>
    </row>
    <row r="3693" spans="1:5">
      <c r="A3693" s="12" t="s">
        <v>12463</v>
      </c>
      <c r="B3693" s="12" t="s">
        <v>16366</v>
      </c>
      <c r="C3693" s="13" t="str">
        <f>HYPERLINK("https://audio.iskcondesiretree.com/02_-_ISKCON_Swamis/ISKCON_Swamis_-_R_to_Y/His_Holiness_Radhanath_Swami/Lectures/01_-_Theme_wise/Forgiveness/1995-030_Vaishnavas_Forgive_Easily_SB_01-07-44_-_Radhanath_Swami_Mumbai_1995-01-21.mp3", "1995-030_Vaishnavas_Forgive_Easily_SB_01-07-44_-_Radhanath_Swami_Mumbai_1995-01-21.mp3")</f>
        <v>1995-030_Vaishnavas_Forgive_Easily_SB_01-07-44_-_Radhanath_Swami_Mumbai_1995-01-21.mp3</v>
      </c>
      <c r="D3693" s="11"/>
      <c r="E3693" s="11"/>
    </row>
    <row r="3694" spans="1:5">
      <c r="A3694" s="12" t="s">
        <v>12463</v>
      </c>
      <c r="B3694" s="12" t="s">
        <v>16367</v>
      </c>
      <c r="C3694" s="13" t="str">
        <f>HYPERLINK("https://audio.iskcondesiretree.com/02_-_ISKCON_Swamis/ISKCON_Swamis_-_R_to_Y/His_Holiness_Radhanath_Swami/Lectures/01_-_Theme_wise/Forgiveness/1995_Draupadi%27s_Exalted_Forgiving_Nature_SB_01-07-44_-_Radhanath_Swami_Mumbai_1995-01-21_IDesireTree.MP3", "1995_Draupadi%27s_Exalted_Forgiving_Nature_SB_01-07-44_-_Radhanath_Swami_Mumbai_1995-01-21_IDesireTree.MP3")</f>
        <v>1995_Draupadi%27s_Exalted_Forgiving_Nature_SB_01-07-44_-_Radhanath_Swami_Mumbai_1995-01-21_IDesireTree.MP3</v>
      </c>
      <c r="D3694" s="11"/>
      <c r="E3694" s="11"/>
    </row>
    <row r="3695" spans="1:5">
      <c r="A3695" s="12" t="s">
        <v>12463</v>
      </c>
      <c r="B3695" s="12" t="s">
        <v>16368</v>
      </c>
      <c r="C3695" s="13" t="str">
        <f>HYPERLINK("https://audio.iskcondesiretree.com/02_-_ISKCON_Swamis/ISKCON_Swamis_-_R_to_Y/His_Holiness_Radhanath_Swami/Lectures/01_-_Theme_wise/Forgiveness/1999_Forgivness_-_The_Nature_of_Devotee_SB_09-15-40_-_Radhanath_Swami_1999-08-21_IDesireTree.mp3", "1999_Forgivness_-_The_Nature_of_Devotee_SB_09-15-40_-_Radhanath_Swami_1999-08-21_IDesireTree.mp3")</f>
        <v>1999_Forgivness_-_The_Nature_of_Devotee_SB_09-15-40_-_Radhanath_Swami_1999-08-21_IDesireTree.mp3</v>
      </c>
      <c r="D3695" s="11"/>
      <c r="E3695" s="11"/>
    </row>
    <row r="3696" spans="1:5">
      <c r="A3696" s="12" t="s">
        <v>12463</v>
      </c>
      <c r="B3696" s="12" t="s">
        <v>16369</v>
      </c>
      <c r="C3696" s="13" t="str">
        <f>HYPERLINK("https://audio.iskcondesiretree.com/02_-_ISKCON_Swamis/ISKCON_Swamis_-_R_to_Y/His_Holiness_Radhanath_Swami/Lectures/01_-_Theme_wise/Forgiveness/2002-018_What_It_Means_To_Be_Forgiving_SB_01-18-49_-_Radhanath_Swami_Mumbai_2002-01-24_IDesireTree.mp3", "2002-018_What_It_Means_To_Be_Forgiving_SB_01-18-49_-_Radhanath_Swami_Mumbai_2002-01-24_IDesireTree.mp3")</f>
        <v>2002-018_What_It_Means_To_Be_Forgiving_SB_01-18-49_-_Radhanath_Swami_Mumbai_2002-01-24_IDesireTree.mp3</v>
      </c>
      <c r="D3696" s="11"/>
      <c r="E3696" s="11"/>
    </row>
    <row r="3697" spans="1:5">
      <c r="A3697" s="12" t="s">
        <v>12463</v>
      </c>
      <c r="B3697" s="12" t="s">
        <v>16370</v>
      </c>
      <c r="C3697" s="13" t="str">
        <f>HYPERLINK("https://audio.iskcondesiretree.com/02_-_ISKCON_Swamis/ISKCON_Swamis_-_R_to_Y/His_Holiness_Radhanath_Swami/Lectures/01_-_Theme_wise/Forgiveness/2004_The_Art_of_Forgiveness_-_Radhanath_Swami_Mumbai_2004-09-184_IDesireTree.mp3", "2004_The_Art_of_Forgiveness_-_Radhanath_Swami_Mumbai_2004-09-184_IDesireTree.mp3")</f>
        <v>2004_The_Art_of_Forgiveness_-_Radhanath_Swami_Mumbai_2004-09-184_IDesireTree.mp3</v>
      </c>
      <c r="D3697" s="11"/>
      <c r="E3697" s="11"/>
    </row>
    <row r="3698" spans="1:5">
      <c r="A3698" s="12" t="s">
        <v>12463</v>
      </c>
      <c r="B3698" s="12" t="s">
        <v>16371</v>
      </c>
      <c r="C3698" s="13" t="str">
        <f>HYPERLINK("https://audio.iskcondesiretree.com/02_-_ISKCON_Swamis/ISKCON_Swamis_-_R_to_Y/His_Holiness_Radhanath_Swami/Lectures/01_-_Theme_wise/Forgiveness/The_Power_of_Forgiveness_-_Radhanath_Swami_IDesireTree.mp3", "The_Power_of_Forgiveness_-_Radhanath_Swami_IDesireTree.mp3")</f>
        <v>The_Power_of_Forgiveness_-_Radhanath_Swami_IDesireTree.mp3</v>
      </c>
      <c r="D3698" s="11"/>
      <c r="E3698" s="11"/>
    </row>
    <row r="3699" spans="1:5">
      <c r="A3699" s="12" t="s">
        <v>12463</v>
      </c>
      <c r="B3699" s="12" t="s">
        <v>16372</v>
      </c>
      <c r="C3699" s="13" t="str">
        <f>HYPERLINK("https://audio.iskcondesiretree.com/02_-_ISKCON_Swamis/ISKCON_Swamis_-_R_to_Y/His_Holiness_Radhanath_Swami/Lectures/01_-_Theme_wise/Forgiveness/Willingness_to_Take_Humble_Position_%26_Forgive_-_Sunday_Feast_-_Mumbai_24-10-04_IDesireTree.mp3", "Willingness_to_Take_Humble_Position_%26_Forgive_-_Sunday_Feast_-_Mumbai_24-10-04_IDesireTree.mp3")</f>
        <v>Willingness_to_Take_Humble_Position_%26_Forgive_-_Sunday_Feast_-_Mumbai_24-10-04_IDesireTree.mp3</v>
      </c>
      <c r="D3699" s="11"/>
      <c r="E3699" s="11"/>
    </row>
    <row r="3700" spans="1:5">
      <c r="A3700" s="12" t="s">
        <v>12463</v>
      </c>
      <c r="B3700" s="12" t="s">
        <v>16373</v>
      </c>
      <c r="C3700" s="13" t="str">
        <f>HYPERLINK("https://audio.iskcondesiretree.com/02_-_ISKCON_Swamis/ISKCON_Swamis_-_R_to_Y/His_Holiness_Radhanath_Swami/Lectures/01_-_Theme_wise/Free_Will/1993-111_Utilising_Free_Will_In_Service_Of_Krishna_SB_02-09-34_-_Radhanath_Swami_Mumbai_1993-06-08_IDesireTree.mp3", "1993-111_Utilising_Free_Will_In_Service_Of_Krishna_SB_02-09-34_-_Radhanath_Swami_Mumbai_1993-06-08_IDesireTree.mp3")</f>
        <v>1993-111_Utilising_Free_Will_In_Service_Of_Krishna_SB_02-09-34_-_Radhanath_Swami_Mumbai_1993-06-08_IDesireTree.mp3</v>
      </c>
      <c r="D3700" s="11"/>
      <c r="E3700" s="11"/>
    </row>
    <row r="3701" spans="1:5">
      <c r="A3701" s="12" t="s">
        <v>12463</v>
      </c>
      <c r="B3701" s="12" t="s">
        <v>16374</v>
      </c>
      <c r="C3701" s="13" t="str">
        <f>HYPERLINK("https://audio.iskcondesiretree.com/02_-_ISKCON_Swamis/ISKCON_Swamis_-_R_to_Y/His_Holiness_Radhanath_Swami/Lectures/01_-_Theme_wise/Free_Will/1998-007_Using_Our_Free_Will_Properly_Lecture_-_Radhanath_Swami_Mumbai_1998-01-20_IDesireTree.mp3", "1998-007_Using_Our_Free_Will_Properly_Lecture_-_Radhanath_Swami_Mumbai_1998-01-20_IDesireTree.mp3")</f>
        <v>1998-007_Using_Our_Free_Will_Properly_Lecture_-_Radhanath_Swami_Mumbai_1998-01-20_IDesireTree.mp3</v>
      </c>
      <c r="D3701" s="11"/>
      <c r="E3701" s="11"/>
    </row>
    <row r="3702" spans="1:5">
      <c r="A3702" s="12" t="s">
        <v>12463</v>
      </c>
      <c r="B3702" s="12" t="s">
        <v>16375</v>
      </c>
      <c r="C3702" s="13" t="str">
        <f>HYPERLINK("https://audio.iskcondesiretree.com/02_-_ISKCON_Swamis/ISKCON_Swamis_-_R_to_Y/His_Holiness_Radhanath_Swami/Lectures/01_-_Theme_wise/Gaur_Lila-Love_in_Separation/Seminars_-_Gaur_Lila-Love_in_Separation_Part-01_-_Radhanath_Swami_ISKCON_Birmingham.mp3", "Seminars_-_Gaur_Lila-Love_in_Separation_Part-01_-_Radhanath_Swami_ISKCON_Birmingham.mp3")</f>
        <v>Seminars_-_Gaur_Lila-Love_in_Separation_Part-01_-_Radhanath_Swami_ISKCON_Birmingham.mp3</v>
      </c>
      <c r="D3702" s="11"/>
      <c r="E3702" s="11"/>
    </row>
    <row r="3703" spans="1:5">
      <c r="A3703" s="12" t="s">
        <v>12463</v>
      </c>
      <c r="B3703" s="12" t="s">
        <v>16376</v>
      </c>
      <c r="C3703" s="13" t="str">
        <f>HYPERLINK("https://audio.iskcondesiretree.com/02_-_ISKCON_Swamis/ISKCON_Swamis_-_R_to_Y/His_Holiness_Radhanath_Swami/Lectures/01_-_Theme_wise/Gaur_Lila-Love_in_Separation/Seminars_-_Gaur_Lila-Love_in_Separation_Part-02_-_Radhanath_Swami_ISKCON_Birmingham.mp3", "Seminars_-_Gaur_Lila-Love_in_Separation_Part-02_-_Radhanath_Swami_ISKCON_Birmingham.mp3")</f>
        <v>Seminars_-_Gaur_Lila-Love_in_Separation_Part-02_-_Radhanath_Swami_ISKCON_Birmingham.mp3</v>
      </c>
      <c r="D3703" s="11"/>
      <c r="E3703" s="11"/>
    </row>
    <row r="3704" spans="1:5">
      <c r="A3704" s="12" t="s">
        <v>12463</v>
      </c>
      <c r="B3704" s="12" t="s">
        <v>16377</v>
      </c>
      <c r="C3704" s="13" t="str">
        <f>HYPERLINK("https://audio.iskcondesiretree.com/02_-_ISKCON_Swamis/ISKCON_Swamis_-_R_to_Y/His_Holiness_Radhanath_Swami/Lectures/01_-_Theme_wise/Gaur_Lila-Love_in_Separation/Seminars_-_Gaur_Lila-Love_in_Separation_Part-03_-_Radhanath_Swami_ISKCON_Birmingham.mp3", "Seminars_-_Gaur_Lila-Love_in_Separation_Part-03_-_Radhanath_Swami_ISKCON_Birmingham.mp3")</f>
        <v>Seminars_-_Gaur_Lila-Love_in_Separation_Part-03_-_Radhanath_Swami_ISKCON_Birmingham.mp3</v>
      </c>
      <c r="D3704" s="11"/>
      <c r="E3704" s="11"/>
    </row>
    <row r="3705" spans="1:5">
      <c r="A3705" s="12" t="s">
        <v>12463</v>
      </c>
      <c r="B3705" s="12" t="s">
        <v>16378</v>
      </c>
      <c r="C3705" s="13" t="str">
        <f>HYPERLINK("https://audio.iskcondesiretree.com/02_-_ISKCON_Swamis/ISKCON_Swamis_-_R_to_Y/His_Holiness_Radhanath_Swami/Lectures/01_-_Theme_wise/Gaur_Lila-Love_in_Separation/Seminars_-_Gaur_Lila-Love_in_Separation_Part-04_-_Radhanath_Swami_ISKCON_Birmingham.mp3", "Seminars_-_Gaur_Lila-Love_in_Separation_Part-04_-_Radhanath_Swami_ISKCON_Birmingham.mp3")</f>
        <v>Seminars_-_Gaur_Lila-Love_in_Separation_Part-04_-_Radhanath_Swami_ISKCON_Birmingham.mp3</v>
      </c>
      <c r="D3705" s="11"/>
      <c r="E3705" s="11"/>
    </row>
    <row r="3706" spans="1:5">
      <c r="A3706" s="12" t="s">
        <v>12463</v>
      </c>
      <c r="B3706" s="12" t="s">
        <v>15863</v>
      </c>
      <c r="C3706" s="13" t="str">
        <f>HYPERLINK("https://audio.iskcondesiretree.com/02_-_ISKCON_Swamis/ISKCON_Swamis_-_R_to_Y/His_Holiness_Radhanath_Swami/Lectures/01_-_Theme_wise/Goal_of_Life/1989-003_The_Goal_Of_Life_BG_2-47_-_Radhanath_Swami_Mumbai_1989-02-17_IDesireTree.mp3", "1989-003_The_Goal_Of_Life_BG_2-47_-_Radhanath_Swami_Mumbai_1989-02-17_IDesireTree.mp3")</f>
        <v>1989-003_The_Goal_Of_Life_BG_2-47_-_Radhanath_Swami_Mumbai_1989-02-17_IDesireTree.mp3</v>
      </c>
      <c r="D3706" s="11"/>
      <c r="E3706" s="11"/>
    </row>
    <row r="3707" spans="1:5">
      <c r="A3707" s="12" t="s">
        <v>12463</v>
      </c>
      <c r="B3707" s="12" t="s">
        <v>16379</v>
      </c>
      <c r="C3707" s="13" t="str">
        <f>HYPERLINK("https://audio.iskcondesiretree.com/02_-_ISKCON_Swamis/ISKCON_Swamis_-_R_to_Y/His_Holiness_Radhanath_Swami/Lectures/01_-_Theme_wise/Goal_of_Life/1989-015_Headline_In_Newspaper_SB_01-02-08_-_Radhanath_Swami_Mumbai_1989-07-17_IDesireTree.mp3", "1989-015_Headline_In_Newspaper_SB_01-02-08_-_Radhanath_Swami_Mumbai_1989-07-17_IDesireTree.mp3")</f>
        <v>1989-015_Headline_In_Newspaper_SB_01-02-08_-_Radhanath_Swami_Mumbai_1989-07-17_IDesireTree.mp3</v>
      </c>
      <c r="D3707" s="11"/>
      <c r="E3707" s="11"/>
    </row>
    <row r="3708" spans="1:5">
      <c r="A3708" s="12" t="s">
        <v>12463</v>
      </c>
      <c r="B3708" s="12" t="s">
        <v>16380</v>
      </c>
      <c r="C3708" s="13" t="str">
        <f>HYPERLINK("https://audio.iskcondesiretree.com/02_-_ISKCON_Swamis/ISKCON_Swamis_-_R_to_Y/His_Holiness_Radhanath_Swami/Lectures/01_-_Theme_wise/Goal_of_Life/1993-185_Only_By_Realising_The_Goal_Of_Life_CC_Adi-08-63_-_Radhanath_Swami_Mumbai_1993-12-17_IDesireTree.mp3", "1993-185_Only_By_Realising_The_Goal_Of_Life_CC_Adi-08-63_-_Radhanath_Swami_Mumbai_1993-12-17_IDesireTree.mp3")</f>
        <v>1993-185_Only_By_Realising_The_Goal_Of_Life_CC_Adi-08-63_-_Radhanath_Swami_Mumbai_1993-12-17_IDesireTree.mp3</v>
      </c>
      <c r="D3708" s="11"/>
      <c r="E3708" s="11"/>
    </row>
    <row r="3709" spans="1:5">
      <c r="A3709" s="12" t="s">
        <v>12463</v>
      </c>
      <c r="B3709" s="12" t="s">
        <v>16381</v>
      </c>
      <c r="C3709" s="13" t="str">
        <f>HYPERLINK("https://audio.iskcondesiretree.com/02_-_ISKCON_Swamis/ISKCON_Swamis_-_R_to_Y/His_Holiness_Radhanath_Swami/Lectures/01_-_Theme_wise/Goal_of_Life/1995-024_The_Supreme_Goal_Of_Life_MT_-_SB_01-02-08_-_Radhanath_Swami_Belgaum_1995-01-16.mp3", "1995-024_The_Supreme_Goal_Of_Life_MT_-_SB_01-02-08_-_Radhanath_Swami_Belgaum_1995-01-16.mp3")</f>
        <v>1995-024_The_Supreme_Goal_Of_Life_MT_-_SB_01-02-08_-_Radhanath_Swami_Belgaum_1995-01-16.mp3</v>
      </c>
      <c r="D3709" s="11"/>
      <c r="E3709" s="11"/>
    </row>
    <row r="3710" spans="1:5">
      <c r="A3710" s="12" t="s">
        <v>12463</v>
      </c>
      <c r="B3710" s="12" t="s">
        <v>16382</v>
      </c>
      <c r="C3710" s="13" t="str">
        <f>HYPERLINK("https://audio.iskcondesiretree.com/02_-_ISKCON_Swamis/ISKCON_Swamis_-_R_to_Y/His_Holiness_Radhanath_Swami/Lectures/01_-_Theme_wise/Goal_of_Life/1996-135_What_Is_The_Aim_Of_Life_BG_02-08_-_Radhanath_Swami_Mumbai_1996-09-21_IDesireTree.mp3", "1996-135_What_Is_The_Aim_Of_Life_BG_02-08_-_Radhanath_Swami_Mumbai_1996-09-21_IDesireTree.mp3")</f>
        <v>1996-135_What_Is_The_Aim_Of_Life_BG_02-08_-_Radhanath_Swami_Mumbai_1996-09-21_IDesireTree.mp3</v>
      </c>
      <c r="D3710" s="11"/>
      <c r="E3710" s="11"/>
    </row>
    <row r="3711" spans="1:5">
      <c r="A3711" s="12" t="s">
        <v>12463</v>
      </c>
      <c r="B3711" s="12" t="s">
        <v>16383</v>
      </c>
      <c r="C3711" s="13" t="str">
        <f>HYPERLINK("https://audio.iskcondesiretree.com/02_-_ISKCON_Swamis/ISKCON_Swamis_-_R_to_Y/His_Holiness_Radhanath_Swami/Lectures/01_-_Theme_wise/Gratitude/1992-005_I_Am_Eternally_Grateful_To_You_Lecture_-_Radhanath_Swami_Pune_1992-01-04_IDesireTree.mp3", "1992-005_I_Am_Eternally_Grateful_To_You_Lecture_-_Radhanath_Swami_Pune_1992-01-04_IDesireTree.mp3")</f>
        <v>1992-005_I_Am_Eternally_Grateful_To_You_Lecture_-_Radhanath_Swami_Pune_1992-01-04_IDesireTree.mp3</v>
      </c>
      <c r="D3711" s="11"/>
      <c r="E3711" s="11"/>
    </row>
    <row r="3712" spans="1:5">
      <c r="A3712" s="12" t="s">
        <v>12463</v>
      </c>
      <c r="B3712" s="12" t="s">
        <v>16384</v>
      </c>
      <c r="C3712" s="13" t="str">
        <f>HYPERLINK("https://audio.iskcondesiretree.com/02_-_ISKCON_Swamis/ISKCON_Swamis_-_R_to_Y/His_Holiness_Radhanath_Swami/Lectures/01_-_Theme_wise/Gratitude/1993-115_Thank_for_Lord_Krsna%27s_Mercy_SB_01-08-38-39_-_Radhanath_Swami_1993-06-12_IDesireTree.mp3", "1993-115_Thank_for_Lord_Krsna%27s_Mercy_SB_01-08-38-39_-_Radhanath_Swami_1993-06-12_IDesireTree.mp3")</f>
        <v>1993-115_Thank_for_Lord_Krsna%27s_Mercy_SB_01-08-38-39_-_Radhanath_Swami_1993-06-12_IDesireTree.mp3</v>
      </c>
      <c r="D3712" s="11"/>
      <c r="E3712" s="11"/>
    </row>
    <row r="3713" spans="1:5">
      <c r="A3713" s="12" t="s">
        <v>12463</v>
      </c>
      <c r="B3713" s="12" t="s">
        <v>16385</v>
      </c>
      <c r="C3713" s="13" t="str">
        <f>HYPERLINK("https://audio.iskcondesiretree.com/02_-_ISKCON_Swamis/ISKCON_Swamis_-_R_to_Y/His_Holiness_Radhanath_Swami/Lectures/01_-_Theme_wise/Gratitude/1999-029_Devotee_Must_be_Grateful_SB_03-19-36_-_Radhanath_Swami_Mumbai_1999-06-18_IDesireTree.mp3", "1999-029_Devotee_Must_be_Grateful_SB_03-19-36_-_Radhanath_Swami_Mumbai_1999-06-18_IDesireTree.mp3")</f>
        <v>1999-029_Devotee_Must_be_Grateful_SB_03-19-36_-_Radhanath_Swami_Mumbai_1999-06-18_IDesireTree.mp3</v>
      </c>
      <c r="D3713" s="11"/>
      <c r="E3713" s="11"/>
    </row>
    <row r="3714" spans="1:5">
      <c r="A3714" s="12" t="s">
        <v>12463</v>
      </c>
      <c r="B3714" s="12" t="s">
        <v>16386</v>
      </c>
      <c r="C3714" s="13" t="str">
        <f>HYPERLINK("https://audio.iskcondesiretree.com/02_-_ISKCON_Swamis/ISKCON_Swamis_-_R_to_Y/His_Holiness_Radhanath_Swami/Lectures/01_-_Theme_wise/Gratitude/2007_Gratitude_the_Womb_for_Humility_-_Radhanath_Swami_Birla_House_2007-01-07_IDesireTree.mp3", "2007_Gratitude_the_Womb_for_Humility_-_Radhanath_Swami_Birla_House_2007-01-07_IDesireTree.mp3")</f>
        <v>2007_Gratitude_the_Womb_for_Humility_-_Radhanath_Swami_Birla_House_2007-01-07_IDesireTree.mp3</v>
      </c>
      <c r="D3714" s="11"/>
      <c r="E3714" s="11"/>
    </row>
    <row r="3715" spans="1:5">
      <c r="A3715" s="12" t="s">
        <v>12463</v>
      </c>
      <c r="B3715" s="12" t="s">
        <v>16387</v>
      </c>
      <c r="C3715" s="13" t="str">
        <f>HYPERLINK("https://audio.iskcondesiretree.com/02_-_ISKCON_Swamis/ISKCON_Swamis_-_R_to_Y/His_Holiness_Radhanath_Swami/Lectures/01_-_Theme_wise/Gratitude/Devotee_Gratefully_Accept_Any_Situation_in_Life_SB_06-12-07_-_Radhanath_Swami_Mumbai_1994-01-25_IDesireTree.MP3", "Devotee_Gratefully_Accept_Any_Situation_in_Life_SB_06-12-07_-_Radhanath_Swami_Mumbai_1994-01-25_IDesireTree.MP3")</f>
        <v>Devotee_Gratefully_Accept_Any_Situation_in_Life_SB_06-12-07_-_Radhanath_Swami_Mumbai_1994-01-25_IDesireTree.MP3</v>
      </c>
      <c r="D3715" s="11"/>
      <c r="E3715" s="11"/>
    </row>
    <row r="3716" spans="1:5">
      <c r="A3716" s="12" t="s">
        <v>12463</v>
      </c>
      <c r="B3716" s="12" t="s">
        <v>16388</v>
      </c>
      <c r="C3716" s="13" t="str">
        <f>HYPERLINK("https://audio.iskcondesiretree.com/02_-_ISKCON_Swamis/ISKCON_Swamis_-_R_to_Y/His_Holiness_Radhanath_Swami/Lectures/01_-_Theme_wise/Gratitude/Humility_%26_Gratitude-Must_To_Receive_Krishna%27s_Mercy_-_Jagannath_Misra_Festival_-_Mumbai_IDesireTree.mp3", "Humility_%26_Gratitude-Must_To_Receive_Krishna%27s_Mercy_-_Jagannath_Misra_Festival_-_Mumbai_IDesireTree.mp3")</f>
        <v>Humility_%26_Gratitude-Must_To_Receive_Krishna%27s_Mercy_-_Jagannath_Misra_Festival_-_Mumbai_IDesireTree.mp3</v>
      </c>
      <c r="D3716" s="11"/>
      <c r="E3716" s="11"/>
    </row>
    <row r="3717" spans="1:5">
      <c r="A3717" s="12" t="s">
        <v>12463</v>
      </c>
      <c r="B3717" s="12" t="s">
        <v>16389</v>
      </c>
      <c r="C3717" s="13" t="str">
        <f>HYPERLINK("https://audio.iskcondesiretree.com/02_-_ISKCON_Swamis/ISKCON_Swamis_-_R_to_Y/His_Holiness_Radhanath_Swami/Lectures/01_-_Theme_wise/Gratitude/Learning_to_be_Grateful_from_Dhruva_Maharaj_SB-04-12-32_-_Gita_Nagari_02-06-04_IDesireTree.mp3", "Learning_to_be_Grateful_from_Dhruva_Maharaj_SB-04-12-32_-_Gita_Nagari_02-06-04_IDesireTree.mp3")</f>
        <v>Learning_to_be_Grateful_from_Dhruva_Maharaj_SB-04-12-32_-_Gita_Nagari_02-06-04_IDesireTree.mp3</v>
      </c>
      <c r="D3717" s="11"/>
      <c r="E3717" s="11"/>
    </row>
    <row r="3718" spans="1:5">
      <c r="A3718" s="12" t="s">
        <v>12463</v>
      </c>
      <c r="B3718" s="12" t="s">
        <v>16390</v>
      </c>
      <c r="C3718" s="13" t="str">
        <f>HYPERLINK("https://audio.iskcondesiretree.com/02_-_ISKCON_Swamis/ISKCON_Swamis_-_R_to_Y/His_Holiness_Radhanath_Swami/Lectures/01_-_Theme_wise/Gratitude/Offering_Tears_of_Gratitude_and_Appreciation_-_Radhanath_Swami_IDesireTree.mp3", "Offering_Tears_of_Gratitude_and_Appreciation_-_Radhanath_Swami_IDesireTree.mp3")</f>
        <v>Offering_Tears_of_Gratitude_and_Appreciation_-_Radhanath_Swami_IDesireTree.mp3</v>
      </c>
      <c r="D3718" s="11"/>
      <c r="E3718" s="11"/>
    </row>
    <row r="3719" spans="1:5">
      <c r="A3719" s="12" t="s">
        <v>12463</v>
      </c>
      <c r="B3719" s="12" t="s">
        <v>16391</v>
      </c>
      <c r="C3719" s="13" t="str">
        <f>HYPERLINK("https://audio.iskcondesiretree.com/02_-_ISKCON_Swamis/ISKCON_Swamis_-_R_to_Y/His_Holiness_Radhanath_Swami/Lectures/01_-_Theme_wise/Gratitude/Serve_with_Humility_and_Gratitude-Concluding_lecture_-_Radhanath_Swami_IDesireTree.mp3", "Serve_with_Humility_and_Gratitude-Concluding_lecture_-_Radhanath_Swami_IDesireTree.mp3")</f>
        <v>Serve_with_Humility_and_Gratitude-Concluding_lecture_-_Radhanath_Swami_IDesireTree.mp3</v>
      </c>
      <c r="D3719" s="11"/>
      <c r="E3719" s="11"/>
    </row>
    <row r="3720" spans="1:5">
      <c r="A3720" s="12" t="s">
        <v>12463</v>
      </c>
      <c r="B3720" s="12" t="s">
        <v>16392</v>
      </c>
      <c r="C3720" s="13" t="str">
        <f>HYPERLINK("https://audio.iskcondesiretree.com/02_-_ISKCON_Swamis/ISKCON_Swamis_-_R_to_Y/His_Holiness_Radhanath_Swami/Lectures/01_-_Theme_wise/Great_Vaisnava_Acharyas/01_-_Goswami/Appearance_of_Srila_Gopala_Bhatta_Goswami_-_Radhanath_Swami_IDesireTree.mp3", "01_-_Goswami")</f>
        <v>01_-_Goswami</v>
      </c>
      <c r="D3720" s="11"/>
      <c r="E3720" s="11"/>
    </row>
    <row r="3721" spans="1:5">
      <c r="A3721" s="12" t="s">
        <v>12463</v>
      </c>
      <c r="B3721" s="12" t="s">
        <v>16392</v>
      </c>
      <c r="C3721" s="13" t="str">
        <f>HYPERLINK("https://audio.iskcondesiretree.com/02_-_ISKCON_Swamis/ISKCON_Swamis_-_R_to_Y/His_Holiness_Radhanath_Swami/Lectures/01_-_Theme_wise/Great_Vaisnava_Acharyas/01_-_Goswami/Divine_Pastimes_of_the_Goswamis_-_Radhanath_Swami_IDesireTree.mp3", "01_-_Goswami")</f>
        <v>01_-_Goswami</v>
      </c>
      <c r="D3721" s="11"/>
      <c r="E3721" s="11"/>
    </row>
    <row r="3722" spans="1:5">
      <c r="A3722" s="12" t="s">
        <v>12463</v>
      </c>
      <c r="B3722" s="12" t="s">
        <v>16392</v>
      </c>
      <c r="C3722" s="13" t="str">
        <f>HYPERLINK("https://audio.iskcondesiretree.com/02_-_ISKCON_Swamis/ISKCON_Swamis_-_R_to_Y/His_Holiness_Radhanath_Swami/Lectures/01_-_Theme_wise/Great_Vaisnava_Acharyas/01_-_Goswami/Glories_of_Haridas_Thakur_and_Sanatana_Goswami_-_Radhanath_Swami_IDesireTree.mp3", "01_-_Goswami")</f>
        <v>01_-_Goswami</v>
      </c>
      <c r="D3722" s="11"/>
      <c r="E3722" s="11"/>
    </row>
    <row r="3723" spans="1:5">
      <c r="A3723" s="12" t="s">
        <v>12463</v>
      </c>
      <c r="B3723" s="12" t="e">
        <v>#VALUE!</v>
      </c>
      <c r="C3723" s="13" t="e">
        <f>HYPERLINK("https://audio.iskcondesiretree.com/02_-_ISKCON_Swamis/ISKCON_Swamis_-_R_to_Y/His_Holiness_Radhanath_Swami/Lectures/01_-_Theme_wise/Great_Vaisnava_Acharyas/01_-_Goswami/Glories_of_Lord_Vaman_Dev_%26_Srila_Jiva_Goswami_SB-03-10-18_-_Mumbai_15-09-05_IDesireT"&amp;"ree.MP3", "01_-_Goswami")</f>
        <v>#VALUE!</v>
      </c>
      <c r="D3723" s="11"/>
      <c r="E3723" s="11"/>
    </row>
    <row r="3724" spans="1:5">
      <c r="A3724" s="12" t="s">
        <v>12463</v>
      </c>
      <c r="B3724" s="12" t="s">
        <v>16392</v>
      </c>
      <c r="C3724" s="13" t="str">
        <f>HYPERLINK("https://audio.iskcondesiretree.com/02_-_ISKCON_Swamis/ISKCON_Swamis_-_R_to_Y/His_Holiness_Radhanath_Swami/Lectures/01_-_Theme_wise/Great_Vaisnava_Acharyas/01_-_Goswami/Glorification_of_Jaydev_Goswami_-_Radhanath_Swami_IDesireTree.mp3", "01_-_Goswami")</f>
        <v>01_-_Goswami</v>
      </c>
      <c r="D3724" s="11"/>
      <c r="E3724" s="11"/>
    </row>
    <row r="3725" spans="1:5">
      <c r="A3725" s="12" t="s">
        <v>12463</v>
      </c>
      <c r="B3725" s="12" t="s">
        <v>16392</v>
      </c>
      <c r="C3725" s="13" t="str">
        <f>HYPERLINK("https://audio.iskcondesiretree.com/02_-_ISKCON_Swamis/ISKCON_Swamis_-_R_to_Y/His_Holiness_Radhanath_Swami/Lectures/01_-_Theme_wise/Great_Vaisnava_Acharyas/01_-_Goswami/Glorification_of_Rupa_Goswami_-_Radhanath_Swami_IDesireTree.MP3", "01_-_Goswami")</f>
        <v>01_-_Goswami</v>
      </c>
      <c r="D3725" s="11"/>
      <c r="E3725" s="11"/>
    </row>
    <row r="3726" spans="1:5">
      <c r="A3726" s="12" t="s">
        <v>12463</v>
      </c>
      <c r="B3726" s="12" t="s">
        <v>16392</v>
      </c>
      <c r="C3726" s="13" t="str">
        <f>HYPERLINK("https://audio.iskcondesiretree.com/02_-_ISKCON_Swamis/ISKCON_Swamis_-_R_to_Y/His_Holiness_Radhanath_Swami/Lectures/01_-_Theme_wise/Great_Vaisnava_Acharyas/01_-_Goswami/Jayadev_Goswami_-_Radhanath_Swami_IDesireTree.mp3", "01_-_Goswami")</f>
        <v>01_-_Goswami</v>
      </c>
      <c r="D3726" s="11"/>
      <c r="E3726" s="11"/>
    </row>
    <row r="3727" spans="1:5">
      <c r="A3727" s="12" t="s">
        <v>12463</v>
      </c>
      <c r="B3727" s="12" t="s">
        <v>16392</v>
      </c>
      <c r="C3727" s="13" t="str">
        <f>HYPERLINK("https://audio.iskcondesiretree.com/02_-_ISKCON_Swamis/ISKCON_Swamis_-_R_to_Y/His_Holiness_Radhanath_Swami/Lectures/01_-_Theme_wise/Great_Vaisnava_Acharyas/01_-_Goswami/Life_and_Teachings_of_Srila_Rupa_Goswami-01_-_Radhanath_Swami_IDesireTree.mp3", "01_-_Goswami")</f>
        <v>01_-_Goswami</v>
      </c>
      <c r="D3727" s="11"/>
      <c r="E3727" s="11"/>
    </row>
    <row r="3728" spans="1:5">
      <c r="A3728" s="12" t="s">
        <v>12463</v>
      </c>
      <c r="B3728" s="12" t="s">
        <v>16392</v>
      </c>
      <c r="C3728" s="13" t="str">
        <f>HYPERLINK("https://audio.iskcondesiretree.com/02_-_ISKCON_Swamis/ISKCON_Swamis_-_R_to_Y/His_Holiness_Radhanath_Swami/Lectures/01_-_Theme_wise/Great_Vaisnava_Acharyas/01_-_Goswami/Life_and_Teachings_of_Srila_Rupa_Goswami-02_-_Radhanath_Swami_IDesireTree.mp3", "01_-_Goswami")</f>
        <v>01_-_Goswami</v>
      </c>
      <c r="D3728" s="11"/>
      <c r="E3728" s="11"/>
    </row>
    <row r="3729" spans="1:5">
      <c r="A3729" s="12" t="s">
        <v>12463</v>
      </c>
      <c r="B3729" s="12" t="s">
        <v>16392</v>
      </c>
      <c r="C3729" s="13" t="str">
        <f>HYPERLINK("https://audio.iskcondesiretree.com/02_-_ISKCON_Swamis/ISKCON_Swamis_-_R_to_Y/His_Holiness_Radhanath_Swami/Lectures/01_-_Theme_wise/Great_Vaisnava_Acharyas/01_-_Goswami/Life_and_Teachings_of_Srila_Sanatana_das_Goswami-01_-_Radhanath_Swami_IDesireTree.mp3", "01_-_Goswami")</f>
        <v>01_-_Goswami</v>
      </c>
      <c r="D3729" s="11"/>
      <c r="E3729" s="11"/>
    </row>
    <row r="3730" spans="1:5">
      <c r="A3730" s="12" t="s">
        <v>12463</v>
      </c>
      <c r="B3730" s="12" t="s">
        <v>16392</v>
      </c>
      <c r="C3730" s="13" t="str">
        <f>HYPERLINK("https://audio.iskcondesiretree.com/02_-_ISKCON_Swamis/ISKCON_Swamis_-_R_to_Y/His_Holiness_Radhanath_Swami/Lectures/01_-_Theme_wise/Great_Vaisnava_Acharyas/01_-_Goswami/Life_and_Teachings_of_Srila_Sanatana_das_Goswami-02_-_Radhanath_Swami_IDesireTree.mp3", "01_-_Goswami")</f>
        <v>01_-_Goswami</v>
      </c>
      <c r="D3730" s="11"/>
      <c r="E3730" s="11"/>
    </row>
    <row r="3731" spans="1:5">
      <c r="A3731" s="12" t="s">
        <v>12463</v>
      </c>
      <c r="B3731" s="12" t="s">
        <v>16392</v>
      </c>
      <c r="C3731" s="13" t="str">
        <f>HYPERLINK("https://audio.iskcondesiretree.com/02_-_ISKCON_Swamis/ISKCON_Swamis_-_R_to_Y/His_Holiness_Radhanath_Swami/Lectures/01_-_Theme_wise/Great_Vaisnava_Acharyas/01_-_Goswami/Lord_Caitanya_empowers_Sanatana_Goswami_-_Radhanath_Swami_IDesireTree.MP3", "01_-_Goswami")</f>
        <v>01_-_Goswami</v>
      </c>
      <c r="D3731" s="11"/>
      <c r="E3731" s="11"/>
    </row>
    <row r="3732" spans="1:5">
      <c r="A3732" s="12" t="s">
        <v>12463</v>
      </c>
      <c r="B3732" s="12" t="s">
        <v>16392</v>
      </c>
      <c r="C3732" s="13" t="str">
        <f>HYPERLINK("https://audio.iskcondesiretree.com/02_-_ISKCON_Swamis/ISKCON_Swamis_-_R_to_Y/His_Holiness_Radhanath_Swami/Lectures/01_-_Theme_wise/Great_Vaisnava_Acharyas/01_-_Goswami/Pastimes_of_Srila_Gopala_Bhatt_Goswami_-_Radhanath_Swami_IDesireTree.mp3", "01_-_Goswami")</f>
        <v>01_-_Goswami</v>
      </c>
      <c r="D3732" s="11"/>
      <c r="E3732" s="11"/>
    </row>
    <row r="3733" spans="1:5">
      <c r="A3733" s="12" t="s">
        <v>12463</v>
      </c>
      <c r="B3733" s="12" t="s">
        <v>16392</v>
      </c>
      <c r="C3733" s="13" t="str">
        <f>HYPERLINK("https://audio.iskcondesiretree.com/02_-_ISKCON_Swamis/ISKCON_Swamis_-_R_to_Y/His_Holiness_Radhanath_Swami/Lectures/01_-_Theme_wise/Great_Vaisnava_Acharyas/01_-_Goswami/Pastimes_of_Srila_Raghunath_Bhatt_Goswami_-_Radhanath_Swami_IDesireTree.mp3", "01_-_Goswami")</f>
        <v>01_-_Goswami</v>
      </c>
      <c r="D3733" s="11"/>
      <c r="E3733" s="11"/>
    </row>
    <row r="3734" spans="1:5">
      <c r="A3734" s="12" t="s">
        <v>12463</v>
      </c>
      <c r="B3734" s="12" t="s">
        <v>16392</v>
      </c>
      <c r="C3734" s="13" t="str">
        <f>HYPERLINK("https://audio.iskcondesiretree.com/02_-_ISKCON_Swamis/ISKCON_Swamis_-_R_to_Y/His_Holiness_Radhanath_Swami/Lectures/01_-_Theme_wise/Great_Vaisnava_Acharyas/01_-_Goswami/Pastimes_of_Srila_Raghunath_Das_Goswami_-_Radhanath_Swami_IDesireTree.mp3", "01_-_Goswami")</f>
        <v>01_-_Goswami</v>
      </c>
      <c r="D3734" s="11"/>
      <c r="E3734" s="11"/>
    </row>
    <row r="3735" spans="1:5">
      <c r="A3735" s="12" t="s">
        <v>12463</v>
      </c>
      <c r="B3735" s="12" t="s">
        <v>16392</v>
      </c>
      <c r="C3735" s="13" t="str">
        <f>HYPERLINK("https://audio.iskcondesiretree.com/02_-_ISKCON_Swamis/ISKCON_Swamis_-_R_to_Y/His_Holiness_Radhanath_Swami/Lectures/01_-_Theme_wise/Great_Vaisnava_Acharyas/01_-_Goswami/Pastimes_of_Srila_Rupa_Goswami-01_-_Radhanath_Swami_IDesireTree.mp3", "01_-_Goswami")</f>
        <v>01_-_Goswami</v>
      </c>
      <c r="D3735" s="11"/>
      <c r="E3735" s="11"/>
    </row>
    <row r="3736" spans="1:5">
      <c r="A3736" s="12" t="s">
        <v>12463</v>
      </c>
      <c r="B3736" s="12" t="s">
        <v>16392</v>
      </c>
      <c r="C3736" s="13" t="str">
        <f>HYPERLINK("https://audio.iskcondesiretree.com/02_-_ISKCON_Swamis/ISKCON_Swamis_-_R_to_Y/His_Holiness_Radhanath_Swami/Lectures/01_-_Theme_wise/Great_Vaisnava_Acharyas/01_-_Goswami/Pastimes_of_Srila_Rupa_Goswami-02_-_Radhanath_Swami_IDesireTree.mp3", "01_-_Goswami")</f>
        <v>01_-_Goswami</v>
      </c>
      <c r="D3736" s="11"/>
      <c r="E3736" s="11"/>
    </row>
    <row r="3737" spans="1:5">
      <c r="A3737" s="12" t="s">
        <v>12463</v>
      </c>
      <c r="B3737" s="12" t="s">
        <v>16392</v>
      </c>
      <c r="C3737" s="13" t="str">
        <f>HYPERLINK("https://audio.iskcondesiretree.com/02_-_ISKCON_Swamis/ISKCON_Swamis_-_R_to_Y/His_Holiness_Radhanath_Swami/Lectures/01_-_Theme_wise/Great_Vaisnava_Acharyas/01_-_Goswami/Renunciation_of_Raghunath_das_Goswami_-_Radhanath_Swami_IDesireTree.mp3", "01_-_Goswami")</f>
        <v>01_-_Goswami</v>
      </c>
      <c r="D3737" s="11"/>
      <c r="E3737" s="11"/>
    </row>
    <row r="3738" spans="1:5">
      <c r="A3738" s="12" t="s">
        <v>12463</v>
      </c>
      <c r="B3738" s="12" t="s">
        <v>16392</v>
      </c>
      <c r="C3738" s="13" t="str">
        <f>HYPERLINK("https://audio.iskcondesiretree.com/02_-_ISKCON_Swamis/ISKCON_Swamis_-_R_to_Y/His_Holiness_Radhanath_Swami/Lectures/01_-_Theme_wise/Great_Vaisnava_Acharyas/01_-_Goswami/Rupa_Goswami%27s_Beautiful_Bhajan_Kutir_-_Radhanath_Swami_IDesireTree.mp3", "01_-_Goswami")</f>
        <v>01_-_Goswami</v>
      </c>
      <c r="D3738" s="11"/>
      <c r="E3738" s="11"/>
    </row>
    <row r="3739" spans="1:5">
      <c r="A3739" s="12" t="s">
        <v>12463</v>
      </c>
      <c r="B3739" s="12" t="s">
        <v>16392</v>
      </c>
      <c r="C3739" s="13" t="str">
        <f>HYPERLINK("https://audio.iskcondesiretree.com/02_-_ISKCON_Swamis/ISKCON_Swamis_-_R_to_Y/His_Holiness_Radhanath_Swami/Lectures/01_-_Theme_wise/Great_Vaisnava_Acharyas/01_-_Goswami/Sri_Rupa_Manjari_Pada_-_Radhanath_Swami_IDesireTree.mp3", "01_-_Goswami")</f>
        <v>01_-_Goswami</v>
      </c>
      <c r="D3739" s="11"/>
      <c r="E3739" s="11"/>
    </row>
    <row r="3740" spans="1:5">
      <c r="A3740" s="12" t="s">
        <v>12463</v>
      </c>
      <c r="B3740" s="12" t="s">
        <v>16392</v>
      </c>
      <c r="C3740" s="13" t="str">
        <f>HYPERLINK("https://audio.iskcondesiretree.com/02_-_ISKCON_Swamis/ISKCON_Swamis_-_R_to_Y/His_Holiness_Radhanath_Swami/Lectures/01_-_Theme_wise/Great_Vaisnava_Acharyas/01_-_Goswami/Supreme_humility_of_Sanatana_Goswami_-_Radhanath_Swami_IDesireTree.mp3", "01_-_Goswami")</f>
        <v>01_-_Goswami</v>
      </c>
      <c r="D3740" s="11"/>
      <c r="E3740" s="11"/>
    </row>
    <row r="3741" spans="1:5">
      <c r="A3741" s="12" t="s">
        <v>12463</v>
      </c>
      <c r="B3741" s="12" t="s">
        <v>16392</v>
      </c>
      <c r="C3741" s="13" t="str">
        <f>HYPERLINK("https://audio.iskcondesiretree.com/02_-_ISKCON_Swamis/ISKCON_Swamis_-_R_to_Y/His_Holiness_Radhanath_Swami/Lectures/01_-_Theme_wise/Great_Vaisnava_Acharyas/01_-_Goswami/The_wealth_of_Srila_Raghunath_Goswami_-_Radhanath_Swami_IDesireTree.mp3", "01_-_Goswami")</f>
        <v>01_-_Goswami</v>
      </c>
      <c r="D3741" s="11"/>
      <c r="E3741" s="11"/>
    </row>
    <row r="3742" spans="1:5">
      <c r="A3742" s="12" t="s">
        <v>12463</v>
      </c>
      <c r="B3742" s="12" t="s">
        <v>16392</v>
      </c>
      <c r="C3742" s="13" t="str">
        <f>HYPERLINK("https://audio.iskcondesiretree.com/02_-_ISKCON_Swamis/ISKCON_Swamis_-_R_to_Y/His_Holiness_Radhanath_Swami/Lectures/01_-_Theme_wise/Great_Vaisnava_Acharyas/01_-_Goswami/The_wealth_of_Srila_Rupa_Goswami_-_Radhanath_Swami_IDesireTree.MP3", "01_-_Goswami")</f>
        <v>01_-_Goswami</v>
      </c>
      <c r="D3742" s="11"/>
      <c r="E3742" s="11"/>
    </row>
    <row r="3743" spans="1:5">
      <c r="A3743" s="12" t="s">
        <v>12463</v>
      </c>
      <c r="B3743" s="12" t="s">
        <v>16392</v>
      </c>
      <c r="C3743" s="13" t="str">
        <f>HYPERLINK("https://audio.iskcondesiretree.com/02_-_ISKCON_Swamis/ISKCON_Swamis_-_R_to_Y/His_Holiness_Radhanath_Swami/Lectures/01_-_Theme_wise/Great_Vaisnava_Acharyas/01_-_Goswami/The_Wonderful_Gift_of_Rupa_%26_Sanatana_-_07-09-02_London_IDesireTree.mp3", "01_-_Goswami")</f>
        <v>01_-_Goswami</v>
      </c>
      <c r="D3743" s="11"/>
      <c r="E3743" s="11"/>
    </row>
    <row r="3744" spans="1:5">
      <c r="A3744" s="12" t="s">
        <v>12463</v>
      </c>
      <c r="B3744" s="12" t="s">
        <v>16393</v>
      </c>
      <c r="C3744" s="13" t="str">
        <f>HYPERLINK("https://audio.iskcondesiretree.com/02_-_ISKCON_Swamis/ISKCON_Swamis_-_R_to_Y/His_Holiness_Radhanath_Swami/Lectures/01_-_Theme_wise/Great_Vaisnava_Acharyas/02_-_Srila_Bhaktisiddantha_Sarasvathi_Thakur/05-Glorifying_A_Ray_of_Vishnu_IDesireTree.mp3", "02_-_Srila_Bhaktisiddantha_Sarasvathi_Thakur")</f>
        <v>02_-_Srila_Bhaktisiddantha_Sarasvathi_Thakur</v>
      </c>
      <c r="D3744" s="11"/>
      <c r="E3744" s="11"/>
    </row>
    <row r="3745" spans="1:5">
      <c r="A3745" s="12" t="s">
        <v>12463</v>
      </c>
      <c r="B3745" s="12" t="e">
        <v>#VALUE!</v>
      </c>
      <c r="C3745" s="13" t="e">
        <f>HYPERLINK("https://audio.iskcondesiretree.com/02_-_ISKCON_Swamis/ISKCON_Swamis_-_R_to_Y/His_Holiness_Radhanath_Swami/Lectures/01_-_Theme_wise/Great_Vaisnava_Acharyas/02_-_Srila_Bhaktisiddantha_Sarasvathi_Thakur/06-Glories_of_Bhakti_Siddhanta_Saraswati_IDesireTree.mp"&amp;"3", "02_-_Srila_Bhaktisiddantha_Sarasvathi_Thakur")</f>
        <v>#VALUE!</v>
      </c>
      <c r="D3745" s="11"/>
      <c r="E3745" s="11"/>
    </row>
    <row r="3746" spans="1:5">
      <c r="A3746" s="12" t="s">
        <v>12463</v>
      </c>
      <c r="B3746" s="12" t="e">
        <v>#VALUE!</v>
      </c>
      <c r="C3746" s="13" t="e">
        <f>HYPERLINK("https://audio.iskcondesiretree.com/02_-_ISKCON_Swamis/ISKCON_Swamis_-_R_to_Y/His_Holiness_Radhanath_Swami/Lectures/01_-_Theme_wise/Great_Vaisnava_Acharyas/03_-_Srila_Bhaktivinoda_Thakur/01.Greatness_of_Srila_Bhaktivinode_Thakur_-_Mumbai_92-09-09_IDesireTr"&amp;"ee.mp3", "03_-_Srila_Bhaktivinoda_Thakur")</f>
        <v>#VALUE!</v>
      </c>
      <c r="D3746" s="11"/>
      <c r="E3746" s="11"/>
    </row>
    <row r="3747" spans="1:5">
      <c r="A3747" s="12" t="s">
        <v>12463</v>
      </c>
      <c r="B3747" s="12" t="e">
        <v>#VALUE!</v>
      </c>
      <c r="C3747" s="13" t="e">
        <f>HYPERLINK("https://audio.iskcondesiretree.com/02_-_ISKCON_Swamis/ISKCON_Swamis_-_R_to_Y/His_Holiness_Radhanath_Swami/Lectures/01_-_Theme_wise/Great_Vaisnava_Acharyas/03_-_Srila_Bhaktivinoda_Thakur/02.Teachings_of_Bhaktivinode_Thakur-01_-_23-12-01_Mumbai_IDesireTree."&amp;"mp3", "03_-_Srila_Bhaktivinoda_Thakur")</f>
        <v>#VALUE!</v>
      </c>
      <c r="D3747" s="11"/>
      <c r="E3747" s="11"/>
    </row>
    <row r="3748" spans="1:5">
      <c r="A3748" s="12" t="s">
        <v>12463</v>
      </c>
      <c r="B3748" s="12" t="s">
        <v>16394</v>
      </c>
      <c r="C3748" s="13" t="str">
        <f>HYPERLINK("https://audio.iskcondesiretree.com/02_-_ISKCON_Swamis/ISKCON_Swamis_-_R_to_Y/His_Holiness_Radhanath_Swami/Lectures/01_-_Theme_wise/Great_Vaisnava_Acharyas/03_-_Srila_Bhaktivinoda_Thakur/03.Teachings_of_Bhaktivinode_Thakur-02_IDesireTree.mp3", "03_-_Srila_Bhaktivinoda_Thakur")</f>
        <v>03_-_Srila_Bhaktivinoda_Thakur</v>
      </c>
      <c r="D3748" s="11"/>
      <c r="E3748" s="11"/>
    </row>
    <row r="3749" spans="1:5">
      <c r="A3749" s="12" t="s">
        <v>12463</v>
      </c>
      <c r="B3749" s="12" t="s">
        <v>16394</v>
      </c>
      <c r="C3749" s="13" t="str">
        <f>HYPERLINK("https://audio.iskcondesiretree.com/02_-_ISKCON_Swamis/ISKCON_Swamis_-_R_to_Y/His_Holiness_Radhanath_Swami/Lectures/01_-_Theme_wise/Great_Vaisnava_Acharyas/03_-_Srila_Bhaktivinoda_Thakur/04.Bhakti_Vinode_Thakur%27s_Life_Story_IDesireTree.mp3", "03_-_Srila_Bhaktivinoda_Thakur")</f>
        <v>03_-_Srila_Bhaktivinoda_Thakur</v>
      </c>
      <c r="D3749" s="11"/>
      <c r="E3749" s="11"/>
    </row>
    <row r="3750" spans="1:5">
      <c r="A3750" s="12" t="s">
        <v>12463</v>
      </c>
      <c r="B3750" s="12" t="s">
        <v>16394</v>
      </c>
      <c r="C3750" s="13" t="str">
        <f>HYPERLINK("https://audio.iskcondesiretree.com/02_-_ISKCON_Swamis/ISKCON_Swamis_-_R_to_Y/His_Holiness_Radhanath_Swami/Lectures/01_-_Theme_wise/Great_Vaisnava_Acharyas/03_-_Srila_Bhaktivinoda_Thakur/05.Bhaktivinod_thakur%27s_house_-_2003_IDesireTree.mp3", "03_-_Srila_Bhaktivinoda_Thakur")</f>
        <v>03_-_Srila_Bhaktivinoda_Thakur</v>
      </c>
      <c r="D3750" s="11"/>
      <c r="E3750" s="11"/>
    </row>
    <row r="3751" spans="1:5">
      <c r="A3751" s="12" t="s">
        <v>12463</v>
      </c>
      <c r="B3751" s="12" t="s">
        <v>16395</v>
      </c>
      <c r="C3751" s="13" t="str">
        <f>HYPERLINK("https://audio.iskcondesiretree.com/02_-_ISKCON_Swamis/ISKCON_Swamis_-_R_to_Y/His_Holiness_Radhanath_Swami/Lectures/01_-_Theme_wise/Great_Vaisnava_Acharyas/04_-_Srila_Haridas_Thakur/01.Glories_of_Srila_Haridas_-_Radhanath_Swami_IDesireTree.MP3", "04_-_Srila_Haridas_Thakur")</f>
        <v>04_-_Srila_Haridas_Thakur</v>
      </c>
      <c r="D3751" s="11"/>
      <c r="E3751" s="11"/>
    </row>
    <row r="3752" spans="1:5">
      <c r="A3752" s="12" t="s">
        <v>12463</v>
      </c>
      <c r="B3752" s="12" t="s">
        <v>16395</v>
      </c>
      <c r="C3752" s="13" t="str">
        <f>HYPERLINK("https://audio.iskcondesiretree.com/02_-_ISKCON_Swamis/ISKCON_Swamis_-_R_to_Y/His_Holiness_Radhanath_Swami/Lectures/01_-_Theme_wise/Great_Vaisnava_Acharyas/04_-_Srila_Haridas_Thakur/02.Begging_Haridas_Thakura_for_a_Higher_Taste_IDesireTree.mp3", "04_-_Srila_Haridas_Thakur")</f>
        <v>04_-_Srila_Haridas_Thakur</v>
      </c>
      <c r="D3752" s="11"/>
      <c r="E3752" s="11"/>
    </row>
    <row r="3753" spans="1:5">
      <c r="A3753" s="12" t="s">
        <v>12463</v>
      </c>
      <c r="B3753" s="12" t="s">
        <v>16395</v>
      </c>
      <c r="C3753" s="13" t="str">
        <f>HYPERLINK("https://audio.iskcondesiretree.com/02_-_ISKCON_Swamis/ISKCON_Swamis_-_R_to_Y/His_Holiness_Radhanath_Swami/Lectures/01_-_Theme_wise/Great_Vaisnava_Acharyas/04_-_Srila_Haridas_Thakur/03.Life_%26_Teachings_of_Srila_Haridas_Thakur.mp3", "04_-_Srila_Haridas_Thakur")</f>
        <v>04_-_Srila_Haridas_Thakur</v>
      </c>
      <c r="D3753" s="11"/>
      <c r="E3753" s="11"/>
    </row>
    <row r="3754" spans="1:5">
      <c r="A3754" s="12" t="s">
        <v>12463</v>
      </c>
      <c r="B3754" s="12" t="s">
        <v>16395</v>
      </c>
      <c r="C3754" s="13" t="str">
        <f>HYPERLINK("https://audio.iskcondesiretree.com/02_-_ISKCON_Swamis/ISKCON_Swamis_-_R_to_Y/His_Holiness_Radhanath_Swami/Lectures/01_-_Theme_wise/Great_Vaisnava_Acharyas/04_-_Srila_Haridas_Thakur/04.Glories_of_Srila_Haridas_Thakur_IDesireTree.mp3", "04_-_Srila_Haridas_Thakur")</f>
        <v>04_-_Srila_Haridas_Thakur</v>
      </c>
      <c r="D3754" s="11"/>
      <c r="E3754" s="11"/>
    </row>
    <row r="3755" spans="1:5">
      <c r="A3755" s="12" t="s">
        <v>12463</v>
      </c>
      <c r="B3755" s="12" t="s">
        <v>16395</v>
      </c>
      <c r="C3755" s="13" t="str">
        <f>HYPERLINK("https://audio.iskcondesiretree.com/02_-_ISKCON_Swamis/ISKCON_Swamis_-_R_to_Y/His_Holiness_Radhanath_Swami/Lectures/01_-_Theme_wise/Great_Vaisnava_Acharyas/04_-_Srila_Haridas_Thakur/05.Glories_of_Srila_Haridas_Thakur-01.mp3", "04_-_Srila_Haridas_Thakur")</f>
        <v>04_-_Srila_Haridas_Thakur</v>
      </c>
      <c r="D3755" s="11"/>
      <c r="E3755" s="11"/>
    </row>
    <row r="3756" spans="1:5">
      <c r="A3756" s="12" t="s">
        <v>12463</v>
      </c>
      <c r="B3756" s="12" t="s">
        <v>16395</v>
      </c>
      <c r="C3756" s="13" t="str">
        <f>HYPERLINK("https://audio.iskcondesiretree.com/02_-_ISKCON_Swamis/ISKCON_Swamis_-_R_to_Y/His_Holiness_Radhanath_Swami/Lectures/01_-_Theme_wise/Great_Vaisnava_Acharyas/04_-_Srila_Haridas_Thakur/06.Glories_of_Srila_Haridas_Thakur-02.mp3", "04_-_Srila_Haridas_Thakur")</f>
        <v>04_-_Srila_Haridas_Thakur</v>
      </c>
      <c r="D3756" s="11"/>
      <c r="E3756" s="11"/>
    </row>
    <row r="3757" spans="1:5">
      <c r="A3757" s="12" t="s">
        <v>12463</v>
      </c>
      <c r="B3757" s="12" t="s">
        <v>16395</v>
      </c>
      <c r="C3757" s="13" t="str">
        <f>HYPERLINK("https://audio.iskcondesiretree.com/02_-_ISKCON_Swamis/ISKCON_Swamis_-_R_to_Y/His_Holiness_Radhanath_Swami/Lectures/01_-_Theme_wise/Great_Vaisnava_Acharyas/04_-_Srila_Haridas_Thakur/07.Glories_of_Haridas_Thakur_and_Sanatana_Goswami_IDesireTree.MP3", "04_-_Srila_Haridas_Thakur")</f>
        <v>04_-_Srila_Haridas_Thakur</v>
      </c>
      <c r="D3757" s="11"/>
      <c r="E3757" s="11"/>
    </row>
    <row r="3758" spans="1:5">
      <c r="A3758" s="12" t="s">
        <v>12463</v>
      </c>
      <c r="B3758" s="12" t="s">
        <v>16395</v>
      </c>
      <c r="C3758" s="13" t="str">
        <f>HYPERLINK("https://audio.iskcondesiretree.com/02_-_ISKCON_Swamis/ISKCON_Swamis_-_R_to_Y/His_Holiness_Radhanath_Swami/Lectures/01_-_Theme_wise/Great_Vaisnava_Acharyas/04_-_Srila_Haridas_Thakur/08.Glories_of_Haridas_Thakur_-_Radhanath_Swami_IDesireTree.mp3", "04_-_Srila_Haridas_Thakur")</f>
        <v>04_-_Srila_Haridas_Thakur</v>
      </c>
      <c r="D3758" s="11"/>
      <c r="E3758" s="11"/>
    </row>
    <row r="3759" spans="1:5">
      <c r="A3759" s="12" t="s">
        <v>12463</v>
      </c>
      <c r="B3759" s="12" t="s">
        <v>16395</v>
      </c>
      <c r="C3759" s="13" t="str">
        <f>HYPERLINK("https://audio.iskcondesiretree.com/02_-_ISKCON_Swamis/ISKCON_Swamis_-_R_to_Y/His_Holiness_Radhanath_Swami/Lectures/01_-_Theme_wise/Great_Vaisnava_Acharyas/04_-_Srila_Haridas_Thakur/09.Passing_of_Haridas_Thakur_-_Radhanath_Swami_IDesireTree.mp3", "04_-_Srila_Haridas_Thakur")</f>
        <v>04_-_Srila_Haridas_Thakur</v>
      </c>
      <c r="D3759" s="11"/>
      <c r="E3759" s="11"/>
    </row>
    <row r="3760" spans="1:5">
      <c r="A3760" s="12" t="s">
        <v>12463</v>
      </c>
      <c r="B3760" s="12" t="s">
        <v>16395</v>
      </c>
      <c r="C3760" s="13" t="str">
        <f>HYPERLINK("https://audio.iskcondesiretree.com/02_-_ISKCON_Swamis/ISKCON_Swamis_-_R_to_Y/His_Holiness_Radhanath_Swami/Lectures/01_-_Theme_wise/Great_Vaisnava_Acharyas/04_-_Srila_Haridas_Thakur/10.Glories_of_Srila_Haridas_Thakur_SB-05-14-06.MP3", "04_-_Srila_Haridas_Thakur")</f>
        <v>04_-_Srila_Haridas_Thakur</v>
      </c>
      <c r="D3760" s="11"/>
      <c r="E3760" s="11"/>
    </row>
    <row r="3761" spans="1:5">
      <c r="A3761" s="12" t="s">
        <v>12463</v>
      </c>
      <c r="B3761" s="12" t="s">
        <v>16396</v>
      </c>
      <c r="C3761" s="13" t="str">
        <f>HYPERLINK("https://audio.iskcondesiretree.com/02_-_ISKCON_Swamis/ISKCON_Swamis_-_R_to_Y/His_Holiness_Radhanath_Swami/Lectures/01_-_Theme_wise/Great_Vaisnava_Acharyas/05_-_Srila_Madhavendra_Puri/01.Madhavendrapuri_-_Radhanath_Swami_IDesireTree.MP3", "05_-_Srila_Madhavendra_Puri")</f>
        <v>05_-_Srila_Madhavendra_Puri</v>
      </c>
      <c r="D3761" s="11"/>
      <c r="E3761" s="11"/>
    </row>
    <row r="3762" spans="1:5">
      <c r="A3762" s="12" t="s">
        <v>12463</v>
      </c>
      <c r="B3762" s="12" t="s">
        <v>16396</v>
      </c>
      <c r="C3762" s="13" t="str">
        <f>HYPERLINK("https://audio.iskcondesiretree.com/02_-_ISKCON_Swamis/ISKCON_Swamis_-_R_to_Y/His_Holiness_Radhanath_Swami/Lectures/01_-_Theme_wise/Great_Vaisnava_Acharyas/05_-_Srila_Madhavendra_Puri/02.Glories_of_Srila_Madhavendra_Puri-01_IDesireTree.mp3", "05_-_Srila_Madhavendra_Puri")</f>
        <v>05_-_Srila_Madhavendra_Puri</v>
      </c>
      <c r="D3762" s="11"/>
      <c r="E3762" s="11"/>
    </row>
    <row r="3763" spans="1:5">
      <c r="A3763" s="12" t="s">
        <v>12463</v>
      </c>
      <c r="B3763" s="12" t="s">
        <v>16396</v>
      </c>
      <c r="C3763" s="13" t="str">
        <f>HYPERLINK("https://audio.iskcondesiretree.com/02_-_ISKCON_Swamis/ISKCON_Swamis_-_R_to_Y/His_Holiness_Radhanath_Swami/Lectures/01_-_Theme_wise/Great_Vaisnava_Acharyas/05_-_Srila_Madhavendra_Puri/03.Glories_Of_Srila_Madhavendra_Puri-02_IDesireTree.mp3", "05_-_Srila_Madhavendra_Puri")</f>
        <v>05_-_Srila_Madhavendra_Puri</v>
      </c>
      <c r="D3763" s="11"/>
      <c r="E3763" s="11"/>
    </row>
    <row r="3764" spans="1:5">
      <c r="A3764" s="12" t="s">
        <v>12463</v>
      </c>
      <c r="B3764" s="12" t="e">
        <v>#VALUE!</v>
      </c>
      <c r="C3764" s="13" t="e">
        <f>HYPERLINK("https://audio.iskcondesiretree.com/02_-_ISKCON_Swamis/ISKCON_Swamis_-_R_to_Y/His_Holiness_Radhanath_Swami/Lectures/01_-_Theme_wise/Great_Vaisnava_Acharyas/06_-_Sripada_Madhavacharya/01.Sripad_Madhavacharya_-_CC_madhya-09-245_-_Mumbai_15-02-97_IDesireTree."&amp;"mp3", "06_-_Sripada_Madhavacharya")</f>
        <v>#VALUE!</v>
      </c>
      <c r="D3764" s="11"/>
      <c r="E3764" s="11"/>
    </row>
    <row r="3765" spans="1:5">
      <c r="A3765" s="12" t="s">
        <v>12463</v>
      </c>
      <c r="B3765" s="12" t="s">
        <v>16397</v>
      </c>
      <c r="C3765" s="13" t="str">
        <f>HYPERLINK("https://audio.iskcondesiretree.com/02_-_ISKCON_Swamis/ISKCON_Swamis_-_R_to_Y/His_Holiness_Radhanath_Swami/Lectures/01_-_Theme_wise/Great_Vaisnava_Acharyas/06_-_Sripada_Madhavacharya/02.Sripad_Madhvacarya_-_Radhanath_Swami_2007-01-27_IDesireTree.MP3", "06_-_Sripada_Madhavacharya")</f>
        <v>06_-_Sripada_Madhavacharya</v>
      </c>
      <c r="D3765" s="11"/>
      <c r="E3765" s="11"/>
    </row>
    <row r="3766" spans="1:5">
      <c r="A3766" s="12" t="s">
        <v>12463</v>
      </c>
      <c r="B3766" s="12" t="s">
        <v>16397</v>
      </c>
      <c r="C3766" s="13" t="str">
        <f>HYPERLINK("https://audio.iskcondesiretree.com/02_-_ISKCON_Swamis/ISKCON_Swamis_-_R_to_Y/His_Holiness_Radhanath_Swami/Lectures/01_-_Theme_wise/Great_Vaisnava_Acharyas/06_-_Sripada_Madhavacharya/03.Sripad_Madhavacarya_-_Radhanath_Swami_IDesireTree.mp3", "06_-_Sripada_Madhavacharya")</f>
        <v>06_-_Sripada_Madhavacharya</v>
      </c>
      <c r="D3766" s="11"/>
      <c r="E3766" s="11"/>
    </row>
    <row r="3767" spans="1:5">
      <c r="A3767" s="12" t="s">
        <v>12463</v>
      </c>
      <c r="B3767" s="12" t="e">
        <v>#VALUE!</v>
      </c>
      <c r="C3767" s="13" t="e">
        <f>HYPERLINK("https://audio.iskcondesiretree.com/02_-_ISKCON_Swamis/ISKCON_Swamis_-_R_to_Y/His_Holiness_Radhanath_Swami/Lectures/01_-_Theme_wise/Great_Vaisnava_Acharyas/07_-_Srila_Narottamadas_Thakur/07.The_Glories_Of_Srila_Narottama_Das_Thakur_%26_King_Kulashekar_IDes"&amp;"ireTree.mp3", "07_-_Srila_Narottamadas_Thakur")</f>
        <v>#VALUE!</v>
      </c>
      <c r="D3767" s="11"/>
      <c r="E3767" s="11"/>
    </row>
    <row r="3768" spans="1:5">
      <c r="A3768" s="12" t="s">
        <v>12463</v>
      </c>
      <c r="B3768" s="12" t="s">
        <v>16398</v>
      </c>
      <c r="C3768" s="13" t="str">
        <f>HYPERLINK("https://audio.iskcondesiretree.com/02_-_ISKCON_Swamis/ISKCON_Swamis_-_R_to_Y/His_Holiness_Radhanath_Swami/Lectures/01_-_Theme_wise/Great_Vaisnava_Acharyas/07_-_Srila_Narottamadas_Thakur/08.The_Early_Years_of_Srila_Narottama_Das_Thakura_IDesireTree.mp3", "07_-_Srila_Narottamadas_Thakur")</f>
        <v>07_-_Srila_Narottamadas_Thakur</v>
      </c>
      <c r="D3768" s="11"/>
      <c r="E3768" s="11"/>
    </row>
    <row r="3769" spans="1:5">
      <c r="A3769" s="12" t="s">
        <v>12463</v>
      </c>
      <c r="B3769" s="12" t="s">
        <v>16398</v>
      </c>
      <c r="C3769" s="13" t="str">
        <f>HYPERLINK("https://audio.iskcondesiretree.com/02_-_ISKCON_Swamis/ISKCON_Swamis_-_R_to_Y/His_Holiness_Radhanath_Swami/Lectures/01_-_Theme_wise/Great_Vaisnava_Acharyas/07_-_Srila_Narottamadas_Thakur/09.Narottama_Das_Associates_with_Great_Souls_IDesireTree.mp3", "07_-_Srila_Narottamadas_Thakur")</f>
        <v>07_-_Srila_Narottamadas_Thakur</v>
      </c>
      <c r="D3769" s="11"/>
      <c r="E3769" s="11"/>
    </row>
    <row r="3770" spans="1:5">
      <c r="A3770" s="12" t="s">
        <v>12463</v>
      </c>
      <c r="B3770" s="12" t="e">
        <v>#VALUE!</v>
      </c>
      <c r="C3770" s="13" t="e">
        <f>HYPERLINK("https://audio.iskcondesiretree.com/02_-_ISKCON_Swamis/ISKCON_Swamis_-_R_to_Y/His_Holiness_Radhanath_Swami/Lectures/01_-_Theme_wise/Great_Vaisnava_Acharyas/07_-_Srila_Narottamadas_Thakur/10.Life_%26_Teachings_of_Narottama_Das_Thakur_-_17-10-00_IDesireTree."&amp;"mp3", "07_-_Srila_Narottamadas_Thakur")</f>
        <v>#VALUE!</v>
      </c>
      <c r="D3770" s="11"/>
      <c r="E3770" s="11"/>
    </row>
    <row r="3771" spans="1:5">
      <c r="A3771" s="12" t="s">
        <v>12463</v>
      </c>
      <c r="B3771" s="12" t="s">
        <v>16398</v>
      </c>
      <c r="C3771" s="13" t="str">
        <f>HYPERLINK("https://audio.iskcondesiretree.com/02_-_ISKCON_Swamis/ISKCON_Swamis_-_R_to_Y/His_Holiness_Radhanath_Swami/Lectures/01_-_Theme_wise/Great_Vaisnava_Acharyas/07_-_Srila_Narottamadas_Thakur/11.The_Preaching_of_Narottama_Das_Thakura_IDesireTree.mp3", "07_-_Srila_Narottamadas_Thakur")</f>
        <v>07_-_Srila_Narottamadas_Thakur</v>
      </c>
      <c r="D3771" s="11"/>
      <c r="E3771" s="11"/>
    </row>
    <row r="3772" spans="1:5">
      <c r="A3772" s="12" t="s">
        <v>12463</v>
      </c>
      <c r="B3772" s="12" t="s">
        <v>16398</v>
      </c>
      <c r="C3772" s="13" t="str">
        <f>HYPERLINK("https://audio.iskcondesiretree.com/02_-_ISKCON_Swamis/ISKCON_Swamis_-_R_to_Y/His_Holiness_Radhanath_Swami/Lectures/01_-_Theme_wise/Great_Vaisnava_Acharyas/07_-_Srila_Narottamadas_Thakur/12.The_Final_Pastimes_of_Srila_Narottama_Das_Thakura_IDesireTree.mp3", "07_-_Srila_Narottamadas_Thakur")</f>
        <v>07_-_Srila_Narottamadas_Thakur</v>
      </c>
      <c r="D3772" s="11"/>
      <c r="E3772" s="11"/>
    </row>
    <row r="3773" spans="1:5">
      <c r="A3773" s="12" t="s">
        <v>12463</v>
      </c>
      <c r="B3773" s="12" t="s">
        <v>16398</v>
      </c>
      <c r="C3773" s="13" t="str">
        <f>HYPERLINK("https://audio.iskcondesiretree.com/02_-_ISKCON_Swamis/ISKCON_Swamis_-_R_to_Y/His_Holiness_Radhanath_Swami/Lectures/01_-_Theme_wise/Great_Vaisnava_Acharyas/07_-_Srila_Narottamadas_Thakur/13.Narottam_Das_Thakur_-_Radhanath_Swami_IDesireTree.mp3", "07_-_Srila_Narottamadas_Thakur")</f>
        <v>07_-_Srila_Narottamadas_Thakur</v>
      </c>
      <c r="D3773" s="11"/>
      <c r="E3773" s="11"/>
    </row>
    <row r="3774" spans="1:5">
      <c r="A3774" s="12" t="s">
        <v>12463</v>
      </c>
      <c r="B3774" s="12" t="e">
        <v>#VALUE!</v>
      </c>
      <c r="C3774" s="13" t="e">
        <f>HYPERLINK("https://audio.iskcondesiretree.com/02_-_ISKCON_Swamis/ISKCON_Swamis_-_R_to_Y/His_Holiness_Radhanath_Swami/Lectures/01_-_Theme_wise/Great_Vaisnava_Acharyas/08_-_Sripada_Ramanujacharya/02.Principles_of_Bhakti_%26_Disappearance_of_Ramanujacarya_IDesireTree.m"&amp;"p3", "08_-_Sripada_Ramanujacharya")</f>
        <v>#VALUE!</v>
      </c>
      <c r="D3774" s="11"/>
      <c r="E3774" s="11"/>
    </row>
    <row r="3775" spans="1:5">
      <c r="A3775" s="12" t="s">
        <v>12463</v>
      </c>
      <c r="B3775" s="12" t="s">
        <v>16399</v>
      </c>
      <c r="C3775" s="13" t="str">
        <f>HYPERLINK("https://audio.iskcondesiretree.com/02_-_ISKCON_Swamis/ISKCON_Swamis_-_R_to_Y/His_Holiness_Radhanath_Swami/Lectures/01_-_Theme_wise/Great_Vaisnava_Acharyas/08_-_Sripada_Ramanujacharya/03.Ramanuja_Accepts_Sannyas_-_Radhanath_Swami_IDesireTree.mp3", "08_-_Sripada_Ramanujacharya")</f>
        <v>08_-_Sripada_Ramanujacharya</v>
      </c>
      <c r="D3775" s="11"/>
      <c r="E3775" s="11"/>
    </row>
    <row r="3776" spans="1:5">
      <c r="A3776" s="12" t="s">
        <v>12463</v>
      </c>
      <c r="B3776" s="12" t="s">
        <v>16399</v>
      </c>
      <c r="C3776" s="13" t="str">
        <f>HYPERLINK("https://audio.iskcondesiretree.com/02_-_ISKCON_Swamis/ISKCON_Swamis_-_R_to_Y/His_Holiness_Radhanath_Swami/Lectures/01_-_Theme_wise/Great_Vaisnava_Acharyas/08_-_Sripada_Ramanujacharya/04.Ramanuja%27s_pastimes_-_Sri_Rangam_-_Radhanath_Swami_IDesireTree.mp3", "08_-_Sripada_Ramanujacharya")</f>
        <v>08_-_Sripada_Ramanujacharya</v>
      </c>
      <c r="D3776" s="11"/>
      <c r="E3776" s="11"/>
    </row>
    <row r="3777" spans="1:5">
      <c r="A3777" s="12" t="s">
        <v>12463</v>
      </c>
      <c r="B3777" s="12" t="e">
        <v>#VALUE!</v>
      </c>
      <c r="C3777" s="13" t="e">
        <f>HYPERLINK("https://audio.iskcondesiretree.com/02_-_ISKCON_Swamis/ISKCON_Swamis_-_R_to_Y/His_Holiness_Radhanath_Swami/Lectures/01_-_Theme_wise/Great_Vaisnava_Acharyas/08_-_Sripada_Ramanujacharya/05.Ramanujacarya_-_Emblem_of_complete_Surrender_%26_Humility_IDesireTree"&amp;".mp3", "08_-_Sripada_Ramanujacharya")</f>
        <v>#VALUE!</v>
      </c>
      <c r="D3777" s="11"/>
      <c r="E3777" s="11"/>
    </row>
    <row r="3778" spans="1:5">
      <c r="A3778" s="12" t="s">
        <v>12463</v>
      </c>
      <c r="B3778" s="12" t="s">
        <v>16400</v>
      </c>
      <c r="C3778" s="13" t="str">
        <f>HYPERLINK("https://audio.iskcondesiretree.com/02_-_ISKCON_Swamis/ISKCON_Swamis_-_R_to_Y/His_Holiness_Radhanath_Swami/Lectures/01_-_Theme_wise/Happiness/01.Heavenly_Pleasure_Vs_Spiritual_Pleasure_SB_05-17-10-11_-_Radhanath_Swami_Mumbai_2005-12-11_IDesireTree.mp3", "01.Heavenly_Pleasure_Vs_Spiritual_Pleasure_SB_05-17-10-11_-_Radhanath_Swami_Mumbai_2005-12-11_IDesireTree.mp3")</f>
        <v>01.Heavenly_Pleasure_Vs_Spiritual_Pleasure_SB_05-17-10-11_-_Radhanath_Swami_Mumbai_2005-12-11_IDesireTree.mp3</v>
      </c>
      <c r="D3778" s="11"/>
      <c r="E3778" s="11"/>
    </row>
    <row r="3779" spans="1:5">
      <c r="A3779" s="12" t="s">
        <v>12463</v>
      </c>
      <c r="B3779" s="12" t="s">
        <v>16401</v>
      </c>
      <c r="C3779" s="13" t="str">
        <f>HYPERLINK("https://audio.iskcondesiretree.com/02_-_ISKCON_Swamis/ISKCON_Swamis_-_R_to_Y/His_Holiness_Radhanath_Swami/Lectures/01_-_Theme_wise/Happiness/02.Quest_for_Inner_Happiness_-_Radhanath_Swami_Chicago_2004-04-24_IDesireTree.mp3", "02.Quest_for_Inner_Happiness_-_Radhanath_Swami_Chicago_2004-04-24_IDesireTree.mp3")</f>
        <v>02.Quest_for_Inner_Happiness_-_Radhanath_Swami_Chicago_2004-04-24_IDesireTree.mp3</v>
      </c>
      <c r="D3779" s="11"/>
      <c r="E3779" s="11"/>
    </row>
    <row r="3780" spans="1:5">
      <c r="A3780" s="12" t="s">
        <v>12463</v>
      </c>
      <c r="B3780" s="12" t="s">
        <v>16402</v>
      </c>
      <c r="C3780" s="13" t="str">
        <f>HYPERLINK("https://audio.iskcondesiretree.com/02_-_ISKCON_Swamis/ISKCON_Swamis_-_R_to_Y/His_Holiness_Radhanath_Swami/Lectures/01_-_Theme_wise/Happiness/03.The_Secret_of_Achieving_True_Happiness_-_Radhanath_Swami_Nigdi_2005-01-09_IDesireTree.mp3", "03.The_Secret_of_Achieving_True_Happiness_-_Radhanath_Swami_Nigdi_2005-01-09_IDesireTree.mp3")</f>
        <v>03.The_Secret_of_Achieving_True_Happiness_-_Radhanath_Swami_Nigdi_2005-01-09_IDesireTree.mp3</v>
      </c>
      <c r="D3780" s="11"/>
      <c r="E3780" s="11"/>
    </row>
    <row r="3781" spans="1:5">
      <c r="A3781" s="12" t="s">
        <v>12463</v>
      </c>
      <c r="B3781" s="12" t="s">
        <v>16403</v>
      </c>
      <c r="C3781" s="13" t="str">
        <f>HYPERLINK("https://audio.iskcondesiretree.com/02_-_ISKCON_Swamis/ISKCON_Swamis_-_R_to_Y/His_Holiness_Radhanath_Swami/Lectures/01_-_Theme_wise/Happiness/1991-015_Eternal_Joy_Of_Soul_SB_09-04-46-47_Radhanath_Swami_Mumbai_1991-02-09_IDesireTree.mp3", "1991-015_Eternal_Joy_Of_Soul_SB_09-04-46-47_Radhanath_Swami_Mumbai_1991-02-09_IDesireTree.mp3")</f>
        <v>1991-015_Eternal_Joy_Of_Soul_SB_09-04-46-47_Radhanath_Swami_Mumbai_1991-02-09_IDesireTree.mp3</v>
      </c>
      <c r="D3781" s="11"/>
      <c r="E3781" s="11"/>
    </row>
    <row r="3782" spans="1:5">
      <c r="A3782" s="12" t="s">
        <v>12463</v>
      </c>
      <c r="B3782" s="12" t="s">
        <v>16404</v>
      </c>
      <c r="C3782" s="13" t="str">
        <f>HYPERLINK("https://audio.iskcondesiretree.com/02_-_ISKCON_Swamis/ISKCON_Swamis_-_R_to_Y/His_Holiness_Radhanath_Swami/Lectures/01_-_Theme_wise/Happiness/1997-038_Real_Happiness_BG_06-28_-_Radhanath_Swami_Mumbai_1997-02-11_IDesireTree.mp3", "1997-038_Real_Happiness_BG_06-28_-_Radhanath_Swami_Mumbai_1997-02-11_IDesireTree.mp3")</f>
        <v>1997-038_Real_Happiness_BG_06-28_-_Radhanath_Swami_Mumbai_1997-02-11_IDesireTree.mp3</v>
      </c>
      <c r="D3782" s="11"/>
      <c r="E3782" s="11"/>
    </row>
    <row r="3783" spans="1:5">
      <c r="A3783" s="12" t="s">
        <v>12463</v>
      </c>
      <c r="B3783" s="12" t="s">
        <v>16405</v>
      </c>
      <c r="C3783" s="13" t="str">
        <f>HYPERLINK("https://audio.iskcondesiretree.com/02_-_ISKCON_Swamis/ISKCON_Swamis_-_R_to_Y/His_Holiness_Radhanath_Swami/Lectures/01_-_Theme_wise/Happiness/1997-092_Market_Place_Of_Happiness_BG_04-06_Radhanath_Swami_Mumbai_1997-08-30_IDesireTree.mp3", "1997-092_Market_Place_Of_Happiness_BG_04-06_Radhanath_Swami_Mumbai_1997-08-30_IDesireTree.mp3")</f>
        <v>1997-092_Market_Place_Of_Happiness_BG_04-06_Radhanath_Swami_Mumbai_1997-08-30_IDesireTree.mp3</v>
      </c>
      <c r="D3783" s="11"/>
      <c r="E3783" s="11"/>
    </row>
    <row r="3784" spans="1:5">
      <c r="A3784" s="12" t="s">
        <v>12463</v>
      </c>
      <c r="B3784" s="12" t="s">
        <v>16406</v>
      </c>
      <c r="C3784" s="13" t="str">
        <f>HYPERLINK("https://audio.iskcondesiretree.com/02_-_ISKCON_Swamis/ISKCON_Swamis_-_R_to_Y/His_Holiness_Radhanath_Swami/Lectures/01_-_Theme_wise/Happiness/1998-060_Real_Happiness_is_Krishna_Consiousness_SB_03-07-40_Radhanath_Swami_Mumbai_1998-05-03_IDesireTree.mp3", "1998-060_Real_Happiness_is_Krishna_Consiousness_SB_03-07-40_Radhanath_Swami_Mumbai_1998-05-03_IDesireTree.mp3")</f>
        <v>1998-060_Real_Happiness_is_Krishna_Consiousness_SB_03-07-40_Radhanath_Swami_Mumbai_1998-05-03_IDesireTree.mp3</v>
      </c>
      <c r="D3784" s="11"/>
      <c r="E3784" s="11"/>
    </row>
    <row r="3785" spans="1:5">
      <c r="A3785" s="12" t="s">
        <v>12463</v>
      </c>
      <c r="B3785" s="12" t="s">
        <v>16407</v>
      </c>
      <c r="C3785" s="13" t="str">
        <f>HYPERLINK("https://audio.iskcondesiretree.com/02_-_ISKCON_Swamis/ISKCON_Swamis_-_R_to_Y/His_Holiness_Radhanath_Swami/Lectures/01_-_Theme_wise/Happiness/1999-042_Happiness_in_Krishna_Consciousness_BG_09-13_Radhanath_Swami_Mumbai_199-07-10_IDesireTree.mp3", "1999-042_Happiness_in_Krishna_Consciousness_BG_09-13_Radhanath_Swami_Mumbai_199-07-10_IDesireTree.mp3")</f>
        <v>1999-042_Happiness_in_Krishna_Consciousness_BG_09-13_Radhanath_Swami_Mumbai_199-07-10_IDesireTree.mp3</v>
      </c>
      <c r="D3785" s="11"/>
      <c r="E3785" s="11"/>
    </row>
    <row r="3786" spans="1:5">
      <c r="A3786" s="12" t="s">
        <v>12463</v>
      </c>
      <c r="B3786" s="12" t="s">
        <v>16408</v>
      </c>
      <c r="C3786" s="13" t="str">
        <f>HYPERLINK("https://audio.iskcondesiretree.com/02_-_ISKCON_Swamis/ISKCON_Swamis_-_R_to_Y/His_Holiness_Radhanath_Swami/Lectures/01_-_Theme_wise/Happiness/2000-026_Unlimited_Happiness_by_Surrendering_to_Krsna_SB_01_-_Radhanath_Swami_IDesireTree.mp3", "2000-026_Unlimited_Happiness_by_Surrendering_to_Krsna_SB_01_-_Radhanath_Swami_IDesireTree.mp3")</f>
        <v>2000-026_Unlimited_Happiness_by_Surrendering_to_Krsna_SB_01_-_Radhanath_Swami_IDesireTree.mp3</v>
      </c>
      <c r="D3786" s="11"/>
      <c r="E3786" s="11"/>
    </row>
    <row r="3787" spans="1:5">
      <c r="A3787" s="12" t="s">
        <v>12463</v>
      </c>
      <c r="B3787" s="12" t="s">
        <v>14544</v>
      </c>
      <c r="C3787" s="13" t="str">
        <f>HYPERLINK("https://audio.iskcondesiretree.com/02_-_ISKCON_Swamis/ISKCON_Swamis_-_R_to_Y/His_Holiness_Radhanath_Swami/Lectures/01_-_Theme_wise/Happiness/2001-011_Understanding_What_Is_Real_Happiness_BG_-_Radhanath_Swami_IDesireTree.mp3", "2001-011_Understanding_What_Is_Real_Happiness_BG_-_Radhanath_Swami_IDesireTree.mp3")</f>
        <v>2001-011_Understanding_What_Is_Real_Happiness_BG_-_Radhanath_Swami_IDesireTree.mp3</v>
      </c>
      <c r="D3787" s="11"/>
      <c r="E3787" s="11"/>
    </row>
    <row r="3788" spans="1:5">
      <c r="A3788" s="12" t="s">
        <v>12463</v>
      </c>
      <c r="B3788" s="12" t="s">
        <v>16409</v>
      </c>
      <c r="C3788" s="13" t="str">
        <f>HYPERLINK("https://audio.iskcondesiretree.com/02_-_ISKCON_Swamis/ISKCON_Swamis_-_R_to_Y/His_Holiness_Radhanath_Swami/Lectures/01_-_Theme_wise/Heart/01.Transforming_Garage_Like_Heart_Into_Vaikuntha_-_Radhanath_Swami_Mumbai_2004-09-10_IDesireTree.mp3", "01.Transforming_Garage_Like_Heart_Into_Vaikuntha_-_Radhanath_Swami_Mumbai_2004-09-10_IDesireTree.mp3")</f>
        <v>01.Transforming_Garage_Like_Heart_Into_Vaikuntha_-_Radhanath_Swami_Mumbai_2004-09-10_IDesireTree.mp3</v>
      </c>
      <c r="D3788" s="11"/>
      <c r="E3788" s="11"/>
    </row>
    <row r="3789" spans="1:5">
      <c r="A3789" s="12" t="s">
        <v>12463</v>
      </c>
      <c r="B3789" s="12" t="s">
        <v>16410</v>
      </c>
      <c r="C3789" s="13" t="str">
        <f>HYPERLINK("https://audio.iskcondesiretree.com/02_-_ISKCON_Swamis/ISKCON_Swamis_-_R_to_Y/His_Holiness_Radhanath_Swami/Lectures/01_-_Theme_wise/Heart/02.Bhakti_The_Wealth_of_Heart_SB_05-03-02_-_Radhanath_Swami_Mumbai_2004-12-26_IDesireTree.mp3", "02.Bhakti_The_Wealth_of_Heart_SB_05-03-02_-_Radhanath_Swami_Mumbai_2004-12-26_IDesireTree.mp3")</f>
        <v>02.Bhakti_The_Wealth_of_Heart_SB_05-03-02_-_Radhanath_Swami_Mumbai_2004-12-26_IDesireTree.mp3</v>
      </c>
      <c r="D3789" s="11"/>
      <c r="E3789" s="11"/>
    </row>
    <row r="3790" spans="1:5">
      <c r="A3790" s="12" t="s">
        <v>12463</v>
      </c>
      <c r="B3790" s="12" t="s">
        <v>16411</v>
      </c>
      <c r="C3790" s="13" t="str">
        <f>HYPERLINK("https://audio.iskcondesiretree.com/02_-_ISKCON_Swamis/ISKCON_Swamis_-_R_to_Y/His_Holiness_Radhanath_Swami/Lectures/01_-_Theme_wise/Heart/03.Lord_Imprisioned_in_the_Heart_of_His_Devotee_-_Radhanath_Swami_Chicago_2005_IDesireTree.mp3", "03.Lord_Imprisioned_in_the_Heart_of_His_Devotee_-_Radhanath_Swami_Chicago_2005_IDesireTree.mp3")</f>
        <v>03.Lord_Imprisioned_in_the_Heart_of_His_Devotee_-_Radhanath_Swami_Chicago_2005_IDesireTree.mp3</v>
      </c>
      <c r="D3790" s="11"/>
      <c r="E3790" s="11"/>
    </row>
    <row r="3791" spans="1:5">
      <c r="A3791" s="12" t="s">
        <v>12463</v>
      </c>
      <c r="B3791" s="12" t="s">
        <v>16412</v>
      </c>
      <c r="C3791" s="13" t="str">
        <f>HYPERLINK("https://audio.iskcondesiretree.com/02_-_ISKCON_Swamis/ISKCON_Swamis_-_R_to_Y/His_Holiness_Radhanath_Swami/Lectures/01_-_Theme_wise/Heart/04.Exchange_of_Hearts_SB-01-16-34_-_Radhanath_Swami_Chicago_2005_IDesireTree.mp3", "04.Exchange_of_Hearts_SB-01-16-34_-_Radhanath_Swami_Chicago_2005_IDesireTree.mp3")</f>
        <v>04.Exchange_of_Hearts_SB-01-16-34_-_Radhanath_Swami_Chicago_2005_IDesireTree.mp3</v>
      </c>
      <c r="D3791" s="11"/>
      <c r="E3791" s="11"/>
    </row>
    <row r="3792" spans="1:5">
      <c r="A3792" s="12" t="s">
        <v>12463</v>
      </c>
      <c r="B3792" s="12" t="s">
        <v>16413</v>
      </c>
      <c r="C3792" s="13" t="str">
        <f>HYPERLINK("https://audio.iskcondesiretree.com/02_-_ISKCON_Swamis/ISKCON_Swamis_-_R_to_Y/His_Holiness_Radhanath_Swami/Lectures/01_-_Theme_wise/Heart/05.The_Real_Treasure_in_Our_Own_Heart_-_Radhanath_Swami_Copenhagen_1999-08-03_IDesireTree.mp3", "05.The_Real_Treasure_in_Our_Own_Heart_-_Radhanath_Swami_Copenhagen_1999-08-03_IDesireTree.mp3")</f>
        <v>05.The_Real_Treasure_in_Our_Own_Heart_-_Radhanath_Swami_Copenhagen_1999-08-03_IDesireTree.mp3</v>
      </c>
      <c r="D3792" s="11"/>
      <c r="E3792" s="11"/>
    </row>
    <row r="3793" spans="1:5">
      <c r="A3793" s="12" t="s">
        <v>12463</v>
      </c>
      <c r="B3793" s="12" t="s">
        <v>16414</v>
      </c>
      <c r="C3793" s="13" t="str">
        <f>HYPERLINK("https://audio.iskcondesiretree.com/02_-_ISKCON_Swamis/ISKCON_Swamis_-_R_to_Y/His_Holiness_Radhanath_Swami/Lectures/01_-_Theme_wise/Heart/06.Poverty_of_the_Heart_-_Radhanath_Swami_IDesireTree.mp3", "06.Poverty_of_the_Heart_-_Radhanath_Swami_IDesireTree.mp3")</f>
        <v>06.Poverty_of_the_Heart_-_Radhanath_Swami_IDesireTree.mp3</v>
      </c>
      <c r="D3793" s="11"/>
      <c r="E3793" s="11"/>
    </row>
    <row r="3794" spans="1:5">
      <c r="A3794" s="12" t="s">
        <v>12463</v>
      </c>
      <c r="B3794" s="12" t="s">
        <v>16415</v>
      </c>
      <c r="C3794" s="13" t="str">
        <f>HYPERLINK("https://audio.iskcondesiretree.com/02_-_ISKCON_Swamis/ISKCON_Swamis_-_R_to_Y/His_Holiness_Radhanath_Swami/Lectures/01_-_Theme_wise/Heart/07.Melting_the_Steel_Heart_by_Chanting_the_Holy_Name_-_Radhanath_Swami_IDesireTree.mp3", "07.Melting_the_Steel_Heart_by_Chanting_the_Holy_Name_-_Radhanath_Swami_IDesireTree.mp3")</f>
        <v>07.Melting_the_Steel_Heart_by_Chanting_the_Holy_Name_-_Radhanath_Swami_IDesireTree.mp3</v>
      </c>
      <c r="D3794" s="11"/>
      <c r="E3794" s="11"/>
    </row>
    <row r="3795" spans="1:5">
      <c r="A3795" s="12" t="s">
        <v>12463</v>
      </c>
      <c r="B3795" s="12" t="s">
        <v>16416</v>
      </c>
      <c r="C3795" s="13" t="str">
        <f>HYPERLINK("https://audio.iskcondesiretree.com/02_-_ISKCON_Swamis/ISKCON_Swamis_-_R_to_Y/His_Holiness_Radhanath_Swami/Lectures/01_-_Theme_wise/Heart/08.Melting_the_hard_hear_-_Radhanath_Swami_IDesireTree.MP3", "08.Melting_the_hard_hear_-_Radhanath_Swami_IDesireTree.MP3")</f>
        <v>08.Melting_the_hard_hear_-_Radhanath_Swami_IDesireTree.MP3</v>
      </c>
      <c r="D3795" s="11"/>
      <c r="E3795" s="11"/>
    </row>
    <row r="3796" spans="1:5">
      <c r="A3796" s="12" t="s">
        <v>12463</v>
      </c>
      <c r="B3796" s="12" t="s">
        <v>16417</v>
      </c>
      <c r="C3796" s="13" t="str">
        <f>HYPERLINK("https://audio.iskcondesiretree.com/02_-_ISKCON_Swamis/ISKCON_Swamis_-_R_to_Y/His_Holiness_Radhanath_Swami/Lectures/01_-_Theme_wise/Heart/09.Melting_Lords_Melting_Hearts_-_Radhanath_Swami_IDesireTree.mp3", "09.Melting_Lords_Melting_Hearts_-_Radhanath_Swami_IDesireTree.mp3")</f>
        <v>09.Melting_Lords_Melting_Hearts_-_Radhanath_Swami_IDesireTree.mp3</v>
      </c>
      <c r="D3796" s="11"/>
      <c r="E3796" s="11"/>
    </row>
    <row r="3797" spans="1:5">
      <c r="A3797" s="12" t="s">
        <v>12463</v>
      </c>
      <c r="B3797" s="12" t="s">
        <v>16418</v>
      </c>
      <c r="C3797" s="13" t="str">
        <f>HYPERLINK("https://audio.iskcondesiretree.com/02_-_ISKCON_Swamis/ISKCON_Swamis_-_R_to_Y/His_Holiness_Radhanath_Swami/Lectures/01_-_Theme_wise/Heart/1991-056_Within_Our_Heart_Lecture_-_Radhanath_Swami_Mumbai_2005-05-91_IDesireTree.mp3", "1991-056_Within_Our_Heart_Lecture_-_Radhanath_Swami_Mumbai_2005-05-91_IDesireTree.mp3")</f>
        <v>1991-056_Within_Our_Heart_Lecture_-_Radhanath_Swami_Mumbai_2005-05-91_IDesireTree.mp3</v>
      </c>
      <c r="D3797" s="11"/>
      <c r="E3797" s="11"/>
    </row>
    <row r="3798" spans="1:5">
      <c r="A3798" s="12" t="s">
        <v>12463</v>
      </c>
      <c r="B3798" s="12" t="s">
        <v>16419</v>
      </c>
      <c r="C3798" s="13" t="str">
        <f>HYPERLINK("https://audio.iskcondesiretree.com/02_-_ISKCON_Swamis/ISKCON_Swamis_-_R_to_Y/His_Holiness_Radhanath_Swami/Lectures/01_-_Theme_wise/Heart/1991-081_Ravan_In_Our_Heart_Lecture_-_Radhanath_Swami_Mumbai_1991-10-17_IDesireTree.mp3", "1991-081_Ravan_In_Our_Heart_Lecture_-_Radhanath_Swami_Mumbai_1991-10-17_IDesireTree.mp3")</f>
        <v>1991-081_Ravan_In_Our_Heart_Lecture_-_Radhanath_Swami_Mumbai_1991-10-17_IDesireTree.mp3</v>
      </c>
      <c r="D3798" s="11"/>
      <c r="E3798" s="11"/>
    </row>
    <row r="3799" spans="1:5">
      <c r="A3799" s="12" t="s">
        <v>12463</v>
      </c>
      <c r="B3799" s="12" t="s">
        <v>16420</v>
      </c>
      <c r="C3799" s="13" t="str">
        <f>HYPERLINK("https://audio.iskcondesiretree.com/02_-_ISKCON_Swamis/ISKCON_Swamis_-_R_to_Y/His_Holiness_Radhanath_Swami/Lectures/01_-_Theme_wise/Heart/1993-017_To_Purify_Our_Heart_SB_01-02-08_-_Radhanath_Swami_1993-01-17_IDesireTree.mp3", "1993-017_To_Purify_Our_Heart_SB_01-02-08_-_Radhanath_Swami_1993-01-17_IDesireTree.mp3")</f>
        <v>1993-017_To_Purify_Our_Heart_SB_01-02-08_-_Radhanath_Swami_1993-01-17_IDesireTree.mp3</v>
      </c>
      <c r="D3799" s="11"/>
      <c r="E3799" s="11"/>
    </row>
    <row r="3800" spans="1:5">
      <c r="A3800" s="12" t="s">
        <v>12463</v>
      </c>
      <c r="B3800" s="12" t="s">
        <v>16421</v>
      </c>
      <c r="C3800" s="13" t="str">
        <f>HYPERLINK("https://audio.iskcondesiretree.com/02_-_ISKCON_Swamis/ISKCON_Swamis_-_R_to_Y/His_Holiness_Radhanath_Swami/Lectures/01_-_Theme_wise/Heart/1994-111_Appearance_Of_Krishna_In_Our_Heart_SB_10-03-13_-_Radhanath_Swami_Mumbai_1994-08-26_IDesireTree.mp3", "1994-111_Appearance_Of_Krishna_In_Our_Heart_SB_10-03-13_-_Radhanath_Swami_Mumbai_1994-08-26_IDesireTree.mp3")</f>
        <v>1994-111_Appearance_Of_Krishna_In_Our_Heart_SB_10-03-13_-_Radhanath_Swami_Mumbai_1994-08-26_IDesireTree.mp3</v>
      </c>
      <c r="D3800" s="11"/>
      <c r="E3800" s="11"/>
    </row>
    <row r="3801" spans="1:5">
      <c r="A3801" s="12" t="s">
        <v>12463</v>
      </c>
      <c r="B3801" s="12" t="s">
        <v>16422</v>
      </c>
      <c r="C3801" s="13" t="str">
        <f>HYPERLINK("https://audio.iskcondesiretree.com/02_-_ISKCON_Swamis/ISKCON_Swamis_-_R_to_Y/His_Holiness_Radhanath_Swami/Lectures/01_-_Theme_wise/Heart/1995-040_Don%27t_Break_Others_Heart_SB_04-08-34_-_Radhanath_Swami_Mumbai_1995-02-01.mp3", "1995-040_Don%27t_Break_Others_Heart_SB_04-08-34_-_Radhanath_Swami_Mumbai_1995-02-01.mp3")</f>
        <v>1995-040_Don%27t_Break_Others_Heart_SB_04-08-34_-_Radhanath_Swami_Mumbai_1995-02-01.mp3</v>
      </c>
      <c r="D3801" s="11"/>
      <c r="E3801" s="11"/>
    </row>
    <row r="3802" spans="1:5">
      <c r="A3802" s="12" t="s">
        <v>12463</v>
      </c>
      <c r="B3802" s="12" t="s">
        <v>16423</v>
      </c>
      <c r="C3802" s="13" t="str">
        <f>HYPERLINK("https://audio.iskcondesiretree.com/02_-_ISKCON_Swamis/ISKCON_Swamis_-_R_to_Y/His_Holiness_Radhanath_Swami/Lectures/01_-_Theme_wise/Heart/1995-072_Service_Attitude_Changes_Our_Stone_Like_Heart_Lecture_-_Radhanath_Swami_Kurukshetra_1995-03-27.mp3", "1995-072_Service_Attitude_Changes_Our_Stone_Like_Heart_Lecture_-_Radhanath_Swami_Kurukshetra_1995-03-27.mp3")</f>
        <v>1995-072_Service_Attitude_Changes_Our_Stone_Like_Heart_Lecture_-_Radhanath_Swami_Kurukshetra_1995-03-27.mp3</v>
      </c>
      <c r="D3802" s="11"/>
      <c r="E3802" s="11"/>
    </row>
    <row r="3803" spans="1:5">
      <c r="A3803" s="12" t="s">
        <v>12463</v>
      </c>
      <c r="B3803" s="12" t="s">
        <v>16424</v>
      </c>
      <c r="C3803" s="13" t="str">
        <f>HYPERLINK("https://audio.iskcondesiretree.com/02_-_ISKCON_Swamis/ISKCON_Swamis_-_R_to_Y/His_Holiness_Radhanath_Swami/Lectures/01_-_Theme_wise/Heart/1998-098_Bringing_the_Lord_Back_to_Our_Heart_BG_03_-_Radhanath_Swami_Nigdi_1998-10-08_IDesireTree.mp3", "1998-098_Bringing_the_Lord_Back_to_Our_Heart_BG_03_-_Radhanath_Swami_Nigdi_1998-10-08_IDesireTree.mp3")</f>
        <v>1998-098_Bringing_the_Lord_Back_to_Our_Heart_BG_03_-_Radhanath_Swami_Nigdi_1998-10-08_IDesireTree.mp3</v>
      </c>
      <c r="D3803" s="11"/>
      <c r="E3803" s="11"/>
    </row>
    <row r="3804" spans="1:5">
      <c r="A3804" s="12" t="s">
        <v>12463</v>
      </c>
      <c r="B3804" s="12" t="s">
        <v>15991</v>
      </c>
      <c r="C3804" s="13" t="str">
        <f>HYPERLINK("https://audio.iskcondesiretree.com/02_-_ISKCON_Swamis/ISKCON_Swamis_-_R_to_Y/His_Holiness_Radhanath_Swami/Lectures/01_-_Theme_wise/Heart/2003-013_Compassion_Melts_Heart_SB_06-01-01_-_Radhanath_Swami_Mumbai_2003-03-17_IDesireTree.mp3", "2003-013_Compassion_Melts_Heart_SB_06-01-01_-_Radhanath_Swami_Mumbai_2003-03-17_IDesireTree.mp3")</f>
        <v>2003-013_Compassion_Melts_Heart_SB_06-01-01_-_Radhanath_Swami_Mumbai_2003-03-17_IDesireTree.mp3</v>
      </c>
      <c r="D3804" s="11"/>
      <c r="E3804" s="11"/>
    </row>
    <row r="3805" spans="1:5">
      <c r="A3805" s="12" t="s">
        <v>12463</v>
      </c>
      <c r="B3805" s="12" t="s">
        <v>15830</v>
      </c>
      <c r="C3805" s="13" t="str">
        <f>HYPERLINK("https://audio.iskcondesiretree.com/02_-_ISKCON_Swamis/ISKCON_Swamis_-_R_to_Y/His_Holiness_Radhanath_Swami/Lectures/01_-_Theme_wise/Holy_Name/1990-013_The_Story_Of_Ajamila_Lecture_-_Radhanath_Swami_Mumbai_1990-01-28_IDesireTree.mp3", "1990-013_The_Story_Of_Ajamila_Lecture_-_Radhanath_Swami_Mumbai_1990-01-28_IDesireTree.mp3")</f>
        <v>1990-013_The_Story_Of_Ajamila_Lecture_-_Radhanath_Swami_Mumbai_1990-01-28_IDesireTree.mp3</v>
      </c>
      <c r="D3805" s="11"/>
      <c r="E3805" s="11"/>
    </row>
    <row r="3806" spans="1:5">
      <c r="A3806" s="12" t="s">
        <v>12463</v>
      </c>
      <c r="B3806" s="12" t="s">
        <v>16425</v>
      </c>
      <c r="C3806" s="13" t="str">
        <f>HYPERLINK("https://audio.iskcondesiretree.com/02_-_ISKCON_Swamis/ISKCON_Swamis_-_R_to_Y/His_Holiness_Radhanath_Swami/Lectures/01_-_Theme_wise/Holy_Name/1990-020_The_Secret_Of_Proper_Chanting_SMSKM-2_-_Radhanath_Swami_Mumbai_1990-02-11_IDesireTree.mp3", "1990-020_The_Secret_Of_Proper_Chanting_SMSKM-2_-_Radhanath_Swami_Mumbai_1990-02-11_IDesireTree.mp3")</f>
        <v>1990-020_The_Secret_Of_Proper_Chanting_SMSKM-2_-_Radhanath_Swami_Mumbai_1990-02-11_IDesireTree.mp3</v>
      </c>
      <c r="D3806" s="11"/>
      <c r="E3806" s="11"/>
    </row>
    <row r="3807" spans="1:5">
      <c r="A3807" s="12" t="s">
        <v>12463</v>
      </c>
      <c r="B3807" s="12" t="s">
        <v>16426</v>
      </c>
      <c r="C3807" s="13" t="str">
        <f>HYPERLINK("https://audio.iskcondesiretree.com/02_-_ISKCON_Swamis/ISKCON_Swamis_-_R_to_Y/His_Holiness_Radhanath_Swami/Lectures/01_-_Theme_wise/Holy_Name/1991-075_Refuge_In_Holy_Vibration_Lecture_-_Radhanath_Swami_Mumbai_1991-10-12_IDesireTree.mp3", "1991-075_Refuge_In_Holy_Vibration_Lecture_-_Radhanath_Swami_Mumbai_1991-10-12_IDesireTree.mp3")</f>
        <v>1991-075_Refuge_In_Holy_Vibration_Lecture_-_Radhanath_Swami_Mumbai_1991-10-12_IDesireTree.mp3</v>
      </c>
      <c r="D3807" s="11"/>
      <c r="E3807" s="11"/>
    </row>
    <row r="3808" spans="1:5">
      <c r="A3808" s="12" t="s">
        <v>12463</v>
      </c>
      <c r="B3808" s="12" t="s">
        <v>15833</v>
      </c>
      <c r="C3808" s="13" t="str">
        <f>HYPERLINK("https://audio.iskcondesiretree.com/02_-_ISKCON_Swamis/ISKCON_Swamis_-_R_to_Y/His_Holiness_Radhanath_Swami/Lectures/01_-_Theme_wise/Holy_Name/1991-082_Story_Of_Ajamila_SB_06-03-22-23_-_Radhanath_Swami_Mumbai_1991-10-18_IDesireTree.mp3", "1991-082_Story_Of_Ajamila_SB_06-03-22-23_-_Radhanath_Swami_Mumbai_1991-10-18_IDesireTree.mp3")</f>
        <v>1991-082_Story_Of_Ajamila_SB_06-03-22-23_-_Radhanath_Swami_Mumbai_1991-10-18_IDesireTree.mp3</v>
      </c>
      <c r="D3808" s="11"/>
      <c r="E3808" s="11"/>
    </row>
    <row r="3809" spans="1:5">
      <c r="A3809" s="12" t="s">
        <v>12463</v>
      </c>
      <c r="B3809" s="12" t="s">
        <v>16427</v>
      </c>
      <c r="C3809" s="13" t="str">
        <f>HYPERLINK("https://audio.iskcondesiretree.com/02_-_ISKCON_Swamis/ISKCON_Swamis_-_R_to_Y/His_Holiness_Radhanath_Swami/Lectures/01_-_Theme_wise/Holy_Name/1991-161_Name_-_Ultimate_purification_BG_02-44_-_Radhanath_Swami_Mumbai_1991-12-30_IDesireTree.mp3", "1991-161_Name_-_Ultimate_purification_BG_02-44_-_Radhanath_Swami_Mumbai_1991-12-30_IDesireTree.mp3")</f>
        <v>1991-161_Name_-_Ultimate_purification_BG_02-44_-_Radhanath_Swami_Mumbai_1991-12-30_IDesireTree.mp3</v>
      </c>
      <c r="D3809" s="11"/>
      <c r="E3809" s="11"/>
    </row>
    <row r="3810" spans="1:5">
      <c r="A3810" s="12" t="s">
        <v>12463</v>
      </c>
      <c r="B3810" s="12" t="s">
        <v>16428</v>
      </c>
      <c r="C3810" s="13" t="str">
        <f>HYPERLINK("https://audio.iskcondesiretree.com/02_-_ISKCON_Swamis/ISKCON_Swamis_-_R_to_Y/His_Holiness_Radhanath_Swami/Lectures/01_-_Theme_wise/Holy_Name/1993-030_Aspiration_For_Chanting_Mahamantra_Lecture_-_Radhanath_Swami_Mumbai_1993-03-26_IDesireTree.mp3", "1993-030_Aspiration_For_Chanting_Mahamantra_Lecture_-_Radhanath_Swami_Mumbai_1993-03-26_IDesireTree.mp3")</f>
        <v>1993-030_Aspiration_For_Chanting_Mahamantra_Lecture_-_Radhanath_Swami_Mumbai_1993-03-26_IDesireTree.mp3</v>
      </c>
      <c r="D3810" s="11"/>
      <c r="E3810" s="11"/>
    </row>
    <row r="3811" spans="1:5">
      <c r="A3811" s="12" t="s">
        <v>12463</v>
      </c>
      <c r="B3811" s="12" t="s">
        <v>16429</v>
      </c>
      <c r="C3811" s="13" t="str">
        <f>HYPERLINK("https://audio.iskcondesiretree.com/02_-_ISKCON_Swamis/ISKCON_Swamis_-_R_to_Y/His_Holiness_Radhanath_Swami/Lectures/01_-_Theme_wise/Holy_Name/1993-061_The_Power_Of_Holyname_Ht_-_BG_05-18_-_Radhanath_Swami_Mumbai_1993-04-19_IDesireTree.mp3", "1993-061_The_Power_Of_Holyname_Ht_-_BG_05-18_-_Radhanath_Swami_Mumbai_1993-04-19_IDesireTree.mp3")</f>
        <v>1993-061_The_Power_Of_Holyname_Ht_-_BG_05-18_-_Radhanath_Swami_Mumbai_1993-04-19_IDesireTree.mp3</v>
      </c>
      <c r="D3811" s="11"/>
      <c r="E3811" s="11"/>
    </row>
    <row r="3812" spans="1:5">
      <c r="A3812" s="12" t="s">
        <v>12463</v>
      </c>
      <c r="B3812" s="12" t="s">
        <v>13590</v>
      </c>
      <c r="C3812" s="13" t="str">
        <f>HYPERLINK("https://audio.iskcondesiretree.com/02_-_ISKCON_Swamis/ISKCON_Swamis_-_R_to_Y/His_Holiness_Radhanath_Swami/Lectures/01_-_Theme_wise/Holy_Name/1993-104_The_Holy_Name_Is_all_auspicious_Lecture_-_Radhanath_Swami_1993-06-04_IDesireTree.mp3", "1993-104_The_Holy_Name_Is_all_auspicious_Lecture_-_Radhanath_Swami_1993-06-04_IDesireTree.mp3")</f>
        <v>1993-104_The_Holy_Name_Is_all_auspicious_Lecture_-_Radhanath_Swami_1993-06-04_IDesireTree.mp3</v>
      </c>
      <c r="D3812" s="11"/>
      <c r="E3812" s="11"/>
    </row>
    <row r="3813" spans="1:5">
      <c r="A3813" s="12" t="s">
        <v>12463</v>
      </c>
      <c r="B3813" s="12" t="s">
        <v>16430</v>
      </c>
      <c r="C3813" s="13" t="str">
        <f>HYPERLINK("https://audio.iskcondesiretree.com/02_-_ISKCON_Swamis/ISKCON_Swamis_-_R_to_Y/His_Holiness_Radhanath_Swami/Lectures/01_-_Theme_wise/Holy_Name/1993-177_Chanting_Outweighs_Everything_Lecture_-_Radhanath_Swami_Mumbai_1993-12-11_IDesireTree.mp3", "1993-177_Chanting_Outweighs_Everything_Lecture_-_Radhanath_Swami_Mumbai_1993-12-11_IDesireTree.mp3")</f>
        <v>1993-177_Chanting_Outweighs_Everything_Lecture_-_Radhanath_Swami_Mumbai_1993-12-11_IDesireTree.mp3</v>
      </c>
      <c r="D3813" s="11"/>
      <c r="E3813" s="11"/>
    </row>
    <row r="3814" spans="1:5">
      <c r="A3814" s="12" t="s">
        <v>12463</v>
      </c>
      <c r="B3814" s="12" t="s">
        <v>16431</v>
      </c>
      <c r="C3814" s="13" t="str">
        <f>HYPERLINK("https://audio.iskcondesiretree.com/02_-_ISKCON_Swamis/ISKCON_Swamis_-_R_to_Y/His_Holiness_Radhanath_Swami/Lectures/01_-_Theme_wise/Holy_Name/1993-183_The_Supreme_Yajna_BG_03_14_-_Radhanath_Swami_Mumbai_1993-12-15_IDesireTree.mp3", "1993-183_The_Supreme_Yajna_BG_03_14_-_Radhanath_Swami_Mumbai_1993-12-15_IDesireTree.mp3")</f>
        <v>1993-183_The_Supreme_Yajna_BG_03_14_-_Radhanath_Swami_Mumbai_1993-12-15_IDesireTree.mp3</v>
      </c>
      <c r="D3814" s="11"/>
      <c r="E3814" s="11"/>
    </row>
    <row r="3815" spans="1:5">
      <c r="A3815" s="12" t="s">
        <v>12463</v>
      </c>
      <c r="B3815" s="12" t="s">
        <v>16432</v>
      </c>
      <c r="C3815" s="13" t="str">
        <f>HYPERLINK("https://audio.iskcondesiretree.com/02_-_ISKCON_Swamis/ISKCON_Swamis_-_R_to_Y/His_Holiness_Radhanath_Swami/Lectures/01_-_Theme_wise/Holy_Name/1993-188_Fire_Of_Harinaam_BG_03-10_-_Radhanath_Swami_Mumbai_1993-12-19_IDesireTree.mp3", "1993-188_Fire_Of_Harinaam_BG_03-10_-_Radhanath_Swami_Mumbai_1993-12-19_IDesireTree.mp3")</f>
        <v>1993-188_Fire_Of_Harinaam_BG_03-10_-_Radhanath_Swami_Mumbai_1993-12-19_IDesireTree.mp3</v>
      </c>
      <c r="D3815" s="11"/>
      <c r="E3815" s="11"/>
    </row>
    <row r="3816" spans="1:5">
      <c r="A3816" s="12" t="s">
        <v>12463</v>
      </c>
      <c r="B3816" s="12" t="s">
        <v>16433</v>
      </c>
      <c r="C3816" s="13" t="str">
        <f>HYPERLINK("https://audio.iskcondesiretree.com/02_-_ISKCON_Swamis/ISKCON_Swamis_-_R_to_Y/His_Holiness_Radhanath_Swami/Lectures/01_-_Theme_wise/Holy_Name/1994-008_Value_Of_the_Holy_Name_Lecture_-_Radhanath_Swami_Mumbai_199-01-15_IDesireTree.mp3", "1994-008_Value_Of_the_Holy_Name_Lecture_-_Radhanath_Swami_Mumbai_199-01-15_IDesireTree.mp3")</f>
        <v>1994-008_Value_Of_the_Holy_Name_Lecture_-_Radhanath_Swami_Mumbai_199-01-15_IDesireTree.mp3</v>
      </c>
      <c r="D3816" s="11"/>
      <c r="E3816" s="11"/>
    </row>
    <row r="3817" spans="1:5">
      <c r="A3817" s="12" t="s">
        <v>12463</v>
      </c>
      <c r="B3817" s="12" t="s">
        <v>16434</v>
      </c>
      <c r="C3817" s="13" t="str">
        <f>HYPERLINK("https://audio.iskcondesiretree.com/02_-_ISKCON_Swamis/ISKCON_Swamis_-_R_to_Y/His_Holiness_Radhanath_Swami/Lectures/01_-_Theme_wise/Holy_Name/1994-023_Real_touchstone_Holy_name_BG_07-28_-_Radhanath_Swami_Mumbai_1994-02-09_IDesireTree.mp3", "1994-023_Real_touchstone_Holy_name_BG_07-28_-_Radhanath_Swami_Mumbai_1994-02-09_IDesireTree.mp3")</f>
        <v>1994-023_Real_touchstone_Holy_name_BG_07-28_-_Radhanath_Swami_Mumbai_1994-02-09_IDesireTree.mp3</v>
      </c>
      <c r="D3817" s="11"/>
      <c r="E3817" s="11"/>
    </row>
    <row r="3818" spans="1:5">
      <c r="A3818" s="12" t="s">
        <v>12463</v>
      </c>
      <c r="B3818" s="12" t="s">
        <v>16435</v>
      </c>
      <c r="C3818" s="13" t="str">
        <f>HYPERLINK("https://audio.iskcondesiretree.com/02_-_ISKCON_Swamis/ISKCON_Swamis_-_R_to_Y/His_Holiness_Radhanath_Swami/Lectures/01_-_Theme_wise/Holy_Name/1994-100_Transcendental_Remedy_for_this_Age_Lecture_-_Radhanath_Swami_NV_1994-06-16_IDesireTree.mp3", "1994-100_Transcendental_Remedy_for_this_Age_Lecture_-_Radhanath_Swami_NV_1994-06-16_IDesireTree.mp3")</f>
        <v>1994-100_Transcendental_Remedy_for_this_Age_Lecture_-_Radhanath_Swami_NV_1994-06-16_IDesireTree.mp3</v>
      </c>
      <c r="D3818" s="11"/>
      <c r="E3818" s="11"/>
    </row>
    <row r="3819" spans="1:5">
      <c r="A3819" s="12" t="s">
        <v>12463</v>
      </c>
      <c r="B3819" s="12" t="s">
        <v>16436</v>
      </c>
      <c r="C3819" s="13" t="str">
        <f>HYPERLINK("https://audio.iskcondesiretree.com/02_-_ISKCON_Swamis/ISKCON_Swamis_-_R_to_Y/His_Holiness_Radhanath_Swami/Lectures/01_-_Theme_wise/Holy_Name/1994-188_Mercy_In_Form_Of_Holy_Name_HT_-_BG_09-20_-_Radhanath_Swami_Pune_1994-10-12_IDesireTree.mp3", "1994-188_Mercy_In_Form_Of_Holy_Name_HT_-_BG_09-20_-_Radhanath_Swami_Pune_1994-10-12_IDesireTree.mp3")</f>
        <v>1994-188_Mercy_In_Form_Of_Holy_Name_HT_-_BG_09-20_-_Radhanath_Swami_Pune_1994-10-12_IDesireTree.mp3</v>
      </c>
      <c r="D3819" s="11"/>
      <c r="E3819" s="11"/>
    </row>
    <row r="3820" spans="1:5">
      <c r="A3820" s="12" t="s">
        <v>12463</v>
      </c>
      <c r="B3820" s="12" t="s">
        <v>16437</v>
      </c>
      <c r="C3820" s="13" t="str">
        <f>HYPERLINK("https://audio.iskcondesiretree.com/02_-_ISKCON_Swamis/ISKCON_Swamis_-_R_to_Y/His_Holiness_Radhanath_Swami/Lectures/01_-_Theme_wise/Holy_Name/1994-215_Glories_of_the_Holy_Name_Lecture_-_Radhanath_Swami_1994_IDesireTree.mp3", "1994-215_Glories_of_the_Holy_Name_Lecture_-_Radhanath_Swami_1994_IDesireTree.mp3")</f>
        <v>1994-215_Glories_of_the_Holy_Name_Lecture_-_Radhanath_Swami_1994_IDesireTree.mp3</v>
      </c>
      <c r="D3820" s="11"/>
      <c r="E3820" s="11"/>
    </row>
    <row r="3821" spans="1:5">
      <c r="A3821" s="12" t="s">
        <v>12463</v>
      </c>
      <c r="B3821" s="12" t="s">
        <v>16438</v>
      </c>
      <c r="C3821" s="13" t="str">
        <f>HYPERLINK("https://audio.iskcondesiretree.com/02_-_ISKCON_Swamis/ISKCON_Swamis_-_R_to_Y/His_Holiness_Radhanath_Swami/Lectures/01_-_Theme_wise/Holy_Name/1995-004_Our_Aspiration_To_Chant_Humbly_BG_03-31_-_Radhanath_Swami_Mumbai_1995-01-03.mp3", "1995-004_Our_Aspiration_To_Chant_Humbly_BG_03-31_-_Radhanath_Swami_Mumbai_1995-01-03.mp3")</f>
        <v>1995-004_Our_Aspiration_To_Chant_Humbly_BG_03-31_-_Radhanath_Swami_Mumbai_1995-01-03.mp3</v>
      </c>
      <c r="D3821" s="11"/>
      <c r="E3821" s="11"/>
    </row>
    <row r="3822" spans="1:5">
      <c r="A3822" s="12" t="s">
        <v>12463</v>
      </c>
      <c r="B3822" s="12" t="s">
        <v>16439</v>
      </c>
      <c r="C3822" s="13" t="str">
        <f>HYPERLINK("https://audio.iskcondesiretree.com/02_-_ISKCON_Swamis/ISKCON_Swamis_-_R_to_Y/His_Holiness_Radhanath_Swami/Lectures/01_-_Theme_wise/Holy_Name/1995-009_Kunti%27s_Dependence_On_Holy_Name_SB_01-08-38_-_Radhanath_Swami_Mumbai_1995-01-07.mp3", "1995-009_Kunti%27s_Dependence_On_Holy_Name_SB_01-08-38_-_Radhanath_Swami_Mumbai_1995-01-07.mp3")</f>
        <v>1995-009_Kunti%27s_Dependence_On_Holy_Name_SB_01-08-38_-_Radhanath_Swami_Mumbai_1995-01-07.mp3</v>
      </c>
      <c r="D3822" s="11"/>
      <c r="E3822" s="11"/>
    </row>
    <row r="3823" spans="1:5">
      <c r="A3823" s="12" t="s">
        <v>12463</v>
      </c>
      <c r="B3823" s="12" t="s">
        <v>16440</v>
      </c>
      <c r="C3823" s="13" t="str">
        <f>HYPERLINK("https://audio.iskcondesiretree.com/02_-_ISKCON_Swamis/ISKCON_Swamis_-_R_to_Y/His_Holiness_Radhanath_Swami/Lectures/01_-_Theme_wise/Holy_Name/1995-059_Hari_Nama_Sankirtan_CC_ML_20-34_-_Radhanath_Swami_Mumbai_1995-03-12.mp3", "1995-059_Hari_Nama_Sankirtan_CC_ML_20-34_-_Radhanath_Swami_Mumbai_1995-03-12.mp3")</f>
        <v>1995-059_Hari_Nama_Sankirtan_CC_ML_20-34_-_Radhanath_Swami_Mumbai_1995-03-12.mp3</v>
      </c>
      <c r="D3823" s="11"/>
      <c r="E3823" s="11"/>
    </row>
    <row r="3824" spans="1:5">
      <c r="A3824" s="12" t="s">
        <v>12463</v>
      </c>
      <c r="B3824" s="12" t="s">
        <v>16441</v>
      </c>
      <c r="C3824" s="13" t="str">
        <f>HYPERLINK("https://audio.iskcondesiretree.com/02_-_ISKCON_Swamis/ISKCON_Swamis_-_R_to_Y/His_Holiness_Radhanath_Swami/Lectures/01_-_Theme_wise/Holy_Name/1996-086_King_Shivaji_Took_Shelter_Of_Holy_Name_Mt_-_BG_02-48_-_Radhanath_Swami_Mumbai_1996-04-19_IDesireTree.mp3", "1996-086_King_Shivaji_Took_Shelter_Of_Holy_Name_Mt_-_BG_02-48_-_Radhanath_Swami_Mumbai_1996-04-19_IDesireTree.mp3")</f>
        <v>1996-086_King_Shivaji_Took_Shelter_Of_Holy_Name_Mt_-_BG_02-48_-_Radhanath_Swami_Mumbai_1996-04-19_IDesireTree.mp3</v>
      </c>
      <c r="D3824" s="11"/>
      <c r="E3824" s="11"/>
    </row>
    <row r="3825" spans="1:5">
      <c r="A3825" s="12" t="s">
        <v>12463</v>
      </c>
      <c r="B3825" s="12" t="s">
        <v>16442</v>
      </c>
      <c r="C3825" s="13" t="str">
        <f>HYPERLINK("https://audio.iskcondesiretree.com/02_-_ISKCON_Swamis/ISKCON_Swamis_-_R_to_Y/His_Holiness_Radhanath_Swami/Lectures/01_-_Theme_wise/Holy_Name/1996-132_Holy_Name_Is_Realised_With_Humility_SB_02-03-25_-_Radhanath_Swami_Mumbai_1996-09-19_IDesireTree.mp3", "1996-132_Holy_Name_Is_Realised_With_Humility_SB_02-03-25_-_Radhanath_Swami_Mumbai_1996-09-19_IDesireTree.mp3")</f>
        <v>1996-132_Holy_Name_Is_Realised_With_Humility_SB_02-03-25_-_Radhanath_Swami_Mumbai_1996-09-19_IDesireTree.mp3</v>
      </c>
      <c r="D3825" s="11"/>
      <c r="E3825" s="11"/>
    </row>
    <row r="3826" spans="1:5">
      <c r="A3826" s="12" t="s">
        <v>12463</v>
      </c>
      <c r="B3826" s="12" t="s">
        <v>16443</v>
      </c>
      <c r="C3826" s="13" t="str">
        <f>HYPERLINK("https://audio.iskcondesiretree.com/02_-_ISKCON_Swamis/ISKCON_Swamis_-_R_to_Y/His_Holiness_Radhanath_Swami/Lectures/01_-_Theme_wise/Holy_Name/1997-120_The_Power_Of_Holy_Name_Lecture_-_Radhanath_Swami_Pune_1997-10-08_IDesireTree.mp3", "1997-120_The_Power_Of_Holy_Name_Lecture_-_Radhanath_Swami_Pune_1997-10-08_IDesireTree.mp3")</f>
        <v>1997-120_The_Power_Of_Holy_Name_Lecture_-_Radhanath_Swami_Pune_1997-10-08_IDesireTree.mp3</v>
      </c>
      <c r="D3826" s="11"/>
      <c r="E3826" s="11"/>
    </row>
    <row r="3827" spans="1:5">
      <c r="A3827" s="12" t="s">
        <v>12463</v>
      </c>
      <c r="B3827" s="12" t="s">
        <v>16444</v>
      </c>
      <c r="C3827" s="13" t="str">
        <f>HYPERLINK("https://audio.iskcondesiretree.com/02_-_ISKCON_Swamis/ISKCON_Swamis_-_R_to_Y/His_Holiness_Radhanath_Swami/Lectures/01_-_Theme_wise/Holy_Name/1998-048_Attentive_Hearing_%26_Chanting_SB_03-06-37_-_Radhanath_Swami_Mumbai_1998-03-08_IDesireTree.mp3", "1998-048_Attentive_Hearing_%26_Chanting_SB_03-06-37_-_Radhanath_Swami_Mumbai_1998-03-08_IDesireTree.mp3")</f>
        <v>1998-048_Attentive_Hearing_%26_Chanting_SB_03-06-37_-_Radhanath_Swami_Mumbai_1998-03-08_IDesireTree.mp3</v>
      </c>
      <c r="D3827" s="11"/>
      <c r="E3827" s="11"/>
    </row>
    <row r="3828" spans="1:5">
      <c r="A3828" s="12" t="s">
        <v>12463</v>
      </c>
      <c r="B3828" s="12" t="s">
        <v>16445</v>
      </c>
      <c r="C3828" s="13" t="str">
        <f>HYPERLINK("https://audio.iskcondesiretree.com/02_-_ISKCON_Swamis/ISKCON_Swamis_-_R_to_Y/His_Holiness_Radhanath_Swami/Lectures/01_-_Theme_wise/Holy_Name/1998-064_Attentively_Hearing_the_Sound_Vibration_SB_03-08-03_-_Radhanath_Swami_Mumbai_1998-05-12_IDesireTree.mp3", "1998-064_Attentively_Hearing_the_Sound_Vibration_SB_03-08-03_-_Radhanath_Swami_Mumbai_1998-05-12_IDesireTree.mp3")</f>
        <v>1998-064_Attentively_Hearing_the_Sound_Vibration_SB_03-08-03_-_Radhanath_Swami_Mumbai_1998-05-12_IDesireTree.mp3</v>
      </c>
      <c r="D3828" s="11"/>
      <c r="E3828" s="11"/>
    </row>
    <row r="3829" spans="1:5">
      <c r="A3829" s="12" t="s">
        <v>12463</v>
      </c>
      <c r="B3829" s="12" t="s">
        <v>16446</v>
      </c>
      <c r="C3829" s="13" t="str">
        <f>HYPERLINK("https://audio.iskcondesiretree.com/02_-_ISKCON_Swamis/ISKCON_Swamis_-_R_to_Y/His_Holiness_Radhanath_Swami/Lectures/01_-_Theme_wise/Holy_Name/1998-076_Ganges_of_the_Holy_Name_SB_03-13-44_-_Radhanath_Swami_Mumbai_1998-07-28_IDesireTree.mp3", "1998-076_Ganges_of_the_Holy_Name_SB_03-13-44_-_Radhanath_Swami_Mumbai_1998-07-28_IDesireTree.mp3")</f>
        <v>1998-076_Ganges_of_the_Holy_Name_SB_03-13-44_-_Radhanath_Swami_Mumbai_1998-07-28_IDesireTree.mp3</v>
      </c>
      <c r="D3829" s="11"/>
      <c r="E3829" s="11"/>
    </row>
    <row r="3830" spans="1:5">
      <c r="A3830" s="12" t="s">
        <v>12463</v>
      </c>
      <c r="B3830" s="12" t="s">
        <v>16447</v>
      </c>
      <c r="C3830" s="13" t="str">
        <f>HYPERLINK("https://audio.iskcondesiretree.com/02_-_ISKCON_Swamis/ISKCON_Swamis_-_R_to_Y/His_Holiness_Radhanath_Swami/Lectures/01_-_Theme_wise/Holy_Name/1998-112_Holyname-_The_Most_Effective_Way_to_Remember_Krishna_BG-12_02_Mumbai_-_06-12-98_IDesireTree.mp3", "1998-112_Holyname-_The_Most_Effective_Way_to_Remember_Krishna_BG-12_02_Mumbai_-_06-12-98_IDesireTree.mp3")</f>
        <v>1998-112_Holyname-_The_Most_Effective_Way_to_Remember_Krishna_BG-12_02_Mumbai_-_06-12-98_IDesireTree.mp3</v>
      </c>
      <c r="D3830" s="11"/>
      <c r="E3830" s="11"/>
    </row>
    <row r="3831" spans="1:5">
      <c r="A3831" s="12" t="s">
        <v>12463</v>
      </c>
      <c r="B3831" s="12" t="s">
        <v>16448</v>
      </c>
      <c r="C3831" s="13" t="str">
        <f>HYPERLINK("https://audio.iskcondesiretree.com/02_-_ISKCON_Swamis/ISKCON_Swamis_-_R_to_Y/His_Holiness_Radhanath_Swami/Lectures/01_-_Theme_wise/Holy_Name/1999-022_Touchstone_of_the_Holy_Name_Lecture_-_Radhanath_Swami_Mumbai_1999-03-15_IDesireTree.mp3", "1999-022_Touchstone_of_the_Holy_Name_Lecture_-_Radhanath_Swami_Mumbai_1999-03-15_IDesireTree.mp3")</f>
        <v>1999-022_Touchstone_of_the_Holy_Name_Lecture_-_Radhanath_Swami_Mumbai_1999-03-15_IDesireTree.mp3</v>
      </c>
      <c r="D3831" s="11"/>
      <c r="E3831" s="11"/>
    </row>
    <row r="3832" spans="1:5">
      <c r="A3832" s="12" t="s">
        <v>12463</v>
      </c>
      <c r="B3832" s="12" t="s">
        <v>16449</v>
      </c>
      <c r="C3832" s="13" t="str">
        <f>HYPERLINK("https://audio.iskcondesiretree.com/02_-_ISKCON_Swamis/ISKCON_Swamis_-_R_to_Y/His_Holiness_Radhanath_Swami/Lectures/01_-_Theme_wise/Holy_Name/2001-033_Cultivate_Right_Spirit_For_Chanting_Lecture_-_Radhanath_Swami_Mumbai_2001-07-15_IDesireTree.mp3", "2001-033_Cultivate_Right_Spirit_For_Chanting_Lecture_-_Radhanath_Swami_Mumbai_2001-07-15_IDesireTree.mp3")</f>
        <v>2001-033_Cultivate_Right_Spirit_For_Chanting_Lecture_-_Radhanath_Swami_Mumbai_2001-07-15_IDesireTree.mp3</v>
      </c>
      <c r="D3832" s="11"/>
      <c r="E3832" s="11"/>
    </row>
    <row r="3833" spans="1:5">
      <c r="A3833" s="12" t="s">
        <v>12463</v>
      </c>
      <c r="B3833" s="12" t="s">
        <v>16450</v>
      </c>
      <c r="C3833" s="13" t="str">
        <f>HYPERLINK("https://audio.iskcondesiretree.com/02_-_ISKCON_Swamis/ISKCON_Swamis_-_R_to_Y/His_Holiness_Radhanath_Swami/Lectures/01_-_Theme_wise/Holy_Name/2001-067_Power_Of_The_Mercy_Of_The_Holy_Name_SB_01-18-19_-_Radhanath_Swami_Mumbai_2001-12-27_IDesireTree.mp3", "2001-067_Power_Of_The_Mercy_Of_The_Holy_Name_SB_01-18-19_-_Radhanath_Swami_Mumbai_2001-12-27_IDesireTree.mp3")</f>
        <v>2001-067_Power_Of_The_Mercy_Of_The_Holy_Name_SB_01-18-19_-_Radhanath_Swami_Mumbai_2001-12-27_IDesireTree.mp3</v>
      </c>
      <c r="D3833" s="11"/>
      <c r="E3833" s="11"/>
    </row>
    <row r="3834" spans="1:5">
      <c r="A3834" s="12" t="s">
        <v>12463</v>
      </c>
      <c r="B3834" s="12" t="s">
        <v>16451</v>
      </c>
      <c r="C3834" s="13" t="str">
        <f>HYPERLINK("https://audio.iskcondesiretree.com/02_-_ISKCON_Swamis/ISKCON_Swamis_-_R_to_Y/His_Holiness_Radhanath_Swami/Lectures/01_-_Theme_wise/Holy_Name/2002-101_Higher_Intoxication_Of_The_Holy_Name_SB_04-18-15_-_Radhanath_Swami_Mumbai_2002-10-13_IDesireTree.mp3", "2002-101_Higher_Intoxication_Of_The_Holy_Name_SB_04-18-15_-_Radhanath_Swami_Mumbai_2002-10-13_IDesireTree.mp3")</f>
        <v>2002-101_Higher_Intoxication_Of_The_Holy_Name_SB_04-18-15_-_Radhanath_Swami_Mumbai_2002-10-13_IDesireTree.mp3</v>
      </c>
      <c r="D3834" s="11"/>
      <c r="E3834" s="11"/>
    </row>
    <row r="3835" spans="1:5">
      <c r="A3835" s="12" t="s">
        <v>12463</v>
      </c>
      <c r="B3835" s="12" t="s">
        <v>16452</v>
      </c>
      <c r="C3835" s="13" t="str">
        <f>HYPERLINK("https://audio.iskcondesiretree.com/02_-_ISKCON_Swamis/ISKCON_Swamis_-_R_to_Y/His_Holiness_Radhanath_Swami/Lectures/01_-_Theme_wise/Holy_Name/2002-124_Become_Conditioned_to_Chant_The_Holy_Name_Lecture_-_Radhanath_Swami_Mumbai_2002-12-29_IDesireTree.mp3", "2002-124_Become_Conditioned_to_Chant_The_Holy_Name_Lecture_-_Radhanath_Swami_Mumbai_2002-12-29_IDesireTree.mp3")</f>
        <v>2002-124_Become_Conditioned_to_Chant_The_Holy_Name_Lecture_-_Radhanath_Swami_Mumbai_2002-12-29_IDesireTree.mp3</v>
      </c>
      <c r="D3835" s="11"/>
      <c r="E3835" s="11"/>
    </row>
    <row r="3836" spans="1:5">
      <c r="A3836" s="12" t="s">
        <v>12463</v>
      </c>
      <c r="B3836" s="12" t="s">
        <v>16453</v>
      </c>
      <c r="C3836" s="13" t="str">
        <f>HYPERLINK("https://audio.iskcondesiretree.com/02_-_ISKCON_Swamis/ISKCON_Swamis_-_R_to_Y/His_Holiness_Radhanath_Swami/Lectures/01_-_Theme_wise/Holy_Name/Chanting_is_Our_First_Responsibility_-_09-09-02_London_IDesireTree.mp3", "Chanting_is_Our_First_Responsibility_-_09-09-02_London_IDesireTree.mp3")</f>
        <v>Chanting_is_Our_First_Responsibility_-_09-09-02_London_IDesireTree.mp3</v>
      </c>
      <c r="D3836" s="11"/>
      <c r="E3836" s="11"/>
    </row>
    <row r="3837" spans="1:5">
      <c r="A3837" s="12" t="s">
        <v>12463</v>
      </c>
      <c r="B3837" s="12" t="s">
        <v>16454</v>
      </c>
      <c r="C3837" s="13" t="str">
        <f>HYPERLINK("https://audio.iskcondesiretree.com/02_-_ISKCON_Swamis/ISKCON_Swamis_-_R_to_Y/His_Holiness_Radhanath_Swami/Lectures/01_-_Theme_wise/Holy_Name/Chanting_the_holy_name_SB-01-08-26_IDesireTree.MP3", "Chanting_the_holy_name_SB-01-08-26_IDesireTree.MP3")</f>
        <v>Chanting_the_holy_name_SB-01-08-26_IDesireTree.MP3</v>
      </c>
      <c r="D3837" s="11"/>
      <c r="E3837" s="11"/>
    </row>
    <row r="3838" spans="1:5">
      <c r="A3838" s="12" t="s">
        <v>12463</v>
      </c>
      <c r="B3838" s="12" t="s">
        <v>16455</v>
      </c>
      <c r="C3838" s="13" t="str">
        <f>HYPERLINK("https://audio.iskcondesiretree.com/02_-_ISKCON_Swamis/ISKCON_Swamis_-_R_to_Y/His_Holiness_Radhanath_Swami/Lectures/01_-_Theme_wise/Holy_Name/Chanting_the_Holy_Name_with_Humility_%26_Sincerity_IDesireTree.mp3", "Chanting_the_Holy_Name_with_Humility_%26_Sincerity_IDesireTree.mp3")</f>
        <v>Chanting_the_Holy_Name_with_Humility_%26_Sincerity_IDesireTree.mp3</v>
      </c>
      <c r="D3838" s="11"/>
      <c r="E3838" s="11"/>
    </row>
    <row r="3839" spans="1:5">
      <c r="A3839" s="12" t="s">
        <v>12463</v>
      </c>
      <c r="B3839" s="12" t="s">
        <v>16456</v>
      </c>
      <c r="C3839" s="13" t="str">
        <f>HYPERLINK("https://audio.iskcondesiretree.com/02_-_ISKCON_Swamis/ISKCON_Swamis_-_R_to_Y/His_Holiness_Radhanath_Swami/Lectures/01_-_Theme_wise/Holy_Name/Controlling_Mind_by_Attentively_Chanting_Holy_Name_SB-05-06-03_-_Mumbai_19-03-05_IDesireTree.mp3", "Controlling_Mind_by_Attentively_Chanting_Holy_Name_SB-05-06-03_-_Mumbai_19-03-05_IDesireTree.mp3")</f>
        <v>Controlling_Mind_by_Attentively_Chanting_Holy_Name_SB-05-06-03_-_Mumbai_19-03-05_IDesireTree.mp3</v>
      </c>
      <c r="D3839" s="11"/>
      <c r="E3839" s="11"/>
    </row>
    <row r="3840" spans="1:5">
      <c r="A3840" s="12" t="s">
        <v>12463</v>
      </c>
      <c r="B3840" s="12" t="s">
        <v>16457</v>
      </c>
      <c r="C3840" s="13" t="str">
        <f>HYPERLINK("https://audio.iskcondesiretree.com/02_-_ISKCON_Swamis/ISKCON_Swamis_-_R_to_Y/His_Holiness_Radhanath_Swami/Lectures/01_-_Theme_wise/Holy_Name/Crying_Out_For_the_Mercy_of_the_Holy_Name_IDesireTree.mp3", "Crying_Out_For_the_Mercy_of_the_Holy_Name_IDesireTree.mp3")</f>
        <v>Crying_Out_For_the_Mercy_of_the_Holy_Name_IDesireTree.mp3</v>
      </c>
      <c r="D3840" s="11"/>
      <c r="E3840" s="11"/>
    </row>
    <row r="3841" spans="1:5">
      <c r="A3841" s="12" t="s">
        <v>12463</v>
      </c>
      <c r="B3841" s="12" t="s">
        <v>16458</v>
      </c>
      <c r="C3841" s="13" t="str">
        <f>HYPERLINK("https://audio.iskcondesiretree.com/02_-_ISKCON_Swamis/ISKCON_Swamis_-_R_to_Y/His_Holiness_Radhanath_Swami/Lectures/01_-_Theme_wise/Holy_Name/Explaining_the_Sikshastakam_Verse_IDesireTree.mp3", "Explaining_the_Sikshastakam_Verse_IDesireTree.mp3")</f>
        <v>Explaining_the_Sikshastakam_Verse_IDesireTree.mp3</v>
      </c>
      <c r="D3841" s="11"/>
      <c r="E3841" s="11"/>
    </row>
    <row r="3842" spans="1:5">
      <c r="A3842" s="12" t="s">
        <v>12463</v>
      </c>
      <c r="B3842" s="12" t="s">
        <v>16459</v>
      </c>
      <c r="C3842" s="13" t="str">
        <f>HYPERLINK("https://audio.iskcondesiretree.com/02_-_ISKCON_Swamis/ISKCON_Swamis_-_R_to_Y/His_Holiness_Radhanath_Swami/Lectures/01_-_Theme_wise/Holy_Name/Holy_Name_-_The_Weapon_of_Lord_Chaitanya_-_Mumbai_31-03-05_IDesireTree.mp3", "Holy_Name_-_The_Weapon_of_Lord_Chaitanya_-_Mumbai_31-03-05_IDesireTree.mp3")</f>
        <v>Holy_Name_-_The_Weapon_of_Lord_Chaitanya_-_Mumbai_31-03-05_IDesireTree.mp3</v>
      </c>
      <c r="D3842" s="11"/>
      <c r="E3842" s="11"/>
    </row>
    <row r="3843" spans="1:5">
      <c r="A3843" s="12" t="s">
        <v>12463</v>
      </c>
      <c r="B3843" s="12" t="s">
        <v>16460</v>
      </c>
      <c r="C3843" s="13" t="str">
        <f>HYPERLINK("https://audio.iskcondesiretree.com/02_-_ISKCON_Swamis/ISKCON_Swamis_-_R_to_Y/His_Holiness_Radhanath_Swami/Lectures/01_-_Theme_wise/Holy_Name/Hurricane_or_Harinaam_-_Prerana_-_Mumbai_24-09-05_IDesireTree.MP3", "Hurricane_or_Harinaam_-_Prerana_-_Mumbai_24-09-05_IDesireTree.MP3")</f>
        <v>Hurricane_or_Harinaam_-_Prerana_-_Mumbai_24-09-05_IDesireTree.MP3</v>
      </c>
      <c r="D3843" s="11"/>
      <c r="E3843" s="11"/>
    </row>
    <row r="3844" spans="1:5">
      <c r="A3844" s="12" t="s">
        <v>12463</v>
      </c>
      <c r="B3844" s="12" t="s">
        <v>16461</v>
      </c>
      <c r="C3844" s="13" t="str">
        <f>HYPERLINK("https://audio.iskcondesiretree.com/02_-_ISKCON_Swamis/ISKCON_Swamis_-_R_to_Y/His_Holiness_Radhanath_Swami/Lectures/01_-_Theme_wise/Holy_Name/Melting_the_Steel_Heart_by_Chanting_the_Holy_Name_IDesireTree.mp3", "Melting_the_Steel_Heart_by_Chanting_the_Holy_Name_IDesireTree.mp3")</f>
        <v>Melting_the_Steel_Heart_by_Chanting_the_Holy_Name_IDesireTree.mp3</v>
      </c>
      <c r="D3844" s="11"/>
      <c r="E3844" s="11"/>
    </row>
    <row r="3845" spans="1:5">
      <c r="A3845" s="12" t="s">
        <v>12463</v>
      </c>
      <c r="B3845" s="12" t="s">
        <v>16462</v>
      </c>
      <c r="C3845" s="13" t="str">
        <f>HYPERLINK("https://audio.iskcondesiretree.com/02_-_ISKCON_Swamis/ISKCON_Swamis_-_R_to_Y/His_Holiness_Radhanath_Swami/Lectures/01_-_Theme_wise/Holy_Name/Protect_Yourself_by_Chanting_Holy_Name_SB-05-06-04_-_Mumbai_20-03-05_IDesireTree.mp3", "Protect_Yourself_by_Chanting_Holy_Name_SB-05-06-04_-_Mumbai_20-03-05_IDesireTree.mp3")</f>
        <v>Protect_Yourself_by_Chanting_Holy_Name_SB-05-06-04_-_Mumbai_20-03-05_IDesireTree.mp3</v>
      </c>
      <c r="D3845" s="11"/>
      <c r="E3845" s="11"/>
    </row>
    <row r="3846" spans="1:5">
      <c r="A3846" s="12" t="s">
        <v>12463</v>
      </c>
      <c r="B3846" s="12" t="s">
        <v>16463</v>
      </c>
      <c r="C3846" s="13" t="str">
        <f>HYPERLINK("https://audio.iskcondesiretree.com/02_-_ISKCON_Swamis/ISKCON_Swamis_-_R_to_Y/His_Holiness_Radhanath_Swami/Lectures/01_-_Theme_wise/Holy_Name/Removing_Poison_by_Chanting_the_Holy_Name_IDesireTree.mp3", "Removing_Poison_by_Chanting_the_Holy_Name_IDesireTree.mp3")</f>
        <v>Removing_Poison_by_Chanting_the_Holy_Name_IDesireTree.mp3</v>
      </c>
      <c r="D3846" s="11"/>
      <c r="E3846" s="11"/>
    </row>
    <row r="3847" spans="1:5">
      <c r="A3847" s="12" t="s">
        <v>12463</v>
      </c>
      <c r="B3847" s="12" t="s">
        <v>16464</v>
      </c>
      <c r="C3847" s="13" t="str">
        <f>HYPERLINK("https://audio.iskcondesiretree.com/02_-_ISKCON_Swamis/ISKCON_Swamis_-_R_to_Y/His_Holiness_Radhanath_Swami/Lectures/01_-_Theme_wise/Holy_Name/The_Glories_of_Holy_Name_-_Saranagati_temple_11-07-04_IDesireTree.mp3", "The_Glories_of_Holy_Name_-_Saranagati_temple_11-07-04_IDesireTree.mp3")</f>
        <v>The_Glories_of_Holy_Name_-_Saranagati_temple_11-07-04_IDesireTree.mp3</v>
      </c>
      <c r="D3847" s="11"/>
      <c r="E3847" s="11"/>
    </row>
    <row r="3848" spans="1:5">
      <c r="A3848" s="12" t="s">
        <v>12463</v>
      </c>
      <c r="B3848" s="12" t="s">
        <v>16465</v>
      </c>
      <c r="C3848" s="13" t="str">
        <f>HYPERLINK("https://audio.iskcondesiretree.com/02_-_ISKCON_Swamis/ISKCON_Swamis_-_R_to_Y/His_Holiness_Radhanath_Swami/Lectures/01_-_Theme_wise/Holy_Name/The_Power_of_Holy_Name_-_Chicago_27-04-04_IDesireTree.mp3", "The_Power_of_Holy_Name_-_Chicago_27-04-04_IDesireTree.mp3")</f>
        <v>The_Power_of_Holy_Name_-_Chicago_27-04-04_IDesireTree.mp3</v>
      </c>
      <c r="D3848" s="11"/>
      <c r="E3848" s="11"/>
    </row>
    <row r="3849" spans="1:5">
      <c r="A3849" s="12" t="s">
        <v>12463</v>
      </c>
      <c r="B3849" s="12" t="s">
        <v>16466</v>
      </c>
      <c r="C3849" s="13" t="str">
        <f>HYPERLINK("https://audio.iskcondesiretree.com/02_-_ISKCON_Swamis/ISKCON_Swamis_-_R_to_Y/His_Holiness_Radhanath_Swami/Lectures/01_-_Theme_wise/Holy_Name/The_Power_of_Holy_Name_SB-06-08-19_-_New_Vrindavan_30-5-04_IDesireTree.mp3", "The_Power_of_Holy_Name_SB-06-08-19_-_New_Vrindavan_30-5-04_IDesireTree.mp3")</f>
        <v>The_Power_of_Holy_Name_SB-06-08-19_-_New_Vrindavan_30-5-04_IDesireTree.mp3</v>
      </c>
      <c r="D3849" s="11"/>
      <c r="E3849" s="11"/>
    </row>
    <row r="3850" spans="1:5">
      <c r="A3850" s="12" t="s">
        <v>12463</v>
      </c>
      <c r="B3850" s="12" t="s">
        <v>16467</v>
      </c>
      <c r="C3850" s="13" t="str">
        <f>HYPERLINK("https://audio.iskcondesiretree.com/02_-_ISKCON_Swamis/ISKCON_Swamis_-_R_to_Y/His_Holiness_Radhanath_Swami/Lectures/01_-_Theme_wise/Humility/01.Willingness_to_Take_Humble_Position_%26_Forgive_-_Radhanath_Swami_Mumbai_2004-10-24_IDesireTree.mp3", "01.Willingness_to_Take_Humble_Position_%26_Forgive_-_Radhanath_Swami_Mumbai_2004-10-24_IDesireTree.mp3")</f>
        <v>01.Willingness_to_Take_Humble_Position_%26_Forgive_-_Radhanath_Swami_Mumbai_2004-10-24_IDesireTree.mp3</v>
      </c>
      <c r="D3850" s="11"/>
      <c r="E3850" s="11"/>
    </row>
    <row r="3851" spans="1:5">
      <c r="A3851" s="12" t="s">
        <v>12463</v>
      </c>
      <c r="B3851" s="12" t="s">
        <v>16468</v>
      </c>
      <c r="C3851" s="13" t="str">
        <f>HYPERLINK("https://audio.iskcondesiretree.com/02_-_ISKCON_Swamis/ISKCON_Swamis_-_R_to_Y/His_Holiness_Radhanath_Swami/Lectures/01_-_Theme_wise/Humility/02.Humility_%26_Gratitude-Must_To_Receive_Krishna%27s_Mercy_-_Jagannath_Misra_Festival_-_Mumbai_IDesireTree.mp3", "02.Humility_%26_Gratitude-Must_To_Receive_Krishna%27s_Mercy_-_Jagannath_Misra_Festival_-_Mumbai_IDesireTree.mp3")</f>
        <v>02.Humility_%26_Gratitude-Must_To_Receive_Krishna%27s_Mercy_-_Jagannath_Misra_Festival_-_Mumbai_IDesireTree.mp3</v>
      </c>
      <c r="D3851" s="11"/>
      <c r="E3851" s="11"/>
    </row>
    <row r="3852" spans="1:5">
      <c r="A3852" s="12" t="s">
        <v>12463</v>
      </c>
      <c r="B3852" s="12" t="s">
        <v>16469</v>
      </c>
      <c r="C3852" s="13" t="str">
        <f>HYPERLINK("https://audio.iskcondesiretree.com/02_-_ISKCON_Swamis/ISKCON_Swamis_-_R_to_Y/His_Holiness_Radhanath_Swami/Lectures/01_-_Theme_wise/Humility/03.SB_07-09-08_-_Krishna_Protects_Meek_%26_Humble_-_Radhanath_Swami_2007-04-29_IDesireTree.MP3", "03.SB_07-09-08_-_Krishna_Protects_Meek_%26_Humble_-_Radhanath_Swami_2007-04-29_IDesireTree.MP3")</f>
        <v>03.SB_07-09-08_-_Krishna_Protects_Meek_%26_Humble_-_Radhanath_Swami_2007-04-29_IDesireTree.MP3</v>
      </c>
      <c r="D3852" s="11"/>
      <c r="E3852" s="11"/>
    </row>
    <row r="3853" spans="1:5">
      <c r="A3853" s="12" t="s">
        <v>12463</v>
      </c>
      <c r="B3853" s="12" t="s">
        <v>16470</v>
      </c>
      <c r="C3853" s="13" t="str">
        <f>HYPERLINK("https://audio.iskcondesiretree.com/02_-_ISKCON_Swamis/ISKCON_Swamis_-_R_to_Y/His_Holiness_Radhanath_Swami/Lectures/01_-_Theme_wise/Humility/04.Chanting_the_Holy_Name_with_Humility_%26_Sincerity_-_Radhanath_Swami_IDesireTree.mp3", "04.Chanting_the_Holy_Name_with_Humility_%26_Sincerity_-_Radhanath_Swami_IDesireTree.mp3")</f>
        <v>04.Chanting_the_Holy_Name_with_Humility_%26_Sincerity_-_Radhanath_Swami_IDesireTree.mp3</v>
      </c>
      <c r="D3853" s="11"/>
      <c r="E3853" s="11"/>
    </row>
    <row r="3854" spans="1:5">
      <c r="A3854" s="12" t="s">
        <v>12463</v>
      </c>
      <c r="B3854" s="12" t="s">
        <v>16471</v>
      </c>
      <c r="C3854" s="13" t="str">
        <f>HYPERLINK("https://audio.iskcondesiretree.com/02_-_ISKCON_Swamis/ISKCON_Swamis_-_R_to_Y/His_Holiness_Radhanath_Swami/Lectures/01_-_Theme_wise/Humility/05.Ramanujacarya_-_Emblem_of_complete_Surrender_%26_Humility_-_Radhanath_Swami_IDesireTree.mp3", "05.Ramanujacarya_-_Emblem_of_complete_Surrender_%26_Humility_-_Radhanath_Swami_IDesireTree.mp3")</f>
        <v>05.Ramanujacarya_-_Emblem_of_complete_Surrender_%26_Humility_-_Radhanath_Swami_IDesireTree.mp3</v>
      </c>
      <c r="D3854" s="11"/>
      <c r="E3854" s="11"/>
    </row>
    <row r="3855" spans="1:5">
      <c r="A3855" s="12" t="s">
        <v>12463</v>
      </c>
      <c r="B3855" s="12" t="s">
        <v>16472</v>
      </c>
      <c r="C3855" s="13" t="str">
        <f>HYPERLINK("https://audio.iskcondesiretree.com/02_-_ISKCON_Swamis/ISKCON_Swamis_-_R_to_Y/His_Holiness_Radhanath_Swami/Lectures/01_-_Theme_wise/Humility/06.Supreme_humility_of_Sana_-_Radhanath_Swami_IDesireTree.MP3", "06.Supreme_humility_of_Sana_-_Radhanath_Swami_IDesireTree.MP3")</f>
        <v>06.Supreme_humility_of_Sana_-_Radhanath_Swami_IDesireTree.MP3</v>
      </c>
      <c r="D3855" s="11"/>
      <c r="E3855" s="11"/>
    </row>
    <row r="3856" spans="1:5">
      <c r="A3856" s="12" t="s">
        <v>12463</v>
      </c>
      <c r="B3856" s="12" t="s">
        <v>16473</v>
      </c>
      <c r="C3856" s="13" t="str">
        <f>HYPERLINK("https://audio.iskcondesiretree.com/02_-_ISKCON_Swamis/ISKCON_Swamis_-_R_to_Y/His_Holiness_Radhanath_Swami/Lectures/01_-_Theme_wise/Humility/07.Serving_the_Lord_with_Humility_%26_Devotion_-_Radhanath_Swami_IDesireTree.mp3", "07.Serving_the_Lord_with_Humility_%26_Devotion_-_Radhanath_Swami_IDesireTree.mp3")</f>
        <v>07.Serving_the_Lord_with_Humility_%26_Devotion_-_Radhanath_Swami_IDesireTree.mp3</v>
      </c>
      <c r="D3856" s="11"/>
      <c r="E3856" s="11"/>
    </row>
    <row r="3857" spans="1:5">
      <c r="A3857" s="12" t="s">
        <v>12463</v>
      </c>
      <c r="B3857" s="12" t="s">
        <v>16474</v>
      </c>
      <c r="C3857" s="13" t="str">
        <f>HYPERLINK("https://audio.iskcondesiretree.com/02_-_ISKCON_Swamis/ISKCON_Swamis_-_R_to_Y/His_Holiness_Radhanath_Swami/Lectures/01_-_Theme_wise/Humility/08.Serve_with_Humility_and_Gratitude_-_Concluding_lecture_-_Radhanath_Swami_IDesireTree.mp3", "08.Serve_with_Humility_and_Gratitude_-_Concluding_lecture_-_Radhanath_Swami_IDesireTree.mp3")</f>
        <v>08.Serve_with_Humility_and_Gratitude_-_Concluding_lecture_-_Radhanath_Swami_IDesireTree.mp3</v>
      </c>
      <c r="D3857" s="11"/>
      <c r="E3857" s="11"/>
    </row>
    <row r="3858" spans="1:5">
      <c r="A3858" s="12" t="s">
        <v>12463</v>
      </c>
      <c r="B3858" s="12" t="s">
        <v>16475</v>
      </c>
      <c r="C3858" s="13" t="str">
        <f>HYPERLINK("https://audio.iskcondesiretree.com/02_-_ISKCON_Swamis/ISKCON_Swamis_-_R_to_Y/His_Holiness_Radhanath_Swami/Lectures/01_-_Theme_wise/Humility/1989-025_Humble_And_Tolerant_SB_07-10-5_-_Radhanath_Swami_Mumbai_1989-08-03_IDesireTree.mp3", "1989-025_Humble_And_Tolerant_SB_07-10-5_-_Radhanath_Swami_Mumbai_1989-08-03_IDesireTree.mp3")</f>
        <v>1989-025_Humble_And_Tolerant_SB_07-10-5_-_Radhanath_Swami_Mumbai_1989-08-03_IDesireTree.mp3</v>
      </c>
      <c r="D3858" s="11"/>
      <c r="E3858" s="11"/>
    </row>
    <row r="3859" spans="1:5">
      <c r="A3859" s="12" t="s">
        <v>12463</v>
      </c>
      <c r="B3859" s="12" t="s">
        <v>16476</v>
      </c>
      <c r="C3859" s="13" t="str">
        <f>HYPERLINK("https://audio.iskcondesiretree.com/02_-_ISKCON_Swamis/ISKCON_Swamis_-_R_to_Y/His_Holiness_Radhanath_Swami/Lectures/01_-_Theme_wise/Humility/1990-060_Humility_BG_18-55_-_Radhanath_Swami_Mumbai_1990-08-11_IDesireTree.mp3", "1990-060_Humility_BG_18-55_-_Radhanath_Swami_Mumbai_1990-08-11_IDesireTree.mp3")</f>
        <v>1990-060_Humility_BG_18-55_-_Radhanath_Swami_Mumbai_1990-08-11_IDesireTree.mp3</v>
      </c>
      <c r="D3859" s="11"/>
      <c r="E3859" s="11"/>
    </row>
    <row r="3860" spans="1:5">
      <c r="A3860" s="12" t="s">
        <v>12463</v>
      </c>
      <c r="B3860" s="12" t="s">
        <v>16477</v>
      </c>
      <c r="C3860" s="13" t="str">
        <f>HYPERLINK("https://audio.iskcondesiretree.com/02_-_ISKCON_Swamis/ISKCON_Swamis_-_R_to_Y/His_Holiness_Radhanath_Swami/Lectures/01_-_Theme_wise/Humility/1991-011_Being_A_Humble_Servant_SB_09-04-24_-_Radhanath_Swami_Mumbai_1991-02-01_IDesireTree.mp3", "1991-011_Being_A_Humble_Servant_SB_09-04-24_-_Radhanath_Swami_Mumbai_1991-02-01_IDesireTree.mp3")</f>
        <v>1991-011_Being_A_Humble_Servant_SB_09-04-24_-_Radhanath_Swami_Mumbai_1991-02-01_IDesireTree.mp3</v>
      </c>
      <c r="D3860" s="11"/>
      <c r="E3860" s="11"/>
    </row>
    <row r="3861" spans="1:5">
      <c r="A3861" s="12" t="s">
        <v>12463</v>
      </c>
      <c r="B3861" s="12" t="s">
        <v>16478</v>
      </c>
      <c r="C3861" s="13" t="str">
        <f>HYPERLINK("https://audio.iskcondesiretree.com/02_-_ISKCON_Swamis/ISKCON_Swamis_-_R_to_Y/His_Holiness_Radhanath_Swami/Lectures/01_-_Theme_wise/Humility/1992-070_Developing_Humility_Lecture_-_Radhanath_Swami_Mumbai_1992-08-14_IDesireTree.mp3", "1992-070_Developing_Humility_Lecture_-_Radhanath_Swami_Mumbai_1992-08-14_IDesireTree.mp3")</f>
        <v>1992-070_Developing_Humility_Lecture_-_Radhanath_Swami_Mumbai_1992-08-14_IDesireTree.mp3</v>
      </c>
      <c r="D3861" s="11"/>
      <c r="E3861" s="11"/>
    </row>
    <row r="3862" spans="1:5">
      <c r="A3862" s="12" t="s">
        <v>12463</v>
      </c>
      <c r="B3862" s="12" t="s">
        <v>16479</v>
      </c>
      <c r="C3862" s="13" t="str">
        <f>HYPERLINK("https://audio.iskcondesiretree.com/02_-_ISKCON_Swamis/ISKCON_Swamis_-_R_to_Y/His_Holiness_Radhanath_Swami/Lectures/01_-_Theme_wise/Humility/1992-083_Greatness_Of_Krishna_SB_10-03-39_-_Radhanath_Swami_Mumbai_1992-08-20_IDesireTree.mp3", "1992-083_Greatness_Of_Krishna_SB_10-03-39_-_Radhanath_Swami_Mumbai_1992-08-20_IDesireTree.mp3")</f>
        <v>1992-083_Greatness_Of_Krishna_SB_10-03-39_-_Radhanath_Swami_Mumbai_1992-08-20_IDesireTree.mp3</v>
      </c>
      <c r="D3862" s="11"/>
      <c r="E3862" s="11"/>
    </row>
    <row r="3863" spans="1:5">
      <c r="A3863" s="12" t="s">
        <v>12463</v>
      </c>
      <c r="B3863" s="12" t="s">
        <v>16480</v>
      </c>
      <c r="C3863" s="13" t="str">
        <f>HYPERLINK("https://audio.iskcondesiretree.com/02_-_ISKCON_Swamis/ISKCON_Swamis_-_R_to_Y/His_Holiness_Radhanath_Swami/Lectures/01_-_Theme_wise/Humility/1992-100_Real_Humility_SB_10-14-28_-_Radhanath_Swami_Mumbai_1992-10-05_IDesireTree.mp3", "1992-100_Real_Humility_SB_10-14-28_-_Radhanath_Swami_Mumbai_1992-10-05_IDesireTree.mp3")</f>
        <v>1992-100_Real_Humility_SB_10-14-28_-_Radhanath_Swami_Mumbai_1992-10-05_IDesireTree.mp3</v>
      </c>
      <c r="D3863" s="11"/>
      <c r="E3863" s="11"/>
    </row>
    <row r="3864" spans="1:5">
      <c r="A3864" s="12" t="s">
        <v>12463</v>
      </c>
      <c r="B3864" s="12" t="s">
        <v>16481</v>
      </c>
      <c r="C3864" s="13" t="str">
        <f>HYPERLINK("https://audio.iskcondesiretree.com/02_-_ISKCON_Swamis/ISKCON_Swamis_-_R_to_Y/His_Holiness_Radhanath_Swami/Lectures/01_-_Theme_wise/Humility/1992-105_We_Are_Really_Insignificant_SB_10-14-10_-_Radhanath_Swami_Mumbai_1992-09-18_IDesireTree.mp3", "1992-105_We_Are_Really_Insignificant_SB_10-14-10_-_Radhanath_Swami_Mumbai_1992-09-18_IDesireTree.mp3")</f>
        <v>1992-105_We_Are_Really_Insignificant_SB_10-14-10_-_Radhanath_Swami_Mumbai_1992-09-18_IDesireTree.mp3</v>
      </c>
      <c r="D3864" s="11"/>
      <c r="E3864" s="11"/>
    </row>
    <row r="3865" spans="1:5">
      <c r="A3865" s="12" t="s">
        <v>12463</v>
      </c>
      <c r="B3865" s="12" t="s">
        <v>16482</v>
      </c>
      <c r="C3865" s="13" t="str">
        <f>HYPERLINK("https://audio.iskcondesiretree.com/02_-_ISKCON_Swamis/ISKCON_Swamis_-_R_to_Y/His_Holiness_Radhanath_Swami/Lectures/01_-_Theme_wise/Humility/1992-115_Humble_Servant_Attitude_SB_10-14-56_-_Radhanath_Swami_Mumbai_1992-09-14_IDesireTree.mp3", "1992-115_Humble_Servant_Attitude_SB_10-14-56_-_Radhanath_Swami_Mumbai_1992-09-14_IDesireTree.mp3")</f>
        <v>1992-115_Humble_Servant_Attitude_SB_10-14-56_-_Radhanath_Swami_Mumbai_1992-09-14_IDesireTree.mp3</v>
      </c>
      <c r="D3865" s="11"/>
      <c r="E3865" s="11"/>
    </row>
    <row r="3866" spans="1:5">
      <c r="A3866" s="12" t="s">
        <v>12463</v>
      </c>
      <c r="B3866" s="12" t="s">
        <v>16483</v>
      </c>
      <c r="C3866" s="13" t="str">
        <f>HYPERLINK("https://audio.iskcondesiretree.com/02_-_ISKCON_Swamis/ISKCON_Swamis_-_R_to_Y/His_Holiness_Radhanath_Swami/Lectures/01_-_Theme_wise/Humility/1993-116_Thinking_Oneself_Lowly_SB_10-33-31-35_-_Radhanath_Swami_1993-06-12_IDesireTree.mp3", "1993-116_Thinking_Oneself_Lowly_SB_10-33-31-35_-_Radhanath_Swami_1993-06-12_IDesireTree.mp3")</f>
        <v>1993-116_Thinking_Oneself_Lowly_SB_10-33-31-35_-_Radhanath_Swami_1993-06-12_IDesireTree.mp3</v>
      </c>
      <c r="D3866" s="11"/>
      <c r="E3866" s="11"/>
    </row>
    <row r="3867" spans="1:5">
      <c r="A3867" s="12" t="s">
        <v>12463</v>
      </c>
      <c r="B3867" s="12" t="s">
        <v>16484</v>
      </c>
      <c r="C3867" s="13" t="str">
        <f>HYPERLINK("https://audio.iskcondesiretree.com/02_-_ISKCON_Swamis/ISKCON_Swamis_-_R_to_Y/His_Holiness_Radhanath_Swami/Lectures/01_-_Theme_wise/Humility/1993-163_Uddavas_Humility_SB_10-49-22-25_-_Radhanath_Swami_Mumbai_1993-10-29_IDesireTree.mp3", "1993-163_Uddavas_Humility_SB_10-49-22-25_-_Radhanath_Swami_Mumbai_1993-10-29_IDesireTree.mp3")</f>
        <v>1993-163_Uddavas_Humility_SB_10-49-22-25_-_Radhanath_Swami_Mumbai_1993-10-29_IDesireTree.mp3</v>
      </c>
      <c r="D3867" s="11"/>
      <c r="E3867" s="11"/>
    </row>
    <row r="3868" spans="1:5">
      <c r="A3868" s="12" t="s">
        <v>12463</v>
      </c>
      <c r="B3868" s="12" t="s">
        <v>16485</v>
      </c>
      <c r="C3868" s="13" t="str">
        <f>HYPERLINK("https://audio.iskcondesiretree.com/02_-_ISKCON_Swamis/ISKCON_Swamis_-_R_to_Y/His_Holiness_Radhanath_Swami/Lectures/01_-_Theme_wise/Humility/1993-170_Uddava_Realies_True_Humility_SB_10-47-53_-_Radhanath_Swami_Mumbai_1993-11-16_IDesireTree.mp3", "1993-170_Uddava_Realies_True_Humility_SB_10-47-53_-_Radhanath_Swami_Mumbai_1993-11-16_IDesireTree.mp3")</f>
        <v>1993-170_Uddava_Realies_True_Humility_SB_10-47-53_-_Radhanath_Swami_Mumbai_1993-11-16_IDesireTree.mp3</v>
      </c>
      <c r="D3868" s="11"/>
      <c r="E3868" s="11"/>
    </row>
    <row r="3869" spans="1:5">
      <c r="A3869" s="12" t="s">
        <v>12463</v>
      </c>
      <c r="B3869" s="12" t="s">
        <v>16486</v>
      </c>
      <c r="C3869" s="13" t="str">
        <f>HYPERLINK("https://audio.iskcondesiretree.com/02_-_ISKCON_Swamis/ISKCON_Swamis_-_R_to_Y/His_Holiness_Radhanath_Swami/Lectures/01_-_Theme_wise/Humility/1994-006_Humbling_Ourselves_SB_01-02-19_-_Radhanath_Swami_Mumbai_1994-01-13_IDesireTree.mp3", "1994-006_Humbling_Ourselves_SB_01-02-19_-_Radhanath_Swami_Mumbai_1994-01-13_IDesireTree.mp3")</f>
        <v>1994-006_Humbling_Ourselves_SB_01-02-19_-_Radhanath_Swami_Mumbai_1994-01-13_IDesireTree.mp3</v>
      </c>
      <c r="D3869" s="11"/>
      <c r="E3869" s="11"/>
    </row>
    <row r="3870" spans="1:5">
      <c r="A3870" s="12" t="s">
        <v>12463</v>
      </c>
      <c r="B3870" s="12" t="s">
        <v>16487</v>
      </c>
      <c r="C3870" s="13" t="str">
        <f>HYPERLINK("https://audio.iskcondesiretree.com/02_-_ISKCON_Swamis/ISKCON_Swamis_-_R_to_Y/His_Holiness_Radhanath_Swami/Lectures/01_-_Theme_wise/Humility/1994-012_Accepting_Mercy_with_Humility-I_SB_02-03-21_-_Radhanath_Swami_Pune_1994-01-23_IDesireTree.mp3", "1994-012_Accepting_Mercy_with_Humility-I_SB_02-03-21_-_Radhanath_Swami_Pune_1994-01-23_IDesireTree.mp3")</f>
        <v>1994-012_Accepting_Mercy_with_Humility-I_SB_02-03-21_-_Radhanath_Swami_Pune_1994-01-23_IDesireTree.mp3</v>
      </c>
      <c r="D3870" s="11"/>
      <c r="E3870" s="11"/>
    </row>
    <row r="3871" spans="1:5">
      <c r="A3871" s="12" t="s">
        <v>12463</v>
      </c>
      <c r="B3871" s="12" t="s">
        <v>16488</v>
      </c>
      <c r="C3871" s="13" t="str">
        <f>HYPERLINK("https://audio.iskcondesiretree.com/02_-_ISKCON_Swamis/ISKCON_Swamis_-_R_to_Y/His_Holiness_Radhanath_Swami/Lectures/01_-_Theme_wise/Humility/1994-013_Accepting_Mercy_with_Humility-II_Lecture_-_Radhanath_Swami_Pune_1994-01-23_IDesireTree.mp3", "1994-013_Accepting_Mercy_with_Humility-II_Lecture_-_Radhanath_Swami_Pune_1994-01-23_IDesireTree.mp3")</f>
        <v>1994-013_Accepting_Mercy_with_Humility-II_Lecture_-_Radhanath_Swami_Pune_1994-01-23_IDesireTree.mp3</v>
      </c>
      <c r="D3871" s="11"/>
      <c r="E3871" s="11"/>
    </row>
    <row r="3872" spans="1:5">
      <c r="A3872" s="12" t="s">
        <v>12463</v>
      </c>
      <c r="B3872" s="12" t="s">
        <v>15845</v>
      </c>
      <c r="C3872" s="13" t="str">
        <f>HYPERLINK("https://audio.iskcondesiretree.com/02_-_ISKCON_Swamis/ISKCON_Swamis_-_R_to_Y/His_Holiness_Radhanath_Swami/Lectures/01_-_Theme_wise/Humility/1994-063_Humility_%26_Pride_SB_01-11-01_-_Radhanath_Swami_Mumbai_1994-04-07_IDesireTree.mp3", "1994-063_Humility_%26_Pride_SB_01-11-01_-_Radhanath_Swami_Mumbai_1994-04-07_IDesireTree.mp3")</f>
        <v>1994-063_Humility_%26_Pride_SB_01-11-01_-_Radhanath_Swami_Mumbai_1994-04-07_IDesireTree.mp3</v>
      </c>
      <c r="D3872" s="11"/>
      <c r="E3872" s="11"/>
    </row>
    <row r="3873" spans="1:5">
      <c r="A3873" s="12" t="s">
        <v>12463</v>
      </c>
      <c r="B3873" s="12" t="s">
        <v>16489</v>
      </c>
      <c r="C3873" s="13" t="str">
        <f>HYPERLINK("https://audio.iskcondesiretree.com/02_-_ISKCON_Swamis/ISKCON_Swamis_-_R_to_Y/His_Holiness_Radhanath_Swami/Lectures/01_-_Theme_wise/Humility/1994-094_Positive_Humility_SB_10-58-08_-_Radhanath_Swami_Mumbai_1994-05-15_IDesireTree.mp3", "1994-094_Positive_Humility_SB_10-58-08_-_Radhanath_Swami_Mumbai_1994-05-15_IDesireTree.mp3")</f>
        <v>1994-094_Positive_Humility_SB_10-58-08_-_Radhanath_Swami_Mumbai_1994-05-15_IDesireTree.mp3</v>
      </c>
      <c r="D3873" s="11"/>
      <c r="E3873" s="11"/>
    </row>
    <row r="3874" spans="1:5">
      <c r="A3874" s="12" t="s">
        <v>12463</v>
      </c>
      <c r="B3874" s="12" t="s">
        <v>16490</v>
      </c>
      <c r="C3874" s="13" t="str">
        <f>HYPERLINK("https://audio.iskcondesiretree.com/02_-_ISKCON_Swamis/ISKCON_Swamis_-_R_to_Y/His_Holiness_Radhanath_Swami/Lectures/01_-_Theme_wise/Humility/1994-177_Accept_Knowledge_Humbly_SB_01-04-33_-_Radhanath_Swami_Mumbai_1994-10-06_IDesireTree.mp3", "1994-177_Accept_Knowledge_Humbly_SB_01-04-33_-_Radhanath_Swami_Mumbai_1994-10-06_IDesireTree.mp3")</f>
        <v>1994-177_Accept_Knowledge_Humbly_SB_01-04-33_-_Radhanath_Swami_Mumbai_1994-10-06_IDesireTree.mp3</v>
      </c>
      <c r="D3874" s="11"/>
      <c r="E3874" s="11"/>
    </row>
    <row r="3875" spans="1:5">
      <c r="A3875" s="12" t="s">
        <v>12463</v>
      </c>
      <c r="B3875" s="12" t="s">
        <v>16491</v>
      </c>
      <c r="C3875" s="13" t="str">
        <f>HYPERLINK("https://audio.iskcondesiretree.com/02_-_ISKCON_Swamis/ISKCON_Swamis_-_R_to_Y/His_Holiness_Radhanath_Swami/Lectures/01_-_Theme_wise/Humility/1995-075_Become_Humble_SB_01-09-04_-_Radhanath_Swami_Mumbai_1995-04-01_IDesireTree.mp3", "1995-075_Become_Humble_SB_01-09-04_-_Radhanath_Swami_Mumbai_1995-04-01_IDesireTree.mp3")</f>
        <v>1995-075_Become_Humble_SB_01-09-04_-_Radhanath_Swami_Mumbai_1995-04-01_IDesireTree.mp3</v>
      </c>
      <c r="D3875" s="11"/>
      <c r="E3875" s="11"/>
    </row>
    <row r="3876" spans="1:5">
      <c r="A3876" s="12" t="s">
        <v>12463</v>
      </c>
      <c r="B3876" s="12" t="s">
        <v>16492</v>
      </c>
      <c r="C3876" s="13" t="str">
        <f>HYPERLINK("https://audio.iskcondesiretree.com/02_-_ISKCON_Swamis/ISKCON_Swamis_-_R_to_Y/His_Holiness_Radhanath_Swami/Lectures/01_-_Theme_wise/Humility/1995-122_Humility_Not_Pride_Can_Win_Krsna_SB_01-13-50_-_Radhanath_Swami_Mumbai_1995-10-14_IDesireTree.mp3", "1995-122_Humility_Not_Pride_Can_Win_Krsna_SB_01-13-50_-_Radhanath_Swami_Mumbai_1995-10-14_IDesireTree.mp3")</f>
        <v>1995-122_Humility_Not_Pride_Can_Win_Krsna_SB_01-13-50_-_Radhanath_Swami_Mumbai_1995-10-14_IDesireTree.mp3</v>
      </c>
      <c r="D3876" s="11"/>
      <c r="E3876" s="11"/>
    </row>
    <row r="3877" spans="1:5">
      <c r="A3877" s="12" t="s">
        <v>12463</v>
      </c>
      <c r="B3877" s="12" t="s">
        <v>16493</v>
      </c>
      <c r="C3877" s="13" t="str">
        <f>HYPERLINK("https://audio.iskcondesiretree.com/02_-_ISKCON_Swamis/ISKCON_Swamis_-_R_to_Y/His_Holiness_Radhanath_Swami/Lectures/01_-_Theme_wise/Humility/1996-073_How_Insignificant_We_Are%21_BG_08-18_-_Radhanath_Swami_Mumbai_1996-04-07_IDesireTree.mp3", "1996-073_How_Insignificant_We_Are%21_BG_08-18_-_Radhanath_Swami_Mumbai_1996-04-07_IDesireTree.mp3")</f>
        <v>1996-073_How_Insignificant_We_Are%21_BG_08-18_-_Radhanath_Swami_Mumbai_1996-04-07_IDesireTree.mp3</v>
      </c>
      <c r="D3877" s="11"/>
      <c r="E3877" s="11"/>
    </row>
    <row r="3878" spans="1:5">
      <c r="A3878" s="12" t="s">
        <v>12463</v>
      </c>
      <c r="B3878" s="12" t="s">
        <v>16494</v>
      </c>
      <c r="C3878" s="13" t="str">
        <f>HYPERLINK("https://audio.iskcondesiretree.com/02_-_ISKCON_Swamis/ISKCON_Swamis_-_R_to_Y/His_Holiness_Radhanath_Swami/Lectures/01_-_Theme_wise/Humility/1996-101_Humility_Is_A_Must_SB_07-09-26-27_-_Radhanath_Swami_Mumbai_1996-04-28_IDesireTree.mp3", "1996-101_Humility_Is_A_Must_SB_07-09-26-27_-_Radhanath_Swami_Mumbai_1996-04-28_IDesireTree.mp3")</f>
        <v>1996-101_Humility_Is_A_Must_SB_07-09-26-27_-_Radhanath_Swami_Mumbai_1996-04-28_IDesireTree.mp3</v>
      </c>
      <c r="D3878" s="11"/>
      <c r="E3878" s="11"/>
    </row>
    <row r="3879" spans="1:5">
      <c r="A3879" s="12" t="s">
        <v>12463</v>
      </c>
      <c r="B3879" s="12" t="s">
        <v>16442</v>
      </c>
      <c r="C3879" s="13" t="str">
        <f>HYPERLINK("https://audio.iskcondesiretree.com/02_-_ISKCON_Swamis/ISKCON_Swamis_-_R_to_Y/His_Holiness_Radhanath_Swami/Lectures/01_-_Theme_wise/Humility/1996-132_Holy_Name_Is_Realised_With_Humility_SB_02-03-25_-_Radhanath_Swami_Mumbai_1996-09-19_IDesireTree.mp3", "1996-132_Holy_Name_Is_Realised_With_Humility_SB_02-03-25_-_Radhanath_Swami_Mumbai_1996-09-19_IDesireTree.mp3")</f>
        <v>1996-132_Holy_Name_Is_Realised_With_Humility_SB_02-03-25_-_Radhanath_Swami_Mumbai_1996-09-19_IDesireTree.mp3</v>
      </c>
      <c r="D3879" s="11"/>
      <c r="E3879" s="11"/>
    </row>
    <row r="3880" spans="1:5">
      <c r="A3880" s="12" t="s">
        <v>12463</v>
      </c>
      <c r="B3880" s="12" t="s">
        <v>16495</v>
      </c>
      <c r="C3880" s="13" t="str">
        <f>HYPERLINK("https://audio.iskcondesiretree.com/02_-_ISKCON_Swamis/ISKCON_Swamis_-_R_to_Y/His_Holiness_Radhanath_Swami/Lectures/01_-_Theme_wise/Humility/1996-149_Surrender_With_Humility_BG_02-04-07_-_Radhanath_Swami_Mumbai_1996-10-06_IDesireTree.mp3", "1996-149_Surrender_With_Humility_BG_02-04-07_-_Radhanath_Swami_Mumbai_1996-10-06_IDesireTree.mp3")</f>
        <v>1996-149_Surrender_With_Humility_BG_02-04-07_-_Radhanath_Swami_Mumbai_1996-10-06_IDesireTree.mp3</v>
      </c>
      <c r="D3880" s="11"/>
      <c r="E3880" s="11"/>
    </row>
    <row r="3881" spans="1:5">
      <c r="A3881" s="12" t="s">
        <v>12463</v>
      </c>
      <c r="B3881" s="12" t="s">
        <v>16496</v>
      </c>
      <c r="C3881" s="13" t="str">
        <f>HYPERLINK("https://audio.iskcondesiretree.com/02_-_ISKCON_Swamis/ISKCON_Swamis_-_R_to_Y/His_Holiness_Radhanath_Swami/Lectures/01_-_Theme_wise/Humility/1997-081_Humility_of_Devotees_Lecture_-_Radhanath_Swami_Bhaktivedanta_Manor_1997-05-31_IDesireTree.mp3", "1997-081_Humility_of_Devotees_Lecture_-_Radhanath_Swami_Bhaktivedanta_Manor_1997-05-31_IDesireTree.mp3")</f>
        <v>1997-081_Humility_of_Devotees_Lecture_-_Radhanath_Swami_Bhaktivedanta_Manor_1997-05-31_IDesireTree.mp3</v>
      </c>
      <c r="D3881" s="11"/>
      <c r="E3881" s="11"/>
    </row>
    <row r="3882" spans="1:5">
      <c r="A3882" s="12" t="s">
        <v>12463</v>
      </c>
      <c r="B3882" s="12" t="s">
        <v>16497</v>
      </c>
      <c r="C3882" s="13" t="str">
        <f>HYPERLINK("https://audio.iskcondesiretree.com/02_-_ISKCON_Swamis/ISKCON_Swamis_-_R_to_Y/His_Holiness_Radhanath_Swami/Lectures/01_-_Theme_wise/Humility/1998-072_Pleasing_Krishna_With_Our_Humility_BG_08-07_-_Radhanath_Swami_Mumbai_1998-07-19_IDesireTree.mp3", "1998-072_Pleasing_Krishna_With_Our_Humility_BG_08-07_-_Radhanath_Swami_Mumbai_1998-07-19_IDesireTree.mp3")</f>
        <v>1998-072_Pleasing_Krishna_With_Our_Humility_BG_08-07_-_Radhanath_Swami_Mumbai_1998-07-19_IDesireTree.mp3</v>
      </c>
      <c r="D3882" s="11"/>
      <c r="E3882" s="11"/>
    </row>
    <row r="3883" spans="1:5">
      <c r="A3883" s="12" t="s">
        <v>12463</v>
      </c>
      <c r="B3883" s="12" t="s">
        <v>16498</v>
      </c>
      <c r="C3883" s="13" t="str">
        <f>HYPERLINK("https://audio.iskcondesiretree.com/02_-_ISKCON_Swamis/ISKCON_Swamis_-_R_to_Y/His_Holiness_Radhanath_Swami/Lectures/01_-_Theme_wise/Humility/1999-028_Humility_of_Parikshit_Maharaj_SB_01-19-15_-_Radhanath_Swami_Mumbai_1999-06-13_IDesireTree.mp3", "1999-028_Humility_of_Parikshit_Maharaj_SB_01-19-15_-_Radhanath_Swami_Mumbai_1999-06-13_IDesireTree.mp3")</f>
        <v>1999-028_Humility_of_Parikshit_Maharaj_SB_01-19-15_-_Radhanath_Swami_Mumbai_1999-06-13_IDesireTree.mp3</v>
      </c>
      <c r="D3883" s="11"/>
      <c r="E3883" s="11"/>
    </row>
    <row r="3884" spans="1:5">
      <c r="A3884" s="12" t="s">
        <v>12463</v>
      </c>
      <c r="B3884" s="12" t="s">
        <v>15959</v>
      </c>
      <c r="C3884" s="13" t="str">
        <f>HYPERLINK("https://audio.iskcondesiretree.com/02_-_ISKCON_Swamis/ISKCON_Swamis_-_R_to_Y/His_Holiness_Radhanath_Swami/Lectures/01_-_Theme_wise/Humility/2002-026_To_Seek_Blessing_Is_a_Sign_Of_Humility_Lecture_-_Radhanath_Swami_Mumbai_2002-01-31_IDesireTree.mp3", "2002-026_To_Seek_Blessing_Is_a_Sign_Of_Humility_Lecture_-_Radhanath_Swami_Mumbai_2002-01-31_IDesireTree.mp3")</f>
        <v>2002-026_To_Seek_Blessing_Is_a_Sign_Of_Humility_Lecture_-_Radhanath_Swami_Mumbai_2002-01-31_IDesireTree.mp3</v>
      </c>
      <c r="D3884" s="11"/>
      <c r="E3884" s="11"/>
    </row>
    <row r="3885" spans="1:5">
      <c r="A3885" s="12" t="s">
        <v>12463</v>
      </c>
      <c r="B3885" s="12" t="s">
        <v>16499</v>
      </c>
      <c r="C3885" s="13" t="str">
        <f>HYPERLINK("https://audio.iskcondesiretree.com/02_-_ISKCON_Swamis/ISKCON_Swamis_-_R_to_Y/His_Holiness_Radhanath_Swami/Lectures/01_-_Theme_wise/Humility/2002-051_Imbibing_The_Conscious_Of_Humlity_SB_04-12-22_-_Radhanath_Swami_Mumbai_2008-04-13_IDesireTree.mp3", "2002-051_Imbibing_The_Conscious_Of_Humlity_SB_04-12-22_-_Radhanath_Swami_Mumbai_2008-04-13_IDesireTree.mp3")</f>
        <v>2002-051_Imbibing_The_Conscious_Of_Humlity_SB_04-12-22_-_Radhanath_Swami_Mumbai_2008-04-13_IDesireTree.mp3</v>
      </c>
      <c r="D3885" s="11"/>
      <c r="E3885" s="11"/>
    </row>
    <row r="3886" spans="1:5">
      <c r="A3886" s="12" t="s">
        <v>12463</v>
      </c>
      <c r="B3886" s="12" t="s">
        <v>16267</v>
      </c>
      <c r="C3886" s="13" t="str">
        <f>HYPERLINK("https://audio.iskcondesiretree.com/02_-_ISKCON_Swamis/ISKCON_Swamis_-_R_to_Y/His_Holiness_Radhanath_Swami/Lectures/01_-_Theme_wise/Incarnations/1991-054_The_Story_Of_Narasimhadev_Lecture_-_Radhanath_Swami_Mumbai_1991-05-26_IDesireTree.mp3", "1991-054_The_Story_Of_Narasimhadev_Lecture_-_Radhanath_Swami_Mumbai_1991-05-26_IDesireTree.mp3")</f>
        <v>1991-054_The_Story_Of_Narasimhadev_Lecture_-_Radhanath_Swami_Mumbai_1991-05-26_IDesireTree.mp3</v>
      </c>
      <c r="D3886" s="11"/>
      <c r="E3886" s="11"/>
    </row>
    <row r="3887" spans="1:5">
      <c r="A3887" s="12" t="s">
        <v>12463</v>
      </c>
      <c r="B3887" s="12" t="s">
        <v>16500</v>
      </c>
      <c r="C3887" s="13" t="str">
        <f>HYPERLINK("https://audio.iskcondesiretree.com/02_-_ISKCON_Swamis/ISKCON_Swamis_-_R_to_Y/His_Holiness_Radhanath_Swami/Lectures/01_-_Theme_wise/Incarnations/1991-101_Vamandev_Begs_From_Bali_Maharaj_SB_08-19-21_-_Radhanath_Swami_Mumbai_1991-10-26_IDesireTree.mp3", "1991-101_Vamandev_Begs_From_Bali_Maharaj_SB_08-19-21_-_Radhanath_Swami_Mumbai_1991-10-26_IDesireTree.mp3")</f>
        <v>1991-101_Vamandev_Begs_From_Bali_Maharaj_SB_08-19-21_-_Radhanath_Swami_Mumbai_1991-10-26_IDesireTree.mp3</v>
      </c>
      <c r="D3887" s="11"/>
      <c r="E3887" s="11"/>
    </row>
    <row r="3888" spans="1:5">
      <c r="A3888" s="12" t="s">
        <v>12463</v>
      </c>
      <c r="B3888" s="12" t="s">
        <v>16501</v>
      </c>
      <c r="C3888" s="13" t="str">
        <f>HYPERLINK("https://audio.iskcondesiretree.com/02_-_ISKCON_Swamis/ISKCON_Swamis_-_R_to_Y/His_Holiness_Radhanath_Swami/Lectures/01_-_Theme_wise/Incarnations/1991-131_Incarnations_Of_Krishna_Lecture_-_Radhanath_Swami_Mumbai_1991-11-06_IDesireTree.mp3", "1991-131_Incarnations_Of_Krishna_Lecture_-_Radhanath_Swami_Mumbai_1991-11-06_IDesireTree.mp3")</f>
        <v>1991-131_Incarnations_Of_Krishna_Lecture_-_Radhanath_Swami_Mumbai_1991-11-06_IDesireTree.mp3</v>
      </c>
      <c r="D3888" s="11"/>
      <c r="E3888" s="11"/>
    </row>
    <row r="3889" spans="1:5">
      <c r="A3889" s="12" t="s">
        <v>12463</v>
      </c>
      <c r="B3889" s="12" t="s">
        <v>16502</v>
      </c>
      <c r="C3889" s="13" t="str">
        <f>HYPERLINK("https://audio.iskcondesiretree.com/02_-_ISKCON_Swamis/ISKCON_Swamis_-_R_to_Y/His_Holiness_Radhanath_Swami/Lectures/01_-_Theme_wise/Incarnations/1992-026_Incarnation_In_Four_Yugas_Lecture_-_Radhanath_Swami_Mumbai_1992-02-13_IDesireTree.mp3", "1992-026_Incarnation_In_Four_Yugas_Lecture_-_Radhanath_Swami_Mumbai_1992-02-13_IDesireTree.mp3")</f>
        <v>1992-026_Incarnation_In_Four_Yugas_Lecture_-_Radhanath_Swami_Mumbai_1992-02-13_IDesireTree.mp3</v>
      </c>
      <c r="D3889" s="11"/>
      <c r="E3889" s="11"/>
    </row>
    <row r="3890" spans="1:5">
      <c r="A3890" s="12" t="s">
        <v>12463</v>
      </c>
      <c r="B3890" s="12" t="s">
        <v>16503</v>
      </c>
      <c r="C3890" s="13" t="str">
        <f>HYPERLINK("https://audio.iskcondesiretree.com/02_-_ISKCON_Swamis/ISKCON_Swamis_-_R_to_Y/His_Holiness_Radhanath_Swami/Lectures/01_-_Theme_wise/Incarnations/1992-028_Story_Of_VarahDev_Lecture_-_Radhanath_Swami_Mumbai_1992-02-15_IDesireTree.mp3", "1992-028_Story_Of_VarahDev_Lecture_-_Radhanath_Swami_Mumbai_1992-02-15_IDesireTree.mp3")</f>
        <v>1992-028_Story_Of_VarahDev_Lecture_-_Radhanath_Swami_Mumbai_1992-02-15_IDesireTree.mp3</v>
      </c>
      <c r="D3890" s="11"/>
      <c r="E3890" s="11"/>
    </row>
    <row r="3891" spans="1:5">
      <c r="A3891" s="12" t="s">
        <v>12463</v>
      </c>
      <c r="B3891" s="12" t="s">
        <v>16504</v>
      </c>
      <c r="C3891" s="13" t="str">
        <f>HYPERLINK("https://audio.iskcondesiretree.com/02_-_ISKCON_Swamis/ISKCON_Swamis_-_R_to_Y/His_Holiness_Radhanath_Swami/Lectures/01_-_Theme_wise/Incarnations/1992-029_Appearance_Of_Lord_Varahadev_BG_04-08-09_-_Radhanath_Swami_Mumbai_1992-02-15_IDesireTree.mp3", "1992-029_Appearance_Of_Lord_Varahadev_BG_04-08-09_-_Radhanath_Swami_Mumbai_1992-02-15_IDesireTree.mp3")</f>
        <v>1992-029_Appearance_Of_Lord_Varahadev_BG_04-08-09_-_Radhanath_Swami_Mumbai_1992-02-15_IDesireTree.mp3</v>
      </c>
      <c r="D3891" s="11"/>
      <c r="E3891" s="11"/>
    </row>
    <row r="3892" spans="1:5">
      <c r="A3892" s="12" t="s">
        <v>12463</v>
      </c>
      <c r="B3892" s="12" t="s">
        <v>16505</v>
      </c>
      <c r="C3892" s="13" t="str">
        <f>HYPERLINK("https://audio.iskcondesiretree.com/02_-_ISKCON_Swamis/ISKCON_Swamis_-_R_to_Y/His_Holiness_Radhanath_Swami/Lectures/01_-_Theme_wise/Incarnations/1992-104_Appearance_Of_Lord_Vamandev_-_Radhanath_Swami_Mumbai_1992-09-08_IDesireTree.mp3", "1992-104_Appearance_Of_Lord_Vamandev_-_Radhanath_Swami_Mumbai_1992-09-08_IDesireTree.mp3")</f>
        <v>1992-104_Appearance_Of_Lord_Vamandev_-_Radhanath_Swami_Mumbai_1992-09-08_IDesireTree.mp3</v>
      </c>
      <c r="D3892" s="11"/>
      <c r="E3892" s="11"/>
    </row>
    <row r="3893" spans="1:5">
      <c r="A3893" s="12" t="s">
        <v>12463</v>
      </c>
      <c r="B3893" s="12" t="s">
        <v>16506</v>
      </c>
      <c r="C3893" s="13" t="str">
        <f>HYPERLINK("https://audio.iskcondesiretree.com/02_-_ISKCON_Swamis/ISKCON_Swamis_-_R_to_Y/His_Holiness_Radhanath_Swami/Lectures/01_-_Theme_wise/Incarnations/1993-082_Lord_Buddha_BG_09-29-05-22_-_Radhanath_Swami_1993-05-06_IDesireTree.mp3", "1993-082_Lord_Buddha_BG_09-29-05-22_-_Radhanath_Swami_1993-05-06_IDesireTree.mp3")</f>
        <v>1993-082_Lord_Buddha_BG_09-29-05-22_-_Radhanath_Swami_1993-05-06_IDesireTree.mp3</v>
      </c>
      <c r="D3893" s="11"/>
      <c r="E3893" s="11"/>
    </row>
    <row r="3894" spans="1:5">
      <c r="A3894" s="12" t="s">
        <v>12463</v>
      </c>
      <c r="B3894" s="12" t="s">
        <v>16507</v>
      </c>
      <c r="C3894" s="13" t="str">
        <f>HYPERLINK("https://audio.iskcondesiretree.com/02_-_ISKCON_Swamis/ISKCON_Swamis_-_R_to_Y/His_Holiness_Radhanath_Swami/Lectures/01_-_Theme_wise/Incarnations/1993-134_Lord_Varahadev_SB_08-2-01-04_-_Radhanath_Swami_Mumbai_1993-09-27_IDesireTree.mp3", "1993-134_Lord_Varahadev_SB_08-2-01-04_-_Radhanath_Swami_Mumbai_1993-09-27_IDesireTree.mp3")</f>
        <v>1993-134_Lord_Varahadev_SB_08-2-01-04_-_Radhanath_Swami_Mumbai_1993-09-27_IDesireTree.mp3</v>
      </c>
      <c r="D3894" s="11"/>
      <c r="E3894" s="11"/>
    </row>
    <row r="3895" spans="1:5">
      <c r="A3895" s="12" t="s">
        <v>12463</v>
      </c>
      <c r="B3895" s="12" t="s">
        <v>16508</v>
      </c>
      <c r="C3895" s="13" t="str">
        <f>HYPERLINK("https://audio.iskcondesiretree.com/02_-_ISKCON_Swamis/ISKCON_Swamis_-_R_to_Y/His_Holiness_Radhanath_Swami/Lectures/01_-_Theme_wise/Incarnations/1994-043_Lord_Varahadev_Lecture_-_Radhanath_Swami_Mumbai_1994-02-23_IDesireTree.mp3", "1994-043_Lord_Varahadev_Lecture_-_Radhanath_Swami_Mumbai_1994-02-23_IDesireTree.mp3")</f>
        <v>1994-043_Lord_Varahadev_Lecture_-_Radhanath_Swami_Mumbai_1994-02-23_IDesireTree.mp3</v>
      </c>
      <c r="D3895" s="11"/>
      <c r="E3895" s="11"/>
    </row>
    <row r="3896" spans="1:5">
      <c r="A3896" s="12" t="s">
        <v>12463</v>
      </c>
      <c r="B3896" s="12" t="s">
        <v>16509</v>
      </c>
      <c r="C3896" s="13" t="str">
        <f>HYPERLINK("https://audio.iskcondesiretree.com/02_-_ISKCON_Swamis/ISKCON_Swamis_-_R_to_Y/His_Holiness_Radhanath_Swami/Lectures/01_-_Theme_wise/Incarnations/1994-104_Incarnation_Are_Expansions_Of_Krishna_SB_01-03-28_-_Radhanath_Swami_Mumbai_1994-08-21_IDesireTree.mp3", "1994-104_Incarnation_Are_Expansions_Of_Krishna_SB_01-03-28_-_Radhanath_Swami_Mumbai_1994-08-21_IDesireTree.mp3")</f>
        <v>1994-104_Incarnation_Are_Expansions_Of_Krishna_SB_01-03-28_-_Radhanath_Swami_Mumbai_1994-08-21_IDesireTree.mp3</v>
      </c>
      <c r="D3896" s="11"/>
      <c r="E3896" s="11"/>
    </row>
    <row r="3897" spans="1:5">
      <c r="A3897" s="12" t="s">
        <v>12463</v>
      </c>
      <c r="B3897" s="12" t="s">
        <v>13785</v>
      </c>
      <c r="C3897" s="13" t="str">
        <f>HYPERLINK("https://audio.iskcondesiretree.com/02_-_ISKCON_Swamis/ISKCON_Swamis_-_R_to_Y/His_Holiness_Radhanath_Swami/Lectures/01_-_Theme_wise/Incarnations/1994-149_Vamandev_%26_Jiva_Goswami_App_-_Radhanath_Swami_IDesireTree.mp3", "1994-149_Vamandev_%26_Jiva_Goswami_App_-_Radhanath_Swami_IDesireTree.mp3")</f>
        <v>1994-149_Vamandev_%26_Jiva_Goswami_App_-_Radhanath_Swami_IDesireTree.mp3</v>
      </c>
      <c r="D3897" s="11"/>
      <c r="E3897" s="11"/>
    </row>
    <row r="3898" spans="1:5">
      <c r="A3898" s="12" t="s">
        <v>12463</v>
      </c>
      <c r="B3898" s="12" t="s">
        <v>16510</v>
      </c>
      <c r="C3898" s="13" t="str">
        <f>HYPERLINK("https://audio.iskcondesiretree.com/02_-_ISKCON_Swamis/ISKCON_Swamis_-_R_to_Y/His_Holiness_Radhanath_Swami/Lectures/01_-_Theme_wise/Incarnations/1994-169_Story_Of_Lord_Varahadev_SB_03-13-14-17_-_Radhanath_Swami_Varahavan_1994-09-27_IDesireTree.mp3", "1994-169_Story_Of_Lord_Varahadev_SB_03-13-14-17_-_Radhanath_Swami_Varahavan_1994-09-27_IDesireTree.mp3")</f>
        <v>1994-169_Story_Of_Lord_Varahadev_SB_03-13-14-17_-_Radhanath_Swami_Varahavan_1994-09-27_IDesireTree.mp3</v>
      </c>
      <c r="D3898" s="11"/>
      <c r="E3898" s="11"/>
    </row>
    <row r="3899" spans="1:5">
      <c r="A3899" s="12" t="s">
        <v>12463</v>
      </c>
      <c r="B3899" s="12" t="s">
        <v>16511</v>
      </c>
      <c r="C3899" s="13" t="str">
        <f>HYPERLINK("https://audio.iskcondesiretree.com/02_-_ISKCON_Swamis/ISKCON_Swamis_-_R_to_Y/His_Holiness_Radhanath_Swami/Lectures/01_-_Theme_wise/Incarnations/1995-048_Story_Of_Lord_VarahaDev_SB_03-14-05_-_Radhanath_Swami_Mumbai_1995-02-12.mp3", "1995-048_Story_Of_Lord_VarahaDev_SB_03-14-05_-_Radhanath_Swami_Mumbai_1995-02-12.mp3")</f>
        <v>1995-048_Story_Of_Lord_VarahaDev_SB_03-14-05_-_Radhanath_Swami_Mumbai_1995-02-12.mp3</v>
      </c>
      <c r="D3899" s="11"/>
      <c r="E3899" s="11"/>
    </row>
    <row r="3900" spans="1:5">
      <c r="A3900" s="12" t="s">
        <v>12463</v>
      </c>
      <c r="B3900" s="12" t="s">
        <v>16512</v>
      </c>
      <c r="C3900" s="13" t="str">
        <f>HYPERLINK("https://audio.iskcondesiretree.com/02_-_ISKCON_Swamis/ISKCON_Swamis_-_R_to_Y/His_Holiness_Radhanath_Swami/Lectures/01_-_Theme_wise/Incarnations/1996-177_Gigantic_Boar_Incarnation_SB_02-07-01_-_Radhanath_Swami_Mumbai_1996-12-28_IDesireTree.mp3", "1996-177_Gigantic_Boar_Incarnation_SB_02-07-01_-_Radhanath_Swami_Mumbai_1996-12-28_IDesireTree.mp3")</f>
        <v>1996-177_Gigantic_Boar_Incarnation_SB_02-07-01_-_Radhanath_Swami_Mumbai_1996-12-28_IDesireTree.mp3</v>
      </c>
      <c r="D3900" s="11"/>
      <c r="E3900" s="11"/>
    </row>
    <row r="3901" spans="1:5">
      <c r="A3901" s="12" t="s">
        <v>12463</v>
      </c>
      <c r="B3901" s="12" t="s">
        <v>16513</v>
      </c>
      <c r="C3901" s="13" t="str">
        <f>HYPERLINK("https://audio.iskcondesiretree.com/02_-_ISKCON_Swamis/ISKCON_Swamis_-_R_to_Y/His_Holiness_Radhanath_Swami/Lectures/01_-_Theme_wise/Incarnations/1997-010_Matsya_Avatar_SB_02-07-07_-_Radhanath_Swami_Mumbai_1997-01-12_IDesireTree.mp3", "1997-010_Matsya_Avatar_SB_02-07-07_-_Radhanath_Swami_Mumbai_1997-01-12_IDesireTree.mp3")</f>
        <v>1997-010_Matsya_Avatar_SB_02-07-07_-_Radhanath_Swami_Mumbai_1997-01-12_IDesireTree.mp3</v>
      </c>
      <c r="D3901" s="11"/>
      <c r="E3901" s="11"/>
    </row>
    <row r="3902" spans="1:5">
      <c r="A3902" s="12" t="s">
        <v>12463</v>
      </c>
      <c r="B3902" s="12" t="s">
        <v>16514</v>
      </c>
      <c r="C3902" s="13" t="str">
        <f>HYPERLINK("https://audio.iskcondesiretree.com/02_-_ISKCON_Swamis/ISKCON_Swamis_-_R_to_Y/His_Holiness_Radhanath_Swami/Lectures/01_-_Theme_wise/Incarnations/1997-044_Varahadev_Protects_Mother_Earth_SB_-_Radhanath_Swami_Mumbai_1997-02-19_IDesireTree.mp3", "1997-044_Varahadev_Protects_Mother_Earth_SB_-_Radhanath_Swami_Mumbai_1997-02-19_IDesireTree.mp3")</f>
        <v>1997-044_Varahadev_Protects_Mother_Earth_SB_-_Radhanath_Swami_Mumbai_1997-02-19_IDesireTree.mp3</v>
      </c>
      <c r="D3902" s="11"/>
      <c r="E3902" s="11"/>
    </row>
    <row r="3903" spans="1:5">
      <c r="A3903" s="12" t="s">
        <v>12463</v>
      </c>
      <c r="B3903" s="12" t="s">
        <v>16515</v>
      </c>
      <c r="C3903" s="13" t="str">
        <f>HYPERLINK("https://audio.iskcondesiretree.com/02_-_ISKCON_Swamis/ISKCON_Swamis_-_R_to_Y/His_Holiness_Radhanath_Swami/Lectures/01_-_Theme_wise/Incarnations/1998-022_Lord%27s_Pastimes_in_the_Ocean_Lecture_-_Radhanath_Swami_Mumbai_1998-02-02_IDesireTree.mp3", "1998-022_Lord%27s_Pastimes_in_the_Ocean_Lecture_-_Radhanath_Swami_Mumbai_1998-02-02_IDesireTree.mp3")</f>
        <v>1998-022_Lord%27s_Pastimes_in_the_Ocean_Lecture_-_Radhanath_Swami_Mumbai_1998-02-02_IDesireTree.mp3</v>
      </c>
      <c r="D3903" s="11"/>
      <c r="E3903" s="11"/>
    </row>
    <row r="3904" spans="1:5">
      <c r="A3904" s="12" t="s">
        <v>12463</v>
      </c>
      <c r="B3904" s="12" t="s">
        <v>16516</v>
      </c>
      <c r="C3904" s="13" t="str">
        <f>HYPERLINK("https://audio.iskcondesiretree.com/02_-_ISKCON_Swamis/ISKCON_Swamis_-_R_to_Y/His_Holiness_Radhanath_Swami/Lectures/01_-_Theme_wise/Incarnations/1998-029_Lord_Varahadev_Appearance_Day_Lecture_-_Radhanath_Swami_Mumbai_1998-02-08_IDesireTree.mp3", "1998-029_Lord_Varahadev_Appearance_Day_Lecture_-_Radhanath_Swami_Mumbai_1998-02-08_IDesireTree.mp3")</f>
        <v>1998-029_Lord_Varahadev_Appearance_Day_Lecture_-_Radhanath_Swami_Mumbai_1998-02-08_IDesireTree.mp3</v>
      </c>
      <c r="D3904" s="11"/>
      <c r="E3904" s="11"/>
    </row>
    <row r="3905" spans="1:5">
      <c r="A3905" s="12" t="s">
        <v>12463</v>
      </c>
      <c r="B3905" s="12" t="s">
        <v>16517</v>
      </c>
      <c r="C3905" s="13" t="str">
        <f>HYPERLINK("https://audio.iskcondesiretree.com/02_-_ISKCON_Swamis/ISKCON_Swamis_-_R_to_Y/His_Holiness_Radhanath_Swami/Lectures/01_-_Theme_wise/Indra/1993-034_We_are_not_Indras_SB_10-25-16-17_-_Radhanath_Swami_Mumbai_1993-03-29_IDesireTree.mp3", "1993-034_We_are_not_Indras_SB_10-25-16-17_-_Radhanath_Swami_Mumbai_1993-03-29_IDesireTree.mp3")</f>
        <v>1993-034_We_are_not_Indras_SB_10-25-16-17_-_Radhanath_Swami_Mumbai_1993-03-29_IDesireTree.mp3</v>
      </c>
      <c r="D3905" s="11"/>
      <c r="E3905" s="11"/>
    </row>
    <row r="3906" spans="1:5">
      <c r="A3906" s="12" t="s">
        <v>12463</v>
      </c>
      <c r="B3906" s="12" t="s">
        <v>15860</v>
      </c>
      <c r="C3906" s="13" t="str">
        <f>HYPERLINK("https://audio.iskcondesiretree.com/02_-_ISKCON_Swamis/ISKCON_Swamis_-_R_to_Y/His_Holiness_Radhanath_Swami/Lectures/01_-_Theme_wise/Indra/1998-070_Indra%27s_Attachment_SB_03-25-16_-_Radhanath_Swami_NV_1998-05-25_IDesireTree.mp3", "1998-070_Indra%27s_Attachment_SB_03-25-16_-_Radhanath_Swami_NV_1998-05-25_IDesireTree.mp3")</f>
        <v>1998-070_Indra%27s_Attachment_SB_03-25-16_-_Radhanath_Swami_NV_1998-05-25_IDesireTree.mp3</v>
      </c>
      <c r="D3906" s="11"/>
      <c r="E3906" s="11"/>
    </row>
    <row r="3907" spans="1:5">
      <c r="A3907" s="12" t="s">
        <v>12463</v>
      </c>
      <c r="B3907" s="12" t="s">
        <v>16518</v>
      </c>
      <c r="C3907" s="13" t="str">
        <f>HYPERLINK("https://audio.iskcondesiretree.com/02_-_ISKCON_Swamis/ISKCON_Swamis_-_R_to_Y/His_Holiness_Radhanath_Swami/Lectures/01_-_Theme_wise/Initiation/04.Initation_Eve_Lec_-_Radhanath_Swami_2008-05-07_IDesireTree.MP3", "04.Initation_Eve_Lec_-_Radhanath_Swami_2008-05-07_IDesireTree.MP3")</f>
        <v>04.Initation_Eve_Lec_-_Radhanath_Swami_2008-05-07_IDesireTree.MP3</v>
      </c>
      <c r="D3907" s="11"/>
      <c r="E3907" s="11"/>
    </row>
    <row r="3908" spans="1:5">
      <c r="A3908" s="12" t="s">
        <v>12463</v>
      </c>
      <c r="B3908" s="12" t="s">
        <v>16519</v>
      </c>
      <c r="C3908" s="13" t="str">
        <f>HYPERLINK("https://audio.iskcondesiretree.com/02_-_ISKCON_Swamis/ISKCON_Swamis_-_R_to_Y/His_Holiness_Radhanath_Swami/Lectures/01_-_Theme_wise/Initiation/05.Initation_Morn_Lec_-_Radhanath_Swami_2008-05-07_IDesireTree.MP3", "05.Initation_Morn_Lec_-_Radhanath_Swami_2008-05-07_IDesireTree.MP3")</f>
        <v>05.Initation_Morn_Lec_-_Radhanath_Swami_2008-05-07_IDesireTree.MP3</v>
      </c>
      <c r="D3908" s="11"/>
      <c r="E3908" s="11"/>
    </row>
    <row r="3909" spans="1:5">
      <c r="A3909" s="12" t="s">
        <v>12463</v>
      </c>
      <c r="B3909" s="12" t="s">
        <v>16520</v>
      </c>
      <c r="C3909" s="13" t="str">
        <f>HYPERLINK("https://audio.iskcondesiretree.com/02_-_ISKCON_Swamis/ISKCON_Swamis_-_R_to_Y/His_Holiness_Radhanath_Swami/Lectures/01_-_Theme_wise/Initiation/06.Establishing_The_Spirit_of_Initiation_-_Radhanath_Swami_Mumbai_2004-04-02_IDesireTree.mp3", "06.Establishing_The_Spirit_of_Initiation_-_Radhanath_Swami_Mumbai_2004-04-02_IDesireTree.mp3")</f>
        <v>06.Establishing_The_Spirit_of_Initiation_-_Radhanath_Swami_Mumbai_2004-04-02_IDesireTree.mp3</v>
      </c>
      <c r="D3909" s="11"/>
      <c r="E3909" s="11"/>
    </row>
    <row r="3910" spans="1:5">
      <c r="A3910" s="12" t="s">
        <v>12463</v>
      </c>
      <c r="B3910" s="12" t="s">
        <v>16521</v>
      </c>
      <c r="C3910" s="13" t="str">
        <f>HYPERLINK("https://audio.iskcondesiretree.com/02_-_ISKCON_Swamis/ISKCON_Swamis_-_R_to_Y/His_Holiness_Radhanath_Swami/Lectures/01_-_Theme_wise/Initiation/07.Initiation-The_Process_of_Commitment_to_Parampara_-_Radhanath_Swami_New_Vrindavan_2004-05-29_IDesireTree.mp3", "07.Initiation-The_Process_of_Commitment_to_Parampara_-_Radhanath_Swami_New_Vrindavan_2004-05-29_IDesireTree.mp3")</f>
        <v>07.Initiation-The_Process_of_Commitment_to_Parampara_-_Radhanath_Swami_New_Vrindavan_2004-05-29_IDesireTree.mp3</v>
      </c>
      <c r="D3910" s="11"/>
      <c r="E3910" s="11"/>
    </row>
    <row r="3911" spans="1:5">
      <c r="A3911" s="12" t="s">
        <v>12463</v>
      </c>
      <c r="B3911" s="12" t="s">
        <v>16522</v>
      </c>
      <c r="C3911" s="13" t="str">
        <f>HYPERLINK("https://audio.iskcondesiretree.com/02_-_ISKCON_Swamis/ISKCON_Swamis_-_R_to_Y/His_Holiness_Radhanath_Swami/Lectures/01_-_Theme_wise/Initiation/10.Initiation_Lecture_-_Radhanath_Swami_2001-07-22_London_IDesireTree.mp3", "10.Initiation_Lecture_-_Radhanath_Swami_2001-07-22_London_IDesireTree.mp3")</f>
        <v>10.Initiation_Lecture_-_Radhanath_Swami_2001-07-22_London_IDesireTree.mp3</v>
      </c>
      <c r="D3911" s="11"/>
      <c r="E3911" s="11"/>
    </row>
    <row r="3912" spans="1:5">
      <c r="A3912" s="12" t="s">
        <v>12463</v>
      </c>
      <c r="B3912" s="12" t="s">
        <v>16523</v>
      </c>
      <c r="C3912" s="13" t="str">
        <f>HYPERLINK("https://audio.iskcondesiretree.com/02_-_ISKCON_Swamis/ISKCON_Swamis_-_R_to_Y/His_Holiness_Radhanath_Swami/Lectures/01_-_Theme_wise/Initiation/1992-037_Initiation_Lecture_Lecture_-_Radhanath_Swami_Mumbai_1992-03-18_IDesireTree.mp3", "1992-037_Initiation_Lecture_Lecture_-_Radhanath_Swami_Mumbai_1992-03-18_IDesireTree.mp3")</f>
        <v>1992-037_Initiation_Lecture_Lecture_-_Radhanath_Swami_Mumbai_1992-03-18_IDesireTree.mp3</v>
      </c>
      <c r="D3912" s="11"/>
      <c r="E3912" s="11"/>
    </row>
    <row r="3913" spans="1:5">
      <c r="A3913" s="12" t="s">
        <v>12463</v>
      </c>
      <c r="B3913" s="12" t="s">
        <v>15968</v>
      </c>
      <c r="C3913" s="13" t="str">
        <f>HYPERLINK("https://audio.iskcondesiretree.com/02_-_ISKCON_Swamis/ISKCON_Swamis_-_R_to_Y/His_Holiness_Radhanath_Swami/Lectures/01_-_Theme_wise/Initiation/1992-111_Lecture_On_Accepting_Saffron_Lecture_-_Radhanath_Swami_Mumbai_1992-09-11_IDesireTree.mp3", "1992-111_Lecture_On_Accepting_Saffron_Lecture_-_Radhanath_Swami_Mumbai_1992-09-11_IDesireTree.mp3")</f>
        <v>1992-111_Lecture_On_Accepting_Saffron_Lecture_-_Radhanath_Swami_Mumbai_1992-09-11_IDesireTree.mp3</v>
      </c>
      <c r="D3913" s="11"/>
      <c r="E3913" s="11"/>
    </row>
    <row r="3914" spans="1:5">
      <c r="A3914" s="12" t="s">
        <v>12463</v>
      </c>
      <c r="B3914" s="12" t="s">
        <v>16524</v>
      </c>
      <c r="C3914" s="13" t="str">
        <f>HYPERLINK("https://audio.iskcondesiretree.com/02_-_ISKCON_Swamis/ISKCON_Swamis_-_R_to_Y/His_Holiness_Radhanath_Swami/Lectures/01_-_Theme_wise/Initiation/1993-078_Introduction_About_Initiation_Lecture_-_Radhanath_Swami_Mumbai_1993-05-04_IDesireTree.mp3", "1993-078_Introduction_About_Initiation_Lecture_-_Radhanath_Swami_Mumbai_1993-05-04_IDesireTree.mp3")</f>
        <v>1993-078_Introduction_About_Initiation_Lecture_-_Radhanath_Swami_Mumbai_1993-05-04_IDesireTree.mp3</v>
      </c>
      <c r="D3914" s="11"/>
      <c r="E3914" s="11"/>
    </row>
    <row r="3915" spans="1:5">
      <c r="A3915" s="12" t="s">
        <v>12463</v>
      </c>
      <c r="B3915" s="12" t="s">
        <v>16525</v>
      </c>
      <c r="C3915" s="13" t="str">
        <f>HYPERLINK("https://audio.iskcondesiretree.com/02_-_ISKCON_Swamis/ISKCON_Swamis_-_R_to_Y/His_Holiness_Radhanath_Swami/Lectures/01_-_Theme_wise/Initiation/1993-080_Initiation_Lecture_Lecture_-_Radhanath_Swami_Mumbai_1993-05-05_IDesireTree.mp3", "1993-080_Initiation_Lecture_Lecture_-_Radhanath_Swami_Mumbai_1993-05-05_IDesireTree.mp3")</f>
        <v>1993-080_Initiation_Lecture_Lecture_-_Radhanath_Swami_Mumbai_1993-05-05_IDesireTree.mp3</v>
      </c>
      <c r="D3915" s="11"/>
      <c r="E3915" s="11"/>
    </row>
    <row r="3916" spans="1:5">
      <c r="A3916" s="12" t="s">
        <v>12463</v>
      </c>
      <c r="B3916" s="12" t="s">
        <v>16526</v>
      </c>
      <c r="C3916" s="13" t="str">
        <f>HYPERLINK("https://audio.iskcondesiretree.com/02_-_ISKCON_Swamis/ISKCON_Swamis_-_R_to_Y/His_Holiness_Radhanath_Swami/Lectures/01_-_Theme_wise/Initiation/1995-063_Initiation_Lecture_Lecture_-_Radhanath_Swami_Mumbai_1995-03-17.mp3", "1995-063_Initiation_Lecture_Lecture_-_Radhanath_Swami_Mumbai_1995-03-17.mp3")</f>
        <v>1995-063_Initiation_Lecture_Lecture_-_Radhanath_Swami_Mumbai_1995-03-17.mp3</v>
      </c>
      <c r="D3916" s="11"/>
      <c r="E3916" s="11"/>
    </row>
    <row r="3917" spans="1:5">
      <c r="A3917" s="12" t="s">
        <v>12463</v>
      </c>
      <c r="B3917" s="12" t="s">
        <v>16527</v>
      </c>
      <c r="C3917" s="13" t="str">
        <f>HYPERLINK("https://audio.iskcondesiretree.com/02_-_ISKCON_Swamis/ISKCON_Swamis_-_R_to_Y/His_Holiness_Radhanath_Swami/Lectures/01_-_Theme_wise/Initiation/1995-065_Initiation_Lecture_Lecture_-_Radhanath_Swami_Mumbai_1995-03-18.mp3", "1995-065_Initiation_Lecture_Lecture_-_Radhanath_Swami_Mumbai_1995-03-18.mp3")</f>
        <v>1995-065_Initiation_Lecture_Lecture_-_Radhanath_Swami_Mumbai_1995-03-18.mp3</v>
      </c>
      <c r="D3917" s="11"/>
      <c r="E3917" s="11"/>
    </row>
    <row r="3918" spans="1:5">
      <c r="A3918" s="12" t="s">
        <v>12463</v>
      </c>
      <c r="B3918" s="12" t="s">
        <v>16528</v>
      </c>
      <c r="C3918" s="13" t="str">
        <f>HYPERLINK("https://audio.iskcondesiretree.com/02_-_ISKCON_Swamis/ISKCON_Swamis_-_R_to_Y/His_Holiness_Radhanath_Swami/Lectures/01_-_Theme_wise/Initiation/1996-063_Initiation_Lecture_Lecture_-_Radhanath_Swami_Mumbai_1996-03-28_IDesireTree.mp3", "1996-063_Initiation_Lecture_Lecture_-_Radhanath_Swami_Mumbai_1996-03-28_IDesireTree.mp3")</f>
        <v>1996-063_Initiation_Lecture_Lecture_-_Radhanath_Swami_Mumbai_1996-03-28_IDesireTree.mp3</v>
      </c>
      <c r="D3918" s="11"/>
      <c r="E3918" s="11"/>
    </row>
    <row r="3919" spans="1:5">
      <c r="A3919" s="12" t="s">
        <v>12463</v>
      </c>
      <c r="B3919" s="12" t="s">
        <v>16529</v>
      </c>
      <c r="C3919" s="13" t="str">
        <f>HYPERLINK("https://audio.iskcondesiretree.com/02_-_ISKCON_Swamis/ISKCON_Swamis_-_R_to_Y/His_Holiness_Radhanath_Swami/Lectures/01_-_Theme_wise/Initiation/1996-064_Initiation_Lecture_Fire_Sacrifice_-_Radhanath_Swami_Mumbai_1996-03-28_IDesireTree.mp3", "1996-064_Initiation_Lecture_Fire_Sacrifice_-_Radhanath_Swami_Mumbai_1996-03-28_IDesireTree.mp3")</f>
        <v>1996-064_Initiation_Lecture_Fire_Sacrifice_-_Radhanath_Swami_Mumbai_1996-03-28_IDesireTree.mp3</v>
      </c>
      <c r="D3919" s="11"/>
      <c r="E3919" s="11"/>
    </row>
    <row r="3920" spans="1:5">
      <c r="A3920" s="12" t="s">
        <v>12463</v>
      </c>
      <c r="B3920" s="12" t="s">
        <v>16530</v>
      </c>
      <c r="C3920" s="13" t="str">
        <f>HYPERLINK("https://audio.iskcondesiretree.com/02_-_ISKCON_Swamis/ISKCON_Swamis_-_R_to_Y/His_Holiness_Radhanath_Swami/Lectures/01_-_Theme_wise/Initiation/1997-014_Initiation_Lecture_-_Radhanath_Swami_IDesireTree.mp3", "1997-014_Initiation_Lecture_-_Radhanath_Swami_IDesireTree.mp3")</f>
        <v>1997-014_Initiation_Lecture_-_Radhanath_Swami_IDesireTree.mp3</v>
      </c>
      <c r="D3920" s="11"/>
      <c r="E3920" s="11"/>
    </row>
    <row r="3921" spans="1:5">
      <c r="A3921" s="12" t="s">
        <v>12463</v>
      </c>
      <c r="B3921" s="12" t="s">
        <v>16531</v>
      </c>
      <c r="C3921" s="13" t="str">
        <f>HYPERLINK("https://audio.iskcondesiretree.com/02_-_ISKCON_Swamis/ISKCON_Swamis_-_R_to_Y/His_Holiness_Radhanath_Swami/Lectures/01_-_Theme_wise/Initiation/1997-055_Initiation_Lecture_Lecture_-_Radhanath_Swami_Mumbai_1997-03-24_IDesireTree.mp3", "1997-055_Initiation_Lecture_Lecture_-_Radhanath_Swami_Mumbai_1997-03-24_IDesireTree.mp3")</f>
        <v>1997-055_Initiation_Lecture_Lecture_-_Radhanath_Swami_Mumbai_1997-03-24_IDesireTree.mp3</v>
      </c>
      <c r="D3921" s="11"/>
      <c r="E3921" s="11"/>
    </row>
    <row r="3922" spans="1:5">
      <c r="A3922" s="12" t="s">
        <v>12463</v>
      </c>
      <c r="B3922" s="12" t="s">
        <v>16532</v>
      </c>
      <c r="C3922" s="13" t="str">
        <f>HYPERLINK("https://audio.iskcondesiretree.com/02_-_ISKCON_Swamis/ISKCON_Swamis_-_R_to_Y/His_Holiness_Radhanath_Swami/Lectures/01_-_Theme_wise/Initiation/2000-037_Pre_Initiation_Lecture_-_Radhanath_Swami_Mumbai_2000-03-05_IDesireTree.mp3", "2000-037_Pre_Initiation_Lecture_-_Radhanath_Swami_Mumbai_2000-03-05_IDesireTree.mp3")</f>
        <v>2000-037_Pre_Initiation_Lecture_-_Radhanath_Swami_Mumbai_2000-03-05_IDesireTree.mp3</v>
      </c>
      <c r="D3922" s="11"/>
      <c r="E3922" s="11"/>
    </row>
    <row r="3923" spans="1:5">
      <c r="A3923" s="12" t="s">
        <v>12463</v>
      </c>
      <c r="B3923" s="12" t="s">
        <v>16533</v>
      </c>
      <c r="C3923" s="13" t="str">
        <f>HYPERLINK("https://audio.iskcondesiretree.com/02_-_ISKCON_Swamis/ISKCON_Swamis_-_R_to_Y/His_Holiness_Radhanath_Swami/Lectures/01_-_Theme_wise/Initiation/2000-043_Initiation_Lecture_-_Radhanath_Swami_Mumbai_2000-03-21_IDesireTree.mp3", "2000-043_Initiation_Lecture_-_Radhanath_Swami_Mumbai_2000-03-21_IDesireTree.mp3")</f>
        <v>2000-043_Initiation_Lecture_-_Radhanath_Swami_Mumbai_2000-03-21_IDesireTree.mp3</v>
      </c>
      <c r="D3923" s="11"/>
      <c r="E3923" s="11"/>
    </row>
    <row r="3924" spans="1:5">
      <c r="A3924" s="12" t="s">
        <v>12463</v>
      </c>
      <c r="B3924" s="12" t="s">
        <v>16534</v>
      </c>
      <c r="C3924" s="13" t="str">
        <f>HYPERLINK("https://audio.iskcondesiretree.com/02_-_ISKCON_Swamis/ISKCON_Swamis_-_R_to_Y/His_Holiness_Radhanath_Swami/Lectures/01_-_Theme_wise/Initiation/2001-031_Initiation_Lecture_-_Radhanath_Swami_Mumbai_2001-07-14_IDesireTree.mp3", "2001-031_Initiation_Lecture_-_Radhanath_Swami_Mumbai_2001-07-14_IDesireTree.mp3")</f>
        <v>2001-031_Initiation_Lecture_-_Radhanath_Swami_Mumbai_2001-07-14_IDesireTree.mp3</v>
      </c>
      <c r="D3924" s="11"/>
      <c r="E3924" s="11"/>
    </row>
    <row r="3925" spans="1:5">
      <c r="A3925" s="12" t="s">
        <v>12463</v>
      </c>
      <c r="B3925" s="12" t="s">
        <v>16535</v>
      </c>
      <c r="C3925" s="13" t="str">
        <f>HYPERLINK("https://audio.iskcondesiretree.com/02_-_ISKCON_Swamis/ISKCON_Swamis_-_R_to_Y/His_Holiness_Radhanath_Swami/Lectures/01_-_Theme_wise/Initiation/2001-032_Inititation_Lecture_-_Radhanath_Swami_Mumbai_2001-07-15_IDesireTree.mp3", "2001-032_Inititation_Lecture_-_Radhanath_Swami_Mumbai_2001-07-15_IDesireTree.mp3")</f>
        <v>2001-032_Inititation_Lecture_-_Radhanath_Swami_Mumbai_2001-07-15_IDesireTree.mp3</v>
      </c>
      <c r="D3925" s="11"/>
      <c r="E3925" s="11"/>
    </row>
    <row r="3926" spans="1:5">
      <c r="A3926" s="12" t="s">
        <v>12463</v>
      </c>
      <c r="B3926" s="12" t="s">
        <v>16536</v>
      </c>
      <c r="C3926" s="13" t="str">
        <f>HYPERLINK("https://audio.iskcondesiretree.com/02_-_ISKCON_Swamis/ISKCON_Swamis_-_R_to_Y/His_Holiness_Radhanath_Swami/Lectures/01_-_Theme_wise/Initiation/2002-064_Initiation_Lecture_-_Radhanath_Swami_New_Vrindavan_2002-07-04_IDesireTree.mp3", "2002-064_Initiation_Lecture_-_Radhanath_Swami_New_Vrindavan_2002-07-04_IDesireTree.mp3")</f>
        <v>2002-064_Initiation_Lecture_-_Radhanath_Swami_New_Vrindavan_2002-07-04_IDesireTree.mp3</v>
      </c>
      <c r="D3926" s="11"/>
      <c r="E3926" s="11"/>
    </row>
    <row r="3927" spans="1:5">
      <c r="A3927" s="12" t="s">
        <v>12463</v>
      </c>
      <c r="B3927" s="12" t="s">
        <v>16537</v>
      </c>
      <c r="C3927" s="13" t="str">
        <f>HYPERLINK("https://audio.iskcondesiretree.com/02_-_ISKCON_Swamis/ISKCON_Swamis_-_R_to_Y/His_Holiness_Radhanath_Swami/Lectures/01_-_Theme_wise/Initiation/2003-025_Initiation_Lecture_-_Pune_2003-04-04_IDesireTree.mp3", "2003-025_Initiation_Lecture_-_Pune_2003-04-04_IDesireTree.mp3")</f>
        <v>2003-025_Initiation_Lecture_-_Pune_2003-04-04_IDesireTree.mp3</v>
      </c>
      <c r="D3927" s="11"/>
      <c r="E3927" s="11"/>
    </row>
    <row r="3928" spans="1:5">
      <c r="A3928" s="12" t="s">
        <v>12463</v>
      </c>
      <c r="B3928" s="12" t="s">
        <v>16538</v>
      </c>
      <c r="C3928" s="13" t="str">
        <f>HYPERLINK("https://audio.iskcondesiretree.com/02_-_ISKCON_Swamis/ISKCON_Swamis_-_R_to_Y/His_Holiness_Radhanath_Swami/Lectures/01_-_Theme_wise/Initiation/2003-030_Responsibility_of_a_Disciple_Initiation_Lecture_-_Radhanath_Swami_Mumbai_2003-04-11_IDesireTree.mp3", "2003-030_Responsibility_of_a_Disciple_Initiation_Lecture_-_Radhanath_Swami_Mumbai_2003-04-11_IDesireTree.mp3")</f>
        <v>2003-030_Responsibility_of_a_Disciple_Initiation_Lecture_-_Radhanath_Swami_Mumbai_2003-04-11_IDesireTree.mp3</v>
      </c>
      <c r="D3928" s="11"/>
      <c r="E3928" s="11"/>
    </row>
    <row r="3929" spans="1:5">
      <c r="A3929" s="12" t="s">
        <v>12463</v>
      </c>
      <c r="B3929" s="12" t="s">
        <v>16539</v>
      </c>
      <c r="C3929" s="13" t="str">
        <f>HYPERLINK("https://audio.iskcondesiretree.com/02_-_ISKCON_Swamis/ISKCON_Swamis_-_R_to_Y/His_Holiness_Radhanath_Swami/Lectures/01_-_Theme_wise/Initiation/2003-060_Brahman_Initation_Lecture_-_Radhanath_Swami_Mumbai_2003-09-02_IDesireTree.mp3", "2003-060_Brahman_Initation_Lecture_-_Radhanath_Swami_Mumbai_2003-09-02_IDesireTree.mp3")</f>
        <v>2003-060_Brahman_Initation_Lecture_-_Radhanath_Swami_Mumbai_2003-09-02_IDesireTree.mp3</v>
      </c>
      <c r="D3929" s="11"/>
      <c r="E3929" s="11"/>
    </row>
    <row r="3930" spans="1:5">
      <c r="A3930" s="12" t="s">
        <v>12463</v>
      </c>
      <c r="B3930" s="12" t="s">
        <v>16540</v>
      </c>
      <c r="C3930" s="13" t="str">
        <f>HYPERLINK("https://audio.iskcondesiretree.com/02_-_ISKCON_Swamis/ISKCON_Swamis_-_R_to_Y/His_Holiness_Radhanath_Swami/Lectures/01_-_Theme_wise/Initiation/2003-089_Initiation_Initiation_Lecture_-_Radhanath_Swami_San_Diego_2003-11-22_IDesireTree.mp3", "2003-089_Initiation_Initiation_Lecture_-_Radhanath_Swami_San_Diego_2003-11-22_IDesireTree.mp3")</f>
        <v>2003-089_Initiation_Initiation_Lecture_-_Radhanath_Swami_San_Diego_2003-11-22_IDesireTree.mp3</v>
      </c>
      <c r="D3930" s="11"/>
      <c r="E3930" s="11"/>
    </row>
    <row r="3931" spans="1:5">
      <c r="A3931" s="12" t="s">
        <v>12463</v>
      </c>
      <c r="B3931" s="12" t="s">
        <v>16541</v>
      </c>
      <c r="C3931" s="13" t="str">
        <f>HYPERLINK("https://audio.iskcondesiretree.com/02_-_ISKCON_Swamis/ISKCON_Swamis_-_R_to_Y/His_Holiness_Radhanath_Swami/Lectures/01_-_Theme_wise/Initiation/2003-102_Gita_Jayanti_Initiation_Lecture_-_Radhanath_Swami_US_2003-11-30_IDesireTree.mp3", "2003-102_Gita_Jayanti_Initiation_Lecture_-_Radhanath_Swami_US_2003-11-30_IDesireTree.mp3")</f>
        <v>2003-102_Gita_Jayanti_Initiation_Lecture_-_Radhanath_Swami_US_2003-11-30_IDesireTree.mp3</v>
      </c>
      <c r="D3931" s="11"/>
      <c r="E3931" s="11"/>
    </row>
    <row r="3932" spans="1:5">
      <c r="A3932" s="12" t="s">
        <v>12463</v>
      </c>
      <c r="B3932" s="12" t="s">
        <v>16241</v>
      </c>
      <c r="C3932" s="13" t="str">
        <f>HYPERLINK("https://audio.iskcondesiretree.com/02_-_ISKCON_Swamis/ISKCON_Swamis_-_R_to_Y/His_Holiness_Radhanath_Swami/Lectures/01_-_Theme_wise/Inquiry_into_the_Absolute/1993-029_Purpose_Of_Creation_SB_02-09-36_-_Radhanath_Swami_1993-03-26_IDesireTree.mp3", "1993-029_Purpose_Of_Creation_SB_02-09-36_-_Radhanath_Swami_1993-03-26_IDesireTree.mp3")</f>
        <v>1993-029_Purpose_Of_Creation_SB_02-09-36_-_Radhanath_Swami_1993-03-26_IDesireTree.mp3</v>
      </c>
      <c r="D3932" s="11"/>
      <c r="E3932" s="11"/>
    </row>
    <row r="3933" spans="1:5">
      <c r="A3933" s="12" t="s">
        <v>12463</v>
      </c>
      <c r="B3933" s="12" t="s">
        <v>16542</v>
      </c>
      <c r="C3933" s="13" t="str">
        <f>HYPERLINK("https://audio.iskcondesiretree.com/02_-_ISKCON_Swamis/ISKCON_Swamis_-_R_to_Y/His_Holiness_Radhanath_Swami/Lectures/01_-_Theme_wise/Intelligence/1997-048_Real_Intelligence_Lecture_-_Radhanath_Swami_Mumbai_1997-02-22_IDesireTree.mp3", "1997-048_Real_Intelligence_Lecture_-_Radhanath_Swami_Mumbai_1997-02-22_IDesireTree.mp3")</f>
        <v>1997-048_Real_Intelligence_Lecture_-_Radhanath_Swami_Mumbai_1997-02-22_IDesireTree.mp3</v>
      </c>
      <c r="D3933" s="11"/>
      <c r="E3933" s="11"/>
    </row>
    <row r="3934" spans="1:5">
      <c r="A3934" s="12" t="s">
        <v>12463</v>
      </c>
      <c r="B3934" s="12" t="s">
        <v>16543</v>
      </c>
      <c r="C3934" s="13" t="str">
        <f>HYPERLINK("https://audio.iskcondesiretree.com/02_-_ISKCON_Swamis/ISKCON_Swamis_-_R_to_Y/His_Holiness_Radhanath_Swami/Lectures/01_-_Theme_wise/ISKCON/1995-038_What_Is_ISKCON_-_Radhanath_Swami_Pune_1995-01-28.mp3", "1995-038_What_Is_ISKCON_-_Radhanath_Swami_Pune_1995-01-28.mp3")</f>
        <v>1995-038_What_Is_ISKCON_-_Radhanath_Swami_Pune_1995-01-28.mp3</v>
      </c>
      <c r="D3934" s="11"/>
      <c r="E3934" s="11"/>
    </row>
    <row r="3935" spans="1:5">
      <c r="A3935" s="12" t="s">
        <v>12463</v>
      </c>
      <c r="B3935" s="12" t="s">
        <v>16544</v>
      </c>
      <c r="C3935" s="13" t="str">
        <f>HYPERLINK("https://audio.iskcondesiretree.com/02_-_ISKCON_Swamis/ISKCON_Swamis_-_R_to_Y/His_Holiness_Radhanath_Swami/Lectures/01_-_Theme_wise/ISKCON/2000-023_Glories_of_the_Hare_Krishna_Movement_Lecture_-_Radhanath_Swami_Mumbai_2000-02-06_IDesireTree.mp3", "2000-023_Glories_of_the_Hare_Krishna_Movement_Lecture_-_Radhanath_Swami_Mumbai_2000-02-06_IDesireTree.mp3")</f>
        <v>2000-023_Glories_of_the_Hare_Krishna_Movement_Lecture_-_Radhanath_Swami_Mumbai_2000-02-06_IDesireTree.mp3</v>
      </c>
      <c r="D3935" s="11"/>
      <c r="E3935" s="11"/>
    </row>
    <row r="3936" spans="1:5">
      <c r="A3936" s="12" t="s">
        <v>12463</v>
      </c>
      <c r="B3936" s="12" t="s">
        <v>16545</v>
      </c>
      <c r="C3936" s="13" t="str">
        <f>HYPERLINK("https://audio.iskcondesiretree.com/02_-_ISKCON_Swamis/ISKCON_Swamis_-_R_to_Y/His_Holiness_Radhanath_Swami/Lectures/01_-_Theme_wise/ISKCON/2003-024_Improtance_of_the_Institution_of_ISKCON_-_Radhanath_Swami_Mumbai_2003-03-30_IDesireTree.mp3", "2003-024_Improtance_of_the_Institution_of_ISKCON_-_Radhanath_Swami_Mumbai_2003-03-30_IDesireTree.mp3")</f>
        <v>2003-024_Improtance_of_the_Institution_of_ISKCON_-_Radhanath_Swami_Mumbai_2003-03-30_IDesireTree.mp3</v>
      </c>
      <c r="D3936" s="11"/>
      <c r="E3936" s="11"/>
    </row>
    <row r="3937" spans="1:5">
      <c r="A3937" s="12" t="s">
        <v>12463</v>
      </c>
      <c r="B3937" s="12" t="s">
        <v>16546</v>
      </c>
      <c r="C3937" s="13" t="str">
        <f>HYPERLINK("https://audio.iskcondesiretree.com/02_-_ISKCON_Swamis/ISKCON_Swamis_-_R_to_Y/His_Holiness_Radhanath_Swami/Lectures/01_-_Theme_wise/ISKCON_Pune/1992-003_Why_We_Are_At_Pune_-_Radhanath_Swami_Pune_1992-01-03_IDesireTree.mp3", "1992-003_Why_We_Are_At_Pune_-_Radhanath_Swami_Pune_1992-01-03_IDesireTree.mp3")</f>
        <v>1992-003_Why_We_Are_At_Pune_-_Radhanath_Swami_Pune_1992-01-03_IDesireTree.mp3</v>
      </c>
      <c r="D3937" s="11"/>
      <c r="E3937" s="11"/>
    </row>
    <row r="3938" spans="1:5">
      <c r="A3938" s="12" t="s">
        <v>12463</v>
      </c>
      <c r="B3938" s="12" t="s">
        <v>16547</v>
      </c>
      <c r="C3938" s="13" t="str">
        <f>HYPERLINK("https://audio.iskcondesiretree.com/02_-_ISKCON_Swamis/ISKCON_Swamis_-_R_to_Y/His_Holiness_Radhanath_Swami/Lectures/01_-_Theme_wise/ISKCON_Pune/1992-164_Introduction_To_Pune_Yatra_-_Pune_1992-12-31_IDesireTree.mp3", "1992-164_Introduction_To_Pune_Yatra_-_Pune_1992-12-31_IDesireTree.mp3")</f>
        <v>1992-164_Introduction_To_Pune_Yatra_-_Pune_1992-12-31_IDesireTree.mp3</v>
      </c>
      <c r="D3938" s="11"/>
      <c r="E3938" s="11"/>
    </row>
    <row r="3939" spans="1:5">
      <c r="A3939" s="12" t="s">
        <v>12463</v>
      </c>
      <c r="B3939" s="12" t="s">
        <v>16548</v>
      </c>
      <c r="C3939" s="13" t="str">
        <f>HYPERLINK("https://audio.iskcondesiretree.com/02_-_ISKCON_Swamis/ISKCON_Swamis_-_R_to_Y/His_Holiness_Radhanath_Swami/Lectures/01_-_Theme_wise/ISKCON_Pune/1995-035_Why_Pune_Yatra_-_Radhanath_Swami_Pune_1995-01-26.mp3", "1995-035_Why_Pune_Yatra_-_Radhanath_Swami_Pune_1995-01-26.mp3")</f>
        <v>1995-035_Why_Pune_Yatra_-_Radhanath_Swami_Pune_1995-01-26.mp3</v>
      </c>
      <c r="D3939" s="11"/>
      <c r="E3939" s="11"/>
    </row>
    <row r="3940" spans="1:5">
      <c r="A3940" s="12" t="s">
        <v>12463</v>
      </c>
      <c r="B3940" s="12" t="s">
        <v>16549</v>
      </c>
      <c r="C3940" s="13" t="str">
        <f>HYPERLINK("https://audio.iskcondesiretree.com/02_-_ISKCON_Swamis/ISKCON_Swamis_-_R_to_Y/His_Holiness_Radhanath_Swami/Lectures/01_-_Theme_wise/Kaliyuga/1991-010_Age_Of_Quarrel_And_Hypocrisy_SB_09-04-21_-_Radhanath_Swami_Mumbai_1991-01-30_IDesireTree.mp3", "1991-010_Age_Of_Quarrel_And_Hypocrisy_SB_09-04-21_-_Radhanath_Swami_Mumbai_1991-01-30_IDesireTree.mp3")</f>
        <v>1991-010_Age_Of_Quarrel_And_Hypocrisy_SB_09-04-21_-_Radhanath_Swami_Mumbai_1991-01-30_IDesireTree.mp3</v>
      </c>
      <c r="D3940" s="11"/>
      <c r="E3940" s="11"/>
    </row>
    <row r="3941" spans="1:5">
      <c r="A3941" s="12" t="s">
        <v>12463</v>
      </c>
      <c r="B3941" s="12" t="s">
        <v>16550</v>
      </c>
      <c r="C3941" s="13" t="str">
        <f>HYPERLINK("https://audio.iskcondesiretree.com/02_-_ISKCON_Swamis/ISKCON_Swamis_-_R_to_Y/His_Holiness_Radhanath_Swami/Lectures/01_-_Theme_wise/Kaliyuga/1991-046_Advent_Of_Kaliyuga_SB_09-10-51_-_Radhanath_Swami_Mumbai_1991-05-11_IDesireTree.mp3", "1991-046_Advent_Of_Kaliyuga_SB_09-10-51_-_Radhanath_Swami_Mumbai_1991-05-11_IDesireTree.mp3")</f>
        <v>1991-046_Advent_Of_Kaliyuga_SB_09-10-51_-_Radhanath_Swami_Mumbai_1991-05-11_IDesireTree.mp3</v>
      </c>
      <c r="D3941" s="11"/>
      <c r="E3941" s="11"/>
    </row>
    <row r="3942" spans="1:5">
      <c r="A3942" s="12" t="s">
        <v>12463</v>
      </c>
      <c r="B3942" s="12" t="s">
        <v>16551</v>
      </c>
      <c r="C3942" s="13" t="str">
        <f>HYPERLINK("https://audio.iskcondesiretree.com/02_-_ISKCON_Swamis/ISKCON_Swamis_-_R_to_Y/His_Holiness_Radhanath_Swami/Lectures/01_-_Theme_wise/Kaliyuga/1992-033_The_Greatest_Boon_In_Kaliyuga_BG_04-03_-_Radhanath_Swami_Mumbai_1992-02-19_IDesireTree.mp3", "1992-033_The_Greatest_Boon_In_Kaliyuga_BG_04-03_-_Radhanath_Swami_Mumbai_1992-02-19_IDesireTree.mp3")</f>
        <v>1992-033_The_Greatest_Boon_In_Kaliyuga_BG_04-03_-_Radhanath_Swami_Mumbai_1992-02-19_IDesireTree.mp3</v>
      </c>
      <c r="D3942" s="11"/>
      <c r="E3942" s="11"/>
    </row>
    <row r="3943" spans="1:5">
      <c r="A3943" s="12" t="s">
        <v>12463</v>
      </c>
      <c r="B3943" s="12" t="s">
        <v>16552</v>
      </c>
      <c r="C3943" s="13" t="str">
        <f>HYPERLINK("https://audio.iskcondesiretree.com/02_-_ISKCON_Swamis/ISKCON_Swamis_-_R_to_Y/His_Holiness_Radhanath_Swami/Lectures/01_-_Theme_wise/Kaliyuga/1992-130_Fortune_Of_Kaliyuga_People_SB_11-05-36_-_Radhanath_Swami_Mumbai_1992-11-27_IDesireTree.mp3", "1992-130_Fortune_Of_Kaliyuga_People_SB_11-05-36_-_Radhanath_Swami_Mumbai_1992-11-27_IDesireTree.mp3")</f>
        <v>1992-130_Fortune_Of_Kaliyuga_People_SB_11-05-36_-_Radhanath_Swami_Mumbai_1992-11-27_IDesireTree.mp3</v>
      </c>
      <c r="D3943" s="11"/>
      <c r="E3943" s="11"/>
    </row>
    <row r="3944" spans="1:5">
      <c r="A3944" s="12" t="s">
        <v>12463</v>
      </c>
      <c r="B3944" s="12" t="s">
        <v>16553</v>
      </c>
      <c r="C3944" s="13" t="str">
        <f>HYPERLINK("https://audio.iskcondesiretree.com/02_-_ISKCON_Swamis/ISKCON_Swamis_-_R_to_Y/His_Holiness_Radhanath_Swami/Lectures/01_-_Theme_wise/Kaliyuga/1993-025_Blessed_Age_Of_Kaliyuga_Lecture_-_Radhanath_Swami_Mumbai_1993-03-23_IDesireTree.mp3", "1993-025_Blessed_Age_Of_Kaliyuga_Lecture_-_Radhanath_Swami_Mumbai_1993-03-23_IDesireTree.mp3")</f>
        <v>1993-025_Blessed_Age_Of_Kaliyuga_Lecture_-_Radhanath_Swami_Mumbai_1993-03-23_IDesireTree.mp3</v>
      </c>
      <c r="D3944" s="11"/>
      <c r="E3944" s="11"/>
    </row>
    <row r="3945" spans="1:5">
      <c r="A3945" s="12" t="s">
        <v>12463</v>
      </c>
      <c r="B3945" s="12" t="s">
        <v>16554</v>
      </c>
      <c r="C3945" s="13" t="str">
        <f>HYPERLINK("https://audio.iskcondesiretree.com/02_-_ISKCON_Swamis/ISKCON_Swamis_-_R_to_Y/His_Holiness_Radhanath_Swami/Lectures/01_-_Theme_wise/Kaliyuga/1993-179_Greatest_Benediction_In_Kaliyuga_SB_11-05-37_-_Radhanath_Swami_Mumbai_1993-12-12_IDesireTree.mp3", "1993-179_Greatest_Benediction_In_Kaliyuga_SB_11-05-37_-_Radhanath_Swami_Mumbai_1993-12-12_IDesireTree.mp3")</f>
        <v>1993-179_Greatest_Benediction_In_Kaliyuga_SB_11-05-37_-_Radhanath_Swami_Mumbai_1993-12-12_IDesireTree.mp3</v>
      </c>
      <c r="D3945" s="11"/>
      <c r="E3945" s="11"/>
    </row>
    <row r="3946" spans="1:5">
      <c r="A3946" s="12" t="s">
        <v>12463</v>
      </c>
      <c r="B3946" s="12" t="s">
        <v>16555</v>
      </c>
      <c r="C3946" s="13" t="str">
        <f>HYPERLINK("https://audio.iskcondesiretree.com/02_-_ISKCON_Swamis/ISKCON_Swamis_-_R_to_Y/His_Holiness_Radhanath_Swami/Lectures/01_-_Theme_wise/Kaliyuga/1993-184_Disguised_Duryodhanas_SB_10-49-22_-_Radhanath_Swami_Mumbai_1993-12-17_IDesireTree.mp3", "1993-184_Disguised_Duryodhanas_SB_10-49-22_-_Radhanath_Swami_Mumbai_1993-12-17_IDesireTree.mp3")</f>
        <v>1993-184_Disguised_Duryodhanas_SB_10-49-22_-_Radhanath_Swami_Mumbai_1993-12-17_IDesireTree.mp3</v>
      </c>
      <c r="D3946" s="11"/>
      <c r="E3946" s="11"/>
    </row>
    <row r="3947" spans="1:5">
      <c r="A3947" s="12" t="s">
        <v>12463</v>
      </c>
      <c r="B3947" s="12" t="s">
        <v>16556</v>
      </c>
      <c r="C3947" s="13" t="str">
        <f>HYPERLINK("https://audio.iskcondesiretree.com/02_-_ISKCON_Swamis/ISKCON_Swamis_-_R_to_Y/His_Holiness_Radhanath_Swami/Lectures/01_-_Theme_wise/Kaliyuga/1996-054_Kaliyuga_SB_01-17-40_-_Radhanath_Swami_Mumbai_1996-03-15_IDesireTree.mp3", "1996-054_Kaliyuga_SB_01-17-40_-_Radhanath_Swami_Mumbai_1996-03-15_IDesireTree.mp3")</f>
        <v>1996-054_Kaliyuga_SB_01-17-40_-_Radhanath_Swami_Mumbai_1996-03-15_IDesireTree.mp3</v>
      </c>
      <c r="D3947" s="11"/>
      <c r="E3947" s="11"/>
    </row>
    <row r="3948" spans="1:5">
      <c r="A3948" s="12" t="s">
        <v>12463</v>
      </c>
      <c r="B3948" s="12" t="s">
        <v>16557</v>
      </c>
      <c r="C3948" s="13" t="str">
        <f>HYPERLINK("https://audio.iskcondesiretree.com/02_-_ISKCON_Swamis/ISKCON_Swamis_-_R_to_Y/His_Holiness_Radhanath_Swami/Lectures/01_-_Theme_wise/Kaliyuga/1996-091_How_Degradation_Of_Brahmanas_Began_SB_01-18-37_-_Radhanath_Swami_Mumbai_1996-04-24_IDesireTree.mp3", "1996-091_How_Degradation_Of_Brahmanas_Began_SB_01-18-37_-_Radhanath_Swami_Mumbai_1996-04-24_IDesireTree.mp3")</f>
        <v>1996-091_How_Degradation_Of_Brahmanas_Began_SB_01-18-37_-_Radhanath_Swami_Mumbai_1996-04-24_IDesireTree.mp3</v>
      </c>
      <c r="D3948" s="11"/>
      <c r="E3948" s="11"/>
    </row>
    <row r="3949" spans="1:5">
      <c r="A3949" s="12" t="s">
        <v>12463</v>
      </c>
      <c r="B3949" s="12" t="s">
        <v>16558</v>
      </c>
      <c r="C3949" s="13" t="str">
        <f>HYPERLINK("https://audio.iskcondesiretree.com/02_-_ISKCON_Swamis/ISKCON_Swamis_-_R_to_Y/His_Holiness_Radhanath_Swami/Lectures/01_-_Theme_wise/Kaliyuga/1996-137_Don%27t_Let_Kali_Enter_Your_Home_SB_02-04-02_-_Radhanath_Swami_Mumbai_1996-09-22_IDesireTree.mp3", "1996-137_Don%27t_Let_Kali_Enter_Your_Home_SB_02-04-02_-_Radhanath_Swami_Mumbai_1996-09-22_IDesireTree.mp3")</f>
        <v>1996-137_Don%27t_Let_Kali_Enter_Your_Home_SB_02-04-02_-_Radhanath_Swami_Mumbai_1996-09-22_IDesireTree.mp3</v>
      </c>
      <c r="D3949" s="11"/>
      <c r="E3949" s="11"/>
    </row>
    <row r="3950" spans="1:5">
      <c r="A3950" s="12" t="s">
        <v>12463</v>
      </c>
      <c r="B3950" s="12" t="s">
        <v>16559</v>
      </c>
      <c r="C3950" s="13" t="str">
        <f>HYPERLINK("https://audio.iskcondesiretree.com/02_-_ISKCON_Swamis/ISKCON_Swamis_-_R_to_Y/His_Holiness_Radhanath_Swami/Lectures/01_-_Theme_wise/Kaliyuga/1999-065_Kaliyuga_Gets_Maximum_Mercy_Lecture_-_Radhanath_Swami_Mumbai_1999-12-31_IDesireTree.mp3", "1999-065_Kaliyuga_Gets_Maximum_Mercy_Lecture_-_Radhanath_Swami_Mumbai_1999-12-31_IDesireTree.mp3")</f>
        <v>1999-065_Kaliyuga_Gets_Maximum_Mercy_Lecture_-_Radhanath_Swami_Mumbai_1999-12-31_IDesireTree.mp3</v>
      </c>
      <c r="D3950" s="11"/>
      <c r="E3950" s="11"/>
    </row>
    <row r="3951" spans="1:5">
      <c r="A3951" s="12" t="s">
        <v>12463</v>
      </c>
      <c r="B3951" s="12" t="s">
        <v>16560</v>
      </c>
      <c r="C3951" s="13" t="str">
        <f>HYPERLINK("https://audio.iskcondesiretree.com/02_-_ISKCON_Swamis/ISKCON_Swamis_-_R_to_Y/His_Holiness_Radhanath_Swami/Lectures/01_-_Theme_wise/Kaliyuga/2000-008_The_Age_of_Kali_Lecture_-_Radhanath_Swami_Mumbai_2000-01-14_IDesireTree.mp3", "2000-008_The_Age_of_Kali_Lecture_-_Radhanath_Swami_Mumbai_2000-01-14_IDesireTree.mp3")</f>
        <v>2000-008_The_Age_of_Kali_Lecture_-_Radhanath_Swami_Mumbai_2000-01-14_IDesireTree.mp3</v>
      </c>
      <c r="D3951" s="11"/>
      <c r="E3951" s="11"/>
    </row>
    <row r="3952" spans="1:5">
      <c r="A3952" s="12" t="s">
        <v>12463</v>
      </c>
      <c r="B3952" s="12" t="s">
        <v>16561</v>
      </c>
      <c r="C3952" s="13" t="str">
        <f>HYPERLINK("https://audio.iskcondesiretree.com/02_-_ISKCON_Swamis/ISKCON_Swamis_-_R_to_Y/His_Holiness_Radhanath_Swami/Lectures/01_-_Theme_wise/Knowledge/1991-003_Perfection_Of_All_Knowledge_SB_08-24-61_-_Radhanath_Swami_Mumbai_1991-01-25_IDesireTree.mp3", "1991-003_Perfection_Of_All_Knowledge_SB_08-24-61_-_Radhanath_Swami_Mumbai_1991-01-25_IDesireTree.mp3")</f>
        <v>1991-003_Perfection_Of_All_Knowledge_SB_08-24-61_-_Radhanath_Swami_Mumbai_1991-01-25_IDesireTree.mp3</v>
      </c>
      <c r="D3952" s="11"/>
      <c r="E3952" s="11"/>
    </row>
    <row r="3953" spans="1:5">
      <c r="A3953" s="12" t="s">
        <v>12463</v>
      </c>
      <c r="B3953" s="12" t="s">
        <v>16562</v>
      </c>
      <c r="C3953" s="13" t="str">
        <f>HYPERLINK("https://audio.iskcondesiretree.com/02_-_ISKCON_Swamis/ISKCON_Swamis_-_R_to_Y/His_Holiness_Radhanath_Swami/Lectures/01_-_Theme_wise/Knowledge/1991-153_Receiving_Transcendental_Knowledge_BG_04-03_-_Radhanath_Swami_Mumbai_1991-12-29_IDesireTree.mp3", "1991-153_Receiving_Transcendental_Knowledge_BG_04-03_-_Radhanath_Swami_Mumbai_1991-12-29_IDesireTree.mp3")</f>
        <v>1991-153_Receiving_Transcendental_Knowledge_BG_04-03_-_Radhanath_Swami_Mumbai_1991-12-29_IDesireTree.mp3</v>
      </c>
      <c r="D3953" s="11"/>
      <c r="E3953" s="11"/>
    </row>
    <row r="3954" spans="1:5">
      <c r="A3954" s="12" t="s">
        <v>12463</v>
      </c>
      <c r="B3954" s="12" t="s">
        <v>16563</v>
      </c>
      <c r="C3954" s="13" t="str">
        <f>HYPERLINK("https://audio.iskcondesiretree.com/02_-_ISKCON_Swamis/ISKCON_Swamis_-_R_to_Y/His_Holiness_Radhanath_Swami/Lectures/01_-_Theme_wise/Knowledge/1993-091_Knowledge_And_Renunciation_SB_03-27-21_-_Radhanath_Swami_Mumbai_1993-05-21_IDesireTree.mp3", "1993-091_Knowledge_And_Renunciation_SB_03-27-21_-_Radhanath_Swami_Mumbai_1993-05-21_IDesireTree.mp3")</f>
        <v>1993-091_Knowledge_And_Renunciation_SB_03-27-21_-_Radhanath_Swami_Mumbai_1993-05-21_IDesireTree.mp3</v>
      </c>
      <c r="D3954" s="11"/>
      <c r="E3954" s="11"/>
    </row>
    <row r="3955" spans="1:5">
      <c r="A3955" s="12" t="s">
        <v>12463</v>
      </c>
      <c r="B3955" s="12" t="s">
        <v>16564</v>
      </c>
      <c r="C3955" s="13" t="str">
        <f>HYPERLINK("https://audio.iskcondesiretree.com/02_-_ISKCON_Swamis/ISKCON_Swamis_-_R_to_Y/His_Holiness_Radhanath_Swami/Lectures/01_-_Theme_wise/Knowledge/1994-015_How_To_Know_God_SB_02-06-34-35_-_Radhanath_Swami_Mumbai_1994-01-18_IDesireTree.mp3",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3955" s="11"/>
      <c r="E3955" s="11"/>
    </row>
    <row r="3956" spans="1:5">
      <c r="A3956" s="12" t="s">
        <v>12463</v>
      </c>
      <c r="B3956" s="12" t="s">
        <v>16490</v>
      </c>
      <c r="C3956" s="13" t="str">
        <f>HYPERLINK("https://audio.iskcondesiretree.com/02_-_ISKCON_Swamis/ISKCON_Swamis_-_R_to_Y/His_Holiness_Radhanath_Swami/Lectures/01_-_Theme_wise/Knowledge/1994-177_Accept_Knowledge_Humbly_SB_01-04-33_-_Radhanath_Swami_Mumbai_1994-10-06_IDesireTree.mp3", "1994-177_Accept_Knowledge_Humbly_SB_01-04-33_-_Radhanath_Swami_Mumbai_1994-10-06_IDesireTree.mp3")</f>
        <v>1994-177_Accept_Knowledge_Humbly_SB_01-04-33_-_Radhanath_Swami_Mumbai_1994-10-06_IDesireTree.mp3</v>
      </c>
      <c r="D3956" s="11"/>
      <c r="E3956" s="11"/>
    </row>
    <row r="3957" spans="1:5">
      <c r="A3957" s="12" t="s">
        <v>12463</v>
      </c>
      <c r="B3957" s="12" t="s">
        <v>16565</v>
      </c>
      <c r="C3957" s="13" t="str">
        <f>HYPERLINK("https://audio.iskcondesiretree.com/02_-_ISKCON_Swamis/ISKCON_Swamis_-_R_to_Y/His_Holiness_Radhanath_Swami/Lectures/01_-_Theme_wise/Knowledge/1995-137_What_Is_Real_Knowledge_BG_13-23_-_Radhanath_Swami_Mumbai_1995-12-25_IDesireTree.mp3", "1995-137_What_Is_Real_Knowledge_BG_13-23_-_Radhanath_Swami_Mumbai_1995-12-25_IDesireTree.mp3")</f>
        <v>1995-137_What_Is_Real_Knowledge_BG_13-23_-_Radhanath_Swami_Mumbai_1995-12-25_IDesireTree.mp3</v>
      </c>
      <c r="D3957" s="11"/>
      <c r="E3957" s="11"/>
    </row>
    <row r="3958" spans="1:5">
      <c r="A3958" s="12" t="s">
        <v>12463</v>
      </c>
      <c r="B3958" s="12" t="s">
        <v>16566</v>
      </c>
      <c r="C3958" s="13" t="str">
        <f>HYPERLINK("https://audio.iskcondesiretree.com/02_-_ISKCON_Swamis/ISKCON_Swamis_-_R_to_Y/His_Holiness_Radhanath_Swami/Lectures/01_-_Theme_wise/Knowledge/1996-092_What_Is_Knowledge_And_Ignorance_BG_10-01_-_Radhanath_Swami_Mumbai_1996-04-24_IDesireTree.mp3", "1996-092_What_Is_Knowledge_And_Ignorance_BG_10-01_-_Radhanath_Swami_Mumbai_1996-04-24_IDesireTree.mp3")</f>
        <v>1996-092_What_Is_Knowledge_And_Ignorance_BG_10-01_-_Radhanath_Swami_Mumbai_1996-04-24_IDesireTree.mp3</v>
      </c>
      <c r="D3958" s="11"/>
      <c r="E3958" s="11"/>
    </row>
    <row r="3959" spans="1:5">
      <c r="A3959" s="12" t="s">
        <v>12463</v>
      </c>
      <c r="B3959" s="12" t="s">
        <v>16567</v>
      </c>
      <c r="C3959" s="13" t="str">
        <f>HYPERLINK("https://audio.iskcondesiretree.com/02_-_ISKCON_Swamis/ISKCON_Swamis_-_R_to_Y/His_Holiness_Radhanath_Swami/Lectures/01_-_Theme_wise/Knowledge/1996-155_Knowledge_By_Utter_Surrender_SB_02-04-23_-_Radhanath_Swami_Mumbai_1996-10-19_IDesireTree.mp3", "1996-155_Knowledge_By_Utter_Surrender_SB_02-04-23_-_Radhanath_Swami_Mumbai_1996-10-19_IDesireTree.mp3")</f>
        <v>1996-155_Knowledge_By_Utter_Surrender_SB_02-04-23_-_Radhanath_Swami_Mumbai_1996-10-19_IDesireTree.mp3</v>
      </c>
      <c r="D3959" s="11"/>
      <c r="E3959" s="11"/>
    </row>
    <row r="3960" spans="1:5">
      <c r="A3960" s="12" t="s">
        <v>12463</v>
      </c>
      <c r="B3960" s="12" t="s">
        <v>16568</v>
      </c>
      <c r="C3960" s="13" t="str">
        <f>HYPERLINK("https://audio.iskcondesiretree.com/02_-_ISKCON_Swamis/ISKCON_Swamis_-_R_to_Y/His_Holiness_Radhanath_Swami/Lectures/01_-_Theme_wise/Krsna/About_Krsna/1989-022_Why_Is_Krishna_Dancing_With_Gopis_-_Radhanath_Swami_Mumbai_1989-07-23_IDesireTree.mp3", "1989-022_Why_Is_Krishna_Dancing_With_Gopis_-_Radhanath_Swami_Mumbai_1989-07-23_IDesireTree.mp3")</f>
        <v>1989-022_Why_Is_Krishna_Dancing_With_Gopis_-_Radhanath_Swami_Mumbai_1989-07-23_IDesireTree.mp3</v>
      </c>
      <c r="D3960" s="11"/>
      <c r="E3960" s="11"/>
    </row>
    <row r="3961" spans="1:5">
      <c r="A3961" s="12" t="s">
        <v>12463</v>
      </c>
      <c r="B3961" s="12" t="s">
        <v>16569</v>
      </c>
      <c r="C3961" s="13" t="str">
        <f>HYPERLINK("https://audio.iskcondesiretree.com/02_-_ISKCON_Swamis/ISKCON_Swamis_-_R_to_Y/His_Holiness_Radhanath_Swami/Lectures/01_-_Theme_wise/Krsna/About_Krsna/1989-035_Lord%27s_Inconceivable_Ways_Lecture_-_Radhanath_Swami_Mumbai_1989-08-25_IDesireTree.mp3", "1989-035_Lord%27s_Inconceivable_Ways_Lecture_-_Radhanath_Swami_Mumbai_1989-08-25_IDesireTree.mp3")</f>
        <v>1989-035_Lord%27s_Inconceivable_Ways_Lecture_-_Radhanath_Swami_Mumbai_1989-08-25_IDesireTree.mp3</v>
      </c>
      <c r="D3961" s="11"/>
      <c r="E3961" s="11"/>
    </row>
    <row r="3962" spans="1:5">
      <c r="A3962" s="12" t="s">
        <v>12463</v>
      </c>
      <c r="B3962" s="12" t="s">
        <v>16570</v>
      </c>
      <c r="C3962" s="13" t="str">
        <f>HYPERLINK("https://audio.iskcondesiretree.com/02_-_ISKCON_Swamis/ISKCON_Swamis_-_R_to_Y/His_Holiness_Radhanath_Swami/Lectures/01_-_Theme_wise/Krsna/About_Krsna/1990-002_Whatever_Krishna_Does_Is_Perfect_BG-08_-_Radhanath_Swami_IDesireTree.mp3", "1990-002_Whatever_Krishna_Does_Is_Perfect_BG-08_-_Radhanath_Swami_IDesireTree.mp3")</f>
        <v>1990-002_Whatever_Krishna_Does_Is_Perfect_BG-08_-_Radhanath_Swami_IDesireTree.mp3</v>
      </c>
      <c r="D3962" s="11"/>
      <c r="E3962" s="11"/>
    </row>
    <row r="3963" spans="1:5">
      <c r="A3963" s="12" t="s">
        <v>12463</v>
      </c>
      <c r="B3963" s="12" t="s">
        <v>16571</v>
      </c>
      <c r="C3963" s="13" t="str">
        <f>HYPERLINK("https://audio.iskcondesiretree.com/02_-_ISKCON_Swamis/ISKCON_Swamis_-_R_to_Y/His_Holiness_Radhanath_Swami/Lectures/01_-_Theme_wise/Krsna/About_Krsna/1990-040_Everything_Is_In_Krishna_BG_02-44_-_Radhanath_Swami_Mumbai_1990-04-14_IDesireTree.mp3", "1990-040_Everything_Is_In_Krishna_BG_02-44_-_Radhanath_Swami_Mumbai_1990-04-14_IDesireTree.mp3")</f>
        <v>1990-040_Everything_Is_In_Krishna_BG_02-44_-_Radhanath_Swami_Mumbai_1990-04-14_IDesireTree.mp3</v>
      </c>
      <c r="D3963" s="11"/>
      <c r="E3963" s="11"/>
    </row>
    <row r="3964" spans="1:5">
      <c r="A3964" s="12" t="s">
        <v>12463</v>
      </c>
      <c r="B3964" s="12" t="s">
        <v>16572</v>
      </c>
      <c r="C3964" s="13" t="str">
        <f>HYPERLINK("https://audio.iskcondesiretree.com/02_-_ISKCON_Swamis/ISKCON_Swamis_-_R_to_Y/His_Holiness_Radhanath_Swami/Lectures/01_-_Theme_wise/Krsna/About_Krsna/1990-043_Krishna_Is_Your_Ever_Well_Wisher_SB_08-01-10_-_Radhanath_Swami_Mumbai_1990-04-25_IDesireTree.mp3", "1990-043_Krishna_Is_Your_Ever_Well_Wisher_SB_08-01-10_-_Radhanath_Swami_Mumbai_1990-04-25_IDesireTree.mp3")</f>
        <v>1990-043_Krishna_Is_Your_Ever_Well_Wisher_SB_08-01-10_-_Radhanath_Swami_Mumbai_1990-04-25_IDesireTree.mp3</v>
      </c>
      <c r="D3964" s="11"/>
      <c r="E3964" s="11"/>
    </row>
    <row r="3965" spans="1:5">
      <c r="A3965" s="12" t="s">
        <v>12463</v>
      </c>
      <c r="B3965" s="12" t="s">
        <v>16573</v>
      </c>
      <c r="C3965" s="13" t="str">
        <f>HYPERLINK("https://audio.iskcondesiretree.com/02_-_ISKCON_Swamis/ISKCON_Swamis_-_R_to_Y/His_Holiness_Radhanath_Swami/Lectures/01_-_Theme_wise/Krsna/About_Krsna/1990-044_Perceiving_The_Paramatma_SB_08-01-11_-_Radhanath_Swami_Mumbai_1990-04-26_IDesireTree.mp3", "1990-044_Perceiving_The_Paramatma_SB_08-01-11_-_Radhanath_Swami_Mumbai_1990-04-26_IDesireTree.mp3")</f>
        <v>1990-044_Perceiving_The_Paramatma_SB_08-01-11_-_Radhanath_Swami_Mumbai_1990-04-26_IDesireTree.mp3</v>
      </c>
      <c r="D3965" s="11"/>
      <c r="E3965" s="11"/>
    </row>
    <row r="3966" spans="1:5">
      <c r="A3966" s="12" t="s">
        <v>12463</v>
      </c>
      <c r="B3966" s="12" t="s">
        <v>16574</v>
      </c>
      <c r="C3966" s="13" t="str">
        <f>HYPERLINK("https://audio.iskcondesiretree.com/02_-_ISKCON_Swamis/ISKCON_Swamis_-_R_to_Y/His_Holiness_Radhanath_Swami/Lectures/01_-_Theme_wise/Krsna/About_Krsna/1990-049_Krsna_Needs_Your_Surrender_SB_08-01-15_-_Radhanath_Swami_Mumbai_1990-04-30_IDesireTree.mp3", "1990-049_Krsna_Needs_Your_Surrender_SB_08-01-15_-_Radhanath_Swami_Mumbai_1990-04-30_IDesireTree.mp3")</f>
        <v>1990-049_Krsna_Needs_Your_Surrender_SB_08-01-15_-_Radhanath_Swami_Mumbai_1990-04-30_IDesireTree.mp3</v>
      </c>
      <c r="D3966" s="11"/>
      <c r="E3966" s="11"/>
    </row>
    <row r="3967" spans="1:5">
      <c r="A3967" s="12" t="s">
        <v>12463</v>
      </c>
      <c r="B3967" s="12" t="s">
        <v>16575</v>
      </c>
      <c r="C3967" s="13" t="str">
        <f>HYPERLINK("https://audio.iskcondesiretree.com/02_-_ISKCON_Swamis/ISKCON_Swamis_-_R_to_Y/His_Holiness_Radhanath_Swami/Lectures/01_-_Theme_wise/Krsna/About_Krsna/1990-070_Cause_Of_Lord%27s_Descent_SB_08-07-09-10_-_Radhanath_Swami_Mumbai_1990-08-26_IDesireTree.mp3", "1990-070_Cause_Of_Lord%27s_Descent_SB_08-07-09-10_-_Radhanath_Swami_Mumbai_1990-08-26_IDesireTree.mp3")</f>
        <v>1990-070_Cause_Of_Lord%27s_Descent_SB_08-07-09-10_-_Radhanath_Swami_Mumbai_1990-08-26_IDesireTree.mp3</v>
      </c>
      <c r="D3967" s="11"/>
      <c r="E3967" s="11"/>
    </row>
    <row r="3968" spans="1:5">
      <c r="A3968" s="12" t="s">
        <v>12463</v>
      </c>
      <c r="B3968" s="12" t="s">
        <v>16576</v>
      </c>
      <c r="C3968" s="13" t="str">
        <f>HYPERLINK("https://audio.iskcondesiretree.com/02_-_ISKCON_Swamis/ISKCON_Swamis_-_R_to_Y/His_Holiness_Radhanath_Swami/Lectures/01_-_Theme_wise/Krsna/About_Krsna/1991-036_Krishna_Is_Perfect_BG_06-33-34_-_Radhanath_Swami_Mumbai_1991-04-28_IDesireTree.mp3", "1991-036_Krishna_Is_Perfect_BG_06-33-34_-_Radhanath_Swami_Mumbai_1991-04-28_IDesireTree.mp3")</f>
        <v>1991-036_Krishna_Is_Perfect_BG_06-33-34_-_Radhanath_Swami_Mumbai_1991-04-28_IDesireTree.mp3</v>
      </c>
      <c r="D3968" s="11"/>
      <c r="E3968" s="11"/>
    </row>
    <row r="3969" spans="1:5">
      <c r="A3969" s="12" t="s">
        <v>12463</v>
      </c>
      <c r="B3969" s="12" t="s">
        <v>16577</v>
      </c>
      <c r="C3969" s="13" t="str">
        <f>HYPERLINK("https://audio.iskcondesiretree.com/02_-_ISKCON_Swamis/ISKCON_Swamis_-_R_to_Y/His_Holiness_Radhanath_Swami/Lectures/01_-_Theme_wise/Krsna/About_Krsna/1991-040_Krishna%27s_Inconceivable_Potency_SB_09-10-16_-_Radhanath_Swami_Mumbai_1991-05-03_IDesireTree.mp3", "1991-040_Krishna%27s_Inconceivable_Potency_SB_09-10-16_-_Radhanath_Swami_Mumbai_1991-05-03_IDesireTree.mp3")</f>
        <v>1991-040_Krishna%27s_Inconceivable_Potency_SB_09-10-16_-_Radhanath_Swami_Mumbai_1991-05-03_IDesireTree.mp3</v>
      </c>
      <c r="D3969" s="11"/>
      <c r="E3969" s="11"/>
    </row>
    <row r="3970" spans="1:5">
      <c r="A3970" s="12" t="s">
        <v>12463</v>
      </c>
      <c r="B3970" s="12" t="s">
        <v>16578</v>
      </c>
      <c r="C3970" s="13" t="str">
        <f>HYPERLINK("https://audio.iskcondesiretree.com/02_-_ISKCON_Swamis/ISKCON_Swamis_-_R_to_Y/His_Holiness_Radhanath_Swami/Lectures/01_-_Theme_wise/Krsna/About_Krsna/1991-094_Krishna-_The_Supreme_SB_10-01-21_-_Radhanath_Swami_Mumbai_1991-10-21_IDesireTree.mp3", "1991-094_Krishna-_The_Supreme_SB_10-01-21_-_Radhanath_Swami_Mumbai_1991-10-21_IDesireTree.mp3")</f>
        <v>1991-094_Krishna-_The_Supreme_SB_10-01-21_-_Radhanath_Swami_Mumbai_1991-10-21_IDesireTree.mp3</v>
      </c>
      <c r="D3970" s="11"/>
      <c r="E3970" s="11"/>
    </row>
    <row r="3971" spans="1:5">
      <c r="A3971" s="12" t="s">
        <v>12463</v>
      </c>
      <c r="B3971" s="12" t="s">
        <v>16579</v>
      </c>
      <c r="C3971" s="13" t="str">
        <f>HYPERLINK("https://audio.iskcondesiretree.com/02_-_ISKCON_Swamis/ISKCON_Swamis_-_R_to_Y/His_Holiness_Radhanath_Swami/Lectures/01_-_Theme_wise/Krsna/About_Krsna/1991-110_Different_Energies_Of_Krishna_Lecture_-_Radhanath_Swami_Mumbai_1991-10-30_IDesireTree.mp3", "1991-110_Different_Energies_Of_Krishna_Lecture_-_Radhanath_Swami_Mumbai_1991-10-30_IDesireTree.mp3")</f>
        <v>1991-110_Different_Energies_Of_Krishna_Lecture_-_Radhanath_Swami_Mumbai_1991-10-30_IDesireTree.mp3</v>
      </c>
      <c r="D3971" s="11"/>
      <c r="E3971" s="11"/>
    </row>
    <row r="3972" spans="1:5">
      <c r="A3972" s="12" t="s">
        <v>12463</v>
      </c>
      <c r="B3972" s="12" t="s">
        <v>16580</v>
      </c>
      <c r="C3972" s="13" t="str">
        <f>HYPERLINK("https://audio.iskcondesiretree.com/02_-_ISKCON_Swamis/ISKCON_Swamis_-_R_to_Y/His_Holiness_Radhanath_Swami/Lectures/01_-_Theme_wise/Krsna/About_Krsna/1991-120_Our_Supreme_Lord_Lecture_-_Radhanath_Swami_Mumbai_1991-11-23_IDesireTree.mp3", "1991-120_Our_Supreme_Lord_Lecture_-_Radhanath_Swami_Mumbai_1991-11-23_IDesireTree.mp3")</f>
        <v>1991-120_Our_Supreme_Lord_Lecture_-_Radhanath_Swami_Mumbai_1991-11-23_IDesireTree.mp3</v>
      </c>
      <c r="D3972" s="11"/>
      <c r="E3972" s="11"/>
    </row>
    <row r="3973" spans="1:5">
      <c r="A3973" s="12" t="s">
        <v>12463</v>
      </c>
      <c r="B3973" s="12" t="s">
        <v>16581</v>
      </c>
      <c r="C3973" s="13" t="str">
        <f>HYPERLINK("https://audio.iskcondesiretree.com/02_-_ISKCON_Swamis/ISKCON_Swamis_-_R_to_Y/His_Holiness_Radhanath_Swami/Lectures/01_-_Theme_wise/Krsna/About_Krsna/1991-125_The_Greatness_Of_Krishna_Lecture_-_Radhanath_Swami_Mumbai_1991-11-26_IDesireTree.mp3", "1991-125_The_Greatness_Of_Krishna_Lecture_-_Radhanath_Swami_Mumbai_1991-11-26_IDesireTree.mp3")</f>
        <v>1991-125_The_Greatness_Of_Krishna_Lecture_-_Radhanath_Swami_Mumbai_1991-11-26_IDesireTree.mp3</v>
      </c>
      <c r="D3973" s="11"/>
      <c r="E3973" s="11"/>
    </row>
    <row r="3974" spans="1:5">
      <c r="A3974" s="12" t="s">
        <v>12463</v>
      </c>
      <c r="B3974" s="12" t="s">
        <v>16582</v>
      </c>
      <c r="C3974" s="13" t="str">
        <f>HYPERLINK("https://audio.iskcondesiretree.com/02_-_ISKCON_Swamis/ISKCON_Swamis_-_R_to_Y/His_Holiness_Radhanath_Swami/Lectures/01_-_Theme_wise/Krsna/About_Krsna/1991-142_Quadraple_Expansion_Of_Krishna_Lecture_-_Radhanath_Swami_Mumbai_1991-12-03_IDesireTree.mp3", "1991-142_Quadraple_Expansion_Of_Krishna_Lecture_-_Radhanath_Swami_Mumbai_1991-12-03_IDesireTree.mp3")</f>
        <v>1991-142_Quadraple_Expansion_Of_Krishna_Lecture_-_Radhanath_Swami_Mumbai_1991-12-03_IDesireTree.mp3</v>
      </c>
      <c r="D3974" s="11"/>
      <c r="E3974" s="11"/>
    </row>
    <row r="3975" spans="1:5">
      <c r="A3975" s="12" t="s">
        <v>12463</v>
      </c>
      <c r="B3975" s="12" t="s">
        <v>16583</v>
      </c>
      <c r="C3975" s="13" t="str">
        <f>HYPERLINK("https://audio.iskcondesiretree.com/02_-_ISKCON_Swamis/ISKCON_Swamis_-_R_to_Y/His_Holiness_Radhanath_Swami/Lectures/01_-_Theme_wise/Krsna/About_Krsna/1991-152_Lord%27s_Sacrifice_Is_Uncomparable_Lecture_-_Radhanath_Swami_Mumbai_1991-12-27_IDesireTree.mp3", "1991-152_Lord%27s_Sacrifice_Is_Uncomparable_Lecture_-_Radhanath_Swami_Mumbai_1991-12-27_IDesireTree.mp3")</f>
        <v>1991-152_Lord%27s_Sacrifice_Is_Uncomparable_Lecture_-_Radhanath_Swami_Mumbai_1991-12-27_IDesireTree.mp3</v>
      </c>
      <c r="D3975" s="11"/>
      <c r="E3975" s="11"/>
    </row>
    <row r="3976" spans="1:5">
      <c r="A3976" s="12" t="s">
        <v>12463</v>
      </c>
      <c r="B3976" s="12" t="s">
        <v>16584</v>
      </c>
      <c r="C3976" s="13" t="str">
        <f>HYPERLINK("https://audio.iskcondesiretree.com/02_-_ISKCON_Swamis/ISKCON_Swamis_-_R_to_Y/His_Holiness_Radhanath_Swami/Lectures/01_-_Theme_wise/Krsna/About_Krsna/1991-158_Incarnations_Of_Godhead_Lecture_-_Radhanath_Swami_Mumbai_1991-12-10_IDesireTree.mp3", "1991-158_Incarnations_Of_Godhead_Lecture_-_Radhanath_Swami_Mumbai_1991-12-10_IDesireTree.mp3")</f>
        <v>1991-158_Incarnations_Of_Godhead_Lecture_-_Radhanath_Swami_Mumbai_1991-12-10_IDesireTree.mp3</v>
      </c>
      <c r="D3976" s="11"/>
      <c r="E3976" s="11"/>
    </row>
    <row r="3977" spans="1:5">
      <c r="A3977" s="12" t="s">
        <v>12463</v>
      </c>
      <c r="B3977" s="12" t="s">
        <v>16585</v>
      </c>
      <c r="C3977" s="13" t="str">
        <f>HYPERLINK("https://audio.iskcondesiretree.com/02_-_ISKCON_Swamis/ISKCON_Swamis_-_R_to_Y/His_Holiness_Radhanath_Swami/Lectures/01_-_Theme_wise/Krsna/About_Krsna/1991-159_Krishna_Is_Equal_To_All_SB_10-03-21_-_Radhanath_Swami_Mumbai_1991-12-30_IDesireTree.mp3", "1991-159_Krishna_Is_Equal_To_All_SB_10-03-21_-_Radhanath_Swami_Mumbai_1991-12-30_IDesireTree.mp3")</f>
        <v>1991-159_Krishna_Is_Equal_To_All_SB_10-03-21_-_Radhanath_Swami_Mumbai_1991-12-30_IDesireTree.mp3</v>
      </c>
      <c r="D3977" s="11"/>
      <c r="E3977" s="11"/>
    </row>
    <row r="3978" spans="1:5">
      <c r="A3978" s="12" t="s">
        <v>12463</v>
      </c>
      <c r="B3978" s="12" t="s">
        <v>16586</v>
      </c>
      <c r="C3978" s="13" t="str">
        <f>HYPERLINK("https://audio.iskcondesiretree.com/02_-_ISKCON_Swamis/ISKCON_Swamis_-_R_to_Y/His_Holiness_Radhanath_Swami/Lectures/01_-_Theme_wise/Krsna/About_Krsna/1992-008_Who_Is_Original_Person_Lecture_-_Radhanath_Swami_Mumbai_1992-01-07_IDesireTree.mp3", "1992-008_Who_Is_Original_Person_Lecture_-_Radhanath_Swami_Mumbai_1992-01-07_IDesireTree.mp3")</f>
        <v>1992-008_Who_Is_Original_Person_Lecture_-_Radhanath_Swami_Mumbai_1992-01-07_IDesireTree.mp3</v>
      </c>
      <c r="D3978" s="11"/>
      <c r="E3978" s="11"/>
    </row>
    <row r="3979" spans="1:5">
      <c r="A3979" s="12" t="s">
        <v>12463</v>
      </c>
      <c r="B3979" s="12" t="s">
        <v>16587</v>
      </c>
      <c r="C3979" s="13" t="str">
        <f>HYPERLINK("https://audio.iskcondesiretree.com/02_-_ISKCON_Swamis/ISKCON_Swamis_-_R_to_Y/His_Holiness_Radhanath_Swami/Lectures/01_-_Theme_wise/Krsna/About_Krsna/1992-009_Krsna_Is_Not_Boond_BG_04-14_-_Radhanath_Swami_Mumbai_1992-01-08_IDesireTree.mp3", "1992-009_Krsna_Is_Not_Boond_BG_04-14_-_Radhanath_Swami_Mumbai_1992-01-08_IDesireTree.mp3")</f>
        <v>1992-009_Krsna_Is_Not_Boond_BG_04-14_-_Radhanath_Swami_Mumbai_1992-01-08_IDesireTree.mp3</v>
      </c>
      <c r="D3979" s="11"/>
      <c r="E3979" s="11"/>
    </row>
    <row r="3980" spans="1:5">
      <c r="A3980" s="12" t="s">
        <v>12463</v>
      </c>
      <c r="B3980" s="12" t="s">
        <v>16588</v>
      </c>
      <c r="C3980" s="13" t="str">
        <f>HYPERLINK("https://audio.iskcondesiretree.com/02_-_ISKCON_Swamis/ISKCON_Swamis_-_R_to_Y/His_Holiness_Radhanath_Swami/Lectures/01_-_Theme_wise/Krsna/About_Krsna/1992-011_Different_Expansions_Of_Krishna_CC_AL-02-90_-_Radhanath_Swami_Mumbai_1992-01-09_IDesireTree.mp3", "1992-011_Different_Expansions_Of_Krishna_CC_AL-02-90_-_Radhanath_Swami_Mumbai_1992-01-09_IDesireTree.mp3")</f>
        <v>1992-011_Different_Expansions_Of_Krishna_CC_AL-02-90_-_Radhanath_Swami_Mumbai_1992-01-09_IDesireTree.mp3</v>
      </c>
      <c r="D3980" s="11"/>
      <c r="E3980" s="11"/>
    </row>
    <row r="3981" spans="1:5">
      <c r="A3981" s="12" t="s">
        <v>12463</v>
      </c>
      <c r="B3981" s="12" t="s">
        <v>16589</v>
      </c>
      <c r="C3981" s="13" t="str">
        <f>HYPERLINK("https://audio.iskcondesiretree.com/02_-_ISKCON_Swamis/ISKCON_Swamis_-_R_to_Y/His_Holiness_Radhanath_Swami/Lectures/01_-_Theme_wise/Krsna/About_Krsna/1992-017_Lord_Krishna-_A_Shastric_Evidence_CC_AL-02_-_Radhanath_Swami_Mumbai_1992-01-29_IDesireTree.mp3", "1992-017_Lord_Krishna-_A_Shastric_Evidence_CC_AL-02_-_Radhanath_Swami_Mumbai_1992-01-29_IDesireTree.mp3")</f>
        <v>1992-017_Lord_Krishna-_A_Shastric_Evidence_CC_AL-02_-_Radhanath_Swami_Mumbai_1992-01-29_IDesireTree.mp3</v>
      </c>
      <c r="D3981" s="11"/>
      <c r="E3981" s="11"/>
    </row>
    <row r="3982" spans="1:5">
      <c r="A3982" s="12" t="s">
        <v>12463</v>
      </c>
      <c r="B3982" s="12" t="s">
        <v>16590</v>
      </c>
      <c r="C3982" s="13" t="str">
        <f>HYPERLINK("https://audio.iskcondesiretree.com/02_-_ISKCON_Swamis/ISKCON_Swamis_-_R_to_Y/His_Holiness_Radhanath_Swami/Lectures/01_-_Theme_wise/Krsna/About_Krsna/1992-075_Inconceivable_Lord_Krishna_SB_10-13-35_-_Radhanath_Swami_Mumbai_1992-08-17_IDesireTree.mp3", "1992-075_Inconceivable_Lord_Krishna_SB_10-13-35_-_Radhanath_Swami_Mumbai_1992-08-17_IDesireTree.mp3")</f>
        <v>1992-075_Inconceivable_Lord_Krishna_SB_10-13-35_-_Radhanath_Swami_Mumbai_1992-08-17_IDesireTree.mp3</v>
      </c>
      <c r="D3982" s="11"/>
      <c r="E3982" s="11"/>
    </row>
    <row r="3983" spans="1:5">
      <c r="A3983" s="12" t="s">
        <v>12463</v>
      </c>
      <c r="B3983" s="12" t="s">
        <v>16479</v>
      </c>
      <c r="C3983" s="13" t="str">
        <f>HYPERLINK("https://audio.iskcondesiretree.com/02_-_ISKCON_Swamis/ISKCON_Swamis_-_R_to_Y/His_Holiness_Radhanath_Swami/Lectures/01_-_Theme_wise/Krsna/About_Krsna/1992-083_Greatness_Of_Krishna_SB_10-03-39_-_Radhanath_Swami_Mumbai_1992-08-20_IDesireTree.mp3", "1992-083_Greatness_Of_Krishna_SB_10-03-39_-_Radhanath_Swami_Mumbai_1992-08-20_IDesireTree.mp3")</f>
        <v>1992-083_Greatness_Of_Krishna_SB_10-03-39_-_Radhanath_Swami_Mumbai_1992-08-20_IDesireTree.mp3</v>
      </c>
      <c r="D3983" s="11"/>
      <c r="E3983" s="11"/>
    </row>
    <row r="3984" spans="1:5">
      <c r="A3984" s="12" t="s">
        <v>12463</v>
      </c>
      <c r="B3984" s="12" t="s">
        <v>16591</v>
      </c>
      <c r="C3984" s="13" t="str">
        <f>HYPERLINK("https://audio.iskcondesiretree.com/02_-_ISKCON_Swamis/ISKCON_Swamis_-_R_to_Y/His_Holiness_Radhanath_Swami/Lectures/01_-_Theme_wise/Krsna/About_Krsna/1992-084_Supreme_Controller_SB_10-13-40_-_Radhanath_Swami_Mumbai_-_1992-08-21_IDesireTree.mp3", "1992-084_Supreme_Controller_SB_10-13-40_-_Radhanath_Swami_Mumbai_-_1992-08-21_IDesireTree.mp3")</f>
        <v>1992-084_Supreme_Controller_SB_10-13-40_-_Radhanath_Swami_Mumbai_-_1992-08-21_IDesireTree.mp3</v>
      </c>
      <c r="D3984" s="11"/>
      <c r="E3984" s="11"/>
    </row>
    <row r="3985" spans="1:5">
      <c r="A3985" s="12" t="s">
        <v>12463</v>
      </c>
      <c r="B3985" s="12" t="s">
        <v>16592</v>
      </c>
      <c r="C3985" s="13" t="str">
        <f>HYPERLINK("https://audio.iskcondesiretree.com/02_-_ISKCON_Swamis/ISKCON_Swamis_-_R_to_Y/His_Holiness_Radhanath_Swami/Lectures/01_-_Theme_wise/Krsna/About_Krsna/1992-091_Glory_Of_Krishna_SB_10-13-46-48_-_Radhanath_Swami_Mumbai_1992-08-27_IDesireTree.mp3", "1992-091_Glory_Of_Krishna_SB_10-13-46-48_-_Radhanath_Swami_Mumbai_1992-08-27_IDesireTree.mp3")</f>
        <v>1992-091_Glory_Of_Krishna_SB_10-13-46-48_-_Radhanath_Swami_Mumbai_1992-08-27_IDesireTree.mp3</v>
      </c>
      <c r="D3985" s="11"/>
      <c r="E3985" s="11"/>
    </row>
    <row r="3986" spans="1:5">
      <c r="A3986" s="12" t="s">
        <v>12463</v>
      </c>
      <c r="B3986" s="12" t="s">
        <v>16593</v>
      </c>
      <c r="C3986" s="13" t="str">
        <f>HYPERLINK("https://audio.iskcondesiretree.com/02_-_ISKCON_Swamis/ISKCON_Swamis_-_R_to_Y/His_Holiness_Radhanath_Swami/Lectures/01_-_Theme_wise/Krsna/About_Krsna/1992-109_Krishna_Is_Omnipotent_SB_10-14-16_-_Radhanath_Swami_Mumbai_1992-09-24_IDesireTree.mp3", "1992-109_Krishna_Is_Omnipotent_SB_10-14-16_-_Radhanath_Swami_Mumbai_1992-09-24_IDesireTree.mp3")</f>
        <v>1992-109_Krishna_Is_Omnipotent_SB_10-14-16_-_Radhanath_Swami_Mumbai_1992-09-24_IDesireTree.mp3</v>
      </c>
      <c r="D3986" s="11"/>
      <c r="E3986" s="11"/>
    </row>
    <row r="3987" spans="1:5">
      <c r="A3987" s="12" t="s">
        <v>12463</v>
      </c>
      <c r="B3987" s="12" t="s">
        <v>16594</v>
      </c>
      <c r="C3987" s="13" t="str">
        <f>HYPERLINK("https://audio.iskcondesiretree.com/02_-_ISKCON_Swamis/ISKCON_Swamis_-_R_to_Y/His_Holiness_Radhanath_Swami/Lectures/01_-_Theme_wise/Krsna/About_Krsna/1992-119_Krishna-_The_Master_Of_Mystics_SB_10-14-27_-_Radhanath_Swami_Mumbai_1992-10-04_IDesireTree.mp3", "1992-119_Krishna-_The_Master_Of_Mystics_SB_10-14-27_-_Radhanath_Swami_Mumbai_1992-10-04_IDesireTree.mp3")</f>
        <v>1992-119_Krishna-_The_Master_Of_Mystics_SB_10-14-27_-_Radhanath_Swami_Mumbai_1992-10-04_IDesireTree.mp3</v>
      </c>
      <c r="D3987" s="11"/>
      <c r="E3987" s="11"/>
    </row>
    <row r="3988" spans="1:5">
      <c r="A3988" s="12" t="s">
        <v>12463</v>
      </c>
      <c r="B3988" s="12" t="s">
        <v>16595</v>
      </c>
      <c r="C3988" s="13" t="str">
        <f>HYPERLINK("https://audio.iskcondesiretree.com/02_-_ISKCON_Swamis/ISKCON_Swamis_-_R_to_Y/His_Holiness_Radhanath_Swami/Lectures/01_-_Theme_wise/Krsna/About_Krsna/1993-003_Krsna_can_tear_down_the_wall_of_Illusion_SB_10-20-18_-_Radhanath_Swami_1993-01-05_IDesireTree.mp3", "1993-003_Krsna_can_tear_down_the_wall_of_Illusion_SB_10-20-18_-_Radhanath_Swami_1993-01-05_IDesireTree.mp3")</f>
        <v>1993-003_Krsna_can_tear_down_the_wall_of_Illusion_SB_10-20-18_-_Radhanath_Swami_1993-01-05_IDesireTree.mp3</v>
      </c>
      <c r="D3988" s="11"/>
      <c r="E3988" s="11"/>
    </row>
    <row r="3989" spans="1:5">
      <c r="A3989" s="12" t="s">
        <v>12463</v>
      </c>
      <c r="B3989" s="12" t="s">
        <v>16596</v>
      </c>
      <c r="C3989" s="13" t="str">
        <f>HYPERLINK("https://audio.iskcondesiretree.com/02_-_ISKCON_Swamis/ISKCON_Swamis_-_R_to_Y/His_Holiness_Radhanath_Swami/Lectures/01_-_Theme_wise/Krsna/About_Krsna/1993-039_Supreme_Protector_SB_10-25-20_-_Radhanath_Swami_1993-04-03_IDesireTree.mp3", "1993-039_Supreme_Protector_SB_10-25-20_-_Radhanath_Swami_1993-04-03_IDesireTree.mp3")</f>
        <v>1993-039_Supreme_Protector_SB_10-25-20_-_Radhanath_Swami_1993-04-03_IDesireTree.mp3</v>
      </c>
      <c r="D3989" s="11"/>
      <c r="E3989" s="11"/>
    </row>
    <row r="3990" spans="1:5">
      <c r="A3990" s="12" t="s">
        <v>12463</v>
      </c>
      <c r="B3990" s="12" t="s">
        <v>16597</v>
      </c>
      <c r="C3990" s="13" t="str">
        <f>HYPERLINK("https://audio.iskcondesiretree.com/02_-_ISKCON_Swamis/ISKCON_Swamis_-_R_to_Y/His_Holiness_Radhanath_Swami/Lectures/01_-_Theme_wise/Krsna/About_Krsna/1993-043_wonderful_krsna_SB_10-26-01_-_Radhanath_Swami_Mumbai_1993-04-08_IDesireTree.mp3", "1993-043_wonderful_krsna_SB_10-26-01_-_Radhanath_Swami_Mumbai_1993-04-08_IDesireTree.mp3")</f>
        <v>1993-043_wonderful_krsna_SB_10-26-01_-_Radhanath_Swami_Mumbai_1993-04-08_IDesireTree.mp3</v>
      </c>
      <c r="D3990" s="11"/>
      <c r="E3990" s="11"/>
    </row>
    <row r="3991" spans="1:5">
      <c r="A3991" s="12" t="s">
        <v>12463</v>
      </c>
      <c r="B3991" s="12" t="s">
        <v>15870</v>
      </c>
      <c r="C3991" s="13" t="str">
        <f>HYPERLINK("https://audio.iskcondesiretree.com/02_-_ISKCON_Swamis/ISKCON_Swamis_-_R_to_Y/His_Holiness_Radhanath_Swami/Lectures/01_-_Theme_wise/Krsna/About_Krsna/1993-068_Everything_Emanates_From_Me_BG_10-08_-_Radhanath_Swami_Mumbai_1993-04-25_IDesireTree.mp3", "1993-068_Everything_Emanates_From_Me_BG_10-08_-_Radhanath_Swami_Mumbai_1993-04-25_IDesireTree.mp3")</f>
        <v>1993-068_Everything_Emanates_From_Me_BG_10-08_-_Radhanath_Swami_Mumbai_1993-04-25_IDesireTree.mp3</v>
      </c>
      <c r="D3991" s="11"/>
      <c r="E3991" s="11"/>
    </row>
    <row r="3992" spans="1:5">
      <c r="A3992" s="12" t="s">
        <v>12463</v>
      </c>
      <c r="B3992" s="12" t="s">
        <v>16598</v>
      </c>
      <c r="C3992" s="13" t="str">
        <f>HYPERLINK("https://audio.iskcondesiretree.com/02_-_ISKCON_Swamis/ISKCON_Swamis_-_R_to_Y/His_Holiness_Radhanath_Swami/Lectures/01_-_Theme_wise/Krsna/About_Krsna/1993-119_Lord_Krsna%27s_Unlimited_Potency_SB_10-33-35-37_-_Radhanath_Swami_1993-06-14_IDesireTree.mp3", "1993-119_Lord_Krsna%27s_Unlimited_Potency_SB_10-33-35-37_-_Radhanath_Swami_1993-06-14_IDesireTree.mp3")</f>
        <v>1993-119_Lord_Krsna%27s_Unlimited_Potency_SB_10-33-35-37_-_Radhanath_Swami_1993-06-14_IDesireTree.mp3</v>
      </c>
      <c r="D3992" s="11"/>
      <c r="E3992" s="11"/>
    </row>
    <row r="3993" spans="1:5">
      <c r="A3993" s="12" t="s">
        <v>12463</v>
      </c>
      <c r="B3993" s="12" t="s">
        <v>16599</v>
      </c>
      <c r="C3993" s="13" t="str">
        <f>HYPERLINK("https://audio.iskcondesiretree.com/02_-_ISKCON_Swamis/ISKCON_Swamis_-_R_to_Y/His_Holiness_Radhanath_Swami/Lectures/01_-_Theme_wise/Krsna/About_Krsna/1994-003_Lord_Krishna-_The_Only_Controller_SB_01-15-29_-_Radhanath_Swami_Mumbai_1994-01-09_IDesireTree.mp3", "1994-003_Lord_Krishna-_The_Only_Controller_SB_01-15-29_-_Radhanath_Swami_Mumbai_1994-01-09_IDesireTree.mp3")</f>
        <v>1994-003_Lord_Krishna-_The_Only_Controller_SB_01-15-29_-_Radhanath_Swami_Mumbai_1994-01-09_IDesireTree.mp3</v>
      </c>
      <c r="D3993" s="11"/>
      <c r="E3993" s="11"/>
    </row>
    <row r="3994" spans="1:5">
      <c r="A3994" s="12" t="s">
        <v>12463</v>
      </c>
      <c r="B3994" s="12" t="s">
        <v>16600</v>
      </c>
      <c r="C3994" s="13" t="str">
        <f>HYPERLINK("https://audio.iskcondesiretree.com/02_-_ISKCON_Swamis/ISKCON_Swamis_-_R_to_Y/His_Holiness_Radhanath_Swami/Lectures/01_-_Theme_wise/Krsna/About_Krsna/1994-031_Lord_Krishna_The_Supreme_Well_Wisher_BG_09-22_-_Radhanath_Swami_Mumbai_1994-02-18_IDesireTree.mp3", "1994-031_Lord_Krishna_The_Supreme_Well_Wisher_BG_09-22_-_Radhanath_Swami_Mumbai_1994-02-18_IDesireTree.mp3")</f>
        <v>1994-031_Lord_Krishna_The_Supreme_Well_Wisher_BG_09-22_-_Radhanath_Swami_Mumbai_1994-02-18_IDesireTree.mp3</v>
      </c>
      <c r="D3994" s="11"/>
      <c r="E3994" s="11"/>
    </row>
    <row r="3995" spans="1:5">
      <c r="A3995" s="12" t="s">
        <v>12463</v>
      </c>
      <c r="B3995" s="12" t="s">
        <v>16601</v>
      </c>
      <c r="C3995" s="13" t="str">
        <f>HYPERLINK("https://audio.iskcondesiretree.com/02_-_ISKCON_Swamis/ISKCON_Swamis_-_R_to_Y/His_Holiness_Radhanath_Swami/Lectures/01_-_Theme_wise/Krsna/About_Krsna/1994-123_Why_Does_Krsna_Appear_Lecture_-_Radhanath_Swami_Mumbai_1994-08-29_IDesireTree.mp3", "1994-123_Why_Does_Krsna_Appear_Lecture_-_Radhanath_Swami_Mumbai_1994-08-29_IDesireTree.mp3")</f>
        <v>1994-123_Why_Does_Krsna_Appear_Lecture_-_Radhanath_Swami_Mumbai_1994-08-29_IDesireTree.mp3</v>
      </c>
      <c r="D3995" s="11"/>
      <c r="E3995" s="11"/>
    </row>
    <row r="3996" spans="1:5">
      <c r="A3996" s="12" t="s">
        <v>12463</v>
      </c>
      <c r="B3996" s="12" t="s">
        <v>16602</v>
      </c>
      <c r="C3996" s="13" t="str">
        <f>HYPERLINK("https://audio.iskcondesiretree.com/02_-_ISKCON_Swamis/ISKCON_Swamis_-_R_to_Y/His_Holiness_Radhanath_Swami/Lectures/01_-_Theme_wise/Krsna/About_Krsna/1994-160_Krishna_Is_Centre_Of_Everything_HT_-_Radhanath_Swami_Mumbai_1994-09-23_IDesireTree.mp3", "1994-160_Krishna_Is_Centre_Of_Everything_HT_-_Radhanath_Swami_Mumbai_1994-09-23_IDesireTree.mp3")</f>
        <v>1994-160_Krishna_Is_Centre_Of_Everything_HT_-_Radhanath_Swami_Mumbai_1994-09-23_IDesireTree.mp3</v>
      </c>
      <c r="D3996" s="11"/>
      <c r="E3996" s="11"/>
    </row>
    <row r="3997" spans="1:5">
      <c r="A3997" s="12" t="s">
        <v>12463</v>
      </c>
      <c r="B3997" s="12" t="s">
        <v>16603</v>
      </c>
      <c r="C3997" s="13" t="str">
        <f>HYPERLINK("https://audio.iskcondesiretree.com/02_-_ISKCON_Swamis/ISKCON_Swamis_-_R_to_Y/His_Holiness_Radhanath_Swami/Lectures/01_-_Theme_wise/Krsna/About_Krsna/1995-018_Opulence_Of_The_Absolute_BG_10-07_-_Radhanath_Swami_Pune_1995-01-13.mp3", "1995-018_Opulence_Of_The_Absolute_BG_10-07_-_Radhanath_Swami_Pune_1995-01-13.mp3")</f>
        <v>1995-018_Opulence_Of_The_Absolute_BG_10-07_-_Radhanath_Swami_Pune_1995-01-13.mp3</v>
      </c>
      <c r="D3997" s="11"/>
      <c r="E3997" s="11"/>
    </row>
    <row r="3998" spans="1:5">
      <c r="A3998" s="12" t="s">
        <v>12463</v>
      </c>
      <c r="B3998" s="12" t="s">
        <v>16604</v>
      </c>
      <c r="C3998" s="13" t="str">
        <f>HYPERLINK("https://audio.iskcondesiretree.com/02_-_ISKCON_Swamis/ISKCON_Swamis_-_R_to_Y/His_Holiness_Radhanath_Swami/Lectures/01_-_Theme_wise/Krsna/About_Krsna/1995-027_Krsna_Is_equal_To_All_BG_09-29_-_Radhanath_Swami_Javlibaleshwar_1995-01-19.mp3", "1995-027_Krsna_Is_equal_To_All_BG_09-29_-_Radhanath_Swami_Javlibaleshwar_1995-01-19.mp3")</f>
        <v>1995-027_Krsna_Is_equal_To_All_BG_09-29_-_Radhanath_Swami_Javlibaleshwar_1995-01-19.mp3</v>
      </c>
      <c r="D3998" s="11"/>
      <c r="E3998" s="11"/>
    </row>
    <row r="3999" spans="1:5">
      <c r="A3999" s="12" t="s">
        <v>12463</v>
      </c>
      <c r="B3999" s="12" t="s">
        <v>16605</v>
      </c>
      <c r="C3999" s="13" t="str">
        <f>HYPERLINK("https://audio.iskcondesiretree.com/02_-_ISKCON_Swamis/ISKCON_Swamis_-_R_to_Y/His_Holiness_Radhanath_Swami/Lectures/01_-_Theme_wise/Krsna/About_Krsna/1995-050_Krishna%27s_Energies_SB_01-08-16_-_Radhanath_Swami_Mumbai_1995-02-14.mp3", "1995-050_Krishna%27s_Energies_SB_01-08-16_-_Radhanath_Swami_Mumbai_1995-02-14.mp3")</f>
        <v>1995-050_Krishna%27s_Energies_SB_01-08-16_-_Radhanath_Swami_Mumbai_1995-02-14.mp3</v>
      </c>
      <c r="D3999" s="11"/>
      <c r="E3999" s="11"/>
    </row>
    <row r="4000" spans="1:5">
      <c r="A4000" s="12" t="s">
        <v>12463</v>
      </c>
      <c r="B4000" s="12" t="s">
        <v>16606</v>
      </c>
      <c r="C4000" s="13" t="str">
        <f>HYPERLINK("https://audio.iskcondesiretree.com/02_-_ISKCON_Swamis/ISKCON_Swamis_-_R_to_Y/His_Holiness_Radhanath_Swami/Lectures/01_-_Theme_wise/Krsna/About_Krsna/1996-007_Krishna_Is_Supremely_Merciful_SB_03-02-23_-_Radhanath_Swami_Pune_1996-01-04.mp3", "1996-007_Krishna_Is_Supremely_Merciful_SB_03-02-23_-_Radhanath_Swami_Pune_1996-01-04.mp3")</f>
        <v>1996-007_Krishna_Is_Supremely_Merciful_SB_03-02-23_-_Radhanath_Swami_Pune_1996-01-04.mp3</v>
      </c>
      <c r="D4000" s="11"/>
      <c r="E4000" s="11"/>
    </row>
    <row r="4001" spans="1:5">
      <c r="A4001" s="12" t="s">
        <v>12463</v>
      </c>
      <c r="B4001" s="12" t="s">
        <v>16607</v>
      </c>
      <c r="C4001" s="13" t="str">
        <f>HYPERLINK("https://audio.iskcondesiretree.com/02_-_ISKCON_Swamis/ISKCON_Swamis_-_R_to_Y/His_Holiness_Radhanath_Swami/Lectures/01_-_Theme_wise/Krsna/About_Krsna/1996-067_Lord_Never_Appears_Alone_SB_01-18-09_-_Radhanath_Swami_Mumbai_1996-03-29_IDesireTree.mp3", "1996-067_Lord_Never_Appears_Alone_SB_01-18-09_-_Radhanath_Swami_Mumbai_1996-03-29_IDesireTree.mp3")</f>
        <v>1996-067_Lord_Never_Appears_Alone_SB_01-18-09_-_Radhanath_Swami_Mumbai_1996-03-29_IDesireTree.mp3</v>
      </c>
      <c r="D4001" s="11"/>
      <c r="E4001" s="11"/>
    </row>
    <row r="4002" spans="1:5">
      <c r="A4002" s="12" t="s">
        <v>12463</v>
      </c>
      <c r="B4002" s="12" t="s">
        <v>16608</v>
      </c>
      <c r="C4002" s="13" t="str">
        <f>HYPERLINK("https://audio.iskcondesiretree.com/02_-_ISKCON_Swamis/ISKCON_Swamis_-_R_to_Y/His_Holiness_Radhanath_Swami/Lectures/01_-_Theme_wise/Krsna/About_Krsna/1996-129_Krishna-_The_Original_Purusa_SB_02-03-21_-_Radhanath_Swami_Mumbai_1996-09-14_IDesireTree.mp3", "1996-129_Krishna-_The_Original_Purusa_SB_02-03-21_-_Radhanath_Swami_Mumbai_1996-09-14_IDesireTree.mp3")</f>
        <v>1996-129_Krishna-_The_Original_Purusa_SB_02-03-21_-_Radhanath_Swami_Mumbai_1996-09-14_IDesireTree.mp3</v>
      </c>
      <c r="D4002" s="11"/>
      <c r="E4002" s="11"/>
    </row>
    <row r="4003" spans="1:5">
      <c r="A4003" s="12" t="s">
        <v>12463</v>
      </c>
      <c r="B4003" s="12" t="s">
        <v>16609</v>
      </c>
      <c r="C4003" s="13" t="str">
        <f>HYPERLINK("https://audio.iskcondesiretree.com/02_-_ISKCON_Swamis/ISKCON_Swamis_-_R_to_Y/His_Holiness_Radhanath_Swami/Lectures/01_-_Theme_wise/Krsna/About_Krsna/1996-144_Krishna_Is_Master_Of_Everyone_SB_02-04-07_-_Radhanath_Swami_Mumbai_1996-09-28_IDesireTree.mp3", "1996-144_Krishna_Is_Master_Of_Everyone_SB_02-04-07_-_Radhanath_Swami_Mumbai_1996-09-28_IDesireTree.mp3")</f>
        <v>1996-144_Krishna_Is_Master_Of_Everyone_SB_02-04-07_-_Radhanath_Swami_Mumbai_1996-09-28_IDesireTree.mp3</v>
      </c>
      <c r="D4003" s="11"/>
      <c r="E4003" s="11"/>
    </row>
    <row r="4004" spans="1:5">
      <c r="A4004" s="12" t="s">
        <v>12463</v>
      </c>
      <c r="B4004" s="12" t="s">
        <v>16610</v>
      </c>
      <c r="C4004" s="13" t="str">
        <f>HYPERLINK("https://audio.iskcondesiretree.com/02_-_ISKCON_Swamis/ISKCON_Swamis_-_R_to_Y/His_Holiness_Radhanath_Swami/Lectures/01_-_Theme_wise/Krsna/About_Krsna/1996-176_Supremacy_of_Lord_Krishna_SB_02-06-43-45_-_Radhanath_Swami_Mumbai_1996-12-26_IDesireTree.mp3", "1996-176_Supremacy_of_Lord_Krishna_SB_02-06-43-45_-_Radhanath_Swami_Mumbai_1996-12-26_IDesireTree.mp3")</f>
        <v>1996-176_Supremacy_of_Lord_Krishna_SB_02-06-43-45_-_Radhanath_Swami_Mumbai_1996-12-26_IDesireTree.mp3</v>
      </c>
      <c r="D4004" s="11"/>
      <c r="E4004" s="11"/>
    </row>
    <row r="4005" spans="1:5">
      <c r="A4005" s="12" t="s">
        <v>12463</v>
      </c>
      <c r="B4005" s="12" t="s">
        <v>16611</v>
      </c>
      <c r="C4005" s="13" t="str">
        <f>HYPERLINK("https://audio.iskcondesiretree.com/02_-_ISKCON_Swamis/ISKCON_Swamis_-_R_to_Y/His_Holiness_Radhanath_Swami/Lectures/01_-_Theme_wise/Krsna/About_Krsna/1997-023_Krishna-_The_Supreme_Source_SB_02-07-26_-_Radhanath_Swami_Mumbai_1997-01-25_IDesireTree.mp3", "1997-023_Krishna-_The_Supreme_Source_SB_02-07-26_-_Radhanath_Swami_Mumbai_1997-01-25_IDesireTree.mp3")</f>
        <v>1997-023_Krishna-_The_Supreme_Source_SB_02-07-26_-_Radhanath_Swami_Mumbai_1997-01-25_IDesireTree.mp3</v>
      </c>
      <c r="D4005" s="11"/>
      <c r="E4005" s="11"/>
    </row>
    <row r="4006" spans="1:5">
      <c r="A4006" s="12" t="s">
        <v>12463</v>
      </c>
      <c r="B4006" s="12" t="s">
        <v>16612</v>
      </c>
      <c r="C4006" s="13" t="str">
        <f>HYPERLINK("https://audio.iskcondesiretree.com/02_-_ISKCON_Swamis/ISKCON_Swamis_-_R_to_Y/His_Holiness_Radhanath_Swami/Lectures/01_-_Theme_wise/Krsna/About_Krsna/1997-106_Krsna_The_Supreme_Propritor_BG_08-20_-_Radhanath_Swami_Moscow_1997-09-19_IDesireTree.mp3", "1997-106_Krsna_The_Supreme_Propritor_BG_08-20_-_Radhanath_Swami_Moscow_1997-09-19_IDesireTree.mp3")</f>
        <v>1997-106_Krsna_The_Supreme_Propritor_BG_08-20_-_Radhanath_Swami_Moscow_1997-09-19_IDesireTree.mp3</v>
      </c>
      <c r="D4006" s="11"/>
      <c r="E4006" s="11"/>
    </row>
    <row r="4007" spans="1:5">
      <c r="A4007" s="12" t="s">
        <v>12463</v>
      </c>
      <c r="B4007" s="12" t="s">
        <v>16613</v>
      </c>
      <c r="C4007" s="13" t="str">
        <f>HYPERLINK("https://audio.iskcondesiretree.com/02_-_ISKCON_Swamis/ISKCON_Swamis_-_R_to_Y/His_Holiness_Radhanath_Swami/Lectures/01_-_Theme_wise/Krsna/About_Krsna/1997-125_Krishna_As_Dwarkadhish_SB_03-03-08-09_-_Radhanath_Swami_Mumbai_1997-10-12_IDesireTree.mp3", "1997-125_Krishna_As_Dwarkadhish_SB_03-03-08-09_-_Radhanath_Swami_Mumbai_1997-10-12_IDesireTree.mp3")</f>
        <v>1997-125_Krishna_As_Dwarkadhish_SB_03-03-08-09_-_Radhanath_Swami_Mumbai_1997-10-12_IDesireTree.mp3</v>
      </c>
      <c r="D4007" s="11"/>
      <c r="E4007" s="11"/>
    </row>
    <row r="4008" spans="1:5">
      <c r="A4008" s="12" t="s">
        <v>12463</v>
      </c>
      <c r="B4008" s="12" t="s">
        <v>16614</v>
      </c>
      <c r="C4008" s="13" t="str">
        <f>HYPERLINK("https://audio.iskcondesiretree.com/02_-_ISKCON_Swamis/ISKCON_Swamis_-_R_to_Y/His_Holiness_Radhanath_Swami/Lectures/01_-_Theme_wise/Krsna/About_Krsna/1998-026_Only_Krishna_is_Infalliable_BG_15-16-17_-_Radhanath_Swami_Mumbai_1998-02-07_IDesireTree.mp3", "1998-026_Only_Krishna_is_Infalliable_BG_15-16-17_-_Radhanath_Swami_Mumbai_1998-02-07_IDesireTree.mp3")</f>
        <v>1998-026_Only_Krishna_is_Infalliable_BG_15-16-17_-_Radhanath_Swami_Mumbai_1998-02-07_IDesireTree.mp3</v>
      </c>
      <c r="D4008" s="11"/>
      <c r="E4008" s="11"/>
    </row>
    <row r="4009" spans="1:5">
      <c r="A4009" s="12" t="s">
        <v>12463</v>
      </c>
      <c r="B4009" s="12" t="s">
        <v>16615</v>
      </c>
      <c r="C4009" s="13" t="str">
        <f>HYPERLINK("https://audio.iskcondesiretree.com/02_-_ISKCON_Swamis/ISKCON_Swamis_-_R_to_Y/His_Holiness_Radhanath_Swami/Lectures/01_-_Theme_wise/Krsna/About_Krsna/1998-028_Virat_Rupa_%26_Archa_Vigraha_SB_03-06-04_-_Radhanath_Swami_Mumbai_1998-02-08_IDesireTree.mp3", "1998-028_Virat_Rupa_%26_Archa_Vigraha_SB_03-06-04_-_Radhanath_Swami_Mumbai_1998-02-08_IDesireTree.mp3")</f>
        <v>1998-028_Virat_Rupa_%26_Archa_Vigraha_SB_03-06-04_-_Radhanath_Swami_Mumbai_1998-02-08_IDesireTree.mp3</v>
      </c>
      <c r="D4009" s="11"/>
      <c r="E4009" s="11"/>
    </row>
    <row r="4010" spans="1:5">
      <c r="A4010" s="12" t="s">
        <v>12463</v>
      </c>
      <c r="B4010" s="12" t="s">
        <v>16616</v>
      </c>
      <c r="C4010" s="13" t="str">
        <f>HYPERLINK("https://audio.iskcondesiretree.com/02_-_ISKCON_Swamis/ISKCON_Swamis_-_R_to_Y/His_Holiness_Radhanath_Swami/Lectures/01_-_Theme_wise/Krsna/About_Krsna/1998-033_Everything_Belongs_to_Krishna_SB_03-09-22_-_Radhanath_Swami_Mumbai_1998-02-11_IDesireTree.mp3", "1998-033_Everything_Belongs_to_Krishna_SB_03-09-22_-_Radhanath_Swami_Mumbai_1998-02-11_IDesireTree.mp3")</f>
        <v>1998-033_Everything_Belongs_to_Krishna_SB_03-09-22_-_Radhanath_Swami_Mumbai_1998-02-11_IDesireTree.mp3</v>
      </c>
      <c r="D4010" s="11"/>
      <c r="E4010" s="11"/>
    </row>
    <row r="4011" spans="1:5">
      <c r="A4011" s="12" t="s">
        <v>12463</v>
      </c>
      <c r="B4011" s="12" t="s">
        <v>16617</v>
      </c>
      <c r="C4011" s="13" t="str">
        <f>HYPERLINK("https://audio.iskcondesiretree.com/02_-_ISKCON_Swamis/ISKCON_Swamis_-_R_to_Y/His_Holiness_Radhanath_Swami/Lectures/01_-_Theme_wise/Krsna/About_Krsna/1999-038_Everything_Is_Dependent_On_Krsna_SB_03-20-16_-_Radhanath_Swami_Mumbai_1999-07-04_IDesireTree.mp3", "1999-038_Everything_Is_Dependent_On_Krsna_SB_03-20-16_-_Radhanath_Swami_Mumbai_1999-07-04_IDesireTree.mp3")</f>
        <v>1999-038_Everything_Is_Dependent_On_Krsna_SB_03-20-16_-_Radhanath_Swami_Mumbai_1999-07-04_IDesireTree.mp3</v>
      </c>
      <c r="D4011" s="11"/>
      <c r="E4011" s="11"/>
    </row>
    <row r="4012" spans="1:5">
      <c r="A4012" s="12" t="s">
        <v>12463</v>
      </c>
      <c r="B4012" s="12" t="s">
        <v>16618</v>
      </c>
      <c r="C4012" s="13" t="str">
        <f>HYPERLINK("https://audio.iskcondesiretree.com/02_-_ISKCON_Swamis/ISKCON_Swamis_-_R_to_Y/His_Holiness_Radhanath_Swami/Lectures/01_-_Theme_wise/Krsna/About_Krsna/1999-059_Treasure_Of_The_Lotus_Feet_Of_Lord_Krsna_-_Radhanath_Swami_Mumbai_1999-12-05_IDesireTree.mp3", "1999-059_Treasure_Of_The_Lotus_Feet_Of_Lord_Krsna_-_Radhanath_Swami_Mumbai_1999-12-05_IDesireTree.mp3")</f>
        <v>1999-059_Treasure_Of_The_Lotus_Feet_Of_Lord_Krsna_-_Radhanath_Swami_Mumbai_1999-12-05_IDesireTree.mp3</v>
      </c>
      <c r="D4012" s="11"/>
      <c r="E4012" s="11"/>
    </row>
    <row r="4013" spans="1:5">
      <c r="A4013" s="12" t="s">
        <v>12463</v>
      </c>
      <c r="B4013" s="12" t="s">
        <v>16619</v>
      </c>
      <c r="C4013" s="13" t="str">
        <f>HYPERLINK("https://audio.iskcondesiretree.com/02_-_ISKCON_Swamis/ISKCON_Swamis_-_R_to_Y/His_Holiness_Radhanath_Swami/Lectures/01_-_Theme_wise/Krsna/About_Krsna/2001-015_Krishna_The_Reservoir_Of_Pleasure_-_Radhanath_Swami_Mayapur_2001-02-09_IDesireTree.mp3", "2001-015_Krishna_The_Reservoir_Of_Pleasure_-_Radhanath_Swami_Mayapur_2001-02-09_IDesireTree.mp3")</f>
        <v>2001-015_Krishna_The_Reservoir_Of_Pleasure_-_Radhanath_Swami_Mayapur_2001-02-09_IDesireTree.mp3</v>
      </c>
      <c r="D4013" s="11"/>
      <c r="E4013" s="11"/>
    </row>
    <row r="4014" spans="1:5">
      <c r="A4014" s="12" t="s">
        <v>12463</v>
      </c>
      <c r="B4014" s="12" t="s">
        <v>13030</v>
      </c>
      <c r="C4014" s="13" t="str">
        <f>HYPERLINK("https://audio.iskcondesiretree.com/02_-_ISKCON_Swamis/ISKCON_Swamis_-_R_to_Y/His_Holiness_Radhanath_Swami/Lectures/01_-_Theme_wise/Krsna/Approaching_Krsna/1989-050_Hare_Krishna_-_Radhanath_Swami_IDesireTree.mp3", "1989-050_Hare_Krishna_-_Radhanath_Swami_IDesireTree.mp3")</f>
        <v>1989-050_Hare_Krishna_-_Radhanath_Swami_IDesireTree.mp3</v>
      </c>
      <c r="D4014" s="11"/>
      <c r="E4014" s="11"/>
    </row>
    <row r="4015" spans="1:5">
      <c r="A4015" s="12" t="s">
        <v>12463</v>
      </c>
      <c r="B4015" s="12" t="s">
        <v>16620</v>
      </c>
      <c r="C4015" s="13" t="str">
        <f>HYPERLINK("https://audio.iskcondesiretree.com/02_-_ISKCON_Swamis/ISKCON_Swamis_-_R_to_Y/His_Holiness_Radhanath_Swami/Lectures/01_-_Theme_wise/Krsna/Approaching_Krsna/1991-093_Calling_With_Helplessness_SB_10-01-20_-_Radhanath_Swami_Mumbai_1991-10-20_IDesireTree.mp3", "1991-093_Calling_With_Helplessness_SB_10-01-20_-_Radhanath_Swami_Mumbai_1991-10-20_IDesireTree.mp3")</f>
        <v>1991-093_Calling_With_Helplessness_SB_10-01-20_-_Radhanath_Swami_Mumbai_1991-10-20_IDesireTree.mp3</v>
      </c>
      <c r="D4015" s="11"/>
      <c r="E4015" s="11"/>
    </row>
    <row r="4016" spans="1:5">
      <c r="A4016" s="12" t="s">
        <v>12463</v>
      </c>
      <c r="B4016" s="12" t="s">
        <v>16621</v>
      </c>
      <c r="C4016" s="13" t="str">
        <f>HYPERLINK("https://audio.iskcondesiretree.com/02_-_ISKCON_Swamis/ISKCON_Swamis_-_R_to_Y/His_Holiness_Radhanath_Swami/Lectures/01_-_Theme_wise/Krsna/Approaching_Krsna/1991-155_Krishna_Only_SB_10-02-35_-_Radhanath_Swami_Mumbai_1991-12-13_IDesireTree.mp3", "1991-155_Krishna_Only_SB_10-02-35_-_Radhanath_Swami_Mumbai_1991-12-13_IDesireTree.mp3")</f>
        <v>1991-155_Krishna_Only_SB_10-02-35_-_Radhanath_Swami_Mumbai_1991-12-13_IDesireTree.mp3</v>
      </c>
      <c r="D4016" s="11"/>
      <c r="E4016" s="11"/>
    </row>
    <row r="4017" spans="1:5">
      <c r="A4017" s="12" t="s">
        <v>12463</v>
      </c>
      <c r="B4017" s="12" t="s">
        <v>16622</v>
      </c>
      <c r="C4017" s="13" t="str">
        <f>HYPERLINK("https://audio.iskcondesiretree.com/02_-_ISKCON_Swamis/ISKCON_Swamis_-_R_to_Y/His_Holiness_Radhanath_Swami/Lectures/01_-_Theme_wise/Krsna/Approaching_Krsna/1992-113_Attachment_To_Krishna_SB_10-14-04_-_Radhanath_Swami_Mumbai_1992-09-13_IDesireTree.mp3", "1992-113_Attachment_To_Krishna_SB_10-14-04_-_Radhanath_Swami_Mumbai_1992-09-13_IDesireTree.mp3")</f>
        <v>1992-113_Attachment_To_Krishna_SB_10-14-04_-_Radhanath_Swami_Mumbai_1992-09-13_IDesireTree.mp3</v>
      </c>
      <c r="D4017" s="11"/>
      <c r="E4017" s="11"/>
    </row>
    <row r="4018" spans="1:5">
      <c r="A4018" s="12" t="s">
        <v>12463</v>
      </c>
      <c r="B4018" s="12" t="s">
        <v>16623</v>
      </c>
      <c r="C4018" s="13" t="str">
        <f>HYPERLINK("https://audio.iskcondesiretree.com/02_-_ISKCON_Swamis/ISKCON_Swamis_-_R_to_Y/His_Holiness_Radhanath_Swami/Lectures/01_-_Theme_wise/Krsna/Approaching_Krsna/1993-110_To_Be_Greedy_For_Krishna_SB_10-29-39_-_Radhanath_Swami_Mumbai_1993-06-08_IDesireTree.mp3", "1993-110_To_Be_Greedy_For_Krishna_SB_10-29-39_-_Radhanath_Swami_Mumbai_1993-06-08_IDesireTree.mp3")</f>
        <v>1993-110_To_Be_Greedy_For_Krishna_SB_10-29-39_-_Radhanath_Swami_Mumbai_1993-06-08_IDesireTree.mp3</v>
      </c>
      <c r="D4018" s="11"/>
      <c r="E4018" s="11"/>
    </row>
    <row r="4019" spans="1:5">
      <c r="A4019" s="12" t="s">
        <v>12463</v>
      </c>
      <c r="B4019" s="12" t="s">
        <v>16564</v>
      </c>
      <c r="C4019" s="13" t="str">
        <f>HYPERLINK("https://audio.iskcondesiretree.com/02_-_ISKCON_Swamis/ISKCON_Swamis_-_R_to_Y/His_Holiness_Radhanath_Swami/Lectures/01_-_Theme_wise/Krsna/Approaching_Krsna/1994-015_How_To_Know_God_SB_02-06-34-35_-_Radhanath_Swami_Mumbai_1994-01-18_IDesireTree.mp3",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4019" s="11"/>
      <c r="E4019" s="11"/>
    </row>
    <row r="4020" spans="1:5">
      <c r="A4020" s="12" t="s">
        <v>12463</v>
      </c>
      <c r="B4020" s="12" t="s">
        <v>16624</v>
      </c>
      <c r="C4020" s="13" t="str">
        <f>HYPERLINK("https://audio.iskcondesiretree.com/02_-_ISKCON_Swamis/ISKCON_Swamis_-_R_to_Y/His_Holiness_Radhanath_Swami/Lectures/01_-_Theme_wise/Krsna/Approaching_Krsna/1994-155_Think_Of_Krishna_BG_07-01_-_Radhanath_Swami_Mumbai_1994-09-20_IDesireTree.mp3", "1994-155_Think_Of_Krishna_BG_07-01_-_Radhanath_Swami_Mumbai_1994-09-20_IDesireTree.mp3")</f>
        <v>1994-155_Think_Of_Krishna_BG_07-01_-_Radhanath_Swami_Mumbai_1994-09-20_IDesireTree.mp3</v>
      </c>
      <c r="D4020" s="11"/>
      <c r="E4020" s="11"/>
    </row>
    <row r="4021" spans="1:5">
      <c r="A4021" s="12" t="s">
        <v>12463</v>
      </c>
      <c r="B4021" s="12" t="s">
        <v>16625</v>
      </c>
      <c r="C4021" s="13" t="str">
        <f>HYPERLINK("https://audio.iskcondesiretree.com/02_-_ISKCON_Swamis/ISKCON_Swamis_-_R_to_Y/His_Holiness_Radhanath_Swami/Lectures/01_-_Theme_wise/Krsna/Approaching_Krsna/1995-021_How_To_Understand_Krishna_-_BG_10-10_-_Radhanath_Swami_Belgaum_1995-01-15.mp3", "1995-021_How_To_Understand_Krishna_-_BG_10-10_-_Radhanath_Swami_Belgaum_1995-01-15.mp3")</f>
        <v>1995-021_How_To_Understand_Krishna_-_BG_10-10_-_Radhanath_Swami_Belgaum_1995-01-15.mp3</v>
      </c>
      <c r="D4021" s="11"/>
      <c r="E4021" s="11"/>
    </row>
    <row r="4022" spans="1:5">
      <c r="A4022" s="12" t="s">
        <v>12463</v>
      </c>
      <c r="B4022" s="12" t="s">
        <v>16626</v>
      </c>
      <c r="C4022" s="13" t="str">
        <f>HYPERLINK("https://audio.iskcondesiretree.com/02_-_ISKCON_Swamis/ISKCON_Swamis_-_R_to_Y/His_Holiness_Radhanath_Swami/Lectures/01_-_Theme_wise/Krsna/Approaching_Krsna/1995-052_Don%27t_Speculate_About_Krishna_SB_01-08-33_-_Radhanath_Swami_Mumbai_1995-03-07.mp3", "1995-052_Don%27t_Speculate_About_Krishna_SB_01-08-33_-_Radhanath_Swami_Mumbai_1995-03-07.mp3")</f>
        <v>1995-052_Don%27t_Speculate_About_Krishna_SB_01-08-33_-_Radhanath_Swami_Mumbai_1995-03-07.mp3</v>
      </c>
      <c r="D4022" s="11"/>
      <c r="E4022" s="11"/>
    </row>
    <row r="4023" spans="1:5">
      <c r="A4023" s="12" t="s">
        <v>12463</v>
      </c>
      <c r="B4023" s="12" t="s">
        <v>16627</v>
      </c>
      <c r="C4023" s="13" t="str">
        <f>HYPERLINK("https://audio.iskcondesiretree.com/02_-_ISKCON_Swamis/ISKCON_Swamis_-_R_to_Y/His_Holiness_Radhanath_Swami/Lectures/01_-_Theme_wise/Krsna/Approaching_Krsna/1995-090_What_To_Ask_From_Krishna_SB_01-02-07_-_Radhanath_Swami_Mumbai_1995-08-20_IDesireTree.mp3", "1995-090_What_To_Ask_From_Krishna_SB_01-02-07_-_Radhanath_Swami_Mumbai_1995-08-20_IDesireTree.mp3")</f>
        <v>1995-090_What_To_Ask_From_Krishna_SB_01-02-07_-_Radhanath_Swami_Mumbai_1995-08-20_IDesireTree.mp3</v>
      </c>
      <c r="D4023" s="11"/>
      <c r="E4023" s="11"/>
    </row>
    <row r="4024" spans="1:5">
      <c r="A4024" s="12" t="s">
        <v>12463</v>
      </c>
      <c r="B4024" s="12" t="s">
        <v>16628</v>
      </c>
      <c r="C4024" s="13" t="str">
        <f>HYPERLINK("https://audio.iskcondesiretree.com/02_-_ISKCON_Swamis/ISKCON_Swamis_-_R_to_Y/His_Holiness_Radhanath_Swami/Lectures/01_-_Theme_wise/Krsna/Approaching_Krsna/1995-113_Four_Types_Of_Devotees_BG_07-16_-_Radhanath_Swami_Mumbai_1995-10-02_IDesireTree.mp3", "1995-113_Four_Types_Of_Devotees_BG_07-16_-_Radhanath_Swami_Mumbai_1995-10-02_IDesireTree.mp3")</f>
        <v>1995-113_Four_Types_Of_Devotees_BG_07-16_-_Radhanath_Swami_Mumbai_1995-10-02_IDesireTree.mp3</v>
      </c>
      <c r="D4024" s="11"/>
      <c r="E4024" s="11"/>
    </row>
    <row r="4025" spans="1:5">
      <c r="A4025" s="12" t="s">
        <v>12463</v>
      </c>
      <c r="B4025" s="12" t="s">
        <v>16629</v>
      </c>
      <c r="C4025" s="13" t="str">
        <f>HYPERLINK("https://audio.iskcondesiretree.com/02_-_ISKCON_Swamis/ISKCON_Swamis_-_R_to_Y/His_Holiness_Radhanath_Swami/Lectures/01_-_Theme_wise/Krsna/Approaching_Krsna/1997-022_Attaining_the_Supreme_BG_08-12-13_-_Radhanath_Swami_Mumbai_1997-01-24_IDesireTree.mp3", "1997-022_Attaining_the_Supreme_BG_08-12-13_-_Radhanath_Swami_Mumbai_1997-01-24_IDesireTree.mp3")</f>
        <v>1997-022_Attaining_the_Supreme_BG_08-12-13_-_Radhanath_Swami_Mumbai_1997-01-24_IDesireTree.mp3</v>
      </c>
      <c r="D4025" s="11"/>
      <c r="E4025" s="11"/>
    </row>
    <row r="4026" spans="1:5">
      <c r="A4026" s="12" t="s">
        <v>12463</v>
      </c>
      <c r="B4026" s="12" t="s">
        <v>16219</v>
      </c>
      <c r="C4026" s="13" t="str">
        <f>HYPERLINK("https://audio.iskcondesiretree.com/02_-_ISKCON_Swamis/ISKCON_Swamis_-_R_to_Y/His_Holiness_Radhanath_Swami/Lectures/01_-_Theme_wise/Krsna/Approaching_Krsna/1997-070_Eagerness_Of_Krishna_BG_06-15_-_Radhanath_Swami_Mumbai_1997-05-03_IDesireTree.mp3", "1997-070_Eagerness_Of_Krishna_BG_06-15_-_Radhanath_Swami_Mumbai_1997-05-03_IDesireTree.mp3")</f>
        <v>1997-070_Eagerness_Of_Krishna_BG_06-15_-_Radhanath_Swami_Mumbai_1997-05-03_IDesireTree.mp3</v>
      </c>
      <c r="D4026" s="11"/>
      <c r="E4026" s="11"/>
    </row>
    <row r="4027" spans="1:5">
      <c r="A4027" s="12" t="s">
        <v>12463</v>
      </c>
      <c r="B4027" s="12" t="s">
        <v>16630</v>
      </c>
      <c r="C4027" s="13" t="str">
        <f>HYPERLINK("https://audio.iskcondesiretree.com/02_-_ISKCON_Swamis/ISKCON_Swamis_-_R_to_Y/His_Holiness_Radhanath_Swami/Lectures/01_-_Theme_wise/Krsna/Approaching_Krsna/1997-093_Be_Eager_For_Krishna_CC_Antya_Lila_-_Radhanath_Swami_Mumbai_1997-08-31_IDesireTree.mp3", "1997-093_Be_Eager_For_Krishna_CC_Antya_Lila_-_Radhanath_Swami_Mumbai_1997-08-31_IDesireTree.mp3")</f>
        <v>1997-093_Be_Eager_For_Krishna_CC_Antya_Lila_-_Radhanath_Swami_Mumbai_1997-08-31_IDesireTree.mp3</v>
      </c>
      <c r="D4027" s="11"/>
      <c r="E4027" s="11"/>
    </row>
    <row r="4028" spans="1:5">
      <c r="A4028" s="12" t="s">
        <v>12463</v>
      </c>
      <c r="B4028" s="12" t="s">
        <v>16631</v>
      </c>
      <c r="C4028" s="13" t="str">
        <f>HYPERLINK("https://audio.iskcondesiretree.com/02_-_ISKCON_Swamis/ISKCON_Swamis_-_R_to_Y/His_Holiness_Radhanath_Swami/Lectures/01_-_Theme_wise/Krsna/Approaching_Krsna/1999-036_Soul_Searching_For_Krsna%27s_Love_-_Radhanath_Swami_Mumbai_1999-07-03_IDesireTree.mp3", "1999-036_Soul_Searching_For_Krsna%27s_Love_-_Radhanath_Swami_Mumbai_1999-07-03_IDesireTree.mp3")</f>
        <v>1999-036_Soul_Searching_For_Krsna%27s_Love_-_Radhanath_Swami_Mumbai_1999-07-03_IDesireTree.mp3</v>
      </c>
      <c r="D4028" s="11"/>
      <c r="E4028" s="11"/>
    </row>
    <row r="4029" spans="1:5">
      <c r="A4029" s="12" t="s">
        <v>12463</v>
      </c>
      <c r="B4029" s="12" t="s">
        <v>16632</v>
      </c>
      <c r="C4029" s="13" t="str">
        <f>HYPERLINK("https://audio.iskcondesiretree.com/02_-_ISKCON_Swamis/ISKCON_Swamis_-_R_to_Y/His_Holiness_Radhanath_Swami/Lectures/01_-_Theme_wise/Krsna/Krsna%27s_Pastimes/1989-061_Story_of_Sri_Sudama_VP_01-19-65_-_Radhanath_Swami_Mumbai_1989-10-01_IDesireTree.mp3", "1989-061_Story_of_Sri_Sudama_VP_01-19-65_-_Radhanath_Swami_Mumbai_1989-10-01_IDesireTree.mp3")</f>
        <v>1989-061_Story_of_Sri_Sudama_VP_01-19-65_-_Radhanath_Swami_Mumbai_1989-10-01_IDesireTree.mp3</v>
      </c>
      <c r="D4029" s="11"/>
      <c r="E4029" s="11"/>
    </row>
    <row r="4030" spans="1:5">
      <c r="A4030" s="12" t="s">
        <v>12463</v>
      </c>
      <c r="B4030" s="12" t="s">
        <v>13154</v>
      </c>
      <c r="C4030" s="13" t="str">
        <f>HYPERLINK("https://audio.iskcondesiretree.com/02_-_ISKCON_Swamis/ISKCON_Swamis_-_R_to_Y/His_Holiness_Radhanath_Swami/Lectures/01_-_Theme_wise/Krsna/Krsna%27s_Pastimes/1990-084_Rasa_Lila_CC_-_Radhanath_Swami_IDesireTree.mp3", "1990-084_Rasa_Lila_CC_-_Radhanath_Swami_IDesireTree.mp3")</f>
        <v>1990-084_Rasa_Lila_CC_-_Radhanath_Swami_IDesireTree.mp3</v>
      </c>
      <c r="D4030" s="11"/>
      <c r="E4030" s="11"/>
    </row>
    <row r="4031" spans="1:5">
      <c r="A4031" s="12" t="s">
        <v>12463</v>
      </c>
      <c r="B4031" s="12" t="s">
        <v>16265</v>
      </c>
      <c r="C4031" s="13" t="str">
        <f>HYPERLINK("https://audio.iskcondesiretree.com/02_-_ISKCON_Swamis/ISKCON_Swamis_-_R_to_Y/His_Holiness_Radhanath_Swami/Lectures/01_-_Theme_wise/Krsna/Krsna%27s_Pastimes/1990-093_Govardhan_Lilla_Lecture_-_Radhanath_Swami_Mumbai_1990-10-19_IDesireTree.mp3", "1990-093_Govardhan_Lilla_Lecture_-_Radhanath_Swami_Mumbai_1990-10-19_IDesireTree.mp3")</f>
        <v>1990-093_Govardhan_Lilla_Lecture_-_Radhanath_Swami_Mumbai_1990-10-19_IDesireTree.mp3</v>
      </c>
      <c r="D4031" s="11"/>
      <c r="E4031" s="11"/>
    </row>
    <row r="4032" spans="1:5">
      <c r="A4032" s="12" t="s">
        <v>12463</v>
      </c>
      <c r="B4032" s="12" t="e">
        <v>#VALUE!</v>
      </c>
      <c r="C4032" s="13" t="e">
        <f>HYPERLINK("https://audio.iskcondesiretree.com/02_-_ISKCON_Swamis/ISKCON_Swamis_-_R_to_Y/His_Holiness_Radhanath_Swami/Lectures/01_-_Theme_wise/Krsna/Krsna%27s_Pastimes/1991-080_Importance_Of_Krishna_Katha_SB_10-01-15_-_Radhanath_Swami_Mumbai_1991-10-16_IDesireTree.mp"&amp;"3", "1991-080_Importance_Of_Krishna_Katha_SB_10-01-15_-_Radhanath_Swami_Mumbai_1991-10-16_IDesireTree.mp3")</f>
        <v>#VALUE!</v>
      </c>
      <c r="D4032" s="11"/>
      <c r="E4032" s="11"/>
    </row>
    <row r="4033" spans="1:5">
      <c r="A4033" s="12" t="s">
        <v>12463</v>
      </c>
      <c r="B4033" s="12" t="s">
        <v>16268</v>
      </c>
      <c r="C4033" s="13" t="str">
        <f>HYPERLINK("https://audio.iskcondesiretree.com/02_-_ISKCON_Swamis/ISKCON_Swamis_-_R_to_Y/His_Holiness_Radhanath_Swami/Lectures/01_-_Theme_wise/Krsna/Krsna%27s_Pastimes/1991-117_Teaching_From_Govardhan_Lila_Lecture_-_Radhanath_Swami_Mumbai_1991-11-07_IDesireTree.mp3", "1991-117_Teaching_From_Govardhan_Lila_Lecture_-_Radhanath_Swami_Mumbai_1991-11-07_IDesireTree.mp3")</f>
        <v>1991-117_Teaching_From_Govardhan_Lila_Lecture_-_Radhanath_Swami_Mumbai_1991-11-07_IDesireTree.mp3</v>
      </c>
      <c r="D4033" s="11"/>
      <c r="E4033" s="11"/>
    </row>
    <row r="4034" spans="1:5">
      <c r="A4034" s="12" t="s">
        <v>12463</v>
      </c>
      <c r="B4034" s="12" t="s">
        <v>16633</v>
      </c>
      <c r="C4034" s="13" t="str">
        <f>HYPERLINK("https://audio.iskcondesiretree.com/02_-_ISKCON_Swamis/ISKCON_Swamis_-_R_to_Y/His_Holiness_Radhanath_Swami/Lectures/01_-_Theme_wise/Krsna/Krsna%27s_Pastimes/1992-062_Brahma_Vimohana_Lila_SB_10-13-01-03_-_Radhanath_Swami_Mumbai_1992-04-05_IDesireTree.mp3", "1992-062_Brahma_Vimohana_Lila_SB_10-13-01-03_-_Radhanath_Swami_Mumbai_1992-04-05_IDesireTree.mp3")</f>
        <v>1992-062_Brahma_Vimohana_Lila_SB_10-13-01-03_-_Radhanath_Swami_Mumbai_1992-04-05_IDesireTree.mp3</v>
      </c>
      <c r="D4034" s="11"/>
      <c r="E4034" s="11"/>
    </row>
    <row r="4035" spans="1:5">
      <c r="A4035" s="12" t="s">
        <v>12463</v>
      </c>
      <c r="B4035" s="12" t="s">
        <v>16634</v>
      </c>
      <c r="C4035" s="13" t="str">
        <f>HYPERLINK("https://audio.iskcondesiretree.com/02_-_ISKCON_Swamis/ISKCON_Swamis_-_R_to_Y/His_Holiness_Radhanath_Swami/Lectures/01_-_Theme_wise/Krsna/Krsna%27s_Pastimes/1993-101_Story_Of_Shyamantaka_Jewel_BG_02-44_-_Radhanath_Swami_Mumbai_1993-05-28_IDesireTree.mp3", "1993-101_Story_Of_Shyamantaka_Jewel_BG_02-44_-_Radhanath_Swami_Mumbai_1993-05-28_IDesireTree.mp3")</f>
        <v>1993-101_Story_Of_Shyamantaka_Jewel_BG_02-44_-_Radhanath_Swami_Mumbai_1993-05-28_IDesireTree.mp3</v>
      </c>
      <c r="D4035" s="11"/>
      <c r="E4035" s="11"/>
    </row>
    <row r="4036" spans="1:5">
      <c r="A4036" s="12" t="s">
        <v>12463</v>
      </c>
      <c r="B4036" s="12" t="s">
        <v>16635</v>
      </c>
      <c r="C4036" s="13" t="str">
        <f>HYPERLINK("https://audio.iskcondesiretree.com/02_-_ISKCON_Swamis/ISKCON_Swamis_-_R_to_Y/His_Holiness_Radhanath_Swami/Lectures/01_-_Theme_wise/Krsna/Krsna%27s_Pastimes/1994-053_Ksira-Chora_Gopinath_GT_BG_05-29_-_Radhanath_Swami_Mumbai_1994-03-23_IDesireTree.mp3", "1994-053_Ksira-Chora_Gopinath_GT_BG_05-29_-_Radhanath_Swami_Mumbai_1994-03-23_IDesireTree.mp3")</f>
        <v>1994-053_Ksira-Chora_Gopinath_GT_BG_05-29_-_Radhanath_Swami_Mumbai_1994-03-23_IDesireTree.mp3</v>
      </c>
      <c r="D4036" s="11"/>
      <c r="E4036" s="11"/>
    </row>
    <row r="4037" spans="1:5">
      <c r="A4037" s="12" t="s">
        <v>12463</v>
      </c>
      <c r="B4037" s="12" t="e">
        <v>#VALUE!</v>
      </c>
      <c r="C4037" s="13" t="e">
        <f>HYPERLINK("https://audio.iskcondesiretree.com/02_-_ISKCON_Swamis/ISKCON_Swamis_-_R_to_Y/His_Holiness_Radhanath_Swami/Lectures/01_-_Theme_wise/Krsna/Krsna%27s_Pastimes/1994-114_Eight_Sons_Of_Mother_Devaki_SB_01-03-38_-_Radhanath_Swami_Mumbai_1994-08-28_IDesireTree.mp"&amp;"3", "1994-114_Eight_Sons_Of_Mother_Devaki_SB_01-03-38_-_Radhanath_Swami_Mumbai_1994-08-28_IDesireTree.mp3")</f>
        <v>#VALUE!</v>
      </c>
      <c r="D4037" s="11"/>
      <c r="E4037" s="11"/>
    </row>
    <row r="4038" spans="1:5">
      <c r="A4038" s="12" t="s">
        <v>12463</v>
      </c>
      <c r="B4038" s="12" t="e">
        <v>#VALUE!</v>
      </c>
      <c r="C4038" s="13" t="e">
        <f>HYPERLINK("https://audio.iskcondesiretree.com/02_-_ISKCON_Swamis/ISKCON_Swamis_-_R_to_Y/His_Holiness_Radhanath_Swami/Lectures/01_-_Theme_wise/Krsna/Krsna%27s_Pastimes/1994-121_Krishna%27s_Pastimes_Are_Nectarian_Lecture_-_Radhanath_Swami_Mumbai_1994-08-29_IDesireTree"&amp;".mp3", "1994-121_Krishna%27s_Pastimes_Are_Nectarian_Lecture_-_Radhanath_Swami_Mumbai_1994-08-29_IDesireTree.mp3")</f>
        <v>#VALUE!</v>
      </c>
      <c r="D4038" s="11"/>
      <c r="E4038" s="11"/>
    </row>
    <row r="4039" spans="1:5">
      <c r="A4039" s="12" t="s">
        <v>12463</v>
      </c>
      <c r="B4039" s="12" t="s">
        <v>16636</v>
      </c>
      <c r="C4039" s="13" t="str">
        <f>HYPERLINK("https://audio.iskcondesiretree.com/02_-_ISKCON_Swamis/ISKCON_Swamis_-_R_to_Y/His_Holiness_Radhanath_Swami/Lectures/01_-_Theme_wise/Krsna/Krsna%27s_Pastimes/1994-125_Pastimes_Of_Lord_Krishna_Lecture_-_Radhanath_Swami_Mumbai_1994-08-31_IDesireTree.mp3", "1994-125_Pastimes_Of_Lord_Krishna_Lecture_-_Radhanath_Swami_Mumbai_1994-08-31_IDesireTree.mp3")</f>
        <v>1994-125_Pastimes_Of_Lord_Krishna_Lecture_-_Radhanath_Swami_Mumbai_1994-08-31_IDesireTree.mp3</v>
      </c>
      <c r="D4039" s="11"/>
      <c r="E4039" s="11"/>
    </row>
    <row r="4040" spans="1:5">
      <c r="A4040" s="12" t="s">
        <v>12463</v>
      </c>
      <c r="B4040" s="12" t="s">
        <v>16637</v>
      </c>
      <c r="C4040" s="13" t="str">
        <f>HYPERLINK("https://audio.iskcondesiretree.com/02_-_ISKCON_Swamis/ISKCON_Swamis_-_R_to_Y/His_Holiness_Radhanath_Swami/Lectures/01_-_Theme_wise/Krsna/Krsna%27s_Pastimes/1994-127_Pastimes_Of_Lord_Krishna_Lecture_-_Radhanath_Swami_Mumbai_1994-08-31_IDesireTree.mp3", "1994-127_Pastimes_Of_Lord_Krishna_Lecture_-_Radhanath_Swami_Mumbai_1994-08-31_IDesireTree.mp3")</f>
        <v>1994-127_Pastimes_Of_Lord_Krishna_Lecture_-_Radhanath_Swami_Mumbai_1994-08-31_IDesireTree.mp3</v>
      </c>
      <c r="D4040" s="11"/>
      <c r="E4040" s="11"/>
    </row>
    <row r="4041" spans="1:5">
      <c r="A4041" s="12" t="s">
        <v>12463</v>
      </c>
      <c r="B4041" s="12" t="s">
        <v>16638</v>
      </c>
      <c r="C4041" s="13" t="str">
        <f>HYPERLINK("https://audio.iskcondesiretree.com/02_-_ISKCON_Swamis/ISKCON_Swamis_-_R_to_Y/His_Holiness_Radhanath_Swami/Lectures/01_-_Theme_wise/Krsna/Krsna%27s_Pastimes/1994-206_Childhood_Pastimes_Of_Krishna_Lecture_-_Radhanath_Swami_Mumbai_1994-10-22_IDesireTree.mp3", "1994-206_Childhood_Pastimes_Of_Krishna_Lecture_-_Radhanath_Swami_Mumbai_1994-10-22_IDesireTree.mp3")</f>
        <v>1994-206_Childhood_Pastimes_Of_Krishna_Lecture_-_Radhanath_Swami_Mumbai_1994-10-22_IDesireTree.mp3</v>
      </c>
      <c r="D4041" s="11"/>
      <c r="E4041" s="11"/>
    </row>
    <row r="4042" spans="1:5">
      <c r="A4042" s="12" t="s">
        <v>12463</v>
      </c>
      <c r="B4042" s="12" t="s">
        <v>16639</v>
      </c>
      <c r="C4042" s="13" t="str">
        <f>HYPERLINK("https://audio.iskcondesiretree.com/02_-_ISKCON_Swamis/ISKCON_Swamis_-_R_to_Y/His_Holiness_Radhanath_Swami/Lectures/01_-_Theme_wise/Krsna/Krsna%27s_Pastimes/1995-118_Childhood_Pastimes_Of_Krishna_BG_10-03_-_Radhanath_Swami_Mumbai_1995-10-08_IDesireTree.mp3", "1995-118_Childhood_Pastimes_Of_Krishna_BG_10-03_-_Radhanath_Swami_Mumbai_1995-10-08_IDesireTree.mp3")</f>
        <v>1995-118_Childhood_Pastimes_Of_Krishna_BG_10-03_-_Radhanath_Swami_Mumbai_1995-10-08_IDesireTree.mp3</v>
      </c>
      <c r="D4042" s="11"/>
      <c r="E4042" s="11"/>
    </row>
    <row r="4043" spans="1:5">
      <c r="A4043" s="12" t="s">
        <v>12463</v>
      </c>
      <c r="B4043" s="12" t="s">
        <v>16640</v>
      </c>
      <c r="C4043" s="13" t="str">
        <f>HYPERLINK("https://audio.iskcondesiretree.com/02_-_ISKCON_Swamis/ISKCON_Swamis_-_R_to_Y/His_Holiness_Radhanath_Swami/Lectures/01_-_Theme_wise/Krsna/Krsna%27s_Pastimes/1995-135_How_Krsna_Left_This_World_SB_01-15-35_-_Radhanath_Swami_Mumbai_1995-12-23_IDesireTree.mp3", "1995-135_How_Krsna_Left_This_World_SB_01-15-35_-_Radhanath_Swami_Mumbai_1995-12-23_IDesireTree.mp3")</f>
        <v>1995-135_How_Krsna_Left_This_World_SB_01-15-35_-_Radhanath_Swami_Mumbai_1995-12-23_IDesireTree.mp3</v>
      </c>
      <c r="D4043" s="11"/>
      <c r="E4043" s="11"/>
    </row>
    <row r="4044" spans="1:5">
      <c r="A4044" s="12" t="s">
        <v>12463</v>
      </c>
      <c r="B4044" s="12" t="s">
        <v>16641</v>
      </c>
      <c r="C4044" s="13" t="str">
        <f>HYPERLINK("https://audio.iskcondesiretree.com/02_-_ISKCON_Swamis/ISKCON_Swamis_-_R_to_Y/His_Holiness_Radhanath_Swami/Lectures/01_-_Theme_wise/Krsna/Krsna%27s_Pastimes/1997-025_Subduing_Kaliya_SB_02-07-28-29_-_Radhanath_Swami_Mumbai_1997-01-26_IDesireTree.mp3", "1997-025_Subduing_Kaliya_SB_02-07-28-29_-_Radhanath_Swami_Mumbai_1997-01-26_IDesireTree.mp3")</f>
        <v>1997-025_Subduing_Kaliya_SB_02-07-28-29_-_Radhanath_Swami_Mumbai_1997-01-26_IDesireTree.mp3</v>
      </c>
      <c r="D4044" s="11"/>
      <c r="E4044" s="11"/>
    </row>
    <row r="4045" spans="1:5">
      <c r="A4045" s="12" t="s">
        <v>12463</v>
      </c>
      <c r="B4045" s="12" t="s">
        <v>16642</v>
      </c>
      <c r="C4045" s="13" t="str">
        <f>HYPERLINK("https://audio.iskcondesiretree.com/02_-_ISKCON_Swamis/ISKCON_Swamis_-_R_to_Y/His_Holiness_Radhanath_Swami/Lectures/01_-_Theme_wise/Krsna/Krsna%27s_Pastimes/1997-094_Advent_Of_Lord_Krishna_BG-07_-_Radhanath_Swami_Mumbai_1997-09-06_IDesireTree.mp3", "1997-094_Advent_Of_Lord_Krishna_BG-07_-_Radhanath_Swami_Mumbai_1997-09-06_IDesireTree.mp3")</f>
        <v>1997-094_Advent_Of_Lord_Krishna_BG-07_-_Radhanath_Swami_Mumbai_1997-09-06_IDesireTree.mp3</v>
      </c>
      <c r="D4045" s="11"/>
      <c r="E4045" s="11"/>
    </row>
    <row r="4046" spans="1:5">
      <c r="A4046" s="12" t="s">
        <v>12463</v>
      </c>
      <c r="B4046" s="12" t="s">
        <v>16643</v>
      </c>
      <c r="C4046" s="13" t="str">
        <f>HYPERLINK("https://audio.iskcondesiretree.com/02_-_ISKCON_Swamis/ISKCON_Swamis_-_R_to_Y/His_Holiness_Radhanath_Swami/Lectures/01_-_Theme_wise/Krsna/Krsna%27s_Pastimes/1997-135_Damodar_Lila_Pastimes_Lecture_-_Radhanath_Swami_1997-11-14_IDesireTree.mp3", "1997-135_Damodar_Lila_Pastimes_Lecture_-_Radhanath_Swami_1997-11-14_IDesireTree.mp3")</f>
        <v>1997-135_Damodar_Lila_Pastimes_Lecture_-_Radhanath_Swami_1997-11-14_IDesireTree.mp3</v>
      </c>
      <c r="D4046" s="11"/>
      <c r="E4046" s="11"/>
    </row>
    <row r="4047" spans="1:5">
      <c r="A4047" s="12" t="s">
        <v>12463</v>
      </c>
      <c r="B4047" s="12" t="s">
        <v>16644</v>
      </c>
      <c r="C4047" s="13" t="str">
        <f>HYPERLINK("https://audio.iskcondesiretree.com/02_-_ISKCON_Swamis/ISKCON_Swamis_-_R_to_Y/His_Holiness_Radhanath_Swami/Lectures/01_-_Theme_wise/Krsna/Krsna%27s_Pastimes/1997-137_Govardhan_Lilla_SB_10-25-13_-_Radhanath_Swami_Mumbai_1997-11-16_IDesireTree.mp3", "1997-137_Govardhan_Lilla_SB_10-25-13_-_Radhanath_Swami_Mumbai_1997-11-16_IDesireTree.mp3")</f>
        <v>1997-137_Govardhan_Lilla_SB_10-25-13_-_Radhanath_Swami_Mumbai_1997-11-16_IDesireTree.mp3</v>
      </c>
      <c r="D4047" s="11"/>
      <c r="E4047" s="11"/>
    </row>
    <row r="4048" spans="1:5">
      <c r="A4048" s="12" t="s">
        <v>12463</v>
      </c>
      <c r="B4048" s="12" t="s">
        <v>16645</v>
      </c>
      <c r="C4048" s="13" t="str">
        <f>HYPERLINK("https://audio.iskcondesiretree.com/02_-_ISKCON_Swamis/ISKCON_Swamis_-_R_to_Y/His_Holiness_Radhanath_Swami/Lectures/01_-_Theme_wise/Krsna/Krsna%27s_Pastimes/1998-087_Krishna_Lila_SB-10_-_Radhanath_Swami_Mumbai_1998-09-20_IDesireTree.mp3", "1998-087_Krishna_Lila_SB-10_-_Radhanath_Swami_Mumbai_1998-09-20_IDesireTree.mp3")</f>
        <v>1998-087_Krishna_Lila_SB-10_-_Radhanath_Swami_Mumbai_1998-09-20_IDesireTree.mp3</v>
      </c>
      <c r="D4048" s="11"/>
      <c r="E4048" s="11"/>
    </row>
    <row r="4049" spans="1:5">
      <c r="A4049" s="12" t="s">
        <v>12463</v>
      </c>
      <c r="B4049" s="12" t="s">
        <v>16646</v>
      </c>
      <c r="C4049" s="13" t="str">
        <f>HYPERLINK("https://audio.iskcondesiretree.com/02_-_ISKCON_Swamis/ISKCON_Swamis_-_R_to_Y/His_Holiness_Radhanath_Swami/Lectures/01_-_Theme_wise/Krsna/Krsna%27s_Pastimes/1998-091_Krishna_Lila_BG_08-14_-_Radhanath_Swami_Mumbai_1998-09-27_IDesireTree.mp3", "1998-091_Krishna_Lila_BG_08-14_-_Radhanath_Swami_Mumbai_1998-09-27_IDesireTree.mp3")</f>
        <v>1998-091_Krishna_Lila_BG_08-14_-_Radhanath_Swami_Mumbai_1998-09-27_IDesireTree.mp3</v>
      </c>
      <c r="D4049" s="11"/>
      <c r="E4049" s="11"/>
    </row>
    <row r="4050" spans="1:5">
      <c r="A4050" s="12" t="s">
        <v>12463</v>
      </c>
      <c r="B4050" s="12" t="s">
        <v>16305</v>
      </c>
      <c r="C4050" s="13" t="str">
        <f>HYPERLINK("https://audio.iskcondesiretree.com/02_-_ISKCON_Swamis/ISKCON_Swamis_-_R_to_Y/His_Holiness_Radhanath_Swami/Lectures/01_-_Theme_wise/Krsna/Krsna%27s_Pastimes/2001-052_Damodar_Lila_Of_Krsna_Lecture_-_Radhanath_Swami_London_2001-11-04_IDesireTree.mp3", "2001-052_Damodar_Lila_Of_Krsna_Lecture_-_Radhanath_Swami_London_2001-11-04_IDesireTree.mp3")</f>
        <v>2001-052_Damodar_Lila_Of_Krsna_Lecture_-_Radhanath_Swami_London_2001-11-04_IDesireTree.mp3</v>
      </c>
      <c r="D4050" s="11"/>
      <c r="E4050" s="11"/>
    </row>
    <row r="4051" spans="1:5">
      <c r="A4051" s="12" t="s">
        <v>12463</v>
      </c>
      <c r="B4051" s="12" t="s">
        <v>16647</v>
      </c>
      <c r="C4051" s="13" t="str">
        <f>HYPERLINK("https://audio.iskcondesiretree.com/02_-_ISKCON_Swamis/ISKCON_Swamis_-_R_to_Y/His_Holiness_Radhanath_Swami/Lectures/01_-_Theme_wise/Krsna/Krsna%27s_Pastimes/2002-035_Pastime_of_Baby_Krsna_Lecture_-_Radhanath_Swami_Mumbai_2002-02-15_IDesireTree.mp3", "2002-035_Pastime_of_Baby_Krsna_Lecture_-_Radhanath_Swami_Mumbai_2002-02-15_IDesireTree.mp3")</f>
        <v>2002-035_Pastime_of_Baby_Krsna_Lecture_-_Radhanath_Swami_Mumbai_2002-02-15_IDesireTree.mp3</v>
      </c>
      <c r="D4051" s="11"/>
      <c r="E4051" s="11"/>
    </row>
    <row r="4052" spans="1:5">
      <c r="A4052" s="12" t="s">
        <v>12463</v>
      </c>
      <c r="B4052" s="12" t="s">
        <v>16648</v>
      </c>
      <c r="C4052" s="13" t="str">
        <f>HYPERLINK("https://audio.iskcondesiretree.com/02_-_ISKCON_Swamis/ISKCON_Swamis_-_R_to_Y/His_Holiness_Radhanath_Swami/Lectures/01_-_Theme_wise/Krsna/Pleasing_Krsna/1989-036_How_To_Please_Krishna_SB_07-10-14_-_Radhanath_Swami_Mumbai_1989-08-28_IDesireTree.mp3", "1989-036_How_To_Please_Krishna_SB_07-10-14_-_Radhanath_Swami_Mumbai_1989-08-28_IDesireTree.mp3")</f>
        <v>1989-036_How_To_Please_Krishna_SB_07-10-14_-_Radhanath_Swami_Mumbai_1989-08-28_IDesireTree.mp3</v>
      </c>
      <c r="D4052" s="11"/>
      <c r="E4052" s="11"/>
    </row>
    <row r="4053" spans="1:5">
      <c r="A4053" s="12" t="s">
        <v>12463</v>
      </c>
      <c r="B4053" s="12" t="s">
        <v>16649</v>
      </c>
      <c r="C4053" s="13" t="str">
        <f>HYPERLINK("https://audio.iskcondesiretree.com/02_-_ISKCON_Swamis/ISKCON_Swamis_-_R_to_Y/His_Holiness_Radhanath_Swami/Lectures/01_-_Theme_wise/Krsna/Pleasing_Krsna/1990-005_A_Leaf_a_Flower_a_Fruit_-_Radhanath_Swami_IDesireTree.mp3", "1990-005_A_Leaf_a_Flower_a_Fruit_-_Radhanath_Swami_IDesireTree.mp3")</f>
        <v>1990-005_A_Leaf_a_Flower_a_Fruit_-_Radhanath_Swami_IDesireTree.mp3</v>
      </c>
      <c r="D4053" s="11"/>
      <c r="E4053" s="11"/>
    </row>
    <row r="4054" spans="1:5">
      <c r="A4054" s="12" t="s">
        <v>12463</v>
      </c>
      <c r="B4054" s="12" t="s">
        <v>16050</v>
      </c>
      <c r="C4054" s="13" t="str">
        <f>HYPERLINK("https://audio.iskcondesiretree.com/02_-_ISKCON_Swamis/ISKCON_Swamis_-_R_to_Y/His_Holiness_Radhanath_Swami/Lectures/01_-_Theme_wise/Krsna/Pleasing_Krsna/1991-119_Desire_To_Please_Krishna_BG_02-14_-_Radhanath_Swami_Mumbai_1991-11-20_IDesireTree.mp3", "1991-119_Desire_To_Please_Krishna_BG_02-14_-_Radhanath_Swami_Mumbai_1991-11-20_IDesireTree.mp3")</f>
        <v>1991-119_Desire_To_Please_Krishna_BG_02-14_-_Radhanath_Swami_Mumbai_1991-11-20_IDesireTree.mp3</v>
      </c>
      <c r="D4054" s="11"/>
      <c r="E4054" s="11"/>
    </row>
    <row r="4055" spans="1:5">
      <c r="A4055" s="12" t="s">
        <v>12463</v>
      </c>
      <c r="B4055" s="12" t="s">
        <v>16650</v>
      </c>
      <c r="C4055" s="13" t="str">
        <f>HYPERLINK("https://audio.iskcondesiretree.com/02_-_ISKCON_Swamis/ISKCON_Swamis_-_R_to_Y/His_Holiness_Radhanath_Swami/Lectures/01_-_Theme_wise/Krsna/Pleasing_Krsna/1994-190_Give_Best_For_Krishna_SB_03-33-17_-_Pune_1994-10-13_IDesireTree.mp3", "1994-190_Give_Best_For_Krishna_SB_03-33-17_-_Pune_1994-10-13_IDesireTree.mp3")</f>
        <v>1994-190_Give_Best_For_Krishna_SB_03-33-17_-_Pune_1994-10-13_IDesireTree.mp3</v>
      </c>
      <c r="D4055" s="11"/>
      <c r="E4055" s="11"/>
    </row>
    <row r="4056" spans="1:5">
      <c r="A4056" s="12" t="s">
        <v>12463</v>
      </c>
      <c r="B4056" s="12" t="s">
        <v>16651</v>
      </c>
      <c r="C4056" s="13" t="str">
        <f>HYPERLINK("https://audio.iskcondesiretree.com/02_-_ISKCON_Swamis/ISKCON_Swamis_-_R_to_Y/His_Holiness_Radhanath_Swami/Lectures/01_-_Theme_wise/Krsna/Pleasing_Krsna/1995-005_How_To_Please_Krishna_SB_01-02-28-29_-_Radhanath_Swami_Mumbai_1995-01-03.mp3", "1995-005_How_To_Please_Krishna_SB_01-02-28-29_-_Radhanath_Swami_Mumbai_1995-01-03.mp3")</f>
        <v>1995-005_How_To_Please_Krishna_SB_01-02-28-29_-_Radhanath_Swami_Mumbai_1995-01-03.mp3</v>
      </c>
      <c r="D4056" s="11"/>
      <c r="E4056" s="11"/>
    </row>
    <row r="4057" spans="1:5">
      <c r="A4057" s="12" t="s">
        <v>12463</v>
      </c>
      <c r="B4057" s="12" t="s">
        <v>16652</v>
      </c>
      <c r="C4057" s="13" t="str">
        <f>HYPERLINK("https://audio.iskcondesiretree.com/02_-_ISKCON_Swamis/ISKCON_Swamis_-_R_to_Y/His_Holiness_Radhanath_Swami/Lectures/01_-_Theme_wise/Krsna/Pleasing_Krsna/1996-021_Making_Krishna_Happy_BG_12-16_-_Radhanath_Swami_Mumbai_1996-01-18_IDesireTree.mp3", "1996-021_Making_Krishna_Happy_BG_12-16_-_Radhanath_Swami_Mumbai_1996-01-18_IDesireTree.mp3")</f>
        <v>1996-021_Making_Krishna_Happy_BG_12-16_-_Radhanath_Swami_Mumbai_1996-01-18_IDesireTree.mp3</v>
      </c>
      <c r="D4057" s="11"/>
      <c r="E4057" s="11"/>
    </row>
    <row r="4058" spans="1:5">
      <c r="A4058" s="12" t="s">
        <v>12463</v>
      </c>
      <c r="B4058" s="12" t="s">
        <v>16653</v>
      </c>
      <c r="C4058" s="13" t="str">
        <f>HYPERLINK("https://audio.iskcondesiretree.com/02_-_ISKCON_Swamis/ISKCON_Swamis_-_R_to_Y/His_Holiness_Radhanath_Swami/Lectures/01_-_Theme_wise/Krsna/Pleasing_Krsna/1996-095_Please_Krishna_According_To_Our_Capacity_BG_12-18_-_Mumbai_1996-04-26_IDesireTree.mp3", "1996-095_Please_Krishna_According_To_Our_Capacity_BG_12-18_-_Mumbai_1996-04-26_IDesireTree.mp3")</f>
        <v>1996-095_Please_Krishna_According_To_Our_Capacity_BG_12-18_-_Mumbai_1996-04-26_IDesireTree.mp3</v>
      </c>
      <c r="D4058" s="11"/>
      <c r="E4058" s="11"/>
    </row>
    <row r="4059" spans="1:5">
      <c r="A4059" s="12" t="s">
        <v>12463</v>
      </c>
      <c r="B4059" s="12" t="s">
        <v>16654</v>
      </c>
      <c r="C4059" s="13" t="str">
        <f>HYPERLINK("https://audio.iskcondesiretree.com/02_-_ISKCON_Swamis/ISKCON_Swamis_-_R_to_Y/His_Holiness_Radhanath_Swami/Lectures/01_-_Theme_wise/Krsna/Pleasing_Krsna/1996-140_Pleasing_Krishna_Is_Our_Aim_BG_18-58_-_Radhanath_Swami_Pune_1996-09-24_IDesireTree.mp3", "1996-140_Pleasing_Krishna_Is_Our_Aim_BG_18-58_-_Radhanath_Swami_Pune_1996-09-24_IDesireTree.mp3")</f>
        <v>1996-140_Pleasing_Krishna_Is_Our_Aim_BG_18-58_-_Radhanath_Swami_Pune_1996-09-24_IDesireTree.mp3</v>
      </c>
      <c r="D4059" s="11"/>
      <c r="E4059" s="11"/>
    </row>
    <row r="4060" spans="1:5">
      <c r="A4060" s="12" t="s">
        <v>12463</v>
      </c>
      <c r="B4060" s="12" t="s">
        <v>16655</v>
      </c>
      <c r="C4060" s="13" t="str">
        <f>HYPERLINK("https://audio.iskcondesiretree.com/02_-_ISKCON_Swamis/ISKCON_Swamis_-_R_to_Y/His_Holiness_Radhanath_Swami/Lectures/01_-_Theme_wise/Krsna/Pleasing_Krsna/1997-054_How_To_Please_Krishna_Lecture_-_Radhanath_Swami_Mumbai_1997-03-16_IDesireTree.mp3", "1997-054_How_To_Please_Krishna_Lecture_-_Radhanath_Swami_Mumbai_1997-03-16_IDesireTree.mp3")</f>
        <v>1997-054_How_To_Please_Krishna_Lecture_-_Radhanath_Swami_Mumbai_1997-03-16_IDesireTree.mp3</v>
      </c>
      <c r="D4060" s="11"/>
      <c r="E4060" s="11"/>
    </row>
    <row r="4061" spans="1:5">
      <c r="A4061" s="12" t="s">
        <v>12463</v>
      </c>
      <c r="B4061" s="12" t="s">
        <v>16656</v>
      </c>
      <c r="C4061" s="13" t="str">
        <f>HYPERLINK("https://audio.iskcondesiretree.com/02_-_ISKCON_Swamis/ISKCON_Swamis_-_R_to_Y/His_Holiness_Radhanath_Swami/Lectures/01_-_Theme_wise/Krsna/Pleasing_Krsna/1997-078_Our_Eagerness_Attracts_Krishna_Lecture_-_Radhanath_Swami_London_1997-05-26_IDesireTree.mp3", "1997-078_Our_Eagerness_Attracts_Krishna_Lecture_-_Radhanath_Swami_London_1997-05-26_IDesireTree.mp3")</f>
        <v>1997-078_Our_Eagerness_Attracts_Krishna_Lecture_-_Radhanath_Swami_London_1997-05-26_IDesireTree.mp3</v>
      </c>
      <c r="D4061" s="11"/>
      <c r="E4061" s="11"/>
    </row>
    <row r="4062" spans="1:5">
      <c r="A4062" s="12" t="s">
        <v>12463</v>
      </c>
      <c r="B4062" s="12" t="s">
        <v>16657</v>
      </c>
      <c r="C4062" s="13" t="str">
        <f>HYPERLINK("https://audio.iskcondesiretree.com/02_-_ISKCON_Swamis/ISKCON_Swamis_-_R_to_Y/His_Holiness_Radhanath_Swami/Lectures/01_-_Theme_wise/Krsna/Pleasing_Krsna/1997-089_Make_Krishna_The_Priority_Lecture_-_Radhanath_Swami_Mumbai_1997-08-25_IDesireTree.mp3", "1997-089_Make_Krishna_The_Priority_Lecture_-_Radhanath_Swami_Mumbai_1997-08-25_IDesireTree.mp3")</f>
        <v>1997-089_Make_Krishna_The_Priority_Lecture_-_Radhanath_Swami_Mumbai_1997-08-25_IDesireTree.mp3</v>
      </c>
      <c r="D4062" s="11"/>
      <c r="E4062" s="11"/>
    </row>
    <row r="4063" spans="1:5">
      <c r="A4063" s="12" t="s">
        <v>12463</v>
      </c>
      <c r="B4063" s="12" t="s">
        <v>16658</v>
      </c>
      <c r="C4063" s="13" t="str">
        <f>HYPERLINK("https://audio.iskcondesiretree.com/02_-_ISKCON_Swamis/ISKCON_Swamis_-_R_to_Y/His_Holiness_Radhanath_Swami/Lectures/01_-_Theme_wise/Krsna/Pleasing_Krsna/1997-100_Eagerness_To_Please_Krsna_Lecture_-_Radhanath_Swami_Moscow_1997-09-13_IDesireTree.mp3", "1997-100_Eagerness_To_Please_Krsna_Lecture_-_Radhanath_Swami_Moscow_1997-09-13_IDesireTree.mp3")</f>
        <v>1997-100_Eagerness_To_Please_Krsna_Lecture_-_Radhanath_Swami_Moscow_1997-09-13_IDesireTree.mp3</v>
      </c>
      <c r="D4063" s="11"/>
      <c r="E4063" s="11"/>
    </row>
    <row r="4064" spans="1:5">
      <c r="A4064" s="12" t="s">
        <v>12463</v>
      </c>
      <c r="B4064" s="12" t="s">
        <v>16659</v>
      </c>
      <c r="C4064" s="13" t="str">
        <f>HYPERLINK("https://audio.iskcondesiretree.com/02_-_ISKCON_Swamis/ISKCON_Swamis_-_R_to_Y/His_Holiness_Radhanath_Swami/Lectures/01_-_Theme_wise/Krsna/Pleasing_Krsna/1997-109_Simply_Please_Krishna_SB_03-02-25_-_Mumbai_1997-09-27_IDesireTree.mp3", "1997-109_Simply_Please_Krishna_SB_03-02-25_-_Mumbai_1997-09-27_IDesireTree.mp3")</f>
        <v>1997-109_Simply_Please_Krishna_SB_03-02-25_-_Mumbai_1997-09-27_IDesireTree.mp3</v>
      </c>
      <c r="D4064" s="11"/>
      <c r="E4064" s="11"/>
    </row>
    <row r="4065" spans="1:5">
      <c r="A4065" s="12" t="s">
        <v>12463</v>
      </c>
      <c r="B4065" s="12" t="s">
        <v>14335</v>
      </c>
      <c r="C4065" s="13" t="str">
        <f>HYPERLINK("https://audio.iskcondesiretree.com/02_-_ISKCON_Swamis/ISKCON_Swamis_-_R_to_Y/His_Holiness_Radhanath_Swami/Lectures/01_-_Theme_wise/Krsna/Pleasing_Krsna/1998-062_Sincere_Desire_to_Serve_-_Please_Krishna_-_Radhanath_Swami_1998-05-05_IDesireTree.mp3", "1998-062_Sincere_Desire_to_Serve_-_Please_Krishna_-_Radhanath_Swami_1998-05-05_IDesireTree.mp3")</f>
        <v>1998-062_Sincere_Desire_to_Serve_-_Please_Krishna_-_Radhanath_Swami_1998-05-05_IDesireTree.mp3</v>
      </c>
      <c r="D4065" s="11"/>
      <c r="E4065" s="11"/>
    </row>
    <row r="4066" spans="1:5">
      <c r="A4066" s="12" t="s">
        <v>12463</v>
      </c>
      <c r="B4066" s="12" t="e">
        <v>#VALUE!</v>
      </c>
      <c r="C4066" s="13" t="e">
        <f>HYPERLINK("https://audio.iskcondesiretree.com/02_-_ISKCON_Swamis/ISKCON_Swamis_-_R_to_Y/His_Holiness_Radhanath_Swami/Lectures/01_-_Theme_wise/Krsna/Taking_Shelter_of_Krsna%27s_Lotus_Feet/1995-045_How_Krishna_Protects_SB_01-08-11_-_Radhanath_Swami_Mumbai_1995-02-09.m"&amp;"p3", "1995-045_How_Krishna_Protects_SB_01-08-11_-_Radhanath_Swami_Mumbai_1995-02-09.mp3")</f>
        <v>#VALUE!</v>
      </c>
      <c r="D4066" s="11"/>
      <c r="E4066" s="11"/>
    </row>
    <row r="4067" spans="1:5">
      <c r="A4067" s="12" t="s">
        <v>12463</v>
      </c>
      <c r="B4067" s="12" t="s">
        <v>16660</v>
      </c>
      <c r="C4067" s="13" t="str">
        <f>HYPERLINK("https://audio.iskcondesiretree.com/02_-_ISKCON_Swamis/ISKCON_Swamis_-_R_to_Y/His_Holiness_Radhanath_Swami/Lectures/01_-_Theme_wise/Laws_of_God/1995-116_Laws_Of_God_SB_01-13-42_-_Radhanath_Swami_Mumbai_1995-10-06_IDesireTree.mp3", "1995-116_Laws_Of_God_SB_01-13-42_-_Radhanath_Swami_Mumbai_1995-10-06_IDesireTree.mp3")</f>
        <v>1995-116_Laws_Of_God_SB_01-13-42_-_Radhanath_Swami_Mumbai_1995-10-06_IDesireTree.mp3</v>
      </c>
      <c r="D4067" s="11"/>
      <c r="E4067" s="11"/>
    </row>
    <row r="4068" spans="1:5">
      <c r="A4068" s="12" t="s">
        <v>12463</v>
      </c>
      <c r="B4068" s="12" t="s">
        <v>16661</v>
      </c>
      <c r="C4068" s="13" t="str">
        <f>HYPERLINK("https://audio.iskcondesiretree.com/02_-_ISKCON_Swamis/ISKCON_Swamis_-_R_to_Y/His_Holiness_Radhanath_Swami/Lectures/01_-_Theme_wise/Laws_of_God/1996-085_Laws_Of_God_Will_Surely_Act_BG_03-15_-_Radhanath_Swami_Mumbai_1996-04-18_IDesireTree.mp3", "1996-085_Laws_Of_God_Will_Surely_Act_BG_03-15_-_Radhanath_Swami_Mumbai_1996-04-18_IDesireTree.mp3")</f>
        <v>1996-085_Laws_Of_God_Will_Surely_Act_BG_03-15_-_Radhanath_Swami_Mumbai_1996-04-18_IDesireTree.mp3</v>
      </c>
      <c r="D4068" s="11"/>
      <c r="E4068" s="11"/>
    </row>
    <row r="4069" spans="1:5">
      <c r="A4069" s="12" t="s">
        <v>12463</v>
      </c>
      <c r="B4069" s="12" t="s">
        <v>16662</v>
      </c>
      <c r="C4069" s="13" t="str">
        <f>HYPERLINK("https://audio.iskcondesiretree.com/02_-_ISKCON_Swamis/ISKCON_Swamis_-_R_to_Y/His_Holiness_Radhanath_Swami/Lectures/01_-_Theme_wise/Laws_of_God/1998-024_Understand_the_Laws_of_Nature_BG_04-06_-_Radhanath_Swami_Mumbai_1998-02-03_IDesireTree.mp3", "1998-024_Understand_the_Laws_of_Nature_BG_04-06_-_Radhanath_Swami_Mumbai_1998-02-03_IDesireTree.mp3")</f>
        <v>1998-024_Understand_the_Laws_of_Nature_BG_04-06_-_Radhanath_Swami_Mumbai_1998-02-03_IDesireTree.mp3</v>
      </c>
      <c r="D4069" s="11"/>
      <c r="E4069" s="11"/>
    </row>
    <row r="4070" spans="1:5">
      <c r="A4070" s="12" t="s">
        <v>12463</v>
      </c>
      <c r="B4070" s="12" t="s">
        <v>16663</v>
      </c>
      <c r="C4070" s="13" t="str">
        <f>HYPERLINK("https://audio.iskcondesiretree.com/02_-_ISKCON_Swamis/ISKCON_Swamis_-_R_to_Y/His_Holiness_Radhanath_Swami/Lectures/01_-_Theme_wise/Laziness/1989-081_Never_Become_Lazy_SB_07-13-18-21_-_Radhanath_Swami_Mumbai_1989-12-24_IDesireTree.mp3", "1989-081_Never_Become_Lazy_SB_07-13-18-21_-_Radhanath_Swami_Mumbai_1989-12-24_IDesireTree.mp3")</f>
        <v>1989-081_Never_Become_Lazy_SB_07-13-18-21_-_Radhanath_Swami_Mumbai_1989-12-24_IDesireTree.mp3</v>
      </c>
      <c r="D4070" s="11"/>
      <c r="E4070" s="11"/>
    </row>
    <row r="4071" spans="1:5">
      <c r="A4071" s="12" t="s">
        <v>12463</v>
      </c>
      <c r="B4071" s="12" t="s">
        <v>16269</v>
      </c>
      <c r="C4071" s="13" t="str">
        <f>HYPERLINK("https://audio.iskcondesiretree.com/02_-_ISKCON_Swamis/ISKCON_Swamis_-_R_to_Y/His_Holiness_Radhanath_Swami/Lectures/01_-_Theme_wise/Laziness/1992-021_Dhenukasura_Within_Us_BG_03-30_-_Radhanath_Swami_Mumbai_1992-02-03_IDesireTree.mp3", "1992-021_Dhenukasura_Within_Us_BG_03-30_-_Radhanath_Swami_Mumbai_1992-02-03_IDesireTree.mp3")</f>
        <v>1992-021_Dhenukasura_Within_Us_BG_03-30_-_Radhanath_Swami_Mumbai_1992-02-03_IDesireTree.mp3</v>
      </c>
      <c r="D4071" s="11"/>
      <c r="E4071" s="11"/>
    </row>
    <row r="4072" spans="1:5">
      <c r="A4072" s="12" t="s">
        <v>12463</v>
      </c>
      <c r="B4072" s="12" t="s">
        <v>16257</v>
      </c>
      <c r="C4072" s="13" t="str">
        <f>HYPERLINK("https://audio.iskcondesiretree.com/02_-_ISKCON_Swamis/ISKCON_Swamis_-_R_to_Y/His_Holiness_Radhanath_Swami/Lectures/01_-_Theme_wise/Laziness/1992-073_Laziness_And_False_Ego_BG_03-30_-_Radhanath_Swami_Mumbai_1992-08-16_IDesireTree.mp3", "1992-073_Laziness_And_False_Ego_BG_03-30_-_Radhanath_Swami_Mumbai_1992-08-16_IDesireTree.mp3")</f>
        <v>1992-073_Laziness_And_False_Ego_BG_03-30_-_Radhanath_Swami_Mumbai_1992-08-16_IDesireTree.mp3</v>
      </c>
      <c r="D4072" s="11"/>
      <c r="E4072" s="11"/>
    </row>
    <row r="4073" spans="1:5">
      <c r="A4073" s="12" t="s">
        <v>12463</v>
      </c>
      <c r="B4073" s="12" t="s">
        <v>16664</v>
      </c>
      <c r="C4073" s="13" t="str">
        <f>HYPERLINK("https://audio.iskcondesiretree.com/02_-_ISKCON_Swamis/ISKCON_Swamis_-_R_to_Y/His_Holiness_Radhanath_Swami/Lectures/01_-_Theme_wise/Laziness/1997-068_Overcome_Spiritual_Laziness_Lecture_-_Radhanath_Swami_Mumbai_1997-04-27_IDesireTree.mp3", "1997-068_Overcome_Spiritual_Laziness_Lecture_-_Radhanath_Swami_Mumbai_1997-04-27_IDesireTree.mp3")</f>
        <v>1997-068_Overcome_Spiritual_Laziness_Lecture_-_Radhanath_Swami_Mumbai_1997-04-27_IDesireTree.mp3</v>
      </c>
      <c r="D4073" s="11"/>
      <c r="E4073" s="11"/>
    </row>
    <row r="4074" spans="1:5">
      <c r="A4074" s="12" t="s">
        <v>12463</v>
      </c>
      <c r="B4074" s="12" t="s">
        <v>16665</v>
      </c>
      <c r="C4074" s="13" t="str">
        <f>HYPERLINK("https://audio.iskcondesiretree.com/02_-_ISKCON_Swamis/ISKCON_Swamis_-_R_to_Y/His_Holiness_Radhanath_Swami/Lectures/01_-_Theme_wise/Leadership_and_Management/1989-032_Self_Management_Lecture_-_Radhanath_Swami_Mumbai_1989-08-23_IDesireTree.mp3", "1989-032_Self_Management_Lecture_-_Radhanath_Swami_Mumbai_1989-08-23_IDesireTree.mp3")</f>
        <v>1989-032_Self_Management_Lecture_-_Radhanath_Swami_Mumbai_1989-08-23_IDesireTree.mp3</v>
      </c>
      <c r="D4074" s="11"/>
      <c r="E4074" s="11"/>
    </row>
    <row r="4075" spans="1:5">
      <c r="A4075" s="12" t="s">
        <v>12463</v>
      </c>
      <c r="B4075" s="12" t="s">
        <v>16666</v>
      </c>
      <c r="C4075" s="13" t="str">
        <f>HYPERLINK("https://audio.iskcondesiretree.com/02_-_ISKCON_Swamis/ISKCON_Swamis_-_R_to_Y/His_Holiness_Radhanath_Swami/Lectures/01_-_Theme_wise/Leadership_and_Management/1992-122_Spiritual_Vision_SB_10-16-17-18_-_Radhanath_Swami_Mumbai_1992-11-14_IDesireTree.mp3", "1992-122_Spiritual_Vision_SB_10-16-17-18_-_Radhanath_Swami_Mumbai_1992-11-14_IDesireTree.mp3")</f>
        <v>1992-122_Spiritual_Vision_SB_10-16-17-18_-_Radhanath_Swami_Mumbai_1992-11-14_IDesireTree.mp3</v>
      </c>
      <c r="D4075" s="11"/>
      <c r="E4075" s="11"/>
    </row>
    <row r="4076" spans="1:5">
      <c r="A4076" s="12" t="s">
        <v>12463</v>
      </c>
      <c r="B4076" s="12" t="s">
        <v>16667</v>
      </c>
      <c r="C4076" s="13" t="str">
        <f>HYPERLINK("https://audio.iskcondesiretree.com/02_-_ISKCON_Swamis/ISKCON_Swamis_-_R_to_Y/His_Holiness_Radhanath_Swami/Lectures/01_-_Theme_wise/Leadership_and_Management/1993-112_Ideal_Leadership_SB_05-01-07_-_Radhanath_Swami_Mumbai_1993-06-09_IDesireTree.mp3", "1993-112_Ideal_Leadership_SB_05-01-07_-_Radhanath_Swami_Mumbai_1993-06-09_IDesireTree.mp3")</f>
        <v>1993-112_Ideal_Leadership_SB_05-01-07_-_Radhanath_Swami_Mumbai_1993-06-09_IDesireTree.mp3</v>
      </c>
      <c r="D4076" s="11"/>
      <c r="E4076" s="11"/>
    </row>
    <row r="4077" spans="1:5">
      <c r="A4077" s="12" t="s">
        <v>12463</v>
      </c>
      <c r="B4077" s="12" t="s">
        <v>16668</v>
      </c>
      <c r="C4077" s="13" t="str">
        <f>HYPERLINK("https://audio.iskcondesiretree.com/02_-_ISKCON_Swamis/ISKCON_Swamis_-_R_to_Y/His_Holiness_Radhanath_Swami/Lectures/01_-_Theme_wise/Leadership_and_Management/1995-025_Blind_Leading_The_Blind_HT_-_SB_02-03-19_-_Radhanath_Swami_Belgaum_1995-01-17.mp3", "1995-025_Blind_Leading_The_Blind_HT_-_SB_02-03-19_-_Radhanath_Swami_Belgaum_1995-01-17.mp3")</f>
        <v>1995-025_Blind_Leading_The_Blind_HT_-_SB_02-03-19_-_Radhanath_Swami_Belgaum_1995-01-17.mp3</v>
      </c>
      <c r="D4077" s="11"/>
      <c r="E4077" s="11"/>
    </row>
    <row r="4078" spans="1:5">
      <c r="A4078" s="12" t="s">
        <v>12463</v>
      </c>
      <c r="B4078" s="12" t="s">
        <v>16669</v>
      </c>
      <c r="C4078" s="13" t="str">
        <f>HYPERLINK("https://audio.iskcondesiretree.com/02_-_ISKCON_Swamis/ISKCON_Swamis_-_R_to_Y/His_Holiness_Radhanath_Swami/Lectures/01_-_Theme_wise/Leadership_and_Management/1996-008_Self_Management_Lecture_-_Radhanath_Swami_Mumbai_1996-01-04.mp3", "1996-008_Self_Management_Lecture_-_Radhanath_Swami_Mumbai_1996-01-04.mp3")</f>
        <v>1996-008_Self_Management_Lecture_-_Radhanath_Swami_Mumbai_1996-01-04.mp3</v>
      </c>
      <c r="D4078" s="11"/>
      <c r="E4078" s="11"/>
    </row>
    <row r="4079" spans="1:5">
      <c r="A4079" s="12" t="s">
        <v>12463</v>
      </c>
      <c r="B4079" s="12" t="s">
        <v>16670</v>
      </c>
      <c r="C4079" s="13" t="str">
        <f>HYPERLINK("https://audio.iskcondesiretree.com/02_-_ISKCON_Swamis/ISKCON_Swamis_-_R_to_Y/His_Holiness_Radhanath_Swami/Lectures/01_-_Theme_wise/Leadership_and_Management/1998-046_Setting_an_Ideal_Example_BG_02-23_-_Radhanath_Swami_Mumbai_1998-03-06_IDesireTree.mp3", "1998-046_Setting_an_Ideal_Example_BG_02-23_-_Radhanath_Swami_Mumbai_1998-03-06_IDesireTree.mp3")</f>
        <v>1998-046_Setting_an_Ideal_Example_BG_02-23_-_Radhanath_Swami_Mumbai_1998-03-06_IDesireTree.mp3</v>
      </c>
      <c r="D4079" s="11"/>
      <c r="E4079" s="11"/>
    </row>
    <row r="4080" spans="1:5">
      <c r="A4080" s="12" t="s">
        <v>12463</v>
      </c>
      <c r="B4080" s="12" t="s">
        <v>16671</v>
      </c>
      <c r="C4080" s="13" t="str">
        <f>HYPERLINK("https://audio.iskcondesiretree.com/02_-_ISKCON_Swamis/ISKCON_Swamis_-_R_to_Y/His_Holiness_Radhanath_Swami/Lectures/01_-_Theme_wise/Leadership_and_Management/2002-050_Stress_Management_Lecture_-_Radhanath_Swami_Mumbai_2002-04-12_IDesireTree.mp3", "2002-050_Stress_Management_Lecture_-_Radhanath_Swami_Mumbai_2002-04-12_IDesireTree.mp3")</f>
        <v>2002-050_Stress_Management_Lecture_-_Radhanath_Swami_Mumbai_2002-04-12_IDesireTree.mp3</v>
      </c>
      <c r="D4080" s="11"/>
      <c r="E4080" s="11"/>
    </row>
    <row r="4081" spans="1:5">
      <c r="A4081" s="12" t="s">
        <v>12463</v>
      </c>
      <c r="B4081" s="12" t="s">
        <v>16672</v>
      </c>
      <c r="C4081" s="13" t="str">
        <f>HYPERLINK("https://audio.iskcondesiretree.com/02_-_ISKCON_Swamis/ISKCON_Swamis_-_R_to_Y/His_Holiness_Radhanath_Swami/Lectures/01_-_Theme_wise/Liberation/1991-026_Beyond_Liberation_CC_AL_01-35_-_Radhanath_Swami_Mumbai_1991-02-28_IDesireTree.mp3", "1991-026_Beyond_Liberation_CC_AL_01-35_-_Radhanath_Swami_Mumbai_1991-02-28_IDesireTree.mp3")</f>
        <v>1991-026_Beyond_Liberation_CC_AL_01-35_-_Radhanath_Swami_Mumbai_1991-02-28_IDesireTree.mp3</v>
      </c>
      <c r="D4081" s="11"/>
      <c r="E4081" s="11"/>
    </row>
    <row r="4082" spans="1:5">
      <c r="A4082" s="12" t="s">
        <v>12463</v>
      </c>
      <c r="B4082" s="12" t="s">
        <v>16673</v>
      </c>
      <c r="C4082" s="13" t="str">
        <f>HYPERLINK("https://audio.iskcondesiretree.com/02_-_ISKCON_Swamis/ISKCON_Swamis_-_R_to_Y/His_Holiness_Radhanath_Swami/Lectures/01_-_Theme_wise/Liberation/1991-029_Liberation_Is_Useless_SB_09-05-25_-_Radhanath_Swami_Mumbai_1991-03-05_IDesireTree.mp3", "1991-029_Liberation_Is_Useless_SB_09-05-25_-_Radhanath_Swami_Mumbai_1991-03-05_IDesireTree.mp3")</f>
        <v>1991-029_Liberation_Is_Useless_SB_09-05-25_-_Radhanath_Swami_Mumbai_1991-03-05_IDesireTree.mp3</v>
      </c>
      <c r="D4082" s="11"/>
      <c r="E4082" s="11"/>
    </row>
    <row r="4083" spans="1:5">
      <c r="A4083" s="12" t="s">
        <v>12463</v>
      </c>
      <c r="B4083" s="12" t="s">
        <v>16674</v>
      </c>
      <c r="C4083" s="13" t="str">
        <f>HYPERLINK("https://audio.iskcondesiretree.com/02_-_ISKCON_Swamis/ISKCON_Swamis_-_R_to_Y/His_Holiness_Radhanath_Swami/Lectures/01_-_Theme_wise/Liberation/1992-148_Free_Yourself_From_Material_Modes_BG_14-05_-_Radhanath_Swami_Mumbai_1992-12-20_IDesireTree.mp3", "1992-148_Free_Yourself_From_Material_Modes_BG_14-05_-_Radhanath_Swami_Mumbai_1992-12-20_IDesireTree.mp3")</f>
        <v>1992-148_Free_Yourself_From_Material_Modes_BG_14-05_-_Radhanath_Swami_Mumbai_1992-12-20_IDesireTree.mp3</v>
      </c>
      <c r="D4083" s="11"/>
      <c r="E4083" s="11"/>
    </row>
    <row r="4084" spans="1:5">
      <c r="A4084" s="12" t="s">
        <v>12463</v>
      </c>
      <c r="B4084" s="12" t="s">
        <v>13052</v>
      </c>
      <c r="C4084" s="13" t="str">
        <f>HYPERLINK("https://audio.iskcondesiretree.com/02_-_ISKCON_Swamis/ISKCON_Swamis_-_R_to_Y/His_Holiness_Radhanath_Swami/Lectures/01_-_Theme_wise/Lord_Chaitanya/Glory_of_Lord_Chaitanya/1989-071_Fake_Godman_CC_-_Radhanath_Swami_IDesireTree.mp3", "1989-071_Fake_Godman_CC_-_Radhanath_Swami_IDesireTree.mp3")</f>
        <v>1989-071_Fake_Godman_CC_-_Radhanath_Swami_IDesireTree.mp3</v>
      </c>
      <c r="D4084" s="11"/>
      <c r="E4084" s="11"/>
    </row>
    <row r="4085" spans="1:5">
      <c r="A4085" s="12" t="s">
        <v>12463</v>
      </c>
      <c r="B4085" s="12" t="s">
        <v>16675</v>
      </c>
      <c r="C4085" s="13" t="str">
        <f>HYPERLINK("https://audio.iskcondesiretree.com/02_-_ISKCON_Swamis/ISKCON_Swamis_-_R_to_Y/His_Holiness_Radhanath_Swami/Lectures/01_-_Theme_wise/Lord_Chaitanya/Glory_of_Lord_Chaitanya/1996-002_Pastimes_Of_Nimai_BG_10-40_-_Radhanath_Swami_Pune_1996-01-02.mp3", "1996-002_Pastimes_Of_Nimai_BG_10-40_-_Radhanath_Swami_Pune_1996-01-02.mp3")</f>
        <v>1996-002_Pastimes_Of_Nimai_BG_10-40_-_Radhanath_Swami_Pune_1996-01-02.mp3</v>
      </c>
      <c r="D4085" s="11"/>
      <c r="E4085" s="11"/>
    </row>
    <row r="4086" spans="1:5">
      <c r="A4086" s="12" t="s">
        <v>12463</v>
      </c>
      <c r="B4086" s="12" t="s">
        <v>16676</v>
      </c>
      <c r="C4086" s="13" t="str">
        <f>HYPERLINK("https://audio.iskcondesiretree.com/02_-_ISKCON_Swamis/ISKCON_Swamis_-_R_to_Y/His_Holiness_Radhanath_Swami/Lectures/01_-_Theme_wise/Lord_Chaitanya/Life_and_Pastimes_of_Lord_Chaitanya/1992-069_Sri_Caitanya_Lila_Lecture_-_Radhanath_Swami_1992_IDesireTree.mp3", "1992-069_Sri_Caitanya_Lila_Lecture_-_Radhanath_Swami_1992_IDesireTree.mp3")</f>
        <v>1992-069_Sri_Caitanya_Lila_Lecture_-_Radhanath_Swami_1992_IDesireTree.mp3</v>
      </c>
      <c r="D4086" s="11"/>
      <c r="E4086" s="11"/>
    </row>
    <row r="4087" spans="1:5">
      <c r="A4087" s="12" t="s">
        <v>12463</v>
      </c>
      <c r="B4087" s="12" t="s">
        <v>16677</v>
      </c>
      <c r="C4087" s="13" t="str">
        <f>HYPERLINK("https://audio.iskcondesiretree.com/02_-_ISKCON_Swamis/ISKCON_Swamis_-_R_to_Y/His_Holiness_Radhanath_Swami/Lectures/01_-_Theme_wise/Lord_Chaitanya/Life_and_Pastimes_of_Lord_Chaitanya/1996-005_Gaur_Nitai_Lecture_-_Radhanath_Swami_Pune_1996-01-03.mp3", "1996-005_Gaur_Nitai_Lecture_-_Radhanath_Swami_Pune_1996-01-03.mp3")</f>
        <v>1996-005_Gaur_Nitai_Lecture_-_Radhanath_Swami_Pune_1996-01-03.mp3</v>
      </c>
      <c r="D4087" s="11"/>
      <c r="E4087" s="11"/>
    </row>
    <row r="4088" spans="1:5">
      <c r="A4088" s="12" t="s">
        <v>12463</v>
      </c>
      <c r="B4088" s="12" t="s">
        <v>16263</v>
      </c>
      <c r="C4088" s="13" t="str">
        <f>HYPERLINK("https://audio.iskcondesiretree.com/02_-_ISKCON_Swamis/ISKCON_Swamis_-_R_to_Y/His_Holiness_Radhanath_Swami/Lectures/01_-_Theme_wise/Lord_Nityananda/1990-022_Lord_Nityananda_Appearance_Day_VS_1-1-12_-_Radhanath_Swami_Mumbai_1990-02-17_IDesireTree.mp3", "1990-022_Lord_Nityananda_Appearance_Day_VS_1-1-12_-_Radhanath_Swami_Mumbai_1990-02-17_IDesireTree.mp3")</f>
        <v>1990-022_Lord_Nityananda_Appearance_Day_VS_1-1-12_-_Radhanath_Swami_Mumbai_1990-02-17_IDesireTree.mp3</v>
      </c>
      <c r="D4088" s="11"/>
      <c r="E4088" s="11"/>
    </row>
    <row r="4089" spans="1:5">
      <c r="A4089" s="12" t="s">
        <v>12463</v>
      </c>
      <c r="B4089" s="12" t="s">
        <v>16678</v>
      </c>
      <c r="C4089" s="13" t="str">
        <f>HYPERLINK("https://audio.iskcondesiretree.com/02_-_ISKCON_Swamis/ISKCON_Swamis_-_R_to_Y/His_Holiness_Radhanath_Swami/Lectures/01_-_Theme_wise/Lord_Nityananda/1991-008_Lord_Nityananda-_Most_Merciful_SB_09-04-18-20_-_Radhanath_Swami_Mumbai_1991-01-28_IDesireTree.mp3", "1991-008_Lord_Nityananda-_Most_Merciful_SB_09-04-18-20_-_Radhanath_Swami_Mumbai_1991-01-28_IDesireTree.mp3")</f>
        <v>1991-008_Lord_Nityananda-_Most_Merciful_SB_09-04-18-20_-_Radhanath_Swami_Mumbai_1991-01-28_IDesireTree.mp3</v>
      </c>
      <c r="D4089" s="11"/>
      <c r="E4089" s="11"/>
    </row>
    <row r="4090" spans="1:5">
      <c r="A4090" s="12" t="s">
        <v>12463</v>
      </c>
      <c r="B4090" s="12" t="s">
        <v>16679</v>
      </c>
      <c r="C4090" s="13" t="str">
        <f>HYPERLINK("https://audio.iskcondesiretree.com/02_-_ISKCON_Swamis/ISKCON_Swamis_-_R_to_Y/His_Holiness_Radhanath_Swami/Lectures/01_-_Theme_wise/Lord_Nityananda/1992-030_Lord_Nityananda_CC_AL_01-02_-_Radhanath_Swami_Mumbai_1992-02-16_IDesireTree.mp3", "1992-030_Lord_Nityananda_CC_AL_01-02_-_Radhanath_Swami_Mumbai_1992-02-16_IDesireTree.mp3")</f>
        <v>1992-030_Lord_Nityananda_CC_AL_01-02_-_Radhanath_Swami_Mumbai_1992-02-16_IDesireTree.mp3</v>
      </c>
      <c r="D4090" s="11"/>
      <c r="E4090" s="11"/>
    </row>
    <row r="4091" spans="1:5">
      <c r="A4091" s="12" t="s">
        <v>12463</v>
      </c>
      <c r="B4091" s="12" t="s">
        <v>16680</v>
      </c>
      <c r="C4091" s="13" t="str">
        <f>HYPERLINK("https://audio.iskcondesiretree.com/02_-_ISKCON_Swamis/ISKCON_Swamis_-_R_to_Y/His_Holiness_Radhanath_Swami/Lectures/01_-_Theme_wise/Lord_Nityananda/1994-045_Lord_Nityananda_Prabhu%27s_Mercy_Lecture_-_Radhanath_Swami_Mumbai_1994-02-24_IDesireTree.mp3", "1994-045_Lord_Nityananda_Prabhu%27s_Mercy_Lecture_-_Radhanath_Swami_Mumbai_1994-02-24_IDesireTree.mp3")</f>
        <v>1994-045_Lord_Nityananda_Prabhu%27s_Mercy_Lecture_-_Radhanath_Swami_Mumbai_1994-02-24_IDesireTree.mp3</v>
      </c>
      <c r="D4091" s="11"/>
      <c r="E4091" s="11"/>
    </row>
    <row r="4092" spans="1:5">
      <c r="A4092" s="12" t="s">
        <v>12463</v>
      </c>
      <c r="B4092" s="12" t="s">
        <v>16681</v>
      </c>
      <c r="C4092" s="13" t="str">
        <f>HYPERLINK("https://audio.iskcondesiretree.com/02_-_ISKCON_Swamis/ISKCON_Swamis_-_R_to_Y/His_Holiness_Radhanath_Swami/Lectures/01_-_Theme_wise/Lord_Nityananda/1994-116_The_Glory_of_Nityananda-Balaram_Lecture_-_Radhanath_Swami_1994-08_IDesireTree.mp3", "1994-116_The_Glory_of_Nityananda-Balaram_Lecture_-_Radhanath_Swami_1994-08_IDesireTree.mp3")</f>
        <v>1994-116_The_Glory_of_Nityananda-Balaram_Lecture_-_Radhanath_Swami_1994-08_IDesireTree.mp3</v>
      </c>
      <c r="D4092" s="11"/>
      <c r="E4092" s="11"/>
    </row>
    <row r="4093" spans="1:5">
      <c r="A4093" s="12" t="s">
        <v>12463</v>
      </c>
      <c r="B4093" s="12" t="s">
        <v>16682</v>
      </c>
      <c r="C4093" s="13" t="str">
        <f>HYPERLINK("https://audio.iskcondesiretree.com/02_-_ISKCON_Swamis/ISKCON_Swamis_-_R_to_Y/His_Holiness_Radhanath_Swami/Lectures/01_-_Theme_wise/Lord_Nityananda/1994-129_Lord_Nityananda_Prabhu%27s_Mercy_Lecture_-_Radhanath_Swami_Mumbai_1994-09-03_IDesireTree.mp3", "1994-129_Lord_Nityananda_Prabhu%27s_Mercy_Lecture_-_Radhanath_Swami_Mumbai_1994-09-03_IDesireTree.mp3")</f>
        <v>1994-129_Lord_Nityananda_Prabhu%27s_Mercy_Lecture_-_Radhanath_Swami_Mumbai_1994-09-03_IDesireTree.mp3</v>
      </c>
      <c r="D4093" s="11"/>
      <c r="E4093" s="11"/>
    </row>
    <row r="4094" spans="1:5">
      <c r="A4094" s="12" t="s">
        <v>12463</v>
      </c>
      <c r="B4094" s="12" t="s">
        <v>16683</v>
      </c>
      <c r="C4094" s="13" t="str">
        <f>HYPERLINK("https://audio.iskcondesiretree.com/02_-_ISKCON_Swamis/ISKCON_Swamis_-_R_to_Y/His_Holiness_Radhanath_Swami/Lectures/01_-_Theme_wise/Lord_Nityananda/1995-049_Merciful_Lord_Nityananda_CC_ML_01-08_-_Radhanath_Swami_Mumbai_1995-02-13.mp3", "1995-049_Merciful_Lord_Nityananda_CC_ML_01-08_-_Radhanath_Swami_Mumbai_1995-02-13.mp3")</f>
        <v>1995-049_Merciful_Lord_Nityananda_CC_ML_01-08_-_Radhanath_Swami_Mumbai_1995-02-13.mp3</v>
      </c>
      <c r="D4094" s="11"/>
      <c r="E4094" s="11"/>
    </row>
    <row r="4095" spans="1:5">
      <c r="A4095" s="12" t="s">
        <v>12463</v>
      </c>
      <c r="B4095" s="12" t="s">
        <v>16677</v>
      </c>
      <c r="C4095" s="13" t="str">
        <f>HYPERLINK("https://audio.iskcondesiretree.com/02_-_ISKCON_Swamis/ISKCON_Swamis_-_R_to_Y/His_Holiness_Radhanath_Swami/Lectures/01_-_Theme_wise/Lord_Nityananda/1996-005_Gaur_Nitai_Lecture_-_Radhanath_Swami_Pune_1996-01-03.mp3", "1996-005_Gaur_Nitai_Lecture_-_Radhanath_Swami_Pune_1996-01-03.mp3")</f>
        <v>1996-005_Gaur_Nitai_Lecture_-_Radhanath_Swami_Pune_1996-01-03.mp3</v>
      </c>
      <c r="D4095" s="11"/>
      <c r="E4095" s="11"/>
    </row>
    <row r="4096" spans="1:5">
      <c r="A4096" s="12" t="s">
        <v>12463</v>
      </c>
      <c r="B4096" s="12" t="s">
        <v>16684</v>
      </c>
      <c r="C4096" s="13" t="str">
        <f>HYPERLINK("https://audio.iskcondesiretree.com/02_-_ISKCON_Swamis/ISKCON_Swamis_-_R_to_Y/His_Holiness_Radhanath_Swami/Lectures/01_-_Theme_wise/Lord_Nityananda/1996-052_Mercy_Of_Lord_Nityananda_Lecture_-_Radhanath_Swami_Mumbai_1996-03-10_IDesireTree.mp3", "1996-052_Mercy_Of_Lord_Nityananda_Lecture_-_Radhanath_Swami_Mumbai_1996-03-10_IDesireTree.mp3")</f>
        <v>1996-052_Mercy_Of_Lord_Nityananda_Lecture_-_Radhanath_Swami_Mumbai_1996-03-10_IDesireTree.mp3</v>
      </c>
      <c r="D4096" s="11"/>
      <c r="E4096" s="11"/>
    </row>
    <row r="4097" spans="1:5">
      <c r="A4097" s="12" t="s">
        <v>12463</v>
      </c>
      <c r="B4097" s="12" t="s">
        <v>16685</v>
      </c>
      <c r="C4097" s="13" t="str">
        <f>HYPERLINK("https://audio.iskcondesiretree.com/02_-_ISKCON_Swamis/ISKCON_Swamis_-_R_to_Y/His_Holiness_Radhanath_Swami/Lectures/01_-_Theme_wise/Lord_Nityananda/1996-083_Most_Merciful-_Nitai_Gaurachandra_Lecture_-_Radhanath_Swami_Mumbai_1996-04-14_IDesireTree.mp3", "1996-083_Most_Merciful-_Nitai_Gaurachandra_Lecture_-_Radhanath_Swami_Mumbai_1996-04-14_IDesireTree.mp3")</f>
        <v>1996-083_Most_Merciful-_Nitai_Gaurachandra_Lecture_-_Radhanath_Swami_Mumbai_1996-04-14_IDesireTree.mp3</v>
      </c>
      <c r="D4097" s="11"/>
      <c r="E4097" s="11"/>
    </row>
    <row r="4098" spans="1:5">
      <c r="A4098" s="12" t="s">
        <v>12463</v>
      </c>
      <c r="B4098" s="12" t="s">
        <v>16686</v>
      </c>
      <c r="C4098" s="13" t="str">
        <f>HYPERLINK("https://audio.iskcondesiretree.com/02_-_ISKCON_Swamis/ISKCON_Swamis_-_R_to_Y/His_Holiness_Radhanath_Swami/Lectures/01_-_Theme_wise/Lord_Nityananda/1997-045_Lord_Nityananda_Lecture_-_Radhanath_Swami_Mumbai_1997-02-20_IDesireTree.mp3", "1997-045_Lord_Nityananda_Lecture_-_Radhanath_Swami_Mumbai_1997-02-20_IDesireTree.mp3")</f>
        <v>1997-045_Lord_Nityananda_Lecture_-_Radhanath_Swami_Mumbai_1997-02-20_IDesireTree.mp3</v>
      </c>
      <c r="D4098" s="11"/>
      <c r="E4098" s="11"/>
    </row>
    <row r="4099" spans="1:5">
      <c r="A4099" s="12" t="s">
        <v>12463</v>
      </c>
      <c r="B4099" s="12" t="s">
        <v>16687</v>
      </c>
      <c r="C4099" s="13" t="str">
        <f>HYPERLINK("https://audio.iskcondesiretree.com/02_-_ISKCON_Swamis/ISKCON_Swamis_-_R_to_Y/His_Holiness_Radhanath_Swami/Lectures/01_-_Theme_wise/Lord_Nityananda/1997-046_Nitai_Delivers_Jagai_and_Madhai_Lecture_-_Radhanath_Swami_Mumbai_1997-02-20_IDesireTree.mp3", "1997-046_Nitai_Delivers_Jagai_and_Madhai_Lecture_-_Radhanath_Swami_Mumbai_1997-02-20_IDesireTree.mp3")</f>
        <v>1997-046_Nitai_Delivers_Jagai_and_Madhai_Lecture_-_Radhanath_Swami_Mumbai_1997-02-20_IDesireTree.mp3</v>
      </c>
      <c r="D4099" s="11"/>
      <c r="E4099" s="11"/>
    </row>
    <row r="4100" spans="1:5">
      <c r="A4100" s="12" t="s">
        <v>12463</v>
      </c>
      <c r="B4100" s="12" t="s">
        <v>16688</v>
      </c>
      <c r="C4100" s="13" t="str">
        <f>HYPERLINK("https://audio.iskcondesiretree.com/02_-_ISKCON_Swamis/ISKCON_Swamis_-_R_to_Y/His_Holiness_Radhanath_Swami/Lectures/01_-_Theme_wise/Lord_Nityananda/1998-030_Pastimes_of_Lord_Nityananda_Prabhu_Lecture_-_Radhanath_Swami_Mumbai_1998-02-09_IDesireTree.mp3", "1998-030_Pastimes_of_Lord_Nityananda_Prabhu_Lecture_-_Radhanath_Swami_Mumbai_1998-02-09_IDesireTree.mp3")</f>
        <v>1998-030_Pastimes_of_Lord_Nityananda_Prabhu_Lecture_-_Radhanath_Swami_Mumbai_1998-02-09_IDesireTree.mp3</v>
      </c>
      <c r="D4100" s="11"/>
      <c r="E4100" s="11"/>
    </row>
    <row r="4101" spans="1:5">
      <c r="A4101" s="12" t="s">
        <v>12463</v>
      </c>
      <c r="B4101" s="12" t="s">
        <v>16689</v>
      </c>
      <c r="C4101" s="13" t="str">
        <f>HYPERLINK("https://audio.iskcondesiretree.com/02_-_ISKCON_Swamis/ISKCON_Swamis_-_R_to_Y/His_Holiness_Radhanath_Swami/Lectures/01_-_Theme_wise/Lord_Nityananda/1998-031_Pastimes_of_Lord_Nityananda_Prabhu_eve_Lecture_-_Radhanath_Swami_Mumbai_1998-02-09_IDesireTree.mp3", "1998-031_Pastimes_of_Lord_Nityananda_Prabhu_eve_Lecture_-_Radhanath_Swami_Mumbai_1998-02-09_IDesireTree.mp3")</f>
        <v>1998-031_Pastimes_of_Lord_Nityananda_Prabhu_eve_Lecture_-_Radhanath_Swami_Mumbai_1998-02-09_IDesireTree.mp3</v>
      </c>
      <c r="D4101" s="11"/>
      <c r="E4101" s="11"/>
    </row>
    <row r="4102" spans="1:5">
      <c r="A4102" s="12" t="s">
        <v>12463</v>
      </c>
      <c r="B4102" s="12" t="s">
        <v>16690</v>
      </c>
      <c r="C4102" s="13" t="str">
        <f>HYPERLINK("https://audio.iskcondesiretree.com/02_-_ISKCON_Swamis/ISKCON_Swamis_-_R_to_Y/His_Holiness_Radhanath_Swami/Lectures/01_-_Theme_wise/Lord_Nityananda/2000-033_Glories_of_Lord_Nityananda_Lecture_-_Radhanath_Swami_Mumbai_2000-02-17_IDesireTree.mp3", "2000-033_Glories_of_Lord_Nityananda_Lecture_-_Radhanath_Swami_Mumbai_2000-02-17_IDesireTree.mp3")</f>
        <v>2000-033_Glories_of_Lord_Nityananda_Lecture_-_Radhanath_Swami_Mumbai_2000-02-17_IDesireTree.mp3</v>
      </c>
      <c r="D4102" s="11"/>
      <c r="E4102" s="11"/>
    </row>
    <row r="4103" spans="1:5">
      <c r="A4103" s="12" t="s">
        <v>12463</v>
      </c>
      <c r="B4103" s="12" t="e">
        <v>#VALUE!</v>
      </c>
      <c r="C4103" s="13" t="e">
        <f>HYPERLINK("https://audio.iskcondesiretree.com/02_-_ISKCON_Swamis/ISKCON_Swamis_-_R_to_Y/His_Holiness_Radhanath_Swami/Lectures/01_-_Theme_wise/Lord_Nityananda/2002-043_Pastimes_%26_Teachings_Of_Lord_Nityananda_Lecture_-_Radhanath_Swami_Mumbai_2002-02-25_IDesireTree.m"&amp;"p3", "2002-043_Pastimes_%26_Teachings_Of_Lord_Nityananda_Lecture_-_Radhanath_Swami_Mumbai_2002-02-25_IDesireTree.mp3")</f>
        <v>#VALUE!</v>
      </c>
      <c r="D4103" s="11"/>
      <c r="E4103" s="11"/>
    </row>
    <row r="4104" spans="1:5">
      <c r="A4104" s="12" t="s">
        <v>12463</v>
      </c>
      <c r="B4104" s="12" t="s">
        <v>16691</v>
      </c>
      <c r="C4104" s="13" t="str">
        <f>HYPERLINK("https://audio.iskcondesiretree.com/02_-_ISKCON_Swamis/ISKCON_Swamis_-_R_to_Y/His_Holiness_Radhanath_Swami/Lectures/01_-_Theme_wise/Lord_Nityananda/2003-082_Lord_Nityananda%27s_Mercy_Lecture_-_Radhanath_Swami_New_Vrindavan_2003-10-31_IDesireTree.mp3", "2003-082_Lord_Nityananda%27s_Mercy_Lecture_-_Radhanath_Swami_New_Vrindavan_2003-10-31_IDesireTree.mp3")</f>
        <v>2003-082_Lord_Nityananda%27s_Mercy_Lecture_-_Radhanath_Swami_New_Vrindavan_2003-10-31_IDesireTree.mp3</v>
      </c>
      <c r="D4104" s="11"/>
      <c r="E4104" s="11"/>
    </row>
    <row r="4105" spans="1:5">
      <c r="A4105" s="12" t="s">
        <v>12463</v>
      </c>
      <c r="B4105" s="12" t="s">
        <v>16692</v>
      </c>
      <c r="C4105" s="13" t="str">
        <f>HYPERLINK("https://audio.iskcondesiretree.com/02_-_ISKCON_Swamis/ISKCON_Swamis_-_R_to_Y/His_Holiness_Radhanath_Swami/Lectures/01_-_Theme_wise/Lord_Ramachandra/1990-041_Lord_Rama_BG-04_10_-_Radhanath_Swami_Mumbai_1990-04-18_IDesireTree.mp3", "1990-041_Lord_Rama_BG-04_10_-_Radhanath_Swami_Mumbai_1990-04-18_IDesireTree.mp3")</f>
        <v>1990-041_Lord_Rama_BG-04_10_-_Radhanath_Swami_Mumbai_1990-04-18_IDesireTree.mp3</v>
      </c>
      <c r="D4105" s="11"/>
      <c r="E4105" s="11"/>
    </row>
    <row r="4106" spans="1:5">
      <c r="A4106" s="12" t="s">
        <v>12463</v>
      </c>
      <c r="B4106" s="12" t="s">
        <v>16693</v>
      </c>
      <c r="C4106" s="13" t="str">
        <f>HYPERLINK("https://audio.iskcondesiretree.com/02_-_ISKCON_Swamis/ISKCON_Swamis_-_R_to_Y/His_Holiness_Radhanath_Swami/Lectures/01_-_Theme_wise/Lord_Ramachandra/1992-078_Pastimes_Of_Lord_Ramachandra_Ht_-_SB_09-11-23_-_Radhanath_Swami_Mumbai_1992-04-11_IDesireTree.mp3", "1992-078_Pastimes_Of_Lord_Ramachandra_Ht_-_SB_09-11-23_-_Radhanath_Swami_Mumbai_1992-04-11_IDesireTree.mp3")</f>
        <v>1992-078_Pastimes_Of_Lord_Ramachandra_Ht_-_SB_09-11-23_-_Radhanath_Swami_Mumbai_1992-04-11_IDesireTree.mp3</v>
      </c>
      <c r="D4106" s="11"/>
      <c r="E4106" s="11"/>
    </row>
    <row r="4107" spans="1:5">
      <c r="A4107" s="12" t="s">
        <v>12463</v>
      </c>
      <c r="B4107" s="12" t="s">
        <v>16694</v>
      </c>
      <c r="C4107" s="13" t="str">
        <f>HYPERLINK("https://audio.iskcondesiretree.com/02_-_ISKCON_Swamis/ISKCON_Swamis_-_R_to_Y/His_Holiness_Radhanath_Swami/Lectures/01_-_Theme_wise/Lord_Ramachandra/1992-137_Lord_Rama%27s_Pastimes_Lecture_-_Radhanath_Swami_Mumbai_1992-10-05_IDesireTree.mp3", "1992-137_Lord_Rama%27s_Pastimes_Lecture_-_Radhanath_Swami_Mumbai_1992-10-05_IDesireTree.mp3")</f>
        <v>1992-137_Lord_Rama%27s_Pastimes_Lecture_-_Radhanath_Swami_Mumbai_1992-10-05_IDesireTree.mp3</v>
      </c>
      <c r="D4107" s="11"/>
      <c r="E4107" s="11"/>
    </row>
    <row r="4108" spans="1:5">
      <c r="A4108" s="12" t="s">
        <v>12463</v>
      </c>
      <c r="B4108" s="12" t="s">
        <v>16695</v>
      </c>
      <c r="C4108" s="13" t="str">
        <f>HYPERLINK("https://audio.iskcondesiretree.com/02_-_ISKCON_Swamis/ISKCON_Swamis_-_R_to_Y/His_Holiness_Radhanath_Swami/Lectures/01_-_Theme_wise/Lord_Ramachandra/1993-036_Glories_Of_lord_Ramachandra_SB_09-10-04_-_Radhanath_Swami_Mumbai_1993-04-01_IDesireTree.mp3", "1993-036_Glories_Of_lord_Ramachandra_SB_09-10-04_-_Radhanath_Swami_Mumbai_1993-04-01_IDesireTree.mp3")</f>
        <v>1993-036_Glories_Of_lord_Ramachandra_SB_09-10-04_-_Radhanath_Swami_Mumbai_1993-04-01_IDesireTree.mp3</v>
      </c>
      <c r="D4108" s="11"/>
      <c r="E4108" s="11"/>
    </row>
    <row r="4109" spans="1:5">
      <c r="A4109" s="12" t="s">
        <v>12463</v>
      </c>
      <c r="B4109" s="12" t="s">
        <v>16696</v>
      </c>
      <c r="C4109" s="13" t="str">
        <f>HYPERLINK("https://audio.iskcondesiretree.com/02_-_ISKCON_Swamis/ISKCON_Swamis_-_R_to_Y/His_Holiness_Radhanath_Swami/Lectures/01_-_Theme_wise/Lord_Ramachandra/1993-037_Lord_Ramachandra%27s_Devotees_Lecture_-_Radhanath_Swami_Mumbai_1993-04-01_IDesireTree.mp3", "1993-037_Lord_Ramachandra%27s_Devotees_Lecture_-_Radhanath_Swami_Mumbai_1993-04-01_IDesireTree.mp3")</f>
        <v>1993-037_Lord_Ramachandra%27s_Devotees_Lecture_-_Radhanath_Swami_Mumbai_1993-04-01_IDesireTree.mp3</v>
      </c>
      <c r="D4109" s="11"/>
      <c r="E4109" s="11"/>
    </row>
    <row r="4110" spans="1:5">
      <c r="A4110" s="12" t="s">
        <v>12463</v>
      </c>
      <c r="B4110" s="12" t="s">
        <v>16697</v>
      </c>
      <c r="C4110" s="13" t="str">
        <f>HYPERLINK("https://audio.iskcondesiretree.com/02_-_ISKCON_Swamis/ISKCON_Swamis_-_R_to_Y/His_Holiness_Radhanath_Swami/Lectures/01_-_Theme_wise/Lord_Ramachandra/1993-158_Lord_Rama%27s_Pastimes_SB_09-11-20_-_Radhanath_Swami_Mumbai_1993-10-24_IDesireTree.mp3", "1993-158_Lord_Rama%27s_Pastimes_SB_09-11-20_-_Radhanath_Swami_Mumbai_1993-10-24_IDesireTree.mp3")</f>
        <v>1993-158_Lord_Rama%27s_Pastimes_SB_09-11-20_-_Radhanath_Swami_Mumbai_1993-10-24_IDesireTree.mp3</v>
      </c>
      <c r="D4110" s="11"/>
      <c r="E4110" s="11"/>
    </row>
    <row r="4111" spans="1:5">
      <c r="A4111" s="12" t="s">
        <v>12463</v>
      </c>
      <c r="B4111" s="12" t="s">
        <v>16698</v>
      </c>
      <c r="C4111" s="13" t="str">
        <f>HYPERLINK("https://audio.iskcondesiretree.com/02_-_ISKCON_Swamis/ISKCON_Swamis_-_R_to_Y/His_Holiness_Radhanath_Swami/Lectures/01_-_Theme_wise/Lord_Ramachandra/1995-114_Pastimes_Of_Lord_Rama_SB_09-10-23_-_Radhanath_Swami_Mumbai_1995-10-03_IDesireTree.mp3", "1995-114_Pastimes_Of_Lord_Rama_SB_09-10-23_-_Radhanath_Swami_Mumbai_1995-10-03_IDesireTree.mp3")</f>
        <v>1995-114_Pastimes_Of_Lord_Rama_SB_09-10-23_-_Radhanath_Swami_Mumbai_1995-10-03_IDesireTree.mp3</v>
      </c>
      <c r="D4111" s="11"/>
      <c r="E4111" s="11"/>
    </row>
    <row r="4112" spans="1:5">
      <c r="A4112" s="12" t="s">
        <v>12463</v>
      </c>
      <c r="B4112" s="12" t="s">
        <v>16699</v>
      </c>
      <c r="C4112" s="13" t="str">
        <f>HYPERLINK("https://audio.iskcondesiretree.com/02_-_ISKCON_Swamis/ISKCON_Swamis_-_R_to_Y/His_Holiness_Radhanath_Swami/Lectures/01_-_Theme_wise/Lord_Ramachandra/1996-066_Teachings_Of_Lord_Rama_Lectures_-_Radhanath_Swami_Mumbai_1996-03-30_IDesireTree.mp3", "1996-066_Teachings_Of_Lord_Rama_Lectures_-_Radhanath_Swami_Mumbai_1996-03-30_IDesireTree.mp3")</f>
        <v>1996-066_Teachings_Of_Lord_Rama_Lectures_-_Radhanath_Swami_Mumbai_1996-03-30_IDesireTree.mp3</v>
      </c>
      <c r="D4112" s="11"/>
      <c r="E4112" s="11"/>
    </row>
    <row r="4113" spans="1:5">
      <c r="A4113" s="12" t="s">
        <v>12463</v>
      </c>
      <c r="B4113" s="12" t="s">
        <v>16700</v>
      </c>
      <c r="C4113" s="13" t="str">
        <f>HYPERLINK("https://audio.iskcondesiretree.com/02_-_ISKCON_Swamis/ISKCON_Swamis_-_R_to_Y/His_Holiness_Radhanath_Swami/Lectures/01_-_Theme_wise/Lord_Ramachandra/1996-068_Pastimes_Of_Lord_Rama_SB_09-10-02_-_Radhanath_Swami_Mumbai_1996-03-29_IDesireTree.mp3", "1996-068_Pastimes_Of_Lord_Rama_SB_09-10-02_-_Radhanath_Swami_Mumbai_1996-03-29_IDesireTree.mp3")</f>
        <v>1996-068_Pastimes_Of_Lord_Rama_SB_09-10-02_-_Radhanath_Swami_Mumbai_1996-03-29_IDesireTree.mp3</v>
      </c>
      <c r="D4113" s="11"/>
      <c r="E4113" s="11"/>
    </row>
    <row r="4114" spans="1:5">
      <c r="A4114" s="12" t="s">
        <v>12463</v>
      </c>
      <c r="B4114" s="12" t="s">
        <v>16701</v>
      </c>
      <c r="C4114" s="13" t="str">
        <f>HYPERLINK("https://audio.iskcondesiretree.com/02_-_ISKCON_Swamis/ISKCON_Swamis_-_R_to_Y/His_Holiness_Radhanath_Swami/Lectures/01_-_Theme_wise/Lord_Ramachandra/1999-023_Lecture_Ram_Lila_-_Radhanath_Swami_Mumbai_1999-03-25_IDesireTree.mp3", "1999-023_Lecture_Ram_Lila_-_Radhanath_Swami_Mumbai_1999-03-25_IDesireTree.mp3")</f>
        <v>1999-023_Lecture_Ram_Lila_-_Radhanath_Swami_Mumbai_1999-03-25_IDesireTree.mp3</v>
      </c>
      <c r="D4114" s="11"/>
      <c r="E4114" s="11"/>
    </row>
    <row r="4115" spans="1:5">
      <c r="A4115" s="12" t="s">
        <v>12463</v>
      </c>
      <c r="B4115" s="12" t="s">
        <v>16702</v>
      </c>
      <c r="C4115" s="13" t="str">
        <f>HYPERLINK("https://audio.iskcondesiretree.com/02_-_ISKCON_Swamis/ISKCON_Swamis_-_R_to_Y/His_Holiness_Radhanath_Swami/Lectures/01_-_Theme_wise/Lord_Ramachandra/2003-069_Sri_Ramacandra_Vijayotsava_Sunday_Feast_-_Radhanath_Swami_Mumbai_2003-10-05_IDesireTree.mp3", "2003-069_Sri_Ramacandra_Vijayotsava_Sunday_Feast_-_Radhanath_Swami_Mumbai_2003-10-05_IDesireTree.mp3")</f>
        <v>2003-069_Sri_Ramacandra_Vijayotsava_Sunday_Feast_-_Radhanath_Swami_Mumbai_2003-10-05_IDesireTree.mp3</v>
      </c>
      <c r="D4115" s="11"/>
      <c r="E4115" s="11"/>
    </row>
    <row r="4116" spans="1:5">
      <c r="A4116" s="12" t="s">
        <v>12463</v>
      </c>
      <c r="B4116" s="12" t="s">
        <v>16703</v>
      </c>
      <c r="C4116" s="13" t="str">
        <f>HYPERLINK("https://audio.iskcondesiretree.com/02_-_ISKCON_Swamis/ISKCON_Swamis_-_R_to_Y/His_Holiness_Radhanath_Swami/Lectures/01_-_Theme_wise/Love/1989-059_True_Parented_Love_SB_07-10-18_-_Radhanath_Swami_Mumbai_1989-09-30_IDesireTree.mp3", "1989-059_True_Parented_Love_SB_07-10-18_-_Radhanath_Swami_Mumbai_1989-09-30_IDesireTree.mp3")</f>
        <v>1989-059_True_Parented_Love_SB_07-10-18_-_Radhanath_Swami_Mumbai_1989-09-30_IDesireTree.mp3</v>
      </c>
      <c r="D4116" s="11"/>
      <c r="E4116" s="11"/>
    </row>
    <row r="4117" spans="1:5">
      <c r="A4117" s="12" t="s">
        <v>12463</v>
      </c>
      <c r="B4117" s="12" t="s">
        <v>16704</v>
      </c>
      <c r="C4117" s="13" t="str">
        <f>HYPERLINK("https://audio.iskcondesiretree.com/02_-_ISKCON_Swamis/ISKCON_Swamis_-_R_to_Y/His_Holiness_Radhanath_Swami/Lectures/01_-_Theme_wise/Love/1989-068_God_Is_Love_Lecture_-_Radhanath_Swami_Mumbai_1989-10-15_IDesireTree.mp3", "1989-068_God_Is_Love_Lecture_-_Radhanath_Swami_Mumbai_1989-10-15_IDesireTree.mp3")</f>
        <v>1989-068_God_Is_Love_Lecture_-_Radhanath_Swami_Mumbai_1989-10-15_IDesireTree.mp3</v>
      </c>
      <c r="D4117" s="11"/>
      <c r="E4117" s="11"/>
    </row>
    <row r="4118" spans="1:5">
      <c r="A4118" s="12" t="s">
        <v>12463</v>
      </c>
      <c r="B4118" s="12" t="s">
        <v>16705</v>
      </c>
      <c r="C4118" s="13" t="str">
        <f>HYPERLINK("https://audio.iskcondesiretree.com/02_-_ISKCON_Swamis/ISKCON_Swamis_-_R_to_Y/His_Holiness_Radhanath_Swami/Lectures/01_-_Theme_wise/Love/1990-074_Perfect_Love_Lecture_-_Radhanath_Swami_Mumbai_1990-08-28_IDesireTree.mp3", "1990-074_Perfect_Love_Lecture_-_Radhanath_Swami_Mumbai_1990-08-28_IDesireTree.mp3")</f>
        <v>1990-074_Perfect_Love_Lecture_-_Radhanath_Swami_Mumbai_1990-08-28_IDesireTree.mp3</v>
      </c>
      <c r="D4118" s="11"/>
      <c r="E4118" s="11"/>
    </row>
    <row r="4119" spans="1:5">
      <c r="A4119" s="12" t="s">
        <v>12463</v>
      </c>
      <c r="B4119" s="12" t="s">
        <v>16706</v>
      </c>
      <c r="C4119" s="13" t="str">
        <f>HYPERLINK("https://audio.iskcondesiretree.com/02_-_ISKCON_Swamis/ISKCON_Swamis_-_R_to_Y/His_Holiness_Radhanath_Swami/Lectures/01_-_Theme_wise/Love/1991-023_Surrender_To_His_Love_And_Mercy_Lecture_-_Radhanath_Swami_Mumbai_1991-02-27_IDesireTree.mp3",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119" s="11"/>
      <c r="E4119" s="11"/>
    </row>
    <row r="4120" spans="1:5">
      <c r="A4120" s="12" t="s">
        <v>12463</v>
      </c>
      <c r="B4120" s="12" t="s">
        <v>16707</v>
      </c>
      <c r="C4120" s="13" t="str">
        <f>HYPERLINK("https://audio.iskcondesiretree.com/02_-_ISKCON_Swamis/ISKCON_Swamis_-_R_to_Y/His_Holiness_Radhanath_Swami/Lectures/01_-_Theme_wise/Love/1991-071_Unmotivated_Love_For_God_SB_09-13-09_-_Radhanath_Swami_Mumbai_1991-05-30_IDesireTree.mp3", "1991-071_Unmotivated_Love_For_God_SB_09-13-09_-_Radhanath_Swami_Mumbai_1991-05-30_IDesireTree.mp3")</f>
        <v>1991-071_Unmotivated_Love_For_God_SB_09-13-09_-_Radhanath_Swami_Mumbai_1991-05-30_IDesireTree.mp3</v>
      </c>
      <c r="D4120" s="11"/>
      <c r="E4120" s="11"/>
    </row>
    <row r="4121" spans="1:5">
      <c r="A4121" s="12" t="s">
        <v>12463</v>
      </c>
      <c r="B4121" s="12" t="s">
        <v>16708</v>
      </c>
      <c r="C4121" s="13" t="str">
        <f>HYPERLINK("https://audio.iskcondesiretree.com/02_-_ISKCON_Swamis/ISKCON_Swamis_-_R_to_Y/His_Holiness_Radhanath_Swami/Lectures/01_-_Theme_wise/Love/1992-051_Misdirected_Love_SB_10-07-32_-_Radhanath_Swami_Mumbai_1992-04-04_IDesireTree.mp3", "1992-051_Misdirected_Love_SB_10-07-32_-_Radhanath_Swami_Mumbai_1992-04-04_IDesireTree.mp3")</f>
        <v>1992-051_Misdirected_Love_SB_10-07-32_-_Radhanath_Swami_Mumbai_1992-04-04_IDesireTree.mp3</v>
      </c>
      <c r="D4121" s="11"/>
      <c r="E4121" s="11"/>
    </row>
    <row r="4122" spans="1:5">
      <c r="A4122" s="12" t="s">
        <v>12463</v>
      </c>
      <c r="B4122" s="12" t="s">
        <v>16709</v>
      </c>
      <c r="C4122" s="13" t="str">
        <f>HYPERLINK("https://audio.iskcondesiretree.com/02_-_ISKCON_Swamis/ISKCON_Swamis_-_R_to_Y/His_Holiness_Radhanath_Swami/Lectures/01_-_Theme_wise/Love/1992-072_Developing_Affection_SB_10_13-31-32_-_Radhanath_Swami_Mumbai_1992-08-15_IDesireTree.mp3", "1992-072_Developing_Affection_SB_10_13-31-32_-_Radhanath_Swami_Mumbai_1992-08-15_IDesireTree.mp3")</f>
        <v>1992-072_Developing_Affection_SB_10_13-31-32_-_Radhanath_Swami_Mumbai_1992-08-15_IDesireTree.mp3</v>
      </c>
      <c r="D4122" s="11"/>
      <c r="E4122" s="11"/>
    </row>
    <row r="4123" spans="1:5">
      <c r="A4123" s="12" t="s">
        <v>12463</v>
      </c>
      <c r="B4123" s="12" t="s">
        <v>16710</v>
      </c>
      <c r="C4123" s="13" t="str">
        <f>HYPERLINK("https://audio.iskcondesiretree.com/02_-_ISKCON_Swamis/ISKCON_Swamis_-_R_to_Y/His_Holiness_Radhanath_Swami/Lectures/01_-_Theme_wise/Love/1992-102_Developing_Love_Lecture_-_Radhanath_Swami_Mumbai_1992-08-29_IDesireTree.mp3", "1992-102_Developing_Love_Lecture_-_Radhanath_Swami_Mumbai_1992-08-29_IDesireTree.mp3")</f>
        <v>1992-102_Developing_Love_Lecture_-_Radhanath_Swami_Mumbai_1992-08-29_IDesireTree.mp3</v>
      </c>
      <c r="D4123" s="11"/>
      <c r="E4123" s="11"/>
    </row>
    <row r="4124" spans="1:5">
      <c r="A4124" s="12" t="s">
        <v>12463</v>
      </c>
      <c r="B4124" s="12" t="s">
        <v>16711</v>
      </c>
      <c r="C4124" s="13" t="str">
        <f>HYPERLINK("https://audio.iskcondesiretree.com/02_-_ISKCON_Swamis/ISKCON_Swamis_-_R_to_Y/His_Holiness_Radhanath_Swami/Lectures/01_-_Theme_wise/Love/1992-107_Love_Of_God_Ht_-_Lecture_-_Radhanath_Swami_Palghar_1992-09-22_IDesireTree.mp3", "1992-107_Love_Of_God_Ht_-_Lecture_-_Radhanath_Swami_Palghar_1992-09-22_IDesireTree.mp3")</f>
        <v>1992-107_Love_Of_God_Ht_-_Lecture_-_Radhanath_Swami_Palghar_1992-09-22_IDesireTree.mp3</v>
      </c>
      <c r="D4124" s="11"/>
      <c r="E4124" s="11"/>
    </row>
    <row r="4125" spans="1:5">
      <c r="A4125" s="12" t="s">
        <v>12463</v>
      </c>
      <c r="B4125" s="12" t="s">
        <v>15983</v>
      </c>
      <c r="C4125" s="13" t="str">
        <f>HYPERLINK("https://audio.iskcondesiretree.com/02_-_ISKCON_Swamis/ISKCON_Swamis_-_R_to_Y/His_Holiness_Radhanath_Swami/Lectures/01_-_Theme_wise/Love/1992-132_Love_And_Compassion_SB_06-10-08-10_-_Radhanath_Swami_Mumbai_1992-11-28_IDesireTree.mp3", "1992-132_Love_And_Compassion_SB_06-10-08-10_-_Radhanath_Swami_Mumbai_1992-11-28_IDesireTree.mp3")</f>
        <v>1992-132_Love_And_Compassion_SB_06-10-08-10_-_Radhanath_Swami_Mumbai_1992-11-28_IDesireTree.mp3</v>
      </c>
      <c r="D4125" s="11"/>
      <c r="E4125" s="11"/>
    </row>
    <row r="4126" spans="1:5">
      <c r="A4126" s="12" t="s">
        <v>12463</v>
      </c>
      <c r="B4126" s="12" t="s">
        <v>16712</v>
      </c>
      <c r="C4126" s="13" t="str">
        <f>HYPERLINK("https://audio.iskcondesiretree.com/02_-_ISKCON_Swamis/ISKCON_Swamis_-_R_to_Y/His_Holiness_Radhanath_Swami/Lectures/01_-_Theme_wise/Love/1992-163_Developing_Love_Lecture_-_Radhanath_Swami_Mumbai_1992-12-30_IDesireTree.mp3", "1992-163_Developing_Love_Lecture_-_Radhanath_Swami_Mumbai_1992-12-30_IDesireTree.mp3")</f>
        <v>1992-163_Developing_Love_Lecture_-_Radhanath_Swami_Mumbai_1992-12-30_IDesireTree.mp3</v>
      </c>
      <c r="D4126" s="11"/>
      <c r="E4126" s="11"/>
    </row>
    <row r="4127" spans="1:5">
      <c r="A4127" s="12" t="s">
        <v>12463</v>
      </c>
      <c r="B4127" s="12" t="s">
        <v>16713</v>
      </c>
      <c r="C4127" s="13" t="str">
        <f>HYPERLINK("https://audio.iskcondesiretree.com/02_-_ISKCON_Swamis/ISKCON_Swamis_-_R_to_Y/His_Holiness_Radhanath_Swami/Lectures/01_-_Theme_wise/Love/1993-020_Valentines_Day_Lecture_-_Radhanath_Swami_Mumbai_1993-02-14_IDesireTree.mp3", "1993-020_Valentines_Day_Lecture_-_Radhanath_Swami_Mumbai_1993-02-14_IDesireTree.mp3")</f>
        <v>1993-020_Valentines_Day_Lecture_-_Radhanath_Swami_Mumbai_1993-02-14_IDesireTree.mp3</v>
      </c>
      <c r="D4127" s="11"/>
      <c r="E4127" s="11"/>
    </row>
    <row r="4128" spans="1:5">
      <c r="A4128" s="12" t="s">
        <v>12463</v>
      </c>
      <c r="B4128" s="12" t="s">
        <v>15911</v>
      </c>
      <c r="C4128" s="13" t="str">
        <f>HYPERLINK("https://audio.iskcondesiretree.com/02_-_ISKCON_Swamis/ISKCON_Swamis_-_R_to_Y/His_Holiness_Radhanath_Swami/Lectures/01_-_Theme_wise/Love/1993-083_How_To_Attain_Love_Of_God_SB_03-01-04_-_Radhanath_Swami_Mumbai_1993-05-07_IDesireTree.mp3", "1993-083_How_To_Attain_Love_Of_God_SB_03-01-04_-_Radhanath_Swami_Mumbai_1993-05-07_IDesireTree.mp3")</f>
        <v>1993-083_How_To_Attain_Love_Of_God_SB_03-01-04_-_Radhanath_Swami_Mumbai_1993-05-07_IDesireTree.mp3</v>
      </c>
      <c r="D4128" s="11"/>
      <c r="E4128" s="11"/>
    </row>
    <row r="4129" spans="1:5">
      <c r="A4129" s="12" t="s">
        <v>12463</v>
      </c>
      <c r="B4129" s="12" t="s">
        <v>16714</v>
      </c>
      <c r="C4129" s="13" t="str">
        <f>HYPERLINK("https://audio.iskcondesiretree.com/02_-_ISKCON_Swamis/ISKCON_Swamis_-_R_to_Y/His_Holiness_Radhanath_Swami/Lectures/01_-_Theme_wise/Love/1993-097_Selfless_Love_For_Others_SB_10-33-26-27_-_Radhanath_Swami_Mumbai_1993-05-24_IDesireTree.mp3", "1993-097_Selfless_Love_For_Others_SB_10-33-26-27_-_Radhanath_Swami_Mumbai_1993-05-24_IDesireTree.mp3")</f>
        <v>1993-097_Selfless_Love_For_Others_SB_10-33-26-27_-_Radhanath_Swami_Mumbai_1993-05-24_IDesireTree.mp3</v>
      </c>
      <c r="D4129" s="11"/>
      <c r="E4129" s="11"/>
    </row>
    <row r="4130" spans="1:5">
      <c r="A4130" s="12" t="s">
        <v>12463</v>
      </c>
      <c r="B4130" s="12" t="s">
        <v>16715</v>
      </c>
      <c r="C4130" s="13" t="str">
        <f>HYPERLINK("https://audio.iskcondesiretree.com/02_-_ISKCON_Swamis/ISKCON_Swamis_-_R_to_Y/His_Holiness_Radhanath_Swami/Lectures/01_-_Theme_wise/Love/1993-124_Showing_Love_For_Each_Other_Lecture_-_Radhanath_Swami_Mumbai_1993-06-20_IDesireTree.mp3", "1993-124_Showing_Love_For_Each_Other_Lecture_-_Radhanath_Swami_Mumbai_1993-06-20_IDesireTree.mp3")</f>
        <v>1993-124_Showing_Love_For_Each_Other_Lecture_-_Radhanath_Swami_Mumbai_1993-06-20_IDesireTree.mp3</v>
      </c>
      <c r="D4130" s="11"/>
      <c r="E4130" s="11"/>
    </row>
    <row r="4131" spans="1:5">
      <c r="A4131" s="12" t="s">
        <v>12463</v>
      </c>
      <c r="B4131" s="12" t="s">
        <v>16716</v>
      </c>
      <c r="C4131" s="13" t="str">
        <f>HYPERLINK("https://audio.iskcondesiretree.com/02_-_ISKCON_Swamis/ISKCON_Swamis_-_R_to_Y/His_Holiness_Radhanath_Swami/Lectures/01_-_Theme_wise/Love/1997-127_Burden_Of_Love_SB_03-03-14_-_Radhanath_Swami_Mumbai_1997-10-16_IDesireTree.mp3", "1997-127_Burden_Of_Love_SB_03-03-14_-_Radhanath_Swami_Mumbai_1997-10-16_IDesireTree.mp3")</f>
        <v>1997-127_Burden_Of_Love_SB_03-03-14_-_Radhanath_Swami_Mumbai_1997-10-16_IDesireTree.mp3</v>
      </c>
      <c r="D4131" s="11"/>
      <c r="E4131" s="11"/>
    </row>
    <row r="4132" spans="1:5">
      <c r="A4132" s="12" t="s">
        <v>12463</v>
      </c>
      <c r="B4132" s="12" t="s">
        <v>16717</v>
      </c>
      <c r="C4132" s="13" t="str">
        <f>HYPERLINK("https://audio.iskcondesiretree.com/02_-_ISKCON_Swamis/ISKCON_Swamis_-_R_to_Y/His_Holiness_Radhanath_Swami/Lectures/01_-_Theme_wise/Love/1998-075_Real_Affection_SB_03-09-42_-_Radhanath_Swami_Mumbai_1998-07-26_IDesireTree.mp3", "1998-075_Real_Affection_SB_03-09-42_-_Radhanath_Swami_Mumbai_1998-07-26_IDesireTree.mp3")</f>
        <v>1998-075_Real_Affection_SB_03-09-42_-_Radhanath_Swami_Mumbai_1998-07-26_IDesireTree.mp3</v>
      </c>
      <c r="D4132" s="11"/>
      <c r="E4132" s="11"/>
    </row>
    <row r="4133" spans="1:5">
      <c r="A4133" s="12" t="s">
        <v>12463</v>
      </c>
      <c r="B4133" s="12" t="s">
        <v>16718</v>
      </c>
      <c r="C4133" s="13" t="str">
        <f>HYPERLINK("https://audio.iskcondesiretree.com/02_-_ISKCON_Swamis/ISKCON_Swamis_-_R_to_Y/His_Holiness_Radhanath_Swami/Lectures/01_-_Theme_wise/Love/1999-021_Dying-_Giving_Our_Lives_for_Krishna_BG_-_Radhanath_Swami_Mumbai_1999-03-14_IDesireTree.mp3", "1999-021_Dying-_Giving_Our_Lives_for_Krishna_BG_-_Radhanath_Swami_Mumbai_1999-03-14_IDesireTree.mp3")</f>
        <v>1999-021_Dying-_Giving_Our_Lives_for_Krishna_BG_-_Radhanath_Swami_Mumbai_1999-03-14_IDesireTree.mp3</v>
      </c>
      <c r="D4133" s="11"/>
      <c r="E4133" s="11"/>
    </row>
    <row r="4134" spans="1:5">
      <c r="A4134" s="12" t="s">
        <v>12463</v>
      </c>
      <c r="B4134" s="12" t="s">
        <v>16719</v>
      </c>
      <c r="C4134" s="13" t="str">
        <f>HYPERLINK("https://audio.iskcondesiretree.com/02_-_ISKCON_Swamis/ISKCON_Swamis_-_R_to_Y/His_Holiness_Radhanath_Swami/Lectures/01_-_Theme_wise/Love/1999-036_Soul_Searching_For_Krsna%27s_Love_Lecture_-_Radhanath_Swami_Mumbai_1999-07-03_IDesireTree.mp3", "1999-036_Soul_Searching_For_Krsna%27s_Love_Lecture_-_Radhanath_Swami_Mumbai_1999-07-03_IDesireTree.mp3")</f>
        <v>1999-036_Soul_Searching_For_Krsna%27s_Love_Lecture_-_Radhanath_Swami_Mumbai_1999-07-03_IDesireTree.mp3</v>
      </c>
      <c r="D4134" s="11"/>
      <c r="E4134" s="11"/>
    </row>
    <row r="4135" spans="1:5">
      <c r="A4135" s="12" t="s">
        <v>12463</v>
      </c>
      <c r="B4135" s="12" t="s">
        <v>16720</v>
      </c>
      <c r="C4135" s="13" t="str">
        <f>HYPERLINK("https://audio.iskcondesiretree.com/02_-_ISKCON_Swamis/ISKCON_Swamis_-_R_to_Y/His_Holiness_Radhanath_Swami/Lectures/01_-_Theme_wise/Love/2002-021_Motherly_Love_Knows_No_Bounds_SB_04-09-51-52_-_Radhanath_Swami_Mumbai_2002-01-27_IDesireTree.mp3", "2002-021_Motherly_Love_Knows_No_Bounds_SB_04-09-51-52_-_Radhanath_Swami_Mumbai_2002-01-27_IDesireTree.mp3")</f>
        <v>2002-021_Motherly_Love_Knows_No_Bounds_SB_04-09-51-52_-_Radhanath_Swami_Mumbai_2002-01-27_IDesireTree.mp3</v>
      </c>
      <c r="D4135" s="11"/>
      <c r="E4135" s="11"/>
    </row>
    <row r="4136" spans="1:5">
      <c r="A4136" s="12" t="s">
        <v>12463</v>
      </c>
      <c r="B4136" s="12" t="s">
        <v>16721</v>
      </c>
      <c r="C4136" s="13" t="str">
        <f>HYPERLINK("https://audio.iskcondesiretree.com/02_-_ISKCON_Swamis/ISKCON_Swamis_-_R_to_Y/His_Holiness_Radhanath_Swami/Lectures/01_-_Theme_wise/Love/2002-112_We_Want_To_Welcome_That_Wealth_Of_Love_Lecture_-_Radhanath_Swami_Mumbai_2002-11-23_IDesireTree.mp3", "2002-112_We_Want_To_Welcome_That_Wealth_Of_Love_Lecture_-_Radhanath_Swami_Mumbai_2002-11-23_IDesireTree.mp3")</f>
        <v>2002-112_We_Want_To_Welcome_That_Wealth_Of_Love_Lecture_-_Radhanath_Swami_Mumbai_2002-11-23_IDesireTree.mp3</v>
      </c>
      <c r="D4136" s="11"/>
      <c r="E4136" s="11"/>
    </row>
    <row r="4137" spans="1:5">
      <c r="A4137" s="12" t="s">
        <v>12463</v>
      </c>
      <c r="B4137" s="12" t="s">
        <v>16722</v>
      </c>
      <c r="C4137" s="13" t="str">
        <f>HYPERLINK("https://audio.iskcondesiretree.com/02_-_ISKCON_Swamis/ISKCON_Swamis_-_R_to_Y/His_Holiness_Radhanath_Swami/Lectures/01_-_Theme_wise/Love/2002-113_Lord_Conquered_By_Devotees_Love_Lecture_-_Radhanath_Swami_Mumbai_2002-11-23_IDesireTree.mp3", "2002-113_Lord_Conquered_By_Devotees_Love_Lecture_-_Radhanath_Swami_Mumbai_2002-11-23_IDesireTree.mp3")</f>
        <v>2002-113_Lord_Conquered_By_Devotees_Love_Lecture_-_Radhanath_Swami_Mumbai_2002-11-23_IDesireTree.mp3</v>
      </c>
      <c r="D4137" s="11"/>
      <c r="E4137" s="11"/>
    </row>
    <row r="4138" spans="1:5">
      <c r="A4138" s="12" t="s">
        <v>12463</v>
      </c>
      <c r="B4138" s="12" t="s">
        <v>16723</v>
      </c>
      <c r="C4138" s="13" t="str">
        <f>HYPERLINK("https://audio.iskcondesiretree.com/02_-_ISKCON_Swamis/ISKCON_Swamis_-_R_to_Y/His_Holiness_Radhanath_Swami/Lectures/01_-_Theme_wise/Love/2002-116_The_Power_Of_Love_Prerna_Lecture_-_Radhanath_Swami_Mumbai_2002-11-29_IDesireTree.mp3", "2002-116_The_Power_Of_Love_Prerna_Lecture_-_Radhanath_Swami_Mumbai_2002-11-29_IDesireTree.mp3")</f>
        <v>2002-116_The_Power_Of_Love_Prerna_Lecture_-_Radhanath_Swami_Mumbai_2002-11-29_IDesireTree.mp3</v>
      </c>
      <c r="D4138" s="11"/>
      <c r="E4138" s="11"/>
    </row>
    <row r="4139" spans="1:5">
      <c r="A4139" s="12" t="s">
        <v>12463</v>
      </c>
      <c r="B4139" s="12" t="s">
        <v>16724</v>
      </c>
      <c r="C4139" s="13" t="str">
        <f>HYPERLINK("https://audio.iskcondesiretree.com/02_-_ISKCON_Swamis/ISKCON_Swamis_-_R_to_Y/His_Holiness_Radhanath_Swami/Lectures/01_-_Theme_wise/Love/2003-075_Supreme_Love_of_the_Vrajavasis_Sunday_Feast_-_Radhanath_Swami_Mumbai_2003-10-19_IDesireTree.mp3", "2003-075_Supreme_Love_of_the_Vrajavasis_Sunday_Feast_-_Radhanath_Swami_Mumbai_2003-10-19_IDesireTree.mp3")</f>
        <v>2003-075_Supreme_Love_of_the_Vrajavasis_Sunday_Feast_-_Radhanath_Swami_Mumbai_2003-10-19_IDesireTree.mp3</v>
      </c>
      <c r="D4139" s="11"/>
      <c r="E4139" s="11"/>
    </row>
    <row r="4140" spans="1:5">
      <c r="A4140" s="12" t="s">
        <v>12463</v>
      </c>
      <c r="B4140" s="12" t="s">
        <v>16725</v>
      </c>
      <c r="C4140" s="13" t="str">
        <f>HYPERLINK("https://audio.iskcondesiretree.com/02_-_ISKCON_Swamis/ISKCON_Swamis_-_R_to_Y/His_Holiness_Radhanath_Swami/Lectures/01_-_Theme_wise/Love/2003-080_The_Nature_of_Prabhupada%27s_Love_Lecture_-_Radhanath_Swami_New_Vrindavan_2003-10-29_IDesireTree.mp3", "2003-080_The_Nature_of_Prabhupada%27s_Love_Lecture_-_Radhanath_Swami_New_Vrindavan_2003-10-29_IDesireTree.mp3")</f>
        <v>2003-080_The_Nature_of_Prabhupada%27s_Love_Lecture_-_Radhanath_Swami_New_Vrindavan_2003-10-29_IDesireTree.mp3</v>
      </c>
      <c r="D4140" s="11"/>
      <c r="E4140" s="11"/>
    </row>
    <row r="4141" spans="1:5">
      <c r="A4141" s="12" t="s">
        <v>12463</v>
      </c>
      <c r="B4141" s="12" t="s">
        <v>16726</v>
      </c>
      <c r="C4141" s="13" t="str">
        <f>HYPERLINK("https://audio.iskcondesiretree.com/02_-_ISKCON_Swamis/ISKCON_Swamis_-_R_to_Y/His_Holiness_Radhanath_Swami/Lectures/01_-_Theme_wise/Marriage_and_Relationships/01.Balancing_Grhastha_Life_With_Spiritual_Life_-_Mumbai_12-03-04_IDesireTree.mp3", "01.Balancing_Grhastha_Life_With_Spiritual_Life_-_Mumbai_12-03-04_IDesireTree.mp3")</f>
        <v>01.Balancing_Grhastha_Life_With_Spiritual_Life_-_Mumbai_12-03-04_IDesireTree.mp3</v>
      </c>
      <c r="D4141" s="11"/>
      <c r="E4141" s="11"/>
    </row>
    <row r="4142" spans="1:5">
      <c r="A4142" s="12" t="s">
        <v>12463</v>
      </c>
      <c r="B4142" s="12" t="s">
        <v>16727</v>
      </c>
      <c r="C4142" s="13" t="str">
        <f>HYPERLINK("https://audio.iskcondesiretree.com/02_-_ISKCON_Swamis/ISKCON_Swamis_-_R_to_Y/His_Holiness_Radhanath_Swami/Lectures/01_-_Theme_wise/Marriage_and_Relationships/02.Marriage_Address_-_Krishna_Kaniya_Pr_%26_Anjali_Mataji_-_07-02-06_IDesireTree.mp3", "02.Marriage_Address_-_Krishna_Kaniya_Pr_%26_Anjali_Mataji_-_07-02-06_IDesireTree.mp3")</f>
        <v>02.Marriage_Address_-_Krishna_Kaniya_Pr_%26_Anjali_Mataji_-_07-02-06_IDesireTree.mp3</v>
      </c>
      <c r="D4142" s="11"/>
      <c r="E4142" s="11"/>
    </row>
    <row r="4143" spans="1:5">
      <c r="A4143" s="12" t="s">
        <v>12463</v>
      </c>
      <c r="B4143" s="12" t="s">
        <v>16728</v>
      </c>
      <c r="C4143" s="13" t="str">
        <f>HYPERLINK("https://audio.iskcondesiretree.com/02_-_ISKCON_Swamis/ISKCON_Swamis_-_R_to_Y/His_Holiness_Radhanath_Swami/Lectures/01_-_Theme_wise/Marriage_and_Relationships/03.Attachment_to_Krsna_in_Marriage_Life_-_09-12-2000_Mumbai_IDesireTree.mp3", "03.Attachment_to_Krsna_in_Marriage_Life_-_09-12-2000_Mumbai_IDesireTree.mp3")</f>
        <v>03.Attachment_to_Krsna_in_Marriage_Life_-_09-12-2000_Mumbai_IDesireTree.mp3</v>
      </c>
      <c r="D4143" s="11"/>
      <c r="E4143" s="11"/>
    </row>
    <row r="4144" spans="1:5">
      <c r="A4144" s="12" t="s">
        <v>12463</v>
      </c>
      <c r="B4144" s="12" t="s">
        <v>16729</v>
      </c>
      <c r="C4144" s="13" t="str">
        <f>HYPERLINK("https://audio.iskcondesiretree.com/02_-_ISKCON_Swamis/ISKCON_Swamis_-_R_to_Y/His_Holiness_Radhanath_Swami/Lectures/01_-_Theme_wise/Marriage_and_Relationships/04.Centre_Marriage_Life_Around_Krsna_-_Radhanath_Swami_Mumbai_1996-04-25_Mumbai_IDesireTree.mp3", "04.Centre_Marriage_Life_Around_Krsna_-_Radhanath_Swami_Mumbai_1996-04-25_Mumbai_IDesireTree.mp3")</f>
        <v>04.Centre_Marriage_Life_Around_Krsna_-_Radhanath_Swami_Mumbai_1996-04-25_Mumbai_IDesireTree.mp3</v>
      </c>
      <c r="D4144" s="11"/>
      <c r="E4144" s="11"/>
    </row>
    <row r="4145" spans="1:5">
      <c r="A4145" s="12" t="s">
        <v>12463</v>
      </c>
      <c r="B4145" s="12" t="s">
        <v>16730</v>
      </c>
      <c r="C4145" s="13" t="str">
        <f>HYPERLINK("https://audio.iskcondesiretree.com/02_-_ISKCON_Swamis/ISKCON_Swamis_-_R_to_Y/His_Holiness_Radhanath_Swami/Lectures/01_-_Theme_wise/Marriage_and_Relationships/05.Ideal_Grhastha_Ashram_-_Radhanath_Swami_Mumbai_2005-03-28_IDesireTree.mp3", "05.Ideal_Grhastha_Ashram_-_Radhanath_Swami_Mumbai_2005-03-28_IDesireTree.mp3")</f>
        <v>05.Ideal_Grhastha_Ashram_-_Radhanath_Swami_Mumbai_2005-03-28_IDesireTree.mp3</v>
      </c>
      <c r="D4145" s="11"/>
      <c r="E4145" s="11"/>
    </row>
    <row r="4146" spans="1:5">
      <c r="A4146" s="12" t="s">
        <v>12463</v>
      </c>
      <c r="B4146" s="12" t="s">
        <v>16731</v>
      </c>
      <c r="C4146" s="13" t="str">
        <f>HYPERLINK("https://audio.iskcondesiretree.com/02_-_ISKCON_Swamis/ISKCON_Swamis_-_R_to_Y/His_Holiness_Radhanath_Swami/Lectures/01_-_Theme_wise/Marriage_and_Relationships/06.Grihasta_Life_Means_Sacrifice_for_Krishna_BG-03-28_-_Colonge_24-11-00_IDesireTree.mp3", "06.Grihasta_Life_Means_Sacrifice_for_Krishna_BG-03-28_-_Colonge_24-11-00_IDesireTree.mp3")</f>
        <v>06.Grihasta_Life_Means_Sacrifice_for_Krishna_BG-03-28_-_Colonge_24-11-00_IDesireTree.mp3</v>
      </c>
      <c r="D4146" s="11"/>
      <c r="E4146" s="11"/>
    </row>
    <row r="4147" spans="1:5">
      <c r="A4147" s="12" t="s">
        <v>12463</v>
      </c>
      <c r="B4147" s="12" t="s">
        <v>16732</v>
      </c>
      <c r="C4147" s="13" t="str">
        <f>HYPERLINK("https://audio.iskcondesiretree.com/02_-_ISKCON_Swamis/ISKCON_Swamis_-_R_to_Y/His_Holiness_Radhanath_Swami/Lectures/01_-_Theme_wise/Marriage_and_Relationships/07.Thorns_And_Pebbles_on_the_Path_of_Grhastha_Ashram_SB-05-14-18_-_01-10-05_IDesireTree.MP3", "07.Thorns_And_Pebbles_on_the_Path_of_Grhastha_Ashram_SB-05-14-18_-_01-10-05_IDesireTree.MP3")</f>
        <v>07.Thorns_And_Pebbles_on_the_Path_of_Grhastha_Ashram_SB-05-14-18_-_01-10-05_IDesireTree.MP3</v>
      </c>
      <c r="D4147" s="11"/>
      <c r="E4147" s="11"/>
    </row>
    <row r="4148" spans="1:5">
      <c r="A4148" s="12" t="s">
        <v>12463</v>
      </c>
      <c r="B4148" s="12" t="s">
        <v>16733</v>
      </c>
      <c r="C4148" s="13" t="str">
        <f>HYPERLINK("https://audio.iskcondesiretree.com/02_-_ISKCON_Swamis/ISKCON_Swamis_-_R_to_Y/His_Holiness_Radhanath_Swami/Lectures/01_-_Theme_wise/Marriage_and_Relationships/08.SB-06-19-18_Sincere_Husband_And_Chaste_Wife_Advance_Together_-_07-10-13_IDesireTree.mp3", "08.SB-06-19-18_Sincere_Husband_And_Chaste_Wife_Advance_Together_-_07-10-13_IDesireTree.mp3")</f>
        <v>08.SB-06-19-18_Sincere_Husband_And_Chaste_Wife_Advance_Together_-_07-10-13_IDesireTree.mp3</v>
      </c>
      <c r="D4148" s="11"/>
      <c r="E4148" s="11"/>
    </row>
    <row r="4149" spans="1:5">
      <c r="A4149" s="12" t="s">
        <v>12463</v>
      </c>
      <c r="B4149" s="12" t="s">
        <v>16734</v>
      </c>
      <c r="C4149" s="13" t="str">
        <f>HYPERLINK("https://audio.iskcondesiretree.com/02_-_ISKCON_Swamis/ISKCON_Swamis_-_R_to_Y/His_Holiness_Radhanath_Swami/Lectures/01_-_Theme_wise/Marriage_and_Relationships/09.Resolving_Conflicts_in_Grhastha_Ashram_SB-05-14-19_-_Mumbai_02-10-05_IDesireTree.MP3", "09.Resolving_Conflicts_in_Grhastha_Ashram_SB-05-14-19_-_Mumbai_02-10-05_IDesireTree.MP3")</f>
        <v>09.Resolving_Conflicts_in_Grhastha_Ashram_SB-05-14-19_-_Mumbai_02-10-05_IDesireTree.MP3</v>
      </c>
      <c r="D4149" s="11"/>
      <c r="E4149" s="11"/>
    </row>
    <row r="4150" spans="1:5">
      <c r="A4150" s="12" t="s">
        <v>12463</v>
      </c>
      <c r="B4150" s="12" t="s">
        <v>16087</v>
      </c>
      <c r="C4150" s="13" t="str">
        <f>HYPERLINK("https://audio.iskcondesiretree.com/02_-_ISKCON_Swamis/ISKCON_Swamis_-_R_to_Y/His_Holiness_Radhanath_Swami/Lectures/01_-_Theme_wise/Marriage_and_Relationships/1993-105_Attachment_To_Devotees_SB_03-25-24_-_Radhanath_Swami_Mumbai_1993-06-05_IDesireTree.mp3", "1993-105_Attachment_To_Devotees_SB_03-25-24_-_Radhanath_Swami_Mumbai_1993-06-05_IDesireTree.mp3")</f>
        <v>1993-105_Attachment_To_Devotees_SB_03-25-24_-_Radhanath_Swami_Mumbai_1993-06-05_IDesireTree.mp3</v>
      </c>
      <c r="D4150" s="11"/>
      <c r="E4150" s="11"/>
    </row>
    <row r="4151" spans="1:5">
      <c r="A4151" s="12" t="s">
        <v>12463</v>
      </c>
      <c r="B4151" s="12" t="s">
        <v>16715</v>
      </c>
      <c r="C4151" s="13" t="str">
        <f>HYPERLINK("https://audio.iskcondesiretree.com/02_-_ISKCON_Swamis/ISKCON_Swamis_-_R_to_Y/His_Holiness_Radhanath_Swami/Lectures/01_-_Theme_wise/Marriage_and_Relationships/1993-124_Showing_Love_For_Each_Other_Lecture_-_Radhanath_Swami_Mumbai_1993-06-20_IDesireTree.mp3", "1993-124_Showing_Love_For_Each_Other_Lecture_-_Radhanath_Swami_Mumbai_1993-06-20_IDesireTree.mp3")</f>
        <v>1993-124_Showing_Love_For_Each_Other_Lecture_-_Radhanath_Swami_Mumbai_1993-06-20_IDesireTree.mp3</v>
      </c>
      <c r="D4151" s="11"/>
      <c r="E4151" s="11"/>
    </row>
    <row r="4152" spans="1:5">
      <c r="A4152" s="12" t="s">
        <v>12463</v>
      </c>
      <c r="B4152" s="12" t="s">
        <v>16422</v>
      </c>
      <c r="C4152" s="13" t="str">
        <f>HYPERLINK("https://audio.iskcondesiretree.com/02_-_ISKCON_Swamis/ISKCON_Swamis_-_R_to_Y/His_Holiness_Radhanath_Swami/Lectures/01_-_Theme_wise/Marriage_and_Relationships/1995-040_Don%27t_Break_Others_Heart_SB_04-08-34_-_Radhanath_Swami_Mumbai_1995-02-01.mp3", "1995-040_Don%27t_Break_Others_Heart_SB_04-08-34_-_Radhanath_Swami_Mumbai_1995-02-01.mp3")</f>
        <v>1995-040_Don%27t_Break_Others_Heart_SB_04-08-34_-_Radhanath_Swami_Mumbai_1995-02-01.mp3</v>
      </c>
      <c r="D4152" s="11"/>
      <c r="E4152" s="11"/>
    </row>
    <row r="4153" spans="1:5">
      <c r="A4153" s="12" t="s">
        <v>12463</v>
      </c>
      <c r="B4153" s="12" t="s">
        <v>16091</v>
      </c>
      <c r="C4153" s="13" t="str">
        <f>HYPERLINK("https://audio.iskcondesiretree.com/02_-_ISKCON_Swamis/ISKCON_Swamis_-_R_to_Y/His_Holiness_Radhanath_Swami/Lectures/01_-_Theme_wise/Marriage_and_Relationships/1995-051_Affection_Between_Devotees_SB_01-08-31_-_Radhanath_Swami_Mumbai_1995-03-05.mp3", "1995-051_Affection_Between_Devotees_SB_01-08-31_-_Radhanath_Swami_Mumbai_1995-03-05.mp3")</f>
        <v>1995-051_Affection_Between_Devotees_SB_01-08-31_-_Radhanath_Swami_Mumbai_1995-03-05.mp3</v>
      </c>
      <c r="D4153" s="11"/>
      <c r="E4153" s="11"/>
    </row>
    <row r="4154" spans="1:5">
      <c r="A4154" s="12" t="s">
        <v>12463</v>
      </c>
      <c r="B4154" s="12" t="s">
        <v>16735</v>
      </c>
      <c r="C4154" s="13" t="str">
        <f>HYPERLINK("https://audio.iskcondesiretree.com/02_-_ISKCON_Swamis/ISKCON_Swamis_-_R_to_Y/His_Holiness_Radhanath_Swami/Lectures/01_-_Theme_wise/Marriage_and_Relationships/1996-017_Loving_Exchanges_Ht_-_Radhanath_Swami_Q%26A_Belgaum_1996-01-11_IDesireTree.mp3", "1996-017_Loving_Exchanges_Ht_-_Radhanath_Swami_Q%26A_Belgaum_1996-01-11_IDesireTree.mp3")</f>
        <v>1996-017_Loving_Exchanges_Ht_-_Radhanath_Swami_Q%26A_Belgaum_1996-01-11_IDesireTree.mp3</v>
      </c>
      <c r="D4154" s="11"/>
      <c r="E4154" s="11"/>
    </row>
    <row r="4155" spans="1:5">
      <c r="A4155" s="12" t="s">
        <v>12463</v>
      </c>
      <c r="B4155" s="12" t="s">
        <v>16229</v>
      </c>
      <c r="C4155" s="13" t="str">
        <f>HYPERLINK("https://audio.iskcondesiretree.com/02_-_ISKCON_Swamis/ISKCON_Swamis_-_R_to_Y/His_Holiness_Radhanath_Swami/Lectures/01_-_Theme_wise/Material_Education/1989-049_Becoming_Peaceful_SB_08-05-47_-_Radhanath_Swami_Mumbai_1989-09-24_IDesireTree.mp3",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4155" s="11"/>
      <c r="E4155" s="11"/>
    </row>
    <row r="4156" spans="1:5">
      <c r="A4156" s="12" t="s">
        <v>12463</v>
      </c>
      <c r="B4156" s="12" t="s">
        <v>16561</v>
      </c>
      <c r="C4156" s="13" t="str">
        <f>HYPERLINK("https://audio.iskcondesiretree.com/02_-_ISKCON_Swamis/ISKCON_Swamis_-_R_to_Y/His_Holiness_Radhanath_Swami/Lectures/01_-_Theme_wise/Material_Education/1991-003_Perfection_Of_All_Knowledge_SB_08-24-61_-_Radhanath_Swami_Mumbai_1991-01-25_IDesireTree.mp3", "1991-003_Perfection_Of_All_Knowledge_SB_08-24-61_-_Radhanath_Swami_Mumbai_1991-01-25_IDesireTree.mp3")</f>
        <v>1991-003_Perfection_Of_All_Knowledge_SB_08-24-61_-_Radhanath_Swami_Mumbai_1991-01-25_IDesireTree.mp3</v>
      </c>
      <c r="D4156" s="11"/>
      <c r="E4156" s="11"/>
    </row>
    <row r="4157" spans="1:5">
      <c r="A4157" s="12" t="s">
        <v>12463</v>
      </c>
      <c r="B4157" s="12" t="s">
        <v>16736</v>
      </c>
      <c r="C4157" s="13" t="str">
        <f>HYPERLINK("https://audio.iskcondesiretree.com/02_-_ISKCON_Swamis/ISKCON_Swamis_-_R_to_Y/His_Holiness_Radhanath_Swami/Lectures/01_-_Theme_wise/Material_Education/1991-043_Lecture_To_College_Students_Lecture_-_Radhanath_Swami_Mumbai_1991-05-04_IDesireTree.mp3", "1991-043_Lecture_To_College_Students_Lecture_-_Radhanath_Swami_Mumbai_1991-05-04_IDesireTree.mp3")</f>
        <v>1991-043_Lecture_To_College_Students_Lecture_-_Radhanath_Swami_Mumbai_1991-05-04_IDesireTree.mp3</v>
      </c>
      <c r="D4157" s="11"/>
      <c r="E4157" s="11"/>
    </row>
    <row r="4158" spans="1:5">
      <c r="A4158" s="12" t="s">
        <v>12463</v>
      </c>
      <c r="B4158" s="12" t="s">
        <v>16737</v>
      </c>
      <c r="C4158" s="13" t="str">
        <f>HYPERLINK("https://audio.iskcondesiretree.com/02_-_ISKCON_Swamis/ISKCON_Swamis_-_R_to_Y/His_Holiness_Radhanath_Swami/Lectures/01_-_Theme_wise/Material_Education/1996-022_What_Is_Real_Education_Lecture_-_Radhanath_Swami_Mumbai_1996-01-20_IDesireTree.mp3", "1996-022_What_Is_Real_Education_Lecture_-_Radhanath_Swami_Mumbai_1996-01-20_IDesireTree.mp3")</f>
        <v>1996-022_What_Is_Real_Education_Lecture_-_Radhanath_Swami_Mumbai_1996-01-20_IDesireTree.mp3</v>
      </c>
      <c r="D4158" s="11"/>
      <c r="E4158" s="11"/>
    </row>
    <row r="4159" spans="1:5">
      <c r="A4159" s="12" t="s">
        <v>12463</v>
      </c>
      <c r="B4159" s="12" t="s">
        <v>16738</v>
      </c>
      <c r="C4159" s="13" t="str">
        <f>HYPERLINK("https://audio.iskcondesiretree.com/02_-_ISKCON_Swamis/ISKCON_Swamis_-_R_to_Y/His_Holiness_Radhanath_Swami/Lectures/01_-_Theme_wise/Material_world/1991-005_To_Be_In_The_World_But_Not_Of_It_SB_09-01-01-08_-_Radhanath_Swami_Mumbai_1991-01-26_IDesireTree.mp3", "1991-005_To_Be_In_The_World_But_Not_Of_It_SB_09-01-01-08_-_Radhanath_Swami_Mumbai_1991-01-26_IDesireTree.mp3")</f>
        <v>1991-005_To_Be_In_The_World_But_Not_Of_It_SB_09-01-01-08_-_Radhanath_Swami_Mumbai_1991-01-26_IDesireTree.mp3</v>
      </c>
      <c r="D4159" s="11"/>
      <c r="E4159" s="11"/>
    </row>
    <row r="4160" spans="1:5">
      <c r="A4160" s="12" t="s">
        <v>12463</v>
      </c>
      <c r="B4160" s="12" t="s">
        <v>16739</v>
      </c>
      <c r="C4160" s="13" t="str">
        <f>HYPERLINK("https://audio.iskcondesiretree.com/02_-_ISKCON_Swamis/ISKCON_Swamis_-_R_to_Y/His_Holiness_Radhanath_Swami/Lectures/01_-_Theme_wise/Material_world/1993-096_Worst_Prison_House_SB_02-01-09_-_Radhanath_Swami_Mumbai_1993-05-24_IDesireTree.mp3", "1993-096_Worst_Prison_House_SB_02-01-09_-_Radhanath_Swami_Mumbai_1993-05-24_IDesireTree.mp3")</f>
        <v>1993-096_Worst_Prison_House_SB_02-01-09_-_Radhanath_Swami_Mumbai_1993-05-24_IDesireTree.mp3</v>
      </c>
      <c r="D4160" s="11"/>
      <c r="E4160" s="11"/>
    </row>
    <row r="4161" spans="1:5">
      <c r="A4161" s="12" t="s">
        <v>12463</v>
      </c>
      <c r="B4161" s="12" t="s">
        <v>16740</v>
      </c>
      <c r="C4161" s="13" t="str">
        <f>HYPERLINK("https://audio.iskcondesiretree.com/02_-_ISKCON_Swamis/ISKCON_Swamis_-_R_to_Y/His_Holiness_Radhanath_Swami/Lectures/01_-_Theme_wise/Material_world/1993-153_We_Are_Homeless_Creature_SB-10_47_04_-_Radhanath_Swami_Mumbai_1993-10-21_IDesireTree.mp3", "1993-153_We_Are_Homeless_Creature_SB-10_47_04_-_Radhanath_Swami_Mumbai_1993-10-21_IDesireTree.mp3")</f>
        <v>1993-153_We_Are_Homeless_Creature_SB-10_47_04_-_Radhanath_Swami_Mumbai_1993-10-21_IDesireTree.mp3</v>
      </c>
      <c r="D4161" s="11"/>
      <c r="E4161" s="11"/>
    </row>
    <row r="4162" spans="1:5">
      <c r="A4162" s="12" t="s">
        <v>12463</v>
      </c>
      <c r="B4162" s="12" t="s">
        <v>16741</v>
      </c>
      <c r="C4162" s="13" t="str">
        <f>HYPERLINK("https://audio.iskcondesiretree.com/02_-_ISKCON_Swamis/ISKCON_Swamis_-_R_to_Y/His_Holiness_Radhanath_Swami/Lectures/01_-_Theme_wise/Material_world/1993-156_Sinking_In_Material_Ocean_SB-01_03_22_-_Radhanath_Swami_Mumbai_1993-10-23_IDesireTree.mp3", "1993-156_Sinking_In_Material_Ocean_SB-01_03_22_-_Radhanath_Swami_Mumbai_1993-10-23_IDesireTree.mp3")</f>
        <v>1993-156_Sinking_In_Material_Ocean_SB-01_03_22_-_Radhanath_Swami_Mumbai_1993-10-23_IDesireTree.mp3</v>
      </c>
      <c r="D4162" s="11"/>
      <c r="E4162" s="11"/>
    </row>
    <row r="4163" spans="1:5">
      <c r="A4163" s="12" t="s">
        <v>12463</v>
      </c>
      <c r="B4163" s="12" t="s">
        <v>16742</v>
      </c>
      <c r="C4163" s="13" t="str">
        <f>HYPERLINK("https://audio.iskcondesiretree.com/02_-_ISKCON_Swamis/ISKCON_Swamis_-_R_to_Y/His_Holiness_Radhanath_Swami/Lectures/01_-_Theme_wise/Material_world/1994-064_Material_World_On_Blazing_Fire_SB_01-03-38-39_-_Radhanath_Swami_Mumbai_1994-05-05_IDesireTree.mp3", "1994-064_Material_World_On_Blazing_Fire_SB_01-03-38-39_-_Radhanath_Swami_Mumbai_1994-05-05_IDesireTree.mp3")</f>
        <v>1994-064_Material_World_On_Blazing_Fire_SB_01-03-38-39_-_Radhanath_Swami_Mumbai_1994-05-05_IDesireTree.mp3</v>
      </c>
      <c r="D4163" s="11"/>
      <c r="E4163" s="11"/>
    </row>
    <row r="4164" spans="1:5">
      <c r="A4164" s="12" t="s">
        <v>12463</v>
      </c>
      <c r="B4164" s="12" t="s">
        <v>16743</v>
      </c>
      <c r="C4164" s="13" t="str">
        <f>HYPERLINK("https://audio.iskcondesiretree.com/02_-_ISKCON_Swamis/ISKCON_Swamis_-_R_to_Y/His_Holiness_Radhanath_Swami/Lectures/01_-_Theme_wise/Material_world/1994-091_Nature_Of_Material_Existence_BG_18-25_-_Radhanath_Swami_Mumbai_1994-05-14_IDesireTree.mp3", "1994-091_Nature_Of_Material_Existence_BG_18-25_-_Radhanath_Swami_Mumbai_1994-05-14_IDesireTree.mp3")</f>
        <v>1994-091_Nature_Of_Material_Existence_BG_18-25_-_Radhanath_Swami_Mumbai_1994-05-14_IDesireTree.mp3</v>
      </c>
      <c r="D4164" s="11"/>
      <c r="E4164" s="11"/>
    </row>
    <row r="4165" spans="1:5">
      <c r="A4165" s="12" t="s">
        <v>12463</v>
      </c>
      <c r="B4165" s="12" t="s">
        <v>16744</v>
      </c>
      <c r="C4165" s="13" t="str">
        <f>HYPERLINK("https://audio.iskcondesiretree.com/02_-_ISKCON_Swamis/ISKCON_Swamis_-_R_to_Y/His_Holiness_Radhanath_Swami/Lectures/01_-_Theme_wise/Material_world/1995-107_Materialistic_People_Material_Desire_SB_01-13-27_-_Radhanath_Swami_Mumbai_1995-09-23_IDesireTree.mp3", "1995-107_Materialistic_People_Material_Desire_SB_01-13-27_-_Radhanath_Swami_Mumbai_1995-09-23_IDesireTree.mp3")</f>
        <v>1995-107_Materialistic_People_Material_Desire_SB_01-13-27_-_Radhanath_Swami_Mumbai_1995-09-23_IDesireTree.mp3</v>
      </c>
      <c r="D4165" s="11"/>
      <c r="E4165" s="11"/>
    </row>
    <row r="4166" spans="1:5">
      <c r="A4166" s="12" t="s">
        <v>12463</v>
      </c>
      <c r="B4166" s="12" t="s">
        <v>16745</v>
      </c>
      <c r="C4166" s="13" t="str">
        <f>HYPERLINK("https://audio.iskcondesiretree.com/02_-_ISKCON_Swamis/ISKCON_Swamis_-_R_to_Y/His_Holiness_Radhanath_Swami/Lectures/01_-_Theme_wise/Material_world/1995-117_Nature_Of_Material_Pleasure_BG_02-57_-_Radhanath_Swami_Mumbai_1995-10-07_IDesireTree.mp3", "1995-117_Nature_Of_Material_Pleasure_BG_02-57_-_Radhanath_Swami_Mumbai_1995-10-07_IDesireTree.mp3")</f>
        <v>1995-117_Nature_Of_Material_Pleasure_BG_02-57_-_Radhanath_Swami_Mumbai_1995-10-07_IDesireTree.mp3</v>
      </c>
      <c r="D4166" s="11"/>
      <c r="E4166" s="11"/>
    </row>
    <row r="4167" spans="1:5">
      <c r="A4167" s="12" t="s">
        <v>12463</v>
      </c>
      <c r="B4167" s="12" t="s">
        <v>16746</v>
      </c>
      <c r="C4167" s="13" t="str">
        <f>HYPERLINK("https://audio.iskcondesiretree.com/02_-_ISKCON_Swamis/ISKCON_Swamis_-_R_to_Y/His_Holiness_Radhanath_Swami/Lectures/01_-_Theme_wise/Material_world/1996-104_Forest_of_Material_Enjoyment_SB_05-14-19_-_Radhanath_Swami_Mumbai_1996-06_IDesireTree.mp3", "1996-104_Forest_of_Material_Enjoyment_SB_05-14-19_-_Radhanath_Swami_Mumbai_1996-06_IDesireTree.mp3")</f>
        <v>1996-104_Forest_of_Material_Enjoyment_SB_05-14-19_-_Radhanath_Swami_Mumbai_1996-06_IDesireTree.mp3</v>
      </c>
      <c r="D4167" s="11"/>
      <c r="E4167" s="11"/>
    </row>
    <row r="4168" spans="1:5">
      <c r="A4168" s="12" t="s">
        <v>12463</v>
      </c>
      <c r="B4168" s="12" t="s">
        <v>16747</v>
      </c>
      <c r="C4168" s="13" t="str">
        <f>HYPERLINK("https://audio.iskcondesiretree.com/02_-_ISKCON_Swamis/ISKCON_Swamis_-_R_to_Y/His_Holiness_Radhanath_Swami/Lectures/01_-_Theme_wise/Material_world/1997-016_Materialists_are_like_Rats_SB_04-24-66_-_Radhanath_Swami_Pune_1997-01-17_IDesireTree.mp3", "1997-016_Materialists_are_like_Rats_SB_04-24-66_-_Radhanath_Swami_Pune_1997-01-17_IDesireTree.mp3")</f>
        <v>1997-016_Materialists_are_like_Rats_SB_04-24-66_-_Radhanath_Swami_Pune_1997-01-17_IDesireTree.mp3</v>
      </c>
      <c r="D4168" s="11"/>
      <c r="E4168" s="11"/>
    </row>
    <row r="4169" spans="1:5">
      <c r="A4169" s="12" t="s">
        <v>12463</v>
      </c>
      <c r="B4169" s="12" t="s">
        <v>16748</v>
      </c>
      <c r="C4169" s="13" t="str">
        <f>HYPERLINK("https://audio.iskcondesiretree.com/02_-_ISKCON_Swamis/ISKCON_Swamis_-_R_to_Y/His_Holiness_Radhanath_Swami/Lectures/01_-_Theme_wise/Material_world/1997-063_Material_Distress_BG_04-38_-_Radhanath_Swami_Mumbai_1997-04-19_IDesireTree.mp3", "1997-063_Material_Distress_BG_04-38_-_Radhanath_Swami_Mumbai_1997-04-19_IDesireTree.mp3")</f>
        <v>1997-063_Material_Distress_BG_04-38_-_Radhanath_Swami_Mumbai_1997-04-19_IDesireTree.mp3</v>
      </c>
      <c r="D4169" s="11"/>
      <c r="E4169" s="11"/>
    </row>
    <row r="4170" spans="1:5">
      <c r="A4170" s="12" t="s">
        <v>12463</v>
      </c>
      <c r="B4170" s="12" t="s">
        <v>16749</v>
      </c>
      <c r="C4170" s="13" t="str">
        <f>HYPERLINK("https://audio.iskcondesiretree.com/02_-_ISKCON_Swamis/ISKCON_Swamis_-_R_to_Y/His_Holiness_Radhanath_Swami/Lectures/01_-_Theme_wise/Material_world/1997-067_Perverted_Reflection_SB_02-09-17_-_Radhanath_Swami_Mumbai_1997-04-24_IDesireTree.mp3", "1997-067_Perverted_Reflection_SB_02-09-17_-_Radhanath_Swami_Mumbai_1997-04-24_IDesireTree.mp3")</f>
        <v>1997-067_Perverted_Reflection_SB_02-09-17_-_Radhanath_Swami_Mumbai_1997-04-24_IDesireTree.mp3</v>
      </c>
      <c r="D4170" s="11"/>
      <c r="E4170" s="11"/>
    </row>
    <row r="4171" spans="1:5">
      <c r="A4171" s="12" t="s">
        <v>12463</v>
      </c>
      <c r="B4171" s="12" t="s">
        <v>16750</v>
      </c>
      <c r="C4171" s="13" t="str">
        <f>HYPERLINK("https://audio.iskcondesiretree.com/02_-_ISKCON_Swamis/ISKCON_Swamis_-_R_to_Y/His_Holiness_Radhanath_Swami/Lectures/01_-_Theme_wise/Material_world/1999-037_Danger_at_Every_Step_BG_-_Radhanath_Swami_Mumbai_1999-07-04_IDesireTree.mp3", "1999-037_Danger_at_Every_Step_BG_-_Radhanath_Swami_Mumbai_1999-07-04_IDesireTree.mp3")</f>
        <v>1999-037_Danger_at_Every_Step_BG_-_Radhanath_Swami_Mumbai_1999-07-04_IDesireTree.mp3</v>
      </c>
      <c r="D4171" s="11"/>
      <c r="E4171" s="11"/>
    </row>
    <row r="4172" spans="1:5">
      <c r="A4172" s="12" t="s">
        <v>12463</v>
      </c>
      <c r="B4172" s="12" t="s">
        <v>16751</v>
      </c>
      <c r="C4172" s="13" t="str">
        <f>HYPERLINK("https://audio.iskcondesiretree.com/02_-_ISKCON_Swamis/ISKCON_Swamis_-_R_to_Y/His_Holiness_Radhanath_Swami/Lectures/01_-_Theme_wise/Material_world/2000-020_Futility_of_Material_Pleasure_SB_03-25-13_-_Radhanath_Swami_Mumbai_2000-02-05_IDesireTree.mp3", "2000-020_Futility_of_Material_Pleasure_SB_03-25-13_-_Radhanath_Swami_Mumbai_2000-02-05_IDesireTree.mp3")</f>
        <v>2000-020_Futility_of_Material_Pleasure_SB_03-25-13_-_Radhanath_Swami_Mumbai_2000-02-05_IDesireTree.mp3</v>
      </c>
      <c r="D4172" s="11"/>
      <c r="E4172" s="11"/>
    </row>
    <row r="4173" spans="1:5">
      <c r="A4173" s="12" t="s">
        <v>12463</v>
      </c>
      <c r="B4173" s="12" t="s">
        <v>16752</v>
      </c>
      <c r="C4173" s="13" t="str">
        <f>HYPERLINK("https://audio.iskcondesiretree.com/02_-_ISKCON_Swamis/ISKCON_Swamis_-_R_to_Y/His_Holiness_Radhanath_Swami/Lectures/01_-_Theme_wise/Maya_and_How_to_fight_Maya/1990-054_Maya_comes_in_Disguise_SB_-_Radhanath_Swami_NV_1990-06-20_IDesireTree.mp3", "1990-054_Maya_comes_in_Disguise_SB_-_Radhanath_Swami_NV_1990-06-20_IDesireTree.mp3")</f>
        <v>1990-054_Maya_comes_in_Disguise_SB_-_Radhanath_Swami_NV_1990-06-20_IDesireTree.mp3</v>
      </c>
      <c r="D4173" s="11"/>
      <c r="E4173" s="11"/>
    </row>
    <row r="4174" spans="1:5">
      <c r="A4174" s="12" t="s">
        <v>12463</v>
      </c>
      <c r="B4174" s="12" t="s">
        <v>16753</v>
      </c>
      <c r="C4174" s="13" t="str">
        <f>HYPERLINK("https://audio.iskcondesiretree.com/02_-_ISKCON_Swamis/ISKCON_Swamis_-_R_to_Y/His_Holiness_Radhanath_Swami/Lectures/01_-_Theme_wise/Maya_and_How_to_fight_Maya/1990-082_Nothing_Is_Ours_Lecture_-_Radhanath_Swami_Mumbai_1990-09-29_IDesireTree.mp3", "1990-082_Nothing_Is_Ours_Lecture_-_Radhanath_Swami_Mumbai_1990-09-29_IDesireTree.mp3")</f>
        <v>1990-082_Nothing_Is_Ours_Lecture_-_Radhanath_Swami_Mumbai_1990-09-29_IDesireTree.mp3</v>
      </c>
      <c r="D4174" s="11"/>
      <c r="E4174" s="11"/>
    </row>
    <row r="4175" spans="1:5">
      <c r="A4175" s="12" t="s">
        <v>12463</v>
      </c>
      <c r="B4175" s="12" t="s">
        <v>16754</v>
      </c>
      <c r="C4175" s="13" t="str">
        <f>HYPERLINK("https://audio.iskcondesiretree.com/02_-_ISKCON_Swamis/ISKCON_Swamis_-_R_to_Y/His_Holiness_Radhanath_Swami/Lectures/01_-_Theme_wise/Maya_and_How_to_fight_Maya/1991-033_The_Pitfall_Of_Maya_SB_09-06-39-46_-_Radhanath_Swami_Mumbai_1991-03-09_IDesireTree.mp3", "1991-033_The_Pitfall_Of_Maya_SB_09-06-39-46_-_Radhanath_Swami_Mumbai_1991-03-09_IDesireTree.mp3")</f>
        <v>1991-033_The_Pitfall_Of_Maya_SB_09-06-39-46_-_Radhanath_Swami_Mumbai_1991-03-09_IDesireTree.mp3</v>
      </c>
      <c r="D4175" s="11"/>
      <c r="E4175" s="11"/>
    </row>
    <row r="4176" spans="1:5">
      <c r="A4176" s="12" t="s">
        <v>12463</v>
      </c>
      <c r="B4176" s="12" t="s">
        <v>16755</v>
      </c>
      <c r="C4176" s="13" t="str">
        <f>HYPERLINK("https://audio.iskcondesiretree.com/02_-_ISKCON_Swamis/ISKCON_Swamis_-_R_to_Y/His_Holiness_Radhanath_Swami/Lectures/01_-_Theme_wise/Maya_and_How_to_fight_Maya/1991-121_Relative_Truth_Is_Maya_Lecture_-_Radhanath_Swami_Mumbai_1991-11-23_IDesireTree.mp3", "1991-121_Relative_Truth_Is_Maya_Lecture_-_Radhanath_Swami_Mumbai_1991-11-23_IDesireTree.mp3")</f>
        <v>1991-121_Relative_Truth_Is_Maya_Lecture_-_Radhanath_Swami_Mumbai_1991-11-23_IDesireTree.mp3</v>
      </c>
      <c r="D4176" s="11"/>
      <c r="E4176" s="11"/>
    </row>
    <row r="4177" spans="1:5">
      <c r="A4177" s="12" t="s">
        <v>12463</v>
      </c>
      <c r="B4177" s="12" t="s">
        <v>16756</v>
      </c>
      <c r="C4177" s="13" t="str">
        <f>HYPERLINK("https://audio.iskcondesiretree.com/02_-_ISKCON_Swamis/ISKCON_Swamis_-_R_to_Y/His_Holiness_Radhanath_Swami/Lectures/01_-_Theme_wise/Maya_and_How_to_fight_Maya/1991-123_Maya_Redefined_Lecture_-_Radhanath_Swami_Mumbai_1991-11-25_IDesireTree.mp3", "1991-123_Maya_Redefined_Lecture_-_Radhanath_Swami_Mumbai_1991-11-25_IDesireTree.mp3")</f>
        <v>1991-123_Maya_Redefined_Lecture_-_Radhanath_Swami_Mumbai_1991-11-25_IDesireTree.mp3</v>
      </c>
      <c r="D4177" s="11"/>
      <c r="E4177" s="11"/>
    </row>
    <row r="4178" spans="1:5">
      <c r="A4178" s="12" t="s">
        <v>12463</v>
      </c>
      <c r="B4178" s="12" t="s">
        <v>16757</v>
      </c>
      <c r="C4178" s="13" t="str">
        <f>HYPERLINK("https://audio.iskcondesiretree.com/02_-_ISKCON_Swamis/ISKCON_Swamis_-_R_to_Y/His_Holiness_Radhanath_Swami/Lectures/01_-_Theme_wise/Maya_and_How_to_fight_Maya/1992-049_Cutting_The_Material_Roots_SB-17_27-30_Mumbai_-_29-03-92_-_IDesireTree.mp3", "1992-049_Cutting_The_Material_Roots_SB-17_27-30_Mumbai_-_29-03-92_-_IDesireTree.mp3")</f>
        <v>1992-049_Cutting_The_Material_Roots_SB-17_27-30_Mumbai_-_29-03-92_-_IDesireTree.mp3</v>
      </c>
      <c r="D4178" s="11"/>
      <c r="E4178" s="11"/>
    </row>
    <row r="4179" spans="1:5">
      <c r="A4179" s="12" t="s">
        <v>12463</v>
      </c>
      <c r="B4179" s="12" t="s">
        <v>16758</v>
      </c>
      <c r="C4179" s="13" t="str">
        <f>HYPERLINK("https://audio.iskcondesiretree.com/02_-_ISKCON_Swamis/ISKCON_Swamis_-_R_to_Y/His_Holiness_Radhanath_Swami/Lectures/01_-_Theme_wise/Maya_and_How_to_fight_Maya/1992-087_Power_Of_Maya_SB_10-13-42_-_Radhanath_Swami_Mumbai_1992-08-24_IDesireTree.mp3", "1992-087_Power_Of_Maya_SB_10-13-42_-_Radhanath_Swami_Mumbai_1992-08-24_IDesireTree.mp3")</f>
        <v>1992-087_Power_Of_Maya_SB_10-13-42_-_Radhanath_Swami_Mumbai_1992-08-24_IDesireTree.mp3</v>
      </c>
      <c r="D4179" s="11"/>
      <c r="E4179" s="11"/>
    </row>
    <row r="4180" spans="1:5">
      <c r="A4180" s="12" t="s">
        <v>12463</v>
      </c>
      <c r="B4180" s="12" t="s">
        <v>16759</v>
      </c>
      <c r="C4180" s="13" t="str">
        <f>HYPERLINK("https://audio.iskcondesiretree.com/02_-_ISKCON_Swamis/ISKCON_Swamis_-_R_to_Y/His_Holiness_Radhanath_Swami/Lectures/01_-_Theme_wise/Maya_and_How_to_fight_Maya/1993-077_Tricks_of_Maya_SB_10-27-21-23_-_Radhanath_Swami_Mumbai_1993-05-04_IDesireTree.mp3", "1993-077_Tricks_of_Maya_SB_10-27-21-23_-_Radhanath_Swami_Mumbai_1993-05-04_IDesireTree.mp3")</f>
        <v>1993-077_Tricks_of_Maya_SB_10-27-21-23_-_Radhanath_Swami_Mumbai_1993-05-04_IDesireTree.mp3</v>
      </c>
      <c r="D4180" s="11"/>
      <c r="E4180" s="11"/>
    </row>
    <row r="4181" spans="1:5">
      <c r="A4181" s="12" t="s">
        <v>12463</v>
      </c>
      <c r="B4181" s="12" t="s">
        <v>16760</v>
      </c>
      <c r="C4181" s="13" t="str">
        <f>HYPERLINK("https://audio.iskcondesiretree.com/02_-_ISKCON_Swamis/ISKCON_Swamis_-_R_to_Y/His_Holiness_Radhanath_Swami/Lectures/01_-_Theme_wise/Maya_and_How_to_fight_Maya/1994-184_Go_Beyond_The_Three_Modes_BG_14-05_-_Radhanath_Swami_Mumbai_1994-10-09_IDesireTree.mp3", "1994-184_Go_Beyond_The_Three_Modes_BG_14-05_-_Radhanath_Swami_Mumbai_1994-10-09_IDesireTree.mp3")</f>
        <v>1994-184_Go_Beyond_The_Three_Modes_BG_14-05_-_Radhanath_Swami_Mumbai_1994-10-09_IDesireTree.mp3</v>
      </c>
      <c r="D4181" s="11"/>
      <c r="E4181" s="11"/>
    </row>
    <row r="4182" spans="1:5">
      <c r="A4182" s="12" t="s">
        <v>12463</v>
      </c>
      <c r="B4182" s="12" t="s">
        <v>16761</v>
      </c>
      <c r="C4182" s="13" t="str">
        <f>HYPERLINK("https://audio.iskcondesiretree.com/02_-_ISKCON_Swamis/ISKCON_Swamis_-_R_to_Y/His_Holiness_Radhanath_Swami/Lectures/01_-_Theme_wise/Maya_and_How_to_fight_Maya/1999-064_Maya_Seizes_an_Offender_SB_06-09-43_-_Radhanath_Swami_Mumbai_1999-12-27_IDesireTree.mp3", "1999-064_Maya_Seizes_an_Offender_SB_06-09-43_-_Radhanath_Swami_Mumbai_1999-12-27_IDesireTree.mp3")</f>
        <v>1999-064_Maya_Seizes_an_Offender_SB_06-09-43_-_Radhanath_Swami_Mumbai_1999-12-27_IDesireTree.mp3</v>
      </c>
      <c r="D4182" s="11"/>
      <c r="E4182" s="11"/>
    </row>
    <row r="4183" spans="1:5">
      <c r="A4183" s="12" t="s">
        <v>12463</v>
      </c>
      <c r="B4183" s="12" t="s">
        <v>16762</v>
      </c>
      <c r="C4183" s="13" t="str">
        <f>HYPERLINK("https://audio.iskcondesiretree.com/02_-_ISKCON_Swamis/ISKCON_Swamis_-_R_to_Y/His_Holiness_Radhanath_Swami/Lectures/01_-_Theme_wise/Maya_and_How_to_fight_Maya/2000-006_Beware_of_Maya%27s_Hijackers_Lecture_-_Radhanath_Swami_Mumbai_2000-01-12_IDesireTree.mp3", "2000-006_Beware_of_Maya%27s_Hijackers_Lecture_-_Radhanath_Swami_Mumbai_2000-01-12_IDesireTree.mp3")</f>
        <v>2000-006_Beware_of_Maya%27s_Hijackers_Lecture_-_Radhanath_Swami_Mumbai_2000-01-12_IDesireTree.mp3</v>
      </c>
      <c r="D4183" s="11"/>
      <c r="E4183" s="11"/>
    </row>
    <row r="4184" spans="1:5">
      <c r="A4184" s="12" t="s">
        <v>12463</v>
      </c>
      <c r="B4184" s="12" t="e">
        <v>#VALUE!</v>
      </c>
      <c r="C4184" s="13" t="e">
        <f>HYPERLINK("https://audio.iskcondesiretree.com/02_-_ISKCON_Swamis/ISKCON_Swamis_-_R_to_Y/His_Holiness_Radhanath_Swami/Lectures/01_-_Theme_wise/Maya_and_How_to_fight_Maya/2003-044_Never_Trust_Maya%27s_Promises_SB_05-18-26_-_Radhanath_Swami_US_2003-07-25_IDesireTree.mp"&amp;"3", "2003-044_Never_Trust_Maya%27s_Promises_SB_05-18-26_-_Radhanath_Swami_US_2003-07-25_IDesireTree.mp3")</f>
        <v>#VALUE!</v>
      </c>
      <c r="D4184" s="11"/>
      <c r="E4184" s="11"/>
    </row>
    <row r="4185" spans="1:5">
      <c r="A4185" s="12" t="s">
        <v>12463</v>
      </c>
      <c r="B4185" s="12" t="s">
        <v>16763</v>
      </c>
      <c r="C4185" s="13" t="str">
        <f>HYPERLINK("https://audio.iskcondesiretree.com/02_-_ISKCON_Swamis/ISKCON_Swamis_-_R_to_Y/His_Holiness_Radhanath_Swami/Lectures/01_-_Theme_wise/Mercy/1989-048_Merciful_Like_Ganga_Jamuna_SB_07-10-36-38_-_Radhanath_Swami_Mumbai_1989-09-24_IDesireTree.mp3", "1989-048_Merciful_Like_Ganga_Jamuna_SB_07-10-36-38_-_Radhanath_Swami_Mumbai_1989-09-24_IDesireTree.mp3")</f>
        <v>1989-048_Merciful_Like_Ganga_Jamuna_SB_07-10-36-38_-_Radhanath_Swami_Mumbai_1989-09-24_IDesireTree.mp3</v>
      </c>
      <c r="D4185" s="11"/>
      <c r="E4185" s="11"/>
    </row>
    <row r="4186" spans="1:5">
      <c r="A4186" s="12" t="s">
        <v>12463</v>
      </c>
      <c r="B4186" s="12" t="s">
        <v>16764</v>
      </c>
      <c r="C4186" s="13" t="str">
        <f>HYPERLINK("https://audio.iskcondesiretree.com/02_-_ISKCON_Swamis/ISKCON_Swamis_-_R_to_Y/His_Holiness_Radhanath_Swami/Lectures/01_-_Theme_wise/Mercy/1989-070_Without_Mercy_Of_Lord_We_Are_Hopeless_BG_08-15_-_Radhanath_Swami_Mumbai_1989-10-19_IDesireTree.mp3", "1989-070_Without_Mercy_Of_Lord_We_Are_Hopeless_BG_08-15_-_Radhanath_Swami_Mumbai_1989-10-19_IDesireTree.mp3")</f>
        <v>1989-070_Without_Mercy_Of_Lord_We_Are_Hopeless_BG_08-15_-_Radhanath_Swami_Mumbai_1989-10-19_IDesireTree.mp3</v>
      </c>
      <c r="D4186" s="11"/>
      <c r="E4186" s="11"/>
    </row>
    <row r="4187" spans="1:5">
      <c r="A4187" s="12" t="s">
        <v>12463</v>
      </c>
      <c r="B4187" s="12" t="s">
        <v>16232</v>
      </c>
      <c r="C4187" s="13" t="str">
        <f>HYPERLINK("https://audio.iskcondesiretree.com/02_-_ISKCON_Swamis/ISKCON_Swamis_-_R_to_Y/His_Holiness_Radhanath_Swami/Lectures/01_-_Theme_wise/Mercy/1990-058_Trust_In_Mercy_Of_God_SB_08-06-14_-_Radhanath_Swami_Mumbai_1990-08-09_IDesireTree.mp3", "1990-058_Trust_In_Mercy_Of_God_SB_08-06-14_-_Radhanath_Swami_Mumbai_1990-08-09_IDesireTree.mp3")</f>
        <v>1990-058_Trust_In_Mercy_Of_God_SB_08-06-14_-_Radhanath_Swami_Mumbai_1990-08-09_IDesireTree.mp3</v>
      </c>
      <c r="D4187" s="11"/>
      <c r="E4187" s="11"/>
    </row>
    <row r="4188" spans="1:5">
      <c r="A4188" s="12" t="s">
        <v>12463</v>
      </c>
      <c r="B4188" s="12" t="s">
        <v>16706</v>
      </c>
      <c r="C4188" s="13" t="str">
        <f>HYPERLINK("https://audio.iskcondesiretree.com/02_-_ISKCON_Swamis/ISKCON_Swamis_-_R_to_Y/His_Holiness_Radhanath_Swami/Lectures/01_-_Theme_wise/Mercy/1991-023_Surrender_To_His_Love_And_Mercy_Lecture_-_Radhanath_Swami_Mumbai_1991-02-27_IDesireTree.mp3",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188" s="11"/>
      <c r="E4188" s="11"/>
    </row>
    <row r="4189" spans="1:5">
      <c r="A4189" s="12" t="s">
        <v>12463</v>
      </c>
      <c r="B4189" s="12" t="s">
        <v>16765</v>
      </c>
      <c r="C4189" s="13" t="str">
        <f>HYPERLINK("https://audio.iskcondesiretree.com/02_-_ISKCON_Swamis/ISKCON_Swamis_-_R_to_Y/His_Holiness_Radhanath_Swami/Lectures/01_-_Theme_wise/Mercy/1991-151_Causeless_Mercy_SB_10-03-15-17_-_Radhanath_Swami_Mumbai_1991-12-26_IDesireTree.mp3", "1991-151_Causeless_Mercy_SB_10-03-15-17_-_Radhanath_Swami_Mumbai_1991-12-26_IDesireTree.mp3")</f>
        <v>1991-151_Causeless_Mercy_SB_10-03-15-17_-_Radhanath_Swami_Mumbai_1991-12-26_IDesireTree.mp3</v>
      </c>
      <c r="D4189" s="11"/>
      <c r="E4189" s="11"/>
    </row>
    <row r="4190" spans="1:5">
      <c r="A4190" s="12" t="s">
        <v>12463</v>
      </c>
      <c r="B4190" s="12" t="s">
        <v>16083</v>
      </c>
      <c r="C4190" s="13" t="str">
        <f>HYPERLINK("https://audio.iskcondesiretree.com/02_-_ISKCON_Swamis/ISKCON_Swamis_-_R_to_Y/His_Holiness_Radhanath_Swami/Lectures/01_-_Theme_wise/Mercy/1991-154_Lord%27s_Merciful_Devotees_CC_AL_01-01_-_Radhanath_Swami_Mumbai_1991-12-12_IDesireTree.mp3", "1991-154_Lord%27s_Merciful_Devotees_CC_AL_01-01_-_Radhanath_Swami_Mumbai_1991-12-12_IDesireTree.mp3")</f>
        <v>1991-154_Lord%27s_Merciful_Devotees_CC_AL_01-01_-_Radhanath_Swami_Mumbai_1991-12-12_IDesireTree.mp3</v>
      </c>
      <c r="D4190" s="11"/>
      <c r="E4190" s="11"/>
    </row>
    <row r="4191" spans="1:5">
      <c r="A4191" s="12" t="s">
        <v>12463</v>
      </c>
      <c r="B4191" s="12" t="s">
        <v>16766</v>
      </c>
      <c r="C4191" s="13" t="str">
        <f>HYPERLINK("https://audio.iskcondesiretree.com/02_-_ISKCON_Swamis/ISKCON_Swamis_-_R_to_Y/His_Holiness_Radhanath_Swami/Lectures/01_-_Theme_wise/Mercy/1992-099_Without_Mercy_Nothing_Is_Possible_SB_10-14-02_-_Radhanath_Swami_Mumbai_1992-09-11_IDesireTree.mp3", "1992-099_Without_Mercy_Nothing_Is_Possible_SB_10-14-02_-_Radhanath_Swami_Mumbai_1992-09-11_IDesireTree.mp3")</f>
        <v>1992-099_Without_Mercy_Nothing_Is_Possible_SB_10-14-02_-_Radhanath_Swami_Mumbai_1992-09-11_IDesireTree.mp3</v>
      </c>
      <c r="D4191" s="11"/>
      <c r="E4191" s="11"/>
    </row>
    <row r="4192" spans="1:5">
      <c r="A4192" s="12" t="s">
        <v>12463</v>
      </c>
      <c r="B4192" s="12" t="s">
        <v>16767</v>
      </c>
      <c r="C4192" s="13" t="str">
        <f>HYPERLINK("https://audio.iskcondesiretree.com/02_-_ISKCON_Swamis/ISKCON_Swamis_-_R_to_Y/His_Holiness_Radhanath_Swami/Lectures/01_-_Theme_wise/Mercy/1992-118_Lord%27s_Special_Mercy_SB_10-14-08_-_Radhanath_Swami_Mumbai_1992-09-16_IDesireTree.mp3", "1992-118_Lord%27s_Special_Mercy_SB_10-14-08_-_Radhanath_Swami_Mumbai_1992-09-16_IDesireTree.mp3")</f>
        <v>1992-118_Lord%27s_Special_Mercy_SB_10-14-08_-_Radhanath_Swami_Mumbai_1992-09-16_IDesireTree.mp3</v>
      </c>
      <c r="D4192" s="11"/>
      <c r="E4192" s="11"/>
    </row>
    <row r="4193" spans="1:5">
      <c r="A4193" s="12" t="s">
        <v>12463</v>
      </c>
      <c r="B4193" s="12" t="s">
        <v>16768</v>
      </c>
      <c r="C4193" s="13" t="str">
        <f>HYPERLINK("https://audio.iskcondesiretree.com/02_-_ISKCON_Swamis/ISKCON_Swamis_-_R_to_Y/His_Holiness_Radhanath_Swami/Lectures/01_-_Theme_wise/Mercy/1993-031_Accept_Lord_Krishna%27s_Mercy_SB_10-25-11-13_-_Radhanath_Swami_Mumbai_1993-03-27_IDesireTree.mp3", "1993-031_Accept_Lord_Krishna%27s_Mercy_SB_10-25-11-13_-_Radhanath_Swami_Mumbai_1993-03-27_IDesireTree.mp3")</f>
        <v>1993-031_Accept_Lord_Krishna%27s_Mercy_SB_10-25-11-13_-_Radhanath_Swami_Mumbai_1993-03-27_IDesireTree.mp3</v>
      </c>
      <c r="D4193" s="11"/>
      <c r="E4193" s="11"/>
    </row>
    <row r="4194" spans="1:5">
      <c r="A4194" s="12" t="s">
        <v>12463</v>
      </c>
      <c r="B4194" s="12" t="s">
        <v>16769</v>
      </c>
      <c r="C4194" s="13" t="str">
        <f>HYPERLINK("https://audio.iskcondesiretree.com/02_-_ISKCON_Swamis/ISKCON_Swamis_-_R_to_Y/His_Holiness_Radhanath_Swami/Lectures/01_-_Theme_wise/Mercy/1993-115_Thank_for_Lord_Krsna%27s_Mercy_SB_01-08-38-39_-_Radhanath_Swami_Mumbai_1993-06-12_IDesireTree.mp3", "1993-115_Thank_for_Lord_Krsna%27s_Mercy_SB_01-08-38-39_-_Radhanath_Swami_Mumbai_1993-06-12_IDesireTree.mp3")</f>
        <v>1993-115_Thank_for_Lord_Krsna%27s_Mercy_SB_01-08-38-39_-_Radhanath_Swami_Mumbai_1993-06-12_IDesireTree.mp3</v>
      </c>
      <c r="D4194" s="11"/>
      <c r="E4194" s="11"/>
    </row>
    <row r="4195" spans="1:5">
      <c r="A4195" s="12" t="s">
        <v>12463</v>
      </c>
      <c r="B4195" s="12" t="s">
        <v>16770</v>
      </c>
      <c r="C4195" s="13" t="str">
        <f>HYPERLINK("https://audio.iskcondesiretree.com/02_-_ISKCON_Swamis/ISKCON_Swamis_-_R_to_Y/His_Holiness_Radhanath_Swami/Lectures/01_-_Theme_wise/Mercy/1993-143_Empowerment_Through_Mercy_SB_10-46-16_-_Radhanath_Swami_Mumbai_1993-10-05_IDesireTree.mp3", "1993-143_Empowerment_Through_Mercy_SB_10-46-16_-_Radhanath_Swami_Mumbai_1993-10-05_IDesireTree.mp3")</f>
        <v>1993-143_Empowerment_Through_Mercy_SB_10-46-16_-_Radhanath_Swami_Mumbai_1993-10-05_IDesireTree.mp3</v>
      </c>
      <c r="D4195" s="11"/>
      <c r="E4195" s="11"/>
    </row>
    <row r="4196" spans="1:5">
      <c r="A4196" s="12" t="s">
        <v>12463</v>
      </c>
      <c r="B4196" s="12" t="s">
        <v>16487</v>
      </c>
      <c r="C4196" s="13" t="str">
        <f>HYPERLINK("https://audio.iskcondesiretree.com/02_-_ISKCON_Swamis/ISKCON_Swamis_-_R_to_Y/His_Holiness_Radhanath_Swami/Lectures/01_-_Theme_wise/Mercy/1994-012_Accepting_Mercy_with_Humility-I_SB_02-03-21_-_Radhanath_Swami_Pune_1994-01-23_IDesireTree.mp3", "1994-012_Accepting_Mercy_with_Humility-I_SB_02-03-21_-_Radhanath_Swami_Pune_1994-01-23_IDesireTree.mp3")</f>
        <v>1994-012_Accepting_Mercy_with_Humility-I_SB_02-03-21_-_Radhanath_Swami_Pune_1994-01-23_IDesireTree.mp3</v>
      </c>
      <c r="D4196" s="11"/>
      <c r="E4196" s="11"/>
    </row>
    <row r="4197" spans="1:5">
      <c r="A4197" s="12" t="s">
        <v>12463</v>
      </c>
      <c r="B4197" s="12" t="s">
        <v>16488</v>
      </c>
      <c r="C4197" s="13" t="str">
        <f>HYPERLINK("https://audio.iskcondesiretree.com/02_-_ISKCON_Swamis/ISKCON_Swamis_-_R_to_Y/His_Holiness_Radhanath_Swami/Lectures/01_-_Theme_wise/Mercy/1994-013_Accepting_Mercy_with_Humility-II_Lecture_-_Radhanath_Swami_Pune_1994-01-23_IDesireTree.mp3", "1994-013_Accepting_Mercy_with_Humility-II_Lecture_-_Radhanath_Swami_Pune_1994-01-23_IDesireTree.mp3")</f>
        <v>1994-013_Accepting_Mercy_with_Humility-II_Lecture_-_Radhanath_Swami_Pune_1994-01-23_IDesireTree.mp3</v>
      </c>
      <c r="D4197" s="11"/>
      <c r="E4197" s="11"/>
    </row>
    <row r="4198" spans="1:5">
      <c r="A4198" s="12" t="s">
        <v>12463</v>
      </c>
      <c r="B4198" s="12" t="s">
        <v>16680</v>
      </c>
      <c r="C4198" s="13" t="str">
        <f>HYPERLINK("https://audio.iskcondesiretree.com/02_-_ISKCON_Swamis/ISKCON_Swamis_-_R_to_Y/His_Holiness_Radhanath_Swami/Lectures/01_-_Theme_wise/Mercy/1994-045_Lord_Nityananda_Prabhu%27s_Mercy_Lecture_-_Radhanath_Swami_Mumbai_1994-02-24_IDesireTree.mp3", "1994-045_Lord_Nityananda_Prabhu%27s_Mercy_Lecture_-_Radhanath_Swami_Mumbai_1994-02-24_IDesireTree.mp3")</f>
        <v>1994-045_Lord_Nityananda_Prabhu%27s_Mercy_Lecture_-_Radhanath_Swami_Mumbai_1994-02-24_IDesireTree.mp3</v>
      </c>
      <c r="D4198" s="11"/>
      <c r="E4198" s="11"/>
    </row>
    <row r="4199" spans="1:5">
      <c r="A4199" s="12" t="s">
        <v>12463</v>
      </c>
      <c r="B4199" s="12" t="s">
        <v>16278</v>
      </c>
      <c r="C4199" s="13" t="str">
        <f>HYPERLINK("https://audio.iskcondesiretree.com/02_-_ISKCON_Swamis/ISKCON_Swamis_-_R_to_Y/His_Holiness_Radhanath_Swami/Lectures/01_-_Theme_wise/Mercy/1994-106_Lord_Balaram%27s_Mercy_Is_must_BG_10-08_-_Radhanath_Swami_Mumbai_1994-08-21_IDesireTree.mp3", "1994-106_Lord_Balaram%27s_Mercy_Is_must_BG_10-08_-_Radhanath_Swami_Mumbai_1994-08-21_IDesireTree.mp3")</f>
        <v>1994-106_Lord_Balaram%27s_Mercy_Is_must_BG_10-08_-_Radhanath_Swami_Mumbai_1994-08-21_IDesireTree.mp3</v>
      </c>
      <c r="D4199" s="11"/>
      <c r="E4199" s="11"/>
    </row>
    <row r="4200" spans="1:5">
      <c r="A4200" s="12" t="s">
        <v>12463</v>
      </c>
      <c r="B4200" s="12" t="s">
        <v>16682</v>
      </c>
      <c r="C4200" s="13" t="str">
        <f>HYPERLINK("https://audio.iskcondesiretree.com/02_-_ISKCON_Swamis/ISKCON_Swamis_-_R_to_Y/His_Holiness_Radhanath_Swami/Lectures/01_-_Theme_wise/Mercy/1994-129_Lord_Nityananda_Prabhu%27s_Mercy_Lecture_-_Radhanath_Swami_Mumbai_1994-09-03_IDesireTree.mp3", "1994-129_Lord_Nityananda_Prabhu%27s_Mercy_Lecture_-_Radhanath_Swami_Mumbai_1994-09-03_IDesireTree.mp3")</f>
        <v>1994-129_Lord_Nityananda_Prabhu%27s_Mercy_Lecture_-_Radhanath_Swami_Mumbai_1994-09-03_IDesireTree.mp3</v>
      </c>
      <c r="D4200" s="11"/>
      <c r="E4200" s="11"/>
    </row>
    <row r="4201" spans="1:5">
      <c r="A4201" s="12" t="s">
        <v>12463</v>
      </c>
      <c r="B4201" s="12" t="s">
        <v>16436</v>
      </c>
      <c r="C4201" s="13" t="str">
        <f>HYPERLINK("https://audio.iskcondesiretree.com/02_-_ISKCON_Swamis/ISKCON_Swamis_-_R_to_Y/His_Holiness_Radhanath_Swami/Lectures/01_-_Theme_wise/Mercy/1994-188_Mercy_In_Form_Of_Holy_Name_HT_-_BG_09-20_-_Radhanath_Swami_Pune_1994-10-12_IDesireTree.mp3", "1994-188_Mercy_In_Form_Of_Holy_Name_HT_-_BG_09-20_-_Radhanath_Swami_Pune_1994-10-12_IDesireTree.mp3")</f>
        <v>1994-188_Mercy_In_Form_Of_Holy_Name_HT_-_BG_09-20_-_Radhanath_Swami_Pune_1994-10-12_IDesireTree.mp3</v>
      </c>
      <c r="D4201" s="11"/>
      <c r="E4201" s="11"/>
    </row>
    <row r="4202" spans="1:5">
      <c r="A4202" s="12" t="s">
        <v>12463</v>
      </c>
      <c r="B4202" s="12" t="s">
        <v>16771</v>
      </c>
      <c r="C4202" s="13" t="str">
        <f>HYPERLINK("https://audio.iskcondesiretree.com/02_-_ISKCON_Swamis/ISKCON_Swamis_-_R_to_Y/His_Holiness_Radhanath_Swami/Lectures/01_-_Theme_wise/Mercy/1995-042_We_Are_Completely_Dependent_On_Your_Mercy_SB_01-08-37_-_Radhanath_Swami_Allahabad_1995-02-03.mp3", "1995-042_We_Are_Completely_Dependent_On_Your_Mercy_SB_01-08-37_-_Radhanath_Swami_Allahabad_1995-02-03.mp3")</f>
        <v>1995-042_We_Are_Completely_Dependent_On_Your_Mercy_SB_01-08-37_-_Radhanath_Swami_Allahabad_1995-02-03.mp3</v>
      </c>
      <c r="D4202" s="11"/>
      <c r="E4202" s="11"/>
    </row>
    <row r="4203" spans="1:5">
      <c r="A4203" s="12" t="s">
        <v>12463</v>
      </c>
      <c r="B4203" s="12" t="s">
        <v>16606</v>
      </c>
      <c r="C4203" s="13" t="str">
        <f>HYPERLINK("https://audio.iskcondesiretree.com/02_-_ISKCON_Swamis/ISKCON_Swamis_-_R_to_Y/His_Holiness_Radhanath_Swami/Lectures/01_-_Theme_wise/Mercy/1996-007_Krishna_Is_Supremely_Merciful_SB_03-02-23_-_Radhanath_Swami_Pune_1996-01-04.mp3", "1996-007_Krishna_Is_Supremely_Merciful_SB_03-02-23_-_Radhanath_Swami_Pune_1996-01-04.mp3")</f>
        <v>1996-007_Krishna_Is_Supremely_Merciful_SB_03-02-23_-_Radhanath_Swami_Pune_1996-01-04.mp3</v>
      </c>
      <c r="D4203" s="11"/>
      <c r="E4203" s="11"/>
    </row>
    <row r="4204" spans="1:5">
      <c r="A4204" s="12" t="s">
        <v>12463</v>
      </c>
      <c r="B4204" s="12" t="s">
        <v>16772</v>
      </c>
      <c r="C4204" s="13" t="str">
        <f>HYPERLINK("https://audio.iskcondesiretree.com/02_-_ISKCON_Swamis/ISKCON_Swamis_-_R_to_Y/His_Holiness_Radhanath_Swami/Lectures/01_-_Theme_wise/Mercy/1997-062_Ocean_of_Mercy_Lecture_-_Radhanath_Swami_Mumbai_1997-04-14_IDesireTree.mp3", "1997-062_Ocean_of_Mercy_Lecture_-_Radhanath_Swami_Mumbai_1997-04-14_IDesireTree.mp3")</f>
        <v>1997-062_Ocean_of_Mercy_Lecture_-_Radhanath_Swami_Mumbai_1997-04-14_IDesireTree.mp3</v>
      </c>
      <c r="D4204" s="11"/>
      <c r="E4204" s="11"/>
    </row>
    <row r="4205" spans="1:5">
      <c r="A4205" s="12" t="s">
        <v>12463</v>
      </c>
      <c r="B4205" s="12" t="s">
        <v>16773</v>
      </c>
      <c r="C4205" s="13" t="str">
        <f>HYPERLINK("https://audio.iskcondesiretree.com/02_-_ISKCON_Swamis/ISKCON_Swamis_-_R_to_Y/His_Holiness_Radhanath_Swami/Lectures/01_-_Theme_wise/Mercy/1998-037_Krishna%27s_Mercy_is_Required_SB_03-06-09_-_Radhanath_Swami_Mumbai_1998-02-15_IDesireTree.mp3", "1998-037_Krishna%27s_Mercy_is_Required_SB_03-06-09_-_Radhanath_Swami_Mumbai_1998-02-15_IDesireTree.mp3")</f>
        <v>1998-037_Krishna%27s_Mercy_is_Required_SB_03-06-09_-_Radhanath_Swami_Mumbai_1998-02-15_IDesireTree.mp3</v>
      </c>
      <c r="D4205" s="11"/>
      <c r="E4205" s="11"/>
    </row>
    <row r="4206" spans="1:5">
      <c r="A4206" s="12" t="s">
        <v>12463</v>
      </c>
      <c r="B4206" s="12" t="s">
        <v>16774</v>
      </c>
      <c r="C4206" s="13" t="str">
        <f>HYPERLINK("https://audio.iskcondesiretree.com/02_-_ISKCON_Swamis/ISKCON_Swamis_-_R_to_Y/His_Holiness_Radhanath_Swami/Lectures/01_-_Theme_wise/Mercy/1999-055_Lords_Mercy_to_Cross_this_Material_World_BG_07-14_-_Radhanath_Swami_Kurukshetra_1999-11-26_IDesireTree.mp3", "1999-055_Lords_Mercy_to_Cross_this_Material_World_BG_07-14_-_Radhanath_Swami_Kurukshetra_1999-11-26_IDesireTree.mp3")</f>
        <v>1999-055_Lords_Mercy_to_Cross_this_Material_World_BG_07-14_-_Radhanath_Swami_Kurukshetra_1999-11-26_IDesireTree.mp3</v>
      </c>
      <c r="D4206" s="11"/>
      <c r="E4206" s="11"/>
    </row>
    <row r="4207" spans="1:5">
      <c r="A4207" s="12" t="s">
        <v>12463</v>
      </c>
      <c r="B4207" s="12" t="s">
        <v>16775</v>
      </c>
      <c r="C4207" s="13" t="str">
        <f>HYPERLINK("https://audio.iskcondesiretree.com/02_-_ISKCON_Swamis/ISKCON_Swamis_-_R_to_Y/His_Holiness_Radhanath_Swami/Lectures/01_-_Theme_wise/Mercy/2000-099_Depending_Fully_upon_krsnas_Mercy_BG_03-30_-_Radhanath_Swami_Mumbai_2000-12-09_IDesireTree.mp3", "2000-099_Depending_Fully_upon_krsnas_Mercy_BG_03-30_-_Radhanath_Swami_Mumbai_2000-12-09_IDesireTree.mp3")</f>
        <v>2000-099_Depending_Fully_upon_krsnas_Mercy_BG_03-30_-_Radhanath_Swami_Mumbai_2000-12-09_IDesireTree.mp3</v>
      </c>
      <c r="D4207" s="11"/>
      <c r="E4207" s="11"/>
    </row>
    <row r="4208" spans="1:5">
      <c r="A4208" s="12" t="s">
        <v>12463</v>
      </c>
      <c r="B4208" s="12" t="s">
        <v>16450</v>
      </c>
      <c r="C4208" s="13" t="str">
        <f>HYPERLINK("https://audio.iskcondesiretree.com/02_-_ISKCON_Swamis/ISKCON_Swamis_-_R_to_Y/His_Holiness_Radhanath_Swami/Lectures/01_-_Theme_wise/Mercy/2001-067_Power_Of_The_Mercy_Of_The_Holy_Name_SB_01-18-19_-_Radhanath_Swami_Mumbai_2001-12-27_IDesireTree.mp3", "2001-067_Power_Of_The_Mercy_Of_The_Holy_Name_SB_01-18-19_-_Radhanath_Swami_Mumbai_2001-12-27_IDesireTree.mp3")</f>
        <v>2001-067_Power_Of_The_Mercy_Of_The_Holy_Name_SB_01-18-19_-_Radhanath_Swami_Mumbai_2001-12-27_IDesireTree.mp3</v>
      </c>
      <c r="D4208" s="11"/>
      <c r="E4208" s="11"/>
    </row>
    <row r="4209" spans="1:5">
      <c r="A4209" s="12" t="s">
        <v>12463</v>
      </c>
      <c r="B4209" s="12" t="e">
        <v>#VALUE!</v>
      </c>
      <c r="C4209" s="13" t="e">
        <f>HYPERLINK("https://audio.iskcondesiretree.com/02_-_ISKCON_Swamis/ISKCON_Swamis_-_R_to_Y/His_Holiness_Radhanath_Swami/Lectures/01_-_Theme_wise/Mercy/2001-068_Knowledge_%26_Realisation_By_The_Grace_Of_Lord_SB_04-09-14_-_Radhanath_Swami_Mumbai_2001-12-29_IDesireTree.mp"&amp;"3", "2001-068_Knowledge_%26_Realisation_By_The_Grace_Of_Lord_SB_04-09-14_-_Radhanath_Swami_Mumbai_2001-12-29_IDesireTree.mp3")</f>
        <v>#VALUE!</v>
      </c>
      <c r="D4209" s="11"/>
      <c r="E4209" s="11"/>
    </row>
    <row r="4210" spans="1:5">
      <c r="A4210" s="12" t="s">
        <v>12463</v>
      </c>
      <c r="B4210" s="12" t="s">
        <v>16776</v>
      </c>
      <c r="C4210" s="13" t="str">
        <f>HYPERLINK("https://audio.iskcondesiretree.com/02_-_ISKCON_Swamis/ISKCON_Swamis_-_R_to_Y/His_Holiness_Radhanath_Swami/Lectures/01_-_Theme_wise/Mercy/2003-026_We_should_depend_only_on_the_mercy_of_Krsna_SB_Class_-_Radhanath_Swami_Mumbai_2003-04-06_IDesireTree.mp3", "2003-026_We_should_depend_only_on_the_mercy_of_Krsna_SB_Class_-_Radhanath_Swami_Mumbai_2003-04-06_IDesireTree.mp3")</f>
        <v>2003-026_We_should_depend_only_on_the_mercy_of_Krsna_SB_Class_-_Radhanath_Swami_Mumbai_2003-04-06_IDesireTree.mp3</v>
      </c>
      <c r="D4210" s="11"/>
      <c r="E4210" s="11"/>
    </row>
    <row r="4211" spans="1:5">
      <c r="A4211" s="12" t="s">
        <v>12463</v>
      </c>
      <c r="B4211" s="12" t="s">
        <v>16777</v>
      </c>
      <c r="C4211" s="13" t="str">
        <f>HYPERLINK("https://audio.iskcondesiretree.com/02_-_ISKCON_Swamis/ISKCON_Swamis_-_R_to_Y/His_Holiness_Radhanath_Swami/Lectures/01_-_Theme_wise/Mercy/2003-047_Lord_Krishna%27s_Various_Forms_of_Mercy_SB_04-24-50_-_Radhanath_Swami_Mumbai_2003-08-17_IDesireTree.mp3", "2003-047_Lord_Krishna%27s_Various_Forms_of_Mercy_SB_04-24-50_-_Radhanath_Swami_Mumbai_2003-08-17_IDesireTree.mp3")</f>
        <v>2003-047_Lord_Krishna%27s_Various_Forms_of_Mercy_SB_04-24-50_-_Radhanath_Swami_Mumbai_2003-08-17_IDesireTree.mp3</v>
      </c>
      <c r="D4211" s="11"/>
      <c r="E4211" s="11"/>
    </row>
    <row r="4212" spans="1:5">
      <c r="A4212" s="12" t="s">
        <v>12463</v>
      </c>
      <c r="B4212" s="12" t="s">
        <v>16691</v>
      </c>
      <c r="C4212" s="13" t="str">
        <f>HYPERLINK("https://audio.iskcondesiretree.com/02_-_ISKCON_Swamis/ISKCON_Swamis_-_R_to_Y/His_Holiness_Radhanath_Swami/Lectures/01_-_Theme_wise/Mercy/2003-082_Lord_Nityananda%27s_Mercy_Lecture_-_Radhanath_Swami_New_Vrindavan_2003-10-31_IDesireTree.mp3", "2003-082_Lord_Nityananda%27s_Mercy_Lecture_-_Radhanath_Swami_New_Vrindavan_2003-10-31_IDesireTree.mp3")</f>
        <v>2003-082_Lord_Nityananda%27s_Mercy_Lecture_-_Radhanath_Swami_New_Vrindavan_2003-10-31_IDesireTree.mp3</v>
      </c>
      <c r="D4212" s="11"/>
      <c r="E4212" s="11"/>
    </row>
    <row r="4213" spans="1:5">
      <c r="A4213" s="12" t="s">
        <v>12463</v>
      </c>
      <c r="B4213" s="12" t="s">
        <v>16778</v>
      </c>
      <c r="C4213" s="13" t="str">
        <f>HYPERLINK("https://audio.iskcondesiretree.com/02_-_ISKCON_Swamis/ISKCON_Swamis_-_R_to_Y/His_Holiness_Radhanath_Swami/Lectures/01_-_Theme_wise/Mind_Control/1989-040_Stop_Trusting_Your_Mind_Lecture_-_Radhanath_Swami_Mumbai_1989-09-01_IDesireTree.mp3", "1989-040_Stop_Trusting_Your_Mind_Lecture_-_Radhanath_Swami_Mumbai_1989-09-01_IDesireTree.mp3")</f>
        <v>1989-040_Stop_Trusting_Your_Mind_Lecture_-_Radhanath_Swami_Mumbai_1989-09-01_IDesireTree.mp3</v>
      </c>
      <c r="D4213" s="11"/>
      <c r="E4213" s="11"/>
    </row>
    <row r="4214" spans="1:5">
      <c r="A4214" s="12" t="s">
        <v>12463</v>
      </c>
      <c r="B4214" s="12" t="s">
        <v>16779</v>
      </c>
      <c r="C4214" s="13" t="str">
        <f>HYPERLINK("https://audio.iskcondesiretree.com/02_-_ISKCON_Swamis/ISKCON_Swamis_-_R_to_Y/His_Holiness_Radhanath_Swami/Lectures/01_-_Theme_wise/Mind_Control/1989-060_Controlling_The_Mind_BG_06-05_-_Radhanath_Swami_Mumbai_1989-10-01_IDesireTree.mp3", "1989-060_Controlling_The_Mind_BG_06-05_-_Radhanath_Swami_Mumbai_1989-10-01_IDesireTree.mp3")</f>
        <v>1989-060_Controlling_The_Mind_BG_06-05_-_Radhanath_Swami_Mumbai_1989-10-01_IDesireTree.mp3</v>
      </c>
      <c r="D4214" s="11"/>
      <c r="E4214" s="11"/>
    </row>
    <row r="4215" spans="1:5">
      <c r="A4215" s="12" t="s">
        <v>12463</v>
      </c>
      <c r="B4215" s="12" t="s">
        <v>16780</v>
      </c>
      <c r="C4215" s="13" t="str">
        <f>HYPERLINK("https://audio.iskcondesiretree.com/02_-_ISKCON_Swamis/ISKCON_Swamis_-_R_to_Y/His_Holiness_Radhanath_Swami/Lectures/01_-_Theme_wise/Mind_Control/1991-115_Watch_Those_Thoughts_Of_The_Mind_SB_10-01-47_-_Radhanath_Swami_Mumbai_1991-11-02_IDesireTree.mp3", "1991-115_Watch_Those_Thoughts_Of_The_Mind_SB_10-01-47_-_Radhanath_Swami_Mumbai_1991-11-02_IDesireTree.mp3")</f>
        <v>1991-115_Watch_Those_Thoughts_Of_The_Mind_SB_10-01-47_-_Radhanath_Swami_Mumbai_1991-11-02_IDesireTree.mp3</v>
      </c>
      <c r="D4215" s="11"/>
      <c r="E4215" s="11"/>
    </row>
    <row r="4216" spans="1:5">
      <c r="A4216" s="12" t="s">
        <v>12463</v>
      </c>
      <c r="B4216" s="12" t="s">
        <v>16781</v>
      </c>
      <c r="C4216" s="13" t="str">
        <f>HYPERLINK("https://audio.iskcondesiretree.com/02_-_ISKCON_Swamis/ISKCON_Swamis_-_R_to_Y/His_Holiness_Radhanath_Swami/Lectures/01_-_Theme_wise/Mind_Control/1991-150_Mind-_Friend_And_Enemy_BG_06-26_-_Radhanath_Swami_Mumbai_1991-12-15_IDesireTree.mp3", "1991-150_Mind-_Friend_And_Enemy_BG_06-26_-_Radhanath_Swami_Mumbai_1991-12-15_IDesireTree.mp3")</f>
        <v>1991-150_Mind-_Friend_And_Enemy_BG_06-26_-_Radhanath_Swami_Mumbai_1991-12-15_IDesireTree.mp3</v>
      </c>
      <c r="D4216" s="11"/>
      <c r="E4216" s="11"/>
    </row>
    <row r="4217" spans="1:5">
      <c r="A4217" s="12" t="s">
        <v>12463</v>
      </c>
      <c r="B4217" s="12" t="s">
        <v>16782</v>
      </c>
      <c r="C4217" s="13" t="str">
        <f>HYPERLINK("https://audio.iskcondesiretree.com/02_-_ISKCON_Swamis/ISKCON_Swamis_-_R_to_Y/His_Holiness_Radhanath_Swami/Lectures/01_-_Theme_wise/Mind_Control/1996-119_Dualities_Of_Mind_SB_07-08-09_-_Radhanath_Swami_Mumbai_1996-09-10_IDesireTree.mp3", "1996-119_Dualities_Of_Mind_SB_07-08-09_-_Radhanath_Swami_Mumbai_1996-09-10_IDesireTree.mp3")</f>
        <v>1996-119_Dualities_Of_Mind_SB_07-08-09_-_Radhanath_Swami_Mumbai_1996-09-10_IDesireTree.mp3</v>
      </c>
      <c r="D4217" s="11"/>
      <c r="E4217" s="11"/>
    </row>
    <row r="4218" spans="1:5">
      <c r="A4218" s="12" t="s">
        <v>12463</v>
      </c>
      <c r="B4218" s="12" t="s">
        <v>16783</v>
      </c>
      <c r="C4218" s="13" t="str">
        <f>HYPERLINK("https://audio.iskcondesiretree.com/02_-_ISKCON_Swamis/ISKCON_Swamis_-_R_to_Y/His_Holiness_Radhanath_Swami/Lectures/01_-_Theme_wise/Mind_Control/1996-148_Make_Mind_Your_Friend_Ht_-_BG_06-05_-_Radhanath_Swami_Kolhapur_1996-10-03_IDesireTree.mp3", "1996-148_Make_Mind_Your_Friend_Ht_-_BG_06-05_-_Radhanath_Swami_Kolhapur_1996-10-03_IDesireTree.mp3")</f>
        <v>1996-148_Make_Mind_Your_Friend_Ht_-_BG_06-05_-_Radhanath_Swami_Kolhapur_1996-10-03_IDesireTree.mp3</v>
      </c>
      <c r="D4218" s="11"/>
      <c r="E4218" s="11"/>
    </row>
    <row r="4219" spans="1:5">
      <c r="A4219" s="12" t="s">
        <v>12463</v>
      </c>
      <c r="B4219" s="12" t="s">
        <v>16784</v>
      </c>
      <c r="C4219" s="13" t="str">
        <f>HYPERLINK("https://audio.iskcondesiretree.com/02_-_ISKCON_Swamis/ISKCON_Swamis_-_R_to_Y/His_Holiness_Radhanath_Swami/Lectures/01_-_Theme_wise/Mind_Control/1998-020_Spiritual_Life_Means_to_Control_Mind_BG_06-36_-_Radhanath_Swami_Mumbai_1998-01-27_IDesireTree.mp3", "1998-020_Spiritual_Life_Means_to_Control_Mind_BG_06-36_-_Radhanath_Swami_Mumbai_1998-01-27_IDesireTree.mp3")</f>
        <v>1998-020_Spiritual_Life_Means_to_Control_Mind_BG_06-36_-_Radhanath_Swami_Mumbai_1998-01-27_IDesireTree.mp3</v>
      </c>
      <c r="D4219" s="11"/>
      <c r="E4219" s="11"/>
    </row>
    <row r="4220" spans="1:5">
      <c r="A4220" s="12" t="s">
        <v>12463</v>
      </c>
      <c r="B4220" s="12" t="s">
        <v>16785</v>
      </c>
      <c r="C4220" s="13" t="str">
        <f>HYPERLINK("https://audio.iskcondesiretree.com/02_-_ISKCON_Swamis/ISKCON_Swamis_-_R_to_Y/His_Holiness_Radhanath_Swami/Lectures/01_-_Theme_wise/Mind_Control/1998-032_Training_Our_Mind_Lecture_-_Radhanath_Swami_Mumbai_1998-02-10_IDesireTree.mp3", "1998-032_Training_Our_Mind_Lecture_-_Radhanath_Swami_Mumbai_1998-02-10_IDesireTree.mp3")</f>
        <v>1998-032_Training_Our_Mind_Lecture_-_Radhanath_Swami_Mumbai_1998-02-10_IDesireTree.mp3</v>
      </c>
      <c r="D4220" s="11"/>
      <c r="E4220" s="11"/>
    </row>
    <row r="4221" spans="1:5">
      <c r="A4221" s="12" t="s">
        <v>12463</v>
      </c>
      <c r="B4221" s="12" t="s">
        <v>16786</v>
      </c>
      <c r="C4221" s="13" t="str">
        <f>HYPERLINK("https://audio.iskcondesiretree.com/02_-_ISKCON_Swamis/ISKCON_Swamis_-_R_to_Y/His_Holiness_Radhanath_Swami/Lectures/01_-_Theme_wise/Mind_Control/1998-040_Cunning_Mind_SB_05-11-17_-_Radhanath_Swami_Mumbai_1998-02-24_IDesireTree.mp3", "1998-040_Cunning_Mind_SB_05-11-17_-_Radhanath_Swami_Mumbai_1998-02-24_IDesireTree.mp3")</f>
        <v>1998-040_Cunning_Mind_SB_05-11-17_-_Radhanath_Swami_Mumbai_1998-02-24_IDesireTree.mp3</v>
      </c>
      <c r="D4221" s="11"/>
      <c r="E4221" s="11"/>
    </row>
    <row r="4222" spans="1:5">
      <c r="A4222" s="12" t="s">
        <v>12463</v>
      </c>
      <c r="B4222" s="12" t="s">
        <v>16787</v>
      </c>
      <c r="C4222" s="13" t="str">
        <f>HYPERLINK("https://audio.iskcondesiretree.com/02_-_ISKCON_Swamis/ISKCON_Swamis_-_R_to_Y/His_Holiness_Radhanath_Swami/Lectures/01_-_Theme_wise/Mind_Control/1998-043_Just_Neglect_Your_Mind_SB_05_-_Radhanath_Swami_Mumbai_1998-03-01_IDesireTree.mp3", "1998-043_Just_Neglect_Your_Mind_SB_05_-_Radhanath_Swami_Mumbai_1998-03-01_IDesireTree.mp3")</f>
        <v>1998-043_Just_Neglect_Your_Mind_SB_05_-_Radhanath_Swami_Mumbai_1998-03-01_IDesireTree.mp3</v>
      </c>
      <c r="D4222" s="11"/>
      <c r="E4222" s="11"/>
    </row>
    <row r="4223" spans="1:5">
      <c r="A4223" s="12" t="s">
        <v>12463</v>
      </c>
      <c r="B4223" s="12" t="s">
        <v>16788</v>
      </c>
      <c r="C4223" s="13" t="str">
        <f>HYPERLINK("https://audio.iskcondesiretree.com/02_-_ISKCON_Swamis/ISKCON_Swamis_-_R_to_Y/His_Holiness_Radhanath_Swami/Lectures/01_-_Theme_wise/Mind_Control/1998-054_Mind_the_Real_Cause_of_Suffering_BG_12-18-19_-_Radhanath_Swami_Mumbai_1998-03-29_IDesireTree.mp3", "1998-054_Mind_the_Real_Cause_of_Suffering_BG_12-18-19_-_Radhanath_Swami_Mumbai_1998-03-29_IDesireTree.mp3")</f>
        <v>1998-054_Mind_the_Real_Cause_of_Suffering_BG_12-18-19_-_Radhanath_Swami_Mumbai_1998-03-29_IDesireTree.mp3</v>
      </c>
      <c r="D4223" s="11"/>
      <c r="E4223" s="11"/>
    </row>
    <row r="4224" spans="1:5">
      <c r="A4224" s="12" t="s">
        <v>12463</v>
      </c>
      <c r="B4224" s="12" t="s">
        <v>16789</v>
      </c>
      <c r="C4224" s="13" t="str">
        <f>HYPERLINK("https://audio.iskcondesiretree.com/02_-_ISKCON_Swamis/ISKCON_Swamis_-_R_to_Y/His_Holiness_Radhanath_Swami/Lectures/01_-_Theme_wise/Mind_Control/1998-059_Cleansing_the_Mirror_of_Mind_SB_05-14-05_-_Radhanath_Swami_Mayapur_1998-04-12_IDesireTree.mp3", "1998-059_Cleansing_the_Mirror_of_Mind_SB_05-14-05_-_Radhanath_Swami_Mayapur_1998-04-12_IDesireTree.mp3")</f>
        <v>1998-059_Cleansing_the_Mirror_of_Mind_SB_05-14-05_-_Radhanath_Swami_Mayapur_1998-04-12_IDesireTree.mp3</v>
      </c>
      <c r="D4224" s="11"/>
      <c r="E4224" s="11"/>
    </row>
    <row r="4225" spans="1:5">
      <c r="A4225" s="12" t="s">
        <v>12463</v>
      </c>
      <c r="B4225" s="12" t="s">
        <v>16790</v>
      </c>
      <c r="C4225" s="13" t="str">
        <f>HYPERLINK("https://audio.iskcondesiretree.com/02_-_ISKCON_Swamis/ISKCON_Swamis_-_R_to_Y/His_Holiness_Radhanath_Swami/Lectures/01_-_Theme_wise/Mind_Control/2000-034_Real_Control_of_Mind_BG_06_-_Radhanath_Swami_Mumbai_IDesireTree.mp3", "2000-034_Real_Control_of_Mind_BG_06_-_Radhanath_Swami_Mumbai_IDesireTree.mp3")</f>
        <v>2000-034_Real_Control_of_Mind_BG_06_-_Radhanath_Swami_Mumbai_IDesireTree.mp3</v>
      </c>
      <c r="D4225" s="11"/>
      <c r="E4225" s="11"/>
    </row>
    <row r="4226" spans="1:5">
      <c r="A4226" s="12" t="s">
        <v>12463</v>
      </c>
      <c r="B4226" s="12" t="s">
        <v>16791</v>
      </c>
      <c r="C4226" s="13" t="str">
        <f>HYPERLINK("https://audio.iskcondesiretree.com/02_-_ISKCON_Swamis/ISKCON_Swamis_-_R_to_Y/His_Holiness_Radhanath_Swami/Lectures/01_-_Theme_wise/Mind_Control/2002-099_Converting_the_mind_SB_04-10-08_-_Radhanath_Swami_Mumbai_2002-10-01_IDesireTree.mp3", "2002-099_Converting_the_mind_SB_04-10-08_-_Radhanath_Swami_Mumbai_2002-10-01_IDesireTree.mp3")</f>
        <v>2002-099_Converting_the_mind_SB_04-10-08_-_Radhanath_Swami_Mumbai_2002-10-01_IDesireTree.mp3</v>
      </c>
      <c r="D4226" s="11"/>
      <c r="E4226" s="11"/>
    </row>
    <row r="4227" spans="1:5">
      <c r="A4227" s="12" t="s">
        <v>12463</v>
      </c>
      <c r="B4227" s="12" t="s">
        <v>16760</v>
      </c>
      <c r="C4227" s="13" t="str">
        <f>HYPERLINK("https://audio.iskcondesiretree.com/02_-_ISKCON_Swamis/ISKCON_Swamis_-_R_to_Y/His_Holiness_Radhanath_Swami/Lectures/01_-_Theme_wise/Modes_of_material_nature/1994-184_Go_Beyond_The_Three_Modes_BG_14-05_-_Radhanath_Swami_Mumbai_1994-10-09_IDesireTree.mp3", "1994-184_Go_Beyond_The_Three_Modes_BG_14-05_-_Radhanath_Swami_Mumbai_1994-10-09_IDesireTree.mp3")</f>
        <v>1994-184_Go_Beyond_The_Three_Modes_BG_14-05_-_Radhanath_Swami_Mumbai_1994-10-09_IDesireTree.mp3</v>
      </c>
      <c r="D4227" s="11"/>
      <c r="E4227" s="11"/>
    </row>
    <row r="4228" spans="1:5">
      <c r="A4228" s="12" t="s">
        <v>12463</v>
      </c>
      <c r="B4228" s="12" t="s">
        <v>16792</v>
      </c>
      <c r="C4228" s="13" t="str">
        <f>HYPERLINK("https://audio.iskcondesiretree.com/02_-_ISKCON_Swamis/ISKCON_Swamis_-_R_to_Y/His_Holiness_Radhanath_Swami/Lectures/01_-_Theme_wise/Modes_of_material_nature/1998-044_Overcoming_the_Three_Modes_BG_13-24_-_Radhanath_Swami_Mumbai_1998-03-03_IDesireTree.mp3", "1998-044_Overcoming_the_Three_Modes_BG_13-24_-_Radhanath_Swami_Mumbai_1998-03-03_IDesireTree.mp3")</f>
        <v>1998-044_Overcoming_the_Three_Modes_BG_13-24_-_Radhanath_Swami_Mumbai_1998-03-03_IDesireTree.mp3</v>
      </c>
      <c r="D4228" s="11"/>
      <c r="E4228" s="11"/>
    </row>
    <row r="4229" spans="1:5">
      <c r="A4229" s="12" t="s">
        <v>12463</v>
      </c>
      <c r="B4229" s="12" t="s">
        <v>16793</v>
      </c>
      <c r="C4229" s="13" t="str">
        <f>HYPERLINK("https://audio.iskcondesiretree.com/02_-_ISKCON_Swamis/ISKCON_Swamis_-_R_to_Y/His_Holiness_Radhanath_Swami/Lectures/01_-_Theme_wise/Nectar_Of_Instruction/1991-126_Nectar_Of_Instruction_NOI_01-02_-_Radhanath_Swami_Mumbai_1991-11-27_IDesireTree.mp3", "1991-126_Nectar_Of_Instruction_NOI_01-02_-_Radhanath_Swami_Mumbai_1991-11-27_IDesireTree.mp3")</f>
        <v>1991-126_Nectar_Of_Instruction_NOI_01-02_-_Radhanath_Swami_Mumbai_1991-11-27_IDesireTree.mp3</v>
      </c>
      <c r="D4229" s="11"/>
      <c r="E4229" s="11"/>
    </row>
    <row r="4230" spans="1:5">
      <c r="A4230" s="12" t="s">
        <v>12463</v>
      </c>
      <c r="B4230" s="12" t="s">
        <v>16794</v>
      </c>
      <c r="C4230" s="13" t="str">
        <f>HYPERLINK("https://audio.iskcondesiretree.com/02_-_ISKCON_Swamis/ISKCON_Swamis_-_R_to_Y/His_Holiness_Radhanath_Swami/Lectures/01_-_Theme_wise/Nectar_Of_Instruction/1992-128_Controlling_The_Tongue_Lecture_-_Radhanath_Swami_Mumbai_1992-11-24_IDesireTree.mp3", "1992-128_Controlling_The_Tongue_Lecture_-_Radhanath_Swami_Mumbai_1992-11-24_IDesireTree.mp3")</f>
        <v>1992-128_Controlling_The_Tongue_Lecture_-_Radhanath_Swami_Mumbai_1992-11-24_IDesireTree.mp3</v>
      </c>
      <c r="D4230" s="11"/>
      <c r="E4230" s="11"/>
    </row>
    <row r="4231" spans="1:5">
      <c r="A4231" s="12" t="s">
        <v>12463</v>
      </c>
      <c r="B4231" s="12" t="s">
        <v>16795</v>
      </c>
      <c r="C4231" s="13" t="str">
        <f>HYPERLINK("https://audio.iskcondesiretree.com/02_-_ISKCON_Swamis/ISKCON_Swamis_-_R_to_Y/His_Holiness_Radhanath_Swami/Lectures/01_-_Theme_wise/Obstacles_in_spiritual_life/1993-042_Pitfalls_on_the_path_Lecture_-_Radhanath_Swami_Mumbai_1993-04-06_IDesireTree.mp3", "1993-042_Pitfalls_on_the_path_Lecture_-_Radhanath_Swami_Mumbai_1993-04-06_IDesireTree.mp3")</f>
        <v>1993-042_Pitfalls_on_the_path_Lecture_-_Radhanath_Swami_Mumbai_1993-04-06_IDesireTree.mp3</v>
      </c>
      <c r="D4231" s="11"/>
      <c r="E4231" s="11"/>
    </row>
    <row r="4232" spans="1:5">
      <c r="A4232" s="12" t="s">
        <v>12463</v>
      </c>
      <c r="B4232" s="12" t="s">
        <v>16796</v>
      </c>
      <c r="C4232" s="13" t="str">
        <f>HYPERLINK("https://audio.iskcondesiretree.com/02_-_ISKCON_Swamis/ISKCON_Swamis_-_R_to_Y/His_Holiness_Radhanath_Swami/Lectures/01_-_Theme_wise/Obstacles_in_spiritual_life/1994-067_Overcoming_Difficulties_SB_07-09-43_-_Radhanath_Swami_Mumbai_1994-05-06_IDesireTree.mp3", "1994-067_Overcoming_Difficulties_SB_07-09-43_-_Radhanath_Swami_Mumbai_1994-05-06_IDesireTree.mp3")</f>
        <v>1994-067_Overcoming_Difficulties_SB_07-09-43_-_Radhanath_Swami_Mumbai_1994-05-06_IDesireTree.mp3</v>
      </c>
      <c r="D4232" s="11"/>
      <c r="E4232" s="11"/>
    </row>
    <row r="4233" spans="1:5">
      <c r="A4233" s="12" t="s">
        <v>12463</v>
      </c>
      <c r="B4233" s="12" t="s">
        <v>16797</v>
      </c>
      <c r="C4233" s="13" t="str">
        <f>HYPERLINK("https://audio.iskcondesiretree.com/02_-_ISKCON_Swamis/ISKCON_Swamis_-_R_to_Y/His_Holiness_Radhanath_Swami/Lectures/01_-_Theme_wise/Obstacles_in_spiritual_life/1994-085_Fire_Of_Tribulation_SB_10-58-05_-_Radhanath_Swami_Mumbai_1994-05-13_IDesireTree.mp3", "1994-085_Fire_Of_Tribulation_SB_10-58-05_-_Radhanath_Swami_Mumbai_1994-05-13_IDesireTree.mp3")</f>
        <v>1994-085_Fire_Of_Tribulation_SB_10-58-05_-_Radhanath_Swami_Mumbai_1994-05-13_IDesireTree.mp3</v>
      </c>
      <c r="D4233" s="11"/>
      <c r="E4233" s="11"/>
    </row>
    <row r="4234" spans="1:5">
      <c r="A4234" s="12" t="s">
        <v>12463</v>
      </c>
      <c r="B4234" s="12" t="s">
        <v>16798</v>
      </c>
      <c r="C4234" s="13" t="str">
        <f>HYPERLINK("https://audio.iskcondesiretree.com/02_-_ISKCON_Swamis/ISKCON_Swamis_-_R_to_Y/His_Holiness_Radhanath_Swami/Lectures/01_-_Theme_wise/Obstacles_in_spiritual_life/1997-021_Never_Expect_Any_Glory_Lecture_-_Radhanath_Swami_Mumbai_1997-01-23_IDesireTree.mp3", "1997-021_Never_Expect_Any_Glory_Lecture_-_Radhanath_Swami_Mumbai_1997-01-23_IDesireTree.mp3")</f>
        <v>1997-021_Never_Expect_Any_Glory_Lecture_-_Radhanath_Swami_Mumbai_1997-01-23_IDesireTree.mp3</v>
      </c>
      <c r="D4234" s="11"/>
      <c r="E4234" s="11"/>
    </row>
    <row r="4235" spans="1:5">
      <c r="A4235" s="12" t="s">
        <v>12463</v>
      </c>
      <c r="B4235" s="12" t="s">
        <v>16229</v>
      </c>
      <c r="C4235" s="13" t="str">
        <f>HYPERLINK("https://audio.iskcondesiretree.com/02_-_ISKCON_Swamis/ISKCON_Swamis_-_R_to_Y/His_Holiness_Radhanath_Swami/Lectures/01_-_Theme_wise/Occupational_duties/1989-049_Becoming_Peaceful_SB_08-05-47_-_Radhanath_Swami_Mumbai_1989-09-24_IDesireTree.mp3",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4235" s="11"/>
      <c r="E4235" s="11"/>
    </row>
    <row r="4236" spans="1:5">
      <c r="A4236" s="12" t="s">
        <v>12463</v>
      </c>
      <c r="B4236" s="12" t="s">
        <v>15868</v>
      </c>
      <c r="C4236" s="13" t="str">
        <f>HYPERLINK("https://audio.iskcondesiretree.com/02_-_ISKCON_Swamis/ISKCON_Swamis_-_R_to_Y/His_Holiness_Radhanath_Swami/Lectures/01_-_Theme_wise/Occupational_duties/1993-048_Inaction_In_Action_BG_04-17_-_Radhanath_Swami_Mumbai_1993-04-11_IDesireTree.mp3", "1993-048_Inaction_In_Action_BG_04-17_-_Radhanath_Swami_Mumbai_1993-04-11_IDesireTree.mp3")</f>
        <v>1993-048_Inaction_In_Action_BG_04-17_-_Radhanath_Swami_Mumbai_1993-04-11_IDesireTree.mp3</v>
      </c>
      <c r="D4236" s="11"/>
      <c r="E4236" s="11"/>
    </row>
    <row r="4237" spans="1:5">
      <c r="A4237" s="12" t="s">
        <v>12463</v>
      </c>
      <c r="B4237" s="12" t="s">
        <v>16799</v>
      </c>
      <c r="C4237" s="13" t="str">
        <f>HYPERLINK("https://audio.iskcondesiretree.com/02_-_ISKCON_Swamis/ISKCON_Swamis_-_R_to_Y/His_Holiness_Radhanath_Swami/Lectures/01_-_Theme_wise/Occupational_duties/1994-019_Fools_Are_Attached_To_Result_SB_06-12-07_-_Radhanath_Swami_Mumbai_1994-01-25_IDesireTree.mp3", "1994-019_Fools_Are_Attached_To_Result_SB_06-12-07_-_Radhanath_Swami_Mumbai_1994-01-25_IDesireTree.mp3")</f>
        <v>1994-019_Fools_Are_Attached_To_Result_SB_06-12-07_-_Radhanath_Swami_Mumbai_1994-01-25_IDesireTree.mp3</v>
      </c>
      <c r="D4237" s="11"/>
      <c r="E4237" s="11"/>
    </row>
    <row r="4238" spans="1:5">
      <c r="A4238" s="12" t="s">
        <v>12463</v>
      </c>
      <c r="B4238" s="12" t="s">
        <v>16800</v>
      </c>
      <c r="C4238" s="13" t="str">
        <f>HYPERLINK("https://audio.iskcondesiretree.com/02_-_ISKCON_Swamis/ISKCON_Swamis_-_R_to_Y/His_Holiness_Radhanath_Swami/Lectures/01_-_Theme_wise/Occupational_duties/1997-013_Fruitive_Workers_are_Misers_Ht_-_BG_02_-_Radhanath_Swami_Mumbai_IDesireTree.mp3", "1997-013_Fruitive_Workers_are_Misers_Ht_-_BG_02_-_Radhanath_Swami_Mumbai_IDesireTree.mp3")</f>
        <v>1997-013_Fruitive_Workers_are_Misers_Ht_-_BG_02_-_Radhanath_Swami_Mumbai_IDesireTree.mp3</v>
      </c>
      <c r="D4238" s="11"/>
      <c r="E4238" s="11"/>
    </row>
    <row r="4239" spans="1:5">
      <c r="A4239" s="12" t="s">
        <v>12463</v>
      </c>
      <c r="B4239" s="12" t="s">
        <v>16801</v>
      </c>
      <c r="C4239" s="13" t="str">
        <f>HYPERLINK("https://audio.iskcondesiretree.com/02_-_ISKCON_Swamis/ISKCON_Swamis_-_R_to_Y/His_Holiness_Radhanath_Swami/Lectures/01_-_Theme_wise/Occupational_duties/1997-040_Perform_Your_Duty_BG_03-08_-_Radhanath_Swami_Mumbai_1997-02-13_IDesireTree.mp3", "1997-040_Perform_Your_Duty_BG_03-08_-_Radhanath_Swami_Mumbai_1997-02-13_IDesireTree.mp3")</f>
        <v>1997-040_Perform_Your_Duty_BG_03-08_-_Radhanath_Swami_Mumbai_1997-02-13_IDesireTree.mp3</v>
      </c>
      <c r="D4239" s="11"/>
      <c r="E4239" s="11"/>
    </row>
    <row r="4240" spans="1:5">
      <c r="A4240" s="12" t="s">
        <v>12463</v>
      </c>
      <c r="B4240" s="12" t="s">
        <v>16802</v>
      </c>
      <c r="C4240" s="13" t="str">
        <f>HYPERLINK("https://audio.iskcondesiretree.com/02_-_ISKCON_Swamis/ISKCON_Swamis_-_R_to_Y/His_Holiness_Radhanath_Swami/Lectures/01_-_Theme_wise/Occupational_duties/1997-060_The_Art_of_Working_Ht_-_BG_02-48-50_-_Radhanath_Swami_Mumbai_1997-04-12_IDesireTree.mp3", "1997-060_The_Art_of_Working_Ht_-_BG_02-48-50_-_Radhanath_Swami_Mumbai_1997-04-12_IDesireTree.mp3")</f>
        <v>1997-060_The_Art_of_Working_Ht_-_BG_02-48-50_-_Radhanath_Swami_Mumbai_1997-04-12_IDesireTree.mp3</v>
      </c>
      <c r="D4240" s="11"/>
      <c r="E4240" s="11"/>
    </row>
    <row r="4241" spans="1:5">
      <c r="A4241" s="12" t="s">
        <v>12463</v>
      </c>
      <c r="B4241" s="12" t="s">
        <v>16803</v>
      </c>
      <c r="C4241" s="13" t="str">
        <f>HYPERLINK("https://audio.iskcondesiretree.com/02_-_ISKCON_Swamis/ISKCON_Swamis_-_R_to_Y/His_Holiness_Radhanath_Swami/Lectures/01_-_Theme_wise/Old_age_and_Retirement/2002-029_Beauty_Of_Old_Age_SB_04-09-67_-_Radhanath_Swami_Mumbai_2002-02-03_IDesireTree.mp3", "2002-029_Beauty_Of_Old_Age_SB_04-09-67_-_Radhanath_Swami_Mumbai_2002-02-03_IDesireTree.mp3")</f>
        <v>2002-029_Beauty_Of_Old_Age_SB_04-09-67_-_Radhanath_Swami_Mumbai_2002-02-03_IDesireTree.mp3</v>
      </c>
      <c r="D4241" s="11"/>
      <c r="E4241" s="11"/>
    </row>
    <row r="4242" spans="1:5">
      <c r="A4242" s="12" t="s">
        <v>12463</v>
      </c>
      <c r="B4242" s="12" t="s">
        <v>16804</v>
      </c>
      <c r="C4242" s="13" t="str">
        <f>HYPERLINK("https://audio.iskcondesiretree.com/02_-_ISKCON_Swamis/ISKCON_Swamis_-_R_to_Y/His_Holiness_Radhanath_Swami/Lectures/01_-_Theme_wise/Overcoming_alchoholism/1989-073_Do_Not_Believe_In_This_World_Lecture_-_Radhanath_Swami_Mumbai_1989-10-21_IDesireTree.mp3", "1989-073_Do_Not_Believe_In_This_World_Lecture_-_Radhanath_Swami_Mumbai_1989-10-21_IDesireTree.mp3")</f>
        <v>1989-073_Do_Not_Believe_In_This_World_Lecture_-_Radhanath_Swami_Mumbai_1989-10-21_IDesireTree.mp3</v>
      </c>
      <c r="D4242" s="11"/>
      <c r="E4242" s="11"/>
    </row>
    <row r="4243" spans="1:5">
      <c r="A4243" s="12" t="s">
        <v>12463</v>
      </c>
      <c r="B4243" s="12" t="s">
        <v>16703</v>
      </c>
      <c r="C4243" s="13" t="str">
        <f>HYPERLINK("https://audio.iskcondesiretree.com/02_-_ISKCON_Swamis/ISKCON_Swamis_-_R_to_Y/His_Holiness_Radhanath_Swami/Lectures/01_-_Theme_wise/Parents_Training_Children/1989-059_True_Parented_Love_SB_07-10-18_-_Radhanath_Swami_Mumbai_1989-09-30_IDesireTree.mp3", "1989-059_True_Parented_Love_SB_07-10-18_-_Radhanath_Swami_Mumbai_1989-09-30_IDesireTree.mp3")</f>
        <v>1989-059_True_Parented_Love_SB_07-10-18_-_Radhanath_Swami_Mumbai_1989-09-30_IDesireTree.mp3</v>
      </c>
      <c r="D4243" s="11"/>
      <c r="E4243" s="11"/>
    </row>
    <row r="4244" spans="1:5">
      <c r="A4244" s="12" t="s">
        <v>12463</v>
      </c>
      <c r="B4244" s="12" t="s">
        <v>16805</v>
      </c>
      <c r="C4244" s="13" t="str">
        <f>HYPERLINK("https://audio.iskcondesiretree.com/02_-_ISKCON_Swamis/ISKCON_Swamis_-_R_to_Y/His_Holiness_Radhanath_Swami/Lectures/01_-_Theme_wise/Peace/1992-155_Peace_Formula_BG_05-17_-_Radhanath_Swami_Mumbai_1992-12-26_IDesireTree.mp3", "1992-155_Peace_Formula_BG_05-17_-_Radhanath_Swami_Mumbai_1992-12-26_IDesireTree.mp3")</f>
        <v>1992-155_Peace_Formula_BG_05-17_-_Radhanath_Swami_Mumbai_1992-12-26_IDesireTree.mp3</v>
      </c>
      <c r="D4244" s="11"/>
      <c r="E4244" s="11"/>
    </row>
    <row r="4245" spans="1:5">
      <c r="A4245" s="12" t="s">
        <v>12463</v>
      </c>
      <c r="B4245" s="12" t="s">
        <v>16806</v>
      </c>
      <c r="C4245" s="13" t="str">
        <f>HYPERLINK("https://audio.iskcondesiretree.com/02_-_ISKCON_Swamis/ISKCON_Swamis_-_R_to_Y/His_Holiness_Radhanath_Swami/Lectures/01_-_Theme_wise/Peace/1993-074_Attaining_Peace_By_Spiritual_Quest_BG_03-12_-_Radhanath_Swami_Mumbai_1993-05-02_IDesireTree.mp3", "1993-074_Attaining_Peace_By_Spiritual_Quest_BG_03-12_-_Radhanath_Swami_Mumbai_1993-05-02_IDesireTree.mp3")</f>
        <v>1993-074_Attaining_Peace_By_Spiritual_Quest_BG_03-12_-_Radhanath_Swami_Mumbai_1993-05-02_IDesireTree.mp3</v>
      </c>
      <c r="D4245" s="11"/>
      <c r="E4245" s="11"/>
    </row>
    <row r="4246" spans="1:5">
      <c r="A4246" s="12" t="s">
        <v>12463</v>
      </c>
      <c r="B4246" s="12" t="s">
        <v>16807</v>
      </c>
      <c r="C4246" s="13" t="str">
        <f>HYPERLINK("https://audio.iskcondesiretree.com/02_-_ISKCON_Swamis/ISKCON_Swamis_-_R_to_Y/His_Holiness_Radhanath_Swami/Lectures/01_-_Theme_wise/Peace/2002-011_Real_Solution_For_World_Peace_Juhu_Rath_Yatra_Lecture_-_Radhanath_Swami_Mumbai_2002-01-12_IDesireTree.mp3", "2002-011_Real_Solution_For_World_Peace_Juhu_Rath_Yatra_Lecture_-_Radhanath_Swami_Mumbai_2002-01-12_IDesireTree.mp3")</f>
        <v>2002-011_Real_Solution_For_World_Peace_Juhu_Rath_Yatra_Lecture_-_Radhanath_Swami_Mumbai_2002-01-12_IDesireTree.mp3</v>
      </c>
      <c r="D4246" s="11"/>
      <c r="E4246" s="11"/>
    </row>
    <row r="4247" spans="1:5">
      <c r="A4247" s="12" t="s">
        <v>12463</v>
      </c>
      <c r="B4247" s="12" t="s">
        <v>16808</v>
      </c>
      <c r="C4247" s="13" t="str">
        <f>HYPERLINK("https://audio.iskcondesiretree.com/02_-_ISKCON_Swamis/ISKCON_Swamis_-_R_to_Y/His_Holiness_Radhanath_Swami/Lectures/01_-_Theme_wise/Personalism_vs_Impersonalism/1991-128_Impersonalism_Lamblasted_Lecture_-_Radhanath_Swami_Mumbai_1991-11-04_IDesireTree.mp3", "1991-128_Impersonalism_Lamblasted_Lecture_-_Radhanath_Swami_Mumbai_1991-11-04_IDesireTree.mp3")</f>
        <v>1991-128_Impersonalism_Lamblasted_Lecture_-_Radhanath_Swami_Mumbai_1991-11-04_IDesireTree.mp3</v>
      </c>
      <c r="D4247" s="11"/>
      <c r="E4247" s="11"/>
    </row>
    <row r="4248" spans="1:5">
      <c r="A4248" s="12" t="s">
        <v>12463</v>
      </c>
      <c r="B4248" s="12" t="s">
        <v>16809</v>
      </c>
      <c r="C4248" s="13" t="str">
        <f>HYPERLINK("https://audio.iskcondesiretree.com/02_-_ISKCON_Swamis/ISKCON_Swamis_-_R_to_Y/His_Holiness_Radhanath_Swami/Lectures/01_-_Theme_wise/Personalism_vs_Impersonalism/1992-012_How_To_Defeat_Mayavadis_Lecture_-_Radhanath_Swami_Mumbai_1992-01-10_IDesireTree.mp3", "1992-012_How_To_Defeat_Mayavadis_Lecture_-_Radhanath_Swami_Mumbai_1992-01-10_IDesireTree.mp3")</f>
        <v>1992-012_How_To_Defeat_Mayavadis_Lecture_-_Radhanath_Swami_Mumbai_1992-01-10_IDesireTree.mp3</v>
      </c>
      <c r="D4248" s="11"/>
      <c r="E4248" s="11"/>
    </row>
    <row r="4249" spans="1:5">
      <c r="A4249" s="12" t="s">
        <v>12463</v>
      </c>
      <c r="B4249" s="12" t="s">
        <v>16810</v>
      </c>
      <c r="C4249" s="13" t="str">
        <f>HYPERLINK("https://audio.iskcondesiretree.com/02_-_ISKCON_Swamis/ISKCON_Swamis_-_R_to_Y/His_Holiness_Radhanath_Swami/Lectures/01_-_Theme_wise/Personalism_vs_Impersonalism/1993-162_Defeating_Impersonalism_CC_ML-01_-_Radhanath_Swami_Mumbai_1993-10-29_IDesireTree.mp3", "1993-162_Defeating_Impersonalism_CC_ML-01_-_Radhanath_Swami_Mumbai_1993-10-29_IDesireTree.mp3")</f>
        <v>1993-162_Defeating_Impersonalism_CC_ML-01_-_Radhanath_Swami_Mumbai_1993-10-29_IDesireTree.mp3</v>
      </c>
      <c r="D4249" s="11"/>
      <c r="E4249" s="11"/>
    </row>
    <row r="4250" spans="1:5">
      <c r="A4250" s="12" t="s">
        <v>12463</v>
      </c>
      <c r="B4250" s="12" t="s">
        <v>16811</v>
      </c>
      <c r="C4250" s="13" t="str">
        <f>HYPERLINK("https://audio.iskcondesiretree.com/02_-_ISKCON_Swamis/ISKCON_Swamis_-_R_to_Y/His_Holiness_Radhanath_Swami/Lectures/01_-_Theme_wise/Personalism_vs_Impersonalism/1996-049_Faults_Of_Impersonalism_Lecture_-_Radhanath_Swami_Mumbai_1996-03-06_IDesireTree.mp3", "1996-049_Faults_Of_Impersonalism_Lecture_-_Radhanath_Swami_Mumbai_1996-03-06_IDesireTree.mp3")</f>
        <v>1996-049_Faults_Of_Impersonalism_Lecture_-_Radhanath_Swami_Mumbai_1996-03-06_IDesireTree.mp3</v>
      </c>
      <c r="D4250" s="11"/>
      <c r="E4250" s="11"/>
    </row>
    <row r="4251" spans="1:5">
      <c r="A4251" s="12" t="s">
        <v>12463</v>
      </c>
      <c r="B4251" s="12" t="s">
        <v>15982</v>
      </c>
      <c r="C4251" s="13" t="str">
        <f>HYPERLINK("https://audio.iskcondesiretree.com/02_-_ISKCON_Swamis/ISKCON_Swamis_-_R_to_Y/His_Holiness_Radhanath_Swami/Lectures/01_-_Theme_wise/Personality_Development/1989-046_Not_Bad_Not_Mad_But_Sick_Lecture_-_Radhanath_Swami_Mumbai_1989-09-23_IDesireTree.mp3", "1989-046_Not_Bad_Not_Mad_But_Sick_Lecture_-_Radhanath_Swami_Mumbai_1989-09-23_IDesireTree.mp3")</f>
        <v>1989-046_Not_Bad_Not_Mad_But_Sick_Lecture_-_Radhanath_Swami_Mumbai_1989-09-23_IDesireTree.mp3</v>
      </c>
      <c r="D4251" s="11"/>
      <c r="E4251" s="11"/>
    </row>
    <row r="4252" spans="1:5">
      <c r="A4252" s="12" t="s">
        <v>12463</v>
      </c>
      <c r="B4252" s="12" t="s">
        <v>16812</v>
      </c>
      <c r="C4252" s="13" t="str">
        <f>HYPERLINK("https://audio.iskcondesiretree.com/02_-_ISKCON_Swamis/ISKCON_Swamis_-_R_to_Y/His_Holiness_Radhanath_Swami/Lectures/01_-_Theme_wise/Personality_Development/1989-078_Self_Management_-_BG_06_-_Radhanath_Swami_Mumbai_1989-10-25_IDesireTree.mp3", "1989-078_Self_Management_-_BG_06_-_Radhanath_Swami_Mumbai_1989-10-25_IDesireTree.mp3")</f>
        <v>1989-078_Self_Management_-_BG_06_-_Radhanath_Swami_Mumbai_1989-10-25_IDesireTree.mp3</v>
      </c>
      <c r="D4252" s="11"/>
      <c r="E4252" s="11"/>
    </row>
    <row r="4253" spans="1:5">
      <c r="A4253" s="12" t="s">
        <v>12463</v>
      </c>
      <c r="B4253" s="12" t="s">
        <v>16813</v>
      </c>
      <c r="C4253" s="13" t="str">
        <f>HYPERLINK("https://audio.iskcondesiretree.com/02_-_ISKCON_Swamis/ISKCON_Swamis_-_R_to_Y/His_Holiness_Radhanath_Swami/Lectures/01_-_Theme_wise/Personality_Development/1993-038_The_Art_Of_Living_SB_09-10-08_-_Radhanath_Swami_Mumbai_1993-04-02_IDesireTree.mp3", "1993-038_The_Art_Of_Living_SB_09-10-08_-_Radhanath_Swami_Mumbai_1993-04-02_IDesireTree.mp3")</f>
        <v>1993-038_The_Art_Of_Living_SB_09-10-08_-_Radhanath_Swami_Mumbai_1993-04-02_IDesireTree.mp3</v>
      </c>
      <c r="D4253" s="11"/>
      <c r="E4253" s="11"/>
    </row>
    <row r="4254" spans="1:5">
      <c r="A4254" s="12" t="s">
        <v>12463</v>
      </c>
      <c r="B4254" s="12" t="s">
        <v>16814</v>
      </c>
      <c r="C4254" s="13" t="str">
        <f>HYPERLINK("https://audio.iskcondesiretree.com/02_-_ISKCON_Swamis/ISKCON_Swamis_-_R_to_Y/His_Holiness_Radhanath_Swami/Lectures/01_-_Theme_wise/Personality_Development/1993-180_Most_Of_Us_Are_Uncivilized_SB_01-05-12_-_Radhanath_Swami_Mumbai_1993-12-12_IDesireTree.mp3", "1993-180_Most_Of_Us_Are_Uncivilized_SB_01-05-12_-_Radhanath_Swami_Mumbai_1993-12-12_IDesireTree.mp3")</f>
        <v>1993-180_Most_Of_Us_Are_Uncivilized_SB_01-05-12_-_Radhanath_Swami_Mumbai_1993-12-12_IDesireTree.mp3</v>
      </c>
      <c r="D4254" s="11"/>
      <c r="E4254" s="11"/>
    </row>
    <row r="4255" spans="1:5">
      <c r="A4255" s="12" t="s">
        <v>12463</v>
      </c>
      <c r="B4255" s="12" t="s">
        <v>16815</v>
      </c>
      <c r="C4255" s="13" t="str">
        <f>HYPERLINK("https://audio.iskcondesiretree.com/02_-_ISKCON_Swamis/ISKCON_Swamis_-_R_to_Y/His_Holiness_Radhanath_Swami/Lectures/01_-_Theme_wise/Piety/1991-019_Being_Pious_BG-07-28_-_Radhnath_Swami_Mumbai_1991-02-13_IDesireTree.mp3", "1991-019_Being_Pious_BG-07-28_-_Radhnath_Swami_Mumbai_1991-02-13_IDesireTree.mp3")</f>
        <v>1991-019_Being_Pious_BG-07-28_-_Radhnath_Swami_Mumbai_1991-02-13_IDesireTree.mp3</v>
      </c>
      <c r="D4255" s="11"/>
      <c r="E4255" s="11"/>
    </row>
    <row r="4256" spans="1:5">
      <c r="A4256" s="12" t="s">
        <v>12463</v>
      </c>
      <c r="B4256" s="12" t="s">
        <v>16816</v>
      </c>
      <c r="C4256" s="13" t="str">
        <f>HYPERLINK("https://audio.iskcondesiretree.com/02_-_ISKCON_Swamis/ISKCON_Swamis_-_R_to_Y/His_Holiness_Radhanath_Swami/Lectures/01_-_Theme_wise/Piety/1991-045_Being_Pious_BG_07-28_-_Radhnath_Swami_Mumbai_1991-05-10_IDesireTree.mp3", "1991-045_Being_Pious_BG_07-28_-_Radhnath_Swami_Mumbai_1991-05-10_IDesireTree.mp3")</f>
        <v>1991-045_Being_Pious_BG_07-28_-_Radhnath_Swami_Mumbai_1991-05-10_IDesireTree.mp3</v>
      </c>
      <c r="D4256" s="11"/>
      <c r="E4256" s="11"/>
    </row>
    <row r="4257" spans="1:5">
      <c r="A4257" s="12" t="s">
        <v>12463</v>
      </c>
      <c r="B4257" s="12" t="s">
        <v>16817</v>
      </c>
      <c r="C4257" s="13" t="str">
        <f>HYPERLINK("https://audio.iskcondesiretree.com/02_-_ISKCON_Swamis/ISKCON_Swamis_-_R_to_Y/His_Holiness_Radhanath_Swami/Lectures/01_-_Theme_wise/Prayers/1992-034_Prayers_By_Advaita_Acharya_CC_AL-02_-_Radhnath_Swami_Mumbai_1992-02-20_IDesireTree.mp3", "1992-034_Prayers_By_Advaita_Acharya_CC_AL-02_-_Radhnath_Swami_Mumbai_1992-02-20_IDesireTree.mp3")</f>
        <v>1992-034_Prayers_By_Advaita_Acharya_CC_AL-02_-_Radhnath_Swami_Mumbai_1992-02-20_IDesireTree.mp3</v>
      </c>
      <c r="D4257" s="11"/>
      <c r="E4257" s="11"/>
    </row>
    <row r="4258" spans="1:5">
      <c r="A4258" s="12" t="s">
        <v>12463</v>
      </c>
      <c r="B4258" s="12" t="s">
        <v>16818</v>
      </c>
      <c r="C4258" s="13" t="str">
        <f>HYPERLINK("https://audio.iskcondesiretree.com/02_-_ISKCON_Swamis/ISKCON_Swamis_-_R_to_Y/His_Holiness_Radhanath_Swami/Lectures/01_-_Theme_wise/Prayers/1992-139_Prayers_Of_Vaishnavas_Never_Go_In_Vain_SB_10_16_60-64_-_Radhnath_Swami_Mumbai_1992-12-12_IDesireTree.mp3", "1992-139_Prayers_Of_Vaishnavas_Never_Go_In_Vain_SB_10_16_60-64_-_Radhnath_Swami_Mumbai_1992-12-12_IDesireTree.mp3")</f>
        <v>1992-139_Prayers_Of_Vaishnavas_Never_Go_In_Vain_SB_10_16_60-64_-_Radhnath_Swami_Mumbai_1992-12-12_IDesireTree.mp3</v>
      </c>
      <c r="D4258" s="11"/>
      <c r="E4258" s="11"/>
    </row>
    <row r="4259" spans="1:5">
      <c r="A4259" s="12" t="s">
        <v>12463</v>
      </c>
      <c r="B4259" s="12" t="s">
        <v>16819</v>
      </c>
      <c r="C4259" s="13" t="str">
        <f>HYPERLINK("https://audio.iskcondesiretree.com/02_-_ISKCON_Swamis/ISKCON_Swamis_-_R_to_Y/His_Holiness_Radhanath_Swami/Lectures/01_-_Theme_wise/Prayers/1998-045_Praying-_The_Way_Lord_Brahma_Did_SB-03_09_40_-_Radhnath_Swami_Mumbai_1998-03-04_DesireTree.mp3", "1998-045_Praying-_The_Way_Lord_Brahma_Did_SB-03_09_40_-_Radhnath_Swami_Mumbai_1998-03-04_DesireTree.mp3")</f>
        <v>1998-045_Praying-_The_Way_Lord_Brahma_Did_SB-03_09_40_-_Radhnath_Swami_Mumbai_1998-03-04_DesireTree.mp3</v>
      </c>
      <c r="D4259" s="11"/>
      <c r="E4259" s="11"/>
    </row>
    <row r="4260" spans="1:5">
      <c r="A4260" s="12" t="s">
        <v>12463</v>
      </c>
      <c r="B4260" s="12" t="s">
        <v>16820</v>
      </c>
      <c r="C4260" s="13" t="str">
        <f>HYPERLINK("https://audio.iskcondesiretree.com/02_-_ISKCON_Swamis/ISKCON_Swamis_-_R_to_Y/His_Holiness_Radhanath_Swami/Lectures/01_-_Theme_wise/Prayers/2000-083_Lalashmayi_Prarthana-_I_Sun_Feast_-_Radhnath_Swami_Mumbai_2000-10-29-IDesireTree.mp3", "2000-083_Lalashmayi_Prarthana-_I_Sun_Feast_-_Radhnath_Swami_Mumbai_2000-10-29-IDesireTree.mp3")</f>
        <v>2000-083_Lalashmayi_Prarthana-_I_Sun_Feast_-_Radhnath_Swami_Mumbai_2000-10-29-IDesireTree.mp3</v>
      </c>
      <c r="D4260" s="11"/>
      <c r="E4260" s="11"/>
    </row>
    <row r="4261" spans="1:5">
      <c r="A4261" s="12" t="s">
        <v>12463</v>
      </c>
      <c r="B4261" s="12" t="s">
        <v>16821</v>
      </c>
      <c r="C4261" s="13" t="str">
        <f>HYPERLINK("https://audio.iskcondesiretree.com/02_-_ISKCON_Swamis/ISKCON_Swamis_-_R_to_Y/His_Holiness_Radhanath_Swami/Lectures/01_-_Theme_wise/Prayers/2000-084_Lalashmayi_Prarthana-_II_Sun_Feast_-_Radhnath_Swami_Mumbai_1992-10-29_IDesireTree.mp3", "2000-084_Lalashmayi_Prarthana-_II_Sun_Feast_-_Radhnath_Swami_Mumbai_1992-10-29_IDesireTree.mp3")</f>
        <v>2000-084_Lalashmayi_Prarthana-_II_Sun_Feast_-_Radhnath_Swami_Mumbai_1992-10-29_IDesireTree.mp3</v>
      </c>
      <c r="D4261" s="11"/>
      <c r="E4261" s="11"/>
    </row>
    <row r="4262" spans="1:5">
      <c r="A4262" s="12" t="s">
        <v>12463</v>
      </c>
      <c r="B4262" s="12" t="s">
        <v>16822</v>
      </c>
      <c r="C4262" s="13" t="str">
        <f>HYPERLINK("https://audio.iskcondesiretree.com/02_-_ISKCON_Swamis/ISKCON_Swamis_-_R_to_Y/His_Holiness_Radhanath_Swami/Lectures/01_-_Theme_wise/Preaching_is_the_essence/1991-160_Philosophy_First-_Pastimes_Later_-_Radhanath_Swami_Mumbai_1991-12-30_IDesireTree.mp3", "1991-160_Philosophy_First-_Pastimes_Later_-_Radhanath_Swami_Mumbai_1991-12-30_IDesireTree.mp3")</f>
        <v>1991-160_Philosophy_First-_Pastimes_Later_-_Radhanath_Swami_Mumbai_1991-12-30_IDesireTree.mp3</v>
      </c>
      <c r="D4262" s="11"/>
      <c r="E4262" s="11"/>
    </row>
    <row r="4263" spans="1:5">
      <c r="A4263" s="12" t="s">
        <v>12463</v>
      </c>
      <c r="B4263" s="12" t="s">
        <v>16823</v>
      </c>
      <c r="C4263" s="13" t="str">
        <f>HYPERLINK("https://audio.iskcondesiretree.com/02_-_ISKCON_Swamis/ISKCON_Swamis_-_R_to_Y/His_Holiness_Radhanath_Swami/Lectures/01_-_Theme_wise/Preaching_is_the_essence/1992-012_How_To_Defeat_Mayavadis_-_Radhanath_Swami_Mumbai_1992-01-10_IDesireTree.mp3", "1992-012_How_To_Defeat_Mayavadis_-_Radhanath_Swami_Mumbai_1992-01-10_IDesireTree.mp3")</f>
        <v>1992-012_How_To_Defeat_Mayavadis_-_Radhanath_Swami_Mumbai_1992-01-10_IDesireTree.mp3</v>
      </c>
      <c r="D4263" s="11"/>
      <c r="E4263" s="11"/>
    </row>
    <row r="4264" spans="1:5">
      <c r="A4264" s="12" t="s">
        <v>12463</v>
      </c>
      <c r="B4264" s="12" t="s">
        <v>16824</v>
      </c>
      <c r="C4264" s="13" t="str">
        <f>HYPERLINK("https://audio.iskcondesiretree.com/02_-_ISKCON_Swamis/ISKCON_Swamis_-_R_to_Y/His_Holiness_Radhanath_Swami/Lectures/01_-_Theme_wise/Preaching_is_the_essence/1993-040_Power_Of_Preacher_BG-04_15_-_Radhanath_Swami_Mumbai_1993-04-04_IDesireTree.mp3", "1993-040_Power_Of_Preacher_BG-04_15_-_Radhanath_Swami_Mumbai_1993-04-04_IDesireTree.mp3")</f>
        <v>1993-040_Power_Of_Preacher_BG-04_15_-_Radhanath_Swami_Mumbai_1993-04-04_IDesireTree.mp3</v>
      </c>
      <c r="D4264" s="11"/>
      <c r="E4264" s="11"/>
    </row>
    <row r="4265" spans="1:5">
      <c r="A4265" s="12" t="s">
        <v>12463</v>
      </c>
      <c r="B4265" s="12" t="s">
        <v>16825</v>
      </c>
      <c r="C4265" s="13" t="str">
        <f>HYPERLINK("https://audio.iskcondesiretree.com/02_-_ISKCON_Swamis/ISKCON_Swamis_-_R_to_Y/His_Holiness_Radhanath_Swami/Lectures/01_-_Theme_wise/Preaching_is_the_essence/1993-069_Attracting_Our_Youth_Lecture_-_Radhanath_Swami_Mumbai_1993-04-29_IDesireTree.mp3", "1993-069_Attracting_Our_Youth_Lecture_-_Radhanath_Swami_Mumbai_1993-04-29_IDesireTree.mp3")</f>
        <v>1993-069_Attracting_Our_Youth_Lecture_-_Radhanath_Swami_Mumbai_1993-04-29_IDesireTree.mp3</v>
      </c>
      <c r="D4265" s="11"/>
      <c r="E4265" s="11"/>
    </row>
    <row r="4266" spans="1:5">
      <c r="A4266" s="12" t="s">
        <v>12463</v>
      </c>
      <c r="B4266" s="12" t="s">
        <v>16826</v>
      </c>
      <c r="C4266" s="13" t="str">
        <f>HYPERLINK("https://audio.iskcondesiretree.com/02_-_ISKCON_Swamis/ISKCON_Swamis_-_R_to_Y/His_Holiness_Radhanath_Swami/Lectures/01_-_Theme_wise/Preaching_is_the_essence/1993-159_The_Greatest_Preaching_-_Radhanath_Swami_Mumbai_1993-10-25_IDesireTree.mp3", "1993-159_The_Greatest_Preaching_-_Radhanath_Swami_Mumbai_1993-10-25_IDesireTree.mp3")</f>
        <v>1993-159_The_Greatest_Preaching_-_Radhanath_Swami_Mumbai_1993-10-25_IDesireTree.mp3</v>
      </c>
      <c r="D4266" s="11"/>
      <c r="E4266" s="11"/>
    </row>
    <row r="4267" spans="1:5">
      <c r="A4267" s="12" t="s">
        <v>12463</v>
      </c>
      <c r="B4267" s="12" t="s">
        <v>16827</v>
      </c>
      <c r="C4267" s="13" t="str">
        <f>HYPERLINK("https://audio.iskcondesiretree.com/02_-_ISKCON_Swamis/ISKCON_Swamis_-_R_to_Y/His_Holiness_Radhanath_Swami/Lectures/01_-_Theme_wise/Preaching_is_the_essence/1995-014_Talk_With_J_J_Medical_Students_-_Radhanath_Swami_Mumbai_1995-01-11.mp3", "1995-014_Talk_With_J_J_Medical_Students_-_Radhanath_Swami_Mumbai_1995-01-11.mp3")</f>
        <v>1995-014_Talk_With_J_J_Medical_Students_-_Radhanath_Swami_Mumbai_1995-01-11.mp3</v>
      </c>
      <c r="D4267" s="11"/>
      <c r="E4267" s="11"/>
    </row>
    <row r="4268" spans="1:5">
      <c r="A4268" s="12" t="s">
        <v>12463</v>
      </c>
      <c r="B4268" s="12" t="s">
        <v>15986</v>
      </c>
      <c r="C4268" s="13" t="str">
        <f>HYPERLINK("https://audio.iskcondesiretree.com/02_-_ISKCON_Swamis/ISKCON_Swamis_-_R_to_Y/His_Holiness_Radhanath_Swami/Lectures/01_-_Theme_wise/Preaching_is_the_essence/1997-035_Preach_With_Compassion_Lecture_-_Radhanath_Swami_Mumbai_1997-02-09_IDesireTree.mp3", "1997-035_Preach_With_Compassion_Lecture_-_Radhanath_Swami_Mumbai_1997-02-09_IDesireTree.mp3")</f>
        <v>1997-035_Preach_With_Compassion_Lecture_-_Radhanath_Swami_Mumbai_1997-02-09_IDesireTree.mp3</v>
      </c>
      <c r="D4268" s="11"/>
      <c r="E4268" s="11"/>
    </row>
    <row r="4269" spans="1:5">
      <c r="A4269" s="12" t="s">
        <v>12463</v>
      </c>
      <c r="B4269" s="12" t="s">
        <v>16828</v>
      </c>
      <c r="C4269" s="13" t="str">
        <f>HYPERLINK("https://audio.iskcondesiretree.com/02_-_ISKCON_Swamis/ISKCON_Swamis_-_R_to_Y/His_Holiness_Radhanath_Swami/Lectures/01_-_Theme_wise/Preaching_is_the_essence/1998-092_Preach_Only_When_You_Receive_the_Order_-_Radhanath_Swami_Mumbai_1997-09-28_IDesireTree.mp3", "1998-092_Preach_Only_When_You_Receive_the_Order_-_Radhanath_Swami_Mumbai_1997-09-28_IDesireTree.mp3")</f>
        <v>1998-092_Preach_Only_When_You_Receive_the_Order_-_Radhanath_Swami_Mumbai_1997-09-28_IDesireTree.mp3</v>
      </c>
      <c r="D4269" s="11"/>
      <c r="E4269" s="11"/>
    </row>
    <row r="4270" spans="1:5">
      <c r="A4270" s="12" t="s">
        <v>12463</v>
      </c>
      <c r="B4270" s="12" t="s">
        <v>16829</v>
      </c>
      <c r="C4270" s="13" t="str">
        <f>HYPERLINK("https://audio.iskcondesiretree.com/02_-_ISKCON_Swamis/ISKCON_Swamis_-_R_to_Y/His_Holiness_Radhanath_Swami/Lectures/01_-_Theme_wise/Public_Addressings/1995-007_Arrival_Lecture_Lecture_-_Radhanath_Swami_Mumbai_1995-01-06.mp3", "1995-007_Arrival_Lecture_Lecture_-_Radhanath_Swami_Mumbai_1995-01-06.mp3")</f>
        <v>1995-007_Arrival_Lecture_Lecture_-_Radhanath_Swami_Mumbai_1995-01-06.mp3</v>
      </c>
      <c r="D4270" s="11"/>
      <c r="E4270" s="11"/>
    </row>
    <row r="4271" spans="1:5">
      <c r="A4271" s="12" t="s">
        <v>12463</v>
      </c>
      <c r="B4271" s="12" t="s">
        <v>16830</v>
      </c>
      <c r="C4271" s="13" t="str">
        <f>HYPERLINK("https://audio.iskcondesiretree.com/02_-_ISKCON_Swamis/ISKCON_Swamis_-_R_to_Y/His_Holiness_Radhanath_Swami/Lectures/01_-_Theme_wise/Public_Addressings/1995-008_Centennial_Address_Lecture_-_Radhanath_Swami_Mumbai_1995-01-06_95.mp3", "1995-008_Centennial_Address_Lecture_-_Radhanath_Swami_Mumbai_1995-01-06_95.mp3")</f>
        <v>1995-008_Centennial_Address_Lecture_-_Radhanath_Swami_Mumbai_1995-01-06_95.mp3</v>
      </c>
      <c r="D4271" s="11"/>
      <c r="E4271" s="11"/>
    </row>
    <row r="4272" spans="1:5">
      <c r="A4272" s="12" t="s">
        <v>12463</v>
      </c>
      <c r="B4272" s="12" t="s">
        <v>16831</v>
      </c>
      <c r="C4272" s="13" t="str">
        <f>HYPERLINK("https://audio.iskcondesiretree.com/02_-_ISKCON_Swamis/ISKCON_Swamis_-_R_to_Y/His_Holiness_Radhanath_Swami/Lectures/01_-_Theme_wise/Public_Addressings/1995-022_Arrival_Address_Ht_-_Lecture_-_Radhanath_Swami_Belgaum_1995-01-15.mp3", "1995-022_Arrival_Address_Ht_-_Lecture_-_Radhanath_Swami_Belgaum_1995-01-15.mp3")</f>
        <v>1995-022_Arrival_Address_Ht_-_Lecture_-_Radhanath_Swami_Belgaum_1995-01-15.mp3</v>
      </c>
      <c r="D4272" s="11"/>
      <c r="E4272" s="11"/>
    </row>
    <row r="4273" spans="1:5">
      <c r="A4273" s="12" t="s">
        <v>12463</v>
      </c>
      <c r="B4273" s="12" t="s">
        <v>16832</v>
      </c>
      <c r="C4273" s="13" t="str">
        <f>HYPERLINK("https://audio.iskcondesiretree.com/02_-_ISKCON_Swamis/ISKCON_Swamis_-_R_to_Y/His_Holiness_Radhanath_Swami/Lectures/01_-_Theme_wise/Public_Addressings/1995-056_Lecture_To_Students_BG-04_23_-_Radhanath_Swami_Mumbai_1995-03-09.mp3", "1995-056_Lecture_To_Students_BG-04_23_-_Radhanath_Swami_Mumbai_1995-03-09.mp3")</f>
        <v>1995-056_Lecture_To_Students_BG-04_23_-_Radhanath_Swami_Mumbai_1995-03-09.mp3</v>
      </c>
      <c r="D4273" s="11"/>
      <c r="E4273" s="11"/>
    </row>
    <row r="4274" spans="1:5">
      <c r="A4274" s="12" t="s">
        <v>12463</v>
      </c>
      <c r="B4274" s="12" t="s">
        <v>16833</v>
      </c>
      <c r="C4274" s="13" t="str">
        <f>HYPERLINK("https://audio.iskcondesiretree.com/02_-_ISKCON_Swamis/ISKCON_Swamis_-_R_to_Y/His_Holiness_Radhanath_Swami/Lectures/01_-_Theme_wise/Public_Addressings/1995-079_Arrival_Lecture_-_Radhanath_Swami_Mumbai_1995-08-09_IDesireTree.mp3", "1995-079_Arrival_Lecture_-_Radhanath_Swami_Mumbai_1995-08-09_IDesireTree.mp3")</f>
        <v>1995-079_Arrival_Lecture_-_Radhanath_Swami_Mumbai_1995-08-09_IDesireTree.mp3</v>
      </c>
      <c r="D4274" s="11"/>
      <c r="E4274" s="11"/>
    </row>
    <row r="4275" spans="1:5">
      <c r="A4275" s="12" t="s">
        <v>12463</v>
      </c>
      <c r="B4275" s="12" t="s">
        <v>16834</v>
      </c>
      <c r="C4275" s="13" t="str">
        <f>HYPERLINK("https://audio.iskcondesiretree.com/02_-_ISKCON_Swamis/ISKCON_Swamis_-_R_to_Y/His_Holiness_Radhanath_Swami/Lectures/01_-_Theme_wise/Public_Addressings/1995-131_Arrival_Lecture__Radhanath_Swami_Mumbai_1995-12-16_IDesireTree.mp3", "1995-131_Arrival_Lecture__Radhanath_Swami_Mumbai_1995-12-16_IDesireTree.mp3")</f>
        <v>1995-131_Arrival_Lecture__Radhanath_Swami_Mumbai_1995-12-16_IDesireTree.mp3</v>
      </c>
      <c r="D4275" s="11"/>
      <c r="E4275" s="11"/>
    </row>
    <row r="4276" spans="1:5">
      <c r="A4276" s="12" t="s">
        <v>12463</v>
      </c>
      <c r="B4276" s="12" t="s">
        <v>16835</v>
      </c>
      <c r="C4276" s="13" t="str">
        <f>HYPERLINK("https://audio.iskcondesiretree.com/02_-_ISKCON_Swamis/ISKCON_Swamis_-_R_to_Y/His_Holiness_Radhanath_Swami/Lectures/01_-_Theme_wise/Public_Addressings/1996-004_Arrival_Lecture_-_Radhanath_Swami_Pune_1996-01-03.mp3", "1996-004_Arrival_Lecture_-_Radhanath_Swami_Pune_1996-01-03.mp3")</f>
        <v>1996-004_Arrival_Lecture_-_Radhanath_Swami_Pune_1996-01-03.mp3</v>
      </c>
      <c r="D4276" s="11"/>
      <c r="E4276" s="11"/>
    </row>
    <row r="4277" spans="1:5">
      <c r="A4277" s="12" t="s">
        <v>12463</v>
      </c>
      <c r="B4277" s="12" t="s">
        <v>16836</v>
      </c>
      <c r="C4277" s="13" t="str">
        <f>HYPERLINK("https://audio.iskcondesiretree.com/02_-_ISKCON_Swamis/ISKCON_Swamis_-_R_to_Y/His_Holiness_Radhanath_Swami/Lectures/01_-_Theme_wise/Public_Addressings/1996-027_Arrival_Lecture_-_Radhanath_Swami_Pune_1996-01-25_IDesireTree.mp3", "1996-027_Arrival_Lecture_-_Radhanath_Swami_Pune_1996-01-25_IDesireTree.mp3")</f>
        <v>1996-027_Arrival_Lecture_-_Radhanath_Swami_Pune_1996-01-25_IDesireTree.mp3</v>
      </c>
      <c r="D4277" s="11"/>
      <c r="E4277" s="11"/>
    </row>
    <row r="4278" spans="1:5">
      <c r="A4278" s="12" t="s">
        <v>12463</v>
      </c>
      <c r="B4278" s="12" t="s">
        <v>16837</v>
      </c>
      <c r="C4278" s="13" t="str">
        <f>HYPERLINK("https://audio.iskcondesiretree.com/02_-_ISKCON_Swamis/ISKCON_Swamis_-_R_to_Y/His_Holiness_Radhanath_Swami/Lectures/01_-_Theme_wise/Public_Addressings/1996-030_Departure_Lecture_-_Radhanath_Swami_Pune_1996-01-27_IDesireTree.mp3", "1996-030_Departure_Lecture_-_Radhanath_Swami_Pune_1996-01-27_IDesireTree.mp3")</f>
        <v>1996-030_Departure_Lecture_-_Radhanath_Swami_Pune_1996-01-27_IDesireTree.mp3</v>
      </c>
      <c r="D4278" s="11"/>
      <c r="E4278" s="11"/>
    </row>
    <row r="4279" spans="1:5">
      <c r="A4279" s="12" t="s">
        <v>12463</v>
      </c>
      <c r="B4279" s="12" t="s">
        <v>16838</v>
      </c>
      <c r="C4279" s="13" t="str">
        <f>HYPERLINK("https://audio.iskcondesiretree.com/02_-_ISKCON_Swamis/ISKCON_Swamis_-_R_to_Y/His_Holiness_Radhanath_Swami/Lectures/01_-_Theme_wise/Public_Addressings/1996-146_Arrival_Lecture_-_Radhanath_Swami_Belgaum_1996-09-30_IDesireTree.mp3", "1996-146_Arrival_Lecture_-_Radhanath_Swami_Belgaum_1996-09-30_IDesireTree.mp3")</f>
        <v>1996-146_Arrival_Lecture_-_Radhanath_Swami_Belgaum_1996-09-30_IDesireTree.mp3</v>
      </c>
      <c r="D4279" s="11"/>
      <c r="E4279" s="11"/>
    </row>
    <row r="4280" spans="1:5">
      <c r="A4280" s="12" t="s">
        <v>12463</v>
      </c>
      <c r="B4280" s="12" t="s">
        <v>16839</v>
      </c>
      <c r="C4280" s="13" t="str">
        <f>HYPERLINK("https://audio.iskcondesiretree.com/02_-_ISKCON_Swamis/ISKCON_Swamis_-_R_to_Y/His_Holiness_Radhanath_Swami/Lectures/01_-_Theme_wise/Public_Addressings/1996-169_Departure_Meeting_-_Radhanath_Swami_Mumbai_1996-11-04_IDesireTree.mp3", "1996-169_Departure_Meeting_-_Radhanath_Swami_Mumbai_1996-11-04_IDesireTree.mp3")</f>
        <v>1996-169_Departure_Meeting_-_Radhanath_Swami_Mumbai_1996-11-04_IDesireTree.mp3</v>
      </c>
      <c r="D4280" s="11"/>
      <c r="E4280" s="11"/>
    </row>
    <row r="4281" spans="1:5">
      <c r="A4281" s="12" t="s">
        <v>12463</v>
      </c>
      <c r="B4281" s="12" t="s">
        <v>16840</v>
      </c>
      <c r="C4281" s="13" t="str">
        <f>HYPERLINK("https://audio.iskcondesiretree.com/02_-_ISKCON_Swamis/ISKCON_Swamis_-_R_to_Y/His_Holiness_Radhanath_Swami/Lectures/01_-_Theme_wise/Public_Addressings/1996-171_Arrival_Lecture_SB-02_06_35_-_Radhanath_Swami_Mumbai_1996-12-19_IDesireTree.mp3", "1996-171_Arrival_Lecture_SB-02_06_35_-_Radhanath_Swami_Mumbai_1996-12-19_IDesireTree.mp3")</f>
        <v>1996-171_Arrival_Lecture_SB-02_06_35_-_Radhanath_Swami_Mumbai_1996-12-19_IDesireTree.mp3</v>
      </c>
      <c r="D4281" s="11"/>
      <c r="E4281" s="11"/>
    </row>
    <row r="4282" spans="1:5">
      <c r="A4282" s="12" t="s">
        <v>12463</v>
      </c>
      <c r="B4282" s="12" t="s">
        <v>16841</v>
      </c>
      <c r="C4282" s="13" t="str">
        <f>HYPERLINK("https://audio.iskcondesiretree.com/02_-_ISKCON_Swamis/ISKCON_Swamis_-_R_to_Y/His_Holiness_Radhanath_Swami/Lectures/01_-_Theme_wise/Public_Addressings/1997-027_Arrival_Lecture_-_Radhanath_Swami_Pune_1997-30-01_IDesireTree.mp3", "1997-027_Arrival_Lecture_-_Radhanath_Swami_Pune_1997-30-01_IDesireTree.mp3")</f>
        <v>1997-027_Arrival_Lecture_-_Radhanath_Swami_Pune_1997-30-01_IDesireTree.mp3</v>
      </c>
      <c r="D4282" s="11"/>
      <c r="E4282" s="11"/>
    </row>
    <row r="4283" spans="1:5">
      <c r="A4283" s="12" t="s">
        <v>12463</v>
      </c>
      <c r="B4283" s="12" t="s">
        <v>16842</v>
      </c>
      <c r="C4283" s="13" t="str">
        <f>HYPERLINK("https://audio.iskcondesiretree.com/02_-_ISKCON_Swamis/ISKCON_Swamis_-_R_to_Y/His_Holiness_Radhanath_Swami/Lectures/01_-_Theme_wise/Public_Addressings/1997-030_Departure_Lecture_-_Radhanath_Swami_Pune_1997-02-02_IDesireTree.mp3", "1997-030_Departure_Lecture_-_Radhanath_Swami_Pune_1997-02-02_IDesireTree.mp3")</f>
        <v>1997-030_Departure_Lecture_-_Radhanath_Swami_Pune_1997-02-02_IDesireTree.mp3</v>
      </c>
      <c r="D4283" s="11"/>
      <c r="E4283" s="11"/>
    </row>
    <row r="4284" spans="1:5">
      <c r="A4284" s="12" t="s">
        <v>12463</v>
      </c>
      <c r="B4284" s="12" t="s">
        <v>16843</v>
      </c>
      <c r="C4284" s="13" t="str">
        <f>HYPERLINK("https://audio.iskcondesiretree.com/02_-_ISKCON_Swamis/ISKCON_Swamis_-_R_to_Y/His_Holiness_Radhanath_Swami/Lectures/01_-_Theme_wise/Public_Addressings/1997-069_Bangalore_Temple_Opening_Lecture_-_Radhanath_Swami_Bangalore_1997-04-30_IDesireTree.mp3", "1997-069_Bangalore_Temple_Opening_Lecture_-_Radhanath_Swami_Bangalore_1997-04-30_IDesireTree.mp3")</f>
        <v>1997-069_Bangalore_Temple_Opening_Lecture_-_Radhanath_Swami_Bangalore_1997-04-30_IDesireTree.mp3</v>
      </c>
      <c r="D4284" s="11"/>
      <c r="E4284" s="11"/>
    </row>
    <row r="4285" spans="1:5">
      <c r="A4285" s="12" t="s">
        <v>12463</v>
      </c>
      <c r="B4285" s="12" t="s">
        <v>16844</v>
      </c>
      <c r="C4285" s="13" t="str">
        <f>HYPERLINK("https://audio.iskcondesiretree.com/02_-_ISKCON_Swamis/ISKCON_Swamis_-_R_to_Y/His_Holiness_Radhanath_Swami/Lectures/01_-_Theme_wise/Public_Addressings/1997-086__Lecture_Bhaktivedanta_Manor_-_Radhanath_Swami_London_1997-08-12_IDesireTree.mp3", "1997-086__Lecture_Bhaktivedanta_Manor_-_Radhanath_Swami_London_1997-08-12_IDesireTree.mp3")</f>
        <v>1997-086__Lecture_Bhaktivedanta_Manor_-_Radhanath_Swami_London_1997-08-12_IDesireTree.mp3</v>
      </c>
      <c r="D4285" s="11"/>
      <c r="E4285" s="11"/>
    </row>
    <row r="4286" spans="1:5">
      <c r="A4286" s="12" t="s">
        <v>12463</v>
      </c>
      <c r="B4286" s="12" t="s">
        <v>16845</v>
      </c>
      <c r="C4286" s="13" t="str">
        <f>HYPERLINK("https://audio.iskcondesiretree.com/02_-_ISKCON_Swamis/ISKCON_Swamis_-_R_to_Y/His_Holiness_Radhanath_Swami/Lectures/01_-_Theme_wise/Public_Addressings/1997-110_Message_To_The_Congregation_Devotees_Lecture_-_Radhanath_Swami_Mumbai_1997-09-27_IDesireTree.mp3", "1997-110_Message_To_The_Congregation_Devotees_Lecture_-_Radhanath_Swami_Mumbai_1997-09-27_IDesireTree.mp3")</f>
        <v>1997-110_Message_To_The_Congregation_Devotees_Lecture_-_Radhanath_Swami_Mumbai_1997-09-27_IDesireTree.mp3</v>
      </c>
      <c r="D4286" s="11"/>
      <c r="E4286" s="11"/>
    </row>
    <row r="4287" spans="1:5">
      <c r="A4287" s="12" t="s">
        <v>12463</v>
      </c>
      <c r="B4287" s="12" t="s">
        <v>16846</v>
      </c>
      <c r="C4287" s="13" t="str">
        <f>HYPERLINK("https://audio.iskcondesiretree.com/02_-_ISKCON_Swamis/ISKCON_Swamis_-_R_to_Y/His_Holiness_Radhanath_Swami/Lectures/01_-_Theme_wise/Public_Addressings/1998-009_Arrival_Address_Lecture_-_Radhanath_Swami_Pune_1998-01-23_IDesireTree.mp3", "1998-009_Arrival_Address_Lecture_-_Radhanath_Swami_Pune_1998-01-23_IDesireTree.mp3")</f>
        <v>1998-009_Arrival_Address_Lecture_-_Radhanath_Swami_Pune_1998-01-23_IDesireTree.mp3</v>
      </c>
      <c r="D4287" s="11"/>
      <c r="E4287" s="11"/>
    </row>
    <row r="4288" spans="1:5">
      <c r="A4288" s="12" t="s">
        <v>12463</v>
      </c>
      <c r="B4288" s="12" t="s">
        <v>16847</v>
      </c>
      <c r="C4288" s="13" t="str">
        <f>HYPERLINK("https://audio.iskcondesiretree.com/02_-_ISKCON_Swamis/ISKCON_Swamis_-_R_to_Y/His_Holiness_Radhanath_Swami/Lectures/01_-_Theme_wise/Public_Addressings/1998-083_Arrival_Address_Lecture_-_Radhanath_Swami_Mumbai_1998-09-18_IDesireTree.mp3", "1998-083_Arrival_Address_Lecture_-_Radhanath_Swami_Mumbai_1998-09-18_IDesireTree.mp3")</f>
        <v>1998-083_Arrival_Address_Lecture_-_Radhanath_Swami_Mumbai_1998-09-18_IDesireTree.mp3</v>
      </c>
      <c r="D4288" s="11"/>
      <c r="E4288" s="11"/>
    </row>
    <row r="4289" spans="1:5">
      <c r="A4289" s="12" t="s">
        <v>12463</v>
      </c>
      <c r="B4289" s="12" t="s">
        <v>16848</v>
      </c>
      <c r="C4289" s="13" t="str">
        <f>HYPERLINK("https://audio.iskcondesiretree.com/02_-_ISKCON_Swamis/ISKCON_Swamis_-_R_to_Y/His_Holiness_Radhanath_Swami/Lectures/01_-_Theme_wise/Public_Addressings/2000-028_Arrival_Address_Lecture_-_Radhanath_Swami_Pune_2000-02-10_IDesireTree.mp3", "2000-028_Arrival_Address_Lecture_-_Radhanath_Swami_Pune_2000-02-10_IDesireTree.mp3")</f>
        <v>2000-028_Arrival_Address_Lecture_-_Radhanath_Swami_Pune_2000-02-10_IDesireTree.mp3</v>
      </c>
      <c r="D4289" s="11"/>
      <c r="E4289" s="11"/>
    </row>
    <row r="4290" spans="1:5">
      <c r="A4290" s="12" t="s">
        <v>12463</v>
      </c>
      <c r="B4290" s="12" t="s">
        <v>16849</v>
      </c>
      <c r="C4290" s="13" t="str">
        <f>HYPERLINK("https://audio.iskcondesiretree.com/02_-_ISKCON_Swamis/ISKCON_Swamis_-_R_to_Y/His_Holiness_Radhanath_Swami/Lectures/01_-_Theme_wise/Public_Addressings/2000-040_Condolence_Message_Mrs_Dalal_Lecture_-_Radhanath_Swami_Mumbai_2000-03-16_IDesireTree.mp3", "2000-040_Condolence_Message_Mrs_Dalal_Lecture_-_Radhanath_Swami_Mumbai_2000-03-16_IDesireTree.mp3")</f>
        <v>2000-040_Condolence_Message_Mrs_Dalal_Lecture_-_Radhanath_Swami_Mumbai_2000-03-16_IDesireTree.mp3</v>
      </c>
      <c r="D4290" s="11"/>
      <c r="E4290" s="11"/>
    </row>
    <row r="4291" spans="1:5">
      <c r="A4291" s="12" t="s">
        <v>12463</v>
      </c>
      <c r="B4291" s="12" t="s">
        <v>16850</v>
      </c>
      <c r="C4291" s="13" t="str">
        <f>HYPERLINK("https://audio.iskcondesiretree.com/02_-_ISKCON_Swamis/ISKCON_Swamis_-_R_to_Y/His_Holiness_Radhanath_Swami/Lectures/01_-_Theme_wise/Public_Addressings/2001-047_Arrival_Lec_Lecture_-_Radhanath_Swami_Mumbai_2001-10-31_IDesireTree.mp3", "2001-047_Arrival_Lec_Lecture_-_Radhanath_Swami_Mumbai_2001-10-31_IDesireTree.mp3")</f>
        <v>2001-047_Arrival_Lec_Lecture_-_Radhanath_Swami_Mumbai_2001-10-31_IDesireTree.mp3</v>
      </c>
      <c r="D4291" s="11"/>
      <c r="E4291" s="11"/>
    </row>
    <row r="4292" spans="1:5">
      <c r="A4292" s="12" t="s">
        <v>12463</v>
      </c>
      <c r="B4292" s="12" t="s">
        <v>16851</v>
      </c>
      <c r="C4292" s="13" t="str">
        <f>HYPERLINK("https://audio.iskcondesiretree.com/02_-_ISKCON_Swamis/ISKCON_Swamis_-_R_to_Y/His_Holiness_Radhanath_Swami/Lectures/01_-_Theme_wise/Public_Addressings/2002-100_Arrival_Address_Lecture_-_Radhanath_Swami_Mumbai_2002-10-02_IDesireTree.mp3", "2002-100_Arrival_Address_Lecture_-_Radhanath_Swami_Mumbai_2002-10-02_IDesireTree.mp3")</f>
        <v>2002-100_Arrival_Address_Lecture_-_Radhanath_Swami_Mumbai_2002-10-02_IDesireTree.mp3</v>
      </c>
      <c r="D4292" s="11"/>
      <c r="E4292" s="11"/>
    </row>
    <row r="4293" spans="1:5">
      <c r="A4293" s="12" t="s">
        <v>12463</v>
      </c>
      <c r="B4293" s="12" t="s">
        <v>16852</v>
      </c>
      <c r="C4293" s="13" t="str">
        <f>HYPERLINK("https://audio.iskcondesiretree.com/02_-_ISKCON_Swamis/ISKCON_Swamis_-_R_to_Y/His_Holiness_Radhanath_Swami/Lectures/01_-_Theme_wise/Purity_is_the_force/1993-017_To_Purify_Our_Heart_SB-01_02_08_-_Radhanath_Swami_Mumbai_1993-01-17_IDesireTree.mp3", "1993-017_To_Purify_Our_Heart_SB-01_02_08_-_Radhanath_Swami_Mumbai_1993-01-17_IDesireTree.mp3")</f>
        <v>1993-017_To_Purify_Our_Heart_SB-01_02_08_-_Radhanath_Swami_Mumbai_1993-01-17_IDesireTree.mp3</v>
      </c>
      <c r="D4293" s="11"/>
      <c r="E4293" s="11"/>
    </row>
    <row r="4294" spans="1:5">
      <c r="A4294" s="12" t="s">
        <v>12463</v>
      </c>
      <c r="B4294" s="12" t="s">
        <v>16853</v>
      </c>
      <c r="C4294" s="13" t="str">
        <f>HYPERLINK("https://audio.iskcondesiretree.com/02_-_ISKCON_Swamis/ISKCON_Swamis_-_R_to_Y/His_Holiness_Radhanath_Swami/Lectures/01_-_Theme_wise/Purity_is_the_force/1993-051_Purification_Means_SB-10_26_13_-_Radhanath_Swami_Mumbai_1993-04-13_IDesireTree.mp3", "1993-051_Purification_Means_SB-10_26_13_-_Radhanath_Swami_Mumbai_1993-04-13_IDesireTree.mp3")</f>
        <v>1993-051_Purification_Means_SB-10_26_13_-_Radhanath_Swami_Mumbai_1993-04-13_IDesireTree.mp3</v>
      </c>
      <c r="D4294" s="11"/>
      <c r="E4294" s="11"/>
    </row>
    <row r="4295" spans="1:5">
      <c r="A4295" s="12" t="s">
        <v>12463</v>
      </c>
      <c r="B4295" s="12" t="s">
        <v>16854</v>
      </c>
      <c r="C4295" s="13" t="str">
        <f>HYPERLINK("https://audio.iskcondesiretree.com/02_-_ISKCON_Swamis/ISKCON_Swamis_-_R_to_Y/His_Holiness_Radhanath_Swami/Lectures/01_-_Theme_wise/Purity_is_the_force/1993-062_Prestige_To_Be_Purified_SB-10_27_01_-_Radhanath_Swami_Mumbai_1993-04-20_IDesireTree.mp3", "1993-062_Prestige_To_Be_Purified_SB-10_27_01_-_Radhanath_Swami_Mumbai_1993-04-20_IDesireTree.mp3")</f>
        <v>1993-062_Prestige_To_Be_Purified_SB-10_27_01_-_Radhanath_Swami_Mumbai_1993-04-20_IDesireTree.mp3</v>
      </c>
      <c r="D4295" s="11"/>
      <c r="E4295" s="11"/>
    </row>
    <row r="4296" spans="1:5">
      <c r="A4296" s="12" t="s">
        <v>12463</v>
      </c>
      <c r="B4296" s="12" t="s">
        <v>16855</v>
      </c>
      <c r="C4296" s="13" t="str">
        <f>HYPERLINK("https://audio.iskcondesiretree.com/02_-_ISKCON_Swamis/ISKCON_Swamis_-_R_to_Y/His_Holiness_Radhanath_Swami/Lectures/01_-_Theme_wise/Purity_is_the_force/1993-065_Purifying_Ourselves_Lecture_-_Radhanath_Swami_Mumbai_1993-04-23_IDesireTree.mp3", "1993-065_Purifying_Ourselves_Lecture_-_Radhanath_Swami_Mumbai_1993-04-23_IDesireTree.mp3")</f>
        <v>1993-065_Purifying_Ourselves_Lecture_-_Radhanath_Swami_Mumbai_1993-04-23_IDesireTree.mp3</v>
      </c>
      <c r="D4296" s="11"/>
      <c r="E4296" s="11"/>
    </row>
    <row r="4297" spans="1:5">
      <c r="A4297" s="12" t="s">
        <v>12463</v>
      </c>
      <c r="B4297" s="12" t="s">
        <v>16856</v>
      </c>
      <c r="C4297" s="13" t="str">
        <f>HYPERLINK("https://audio.iskcondesiretree.com/02_-_ISKCON_Swamis/ISKCON_Swamis_-_R_to_Y/His_Holiness_Radhanath_Swami/Lectures/01_-_Theme_wise/Purity_is_the_force/1994-119_First_Purify_Ourselves_Lecture_-_Radhanath_Swami_Mumbai_1994-08-28_IDesireTree.mp3", "1994-119_First_Purify_Ourselves_Lecture_-_Radhanath_Swami_Mumbai_1994-08-28_IDesireTree.mp3")</f>
        <v>1994-119_First_Purify_Ourselves_Lecture_-_Radhanath_Swami_Mumbai_1994-08-28_IDesireTree.mp3</v>
      </c>
      <c r="D4297" s="11"/>
      <c r="E4297" s="11"/>
    </row>
    <row r="4298" spans="1:5">
      <c r="A4298" s="12" t="s">
        <v>12463</v>
      </c>
      <c r="B4298" s="12" t="s">
        <v>16857</v>
      </c>
      <c r="C4298" s="13" t="str">
        <f>HYPERLINK("https://audio.iskcondesiretree.com/02_-_ISKCON_Swamis/ISKCON_Swamis_-_R_to_Y/His_Holiness_Radhanath_Swami/Lectures/01_-_Theme_wise/Purity_is_the_force/1996-075_Purify_Our_Heart_BG-03_20_-_Radhanath_Swami_Pune_1996-04-09_IDesireTree.mp3", "1996-075_Purify_Our_Heart_BG-03_20_-_Radhanath_Swami_Pune_1996-04-09_IDesireTree.mp3")</f>
        <v>1996-075_Purify_Our_Heart_BG-03_20_-_Radhanath_Swami_Pune_1996-04-09_IDesireTree.mp3</v>
      </c>
      <c r="D4298" s="11"/>
      <c r="E4298" s="11"/>
    </row>
    <row r="4299" spans="1:5">
      <c r="A4299" s="12" t="s">
        <v>12463</v>
      </c>
      <c r="B4299" s="12" t="s">
        <v>16858</v>
      </c>
      <c r="C4299" s="13" t="str">
        <f>HYPERLINK("https://audio.iskcondesiretree.com/02_-_ISKCON_Swamis/ISKCON_Swamis_-_R_to_Y/His_Holiness_Radhanath_Swami/Lectures/01_-_Theme_wise/Purity_is_the_force/2001-072_Getting_Purified_On_New_Years_Eve_Lecture_-_Radhanath_Swami_Mumbai_2001-12-31_IDesireTree.mp3", "2001-072_Getting_Purified_On_New_Years_Eve_Lecture_-_Radhanath_Swami_Mumbai_2001-12-31_IDesireTree.mp3")</f>
        <v>2001-072_Getting_Purified_On_New_Years_Eve_Lecture_-_Radhanath_Swami_Mumbai_2001-12-31_IDesireTree.mp3</v>
      </c>
      <c r="D4299" s="11"/>
      <c r="E4299" s="11"/>
    </row>
    <row r="4300" spans="1:5">
      <c r="A4300" s="12" t="s">
        <v>12463</v>
      </c>
      <c r="B4300" s="12" t="s">
        <v>16859</v>
      </c>
      <c r="C4300" s="13" t="str">
        <f>HYPERLINK("https://audio.iskcondesiretree.com/02_-_ISKCON_Swamis/ISKCON_Swamis_-_R_to_Y/His_Holiness_Radhanath_Swami/Lectures/01_-_Theme_wise/Purity_is_the_force/2003-004_Surpassing_Material_Conditioning_Sunday_feast_-_Radhanath_Swami_Pune_2003-01-05_IDesireTree.mp3", "2003-004_Surpassing_Material_Conditioning_Sunday_feast_-_Radhanath_Swami_Pune_2003-01-05_IDesireTree.mp3")</f>
        <v>2003-004_Surpassing_Material_Conditioning_Sunday_feast_-_Radhanath_Swami_Pune_2003-01-05_IDesireTree.mp3</v>
      </c>
      <c r="D4300" s="11"/>
      <c r="E4300" s="11"/>
    </row>
    <row r="4301" spans="1:5">
      <c r="A4301" s="12" t="s">
        <v>12463</v>
      </c>
      <c r="B4301" s="12" t="s">
        <v>16860</v>
      </c>
      <c r="C4301" s="13" t="str">
        <f>HYPERLINK("https://audio.iskcondesiretree.com/02_-_ISKCON_Swamis/ISKCON_Swamis_-_R_to_Y/His_Holiness_Radhanath_Swami/Lectures/01_-_Theme_wise/Question_and_Answers/1989-075_Spiritual_Life_Means_To_Give_Q%26A_-_Radhanath_Swami_Mumbai1989-10-30_IDesireTree.mp3", "1989-075_Spiritual_Life_Means_To_Give_Q%26A_-_Radhanath_Swami_Mumbai1989-10-30_IDesireTree.mp3")</f>
        <v>1989-075_Spiritual_Life_Means_To_Give_Q%26A_-_Radhanath_Swami_Mumbai1989-10-30_IDesireTree.mp3</v>
      </c>
      <c r="D4301" s="11"/>
      <c r="E4301" s="11"/>
    </row>
    <row r="4302" spans="1:5">
      <c r="A4302" s="12" t="s">
        <v>12463</v>
      </c>
      <c r="B4302" s="12" t="s">
        <v>16861</v>
      </c>
      <c r="C4302" s="13" t="str">
        <f>HYPERLINK("https://audio.iskcondesiretree.com/02_-_ISKCON_Swamis/ISKCON_Swamis_-_R_to_Y/His_Holiness_Radhanath_Swami/Lectures/01_-_Theme_wise/Question_and_Answers/1990-045_Transcendental_Q%26A_-_Radhanath_Swami_Mumbai_1990-04-26_IDesireTree.mp3", "1990-045_Transcendental_Q%26A_-_Radhanath_Swami_Mumbai_1990-04-26_IDesireTree.mp3")</f>
        <v>1990-045_Transcendental_Q%26A_-_Radhanath_Swami_Mumbai_1990-04-26_IDesireTree.mp3</v>
      </c>
      <c r="D4302" s="11"/>
      <c r="E4302" s="11"/>
    </row>
    <row r="4303" spans="1:5">
      <c r="A4303" s="12" t="s">
        <v>12463</v>
      </c>
      <c r="B4303" s="12" t="s">
        <v>16862</v>
      </c>
      <c r="C4303" s="13" t="str">
        <f>HYPERLINK("https://audio.iskcondesiretree.com/02_-_ISKCON_Swamis/ISKCON_Swamis_-_R_to_Y/His_Holiness_Radhanath_Swami/Lectures/01_-_Theme_wise/Question_and_Answers/1990-094_Questions_And_Answers_Lecture_-_Radhanath_Swami_Mumbai_1990-10-19_IDesireTree.mp3", "1990-094_Questions_And_Answers_Lecture_-_Radhanath_Swami_Mumbai_1990-10-19_IDesireTree.mp3")</f>
        <v>1990-094_Questions_And_Answers_Lecture_-_Radhanath_Swami_Mumbai_1990-10-19_IDesireTree.mp3</v>
      </c>
      <c r="D4303" s="11"/>
      <c r="E4303" s="11"/>
    </row>
    <row r="4304" spans="1:5">
      <c r="A4304" s="12" t="s">
        <v>12463</v>
      </c>
      <c r="B4304" s="12" t="s">
        <v>16863</v>
      </c>
      <c r="C4304" s="13" t="str">
        <f>HYPERLINK("https://audio.iskcondesiretree.com/02_-_ISKCON_Swamis/ISKCON_Swamis_-_R_to_Y/His_Holiness_Radhanath_Swami/Lectures/01_-_Theme_wise/Question_and_Answers/1991-028_Questions_And_Answers_Lecture_-_Radhanath_Swami_Pune_1991-03-02_IDesireTree.mp3", "1991-028_Questions_And_Answers_Lecture_-_Radhanath_Swami_Pune_1991-03-02_IDesireTree.mp3")</f>
        <v>1991-028_Questions_And_Answers_Lecture_-_Radhanath_Swami_Pune_1991-03-02_IDesireTree.mp3</v>
      </c>
      <c r="D4304" s="11"/>
      <c r="E4304" s="11"/>
    </row>
    <row r="4305" spans="1:5">
      <c r="A4305" s="12" t="s">
        <v>12463</v>
      </c>
      <c r="B4305" s="12" t="s">
        <v>16864</v>
      </c>
      <c r="C4305" s="13" t="str">
        <f>HYPERLINK("https://audio.iskcondesiretree.com/02_-_ISKCON_Swamis/ISKCON_Swamis_-_R_to_Y/His_Holiness_Radhanath_Swami/Lectures/01_-_Theme_wise/Question_and_Answers/1991-064_Questions_And_Answers_Q%26A_-_Radhanath_Swami_Mumbai_1991-06-08_IDesireTree.mp3", "1991-064_Questions_And_Answers_Q%26A_-_Radhanath_Swami_Mumbai_1991-06-08_IDesireTree.mp3")</f>
        <v>1991-064_Questions_And_Answers_Q%26A_-_Radhanath_Swami_Mumbai_1991-06-08_IDesireTree.mp3</v>
      </c>
      <c r="D4305" s="11"/>
      <c r="E4305" s="11"/>
    </row>
    <row r="4306" spans="1:5">
      <c r="A4306" s="12" t="s">
        <v>12463</v>
      </c>
      <c r="B4306" s="12" t="s">
        <v>16865</v>
      </c>
      <c r="C4306" s="13" t="str">
        <f>HYPERLINK("https://audio.iskcondesiretree.com/02_-_ISKCON_Swamis/ISKCON_Swamis_-_R_to_Y/His_Holiness_Radhanath_Swami/Lectures/01_-_Theme_wise/Question_and_Answers/1992-006_Questions_And_Answers_Q%26A_-_Radhanath_Swami_Pune_1992-01-05_IDesireTree.mp3", "1992-006_Questions_And_Answers_Q%26A_-_Radhanath_Swami_Pune_1992-01-05_IDesireTree.mp3")</f>
        <v>1992-006_Questions_And_Answers_Q%26A_-_Radhanath_Swami_Pune_1992-01-05_IDesireTree.mp3</v>
      </c>
      <c r="D4306" s="11"/>
      <c r="E4306" s="11"/>
    </row>
    <row r="4307" spans="1:5">
      <c r="A4307" s="12" t="s">
        <v>12463</v>
      </c>
      <c r="B4307" s="12" t="s">
        <v>16866</v>
      </c>
      <c r="C4307" s="13" t="str">
        <f>HYPERLINK("https://audio.iskcondesiretree.com/02_-_ISKCON_Swamis/ISKCON_Swamis_-_R_to_Y/His_Holiness_Radhanath_Swami/Lectures/01_-_Theme_wise/Question_and_Answers/1992-035_Questions_And_Answer_Q%26A_-_Radhanath_Swami_Mumbai_1992-02-01_IDesireTree.mp3", "1992-035_Questions_And_Answer_Q%26A_-_Radhanath_Swami_Mumbai_1992-02-01_IDesireTree.mp3")</f>
        <v>1992-035_Questions_And_Answer_Q%26A_-_Radhanath_Swami_Mumbai_1992-02-01_IDesireTree.mp3</v>
      </c>
      <c r="D4307" s="11"/>
      <c r="E4307" s="11"/>
    </row>
    <row r="4308" spans="1:5">
      <c r="A4308" s="12" t="s">
        <v>12463</v>
      </c>
      <c r="B4308" s="12" t="s">
        <v>16867</v>
      </c>
      <c r="C4308" s="13" t="str">
        <f>HYPERLINK("https://audio.iskcondesiretree.com/02_-_ISKCON_Swamis/ISKCON_Swamis_-_R_to_Y/His_Holiness_Radhanath_Swami/Lectures/01_-_Theme_wise/Question_and_Answers/1993-114_Question_%26_Answers_Q%26A_-_Radhanath_Swami_Mumbai_1993-06-11_IDesireTree.mp3", "1993-114_Question_%26_Answers_Q%26A_-_Radhanath_Swami_Mumbai_1993-06-11_IDesireTree.mp3")</f>
        <v>1993-114_Question_%26_Answers_Q%26A_-_Radhanath_Swami_Mumbai_1993-06-11_IDesireTree.mp3</v>
      </c>
      <c r="D4308" s="11"/>
      <c r="E4308" s="11"/>
    </row>
    <row r="4309" spans="1:5">
      <c r="A4309" s="12" t="s">
        <v>12463</v>
      </c>
      <c r="B4309" s="12" t="s">
        <v>16868</v>
      </c>
      <c r="C4309" s="13" t="str">
        <f>HYPERLINK("https://audio.iskcondesiretree.com/02_-_ISKCON_Swamis/ISKCON_Swamis_-_R_to_Y/His_Holiness_Radhanath_Swami/Lectures/01_-_Theme_wise/Question_and_Answers/1993-171_Question_And_Answer_Q%26A_-_Radhanath_Swami_Mumbai_1993-12-02_IDesireTree.mp3", "1993-171_Question_And_Answer_Q%26A_-_Radhanath_Swami_Mumbai_1993-12-02_IDesireTree.mp3")</f>
        <v>1993-171_Question_And_Answer_Q%26A_-_Radhanath_Swami_Mumbai_1993-12-02_IDesireTree.mp3</v>
      </c>
      <c r="D4309" s="11"/>
      <c r="E4309" s="11"/>
    </row>
    <row r="4310" spans="1:5">
      <c r="A4310" s="12" t="s">
        <v>12463</v>
      </c>
      <c r="B4310" s="12" t="s">
        <v>16869</v>
      </c>
      <c r="C4310" s="13" t="str">
        <f>HYPERLINK("https://audio.iskcondesiretree.com/02_-_ISKCON_Swamis/ISKCON_Swamis_-_R_to_Y/His_Holiness_Radhanath_Swami/Lectures/01_-_Theme_wise/Question_and_Answers/1994-002_Question_And_Answer_Q%26A%20_-_Radhanath_Swami_Mayapur_1994-01-02_IDesireTree.mp3", "1994-002_Question_And_Answer_Q%26A%20_-_Radhanath_Swami_Mayapur_1994-01-02_IDesireTree.mp3")</f>
        <v>1994-002_Question_And_Answer_Q%26A%20_-_Radhanath_Swami_Mayapur_1994-01-02_IDesireTree.mp3</v>
      </c>
      <c r="D4310" s="11"/>
      <c r="E4310" s="11"/>
    </row>
    <row r="4311" spans="1:5">
      <c r="A4311" s="12" t="s">
        <v>12463</v>
      </c>
      <c r="B4311" s="12" t="s">
        <v>16870</v>
      </c>
      <c r="C4311" s="13" t="str">
        <f>HYPERLINK("https://audio.iskcondesiretree.com/02_-_ISKCON_Swamis/ISKCON_Swamis_-_R_to_Y/His_Holiness_Radhanath_Swami/Lectures/01_-_Theme_wise/Question_and_Answers/1994-010_Question_And_Answer_Q%26A_-_Radhanath_Swami_Mumbai_1994-01-16_IDesireTree.mp3", "1994-010_Question_And_Answer_Q%26A_-_Radhanath_Swami_Mumbai_1994-01-16_IDesireTree.mp3")</f>
        <v>1994-010_Question_And_Answer_Q%26A_-_Radhanath_Swami_Mumbai_1994-01-16_IDesireTree.mp3</v>
      </c>
      <c r="D4311" s="11"/>
      <c r="E4311" s="11"/>
    </row>
    <row r="4312" spans="1:5">
      <c r="A4312" s="12" t="s">
        <v>12463</v>
      </c>
      <c r="B4312" s="12" t="s">
        <v>16871</v>
      </c>
      <c r="C4312" s="13" t="str">
        <f>HYPERLINK("https://audio.iskcondesiretree.com/02_-_ISKCON_Swamis/ISKCON_Swamis_-_R_to_Y/His_Holiness_Radhanath_Swami/Lectures/01_-_Theme_wise/Question_and_Answers/1994-018_Questions_And_Answers_Q%26A_-_Radhanath_Swami_Pune_1994-01-21_IDesireTree.mp3", "1994-018_Questions_And_Answers_Q%26A_-_Radhanath_Swami_Pune_1994-01-21_IDesireTree.mp3")</f>
        <v>1994-018_Questions_And_Answers_Q%26A_-_Radhanath_Swami_Pune_1994-01-21_IDesireTree.mp3</v>
      </c>
      <c r="D4312" s="11"/>
      <c r="E4312" s="11"/>
    </row>
    <row r="4313" spans="1:5">
      <c r="A4313" s="12" t="s">
        <v>12463</v>
      </c>
      <c r="B4313" s="12" t="s">
        <v>16872</v>
      </c>
      <c r="C4313" s="13" t="str">
        <f>HYPERLINK("https://audio.iskcondesiretree.com/02_-_ISKCON_Swamis/ISKCON_Swamis_-_R_to_Y/His_Holiness_Radhanath_Swami/Lectures/01_-_Theme_wise/Question_and_Answers/1994-045_Question_And_Answer_Q%26A_-_Radhanath_Swami_Mumbai_1994-02-25_IDesireTree.mp3", "1994-045_Question_And_Answer_Q%26A_-_Radhanath_Swami_Mumbai_1994-02-25_IDesireTree.mp3")</f>
        <v>1994-045_Question_And_Answer_Q%26A_-_Radhanath_Swami_Mumbai_1994-02-25_IDesireTree.mp3</v>
      </c>
      <c r="D4313" s="11"/>
      <c r="E4313" s="11"/>
    </row>
    <row r="4314" spans="1:5">
      <c r="A4314" s="12" t="s">
        <v>12463</v>
      </c>
      <c r="B4314" s="12" t="s">
        <v>16873</v>
      </c>
      <c r="C4314" s="13" t="str">
        <f>HYPERLINK("https://audio.iskcondesiretree.com/02_-_ISKCON_Swamis/ISKCON_Swamis_-_R_to_Y/His_Holiness_Radhanath_Swami/Lectures/01_-_Theme_wise/Question_and_Answers/1994-088_Question_And_Answer_Q%26A_-_Radhanath_Swami_Mumbai_1994-05-13_IDesireTree.mp3", "1994-088_Question_And_Answer_Q%26A_-_Radhanath_Swami_Mumbai_1994-05-13_IDesireTree.mp3")</f>
        <v>1994-088_Question_And_Answer_Q%26A_-_Radhanath_Swami_Mumbai_1994-05-13_IDesireTree.mp3</v>
      </c>
      <c r="D4314" s="11"/>
      <c r="E4314" s="11"/>
    </row>
    <row r="4315" spans="1:5">
      <c r="A4315" s="12" t="s">
        <v>12463</v>
      </c>
      <c r="B4315" s="12" t="s">
        <v>16874</v>
      </c>
      <c r="C4315" s="13" t="str">
        <f>HYPERLINK("https://audio.iskcondesiretree.com/02_-_ISKCON_Swamis/ISKCON_Swamis_-_R_to_Y/His_Holiness_Radhanath_Swami/Lectures/01_-_Theme_wise/Question_and_Answers/1994-204_Question_And_Answer_Q%26A_-_Radhanath_Swami_Mumbai_1994-10-21_IDesireTree.mp3", "1994-204_Question_And_Answer_Q%26A_-_Radhanath_Swami_Mumbai_1994-10-21_IDesireTree.mp3")</f>
        <v>1994-204_Question_And_Answer_Q%26A_-_Radhanath_Swami_Mumbai_1994-10-21_IDesireTree.mp3</v>
      </c>
      <c r="D4315" s="11"/>
      <c r="E4315" s="11"/>
    </row>
    <row r="4316" spans="1:5">
      <c r="A4316" s="12" t="s">
        <v>12463</v>
      </c>
      <c r="B4316" s="12" t="s">
        <v>16875</v>
      </c>
      <c r="C4316" s="13" t="str">
        <f>HYPERLINK("https://audio.iskcondesiretree.com/02_-_ISKCON_Swamis/ISKCON_Swamis_-_R_to_Y/His_Holiness_Radhanath_Swami/Lectures/01_-_Theme_wise/Question_and_Answers/1995-019_Question_%26_Answere_Q_%26_A_-_Radhanath_Swami_Pune_1995-01-13_IDesireTree.mp3", "1995-019_Question_%26_Answere_Q_%26_A_-_Radhanath_Swami_Pune_1995-01-13_IDesireTree.mp3")</f>
        <v>1995-019_Question_%26_Answere_Q_%26_A_-_Radhanath_Swami_Pune_1995-01-13_IDesireTree.mp3</v>
      </c>
      <c r="D4316" s="11"/>
      <c r="E4316" s="11"/>
    </row>
    <row r="4317" spans="1:5">
      <c r="A4317" s="12" t="s">
        <v>12463</v>
      </c>
      <c r="B4317" s="12" t="s">
        <v>16876</v>
      </c>
      <c r="C4317" s="13" t="str">
        <f>HYPERLINK("https://audio.iskcondesiretree.com/02_-_ISKCON_Swamis/ISKCON_Swamis_-_R_to_Y/His_Holiness_Radhanath_Swami/Lectures/01_-_Theme_wise/Question_and_Answers/1995-036_Question_%26_Answer_Q%26A_-_Radhanath_Swami_Pune_1995-01-27_IDesireTree.mp3", "1995-036_Question_%26_Answer_Q%26A_-_Radhanath_Swami_Pune_1995-01-27_IDesireTree.mp3")</f>
        <v>1995-036_Question_%26_Answer_Q%26A_-_Radhanath_Swami_Pune_1995-01-27_IDesireTree.mp3</v>
      </c>
      <c r="D4317" s="11"/>
      <c r="E4317" s="11"/>
    </row>
    <row r="4318" spans="1:5">
      <c r="A4318" s="12" t="s">
        <v>12463</v>
      </c>
      <c r="B4318" s="12" t="s">
        <v>16877</v>
      </c>
      <c r="C4318" s="13" t="str">
        <f>HYPERLINK("https://audio.iskcondesiretree.com/02_-_ISKCON_Swamis/ISKCON_Swamis_-_R_to_Y/His_Holiness_Radhanath_Swami/Lectures/01_-_Theme_wise/Question_and_Answers/1995-077_Question_And_Answer_Q%26A_-_Radhanath_Swami_Massorie_1995-04-06_IDesireTree.mp3", "1995-077_Question_And_Answer_Q%26A_-_Radhanath_Swami_Massorie_1995-04-06_IDesireTree.mp3")</f>
        <v>1995-077_Question_And_Answer_Q%26A_-_Radhanath_Swami_Massorie_1995-04-06_IDesireTree.mp3</v>
      </c>
      <c r="D4318" s="11"/>
      <c r="E4318" s="11"/>
    </row>
    <row r="4319" spans="1:5">
      <c r="A4319" s="12" t="s">
        <v>12463</v>
      </c>
      <c r="B4319" s="12" t="s">
        <v>16878</v>
      </c>
      <c r="C4319" s="13" t="str">
        <f>HYPERLINK("https://audio.iskcondesiretree.com/02_-_ISKCON_Swamis/ISKCON_Swamis_-_R_to_Y/His_Holiness_Radhanath_Swami/Lectures/01_-_Theme_wise/Question_and_Answers/1995-110_Question_And_Answers_Q%26A_-_Radhanath_Swami_Mumbai_1995-09-30_IDesireTree.mp3", "1995-110_Question_And_Answers_Q%26A_-_Radhanath_Swami_Mumbai_1995-09-30_IDesireTree.mp3")</f>
        <v>1995-110_Question_And_Answers_Q%26A_-_Radhanath_Swami_Mumbai_1995-09-30_IDesireTree.mp3</v>
      </c>
      <c r="D4319" s="11"/>
      <c r="E4319" s="11"/>
    </row>
    <row r="4320" spans="1:5">
      <c r="A4320" s="12" t="s">
        <v>12463</v>
      </c>
      <c r="B4320" s="12" t="s">
        <v>16879</v>
      </c>
      <c r="C4320" s="13" t="str">
        <f>HYPERLINK("https://audio.iskcondesiretree.com/02_-_ISKCON_Swamis/ISKCON_Swamis_-_R_to_Y/His_Holiness_Radhanath_Swami/Lectures/01_-_Theme_wise/Question_and_Answers/1995-125_Question_And_Answers_Q%26A_-_Radhanath_Swami_Jaipur_1995-10-24_IDesireTree.mp3", "1995-125_Question_And_Answers_Q%26A_-_Radhanath_Swami_Jaipur_1995-10-24_IDesireTree.mp3")</f>
        <v>1995-125_Question_And_Answers_Q%26A_-_Radhanath_Swami_Jaipur_1995-10-24_IDesireTree.mp3</v>
      </c>
      <c r="D4320" s="11"/>
      <c r="E4320" s="11"/>
    </row>
    <row r="4321" spans="1:5">
      <c r="A4321" s="12" t="s">
        <v>12463</v>
      </c>
      <c r="B4321" s="12" t="s">
        <v>16880</v>
      </c>
      <c r="C4321" s="13" t="str">
        <f>HYPERLINK("https://audio.iskcondesiretree.com/02_-_ISKCON_Swamis/ISKCON_Swamis_-_R_to_Y/His_Holiness_Radhanath_Swami/Lectures/01_-_Theme_wise/Question_and_Answers/1996-028_Question_And_Answer_Q%26A_-_Radhanath_Swami_Pune_1996-01-25_IDesireTree.mp3", "1996-028_Question_And_Answer_Q%26A_-_Radhanath_Swami_Pune_1996-01-25_IDesireTree.mp3")</f>
        <v>1996-028_Question_And_Answer_Q%26A_-_Radhanath_Swami_Pune_1996-01-25_IDesireTree.mp3</v>
      </c>
      <c r="D4321" s="11"/>
      <c r="E4321" s="11"/>
    </row>
    <row r="4322" spans="1:5">
      <c r="A4322" s="12" t="s">
        <v>12463</v>
      </c>
      <c r="B4322" s="12" t="s">
        <v>16881</v>
      </c>
      <c r="C4322" s="13" t="str">
        <f>HYPERLINK("https://audio.iskcondesiretree.com/02_-_ISKCON_Swamis/ISKCON_Swamis_-_R_to_Y/His_Holiness_Radhanath_Swami/Lectures/01_-_Theme_wise/Question_and_Answers/1996-096_Question_And_Answer_Q%26A_-_Radhanath_Swami_Mumbai_1996-04-24_IDesireTree.mp3", "1996-096_Question_And_Answer_Q%26A_-_Radhanath_Swami_Mumbai_1996-04-24_IDesireTree.mp3")</f>
        <v>1996-096_Question_And_Answer_Q%26A_-_Radhanath_Swami_Mumbai_1996-04-24_IDesireTree.mp3</v>
      </c>
      <c r="D4322" s="11"/>
      <c r="E4322" s="11"/>
    </row>
    <row r="4323" spans="1:5">
      <c r="A4323" s="12" t="s">
        <v>12463</v>
      </c>
      <c r="B4323" s="12" t="s">
        <v>16882</v>
      </c>
      <c r="C4323" s="13" t="str">
        <f>HYPERLINK("https://audio.iskcondesiretree.com/02_-_ISKCON_Swamis/ISKCON_Swamis_-_R_to_Y/His_Holiness_Radhanath_Swami/Lectures/01_-_Theme_wise/Question_and_Answers/1997-029_Question_And_Answer_Q%26A_-_Radhanath_Swami_Pune_1997-02-02_IDesireTree.mp3", "1997-029_Question_And_Answer_Q%26A_-_Radhanath_Swami_Pune_1997-02-02_IDesireTree.mp3")</f>
        <v>1997-029_Question_And_Answer_Q%26A_-_Radhanath_Swami_Pune_1997-02-02_IDesireTree.mp3</v>
      </c>
      <c r="D4323" s="11"/>
      <c r="E4323" s="11"/>
    </row>
    <row r="4324" spans="1:5">
      <c r="A4324" s="12" t="s">
        <v>12463</v>
      </c>
      <c r="B4324" s="12" t="s">
        <v>16883</v>
      </c>
      <c r="C4324" s="13" t="str">
        <f>HYPERLINK("https://audio.iskcondesiretree.com/02_-_ISKCON_Swamis/ISKCON_Swamis_-_R_to_Y/His_Holiness_Radhanath_Swami/Lectures/01_-_Theme_wise/Question_and_Answers/1998-010_Questions_%26_Answers_Q%26A_-_Radhanath_Swami_Pune_1998-01-23_IDesireTree.mp3", "1998-010_Questions_%26_Answers_Q%26A_-_Radhanath_Swami_Pune_1998-01-23_IDesireTree.mp3")</f>
        <v>1998-010_Questions_%26_Answers_Q%26A_-_Radhanath_Swami_Pune_1998-01-23_IDesireTree.mp3</v>
      </c>
      <c r="D4324" s="11"/>
      <c r="E4324" s="11"/>
    </row>
    <row r="4325" spans="1:5">
      <c r="A4325" s="12" t="s">
        <v>12463</v>
      </c>
      <c r="B4325" s="12" t="s">
        <v>16884</v>
      </c>
      <c r="C4325" s="13" t="str">
        <f>HYPERLINK("https://audio.iskcondesiretree.com/02_-_ISKCON_Swamis/ISKCON_Swamis_-_R_to_Y/His_Holiness_Radhanath_Swami/Lectures/01_-_Theme_wise/Question_and_Answers/1999-014_Questions_%26_Answers_Q%26A_-_Radhanath_Swami_Pune_1999-02-27_IDesireTree.mp3", "1999-014_Questions_%26_Answers_Q%26A_-_Radhanath_Swami_Pune_1999-02-27_IDesireTree.mp3")</f>
        <v>1999-014_Questions_%26_Answers_Q%26A_-_Radhanath_Swami_Pune_1999-02-27_IDesireTree.mp3</v>
      </c>
      <c r="D4325" s="11"/>
      <c r="E4325" s="11"/>
    </row>
    <row r="4326" spans="1:5">
      <c r="A4326" s="12" t="s">
        <v>12463</v>
      </c>
      <c r="B4326" s="12" t="s">
        <v>16885</v>
      </c>
      <c r="C4326" s="13" t="str">
        <f>HYPERLINK("https://audio.iskcondesiretree.com/02_-_ISKCON_Swamis/ISKCON_Swamis_-_R_to_Y/His_Holiness_Radhanath_Swami/Lectures/01_-_Theme_wise/Question_and_Answers/2000-009_Questions_%26_Answers_Q%26A_-_Radhanath_Swami_Udipi_2000-01-18_IDesireTree.mp3", "2000-009_Questions_%26_Answers_Q%26A_-_Radhanath_Swami_Udipi_2000-01-18_IDesireTree.mp3")</f>
        <v>2000-009_Questions_%26_Answers_Q%26A_-_Radhanath_Swami_Udipi_2000-01-18_IDesireTree.mp3</v>
      </c>
      <c r="D4326" s="11"/>
      <c r="E4326" s="11"/>
    </row>
    <row r="4327" spans="1:5">
      <c r="A4327" s="12" t="s">
        <v>12463</v>
      </c>
      <c r="B4327" s="12" t="s">
        <v>16886</v>
      </c>
      <c r="C4327" s="13" t="str">
        <f>HYPERLINK("https://audio.iskcondesiretree.com/02_-_ISKCON_Swamis/ISKCON_Swamis_-_R_to_Y/His_Holiness_Radhanath_Swami/Lectures/01_-_Theme_wise/Question_and_Answers/2000-031_Questions_%26_Answers-_I_Q%26A_-_Radhanath_Swami_Pune_2000-02-13_Part_1_IDesireTree.mp3", "2000-031_Questions_%26_Answers-_I_Q%26A_-_Radhanath_Swami_Pune_2000-02-13_Part_1_IDesireTree.mp3")</f>
        <v>2000-031_Questions_%26_Answers-_I_Q%26A_-_Radhanath_Swami_Pune_2000-02-13_Part_1_IDesireTree.mp3</v>
      </c>
      <c r="D4327" s="11"/>
      <c r="E4327" s="11"/>
    </row>
    <row r="4328" spans="1:5">
      <c r="A4328" s="12" t="s">
        <v>12463</v>
      </c>
      <c r="B4328" s="12" t="s">
        <v>16887</v>
      </c>
      <c r="C4328" s="13" t="str">
        <f>HYPERLINK("https://audio.iskcondesiretree.com/02_-_ISKCON_Swamis/ISKCON_Swamis_-_R_to_Y/His_Holiness_Radhanath_Swami/Lectures/01_-_Theme_wise/Question_and_Answers/2000-032_Questions_%26_Answers_Q%26A_-_Radhanath_Swami_Pune_2000-02-13_Part_2_IDesireTree.mp3", "2000-032_Questions_%26_Answers_Q%26A_-_Radhanath_Swami_Pune_2000-02-13_Part_2_IDesireTree.mp3")</f>
        <v>2000-032_Questions_%26_Answers_Q%26A_-_Radhanath_Swami_Pune_2000-02-13_Part_2_IDesireTree.mp3</v>
      </c>
      <c r="D4328" s="11"/>
      <c r="E4328" s="11"/>
    </row>
    <row r="4329" spans="1:5">
      <c r="A4329" s="12" t="s">
        <v>12463</v>
      </c>
      <c r="B4329" s="12" t="s">
        <v>16888</v>
      </c>
      <c r="C4329" s="13" t="str">
        <f>HYPERLINK("https://audio.iskcondesiretree.com/02_-_ISKCON_Swamis/ISKCON_Swamis_-_R_to_Y/His_Holiness_Radhanath_Swami/Lectures/01_-_Theme_wise/Question_and_Answers/2000-038_Questions_%26_Answers_Q%26A_-_Radhanath_Swami_Mumbai_2000-03-05_IDesireTree.mp3", "2000-038_Questions_%26_Answers_Q%26A_-_Radhanath_Swami_Mumbai_2000-03-05_IDesireTree.mp3")</f>
        <v>2000-038_Questions_%26_Answers_Q%26A_-_Radhanath_Swami_Mumbai_2000-03-05_IDesireTree.mp3</v>
      </c>
      <c r="D4329" s="11"/>
      <c r="E4329" s="11"/>
    </row>
    <row r="4330" spans="1:5">
      <c r="A4330" s="12" t="s">
        <v>12463</v>
      </c>
      <c r="B4330" s="12" t="s">
        <v>16889</v>
      </c>
      <c r="C4330" s="13" t="str">
        <f>HYPERLINK("https://audio.iskcondesiretree.com/02_-_ISKCON_Swamis/ISKCON_Swamis_-_R_to_Y/His_Holiness_Radhanath_Swami/Lectures/01_-_Theme_wise/Question_and_Answers/2002-017_Q_and_A_With_Belgaum_Devotees_Q%26A_-_Radhanath_Swami_Belgaum_2002-01-21_IDesireTree.mp3", "2002-017_Q_and_A_With_Belgaum_Devotees_Q%26A_-_Radhanath_Swami_Belgaum_2002-01-21_IDesireTree.mp3")</f>
        <v>2002-017_Q_and_A_With_Belgaum_Devotees_Q%26A_-_Radhanath_Swami_Belgaum_2002-01-21_IDesireTree.mp3</v>
      </c>
      <c r="D4330" s="11"/>
      <c r="E4330" s="11"/>
    </row>
    <row r="4331" spans="1:5">
      <c r="A4331" s="12" t="s">
        <v>12463</v>
      </c>
      <c r="B4331" s="12" t="s">
        <v>16890</v>
      </c>
      <c r="C4331" s="13" t="str">
        <f>HYPERLINK("https://audio.iskcondesiretree.com/02_-_ISKCON_Swamis/ISKCON_Swamis_-_R_to_Y/His_Holiness_Radhanath_Swami/Lectures/01_-_Theme_wise/Question_and_Answers/2003-029_Perfect_Questions_Perfect_Answers_Lecture_-_Radhanath_Swami_Mumbai_1993-04-08_IDesireTree.mp3", "2003-029_Perfect_Questions_Perfect_Answers_Lecture_-_Radhanath_Swami_Mumbai_1993-04-08_IDesireTree.mp3")</f>
        <v>2003-029_Perfect_Questions_Perfect_Answers_Lecture_-_Radhanath_Swami_Mumbai_1993-04-08_IDesireTree.mp3</v>
      </c>
      <c r="D4331" s="11"/>
      <c r="E4331" s="11"/>
    </row>
    <row r="4332" spans="1:5">
      <c r="A4332" s="12" t="s">
        <v>12463</v>
      </c>
      <c r="B4332" s="12" t="s">
        <v>16891</v>
      </c>
      <c r="C4332" s="13" t="str">
        <f>HYPERLINK("https://audio.iskcondesiretree.com/02_-_ISKCON_Swamis/ISKCON_Swamis_-_R_to_Y/His_Holiness_Radhanath_Swami/Lectures/01_-_Theme_wise/Radhika_Krsna/Gopis/1993-150_Supreme_Morality_Of_Gopis_SB-10_46_04-06_-_Radhanath_Swami_Mumbai_1993-10-17_IDesireTree.mp3", "1993-150_Supreme_Morality_Of_Gopis_SB-10_46_04-06_-_Radhanath_Swami_Mumbai_1993-10-17_IDesireTree.mp3")</f>
        <v>1993-150_Supreme_Morality_Of_Gopis_SB-10_46_04-06_-_Radhanath_Swami_Mumbai_1993-10-17_IDesireTree.mp3</v>
      </c>
      <c r="D4332" s="11"/>
      <c r="E4332" s="11"/>
    </row>
    <row r="4333" spans="1:5">
      <c r="A4333" s="12" t="s">
        <v>12463</v>
      </c>
      <c r="B4333" s="12" t="s">
        <v>16892</v>
      </c>
      <c r="C4333" s="13" t="str">
        <f>HYPERLINK("https://audio.iskcondesiretree.com/02_-_ISKCON_Swamis/ISKCON_Swamis_-_R_to_Y/His_Holiness_Radhanath_Swami/Lectures/01_-_Theme_wise/Radhika_Krsna/Gopis/1993-164_Renunciation_Of_The_Gopies_Lecture_-_Radhanath_Swami_Mumbai_1993-10-30_IDesireTree.mp3", "1993-164_Renunciation_Of_The_Gopies_Lecture_-_Radhanath_Swami_Mumbai_1993-10-30_IDesireTree.mp3")</f>
        <v>1993-164_Renunciation_Of_The_Gopies_Lecture_-_Radhanath_Swami_Mumbai_1993-10-30_IDesireTree.mp3</v>
      </c>
      <c r="D4333" s="11"/>
      <c r="E4333" s="11"/>
    </row>
    <row r="4334" spans="1:5">
      <c r="A4334" s="12" t="s">
        <v>12463</v>
      </c>
      <c r="B4334" s="12" t="s">
        <v>16893</v>
      </c>
      <c r="C4334" s="13" t="str">
        <f>HYPERLINK("https://audio.iskcondesiretree.com/02_-_ISKCON_Swamis/ISKCON_Swamis_-_R_to_Y/His_Holiness_Radhanath_Swami/Lectures/01_-_Theme_wise/Radhika_Krsna/Gopis/1993-166_Learning_Through_The_Gopies_SB-10_47_38-39_-_Radhanath_Swami_Mumbai_1993-10-31_IDesireTree.mp3", "1993-166_Learning_Through_The_Gopies_SB-10_47_38-39_-_Radhanath_Swami_Mumbai_1993-10-31_IDesireTree.mp3")</f>
        <v>1993-166_Learning_Through_The_Gopies_SB-10_47_38-39_-_Radhanath_Swami_Mumbai_1993-10-31_IDesireTree.mp3</v>
      </c>
      <c r="D4334" s="11"/>
      <c r="E4334" s="11"/>
    </row>
    <row r="4335" spans="1:5">
      <c r="A4335" s="12" t="s">
        <v>12463</v>
      </c>
      <c r="B4335" s="12" t="s">
        <v>16894</v>
      </c>
      <c r="C4335" s="13" t="str">
        <f>HYPERLINK("https://audio.iskcondesiretree.com/02_-_ISKCON_Swamis/ISKCON_Swamis_-_R_to_Y/His_Holiness_Radhanath_Swami/Lectures/01_-_Theme_wise/Radhika_Krsna/Gopis/1995-103_Gopis_Are_Supreme_Devotees_BG-12_20_-_Radhanath_Swami_Mumbai_1995-09-03_IDesireTree.mp3", "1995-103_Gopis_Are_Supreme_Devotees_BG-12_20_-_Radhanath_Swami_Mumbai_1995-09-03_IDesireTree.mp3")</f>
        <v>1995-103_Gopis_Are_Supreme_Devotees_BG-12_20_-_Radhanath_Swami_Mumbai_1995-09-03_IDesireTree.mp3</v>
      </c>
      <c r="D4335" s="11"/>
      <c r="E4335" s="11"/>
    </row>
    <row r="4336" spans="1:5">
      <c r="A4336" s="12" t="s">
        <v>12463</v>
      </c>
      <c r="B4336" s="12" t="s">
        <v>13154</v>
      </c>
      <c r="C4336" s="13" t="str">
        <f>HYPERLINK("https://audio.iskcondesiretree.com/02_-_ISKCON_Swamis/ISKCON_Swamis_-_R_to_Y/His_Holiness_Radhanath_Swami/Lectures/01_-_Theme_wise/Radhika_Krsna/Pastimes_of_Radha_and_Krsna/1990-084_Rasa_Lila_CC_-_Radhanath_Swami_IDesireTree.mp3", "1990-084_Rasa_Lila_CC_-_Radhanath_Swami_IDesireTree.mp3")</f>
        <v>1990-084_Rasa_Lila_CC_-_Radhanath_Swami_IDesireTree.mp3</v>
      </c>
      <c r="D4336" s="11"/>
      <c r="E4336" s="11"/>
    </row>
    <row r="4337" spans="1:5">
      <c r="A4337" s="12" t="s">
        <v>12463</v>
      </c>
      <c r="B4337" s="12" t="s">
        <v>13612</v>
      </c>
      <c r="C4337" s="13" t="str">
        <f>HYPERLINK("https://audio.iskcondesiretree.com/02_-_ISKCON_Swamis/ISKCON_Swamis_-_R_to_Y/His_Holiness_Radhanath_Swami/Lectures/01_-_Theme_wise/Radhika_Krsna/Srimati_Radharani/1993-128_The_gift_of_srimati_Radharani_Lecture_-_Radhanath_Swami_1993-09-23_IDesireTree.mp3", "1993-128_The_gift_of_srimati_Radharani_Lecture_-_Radhanath_Swami_1993-09-23_IDesireTree.mp3")</f>
        <v>1993-128_The_gift_of_srimati_Radharani_Lecture_-_Radhanath_Swami_1993-09-23_IDesireTree.mp3</v>
      </c>
      <c r="D4337" s="11"/>
      <c r="E4337" s="11"/>
    </row>
    <row r="4338" spans="1:5">
      <c r="A4338" s="12" t="s">
        <v>12463</v>
      </c>
      <c r="B4338" s="12" t="s">
        <v>16895</v>
      </c>
      <c r="C4338" s="13" t="str">
        <f>HYPERLINK("https://audio.iskcondesiretree.com/02_-_ISKCON_Swamis/ISKCON_Swamis_-_R_to_Y/His_Holiness_Radhanath_Swami/Lectures/01_-_Theme_wise/Radhika_Krsna/Srimati_Radharani/1994-146_Glories_Of_Radharani_Lecture_-_Radhanath_Swami_Mumbai_1994-09-12_IDesireTree.mp3", "1994-146_Glories_Of_Radharani_Lecture_-_Radhanath_Swami_Mumbai_1994-09-12_IDesireTree.mp3")</f>
        <v>1994-146_Glories_Of_Radharani_Lecture_-_Radhanath_Swami_Mumbai_1994-09-12_IDesireTree.mp3</v>
      </c>
      <c r="D4338" s="11"/>
      <c r="E4338" s="11"/>
    </row>
    <row r="4339" spans="1:5">
      <c r="A4339" s="12" t="s">
        <v>12463</v>
      </c>
      <c r="B4339" s="12" t="s">
        <v>16896</v>
      </c>
      <c r="C4339" s="13" t="str">
        <f>HYPERLINK("https://audio.iskcondesiretree.com/02_-_ISKCON_Swamis/ISKCON_Swamis_-_R_to_Y/His_Holiness_Radhanath_Swami/Lectures/01_-_Theme_wise/Radhika_Krsna/Srimati_Radharani/1996-134_Radhastami_Lecture_-_Radhanath_Swami_Mumbai_1996-09-20_IDesireTree.mp3", "1996-134_Radhastami_Lecture_-_Radhanath_Swami_Mumbai_1996-09-20_IDesireTree.mp3")</f>
        <v>1996-134_Radhastami_Lecture_-_Radhanath_Swami_Mumbai_1996-09-20_IDesireTree.mp3</v>
      </c>
      <c r="D4339" s="11"/>
      <c r="E4339" s="11"/>
    </row>
    <row r="4340" spans="1:5">
      <c r="A4340" s="12" t="s">
        <v>12463</v>
      </c>
      <c r="B4340" s="12" t="s">
        <v>16897</v>
      </c>
      <c r="C4340" s="13" t="str">
        <f>HYPERLINK("https://audio.iskcondesiretree.com/02_-_ISKCON_Swamis/ISKCON_Swamis_-_R_to_Y/His_Holiness_Radhanath_Swami/Lectures/01_-_Theme_wise/Radhika_Krsna/Vrndavan/1991-050_Real_Vrindavan_SB-09_11_19_-_Radhanath_Swami_Mumbai_1991-05-21_IDesireTree.mp3", "1991-050_Real_Vrindavan_SB-09_11_19_-_Radhanath_Swami_Mumbai_1991-05-21_IDesireTree.mp3")</f>
        <v>1991-050_Real_Vrindavan_SB-09_11_19_-_Radhanath_Swami_Mumbai_1991-05-21_IDesireTree.mp3</v>
      </c>
      <c r="D4340" s="11"/>
      <c r="E4340" s="11"/>
    </row>
    <row r="4341" spans="1:5">
      <c r="A4341" s="12" t="s">
        <v>12463</v>
      </c>
      <c r="B4341" s="12" t="s">
        <v>16898</v>
      </c>
      <c r="C4341" s="13" t="str">
        <f>HYPERLINK("https://audio.iskcondesiretree.com/02_-_ISKCON_Swamis/ISKCON_Swamis_-_R_to_Y/His_Holiness_Radhanath_Swami/Lectures/01_-_Theme_wise/Radhika_Krsna/Vrndavan/1991-078_Perceiving_Vrindavan_Lecture_-_Radhanath_Swami_Mumbai_1991-10-14_IDesireTree.mp3", "1991-078_Perceiving_Vrindavan_Lecture_-_Radhanath_Swami_Mumbai_1991-10-14_IDesireTree.mp3")</f>
        <v>1991-078_Perceiving_Vrindavan_Lecture_-_Radhanath_Swami_Mumbai_1991-10-14_IDesireTree.mp3</v>
      </c>
      <c r="D4341" s="11"/>
      <c r="E4341" s="11"/>
    </row>
    <row r="4342" spans="1:5">
      <c r="A4342" s="12" t="s">
        <v>12463</v>
      </c>
      <c r="B4342" s="12" t="s">
        <v>16899</v>
      </c>
      <c r="C4342" s="13" t="str">
        <f>HYPERLINK("https://audio.iskcondesiretree.com/02_-_ISKCON_Swamis/ISKCON_Swamis_-_R_to_Y/His_Holiness_Radhanath_Swami/Lectures/01_-_Theme_wise/Radhika_Krsna/Vrndavan/1992-019_The_Rasas_In_Goloka_CC-01_02_-_Radhanath_Swami_Mumbai_1992-01-30_IDesireTree.mp3", "1992-019_The_Rasas_In_Goloka_CC-01_02_-_Radhanath_Swami_Mumbai_1992-01-30_IDesireTree.mp3")</f>
        <v>1992-019_The_Rasas_In_Goloka_CC-01_02_-_Radhanath_Swami_Mumbai_1992-01-30_IDesireTree.mp3</v>
      </c>
      <c r="D4342" s="11"/>
      <c r="E4342" s="11"/>
    </row>
    <row r="4343" spans="1:5">
      <c r="A4343" s="12" t="s">
        <v>12463</v>
      </c>
      <c r="B4343" s="12" t="s">
        <v>16900</v>
      </c>
      <c r="C4343" s="13" t="str">
        <f>HYPERLINK("https://audio.iskcondesiretree.com/02_-_ISKCON_Swamis/ISKCON_Swamis_-_R_to_Y/His_Holiness_Radhanath_Swami/Lectures/01_-_Theme_wise/Radhika_Krsna/Vrndavan/1992-147_Vrajabasi_Spirits_SB-10_18_01-07_-_Radhanath_Swami_Mumbai_1992-12-20_IDesireTree.mp3", "1992-147_Vrajabasi_Spirits_SB-10_18_01-07_-_Radhanath_Swami_Mumbai_1992-12-20_IDesireTree.mp3")</f>
        <v>1992-147_Vrajabasi_Spirits_SB-10_18_01-07_-_Radhanath_Swami_Mumbai_1992-12-20_IDesireTree.mp3</v>
      </c>
      <c r="D4343" s="11"/>
      <c r="E4343" s="11"/>
    </row>
    <row r="4344" spans="1:5">
      <c r="A4344" s="12" t="s">
        <v>12463</v>
      </c>
      <c r="B4344" s="12" t="s">
        <v>16901</v>
      </c>
      <c r="C4344" s="13" t="str">
        <f>HYPERLINK("https://audio.iskcondesiretree.com/02_-_ISKCON_Swamis/ISKCON_Swamis_-_R_to_Y/His_Holiness_Radhanath_Swami/Lectures/01_-_Theme_wise/Radhika_Krsna/Vrndavan/1993-046_Lord_Balaram_visit_vrindavan_SB_class_-_Radhanath_Swami_Mumbai_1993-04-10_IDesireTree.mp3", "1993-046_Lord_Balaram_visit_vrindavan_SB_class_-_Radhanath_Swami_Mumbai_1993-04-10_IDesireTree.mp3")</f>
        <v>1993-046_Lord_Balaram_visit_vrindavan_SB_class_-_Radhanath_Swami_Mumbai_1993-04-10_IDesireTree.mp3</v>
      </c>
      <c r="D4344" s="11"/>
      <c r="E4344" s="11"/>
    </row>
    <row r="4345" spans="1:5">
      <c r="A4345" s="12" t="s">
        <v>12463</v>
      </c>
      <c r="B4345" s="12" t="s">
        <v>16902</v>
      </c>
      <c r="C4345" s="13" t="str">
        <f>HYPERLINK("https://audio.iskcondesiretree.com/02_-_ISKCON_Swamis/ISKCON_Swamis_-_R_to_Y/His_Holiness_Radhanath_Swami/Lectures/01_-_Theme_wise/Radhika_Krsna/Vrndavan/1997-018_Love_of_Brajbasis_SB-02_07_27_-_Radhanath_Swami_Khandala_1997-01-18_IDesireTree.mp3", "1997-018_Love_of_Brajbasis_SB-02_07_27_-_Radhanath_Swami_Khandala_1997-01-18_IDesireTree.mp3")</f>
        <v>1997-018_Love_of_Brajbasis_SB-02_07_27_-_Radhanath_Swami_Khandala_1997-01-18_IDesireTree.mp3</v>
      </c>
      <c r="D4345" s="11"/>
      <c r="E4345" s="11"/>
    </row>
    <row r="4346" spans="1:5">
      <c r="A4346" s="12" t="s">
        <v>12463</v>
      </c>
      <c r="B4346" s="12" t="s">
        <v>16903</v>
      </c>
      <c r="C4346" s="13" t="str">
        <f>HYPERLINK("https://audio.iskcondesiretree.com/02_-_ISKCON_Swamis/ISKCON_Swamis_-_R_to_Y/His_Holiness_Radhanath_Swami/Lectures/01_-_Theme_wise/Religion/1989-030_The_Meaning_Of_Religion_BG-04_07-09_-_Radhanath_Swami_Mumbai_1989-08-22_IDesireTree.mp3", "1989-030_The_Meaning_Of_Religion_BG-04_07-09_-_Radhanath_Swami_Mumbai_1989-08-22_IDesireTree.mp3")</f>
        <v>1989-030_The_Meaning_Of_Religion_BG-04_07-09_-_Radhanath_Swami_Mumbai_1989-08-22_IDesireTree.mp3</v>
      </c>
      <c r="D4346" s="11"/>
      <c r="E4346" s="11"/>
    </row>
    <row r="4347" spans="1:5">
      <c r="A4347" s="12" t="s">
        <v>12463</v>
      </c>
      <c r="B4347" s="12" t="s">
        <v>16904</v>
      </c>
      <c r="C4347" s="13" t="str">
        <f>HYPERLINK("https://audio.iskcondesiretree.com/02_-_ISKCON_Swamis/ISKCON_Swamis_-_R_to_Y/His_Holiness_Radhanath_Swami/Lectures/01_-_Theme_wise/Religion/1989-069_Bhagavad_Gita_Rejects_Piety_BG-02_45_-_Radhanath_Swami_Mumbai_1989-10-18_IDesireTree.mp3", "1989-069_Bhagavad_Gita_Rejects_Piety_BG-02_45_-_Radhanath_Swami_Mumbai_1989-10-18_IDesireTree.mp3")</f>
        <v>1989-069_Bhagavad_Gita_Rejects_Piety_BG-02_45_-_Radhanath_Swami_Mumbai_1989-10-18_IDesireTree.mp3</v>
      </c>
      <c r="D4347" s="11"/>
      <c r="E4347" s="11"/>
    </row>
    <row r="4348" spans="1:5">
      <c r="A4348" s="12" t="s">
        <v>12463</v>
      </c>
      <c r="B4348" s="12" t="s">
        <v>16905</v>
      </c>
      <c r="C4348" s="13" t="str">
        <f>HYPERLINK("https://audio.iskcondesiretree.com/02_-_ISKCON_Swamis/ISKCON_Swamis_-_R_to_Y/His_Holiness_Radhanath_Swami/Lectures/01_-_Theme_wise/Religion/1991-027_True_Principles_Of_Religion_Lecture_-_Radhanath_Swami_Mumbai_1991-03-02_IDesireTree.mp3", "1991-027_True_Principles_Of_Religion_Lecture_-_Radhanath_Swami_Mumbai_1991-03-02_IDesireTree.mp3")</f>
        <v>1991-027_True_Principles_Of_Religion_Lecture_-_Radhanath_Swami_Mumbai_1991-03-02_IDesireTree.mp3</v>
      </c>
      <c r="D4348" s="11"/>
      <c r="E4348" s="11"/>
    </row>
    <row r="4349" spans="1:5">
      <c r="A4349" s="12" t="s">
        <v>12463</v>
      </c>
      <c r="B4349" s="12" t="s">
        <v>16906</v>
      </c>
      <c r="C4349" s="13" t="str">
        <f>HYPERLINK("https://audio.iskcondesiretree.com/02_-_ISKCON_Swamis/ISKCON_Swamis_-_R_to_Y/His_Holiness_Radhanath_Swami/Lectures/01_-_Theme_wise/Religion/1991-077_Brahman_By_Quality_And_Not_By_Birth_SB-10_01_13_-_Radhanath_Swami_Mumbai_1991-10-14_IDesireTree.mp3", "1991-077_Brahman_By_Quality_And_Not_By_Birth_SB-10_01_13_-_Radhanath_Swami_Mumbai_1991-10-14_IDesireTree.mp3")</f>
        <v>1991-077_Brahman_By_Quality_And_Not_By_Birth_SB-10_01_13_-_Radhanath_Swami_Mumbai_1991-10-14_IDesireTree.mp3</v>
      </c>
      <c r="D4349" s="11"/>
      <c r="E4349" s="11"/>
    </row>
    <row r="4350" spans="1:5">
      <c r="A4350" s="12" t="s">
        <v>12463</v>
      </c>
      <c r="B4350" s="12" t="s">
        <v>16907</v>
      </c>
      <c r="C4350" s="13" t="str">
        <f>HYPERLINK("https://audio.iskcondesiretree.com/02_-_ISKCON_Swamis/ISKCON_Swamis_-_R_to_Y/His_Holiness_Radhanath_Swami/Lectures/01_-_Theme_wise/Religion/1991-139_Pondering_About_Dharma_Lecture_-_Radhanath_Swami_Mumbai_1991-12-01_IDesireTree.mp3", "1991-139_Pondering_About_Dharma_Lecture_-_Radhanath_Swami_Mumbai_1991-12-01_IDesireTree.mp3")</f>
        <v>1991-139_Pondering_About_Dharma_Lecture_-_Radhanath_Swami_Mumbai_1991-12-01_IDesireTree.mp3</v>
      </c>
      <c r="D4350" s="11"/>
      <c r="E4350" s="11"/>
    </row>
    <row r="4351" spans="1:5">
      <c r="A4351" s="12" t="s">
        <v>12463</v>
      </c>
      <c r="B4351" s="12" t="s">
        <v>16908</v>
      </c>
      <c r="C4351" s="13" t="str">
        <f>HYPERLINK("https://audio.iskcondesiretree.com/02_-_ISKCON_Swamis/ISKCON_Swamis_-_R_to_Y/His_Holiness_Radhanath_Swami/Lectures/01_-_Theme_wise/Religion/1991-146_Kaitava_Dharma_Lecture_-_Radhanath_Swami_Mumbai_1991-12-13_IDesireTree.mp3", "1991-146_Kaitava_Dharma_Lecture_-_Radhanath_Swami_Mumbai_1991-12-13_IDesireTree.mp3")</f>
        <v>1991-146_Kaitava_Dharma_Lecture_-_Radhanath_Swami_Mumbai_1991-12-13_IDesireTree.mp3</v>
      </c>
      <c r="D4351" s="11"/>
      <c r="E4351" s="11"/>
    </row>
    <row r="4352" spans="1:5">
      <c r="A4352" s="12" t="s">
        <v>12463</v>
      </c>
      <c r="B4352" s="12" t="s">
        <v>16909</v>
      </c>
      <c r="C4352" s="13" t="str">
        <f>HYPERLINK("https://audio.iskcondesiretree.com/02_-_ISKCON_Swamis/ISKCON_Swamis_-_R_to_Y/His_Holiness_Radhanath_Swami/Lectures/01_-_Theme_wise/Religion/1994-212_Protector_Of_Real_Religion_BG-04_3_-_Radhanath_Swami_Mumbai_1994-12-22_IDesireTree.mp3", "1994-212_Protector_Of_Real_Religion_BG-04_3_-_Radhanath_Swami_Mumbai_1994-12-22_IDesireTree.mp3")</f>
        <v>1994-212_Protector_Of_Real_Religion_BG-04_3_-_Radhanath_Swami_Mumbai_1994-12-22_IDesireTree.mp3</v>
      </c>
      <c r="D4352" s="11"/>
      <c r="E4352" s="11"/>
    </row>
    <row r="4353" spans="1:5">
      <c r="A4353" s="12" t="s">
        <v>12463</v>
      </c>
      <c r="B4353" s="12" t="s">
        <v>16910</v>
      </c>
      <c r="C4353" s="13" t="str">
        <f>HYPERLINK("https://audio.iskcondesiretree.com/02_-_ISKCON_Swamis/ISKCON_Swamis_-_R_to_Y/His_Holiness_Radhanath_Swami/Lectures/01_-_Theme_wise/Religion/1995-055_Real_Religion_Krishna_Consciouness_SB-01_08_35_-_Radhanath_Swami_Mumbai_1995-03-09.mp3", "1995-055_Real_Religion_Krishna_Consciouness_SB-01_08_35_-_Radhanath_Swami_Mumbai_1995-03-09.mp3")</f>
        <v>1995-055_Real_Religion_Krishna_Consciouness_SB-01_08_35_-_Radhanath_Swami_Mumbai_1995-03-09.mp3</v>
      </c>
      <c r="D4353" s="11"/>
      <c r="E4353" s="11"/>
    </row>
    <row r="4354" spans="1:5">
      <c r="A4354" s="12" t="s">
        <v>12463</v>
      </c>
      <c r="B4354" s="12" t="s">
        <v>16911</v>
      </c>
      <c r="C4354" s="13" t="str">
        <f>HYPERLINK("https://audio.iskcondesiretree.com/02_-_ISKCON_Swamis/ISKCON_Swamis_-_R_to_Y/His_Holiness_Radhanath_Swami/Lectures/01_-_Theme_wise/Religion/1996-041_Four_Principle_of_Religion_SB-01_17_25_-_Radhanath_Swami_Mumbai_1996-02-29_IDesireTree.mp3", "1996-041_Four_Principle_of_Religion_SB-01_17_25_-_Radhanath_Swami_Mumbai_1996-02-29_IDesireTree.mp3")</f>
        <v>1996-041_Four_Principle_of_Religion_SB-01_17_25_-_Radhanath_Swami_Mumbai_1996-02-29_IDesireTree.mp3</v>
      </c>
      <c r="D4354" s="11"/>
      <c r="E4354" s="11"/>
    </row>
    <row r="4355" spans="1:5">
      <c r="A4355" s="12" t="s">
        <v>12463</v>
      </c>
      <c r="B4355" s="12" t="s">
        <v>16912</v>
      </c>
      <c r="C4355" s="13" t="str">
        <f>HYPERLINK("https://audio.iskcondesiretree.com/02_-_ISKCON_Swamis/ISKCON_Swamis_-_R_to_Y/His_Holiness_Radhanath_Swami/Lectures/01_-_Theme_wise/Renunciation/1989-052_Real_Opulence_Is_Renunciation_SB-07_11_16_-_Radhanath_Swami_Mumbai_1989-09-26_IDesireTree.mp3", "1989-052_Real_Opulence_Is_Renunciation_SB-07_11_16_-_Radhanath_Swami_Mumbai_1989-09-26_IDesireTree.mp3")</f>
        <v>1989-052_Real_Opulence_Is_Renunciation_SB-07_11_16_-_Radhanath_Swami_Mumbai_1989-09-26_IDesireTree.mp3</v>
      </c>
      <c r="D4355" s="11"/>
      <c r="E4355" s="11"/>
    </row>
    <row r="4356" spans="1:5">
      <c r="A4356" s="12" t="s">
        <v>12463</v>
      </c>
      <c r="B4356" s="12" t="s">
        <v>16913</v>
      </c>
      <c r="C4356" s="13" t="str">
        <f>HYPERLINK("https://audio.iskcondesiretree.com/02_-_ISKCON_Swamis/ISKCON_Swamis_-_R_to_Y/His_Holiness_Radhanath_Swami/Lectures/01_-_Theme_wise/Renunciation/1990-004_Perfection_Of_Renunciation_BG-18_46_-_Radhanath_Swami_Mumbai_1990-01-07_IDesireTree.mp3", "1990-004_Perfection_Of_Renunciation_BG-18_46_-_Radhanath_Swami_Mumbai_1990-01-07_IDesireTree.mp3")</f>
        <v>1990-004_Perfection_Of_Renunciation_BG-18_46_-_Radhanath_Swami_Mumbai_1990-01-07_IDesireTree.mp3</v>
      </c>
      <c r="D4356" s="11"/>
      <c r="E4356" s="11"/>
    </row>
    <row r="4357" spans="1:5">
      <c r="A4357" s="12" t="s">
        <v>12463</v>
      </c>
      <c r="B4357" s="12" t="s">
        <v>16914</v>
      </c>
      <c r="C4357" s="13" t="str">
        <f>HYPERLINK("https://audio.iskcondesiretree.com/02_-_ISKCON_Swamis/ISKCON_Swamis_-_R_to_Y/His_Holiness_Radhanath_Swami/Lectures/01_-_Theme_wise/Renunciation/1990-031_The_Real_Vairagya_SB-07_14_46_-_Radhanath_Swami_Mumbai_1990-03-21_IDesireTree.mp3", "1990-031_The_Real_Vairagya_SB-07_14_46_-_Radhanath_Swami_Mumbai_1990-03-21_IDesireTree.mp3")</f>
        <v>1990-031_The_Real_Vairagya_SB-07_14_46_-_Radhanath_Swami_Mumbai_1990-03-21_IDesireTree.mp3</v>
      </c>
      <c r="D4357" s="11"/>
      <c r="E4357" s="11"/>
    </row>
    <row r="4358" spans="1:5">
      <c r="A4358" s="12" t="s">
        <v>12463</v>
      </c>
      <c r="B4358" s="12" t="s">
        <v>16753</v>
      </c>
      <c r="C4358" s="13" t="str">
        <f>HYPERLINK("https://audio.iskcondesiretree.com/02_-_ISKCON_Swamis/ISKCON_Swamis_-_R_to_Y/His_Holiness_Radhanath_Swami/Lectures/01_-_Theme_wise/Renunciation/1990-082_Nothing_Is_Ours_Lecture_-_Radhanath_Swami_Mumbai_1990-09-29_IDesireTree.mp3", "1990-082_Nothing_Is_Ours_Lecture_-_Radhanath_Swami_Mumbai_1990-09-29_IDesireTree.mp3")</f>
        <v>1990-082_Nothing_Is_Ours_Lecture_-_Radhanath_Swami_Mumbai_1990-09-29_IDesireTree.mp3</v>
      </c>
      <c r="D4358" s="11"/>
      <c r="E4358" s="11"/>
    </row>
    <row r="4359" spans="1:5">
      <c r="A4359" s="12" t="s">
        <v>12463</v>
      </c>
      <c r="B4359" s="12" t="s">
        <v>16915</v>
      </c>
      <c r="C4359" s="13" t="str">
        <f>HYPERLINK("https://audio.iskcondesiretree.com/02_-_ISKCON_Swamis/ISKCON_Swamis_-_R_to_Y/His_Holiness_Radhanath_Swami/Lectures/01_-_Theme_wise/Renunciation/1991-013_Perfect_Renunciation_SB-09_04_27_-_Radhanath_Swami_Mumbai_1991-02-05_IDesireTree.mp3", "1991-013_Perfect_Renunciation_SB-09_04_27_-_Radhanath_Swami_Mumbai_1991-02-05_IDesireTree.mp3")</f>
        <v>1991-013_Perfect_Renunciation_SB-09_04_27_-_Radhanath_Swami_Mumbai_1991-02-05_IDesireTree.mp3</v>
      </c>
      <c r="D4359" s="11"/>
      <c r="E4359" s="11"/>
    </row>
    <row r="4360" spans="1:5">
      <c r="A4360" s="12" t="s">
        <v>12463</v>
      </c>
      <c r="B4360" s="12" t="s">
        <v>16916</v>
      </c>
      <c r="C4360" s="13" t="str">
        <f>HYPERLINK("https://audio.iskcondesiretree.com/02_-_ISKCON_Swamis/ISKCON_Swamis_-_R_to_Y/His_Holiness_Radhanath_Swami/Lectures/01_-_Theme_wise/Renunciation/1991-030_Renunciation_is_to_give_SB-09_05_26_-_Radhanath_Swami_Mumbai_1991-03-06_IDesireTree.mp3", "1991-030_Renunciation_is_to_give_SB-09_05_26_-_Radhanath_Swami_Mumbai_1991-03-06_IDesireTree.mp3")</f>
        <v>1991-030_Renunciation_is_to_give_SB-09_05_26_-_Radhanath_Swami_Mumbai_1991-03-06_IDesireTree.mp3</v>
      </c>
      <c r="D4360" s="11"/>
      <c r="E4360" s="11"/>
    </row>
    <row r="4361" spans="1:5">
      <c r="A4361" s="12" t="s">
        <v>12463</v>
      </c>
      <c r="B4361" s="12" t="s">
        <v>16917</v>
      </c>
      <c r="C4361" s="13" t="str">
        <f>HYPERLINK("https://audio.iskcondesiretree.com/02_-_ISKCON_Swamis/ISKCON_Swamis_-_R_to_Y/His_Holiness_Radhanath_Swami/Lectures/01_-_Theme_wise/Renunciation/1992-141_What_Do_You_have_To_Renounce_SB-10_16_65-67_-_Radhanath_Swami_Mumbai_1992-12-13_IDesireTree.mp3", "1992-141_What_Do_You_have_To_Renounce_SB-10_16_65-67_-_Radhanath_Swami_Mumbai_1992-12-13_IDesireTree.mp3")</f>
        <v>1992-141_What_Do_You_have_To_Renounce_SB-10_16_65-67_-_Radhanath_Swami_Mumbai_1992-12-13_IDesireTree.mp3</v>
      </c>
      <c r="D4361" s="11"/>
      <c r="E4361" s="11"/>
    </row>
    <row r="4362" spans="1:5">
      <c r="A4362" s="12" t="s">
        <v>12463</v>
      </c>
      <c r="B4362" s="12" t="s">
        <v>16918</v>
      </c>
      <c r="C4362" s="13" t="str">
        <f>HYPERLINK("https://audio.iskcondesiretree.com/02_-_ISKCON_Swamis/ISKCON_Swamis_-_R_to_Y/His_Holiness_Radhanath_Swami/Lectures/01_-_Theme_wise/Renunciation/1993-057_To_Be_Detached_SB-03_29_70-11_-_Radhanath_Swami_Mumbai_1993-04-17_IDesireTree.mp3", "1993-057_To_Be_Detached_SB-03_29_70-11_-_Radhanath_Swami_Mumbai_1993-04-17_IDesireTree.mp3")</f>
        <v>1993-057_To_Be_Detached_SB-03_29_70-11_-_Radhanath_Swami_Mumbai_1993-04-17_IDesireTree.mp3</v>
      </c>
      <c r="D4362" s="11"/>
      <c r="E4362" s="11"/>
    </row>
    <row r="4363" spans="1:5">
      <c r="A4363" s="12" t="s">
        <v>12463</v>
      </c>
      <c r="B4363" s="12" t="s">
        <v>16919</v>
      </c>
      <c r="C4363" s="13" t="str">
        <f>HYPERLINK("https://audio.iskcondesiretree.com/02_-_ISKCON_Swamis/ISKCON_Swamis_-_R_to_Y/His_Holiness_Radhanath_Swami/Lectures/01_-_Theme_wise/Renunciation/1993-091_Knowledge_And_Renunciation_SB-03_27_21_-_Radhanath_Swami_Mumbai_1993-05-21_IDesireTree.mp3", "1993-091_Knowledge_And_Renunciation_SB-03_27_21_-_Radhanath_Swami_Mumbai_1993-05-21_IDesireTree.mp3")</f>
        <v>1993-091_Knowledge_And_Renunciation_SB-03_27_21_-_Radhanath_Swami_Mumbai_1993-05-21_IDesireTree.mp3</v>
      </c>
      <c r="D4363" s="11"/>
      <c r="E4363" s="11"/>
    </row>
    <row r="4364" spans="1:5">
      <c r="A4364" s="12" t="s">
        <v>12463</v>
      </c>
      <c r="B4364" s="12" t="s">
        <v>16920</v>
      </c>
      <c r="C4364" s="13" t="str">
        <f>HYPERLINK("https://audio.iskcondesiretree.com/02_-_ISKCON_Swamis/ISKCON_Swamis_-_R_to_Y/His_Holiness_Radhanath_Swami/Lectures/01_-_Theme_wise/Renunciation/1993-098_Nothing_Is_Ours_BG-02_24_-_Radhanath_Swami_Mumbai_1993-05-25_IDesireTree.mp3", "1993-098_Nothing_Is_Ours_BG-02_24_-_Radhanath_Swami_Mumbai_1993-05-25_IDesireTree.mp3")</f>
        <v>1993-098_Nothing_Is_Ours_BG-02_24_-_Radhanath_Swami_Mumbai_1993-05-25_IDesireTree.mp3</v>
      </c>
      <c r="D4364" s="11"/>
      <c r="E4364" s="11"/>
    </row>
    <row r="4365" spans="1:5">
      <c r="A4365" s="12" t="s">
        <v>12463</v>
      </c>
      <c r="B4365" s="12" t="s">
        <v>16921</v>
      </c>
      <c r="C4365" s="13" t="str">
        <f>HYPERLINK("https://audio.iskcondesiretree.com/02_-_ISKCON_Swamis/ISKCON_Swamis_-_R_to_Y/His_Holiness_Radhanath_Swami/Lectures/01_-_Theme_wise/Renunciation/1993-100_Highest_Form_Of_Renunciation_SB-10_29_14_-_Radhanath_Swami_Mumbai_1993-05-27_IDesireTree.mp3", "1993-100_Highest_Form_Of_Renunciation_SB-10_29_14_-_Radhanath_Swami_Mumbai_1993-05-27_IDesireTree.mp3")</f>
        <v>1993-100_Highest_Form_Of_Renunciation_SB-10_29_14_-_Radhanath_Swami_Mumbai_1993-05-27_IDesireTree.mp3</v>
      </c>
      <c r="D4365" s="11"/>
      <c r="E4365" s="11"/>
    </row>
    <row r="4366" spans="1:5">
      <c r="A4366" s="12" t="s">
        <v>12463</v>
      </c>
      <c r="B4366" s="12" t="s">
        <v>16922</v>
      </c>
      <c r="C4366" s="13" t="str">
        <f>HYPERLINK("https://audio.iskcondesiretree.com/02_-_ISKCON_Swamis/ISKCON_Swamis_-_R_to_Y/His_Holiness_Radhanath_Swami/Lectures/01_-_Theme_wise/Renunciation/1993-164_Renunciation_Of_The_Gopies_Lecture_Mumbai_1993-10-30_IDesireTree.mp3", "1993-164_Renunciation_Of_The_Gopies_Lecture_Mumbai_1993-10-30_IDesireTree.mp3")</f>
        <v>1993-164_Renunciation_Of_The_Gopies_Lecture_Mumbai_1993-10-30_IDesireTree.mp3</v>
      </c>
      <c r="D4366" s="11"/>
      <c r="E4366" s="11"/>
    </row>
    <row r="4367" spans="1:5">
      <c r="A4367" s="12" t="s">
        <v>12463</v>
      </c>
      <c r="B4367" s="12" t="s">
        <v>16923</v>
      </c>
      <c r="C4367" s="13" t="str">
        <f>HYPERLINK("https://audio.iskcondesiretree.com/02_-_ISKCON_Swamis/ISKCON_Swamis_-_R_to_Y/His_Holiness_Radhanath_Swami/Lectures/01_-_Theme_wise/Renunciation/1993-193_Essence_Of_True_Renunciation_BG-18_01_-_Radhanath_Swami_Mayapur_1993-12-28IDesireTree.mp3", "1993-193_Essence_Of_True_Renunciation_BG-18_01_-_Radhanath_Swami_Mayapur_1993-12-28IDesireTree.mp3")</f>
        <v>1993-193_Essence_Of_True_Renunciation_BG-18_01_-_Radhanath_Swami_Mayapur_1993-12-28IDesireTree.mp3</v>
      </c>
      <c r="D4367" s="11"/>
      <c r="E4367" s="11"/>
    </row>
    <row r="4368" spans="1:5">
      <c r="A4368" s="12" t="s">
        <v>12463</v>
      </c>
      <c r="B4368" s="12" t="s">
        <v>16924</v>
      </c>
      <c r="C4368" s="13" t="str">
        <f>HYPERLINK("https://audio.iskcondesiretree.com/02_-_ISKCON_Swamis/ISKCON_Swamis_-_R_to_Y/His_Holiness_Radhanath_Swami/Lectures/01_-_Theme_wise/Renunciation/1994-145_Renunciation_Of_Sukhdev_Goswami_SB-01_04_05%20_-_Radhanath_Swami_Mumbai_1994-09-11_IDesireTree.mp3", "1994-145_Renunciation_Of_Sukhdev_Goswami_SB-01_04_05%20_-_Radhanath_Swami_Mumbai_1994-09-11_IDesireTree.mp3")</f>
        <v>1994-145_Renunciation_Of_Sukhdev_Goswami_SB-01_04_05%20_-_Radhanath_Swami_Mumbai_1994-09-11_IDesireTree.mp3</v>
      </c>
      <c r="D4368" s="11"/>
      <c r="E4368" s="11"/>
    </row>
    <row r="4369" spans="1:5">
      <c r="A4369" s="12" t="s">
        <v>12463</v>
      </c>
      <c r="B4369" s="12" t="s">
        <v>16925</v>
      </c>
      <c r="C4369" s="13" t="str">
        <f>HYPERLINK("https://audio.iskcondesiretree.com/02_-_ISKCON_Swamis/ISKCON_Swamis_-_R_to_Y/His_Holiness_Radhanath_Swami/Lectures/01_-_Theme_wise/Renunciation/1998-074_What_is_Real_Renunciation_Lecture_-_Radhanath_Swami_Mumbai1998-07-21_IDesireTree.mp3", "1998-074_What_is_Real_Renunciation_Lecture_-_Radhanath_Swami_Mumbai1998-07-21_IDesireTree.mp3")</f>
        <v>1998-074_What_is_Real_Renunciation_Lecture_-_Radhanath_Swami_Mumbai1998-07-21_IDesireTree.mp3</v>
      </c>
      <c r="D4369" s="11"/>
      <c r="E4369" s="11"/>
    </row>
    <row r="4370" spans="1:5">
      <c r="A4370" s="12" t="s">
        <v>12463</v>
      </c>
      <c r="B4370" s="12" t="s">
        <v>16926</v>
      </c>
      <c r="C4370" s="13" t="str">
        <f>HYPERLINK("https://audio.iskcondesiretree.com/02_-_ISKCON_Swamis/ISKCON_Swamis_-_R_to_Y/His_Holiness_Radhanath_Swami/Lectures/01_-_Theme_wise/Responsibility/1993-129_Responsibility_Of_Human_Life_SB-03_25_13_-_Radhanath_Swami_1993-9-24_IDesireTree.mp3", "1993-129_Responsibility_Of_Human_Life_SB-03_25_13_-_Radhanath_Swami_1993-9-24_IDesireTree.mp3")</f>
        <v>1993-129_Responsibility_Of_Human_Life_SB-03_25_13_-_Radhanath_Swami_1993-9-24_IDesireTree.mp3</v>
      </c>
      <c r="D4370" s="11"/>
      <c r="E4370" s="11"/>
    </row>
    <row r="4371" spans="1:5">
      <c r="A4371" s="12" t="s">
        <v>12463</v>
      </c>
      <c r="B4371" s="12" t="s">
        <v>16927</v>
      </c>
      <c r="C4371" s="13" t="str">
        <f>HYPERLINK("https://audio.iskcondesiretree.com/02_-_ISKCON_Swamis/ISKCON_Swamis_-_R_to_Y/His_Holiness_Radhanath_Swami/Lectures/01_-_Theme_wise/Responsibility/1993-152_Dutiful_People_BG-03_22_-_Radhanath_Swami_Mumbai_1993-10-18_IDesireTree.mp3", "1993-152_Dutiful_People_BG-03_22_-_Radhanath_Swami_Mumbai_1993-10-18_IDesireTree.mp3")</f>
        <v>1993-152_Dutiful_People_BG-03_22_-_Radhanath_Swami_Mumbai_1993-10-18_IDesireTree.mp3</v>
      </c>
      <c r="D4371" s="11"/>
      <c r="E4371" s="11"/>
    </row>
    <row r="4372" spans="1:5">
      <c r="A4372" s="12" t="s">
        <v>12463</v>
      </c>
      <c r="B4372" s="12" t="s">
        <v>16928</v>
      </c>
      <c r="C4372" s="13" t="str">
        <f>HYPERLINK("https://audio.iskcondesiretree.com/02_-_ISKCON_Swamis/ISKCON_Swamis_-_R_to_Y/His_Holiness_Radhanath_Swami/Lectures/01_-_Theme_wise/Responsibility/1997-052_What_Is_Responsibility_SB-02_08_21_-_Radhanath_Swami_Mumbai_1997-03-13_IDesireTree.mp3", "1997-052_What_Is_Responsibility_SB-02_08_21_-_Radhanath_Swami_Mumbai_1997-03-13_IDesireTree.mp3")</f>
        <v>1997-052_What_Is_Responsibility_SB-02_08_21_-_Radhanath_Swami_Mumbai_1997-03-13_IDesireTree.mp3</v>
      </c>
      <c r="D4372" s="11"/>
      <c r="E4372" s="11"/>
    </row>
    <row r="4373" spans="1:5">
      <c r="A4373" s="12" t="s">
        <v>12463</v>
      </c>
      <c r="B4373" s="12" t="s">
        <v>16929</v>
      </c>
      <c r="C4373" s="13" t="str">
        <f>HYPERLINK("https://audio.iskcondesiretree.com/02_-_ISKCON_Swamis/ISKCON_Swamis_-_R_to_Y/His_Holiness_Radhanath_Swami/Lectures/01_-_Theme_wise/Responsibility/1999-032_Every_Power_Brings_Tremendous_Responsibilities_SB-04_04_27_Mumbai_-_20-06-99_IDesireTree.mp3", "1999-032_Every_Power_Brings_Tremendous_Responsibilities_SB-04_04_27_Mumbai_-_20-06-99_IDesireTree.mp3")</f>
        <v>1999-032_Every_Power_Brings_Tremendous_Responsibilities_SB-04_04_27_Mumbai_-_20-06-99_IDesireTree.mp3</v>
      </c>
      <c r="D4373" s="11"/>
      <c r="E4373" s="11"/>
    </row>
    <row r="4374" spans="1:5">
      <c r="A4374" s="12" t="s">
        <v>12463</v>
      </c>
      <c r="B4374" s="12" t="s">
        <v>16930</v>
      </c>
      <c r="C4374" s="13" t="str">
        <f>HYPERLINK("https://audio.iskcondesiretree.com/02_-_ISKCON_Swamis/ISKCON_Swamis_-_R_to_Y/His_Holiness_Radhanath_Swami/Lectures/01_-_Theme_wise/Responsibility/2002-048_Devotee_Should_Be_Duty_Bound_SB-04_12_16_-_Radhanath_Swami_Mumbai_2002-04-07_IDesireTree.mp3", "2002-048_Devotee_Should_Be_Duty_Bound_SB-04_12_16_-_Radhanath_Swami_Mumbai_2002-04-07_IDesireTree.mp3")</f>
        <v>2002-048_Devotee_Should_Be_Duty_Bound_SB-04_12_16_-_Radhanath_Swami_Mumbai_2002-04-07_IDesireTree.mp3</v>
      </c>
      <c r="D4374" s="11"/>
      <c r="E4374" s="11"/>
    </row>
    <row r="4375" spans="1:5">
      <c r="A4375" s="12" t="s">
        <v>12463</v>
      </c>
      <c r="B4375" s="12" t="s">
        <v>16538</v>
      </c>
      <c r="C4375" s="13" t="str">
        <f>HYPERLINK("https://audio.iskcondesiretree.com/02_-_ISKCON_Swamis/ISKCON_Swamis_-_R_to_Y/His_Holiness_Radhanath_Swami/Lectures/01_-_Theme_wise/Responsibility/2003-030_Responsibility_of_a_Disciple_Initiation_Lecture_-_Radhanath_Swami_Mumbai_2003-04-11_IDesireTree.mp3", "2003-030_Responsibility_of_a_Disciple_Initiation_Lecture_-_Radhanath_Swami_Mumbai_2003-04-11_IDesireTree.mp3")</f>
        <v>2003-030_Responsibility_of_a_Disciple_Initiation_Lecture_-_Radhanath_Swami_Mumbai_2003-04-11_IDesireTree.mp3</v>
      </c>
      <c r="D4375" s="11"/>
      <c r="E4375" s="11"/>
    </row>
    <row r="4376" spans="1:5">
      <c r="A4376" s="12" t="s">
        <v>12463</v>
      </c>
      <c r="B4376" s="12" t="s">
        <v>16931</v>
      </c>
      <c r="C4376" s="13" t="str">
        <f>HYPERLINK("https://audio.iskcondesiretree.com/02_-_ISKCON_Swamis/ISKCON_Swamis_-_R_to_Y/His_Holiness_Radhanath_Swami/Lectures/01_-_Theme_wise/Sacrifice/1992-031_Sacrifice_CC_AL-02_-_Radhanath_Swami_Mumbai_1992-02-17_IDesireTree.mp3", "1992-031_Sacrifice_CC_AL-02_-_Radhanath_Swami_Mumbai_1992-02-17_IDesireTree.mp3")</f>
        <v>1992-031_Sacrifice_CC_AL-02_-_Radhanath_Swami_Mumbai_1992-02-17_IDesireTree.mp3</v>
      </c>
      <c r="D4376" s="11"/>
      <c r="E4376" s="11"/>
    </row>
    <row r="4377" spans="1:5">
      <c r="A4377" s="12" t="s">
        <v>12463</v>
      </c>
      <c r="B4377" s="12" t="s">
        <v>16932</v>
      </c>
      <c r="C4377" s="13" t="str">
        <f>HYPERLINK("https://audio.iskcondesiretree.com/02_-_ISKCON_Swamis/ISKCON_Swamis_-_R_to_Y/His_Holiness_Radhanath_Swami/Lectures/01_-_Theme_wise/Sacrifice/1992-121_Real_Sacrifice_SB-10_40_06-12_-_Radhanath_Swami_Mumbai_1992-10-04_IDesireTree.mp3", "1992-121_Real_Sacrifice_SB-10_40_06-12_-_Radhanath_Swami_Mumbai_1992-10-04_IDesireTree.mp3")</f>
        <v>1992-121_Real_Sacrifice_SB-10_40_06-12_-_Radhanath_Swami_Mumbai_1992-10-04_IDesireTree.mp3</v>
      </c>
      <c r="D4377" s="11"/>
      <c r="E4377" s="11"/>
    </row>
    <row r="4378" spans="1:5">
      <c r="A4378" s="12" t="s">
        <v>12463</v>
      </c>
      <c r="B4378" s="12" t="s">
        <v>16933</v>
      </c>
      <c r="C4378" s="13" t="str">
        <f>HYPERLINK("https://audio.iskcondesiretree.com/02_-_ISKCON_Swamis/ISKCON_Swamis_-_R_to_Y/His_Holiness_Radhanath_Swami/Lectures/01_-_Theme_wise/Sacrifice/1994-041_Pleasing_Guru_By_Sacrifice_SB-03_28_17_-_Radhanath_Swami_Mumbai_1994-02-22_IDesireTree.mp3", "1994-041_Pleasing_Guru_By_Sacrifice_SB-03_28_17_-_Radhanath_Swami_Mumbai_1994-02-22_IDesireTree.mp3")</f>
        <v>1994-041_Pleasing_Guru_By_Sacrifice_SB-03_28_17_-_Radhanath_Swami_Mumbai_1994-02-22_IDesireTree.mp3</v>
      </c>
      <c r="D4378" s="11"/>
      <c r="E4378" s="11"/>
    </row>
    <row r="4379" spans="1:5">
      <c r="A4379" s="12" t="s">
        <v>12463</v>
      </c>
      <c r="B4379" s="12" t="s">
        <v>16934</v>
      </c>
      <c r="C4379" s="13" t="str">
        <f>HYPERLINK("https://audio.iskcondesiretree.com/02_-_ISKCON_Swamis/ISKCON_Swamis_-_R_to_Y/His_Holiness_Radhanath_Swami/Lectures/01_-_Theme_wise/Sacrifice/2002-110_Sacrifice_For_The_Welfare_Of_Others_SB-02_06_28_-_Radhanath_Swami_Mumbai_2002-10-24_IDesireTree.mp3", "2002-110_Sacrifice_For_The_Welfare_Of_Others_SB-02_06_28_-_Radhanath_Swami_Mumbai_2002-10-24_IDesireTree.mp3")</f>
        <v>2002-110_Sacrifice_For_The_Welfare_Of_Others_SB-02_06_28_-_Radhanath_Swami_Mumbai_2002-10-24_IDesireTree.mp3</v>
      </c>
      <c r="D4379" s="11"/>
      <c r="E4379" s="11"/>
    </row>
    <row r="4380" spans="1:5">
      <c r="A4380" s="12" t="s">
        <v>12463</v>
      </c>
      <c r="B4380" s="12" t="s">
        <v>16935</v>
      </c>
      <c r="C4380" s="13" t="str">
        <f>HYPERLINK("https://audio.iskcondesiretree.com/02_-_ISKCON_Swamis/ISKCON_Swamis_-_R_to_Y/His_Holiness_Radhanath_Swami/Lectures/01_-_Theme_wise/Sadhu/1991-076_What_Is_Sadhu_SB-05_01_17_-_Radhanath_Swami_Mumbai_1991-10-13_IDesireTree.mp3", "1991-076_What_Is_Sadhu_SB-05_01_17_-_Radhanath_Swami_Mumbai_1991-10-13_IDesireTree.mp3")</f>
        <v>1991-076_What_Is_Sadhu_SB-05_01_17_-_Radhanath_Swami_Mumbai_1991-10-13_IDesireTree.mp3</v>
      </c>
      <c r="D4380" s="11"/>
      <c r="E4380" s="11"/>
    </row>
    <row r="4381" spans="1:5">
      <c r="A4381" s="12" t="s">
        <v>12463</v>
      </c>
      <c r="B4381" s="12" t="s">
        <v>16936</v>
      </c>
      <c r="C4381" s="13" t="str">
        <f>HYPERLINK("https://audio.iskcondesiretree.com/02_-_ISKCON_Swamis/ISKCON_Swamis_-_R_to_Y/His_Holiness_Radhanath_Swami/Lectures/01_-_Theme_wise/Sadhu/1991-092_Quality_Of_A_Mahatma_BG-09_14_-_Radhanath_Swami_Mumbai_1991-10-20_IDesireTree.mp3", "1991-092_Quality_Of_A_Mahatma_BG-09_14_-_Radhanath_Swami_Mumbai_1991-10-20_IDesireTree.mp3")</f>
        <v>1991-092_Quality_Of_A_Mahatma_BG-09_14_-_Radhanath_Swami_Mumbai_1991-10-20_IDesireTree.mp3</v>
      </c>
      <c r="D4381" s="11"/>
      <c r="E4381" s="11"/>
    </row>
    <row r="4382" spans="1:5">
      <c r="A4382" s="12" t="s">
        <v>12463</v>
      </c>
      <c r="B4382" s="12" t="s">
        <v>16937</v>
      </c>
      <c r="C4382" s="13" t="str">
        <f>HYPERLINK("https://audio.iskcondesiretree.com/02_-_ISKCON_Swamis/ISKCON_Swamis_-_R_to_Y/His_Holiness_Radhanath_Swami/Lectures/01_-_Theme_wise/Sadhu/1992-046_A_Moment%27s_Association_SB-07_13_42_-_Radhanath_Swami_Mumbai_1992-03-27_IDesireTree.mp3", "1992-046_A_Moment%27s_Association_SB-07_13_42_-_Radhanath_Swami_Mumbai_1992-03-27_IDesireTree.mp3")</f>
        <v>1992-046_A_Moment%27s_Association_SB-07_13_42_-_Radhanath_Swami_Mumbai_1992-03-27_IDesireTree.mp3</v>
      </c>
      <c r="D4382" s="11"/>
      <c r="E4382" s="11"/>
    </row>
    <row r="4383" spans="1:5">
      <c r="A4383" s="12" t="s">
        <v>12463</v>
      </c>
      <c r="B4383" s="12" t="s">
        <v>16938</v>
      </c>
      <c r="C4383" s="13" t="str">
        <f>HYPERLINK("https://audio.iskcondesiretree.com/02_-_ISKCON_Swamis/ISKCON_Swamis_-_R_to_Y/His_Holiness_Radhanath_Swami/Lectures/01_-_Theme_wise/Sannyasi_Training/2001-040_Saniyas_Initiation_Lecture_-_Radhanath_Swami_Moscow_2001-08-04_IDesireTree.mp3", "2001-040_Saniyas_Initiation_Lecture_-_Radhanath_Swami_Moscow_2001-08-04_IDesireTree.mp3")</f>
        <v>2001-040_Saniyas_Initiation_Lecture_-_Radhanath_Swami_Moscow_2001-08-04_IDesireTree.mp3</v>
      </c>
      <c r="D4383" s="11"/>
      <c r="E4383" s="11"/>
    </row>
    <row r="4384" spans="1:5">
      <c r="A4384" s="12" t="s">
        <v>12463</v>
      </c>
      <c r="B4384" s="12" t="s">
        <v>16939</v>
      </c>
      <c r="C4384" s="13" t="str">
        <f>HYPERLINK("https://audio.iskcondesiretree.com/02_-_ISKCON_Swamis/ISKCON_Swamis_-_R_to_Y/His_Holiness_Radhanath_Swami/Lectures/01_-_Theme_wise/Science_and_spirituality/1989-086_Evolution_SB-07_13_25_-_Radhanath_Swami_Mumbai_1989-12-28_IDesireTree.mp3", "1989-086_Evolution_SB-07_13_25_-_Radhanath_Swami_Mumbai_1989-12-28_IDesireTree.mp3")</f>
        <v>1989-086_Evolution_SB-07_13_25_-_Radhanath_Swami_Mumbai_1989-12-28_IDesireTree.mp3</v>
      </c>
      <c r="D4384" s="11"/>
      <c r="E4384" s="11"/>
    </row>
    <row r="4385" spans="1:5">
      <c r="A4385" s="12" t="s">
        <v>12463</v>
      </c>
      <c r="B4385" s="12" t="s">
        <v>16940</v>
      </c>
      <c r="C4385" s="13" t="str">
        <f>HYPERLINK("https://audio.iskcondesiretree.com/02_-_ISKCON_Swamis/ISKCON_Swamis_-_R_to_Y/His_Holiness_Radhanath_Swami/Lectures/01_-_Theme_wise/Science_and_spirituality/1996-003_Science_And_Spirituality_Lecture_-_Radhanath_Swami_Pune_2001-02-01.mp3", "1996-003_Science_And_Spirituality_Lecture_-_Radhanath_Swami_Pune_2001-02-01.mp3")</f>
        <v>1996-003_Science_And_Spirituality_Lecture_-_Radhanath_Swami_Pune_2001-02-01.mp3</v>
      </c>
      <c r="D4385" s="11"/>
      <c r="E4385" s="11"/>
    </row>
    <row r="4386" spans="1:5">
      <c r="A4386" s="12" t="s">
        <v>12463</v>
      </c>
      <c r="B4386" s="12" t="s">
        <v>16941</v>
      </c>
      <c r="C4386" s="13" t="str">
        <f>HYPERLINK("https://audio.iskcondesiretree.com/02_-_ISKCON_Swamis/ISKCON_Swamis_-_R_to_Y/His_Holiness_Radhanath_Swami/Lectures/01_-_Theme_wise/Self_Realization/1989-021_Honesty_Among_Thieves_Lecture_-_Radhanath_Swami_Mumbai_1989-07-23_IDesireTree.mp3", "1989-021_Honesty_Among_Thieves_Lecture_-_Radhanath_Swami_Mumbai_1989-07-23_IDesireTree.mp3")</f>
        <v>1989-021_Honesty_Among_Thieves_Lecture_-_Radhanath_Swami_Mumbai_1989-07-23_IDesireTree.mp3</v>
      </c>
      <c r="D4386" s="11"/>
      <c r="E4386" s="11"/>
    </row>
    <row r="4387" spans="1:5">
      <c r="A4387" s="12" t="s">
        <v>12463</v>
      </c>
      <c r="B4387" s="12" t="s">
        <v>16564</v>
      </c>
      <c r="C4387" s="13" t="str">
        <f>HYPERLINK("https://audio.iskcondesiretree.com/02_-_ISKCON_Swamis/ISKCON_Swamis_-_R_to_Y/His_Holiness_Radhanath_Swami/Lectures/01_-_Theme_wise/Self_Realization/1994-015_How_To_Know_God_SB_02-06-34-35_-_Radhanath_Swami_Mumbai_1994-01-18_IDesireTree.mp3",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4387" s="11"/>
      <c r="E4387" s="11"/>
    </row>
    <row r="4388" spans="1:5">
      <c r="A4388" s="12" t="s">
        <v>12463</v>
      </c>
      <c r="B4388" s="12" t="s">
        <v>16942</v>
      </c>
      <c r="C4388" s="13" t="str">
        <f>HYPERLINK("https://audio.iskcondesiretree.com/02_-_ISKCON_Swamis/ISKCON_Swamis_-_R_to_Y/His_Holiness_Radhanath_Swami/Lectures/01_-_Theme_wise/Self_Realization/1994-108_Uncovering_The_Soul_SB-01_03_31_-_Radhanath_Swami_Mumbai_1994-08-24_IDesireTree.mp3", "1994-108_Uncovering_The_Soul_SB-01_03_31_-_Radhanath_Swami_Mumbai_1994-08-24_IDesireTree.mp3")</f>
        <v>1994-108_Uncovering_The_Soul_SB-01_03_31_-_Radhanath_Swami_Mumbai_1994-08-24_IDesireTree.mp3</v>
      </c>
      <c r="D4388" s="11"/>
      <c r="E4388" s="11"/>
    </row>
    <row r="4389" spans="1:5">
      <c r="A4389" s="12" t="s">
        <v>12463</v>
      </c>
      <c r="B4389" s="12" t="s">
        <v>16943</v>
      </c>
      <c r="C4389" s="13" t="str">
        <f>HYPERLINK("https://audio.iskcondesiretree.com/02_-_ISKCON_Swamis/ISKCON_Swamis_-_R_to_Y/His_Holiness_Radhanath_Swami/Lectures/01_-_Theme_wise/Self_Realization/1997-042_Realise_Your_Identity_Ht_-_BG-05-12_-_Radhanath_Swami_Mumbai_1997-02-15_IDesireTree.mp3", "1997-042_Realise_Your_Identity_Ht_-_BG-05-12_-_Radhanath_Swami_Mumbai_1997-02-15_IDesireTree.mp3")</f>
        <v>1997-042_Realise_Your_Identity_Ht_-_BG-05-12_-_Radhanath_Swami_Mumbai_1997-02-15_IDesireTree.mp3</v>
      </c>
      <c r="D4389" s="11"/>
      <c r="E4389" s="11"/>
    </row>
    <row r="4390" spans="1:5">
      <c r="A4390" s="12" t="s">
        <v>12463</v>
      </c>
      <c r="B4390" s="12" t="s">
        <v>16944</v>
      </c>
      <c r="C4390" s="13" t="str">
        <f>HYPERLINK("https://audio.iskcondesiretree.com/02_-_ISKCON_Swamis/ISKCON_Swamis_-_R_to_Y/His_Holiness_Radhanath_Swami/Lectures/01_-_Theme_wise/Self_Realization/1997-119_Identify_Yourself_Properly_SB-04-29-60_-_Radhanath_Swami_Pune_-_07-10-97_IDesireTree.mp3", "1997-119_Identify_Yourself_Properly_SB-04-29-60_-_Radhanath_Swami_Pune_-_07-10-97_IDesireTree.mp3")</f>
        <v>1997-119_Identify_Yourself_Properly_SB-04-29-60_-_Radhanath_Swami_Pune_-_07-10-97_IDesireTree.mp3</v>
      </c>
      <c r="D4390" s="11"/>
      <c r="E4390" s="11"/>
    </row>
    <row r="4391" spans="1:5">
      <c r="A4391" s="12" t="s">
        <v>12463</v>
      </c>
      <c r="B4391" s="12" t="s">
        <v>16945</v>
      </c>
      <c r="C4391" s="13" t="str">
        <f>HYPERLINK("https://audio.iskcondesiretree.com/02_-_ISKCON_Swamis/ISKCON_Swamis_-_R_to_Y/His_Holiness_Radhanath_Swami/Lectures/01_-_Theme_wise/Self_Realization/1998-096_Identify_Yourself_Properly_SB-03-02-29_-_Radhanath_Swami_Mumbai_1997-10-07_IDesireTree.mp3", "1998-096_Identify_Yourself_Properly_SB-03-02-29_-_Radhanath_Swami_Mumbai_1997-10-07_IDesireTree.mp3")</f>
        <v>1998-096_Identify_Yourself_Properly_SB-03-02-29_-_Radhanath_Swami_Mumbai_1997-10-07_IDesireTree.mp3</v>
      </c>
      <c r="D4391" s="11"/>
      <c r="E4391" s="11"/>
    </row>
    <row r="4392" spans="1:5">
      <c r="A4392" s="12" t="s">
        <v>12463</v>
      </c>
      <c r="B4392" s="12" t="s">
        <v>16946</v>
      </c>
      <c r="C4392" s="13" t="str">
        <f>HYPERLINK("https://audio.iskcondesiretree.com/02_-_ISKCON_Swamis/ISKCON_Swamis_-_R_to_Y/His_Holiness_Radhanath_Swami/Lectures/01_-_Theme_wise/Self_Realization/2001-023_Durlabha_Manav_Janma_Lecture_-_Radhanath_Swami_Mumbai_2001-04-22_IDesireTree.mp3", "2001-023_Durlabha_Manav_Janma_Lecture_-_Radhanath_Swami_Mumbai_2001-04-22_IDesireTree.mp3")</f>
        <v>2001-023_Durlabha_Manav_Janma_Lecture_-_Radhanath_Swami_Mumbai_2001-04-22_IDesireTree.mp3</v>
      </c>
      <c r="D4392" s="11"/>
      <c r="E4392" s="11"/>
    </row>
    <row r="4393" spans="1:5">
      <c r="A4393" s="12" t="s">
        <v>12463</v>
      </c>
      <c r="B4393" s="12" t="s">
        <v>16947</v>
      </c>
      <c r="C4393" s="13" t="str">
        <f>HYPERLINK("https://audio.iskcondesiretree.com/02_-_ISKCON_Swamis/ISKCON_Swamis_-_R_to_Y/His_Holiness_Radhanath_Swami/Lectures/01_-_Theme_wise/Self_Realization/2003-020_Deeply_Value_the_Rare_Human_Life_Lecture_-_Radhanath_Swami_Mumbai_2003-03-23_IDesireTree.mp3", "2003-020_Deeply_Value_the_Rare_Human_Life_Lecture_-_Radhanath_Swami_Mumbai_2003-03-23_IDesireTree.mp3")</f>
        <v>2003-020_Deeply_Value_the_Rare_Human_Life_Lecture_-_Radhanath_Swami_Mumbai_2003-03-23_IDesireTree.mp3</v>
      </c>
      <c r="D4393" s="11"/>
      <c r="E4393" s="11"/>
    </row>
    <row r="4394" spans="1:5">
      <c r="A4394" s="12" t="s">
        <v>12463</v>
      </c>
      <c r="B4394" s="12" t="s">
        <v>16948</v>
      </c>
      <c r="C4394" s="13" t="str">
        <f>HYPERLINK("https://audio.iskcondesiretree.com/02_-_ISKCON_Swamis/ISKCON_Swamis_-_R_to_Y/His_Holiness_Radhanath_Swami/Lectures/01_-_Theme_wise/Sense_Control/1989-078_Self_Management_-_BG-06_06_-_Radhanath_Swami_Mumbai_1989-10-25_IDesireTree.mp3", "1989-078_Self_Management_-_BG-06_06_-_Radhanath_Swami_Mumbai_1989-10-25_IDesireTree.mp3")</f>
        <v>1989-078_Self_Management_-_BG-06_06_-_Radhanath_Swami_Mumbai_1989-10-25_IDesireTree.mp3</v>
      </c>
      <c r="D4394" s="11"/>
      <c r="E4394" s="11"/>
    </row>
    <row r="4395" spans="1:5">
      <c r="A4395" s="12" t="s">
        <v>12463</v>
      </c>
      <c r="B4395" s="12" t="s">
        <v>16949</v>
      </c>
      <c r="C4395" s="13" t="str">
        <f>HYPERLINK("https://audio.iskcondesiretree.com/02_-_ISKCON_Swamis/ISKCON_Swamis_-_R_to_Y/His_Holiness_Radhanath_Swami/Lectures/01_-_Theme_wise/Sense_Control/1989-083_Krishnizing_The_Senses_BG-10_36_-_Radhanath_Swami_Mumbai_1989-12-26_IDesireTree.mp3", "1989-083_Krishnizing_The_Senses_BG-10_36_-_Radhanath_Swami_Mumbai_1989-12-26_IDesireTree.mp3")</f>
        <v>1989-083_Krishnizing_The_Senses_BG-10_36_-_Radhanath_Swami_Mumbai_1989-12-26_IDesireTree.mp3</v>
      </c>
      <c r="D4395" s="11"/>
      <c r="E4395" s="11"/>
    </row>
    <row r="4396" spans="1:5">
      <c r="A4396" s="12" t="s">
        <v>12463</v>
      </c>
      <c r="B4396" s="12" t="s">
        <v>16950</v>
      </c>
      <c r="C4396" s="13" t="str">
        <f>HYPERLINK("https://audio.iskcondesiretree.com/02_-_ISKCON_Swamis/ISKCON_Swamis_-_R_to_Y/His_Holiness_Radhanath_Swami/Lectures/01_-_Theme_wise/Sense_Control/1992-013_Controlling_Senses_Lectire_-_Radhanath_Swami_Mumbai_1992-01-11_IDesireTree.mp3", "1992-013_Controlling_Senses_Lectire_-_Radhanath_Swami_Mumbai_1992-01-11_IDesireTree.mp3")</f>
        <v>1992-013_Controlling_Senses_Lectire_-_Radhanath_Swami_Mumbai_1992-01-11_IDesireTree.mp3</v>
      </c>
      <c r="D4396" s="11"/>
      <c r="E4396" s="11"/>
    </row>
    <row r="4397" spans="1:5">
      <c r="A4397" s="12" t="s">
        <v>12463</v>
      </c>
      <c r="B4397" s="12" t="s">
        <v>16794</v>
      </c>
      <c r="C4397" s="13" t="str">
        <f>HYPERLINK("https://audio.iskcondesiretree.com/02_-_ISKCON_Swamis/ISKCON_Swamis_-_R_to_Y/His_Holiness_Radhanath_Swami/Lectures/01_-_Theme_wise/Sense_Control/1992-128_Controlling_The_Tongue_Lecture_-_Radhanath_Swami_Mumbai_1992-11-24_IDesireTree.mp3", "1992-128_Controlling_The_Tongue_Lecture_-_Radhanath_Swami_Mumbai_1992-11-24_IDesireTree.mp3")</f>
        <v>1992-128_Controlling_The_Tongue_Lecture_-_Radhanath_Swami_Mumbai_1992-11-24_IDesireTree.mp3</v>
      </c>
      <c r="D4397" s="11"/>
      <c r="E4397" s="11"/>
    </row>
    <row r="4398" spans="1:5">
      <c r="A4398" s="12" t="s">
        <v>12463</v>
      </c>
      <c r="B4398" s="12" t="s">
        <v>16951</v>
      </c>
      <c r="C4398" s="13" t="str">
        <f>HYPERLINK("https://audio.iskcondesiretree.com/02_-_ISKCON_Swamis/ISKCON_Swamis_-_R_to_Y/His_Holiness_Radhanath_Swami/Lectures/01_-_Theme_wise/Sense_Control/1993-049_Between_Senses_And_Soul_BG-13_29_-_Radhanath_Swami_Mumbai_1993-04-11_IDesireTree.mp3", "1993-049_Between_Senses_And_Soul_BG-13_29_-_Radhanath_Swami_Mumbai_1993-04-11_IDesireTree.mp3")</f>
        <v>1993-049_Between_Senses_And_Soul_BG-13_29_-_Radhanath_Swami_Mumbai_1993-04-11_IDesireTree.mp3</v>
      </c>
      <c r="D4398" s="11"/>
      <c r="E4398" s="11"/>
    </row>
    <row r="4399" spans="1:5">
      <c r="A4399" s="12" t="s">
        <v>12463</v>
      </c>
      <c r="B4399" s="12" t="s">
        <v>16952</v>
      </c>
      <c r="C4399" s="13" t="str">
        <f>HYPERLINK("https://audio.iskcondesiretree.com/02_-_ISKCON_Swamis/ISKCON_Swamis_-_R_to_Y/His_Holiness_Radhanath_Swami/Lectures/01_-_Theme_wise/Sense_Control/1993-147_Controlling_Senses_Through_Service_SB-10_46_30-31_-_Radhanath_Swami_Mumbai_1993-10-11_IDesireTree.mp3", "1993-147_Controlling_Senses_Through_Service_SB-10_46_30-31_-_Radhanath_Swami_Mumbai_1993-10-11_IDesireTree.mp3")</f>
        <v>1993-147_Controlling_Senses_Through_Service_SB-10_46_30-31_-_Radhanath_Swami_Mumbai_1993-10-11_IDesireTree.mp3</v>
      </c>
      <c r="D4399" s="11"/>
      <c r="E4399" s="11"/>
    </row>
    <row r="4400" spans="1:5">
      <c r="A4400" s="12" t="s">
        <v>12463</v>
      </c>
      <c r="B4400" s="12" t="e">
        <v>#VALUE!</v>
      </c>
      <c r="C4400" s="13" t="e">
        <f>HYPERLINK("https://audio.iskcondesiretree.com/02_-_ISKCON_Swamis/ISKCON_Swamis_-_R_to_Y/His_Holiness_Radhanath_Swami/Lectures/01_-_Theme_wise/Sense_Control/1997-123_Using_The_Senses_In_Krishna%27s_Service_SB-03_06_18_-_Radhanath_Swami_Mumbai_1997-10-01_IDesireTree.m"&amp;"p3", "1997-123_Using_The_Senses_In_Krishna%27s_Service_SB-03_06_18_-_Radhanath_Swami_Mumbai_1997-10-01_IDesireTree.mp3")</f>
        <v>#VALUE!</v>
      </c>
      <c r="D4400" s="11"/>
      <c r="E4400" s="11"/>
    </row>
    <row r="4401" spans="1:5">
      <c r="A4401" s="12" t="s">
        <v>12463</v>
      </c>
      <c r="B4401" s="12" t="s">
        <v>16953</v>
      </c>
      <c r="C4401" s="13" t="str">
        <f>HYPERLINK("https://audio.iskcondesiretree.com/02_-_ISKCON_Swamis/ISKCON_Swamis_-_R_to_Y/His_Holiness_Radhanath_Swami/Lectures/01_-_Theme_wise/Sense_Control/1998-025_Tapasya-_Purpose_of_Human_Existence_SB-03_09_17_-_Radhanath_Swami_Mumbai_1998-02-04_IDesireTree.mp3", "1998-025_Tapasya-_Purpose_of_Human_Existence_SB-03_09_17_-_Radhanath_Swami_Mumbai_1998-02-04_IDesireTree.mp3")</f>
        <v>1998-025_Tapasya-_Purpose_of_Human_Existence_SB-03_09_17_-_Radhanath_Swami_Mumbai_1998-02-04_IDesireTree.mp3</v>
      </c>
      <c r="D4401" s="11"/>
      <c r="E4401" s="11"/>
    </row>
    <row r="4402" spans="1:5">
      <c r="A4402" s="12" t="s">
        <v>12463</v>
      </c>
      <c r="B4402" s="12" t="s">
        <v>16954</v>
      </c>
      <c r="C4402" s="13" t="str">
        <f>HYPERLINK("https://audio.iskcondesiretree.com/02_-_ISKCON_Swamis/ISKCON_Swamis_-_R_to_Y/His_Holiness_Radhanath_Swami/Lectures/01_-_Theme_wise/Sense_Control/1998-051_Senses_Make_us_Miserable_SB-03_07_-_Radhanath_Swami_Mumbai_1998-03-22_IDesireTree.mp3", "1998-051_Senses_Make_us_Miserable_SB-03_07_-_Radhanath_Swami_Mumbai_1998-03-22_IDesireTree.mp3")</f>
        <v>1998-051_Senses_Make_us_Miserable_SB-03_07_-_Radhanath_Swami_Mumbai_1998-03-22_IDesireTree.mp3</v>
      </c>
      <c r="D4402" s="11"/>
      <c r="E4402" s="11"/>
    </row>
    <row r="4403" spans="1:5">
      <c r="A4403" s="12" t="s">
        <v>12463</v>
      </c>
      <c r="B4403" s="12" t="s">
        <v>16955</v>
      </c>
      <c r="C4403" s="13" t="str">
        <f>HYPERLINK("https://audio.iskcondesiretree.com/02_-_ISKCON_Swamis/ISKCON_Swamis_-_R_to_Y/His_Holiness_Radhanath_Swami/Lectures/01_-_Theme_wise/Sense_Gratification/1991-103_Attachment_For_Sense_Enjoyment_SB-10_01_35_-_Radhanath_Swami_Mumbai_1991-10-28_IDesireTree.mp3", "1991-103_Attachment_For_Sense_Enjoyment_SB-10_01_35_-_Radhanath_Swami_Mumbai_1991-10-28_IDesireTree.mp3")</f>
        <v>1991-103_Attachment_For_Sense_Enjoyment_SB-10_01_35_-_Radhanath_Swami_Mumbai_1991-10-28_IDesireTree.mp3</v>
      </c>
      <c r="D4403" s="11"/>
      <c r="E4403" s="11"/>
    </row>
    <row r="4404" spans="1:5">
      <c r="A4404" s="12" t="s">
        <v>12463</v>
      </c>
      <c r="B4404" s="12" t="s">
        <v>16956</v>
      </c>
      <c r="C4404" s="13" t="str">
        <f>HYPERLINK("https://audio.iskcondesiretree.com/02_-_ISKCON_Swamis/ISKCON_Swamis_-_R_to_Y/His_Holiness_Radhanath_Swami/Lectures/01_-_Theme_wise/Separation/1990-081_Seperation_BG-02_66_-_Radhanath_Swami_Mumbai_1990-09-17_IDesireTree.mp3", "1990-081_Seperation_BG-02_66_-_Radhanath_Swami_Mumbai_1990-09-17_IDesireTree.mp3")</f>
        <v>1990-081_Seperation_BG-02_66_-_Radhanath_Swami_Mumbai_1990-09-17_IDesireTree.mp3</v>
      </c>
      <c r="D4404" s="11"/>
      <c r="E4404" s="11"/>
    </row>
    <row r="4405" spans="1:5">
      <c r="A4405" s="12" t="s">
        <v>12463</v>
      </c>
      <c r="B4405" s="12" t="s">
        <v>16957</v>
      </c>
      <c r="C4405" s="13" t="str">
        <f>HYPERLINK("https://audio.iskcondesiretree.com/02_-_ISKCON_Swamis/ISKCON_Swamis_-_R_to_Y/His_Holiness_Radhanath_Swami/Lectures/01_-_Theme_wise/Service_Attitude/1989-047_Servant_Of_Krishna_BG-02_44_-_Radhanath_Swami_Mumbai_1989-09-24_IDesireTree.mp3", "1989-047_Servant_Of_Krishna_BG-02_44_-_Radhanath_Swami_Mumbai_1989-09-24_IDesireTree.mp3")</f>
        <v>1989-047_Servant_Of_Krishna_BG-02_44_-_Radhanath_Swami_Mumbai_1989-09-24_IDesireTree.mp3</v>
      </c>
      <c r="D4405" s="11"/>
      <c r="E4405" s="11"/>
    </row>
    <row r="4406" spans="1:5">
      <c r="A4406" s="12" t="s">
        <v>12463</v>
      </c>
      <c r="B4406" s="12" t="s">
        <v>16958</v>
      </c>
      <c r="C4406" s="13" t="str">
        <f>HYPERLINK("https://audio.iskcondesiretree.com/02_-_ISKCON_Swamis/ISKCON_Swamis_-_R_to_Y/His_Holiness_Radhanath_Swami/Lectures/01_-_Theme_wise/Service_Attitude/1989-089_No_Realization_Without_Service_BG-09_14_-_Radhanath_Swami_Mumbai_1989-12-30_IDesireTree.mp3", "1989-089_No_Realization_Without_Service_BG-09_14_-_Radhanath_Swami_Mumbai_1989-12-30_IDesireTree.mp3")</f>
        <v>1989-089_No_Realization_Without_Service_BG-09_14_-_Radhanath_Swami_Mumbai_1989-12-30_IDesireTree.mp3</v>
      </c>
      <c r="D4406" s="11"/>
      <c r="E4406" s="11"/>
    </row>
    <row r="4407" spans="1:5">
      <c r="A4407" s="12" t="s">
        <v>12463</v>
      </c>
      <c r="B4407" s="12" t="s">
        <v>16959</v>
      </c>
      <c r="C4407" s="13" t="str">
        <f>HYPERLINK("https://audio.iskcondesiretree.com/02_-_ISKCON_Swamis/ISKCON_Swamis_-_R_to_Y/His_Holiness_Radhanath_Swami/Lectures/01_-_Theme_wise/Service_Attitude/1990-001_Servant_Of_Servant_Lecture_-_Radhanath_Swami_Mumbai_1990-01-02_IDesireTree.mp3", "1990-001_Servant_Of_Servant_Lecture_-_Radhanath_Swami_Mumbai_1990-01-02_IDesireTree.mp3")</f>
        <v>1990-001_Servant_Of_Servant_Lecture_-_Radhanath_Swami_Mumbai_1990-01-02_IDesireTree.mp3</v>
      </c>
      <c r="D4407" s="11"/>
      <c r="E4407" s="11"/>
    </row>
    <row r="4408" spans="1:5">
      <c r="A4408" s="12" t="s">
        <v>12463</v>
      </c>
      <c r="B4408" s="12" t="s">
        <v>16960</v>
      </c>
      <c r="C4408" s="13" t="str">
        <f>HYPERLINK("https://audio.iskcondesiretree.com/02_-_ISKCON_Swamis/ISKCON_Swamis_-_R_to_Y/His_Holiness_Radhanath_Swami/Lectures/01_-_Theme_wise/Service_Attitude/1990-005_A_Leaf_a_Flower_A_fruit_-_Radhanath_Swami_IDesireTree.mp3", "1990-005_A_Leaf_a_Flower_A_fruit_-_Radhanath_Swami_IDesireTree.mp3")</f>
        <v>1990-005_A_Leaf_a_Flower_A_fruit_-_Radhanath_Swami_IDesireTree.mp3</v>
      </c>
      <c r="D4408" s="11"/>
      <c r="E4408" s="11"/>
    </row>
    <row r="4409" spans="1:5">
      <c r="A4409" s="12" t="s">
        <v>12463</v>
      </c>
      <c r="B4409" s="12" t="s">
        <v>13085</v>
      </c>
      <c r="C4409" s="13" t="str">
        <f>HYPERLINK("https://audio.iskcondesiretree.com/02_-_ISKCON_Swamis/ISKCON_Swamis_-_R_to_Y/His_Holiness_Radhanath_Swami/Lectures/01_-_Theme_wise/Service_Attitude/1990-012_Greatest_Things_Is_To_Become_Servant_BG-06_47_-_Radhanath_Swami_1990-01-28_IDesireTree.mp3", "1990-012_Greatest_Things_Is_To_Become_Servant_BG-06_47_-_Radhanath_Swami_1990-01-28_IDesireTree.mp3")</f>
        <v>1990-012_Greatest_Things_Is_To_Become_Servant_BG-06_47_-_Radhanath_Swami_1990-01-28_IDesireTree.mp3</v>
      </c>
      <c r="D4409" s="11"/>
      <c r="E4409" s="11"/>
    </row>
    <row r="4410" spans="1:5">
      <c r="A4410" s="12" t="s">
        <v>12463</v>
      </c>
      <c r="B4410" s="12" t="s">
        <v>16961</v>
      </c>
      <c r="C4410" s="13" t="str">
        <f>HYPERLINK("https://audio.iskcondesiretree.com/02_-_ISKCON_Swamis/ISKCON_Swamis_-_R_to_Y/His_Holiness_Radhanath_Swami/Lectures/01_-_Theme_wise/Service_Attitude/1990-079_Comitting_To_This_Great_Mission_SB-08_07_24_-_Radhanath_Swami_Mumbai_1990-09-05_IDesireTree.mp3", "1990-079_Comitting_To_This_Great_Mission_SB-08_07_24_-_Radhanath_Swami_Mumbai_1990-09-05_IDesireTree.mp3")</f>
        <v>1990-079_Comitting_To_This_Great_Mission_SB-08_07_24_-_Radhanath_Swami_Mumbai_1990-09-05_IDesireTree.mp3</v>
      </c>
      <c r="D4410" s="11"/>
      <c r="E4410" s="11"/>
    </row>
    <row r="4411" spans="1:5">
      <c r="A4411" s="12" t="s">
        <v>12463</v>
      </c>
      <c r="B4411" s="12" t="s">
        <v>16962</v>
      </c>
      <c r="C4411" s="13" t="str">
        <f>HYPERLINK("https://audio.iskcondesiretree.com/02_-_ISKCON_Swamis/ISKCON_Swamis_-_R_to_Y/His_Holiness_Radhanath_Swami/Lectures/01_-_Theme_wise/Service_Attitude/1990-096_Aspiring_For_Nothing_But_Service_BG-10_01_-_Radhanath_Swami_Mumbai_1990-10-21_IDesireTree.mp3", "1990-096_Aspiring_For_Nothing_But_Service_BG-10_01_-_Radhanath_Swami_Mumbai_1990-10-21_IDesireTree.mp3")</f>
        <v>1990-096_Aspiring_For_Nothing_But_Service_BG-10_01_-_Radhanath_Swami_Mumbai_1990-10-21_IDesireTree.mp3</v>
      </c>
      <c r="D4411" s="11"/>
      <c r="E4411" s="11"/>
    </row>
    <row r="4412" spans="1:5">
      <c r="A4412" s="12" t="s">
        <v>12463</v>
      </c>
      <c r="B4412" s="12" t="s">
        <v>16963</v>
      </c>
      <c r="C4412" s="13" t="str">
        <f>HYPERLINK("https://audio.iskcondesiretree.com/02_-_ISKCON_Swamis/ISKCON_Swamis_-_R_to_Y/His_Holiness_Radhanath_Swami/Lectures/01_-_Theme_wise/Service_Attitude/1991-011_Being_A_Humble_Servant_SB-09_04_24_-_Radhanath_Swami_Mumbai_1991-02-01_IDesireTree.mp3", "1991-011_Being_A_Humble_Servant_SB-09_04_24_-_Radhanath_Swami_Mumbai_1991-02-01_IDesireTree.mp3")</f>
        <v>1991-011_Being_A_Humble_Servant_SB-09_04_24_-_Radhanath_Swami_Mumbai_1991-02-01_IDesireTree.mp3</v>
      </c>
      <c r="D4412" s="11"/>
      <c r="E4412" s="11"/>
    </row>
    <row r="4413" spans="1:5">
      <c r="A4413" s="12" t="s">
        <v>12463</v>
      </c>
      <c r="B4413" s="12" t="s">
        <v>16964</v>
      </c>
      <c r="C4413" s="13" t="str">
        <f>HYPERLINK("https://audio.iskcondesiretree.com/02_-_ISKCON_Swamis/ISKCON_Swamis_-_R_to_Y/His_Holiness_Radhanath_Swami/Lectures/01_-_Theme_wise/Service_Attitude/1992-027_No_Expectation_In_Service_SB-10_05_01-02_-_Radhanath_Swami_Mumbai_1992-02-14_IDesireTree.mp3", "1992-027_No_Expectation_In_Service_SB-10_05_01-02_-_Radhanath_Swami_Mumbai_1992-02-14_IDesireTree.mp3")</f>
        <v>1992-027_No_Expectation_In_Service_SB-10_05_01-02_-_Radhanath_Swami_Mumbai_1992-02-14_IDesireTree.mp3</v>
      </c>
      <c r="D4413" s="11"/>
      <c r="E4413" s="11"/>
    </row>
    <row r="4414" spans="1:5">
      <c r="A4414" s="12" t="s">
        <v>12463</v>
      </c>
      <c r="B4414" s="12" t="s">
        <v>16965</v>
      </c>
      <c r="C4414" s="13" t="str">
        <f>HYPERLINK("https://audio.iskcondesiretree.com/02_-_ISKCON_Swamis/ISKCON_Swamis_-_R_to_Y/His_Holiness_Radhanath_Swami/Lectures/01_-_Theme_wise/Service_Attitude/1992-044_Becoming_Servant_Of_Servant_SB-01_02_16_-_Radhanath_Swami_Mumbai1992-03-15_IDesireTree.mp3", "1992-044_Becoming_Servant_Of_Servant_SB-01_02_16_-_Radhanath_Swami_Mumbai1992-03-15_IDesireTree.mp3")</f>
        <v>1992-044_Becoming_Servant_Of_Servant_SB-01_02_16_-_Radhanath_Swami_Mumbai1992-03-15_IDesireTree.mp3</v>
      </c>
      <c r="D4414" s="11"/>
      <c r="E4414" s="11"/>
    </row>
    <row r="4415" spans="1:5">
      <c r="A4415" s="12" t="s">
        <v>12463</v>
      </c>
      <c r="B4415" s="12" t="s">
        <v>16966</v>
      </c>
      <c r="C4415" s="13" t="str">
        <f>HYPERLINK("https://audio.iskcondesiretree.com/02_-_ISKCON_Swamis/ISKCON_Swamis_-_R_to_Y/His_Holiness_Radhanath_Swami/Lectures/01_-_Theme_wise/Service_Attitude/1992-080_Importance_Of_Serving_Devotees_Lecture_-_Radhanath_Swami_Mumbai_1992-08-30_IDesireTree.mp3", "1992-080_Importance_Of_Serving_Devotees_Lecture_-_Radhanath_Swami_Mumbai_1992-08-30_IDesireTree.mp3")</f>
        <v>1992-080_Importance_Of_Serving_Devotees_Lecture_-_Radhanath_Swami_Mumbai_1992-08-30_IDesireTree.mp3</v>
      </c>
      <c r="D4415" s="11"/>
      <c r="E4415" s="11"/>
    </row>
    <row r="4416" spans="1:5">
      <c r="A4416" s="12" t="s">
        <v>12463</v>
      </c>
      <c r="B4416" s="12" t="s">
        <v>16967</v>
      </c>
      <c r="C4416" s="13" t="str">
        <f>HYPERLINK("https://audio.iskcondesiretree.com/02_-_ISKCON_Swamis/ISKCON_Swamis_-_R_to_Y/His_Holiness_Radhanath_Swami/Lectures/01_-_Theme_wise/Service_Attitude/1992-115_Humble_Servant_Attitude_SB-10_14_56_-_Radhanath_Swami_Mumbai_1992-09-04_IDesireTree.mp3", "1992-115_Humble_Servant_Attitude_SB-10_14_56_-_Radhanath_Swami_Mumbai_1992-09-04_IDesireTree.mp3")</f>
        <v>1992-115_Humble_Servant_Attitude_SB-10_14_56_-_Radhanath_Swami_Mumbai_1992-09-04_IDesireTree.mp3</v>
      </c>
      <c r="D4416" s="11"/>
      <c r="E4416" s="11"/>
    </row>
    <row r="4417" spans="1:5">
      <c r="A4417" s="12" t="s">
        <v>12463</v>
      </c>
      <c r="B4417" s="12" t="s">
        <v>16968</v>
      </c>
      <c r="C4417" s="13" t="str">
        <f>HYPERLINK("https://audio.iskcondesiretree.com/02_-_ISKCON_Swamis/ISKCON_Swamis_-_R_to_Y/His_Holiness_Radhanath_Swami/Lectures/01_-_Theme_wise/Service_Attitude/1993-022_Humble_Service_Attitude_SB-03_15_33_-_Radhanath_Swami_Vrindavan_1993-03-19_IDesireTree.mp3", "1993-022_Humble_Service_Attitude_SB-03_15_33_-_Radhanath_Swami_Vrindavan_1993-03-19_IDesireTree.mp3")</f>
        <v>1993-022_Humble_Service_Attitude_SB-03_15_33_-_Radhanath_Swami_Vrindavan_1993-03-19_IDesireTree.mp3</v>
      </c>
      <c r="D4417" s="11"/>
      <c r="E4417" s="11"/>
    </row>
    <row r="4418" spans="1:5">
      <c r="A4418" s="12" t="s">
        <v>12463</v>
      </c>
      <c r="B4418" s="12" t="s">
        <v>16969</v>
      </c>
      <c r="C4418" s="13" t="str">
        <f>HYPERLINK("https://audio.iskcondesiretree.com/02_-_ISKCON_Swamis/ISKCON_Swamis_-_R_to_Y/His_Holiness_Radhanath_Swami/Lectures/01_-_Theme_wise/Service_Attitude/1994-020_Even_Krishna_Aspires_To_Be_Servant_Lecture_-_Radhanath_Swami_Mumbai_1994-01-30_IDesireTree.mp3", "1994-020_Even_Krishna_Aspires_To_Be_Servant_Lecture_-_Radhanath_Swami_Mumbai_1994-01-30_IDesireTree.mp3")</f>
        <v>1994-020_Even_Krishna_Aspires_To_Be_Servant_Lecture_-_Radhanath_Swami_Mumbai_1994-01-30_IDesireTree.mp3</v>
      </c>
      <c r="D4418" s="11"/>
      <c r="E4418" s="11"/>
    </row>
    <row r="4419" spans="1:5">
      <c r="A4419" s="12" t="s">
        <v>12463</v>
      </c>
      <c r="B4419" s="12" t="s">
        <v>16970</v>
      </c>
      <c r="C4419" s="13" t="str">
        <f>HYPERLINK("https://audio.iskcondesiretree.com/02_-_ISKCON_Swamis/ISKCON_Swamis_-_R_to_Y/His_Holiness_Radhanath_Swami/Lectures/01_-_Theme_wise/Service_Attitude/1994-210_Serve_Without_Expectation_BG-02_49_-_Radhanath_Swami_Mumbai_1994-12-20_IDesireTree.mp3", "1994-210_Serve_Without_Expectation_BG-02_49_-_Radhanath_Swami_Mumbai_1994-12-20_IDesireTree.mp3")</f>
        <v>1994-210_Serve_Without_Expectation_BG-02_49_-_Radhanath_Swami_Mumbai_1994-12-20_IDesireTree.mp3</v>
      </c>
      <c r="D4419" s="11"/>
      <c r="E4419" s="11"/>
    </row>
    <row r="4420" spans="1:5">
      <c r="A4420" s="12" t="s">
        <v>12463</v>
      </c>
      <c r="B4420" s="12" t="s">
        <v>16971</v>
      </c>
      <c r="C4420" s="13" t="str">
        <f>HYPERLINK("https://audio.iskcondesiretree.com/02_-_ISKCON_Swamis/ISKCON_Swamis_-_R_to_Y/His_Holiness_Radhanath_Swami/Lectures/01_-_Theme_wise/Service_Attitude/1995-039_Servant_Of_Servant_SB-09_04_63_-_Radhanath_Swami_Pune_2001-01-29_IDesireTree.mp3", "1995-039_Servant_Of_Servant_SB-09_04_63_-_Radhanath_Swami_Pune_2001-01-29_IDesireTree.mp3")</f>
        <v>1995-039_Servant_Of_Servant_SB-09_04_63_-_Radhanath_Swami_Pune_2001-01-29_IDesireTree.mp3</v>
      </c>
      <c r="D4420" s="11"/>
      <c r="E4420" s="11"/>
    </row>
    <row r="4421" spans="1:5">
      <c r="A4421" s="12" t="s">
        <v>12463</v>
      </c>
      <c r="B4421" s="12" t="s">
        <v>16972</v>
      </c>
      <c r="C4421" s="13" t="str">
        <f>HYPERLINK("https://audio.iskcondesiretree.com/02_-_ISKCON_Swamis/ISKCON_Swamis_-_R_to_Y/His_Holiness_Radhanath_Swami/Lectures/01_-_Theme_wise/Service_Attitude/1995-108_Aspiring_For_Service_BG-02-52_-_Radhanath_Swami_Mumbai_1995-09-24_IDesireTree.mp3", "1995-108_Aspiring_For_Service_BG-02-52_-_Radhanath_Swami_Mumbai_1995-09-24_IDesireTree.mp3")</f>
        <v>1995-108_Aspiring_For_Service_BG-02-52_-_Radhanath_Swami_Mumbai_1995-09-24_IDesireTree.mp3</v>
      </c>
      <c r="D4421" s="11"/>
      <c r="E4421" s="11"/>
    </row>
    <row r="4422" spans="1:5">
      <c r="A4422" s="12" t="s">
        <v>12463</v>
      </c>
      <c r="B4422" s="12" t="s">
        <v>16798</v>
      </c>
      <c r="C4422" s="13" t="str">
        <f>HYPERLINK("https://audio.iskcondesiretree.com/02_-_ISKCON_Swamis/ISKCON_Swamis_-_R_to_Y/His_Holiness_Radhanath_Swami/Lectures/01_-_Theme_wise/Service_Attitude/1997-021_Never_Expect_Any_Glory_Lecture_-_Radhanath_Swami_Mumbai_1997-01-23_IDesireTree.mp3", "1997-021_Never_Expect_Any_Glory_Lecture_-_Radhanath_Swami_Mumbai_1997-01-23_IDesireTree.mp3")</f>
        <v>1997-021_Never_Expect_Any_Glory_Lecture_-_Radhanath_Swami_Mumbai_1997-01-23_IDesireTree.mp3</v>
      </c>
      <c r="D4422" s="11"/>
      <c r="E4422" s="11"/>
    </row>
    <row r="4423" spans="1:5">
      <c r="A4423" s="12" t="s">
        <v>12463</v>
      </c>
      <c r="B4423" s="12" t="s">
        <v>16973</v>
      </c>
      <c r="C4423" s="13" t="str">
        <f>HYPERLINK("https://audio.iskcondesiretree.com/02_-_ISKCON_Swamis/ISKCON_Swamis_-_R_to_Y/His_Holiness_Radhanath_Swami/Lectures/01_-_Theme_wise/Service_Attitude/1997-032_What_Is_Service_SB-02_07_42_-_Radhanath_Swami_Mumbai_1997-02-08_IDesireTree.mp3", "1997-032_What_Is_Service_SB-02_07_42_-_Radhanath_Swami_Mumbai_1997-02-08_IDesireTree.mp3")</f>
        <v>1997-032_What_Is_Service_SB-02_07_42_-_Radhanath_Swami_Mumbai_1997-02-08_IDesireTree.mp3</v>
      </c>
      <c r="D4423" s="11"/>
      <c r="E4423" s="11"/>
    </row>
    <row r="4424" spans="1:5">
      <c r="A4424" s="12" t="s">
        <v>12463</v>
      </c>
      <c r="B4424" s="12" t="s">
        <v>16974</v>
      </c>
      <c r="C4424" s="13" t="str">
        <f>HYPERLINK("https://audio.iskcondesiretree.com/02_-_ISKCON_Swamis/ISKCON_Swamis_-_R_to_Y/His_Holiness_Radhanath_Swami/Lectures/01_-_Theme_wise/Service_Attitude/1997-043_Acharyas_Emphasise_Service_SB-02_07_50_-_Radhanath_Swami_Mumbai_1997-02-16_IDesireTree.mp3", "1997-043_Acharyas_Emphasise_Service_SB-02_07_50_-_Radhanath_Swami_Mumbai_1997-02-16_IDesireTree.mp3")</f>
        <v>1997-043_Acharyas_Emphasise_Service_SB-02_07_50_-_Radhanath_Swami_Mumbai_1997-02-16_IDesireTree.mp3</v>
      </c>
      <c r="D4424" s="11"/>
      <c r="E4424" s="11"/>
    </row>
    <row r="4425" spans="1:5">
      <c r="A4425" s="12" t="s">
        <v>12463</v>
      </c>
      <c r="B4425" s="12" t="s">
        <v>16975</v>
      </c>
      <c r="C4425" s="13" t="str">
        <f>HYPERLINK("https://audio.iskcondesiretree.com/02_-_ISKCON_Swamis/ISKCON_Swamis_-_R_to_Y/His_Holiness_Radhanath_Swami/Lectures/01_-_Theme_wise/Service_Attitude/1997-140_Becoming_Servant_of_the_Servant_SB-03_04_18_-_Radhanath_Swami_Mumbai_1997-11-18_IDesireTree.mp3", "1997-140_Becoming_Servant_of_the_Servant_SB-03_04_18_-_Radhanath_Swami_Mumbai_1997-11-18_IDesireTree.mp3")</f>
        <v>1997-140_Becoming_Servant_of_the_Servant_SB-03_04_18_-_Radhanath_Swami_Mumbai_1997-11-18_IDesireTree.mp3</v>
      </c>
      <c r="D4425" s="11"/>
      <c r="E4425" s="11"/>
    </row>
    <row r="4426" spans="1:5">
      <c r="A4426" s="12" t="s">
        <v>12463</v>
      </c>
      <c r="B4426" s="12" t="s">
        <v>16976</v>
      </c>
      <c r="C4426" s="13" t="str">
        <f>HYPERLINK("https://audio.iskcondesiretree.com/02_-_ISKCON_Swamis/ISKCON_Swamis_-_R_to_Y/His_Holiness_Radhanath_Swami/Lectures/01_-_Theme_wise/Service_Attitude/1998-038_Put_Your_Heart_in_Doing_Service_BG-09_13_-_Radhanath_Swami_Mumbai_1998-02-15_IDesireTree.mp3", "1998-038_Put_Your_Heart_in_Doing_Service_BG-09_13_-_Radhanath_Swami_Mumbai_1998-02-15_IDesireTree.mp3")</f>
        <v>1998-038_Put_Your_Heart_in_Doing_Service_BG-09_13_-_Radhanath_Swami_Mumbai_1998-02-15_IDesireTree.mp3</v>
      </c>
      <c r="D4426" s="11"/>
      <c r="E4426" s="11"/>
    </row>
    <row r="4427" spans="1:5">
      <c r="A4427" s="12" t="s">
        <v>12463</v>
      </c>
      <c r="B4427" s="12" t="s">
        <v>16977</v>
      </c>
      <c r="C4427" s="13" t="str">
        <f>HYPERLINK("https://audio.iskcondesiretree.com/02_-_ISKCON_Swamis/ISKCON_Swamis_-_R_to_Y/His_Holiness_Radhanath_Swami/Lectures/01_-_Theme_wise/Service_Attitude/1998-057_To_Live_Without_Service_is_Impossible_Lecture_-_Radhanath_Swami_Mumbai_1998-04-03_IDesireTree.mp3", "1998-057_To_Live_Without_Service_is_Impossible_Lecture_-_Radhanath_Swami_Mumbai_1998-04-03_IDesireTree.mp3")</f>
        <v>1998-057_To_Live_Without_Service_is_Impossible_Lecture_-_Radhanath_Swami_Mumbai_1998-04-03_IDesireTree.mp3</v>
      </c>
      <c r="D4427" s="11"/>
      <c r="E4427" s="11"/>
    </row>
    <row r="4428" spans="1:5">
      <c r="A4428" s="12" t="s">
        <v>12463</v>
      </c>
      <c r="B4428" s="12" t="s">
        <v>16978</v>
      </c>
      <c r="C4428" s="13" t="str">
        <f>HYPERLINK("https://audio.iskcondesiretree.com/02_-_ISKCON_Swamis/ISKCON_Swamis_-_R_to_Y/His_Holiness_Radhanath_Swami/Lectures/01_-_Theme_wise/Service_Attitude/1998-062_Sincere_Desire_to_Serve_-_Please_Krishna__-_Radhanath_Swami_1998-05-05_IDesireTree.mp3", "1998-062_Sincere_Desire_to_Serve_-_Please_Krishna__-_Radhanath_Swami_1998-05-05_IDesireTree.mp3")</f>
        <v>1998-062_Sincere_Desire_to_Serve_-_Please_Krishna__-_Radhanath_Swami_1998-05-05_IDesireTree.mp3</v>
      </c>
      <c r="D4428" s="11"/>
      <c r="E4428" s="11"/>
    </row>
    <row r="4429" spans="1:5">
      <c r="A4429" s="12" t="s">
        <v>12463</v>
      </c>
      <c r="B4429" s="12" t="e">
        <v>#VALUE!</v>
      </c>
      <c r="C4429" s="13" t="e">
        <f>HYPERLINK("https://audio.iskcondesiretree.com/02_-_ISKCON_Swamis/ISKCON_Swamis_-_R_to_Y/His_Holiness_Radhanath_Swami/Lectures/01_-_Theme_wise/Service_Attitude/1998-110_Serving_the_Lord_with_Love_%26_Devotion_BG-08_15_-_Radhanath_Swami_Mumbai_1998-12-04_IDesireTree.m"&amp;"p3", "1998-110_Serving_the_Lord_with_Love_%26_Devotion_BG-08_15_-_Radhanath_Swami_Mumbai_1998-12-04_IDesireTree.mp3")</f>
        <v>#VALUE!</v>
      </c>
      <c r="D4429" s="11"/>
      <c r="E4429" s="11"/>
    </row>
    <row r="4430" spans="1:5">
      <c r="A4430" s="12" t="s">
        <v>12463</v>
      </c>
      <c r="B4430" s="12" t="s">
        <v>16979</v>
      </c>
      <c r="C4430" s="13" t="str">
        <f>HYPERLINK("https://audio.iskcondesiretree.com/02_-_ISKCON_Swamis/ISKCON_Swamis_-_R_to_Y/His_Holiness_Radhanath_Swami/Lectures/01_-_Theme_wise/Service_Attitude/2002-006_Nature_of_spiritual_Anxiety_SB_04_09_22_-_Radhanath_Swami_Mumbai_2002-01-06_IDesireTree.mp3", "2002-006_Nature_of_spiritual_Anxiety_SB_04_09_22_-_Radhanath_Swami_Mumbai_2002-01-06_IDesireTree.mp3")</f>
        <v>2002-006_Nature_of_spiritual_Anxiety_SB_04_09_22_-_Radhanath_Swami_Mumbai_2002-01-06_IDesireTree.mp3</v>
      </c>
      <c r="D4430" s="11"/>
      <c r="E4430" s="11"/>
    </row>
    <row r="4431" spans="1:5">
      <c r="A4431" s="12" t="s">
        <v>12463</v>
      </c>
      <c r="B4431" s="12" t="s">
        <v>16980</v>
      </c>
      <c r="C4431" s="13" t="str">
        <f>HYPERLINK("https://audio.iskcondesiretree.com/02_-_ISKCON_Swamis/ISKCON_Swamis_-_R_to_Y/His_Holiness_Radhanath_Swami/Lectures/01_-_Theme_wise/Simplicity/1992-048_Making_Life_Simple_BG-08_15_-_Radhanath_Swami_Mumbai_1992-03-28_IDesireTree.mp3", "1992-048_Making_Life_Simple_BG-08_15_-_Radhanath_Swami_Mumbai_1992-03-28_IDesireTree.mp3")</f>
        <v>1992-048_Making_Life_Simple_BG-08_15_-_Radhanath_Swami_Mumbai_1992-03-28_IDesireTree.mp3</v>
      </c>
      <c r="D4431" s="11"/>
      <c r="E4431" s="11"/>
    </row>
    <row r="4432" spans="1:5">
      <c r="A4432" s="12" t="s">
        <v>12463</v>
      </c>
      <c r="B4432" s="12" t="s">
        <v>16981</v>
      </c>
      <c r="C4432" s="13" t="str">
        <f>HYPERLINK("https://audio.iskcondesiretree.com/02_-_ISKCON_Swamis/ISKCON_Swamis_-_R_to_Y/His_Holiness_Radhanath_Swami/Lectures/01_-_Theme_wise/Simplicity/1998-100_Becoming_Expert_With_Simplicity_SB-10_04_05_-_Radhanath_Swami_Mumbai_1998-11-05_IDesireTree.mp3", "1998-100_Becoming_Expert_With_Simplicity_SB-10_04_05_-_Radhanath_Swami_Mumbai_1998-11-05_IDesireTree.mp3")</f>
        <v>1998-100_Becoming_Expert_With_Simplicity_SB-10_04_05_-_Radhanath_Swami_Mumbai_1998-11-05_IDesireTree.mp3</v>
      </c>
      <c r="D4432" s="11"/>
      <c r="E4432" s="11"/>
    </row>
    <row r="4433" spans="1:5">
      <c r="A4433" s="12" t="s">
        <v>12463</v>
      </c>
      <c r="B4433" s="12" t="s">
        <v>16982</v>
      </c>
      <c r="C4433" s="13" t="str">
        <f>HYPERLINK("https://audio.iskcondesiretree.com/02_-_ISKCON_Swamis/ISKCON_Swamis_-_R_to_Y/His_Holiness_Radhanath_Swami/Lectures/01_-_Theme_wise/Sincerity/1997-087_Becoming_Sincere_SB_03-01-40_-_Radhanath_Swami_Mumbai_1997-08-23_IDesireTree.mp3", "1997-087_Becoming_Sincere_SB_03-01-40_-_Radhanath_Swami_Mumbai_1997-08-23_IDesireTree.mp3")</f>
        <v>1997-087_Becoming_Sincere_SB_03-01-40_-_Radhanath_Swami_Mumbai_1997-08-23_IDesireTree.mp3</v>
      </c>
      <c r="D4433" s="11"/>
      <c r="E4433" s="11"/>
    </row>
    <row r="4434" spans="1:5">
      <c r="A4434" s="12" t="s">
        <v>12463</v>
      </c>
      <c r="B4434" s="12" t="s">
        <v>16983</v>
      </c>
      <c r="C4434" s="13" t="str">
        <f>HYPERLINK("https://audio.iskcondesiretree.com/02_-_ISKCON_Swamis/ISKCON_Swamis_-_R_to_Y/His_Holiness_Radhanath_Swami/Lectures/01_-_Theme_wise/Smaranam_%28Remembrance%29/1989-012_The_Correct_Anchorage_BG-08_28_-_Radhanath_Swami_Mumbai_1989-07-09_IDesireTree.mp3", "1989-012_The_Correct_Anchorage_BG-08_28_-_Radhanath_Swami_Mumbai_1989-07-09_IDesireTree.mp3")</f>
        <v>1989-012_The_Correct_Anchorage_BG-08_28_-_Radhanath_Swami_Mumbai_1989-07-09_IDesireTree.mp3</v>
      </c>
      <c r="D4434" s="11"/>
      <c r="E4434" s="11"/>
    </row>
    <row r="4435" spans="1:5">
      <c r="A4435" s="12" t="s">
        <v>12463</v>
      </c>
      <c r="B4435" s="12" t="s">
        <v>16984</v>
      </c>
      <c r="C4435" s="13" t="str">
        <f>HYPERLINK("https://audio.iskcondesiretree.com/02_-_ISKCON_Swamis/ISKCON_Swamis_-_R_to_Y/His_Holiness_Radhanath_Swami/Lectures/01_-_Theme_wise/Smaranam_%28Remembrance%29/1994-155_Think_Of_Krishna_BG-07_01_-_Radhanath_Swami_Mumbai_1994-20-09-94_IDesireTree.mp3", "1994-155_Think_Of_Krishna_BG-07_01_-_Radhanath_Swami_Mumbai_1994-20-09-94_IDesireTree.mp3")</f>
        <v>1994-155_Think_Of_Krishna_BG-07_01_-_Radhanath_Swami_Mumbai_1994-20-09-94_IDesireTree.mp3</v>
      </c>
      <c r="D4435" s="11"/>
      <c r="E4435" s="11"/>
    </row>
    <row r="4436" spans="1:5">
      <c r="A4436" s="12" t="s">
        <v>12463</v>
      </c>
      <c r="B4436" s="12" t="s">
        <v>16985</v>
      </c>
      <c r="C4436" s="13" t="str">
        <f>HYPERLINK("https://audio.iskcondesiretree.com/02_-_ISKCON_Swamis/ISKCON_Swamis_-_R_to_Y/His_Holiness_Radhanath_Swami/Lectures/01_-_Theme_wise/Social_Aspects/1989-001_India-_The_Land_Of_Dharma_Lecture_-_Radhanath_Swami_Mumbai_1989-01-13_IDesireTree.mp3", "1989-001_India-_The_Land_Of_Dharma_Lecture_-_Radhanath_Swami_Mumbai_1989-01-13_IDesireTree.mp3")</f>
        <v>1989-001_India-_The_Land_Of_Dharma_Lecture_-_Radhanath_Swami_Mumbai_1989-01-13_IDesireTree.mp3</v>
      </c>
      <c r="D4436" s="11"/>
      <c r="E4436" s="11"/>
    </row>
    <row r="4437" spans="1:5">
      <c r="A4437" s="12" t="s">
        <v>12463</v>
      </c>
      <c r="B4437" s="12" t="s">
        <v>16986</v>
      </c>
      <c r="C4437" s="13" t="str">
        <f>HYPERLINK("https://audio.iskcondesiretree.com/02_-_ISKCON_Swamis/ISKCON_Swamis_-_R_to_Y/His_Holiness_Radhanath_Swami/Lectures/01_-_Theme_wise/Social_Aspects/1989-024_Responsible_Citizens_Lecture_-_Radhanath_Swami_Mumbai_1989-07-31_IDesireTree.mp3", "1989-024_Responsible_Citizens_Lecture_-_Radhanath_Swami_Mumbai_1989-07-31_IDesireTree.mp3")</f>
        <v>1989-024_Responsible_Citizens_Lecture_-_Radhanath_Swami_Mumbai_1989-07-31_IDesireTree.mp3</v>
      </c>
      <c r="D4437" s="11"/>
      <c r="E4437" s="11"/>
    </row>
    <row r="4438" spans="1:5">
      <c r="A4438" s="12" t="s">
        <v>12463</v>
      </c>
      <c r="B4438" s="12" t="s">
        <v>16987</v>
      </c>
      <c r="C4438" s="13" t="str">
        <f>HYPERLINK("https://audio.iskcondesiretree.com/02_-_ISKCON_Swamis/ISKCON_Swamis_-_R_to_Y/His_Holiness_Radhanath_Swami/Lectures/01_-_Theme_wise/Social_Aspects/1991-032_What_Is_Civilisation_BG_04-09_-_Radhanath_Swami_Mumbai_1991-03-09_IDesireTree.mp3", "1991-032_What_Is_Civilisation_BG_04-09_-_Radhanath_Swami_Mumbai_1991-03-09_IDesireTree.mp3")</f>
        <v>1991-032_What_Is_Civilisation_BG_04-09_-_Radhanath_Swami_Mumbai_1991-03-09_IDesireTree.mp3</v>
      </c>
      <c r="D4438" s="11"/>
      <c r="E4438" s="11"/>
    </row>
    <row r="4439" spans="1:5">
      <c r="A4439" s="12" t="s">
        <v>12463</v>
      </c>
      <c r="B4439" s="12" t="s">
        <v>16988</v>
      </c>
      <c r="C4439" s="13" t="str">
        <f>HYPERLINK("https://audio.iskcondesiretree.com/02_-_ISKCON_Swamis/ISKCON_Swamis_-_R_to_Y/His_Holiness_Radhanath_Swami/Lectures/01_-_Theme_wise/Social_Aspects/1991-047_Bandaged_Society_SB_05-12-02_-_Radhanath_Swami_Mumbai_1991-05-12_IDesireTree.mp3", "1991-047_Bandaged_Society_SB_05-12-02_-_Radhanath_Swami_Mumbai_1991-05-12_IDesireTree.mp3")</f>
        <v>1991-047_Bandaged_Society_SB_05-12-02_-_Radhanath_Swami_Mumbai_1991-05-12_IDesireTree.mp3</v>
      </c>
      <c r="D4439" s="11"/>
      <c r="E4439" s="11"/>
    </row>
    <row r="4440" spans="1:5">
      <c r="A4440" s="12" t="s">
        <v>12463</v>
      </c>
      <c r="B4440" s="12" t="s">
        <v>16989</v>
      </c>
      <c r="C4440" s="13" t="str">
        <f>HYPERLINK("https://audio.iskcondesiretree.com/02_-_ISKCON_Swamis/ISKCON_Swamis_-_R_to_Y/His_Holiness_Radhanath_Swami/Lectures/01_-_Theme_wise/Social_Aspects/1991-091_Harmony_With_Mother_Earth_SB-10_01_17_-_Radhanath_Swami_Mumbai_1991-10-18_IDesireTree.mp3", "1991-091_Harmony_With_Mother_Earth_SB-10_01_17_-_Radhanath_Swami_Mumbai_1991-10-18_IDesireTree.mp3")</f>
        <v>1991-091_Harmony_With_Mother_Earth_SB-10_01_17_-_Radhanath_Swami_Mumbai_1991-10-18_IDesireTree.mp3</v>
      </c>
      <c r="D4440" s="11"/>
      <c r="E4440" s="11"/>
    </row>
    <row r="4441" spans="1:5">
      <c r="A4441" s="12" t="s">
        <v>12463</v>
      </c>
      <c r="B4441" s="12" t="s">
        <v>16990</v>
      </c>
      <c r="C4441" s="13" t="str">
        <f>HYPERLINK("https://audio.iskcondesiretree.com/02_-_ISKCON_Swamis/ISKCON_Swamis_-_R_to_Y/His_Holiness_Radhanath_Swami/Lectures/01_-_Theme_wise/Social_Aspects/1991-145_The_Duty_Of_Indians_SB-10-02-19_-_Radhanath_Swami_Mumbai_1991-11-28_IDesireTree.mp3", "1991-145_The_Duty_Of_Indians_SB-10-02-19_-_Radhanath_Swami_Mumbai_1991-11-28_IDesireTree.mp3")</f>
        <v>1991-145_The_Duty_Of_Indians_SB-10-02-19_-_Radhanath_Swami_Mumbai_1991-11-28_IDesireTree.mp3</v>
      </c>
      <c r="D4441" s="11"/>
      <c r="E4441" s="11"/>
    </row>
    <row r="4442" spans="1:5">
      <c r="A4442" s="12" t="s">
        <v>12463</v>
      </c>
      <c r="B4442" s="12" t="s">
        <v>16805</v>
      </c>
      <c r="C4442" s="13" t="str">
        <f>HYPERLINK("https://audio.iskcondesiretree.com/02_-_ISKCON_Swamis/ISKCON_Swamis_-_R_to_Y/His_Holiness_Radhanath_Swami/Lectures/01_-_Theme_wise/Social_Aspects/1992-155_Peace_Formula_BG_05-17_-_Radhanath_Swami_Mumbai_1992-12-26_IDesireTree.mp3", "1992-155_Peace_Formula_BG_05-17_-_Radhanath_Swami_Mumbai_1992-12-26_IDesireTree.mp3")</f>
        <v>1992-155_Peace_Formula_BG_05-17_-_Radhanath_Swami_Mumbai_1992-12-26_IDesireTree.mp3</v>
      </c>
      <c r="D4442" s="11"/>
      <c r="E4442" s="11"/>
    </row>
    <row r="4443" spans="1:5">
      <c r="A4443" s="12" t="s">
        <v>12463</v>
      </c>
      <c r="B4443" s="12" t="s">
        <v>16991</v>
      </c>
      <c r="C4443" s="13" t="str">
        <f>HYPERLINK("https://audio.iskcondesiretree.com/02_-_ISKCON_Swamis/ISKCON_Swamis_-_R_to_Y/His_Holiness_Radhanath_Swami/Lectures/01_-_Theme_wise/Social_Aspects/1992-156_Living_In_Harmony_With_Nature_SB-10-20-1-5_-_Radhanath_Swami_Mumbai_1992-12-27_IDesireTree.mp3", "1992-156_Living_In_Harmony_With_Nature_SB-10-20-1-5_-_Radhanath_Swami_Mumbai_1992-12-27_IDesireTree.mp3")</f>
        <v>1992-156_Living_In_Harmony_With_Nature_SB-10-20-1-5_-_Radhanath_Swami_Mumbai_1992-12-27_IDesireTree.mp3</v>
      </c>
      <c r="D4443" s="11"/>
      <c r="E4443" s="11"/>
    </row>
    <row r="4444" spans="1:5">
      <c r="A4444" s="12" t="s">
        <v>12463</v>
      </c>
      <c r="B4444" s="12" t="s">
        <v>16992</v>
      </c>
      <c r="C4444" s="13" t="str">
        <f>HYPERLINK("https://audio.iskcondesiretree.com/02_-_ISKCON_Swamis/ISKCON_Swamis_-_R_to_Y/His_Holiness_Radhanath_Swami/Lectures/01_-_Theme_wise/Social_Aspects/1993-086_Crazy_Human_Society_SB_01-03-39_-_Radhanath_Swami_Mumbai_1993-09-05-93_IDesireTree.mp3", "1993-086_Crazy_Human_Society_SB_01-03-39_-_Radhanath_Swami_Mumbai_1993-09-05-93_IDesireTree.mp3")</f>
        <v>1993-086_Crazy_Human_Society_SB_01-03-39_-_Radhanath_Swami_Mumbai_1993-09-05-93_IDesireTree.mp3</v>
      </c>
      <c r="D4444" s="11"/>
      <c r="E4444" s="11"/>
    </row>
    <row r="4445" spans="1:5">
      <c r="A4445" s="12" t="s">
        <v>12463</v>
      </c>
      <c r="B4445" s="12" t="s">
        <v>16993</v>
      </c>
      <c r="C4445" s="13" t="str">
        <f>HYPERLINK("https://audio.iskcondesiretree.com/02_-_ISKCON_Swamis/ISKCON_Swamis_-_R_to_Y/His_Holiness_Radhanath_Swami/Lectures/01_-_Theme_wise/Social_Aspects/1994-205_What_Is_Civilization_SB-01-05-16_Mumbai_-_22-10-94_IDesireTree.mp3", "1994-205_What_Is_Civilization_SB-01-05-16_Mumbai_-_22-10-94_IDesireTree.mp3")</f>
        <v>1994-205_What_Is_Civilization_SB-01-05-16_Mumbai_-_22-10-94_IDesireTree.mp3</v>
      </c>
      <c r="D4445" s="11"/>
      <c r="E4445" s="11"/>
    </row>
    <row r="4446" spans="1:5">
      <c r="A4446" s="12" t="s">
        <v>12463</v>
      </c>
      <c r="B4446" s="12" t="s">
        <v>16994</v>
      </c>
      <c r="C4446" s="13" t="str">
        <f>HYPERLINK("https://audio.iskcondesiretree.com/02_-_ISKCON_Swamis/ISKCON_Swamis_-_R_to_Y/His_Holiness_Radhanath_Swami/Lectures/01_-_Theme_wise/Social_Aspects/1996-168_Precarious_Condition_Of_Indians_SB_02-05-15_Mumbai_-_03-11-96_IDesireTree.mp3", "1996-168_Precarious_Condition_Of_Indians_SB_02-05-15_Mumbai_-_03-11-96_IDesireTree.mp3")</f>
        <v>1996-168_Precarious_Condition_Of_Indians_SB_02-05-15_Mumbai_-_03-11-96_IDesireTree.mp3</v>
      </c>
      <c r="D4446" s="11"/>
      <c r="E4446" s="11"/>
    </row>
    <row r="4447" spans="1:5">
      <c r="A4447" s="12" t="s">
        <v>12463</v>
      </c>
      <c r="B4447" s="12" t="s">
        <v>16995</v>
      </c>
      <c r="C4447" s="13" t="str">
        <f>HYPERLINK("https://audio.iskcondesiretree.com/02_-_ISKCON_Swamis/ISKCON_Swamis_-_R_to_Y/His_Holiness_Radhanath_Swami/Lectures/01_-_Theme_wise/Social_Aspects/1997-113_Preparing_For_The_21_Century_Lecture_-_Radhanath_Swami_Mumbai_1997-10-02_IDesireTree.mp3", "1997-113_Preparing_For_The_21_Century_Lecture_-_Radhanath_Swami_Mumbai_1997-10-02_IDesireTree.mp3")</f>
        <v>1997-113_Preparing_For_The_21_Century_Lecture_-_Radhanath_Swami_Mumbai_1997-10-02_IDesireTree.mp3</v>
      </c>
      <c r="D4447" s="11"/>
      <c r="E4447" s="11"/>
    </row>
    <row r="4448" spans="1:5">
      <c r="A4448" s="12" t="s">
        <v>12463</v>
      </c>
      <c r="B4448" s="12" t="s">
        <v>16996</v>
      </c>
      <c r="C4448" s="13" t="str">
        <f>HYPERLINK("https://audio.iskcondesiretree.com/02_-_ISKCON_Swamis/ISKCON_Swamis_-_R_to_Y/His_Holiness_Radhanath_Swami/Lectures/01_-_Theme_wise/Social_Aspects/1998-097_Complexity_of_Modern_Civilization_Lecture_Pune_1998-10-07_IDesireTree.mp3", "1998-097_Complexity_of_Modern_Civilization_Lecture_Pune_1998-10-07_IDesireTree.mp3")</f>
        <v>1998-097_Complexity_of_Modern_Civilization_Lecture_Pune_1998-10-07_IDesireTree.mp3</v>
      </c>
      <c r="D4448" s="11"/>
      <c r="E4448" s="11"/>
    </row>
    <row r="4449" spans="1:5">
      <c r="A4449" s="12" t="s">
        <v>12463</v>
      </c>
      <c r="B4449" s="12" t="s">
        <v>16997</v>
      </c>
      <c r="C4449" s="13" t="str">
        <f>HYPERLINK("https://audio.iskcondesiretree.com/02_-_ISKCON_Swamis/ISKCON_Swamis_-_R_to_Y/His_Holiness_Radhanath_Swami/Lectures/01_-_Theme_wise/Social_Aspects/2000-016_LNHO-A_Real_Example_of_True_Indians_Lecture_-_Radhanath_Swami_Mumbai_2000-01-26_IDesireTree.mp3", "2000-016_LNHO-A_Real_Example_of_True_Indians_Lecture_-_Radhanath_Swami_Mumbai_2000-01-26_IDesireTree.mp3")</f>
        <v>2000-016_LNHO-A_Real_Example_of_True_Indians_Lecture_-_Radhanath_Swami_Mumbai_2000-01-26_IDesireTree.mp3</v>
      </c>
      <c r="D4449" s="11"/>
      <c r="E4449" s="11"/>
    </row>
    <row r="4450" spans="1:5">
      <c r="A4450" s="12" t="s">
        <v>12463</v>
      </c>
      <c r="B4450" s="12" t="s">
        <v>16998</v>
      </c>
      <c r="C4450" s="13" t="str">
        <f>HYPERLINK("https://audio.iskcondesiretree.com/02_-_ISKCON_Swamis/ISKCON_Swamis_-_R_to_Y/His_Holiness_Radhanath_Swami/Lectures/01_-_Theme_wise/Social_Aspects/2002-013_Preaching_History_of_Russia_Lecture_-_Radhanath_Swami_Mumbai_2002-01-13_IDesireTree.mp3", "2002-013_Preaching_History_of_Russia_Lecture_-_Radhanath_Swami_Mumbai_2002-01-13_IDesireTree.mp3")</f>
        <v>2002-013_Preaching_History_of_Russia_Lecture_-_Radhanath_Swami_Mumbai_2002-01-13_IDesireTree.mp3</v>
      </c>
      <c r="D4450" s="11"/>
      <c r="E4450" s="11"/>
    </row>
    <row r="4451" spans="1:5">
      <c r="A4451" s="12" t="s">
        <v>12463</v>
      </c>
      <c r="B4451" s="12" t="s">
        <v>16999</v>
      </c>
      <c r="C4451" s="13" t="str">
        <f>HYPERLINK("https://audio.iskcondesiretree.com/02_-_ISKCON_Swamis/ISKCON_Swamis_-_R_to_Y/His_Holiness_Radhanath_Swami/Lectures/01_-_Theme_wise/Social_Aspects/2003-001_What_Exactly_is_Non_Violence_SB_02-07-37_-_Radhanath_Swami_Mumbai_2003-01-02_IDesireTree.mp3", "2003-001_What_Exactly_is_Non_Violence_SB_02-07-37_-_Radhanath_Swami_Mumbai_2003-01-02_IDesireTree.mp3")</f>
        <v>2003-001_What_Exactly_is_Non_Violence_SB_02-07-37_-_Radhanath_Swami_Mumbai_2003-01-02_IDesireTree.mp3</v>
      </c>
      <c r="D4451" s="11"/>
      <c r="E4451" s="11"/>
    </row>
    <row r="4452" spans="1:5">
      <c r="A4452" s="12" t="s">
        <v>12463</v>
      </c>
      <c r="B4452" s="12" t="s">
        <v>17000</v>
      </c>
      <c r="C4452" s="13" t="str">
        <f>HYPERLINK("https://audio.iskcondesiretree.com/02_-_ISKCON_Swamis/ISKCON_Swamis_-_R_to_Y/His_Holiness_Radhanath_Swami/Lectures/01_-_Theme_wise/Spiritual_Master_and_Disciple/1989-044_Obey_Your_Spiritual_Master_Q%26A_-_Radhanath_Swami_Mumbai_1989-09-22_IDesireTree.mp3", "1989-044_Obey_Your_Spiritual_Master_Q%26A_-_Radhanath_Swami_Mumbai_1989-09-22_IDesireTree.mp3")</f>
        <v>1989-044_Obey_Your_Spiritual_Master_Q%26A_-_Radhanath_Swami_Mumbai_1989-09-22_IDesireTree.mp3</v>
      </c>
      <c r="D4452" s="11"/>
      <c r="E4452" s="11"/>
    </row>
    <row r="4453" spans="1:5">
      <c r="A4453" s="12" t="s">
        <v>12463</v>
      </c>
      <c r="B4453" s="12" t="s">
        <v>17001</v>
      </c>
      <c r="C4453" s="13" t="str">
        <f>HYPERLINK("https://audio.iskcondesiretree.com/02_-_ISKCON_Swamis/ISKCON_Swamis_-_R_to_Y/His_Holiness_Radhanath_Swami/Lectures/01_-_Theme_wise/Spiritual_Master_and_Disciple/1990-063_Beg_For_Guru_Maharaj_SB_08-06-26-28_Mumbai_1990-08-16_IDesireTree.mp3", "1990-063_Beg_For_Guru_Maharaj_SB_08-06-26-28_Mumbai_1990-08-16_IDesireTree.mp3")</f>
        <v>1990-063_Beg_For_Guru_Maharaj_SB_08-06-26-28_Mumbai_1990-08-16_IDesireTree.mp3</v>
      </c>
      <c r="D4453" s="11"/>
      <c r="E4453" s="11"/>
    </row>
    <row r="4454" spans="1:5">
      <c r="A4454" s="12" t="s">
        <v>12463</v>
      </c>
      <c r="B4454" s="12" t="s">
        <v>17002</v>
      </c>
      <c r="C4454" s="13" t="str">
        <f>HYPERLINK("https://audio.iskcondesiretree.com/02_-_ISKCON_Swamis/ISKCON_Swamis_-_R_to_Y/His_Holiness_Radhanath_Swami/Lectures/01_-_Theme_wise/Spiritual_Master_and_Disciple/1991-022_Pleasing_The_Spiritual_Master_BG_01-29_Mumbai_1991-02-24_IDesireTree.mp3", "1991-022_Pleasing_The_Spiritual_Master_BG_01-29_Mumbai_1991-02-24_IDesireTree.mp3")</f>
        <v>1991-022_Pleasing_The_Spiritual_Master_BG_01-29_Mumbai_1991-02-24_IDesireTree.mp3</v>
      </c>
      <c r="D4454" s="11"/>
      <c r="E4454" s="11"/>
    </row>
    <row r="4455" spans="1:5">
      <c r="A4455" s="12" t="s">
        <v>12463</v>
      </c>
      <c r="B4455" s="12" t="s">
        <v>17003</v>
      </c>
      <c r="C4455" s="13" t="str">
        <f>HYPERLINK("https://audio.iskcondesiretree.com/02_-_ISKCON_Swamis/ISKCON_Swamis_-_R_to_Y/His_Holiness_Radhanath_Swami/Lectures/01_-_Theme_wise/Spiritual_Master_and_Disciple/1991-113_Under_One_Master_Lecture_-_Radhanath_Swami_Mumbai_1991-11-01_IDesireTree.mp3", "1991-113_Under_One_Master_Lecture_-_Radhanath_Swami_Mumbai_1991-11-01_IDesireTree.mp3")</f>
        <v>1991-113_Under_One_Master_Lecture_-_Radhanath_Swami_Mumbai_1991-11-01_IDesireTree.mp3</v>
      </c>
      <c r="D4455" s="11"/>
      <c r="E4455" s="11"/>
    </row>
    <row r="4456" spans="1:5">
      <c r="A4456" s="12" t="s">
        <v>12463</v>
      </c>
      <c r="B4456" s="12" t="s">
        <v>17004</v>
      </c>
      <c r="C4456" s="13" t="str">
        <f>HYPERLINK("https://audio.iskcondesiretree.com/02_-_ISKCON_Swamis/ISKCON_Swamis_-_R_to_Y/His_Holiness_Radhanath_Swami/Lectures/01_-_Theme_wise/Spiritual_Master_and_Disciple/1991-114_Oneness_In_Guru_Lecture_-_Radhanath_Swami_Mumbai_1991-11-02_IDesireTree.mp3", "1991-114_Oneness_In_Guru_Lecture_-_Radhanath_Swami_Mumbai_1991-11-02_IDesireTree.mp3")</f>
        <v>1991-114_Oneness_In_Guru_Lecture_-_Radhanath_Swami_Mumbai_1991-11-02_IDesireTree.mp3</v>
      </c>
      <c r="D4456" s="11"/>
      <c r="E4456" s="11"/>
    </row>
    <row r="4457" spans="1:5">
      <c r="A4457" s="12" t="s">
        <v>12463</v>
      </c>
      <c r="B4457" s="12" t="s">
        <v>17005</v>
      </c>
      <c r="C4457" s="13" t="str">
        <f>HYPERLINK("https://audio.iskcondesiretree.com/02_-_ISKCON_Swamis/ISKCON_Swamis_-_R_to_Y/His_Holiness_Radhanath_Swami/Lectures/01_-_Theme_wise/Spiritual_Master_and_Disciple/1991-141_Approaching_The_Guru_Lecture_-_Radhanath_Swami_Mumbai_1991-12-02_IDesireTree.mp3", "1991-141_Approaching_The_Guru_Lecture_-_Radhanath_Swami_Mumbai_1991-12-02_IDesireTree.mp3")</f>
        <v>1991-141_Approaching_The_Guru_Lecture_-_Radhanath_Swami_Mumbai_1991-12-02_IDesireTree.mp3</v>
      </c>
      <c r="D4457" s="11"/>
      <c r="E4457" s="11"/>
    </row>
    <row r="4458" spans="1:5">
      <c r="A4458" s="12" t="s">
        <v>12463</v>
      </c>
      <c r="B4458" s="12" t="s">
        <v>17006</v>
      </c>
      <c r="C4458" s="13" t="str">
        <f>HYPERLINK("https://audio.iskcondesiretree.com/02_-_ISKCON_Swamis/ISKCON_Swamis_-_R_to_Y/His_Holiness_Radhanath_Swami/Lectures/01_-_Theme_wise/Spiritual_Master_and_Disciple/1992-066_Submissive_Approach_To_Guru_BG_02-45_-_Radhanath_Swami_1992-06-09_IDesireTree.mp3", "1992-066_Submissive_Approach_To_Guru_BG_02-45_-_Radhanath_Swami_1992-06-09_IDesireTree.mp3")</f>
        <v>1992-066_Submissive_Approach_To_Guru_BG_02-45_-_Radhanath_Swami_1992-06-09_IDesireTree.mp3</v>
      </c>
      <c r="D4458" s="11"/>
      <c r="E4458" s="11"/>
    </row>
    <row r="4459" spans="1:5">
      <c r="A4459" s="12" t="s">
        <v>12463</v>
      </c>
      <c r="B4459" s="12" t="s">
        <v>17007</v>
      </c>
      <c r="C4459" s="13" t="str">
        <f>HYPERLINK("https://audio.iskcondesiretree.com/02_-_ISKCON_Swamis/ISKCON_Swamis_-_R_to_Y/His_Holiness_Radhanath_Swami/Lectures/01_-_Theme_wise/Spiritual_Master_and_Disciple/1992-086_Spiritual_Chastisement_BG_02-11_-_Radhanath_Swami_Mumbai_1992-08-23_IDesireTree.mp3", "1992-086_Spiritual_Chastisement_BG_02-11_-_Radhanath_Swami_Mumbai_1992-08-23_IDesireTree.mp3")</f>
        <v>1992-086_Spiritual_Chastisement_BG_02-11_-_Radhanath_Swami_Mumbai_1992-08-23_IDesireTree.mp3</v>
      </c>
      <c r="D4459" s="11"/>
      <c r="E4459" s="11"/>
    </row>
    <row r="4460" spans="1:5">
      <c r="A4460" s="12" t="s">
        <v>12463</v>
      </c>
      <c r="B4460" s="12" t="s">
        <v>17008</v>
      </c>
      <c r="C4460" s="13" t="str">
        <f>HYPERLINK("https://audio.iskcondesiretree.com/02_-_ISKCON_Swamis/ISKCON_Swamis_-_R_to_Y/His_Holiness_Radhanath_Swami/Lectures/01_-_Theme_wise/Spiritual_world/1990-095_Spiritual_Life_-_As_It_Is_SB_08-10-01-06_-_Radhanath_Swami_Mumbai_1990-10-20_IDesireTree.mp3", "1990-095_Spiritual_Life_-_As_It_Is_SB_08-10-01-06_-_Radhanath_Swami_Mumbai_1990-10-20_IDesireTree.mp3")</f>
        <v>1990-095_Spiritual_Life_-_As_It_Is_SB_08-10-01-06_-_Radhanath_Swami_Mumbai_1990-10-20_IDesireTree.mp3</v>
      </c>
      <c r="D4460" s="11"/>
      <c r="E4460" s="11"/>
    </row>
    <row r="4461" spans="1:5">
      <c r="A4461" s="12" t="s">
        <v>12463</v>
      </c>
      <c r="B4461" s="12" t="s">
        <v>15903</v>
      </c>
      <c r="C4461" s="13" t="str">
        <f>HYPERLINK("https://audio.iskcondesiretree.com/02_-_ISKCON_Swamis/ISKCON_Swamis_-_R_to_Y/His_Holiness_Radhanath_Swami/Lectures/01_-_Theme_wise/Spiritual_world/1991-012_Spiritual_Sentiments_BG_14-04_-_Radhanath_Swami_Mumbai_1991-02-01_IDesireTree.mp3", "1991-012_Spiritual_Sentiments_BG_14-04_-_Radhanath_Swami_Mumbai_1991-02-01_IDesireTree.mp3")</f>
        <v>1991-012_Spiritual_Sentiments_BG_14-04_-_Radhanath_Swami_Mumbai_1991-02-01_IDesireTree.mp3</v>
      </c>
      <c r="D4461" s="11"/>
      <c r="E4461" s="11"/>
    </row>
    <row r="4462" spans="1:5">
      <c r="A4462" s="12" t="s">
        <v>12463</v>
      </c>
      <c r="B4462" s="12" t="s">
        <v>17009</v>
      </c>
      <c r="C4462" s="13" t="str">
        <f>HYPERLINK("https://audio.iskcondesiretree.com/02_-_ISKCON_Swamis/ISKCON_Swamis_-_R_to_Y/His_Holiness_Radhanath_Swami/Lectures/01_-_Theme_wise/Spiritual_world/1991-015_Eternal_Joy_Of_Soul_SB_09-04-46-47_-_Radhanath_Swami_Mumbai_1991-02-09_IDesireTree.mp3", "1991-015_Eternal_Joy_Of_Soul_SB_09-04-46-47_-_Radhanath_Swami_Mumbai_1991-02-09_IDesireTree.mp3")</f>
        <v>1991-015_Eternal_Joy_Of_Soul_SB_09-04-46-47_-_Radhanath_Swami_Mumbai_1991-02-09_IDesireTree.mp3</v>
      </c>
      <c r="D4462" s="11"/>
      <c r="E4462" s="11"/>
    </row>
    <row r="4463" spans="1:5">
      <c r="A4463" s="12" t="s">
        <v>12463</v>
      </c>
      <c r="B4463" s="12" t="s">
        <v>13231</v>
      </c>
      <c r="C4463" s="13" t="str">
        <f>HYPERLINK("https://audio.iskcondesiretree.com/02_-_ISKCON_Swamis/ISKCON_Swamis_-_R_to_Y/His_Holiness_Radhanath_Swami/Lectures/01_-_Theme_wise/Spiritual_world/1991-065_Spiritual_Life_is_a_Necessity_Rainbow_Lecture_-_Radhanath_Swami_1991-07-01_IDesireTree.mp3", "1991-065_Spiritual_Life_is_a_Necessity_Rainbow_Lecture_-_Radhanath_Swami_1991-07-01_IDesireTree.mp3")</f>
        <v>1991-065_Spiritual_Life_is_a_Necessity_Rainbow_Lecture_-_Radhanath_Swami_1991-07-01_IDesireTree.mp3</v>
      </c>
      <c r="D4463" s="11"/>
      <c r="E4463" s="11"/>
    </row>
    <row r="4464" spans="1:5">
      <c r="A4464" s="12" t="s">
        <v>12463</v>
      </c>
      <c r="B4464" s="12" t="s">
        <v>15856</v>
      </c>
      <c r="C4464" s="13" t="str">
        <f>HYPERLINK("https://audio.iskcondesiretree.com/02_-_ISKCON_Swamis/ISKCON_Swamis_-_R_to_Y/His_Holiness_Radhanath_Swami/Lectures/01_-_Theme_wise/Spiritual_world/1992-074_Spiritual_Attachments_SB_10-13-33-34_-_Radhanath_Swami_Mumbai_1992-08-16_IDesireTree.mp3", "1992-074_Spiritual_Attachments_SB_10-13-33-34_-_Radhanath_Swami_Mumbai_1992-08-16_IDesireTree.mp3")</f>
        <v>1992-074_Spiritual_Attachments_SB_10-13-33-34_-_Radhanath_Swami_Mumbai_1992-08-16_IDesireTree.mp3</v>
      </c>
      <c r="D4464" s="11"/>
      <c r="E4464" s="11"/>
    </row>
    <row r="4465" spans="1:5">
      <c r="A4465" s="12" t="s">
        <v>12463</v>
      </c>
      <c r="B4465" s="12" t="s">
        <v>16666</v>
      </c>
      <c r="C4465" s="13" t="str">
        <f>HYPERLINK("https://audio.iskcondesiretree.com/02_-_ISKCON_Swamis/ISKCON_Swamis_-_R_to_Y/His_Holiness_Radhanath_Swami/Lectures/01_-_Theme_wise/Spiritual_world/1992-122_Spiritual_Vision_SB_10-16-17-18_-_Radhanath_Swami_Mumbai_1992-11-14_IDesireTree.mp3", "1992-122_Spiritual_Vision_SB_10-16-17-18_-_Radhanath_Swami_Mumbai_1992-11-14_IDesireTree.mp3")</f>
        <v>1992-122_Spiritual_Vision_SB_10-16-17-18_-_Radhanath_Swami_Mumbai_1992-11-14_IDesireTree.mp3</v>
      </c>
      <c r="D4465" s="11"/>
      <c r="E4465" s="11"/>
    </row>
    <row r="4466" spans="1:5">
      <c r="A4466" s="12" t="s">
        <v>12463</v>
      </c>
      <c r="B4466" s="12" t="s">
        <v>17010</v>
      </c>
      <c r="C4466" s="13" t="str">
        <f>HYPERLINK("https://audio.iskcondesiretree.com/02_-_ISKCON_Swamis/ISKCON_Swamis_-_R_to_Y/His_Holiness_Radhanath_Swami/Lectures/01_-_Theme_wise/Spiritual_world/1992-126_Spiritual_Emotion_SB_10-16-16_-_Radhanath_Swami_Mumbai_1992-11-23_IDesireTree.mp3", "1992-126_Spiritual_Emotion_SB_10-16-16_-_Radhanath_Swami_Mumbai_1992-11-23_IDesireTree.mp3")</f>
        <v>1992-126_Spiritual_Emotion_SB_10-16-16_-_Radhanath_Swami_Mumbai_1992-11-23_IDesireTree.mp3</v>
      </c>
      <c r="D4466" s="11"/>
      <c r="E4466" s="11"/>
    </row>
    <row r="4467" spans="1:5">
      <c r="A4467" s="12" t="s">
        <v>12463</v>
      </c>
      <c r="B4467" s="12" t="s">
        <v>17011</v>
      </c>
      <c r="C4467" s="13" t="str">
        <f>HYPERLINK("https://audio.iskcondesiretree.com/02_-_ISKCON_Swamis/ISKCON_Swamis_-_R_to_Y/His_Holiness_Radhanath_Swami/Lectures/01_-_Theme_wise/Spiritual_world/1992-144_Spiritual_Warfare_SB_10-17-21-22_-_Radhanath_Swami_Mumbai_1992-12-18_IDesireTree.mp3", "1992-144_Spiritual_Warfare_SB_10-17-21-22_-_Radhanath_Swami_Mumbai_1992-12-18_IDesireTree.mp3")</f>
        <v>1992-144_Spiritual_Warfare_SB_10-17-21-22_-_Radhanath_Swami_Mumbai_1992-12-18_IDesireTree.mp3</v>
      </c>
      <c r="D4467" s="11"/>
      <c r="E4467" s="11"/>
    </row>
    <row r="4468" spans="1:5">
      <c r="A4468" s="12" t="s">
        <v>12463</v>
      </c>
      <c r="B4468" s="12" t="s">
        <v>17012</v>
      </c>
      <c r="C4468" s="13" t="str">
        <f>HYPERLINK("https://audio.iskcondesiretree.com/02_-_ISKCON_Swamis/ISKCON_Swamis_-_R_to_Y/His_Holiness_Radhanath_Swami/Lectures/01_-_Theme_wise/Spiritual_world/1995-105_Mahamaya_And_Yogamaya_BG-13-31-32_-_Radhanath_Swami_Mumbai_1995-09-15_IDesireTree.mp3", "1995-105_Mahamaya_And_Yogamaya_BG-13-31-32_-_Radhanath_Swami_Mumbai_1995-09-15_IDesireTree.mp3")</f>
        <v>1995-105_Mahamaya_And_Yogamaya_BG-13-31-32_-_Radhanath_Swami_Mumbai_1995-09-15_IDesireTree.mp3</v>
      </c>
      <c r="D4468" s="11"/>
      <c r="E4468" s="11"/>
    </row>
    <row r="4469" spans="1:5">
      <c r="A4469" s="12" t="s">
        <v>12463</v>
      </c>
      <c r="B4469" s="12" t="s">
        <v>17013</v>
      </c>
      <c r="C4469" s="13" t="str">
        <f>HYPERLINK("https://audio.iskcondesiretree.com/02_-_ISKCON_Swamis/ISKCON_Swamis_-_R_to_Y/His_Holiness_Radhanath_Swami/Lectures/01_-_Theme_wise/Spiritual_world/1996-090_Fight_In_Spiritual_Life_Lecture_-_Radhanath_Swami_Mumbai_1996-04-21_IDesireTree.mp3", "1996-090_Fight_In_Spiritual_Life_Lecture_-_Radhanath_Swami_Mumbai_1996-04-21_IDesireTree.mp3")</f>
        <v>1996-090_Fight_In_Spiritual_Life_Lecture_-_Radhanath_Swami_Mumbai_1996-04-21_IDesireTree.mp3</v>
      </c>
      <c r="D4469" s="11"/>
      <c r="E4469" s="11"/>
    </row>
    <row r="4470" spans="1:5">
      <c r="A4470" s="12" t="s">
        <v>12463</v>
      </c>
      <c r="B4470" s="12" t="s">
        <v>17014</v>
      </c>
      <c r="C4470" s="13" t="str">
        <f>HYPERLINK("https://audio.iskcondesiretree.com/02_-_ISKCON_Swamis/ISKCON_Swamis_-_R_to_Y/His_Holiness_Radhanath_Swami/Lectures/01_-_Theme_wise/Spiritual_world/1997-059_Trancendence_of_Vaikuntha_SB_02-09-10_-_Radhanath_Swami_Mumbai_1997-04-12_IDesireTree.mp3", "1997-059_Trancendence_of_Vaikuntha_SB_02-09-10_-_Radhanath_Swami_Mumbai_1997-04-12_IDesireTree.mp3")</f>
        <v>1997-059_Trancendence_of_Vaikuntha_SB_02-09-10_-_Radhanath_Swami_Mumbai_1997-04-12_IDesireTree.mp3</v>
      </c>
      <c r="D4470" s="11"/>
      <c r="E4470" s="11"/>
    </row>
    <row r="4471" spans="1:5">
      <c r="A4471" s="12" t="s">
        <v>12463</v>
      </c>
      <c r="B4471" s="12" t="s">
        <v>15812</v>
      </c>
      <c r="C4471" s="13" t="str">
        <f>HYPERLINK("https://audio.iskcondesiretree.com/02_-_ISKCON_Swamis/ISKCON_Swamis_-_R_to_Y/His_Holiness_Radhanath_Swami/Lectures/01_-_Theme_wise/Spiritual_world/1998-099_No_Competition_in_Vaikuntha_SB_03-15-20_-_Radhanath_Swami_Mumbai_1998-11-04_IDesireTree.mp3", "1998-099_No_Competition_in_Vaikuntha_SB_03-15-20_-_Radhanath_Swami_Mumbai_1998-11-04_IDesireTree.mp3")</f>
        <v>1998-099_No_Competition_in_Vaikuntha_SB_03-15-20_-_Radhanath_Swami_Mumbai_1998-11-04_IDesireTree.mp3</v>
      </c>
      <c r="D4471" s="11"/>
      <c r="E4471" s="11"/>
    </row>
    <row r="4472" spans="1:5">
      <c r="A4472" s="12" t="s">
        <v>12463</v>
      </c>
      <c r="B4472" s="12" t="s">
        <v>15892</v>
      </c>
      <c r="C4472" s="13" t="str">
        <f>HYPERLINK("https://audio.iskcondesiretree.com/02_-_ISKCON_Swamis/ISKCON_Swamis_-_R_to_Y/His_Holiness_Radhanath_Swami/Lectures/01_-_Theme_wise/Sravanam/1989-012_The_Correct_Anchorage_BG_08-28_-_Radhanath_Swami_Mumbai_1989-07-09_IDesireTree.mp3", "1989-012_The_Correct_Anchorage_BG_08-28_-_Radhanath_Swami_Mumbai_1989-07-09_IDesireTree.mp3")</f>
        <v>1989-012_The_Correct_Anchorage_BG_08-28_-_Radhanath_Swami_Mumbai_1989-07-09_IDesireTree.mp3</v>
      </c>
      <c r="D4472" s="11"/>
      <c r="E4472" s="11"/>
    </row>
    <row r="4473" spans="1:5">
      <c r="A4473" s="12" t="s">
        <v>12463</v>
      </c>
      <c r="B4473" s="12" t="s">
        <v>17015</v>
      </c>
      <c r="C4473" s="13" t="str">
        <f>HYPERLINK("https://audio.iskcondesiretree.com/02_-_ISKCON_Swamis/ISKCON_Swamis_-_R_to_Y/His_Holiness_Radhanath_Swami/Lectures/01_-_Theme_wise/Sravanam/1989-090_Simply_For_Devotees_Pleasure_BG_12-02_-_Radhanath_Swami_Mumbai_1989-12-31_IDesireTree.mp3", "1989-090_Simply_For_Devotees_Pleasure_BG_12-02_-_Radhanath_Swami_Mumbai_1989-12-31_IDesireTree.mp3")</f>
        <v>1989-090_Simply_For_Devotees_Pleasure_BG_12-02_-_Radhanath_Swami_Mumbai_1989-12-31_IDesireTree.mp3</v>
      </c>
      <c r="D4473" s="11"/>
      <c r="E4473" s="11"/>
    </row>
    <row r="4474" spans="1:5">
      <c r="A4474" s="12" t="s">
        <v>12463</v>
      </c>
      <c r="B4474" s="12" t="s">
        <v>17016</v>
      </c>
      <c r="C4474" s="13" t="str">
        <f>HYPERLINK("https://audio.iskcondesiretree.com/02_-_ISKCON_Swamis/ISKCON_Swamis_-_R_to_Y/His_Holiness_Radhanath_Swami/Lectures/01_-_Theme_wise/Sravanam/1991-074_Hearing_Is_Beginning_SB_10-01-08_-_Radhanath_Swami_Mumbai_1991-10-12_IDesireTree.mp3", "1991-074_Hearing_Is_Beginning_SB_10-01-08_-_Radhanath_Swami_Mumbai_1991-10-12_IDesireTree.mp3")</f>
        <v>1991-074_Hearing_Is_Beginning_SB_10-01-08_-_Radhanath_Swami_Mumbai_1991-10-12_IDesireTree.mp3</v>
      </c>
      <c r="D4474" s="11"/>
      <c r="E4474" s="11"/>
    </row>
    <row r="4475" spans="1:5">
      <c r="A4475" s="12" t="s">
        <v>12463</v>
      </c>
      <c r="B4475" s="12" t="s">
        <v>17017</v>
      </c>
      <c r="C4475" s="13" t="str">
        <f>HYPERLINK("https://audio.iskcondesiretree.com/02_-_ISKCON_Swamis/ISKCON_Swamis_-_R_to_Y/His_Holiness_Radhanath_Swami/Lectures/01_-_Theme_wise/Sravanam/1991-080_Importance_Of_Krishna_Katha_SB_10-01-15_-_Radhanath_Swami_Mumbai_1991-10-16_IDesireTree.mp3", "1991-080_Importance_Of_Krishna_Katha_SB_10-01-15_-_Radhanath_Swami_Mumbai_1991-10-16_IDesireTree.mp3")</f>
        <v>1991-080_Importance_Of_Krishna_Katha_SB_10-01-15_-_Radhanath_Swami_Mumbai_1991-10-16_IDesireTree.mp3</v>
      </c>
      <c r="D4475" s="11"/>
      <c r="E4475" s="11"/>
    </row>
    <row r="4476" spans="1:5">
      <c r="A4476" s="12" t="s">
        <v>12463</v>
      </c>
      <c r="B4476" s="12" t="s">
        <v>17018</v>
      </c>
      <c r="C4476" s="13" t="str">
        <f>HYPERLINK("https://audio.iskcondesiretree.com/02_-_ISKCON_Swamis/ISKCON_Swamis_-_R_to_Y/His_Holiness_Radhanath_Swami/Lectures/01_-_Theme_wise/Sravanam/1991-100_Relish_His_Messages_SB_10-01-48_-_Radhanath_Swami_Mumbai_1991-11-03_IDesireTree.mp3", "1991-100_Relish_His_Messages_SB_10-01-48_-_Radhanath_Swami_Mumbai_1991-11-03_IDesireTree.mp3")</f>
        <v>1991-100_Relish_His_Messages_SB_10-01-48_-_Radhanath_Swami_Mumbai_1991-11-03_IDesireTree.mp3</v>
      </c>
      <c r="D4476" s="11"/>
      <c r="E4476" s="11"/>
    </row>
    <row r="4477" spans="1:5">
      <c r="A4477" s="12" t="s">
        <v>12463</v>
      </c>
      <c r="B4477" s="12" t="s">
        <v>16235</v>
      </c>
      <c r="C4477" s="13" t="str">
        <f>HYPERLINK("https://audio.iskcondesiretree.com/02_-_ISKCON_Swamis/ISKCON_Swamis_-_R_to_Y/His_Holiness_Radhanath_Swami/Lectures/01_-_Theme_wise/Sravanam/1991-116_Hearing-_Washes_All_Doubts_BG_04-38-39_-_Radhanath_Swami_Mumbai_1991-11-03_IDesireTree.mp3", "1991-116_Hearing-_Washes_All_Doubts_BG_04-38-39_-_Radhanath_Swami_Mumbai_1991-11-03_IDesireTree.mp3")</f>
        <v>1991-116_Hearing-_Washes_All_Doubts_BG_04-38-39_-_Radhanath_Swami_Mumbai_1991-11-03_IDesireTree.mp3</v>
      </c>
      <c r="D4477" s="11"/>
      <c r="E4477" s="11"/>
    </row>
    <row r="4478" spans="1:5">
      <c r="A4478" s="12" t="s">
        <v>12463</v>
      </c>
      <c r="B4478" s="12" t="s">
        <v>17019</v>
      </c>
      <c r="C4478" s="13" t="str">
        <f>HYPERLINK("https://audio.iskcondesiretree.com/02_-_ISKCON_Swamis/ISKCON_Swamis_-_R_to_Y/His_Holiness_Radhanath_Swami/Lectures/01_-_Theme_wise/Sravanam/1992-136_Hearing_Means_To_Put_Into_Action_SB_10-16-56-57_-_Radhanath_Swami_Mumbai_1992-12-10_IDesireTree.mp3", "1992-136_Hearing_Means_To_Put_Into_Action_SB_10-16-56-57_-_Radhanath_Swami_Mumbai_1992-12-10_IDesireTree.mp3")</f>
        <v>1992-136_Hearing_Means_To_Put_Into_Action_SB_10-16-56-57_-_Radhanath_Swami_Mumbai_1992-12-10_IDesireTree.mp3</v>
      </c>
      <c r="D4478" s="11"/>
      <c r="E4478" s="11"/>
    </row>
    <row r="4479" spans="1:5">
      <c r="A4479" s="12" t="s">
        <v>12463</v>
      </c>
      <c r="B4479" s="12" t="s">
        <v>17020</v>
      </c>
      <c r="C4479" s="13" t="str">
        <f>HYPERLINK("https://audio.iskcondesiretree.com/02_-_ISKCON_Swamis/ISKCON_Swamis_-_R_to_Y/His_Holiness_Radhanath_Swami/Lectures/01_-_Theme_wise/Sravanam/1992-153_Kill_The_Demon_Of_Doubt_SB_10-18-28-32_-_Radhanath_Swami_Mumbai_1991-12-25_IDesireTree.mp3", "1992-153_Kill_The_Demon_Of_Doubt_SB_10-18-28-32_-_Radhanath_Swami_Mumbai_1991-12-25_IDesireTree.mp3")</f>
        <v>1992-153_Kill_The_Demon_Of_Doubt_SB_10-18-28-32_-_Radhanath_Swami_Mumbai_1991-12-25_IDesireTree.mp3</v>
      </c>
      <c r="D4479" s="11"/>
      <c r="E4479" s="11"/>
    </row>
    <row r="4480" spans="1:5">
      <c r="A4480" s="12" t="s">
        <v>12463</v>
      </c>
      <c r="B4480" s="12" t="s">
        <v>17021</v>
      </c>
      <c r="C4480" s="13" t="str">
        <f>HYPERLINK("https://audio.iskcondesiretree.com/02_-_ISKCON_Swamis/ISKCON_Swamis_-_R_to_Y/His_Holiness_Radhanath_Swami/Lectures/01_-_Theme_wise/Sravanam/1993-060_Hearing_And_Absorbing_BG_07-01-03_-_Radhanath_Swami_Mumbai_1993-04-18_IDesireTree.mp3", "1993-060_Hearing_And_Absorbing_BG_07-01-03_-_Radhanath_Swami_Mumbai_1993-04-18_IDesireTree.mp3")</f>
        <v>1993-060_Hearing_And_Absorbing_BG_07-01-03_-_Radhanath_Swami_Mumbai_1993-04-18_IDesireTree.mp3</v>
      </c>
      <c r="D4480" s="11"/>
      <c r="E4480" s="11"/>
    </row>
    <row r="4481" spans="1:5">
      <c r="A4481" s="12" t="s">
        <v>12463</v>
      </c>
      <c r="B4481" s="12" t="s">
        <v>17022</v>
      </c>
      <c r="C4481" s="13" t="str">
        <f>HYPERLINK("https://audio.iskcondesiretree.com/02_-_ISKCON_Swamis/ISKCON_Swamis_-_R_to_Y/His_Holiness_Radhanath_Swami/Lectures/01_-_Theme_wise/Sravanam/1994-105_Hearing_Is_Necessary_Everyday_SB_01-03-29_-_Radhanath_Swami_Mumbai_1994-08-22_IDesireTree.mp3", "1994-105_Hearing_Is_Necessary_Everyday_SB_01-03-29_-_Radhanath_Swami_Mumbai_1994-08-22_IDesireTree.mp3")</f>
        <v>1994-105_Hearing_Is_Necessary_Everyday_SB_01-03-29_-_Radhanath_Swami_Mumbai_1994-08-22_IDesireTree.mp3</v>
      </c>
      <c r="D4481" s="11"/>
      <c r="E4481" s="11"/>
    </row>
    <row r="4482" spans="1:5">
      <c r="A4482" s="12" t="s">
        <v>12463</v>
      </c>
      <c r="B4482" s="12" t="s">
        <v>17023</v>
      </c>
      <c r="C4482" s="13" t="str">
        <f>HYPERLINK("https://audio.iskcondesiretree.com/02_-_ISKCON_Swamis/ISKCON_Swamis_-_R_to_Y/His_Holiness_Radhanath_Swami/Lectures/01_-_Theme_wise/Sravanam/1994-142_Eagerness_To_Hear_SB_01-04-03_-_Radhanath_Swami_Mumbai_1994-09-09_IDesireTree.mp3", "1994-142_Eagerness_To_Hear_SB_01-04-03_-_Radhanath_Swami_Mumbai_1994-09-09_IDesireTree.mp3")</f>
        <v>1994-142_Eagerness_To_Hear_SB_01-04-03_-_Radhanath_Swami_Mumbai_1994-09-09_IDesireTree.mp3</v>
      </c>
      <c r="D4482" s="11"/>
      <c r="E4482" s="11"/>
    </row>
    <row r="4483" spans="1:5">
      <c r="A4483" s="12" t="s">
        <v>12463</v>
      </c>
      <c r="B4483" s="12" t="s">
        <v>17024</v>
      </c>
      <c r="C4483" s="13" t="str">
        <f>HYPERLINK("https://audio.iskcondesiretree.com/02_-_ISKCON_Swamis/ISKCON_Swamis_-_R_to_Y/His_Holiness_Radhanath_Swami/Lectures/01_-_Theme_wise/Sravanam/1996-131_Hear_from_Guru_BG_07-01_-_Radhanath_Swami_Mumbai_1996-09-16_IDesireTree.mp3", "1996-131_Hear_from_Guru_BG_07-01_-_Radhanath_Swami_Mumbai_1996-09-16_IDesireTree.mp3")</f>
        <v>1996-131_Hear_from_Guru_BG_07-01_-_Radhanath_Swami_Mumbai_1996-09-16_IDesireTree.mp3</v>
      </c>
      <c r="D4483" s="11"/>
      <c r="E4483" s="11"/>
    </row>
    <row r="4484" spans="1:5">
      <c r="A4484" s="12" t="s">
        <v>12463</v>
      </c>
      <c r="B4484" s="12" t="s">
        <v>17025</v>
      </c>
      <c r="C4484" s="13" t="str">
        <f>HYPERLINK("https://audio.iskcondesiretree.com/02_-_ISKCON_Swamis/ISKCON_Swamis_-_R_to_Y/His_Holiness_Radhanath_Swami/Lectures/01_-_Theme_wise/Sravanam/1996-173_Surrender_By_Hearing_And_Chanting_SB_02-06-38_-_Radhanath_Swami_Mumbai_1996-12-22_IDesireTree.mp3", "1996-173_Surrender_By_Hearing_And_Chanting_SB_02-06-38_-_Radhanath_Swami_Mumbai_1996-12-22_IDesireTree.mp3")</f>
        <v>1996-173_Surrender_By_Hearing_And_Chanting_SB_02-06-38_-_Radhanath_Swami_Mumbai_1996-12-22_IDesireTree.mp3</v>
      </c>
      <c r="D4484" s="11"/>
      <c r="E4484" s="11"/>
    </row>
    <row r="4485" spans="1:5">
      <c r="A4485" s="12" t="s">
        <v>12463</v>
      </c>
      <c r="B4485" s="12" t="s">
        <v>16444</v>
      </c>
      <c r="C4485" s="13" t="str">
        <f>HYPERLINK("https://audio.iskcondesiretree.com/02_-_ISKCON_Swamis/ISKCON_Swamis_-_R_to_Y/His_Holiness_Radhanath_Swami/Lectures/01_-_Theme_wise/Sravanam/1998-048_Attentive_Hearing_%26_Chanting_SB_03-06-37_-_Radhanath_Swami_Mumbai_1998-03-08_IDesireTree.mp3", "1998-048_Attentive_Hearing_%26_Chanting_SB_03-06-37_-_Radhanath_Swami_Mumbai_1998-03-08_IDesireTree.mp3")</f>
        <v>1998-048_Attentive_Hearing_%26_Chanting_SB_03-06-37_-_Radhanath_Swami_Mumbai_1998-03-08_IDesireTree.mp3</v>
      </c>
      <c r="D4485" s="11"/>
      <c r="E4485" s="11"/>
    </row>
    <row r="4486" spans="1:5">
      <c r="A4486" s="12" t="s">
        <v>12463</v>
      </c>
      <c r="B4486" s="12" t="s">
        <v>17026</v>
      </c>
      <c r="C4486" s="13" t="str">
        <f>HYPERLINK("https://audio.iskcondesiretree.com/02_-_ISKCON_Swamis/ISKCON_Swamis_-_R_to_Y/His_Holiness_Radhanath_Swami/Lectures/01_-_Theme_wise/Sravanam/1999-031_Benefits_of_Hearing_Srimad_Bhagavatam_SB_03-19-38_-_Radhanath_Swami_Mumbai_1999-06-20_IDesireTree.mp3", "1999-031_Benefits_of_Hearing_Srimad_Bhagavatam_SB_03-19-38_-_Radhanath_Swami_Mumbai_1999-06-20_IDesireTree.mp3")</f>
        <v>1999-031_Benefits_of_Hearing_Srimad_Bhagavatam_SB_03-19-38_-_Radhanath_Swami_Mumbai_1999-06-20_IDesireTree.mp3</v>
      </c>
      <c r="D4486" s="11"/>
      <c r="E4486" s="11"/>
    </row>
    <row r="4487" spans="1:5">
      <c r="A4487" s="12" t="s">
        <v>12463</v>
      </c>
      <c r="B4487" s="12" t="s">
        <v>17027</v>
      </c>
      <c r="C4487" s="13" t="str">
        <f>HYPERLINK("https://audio.iskcondesiretree.com/02_-_ISKCON_Swamis/ISKCON_Swamis_-_R_to_Y/His_Holiness_Radhanath_Swami/Lectures/01_-_Theme_wise/Srila%20Prabhupada/1989-034_Your%27s_Ever_Well_Wisher_Lecture_-_Radhanath_Swami_Mumbai_1989-08-25_IDesireTree.mp3", "1989-034_Your%27s_Ever_Well_Wisher_Lecture_-_Radhanath_Swami_Mumbai_1989-08-25_IDesireTree.mp3")</f>
        <v>1989-034_Your%27s_Ever_Well_Wisher_Lecture_-_Radhanath_Swami_Mumbai_1989-08-25_IDesireTree.mp3</v>
      </c>
      <c r="D4487" s="11"/>
      <c r="E4487" s="11"/>
    </row>
    <row r="4488" spans="1:5">
      <c r="A4488" s="12" t="s">
        <v>12463</v>
      </c>
      <c r="B4488" s="12" t="s">
        <v>17028</v>
      </c>
      <c r="C4488" s="13" t="str">
        <f>HYPERLINK("https://audio.iskcondesiretree.com/02_-_ISKCON_Swamis/ISKCON_Swamis_-_R_to_Y/His_Holiness_Radhanath_Swami/Lectures/01_-_Theme_wise/Srila%20Prabhupada/1990-062_Prabhupad_Lecture_-_Radhanath_Swami_Mumbai_1990-08-15_IDesireTree.mp3", "1990-062_Prabhupad_Lecture_-_Radhanath_Swami_Mumbai_1990-08-15_IDesireTree.mp3")</f>
        <v>1990-062_Prabhupad_Lecture_-_Radhanath_Swami_Mumbai_1990-08-15_IDesireTree.mp3</v>
      </c>
      <c r="D4488" s="11"/>
      <c r="E4488" s="11"/>
    </row>
    <row r="4489" spans="1:5">
      <c r="A4489" s="12" t="s">
        <v>12463</v>
      </c>
      <c r="B4489" s="12" t="s">
        <v>17029</v>
      </c>
      <c r="C4489" s="13" t="str">
        <f>HYPERLINK("https://audio.iskcondesiretree.com/02_-_ISKCON_Swamis/ISKCON_Swamis_-_R_to_Y/His_Holiness_Radhanath_Swami/Lectures/01_-_Theme_wise/Srila%20Prabhupada/1991-118_Diaappearance_of_prabhupada_Lecture_-_Radhanath_Swami_Mumbai_1991-11-10_IDesireTree.mp3", "1991-118_Diaappearance_of_prabhupada_Lecture_-_Radhanath_Swami_Mumbai_1991-11-10_IDesireTree.mp3")</f>
        <v>1991-118_Diaappearance_of_prabhupada_Lecture_-_Radhanath_Swami_Mumbai_1991-11-10_IDesireTree.mp3</v>
      </c>
      <c r="D4489" s="11"/>
      <c r="E4489" s="11"/>
    </row>
    <row r="4490" spans="1:5">
      <c r="A4490" s="12" t="s">
        <v>12463</v>
      </c>
      <c r="B4490" s="12" t="e">
        <v>#VALUE!</v>
      </c>
      <c r="C4490" s="13" t="e">
        <f>HYPERLINK("https://audio.iskcondesiretree.com/02_-_ISKCON_Swamis/ISKCON_Swamis_-_R_to_Y/His_Holiness_Radhanath_Swami/Lectures/01_-_Theme_wise/Srila%20Prabhupada/1992-068_Understanding_Prabhupada%27s_Mission_Lecture_-_Radhanath_Swami_Columbus_1992-07-12_IDesireTree.m"&amp;"p3", "1992-068_Understanding_Prabhupada%27s_Mission_Lecture_-_Radhanath_Swami_Columbus_1992-07-12_IDesireTree.mp3")</f>
        <v>#VALUE!</v>
      </c>
      <c r="D4490" s="11"/>
      <c r="E4490" s="11"/>
    </row>
    <row r="4491" spans="1:5">
      <c r="A4491" s="12" t="s">
        <v>12463</v>
      </c>
      <c r="B4491" s="12" t="s">
        <v>17030</v>
      </c>
      <c r="C4491" s="13" t="str">
        <f>HYPERLINK("https://audio.iskcondesiretree.com/02_-_ISKCON_Swamis/ISKCON_Swamis_-_R_to_Y/His_Holiness_Radhanath_Swami/Lectures/01_-_Theme_wise/Srila%20Prabhupada/1994-124_Offering_To_Srila_Prabhupada_-_Radhanath_Swami_Mumbai_1994-08-30_IDesireTree.mp3", "1994-124_Offering_To_Srila_Prabhupada_-_Radhanath_Swami_Mumbai_1994-08-30_IDesireTree.mp3")</f>
        <v>1994-124_Offering_To_Srila_Prabhupada_-_Radhanath_Swami_Mumbai_1994-08-30_IDesireTree.mp3</v>
      </c>
      <c r="D4491" s="11"/>
      <c r="E4491" s="11"/>
    </row>
    <row r="4492" spans="1:5">
      <c r="A4492" s="12" t="s">
        <v>12463</v>
      </c>
      <c r="B4492" s="12" t="s">
        <v>17031</v>
      </c>
      <c r="C4492" s="13" t="str">
        <f>HYPERLINK("https://audio.iskcondesiretree.com/02_-_ISKCON_Swamis/ISKCON_Swamis_-_R_to_Y/His_Holiness_Radhanath_Swami/Lectures/01_-_Theme_wise/Srila%20Prabhupada/1995-064_Prabhupada_Pastimes_Lecture_-_Radhanath_Swami_Mumbai_1995-03-18.mp3", "1995-064_Prabhupada_Pastimes_Lecture_-_Radhanath_Swami_Mumbai_1995-03-18.mp3")</f>
        <v>1995-064_Prabhupada_Pastimes_Lecture_-_Radhanath_Swami_Mumbai_1995-03-18.mp3</v>
      </c>
      <c r="D4492" s="11"/>
      <c r="E4492" s="11"/>
    </row>
    <row r="4493" spans="1:5">
      <c r="A4493" s="12" t="s">
        <v>12463</v>
      </c>
      <c r="B4493" s="12" t="s">
        <v>17032</v>
      </c>
      <c r="C4493" s="13" t="str">
        <f>HYPERLINK("https://audio.iskcondesiretree.com/02_-_ISKCON_Swamis/ISKCON_Swamis_-_R_to_Y/His_Holiness_Radhanath_Swami/Lectures/01_-_Theme_wise/Srila%20Prabhupada/1995-067_Prabhupada_Night_Lecture_-_Radhanath_Swami_Mumbai_1995-03-23.mp3", "1995-067_Prabhupada_Night_Lecture_-_Radhanath_Swami_Mumbai_1995-03-23.mp3")</f>
        <v>1995-067_Prabhupada_Night_Lecture_-_Radhanath_Swami_Mumbai_1995-03-23.mp3</v>
      </c>
      <c r="D4493" s="11"/>
      <c r="E4493" s="11"/>
    </row>
    <row r="4494" spans="1:5">
      <c r="A4494" s="12" t="s">
        <v>12463</v>
      </c>
      <c r="B4494" s="12" t="s">
        <v>17033</v>
      </c>
      <c r="C4494" s="13" t="str">
        <f>HYPERLINK("https://audio.iskcondesiretree.com/02_-_ISKCON_Swamis/ISKCON_Swamis_-_R_to_Y/His_Holiness_Radhanath_Swami/Lectures/01_-_Theme_wise/Srila%20Prabhupada/1995-070_Glorification_Of_Srila_Prabhupada_Lecture_-_Radhanath_Swami_Kurukshetra_1995-03-26.mp3", "1995-070_Glorification_Of_Srila_Prabhupada_Lecture_-_Radhanath_Swami_Kurukshetra_1995-03-26.mp3")</f>
        <v>1995-070_Glorification_Of_Srila_Prabhupada_Lecture_-_Radhanath_Swami_Kurukshetra_1995-03-26.mp3</v>
      </c>
      <c r="D4494" s="11"/>
      <c r="E4494" s="11"/>
    </row>
    <row r="4495" spans="1:5">
      <c r="A4495" s="12" t="s">
        <v>12463</v>
      </c>
      <c r="B4495" s="12" t="s">
        <v>17034</v>
      </c>
      <c r="C4495" s="13" t="str">
        <f>HYPERLINK("https://audio.iskcondesiretree.com/02_-_ISKCON_Swamis/ISKCON_Swamis_-_R_to_Y/His_Holiness_Radhanath_Swami/Lectures/01_-_Theme_wise/Srila%20Prabhupada/1995-089_Offring_To_Srila_Prabhupada_Lecture_-_Radhanath_Swami_Mumbai_1995-08-19_IDesireTree.mp3", "1995-089_Offring_To_Srila_Prabhupada_Lecture_-_Radhanath_Swami_Mumbai_1995-08-19_IDesireTree.mp3")</f>
        <v>1995-089_Offring_To_Srila_Prabhupada_Lecture_-_Radhanath_Swami_Mumbai_1995-08-19_IDesireTree.mp3</v>
      </c>
      <c r="D4495" s="11"/>
      <c r="E4495" s="11"/>
    </row>
    <row r="4496" spans="1:5">
      <c r="A4496" s="12" t="s">
        <v>12463</v>
      </c>
      <c r="B4496" s="12" t="s">
        <v>17035</v>
      </c>
      <c r="C4496" s="13" t="str">
        <f>HYPERLINK("https://audio.iskcondesiretree.com/02_-_ISKCON_Swamis/ISKCON_Swamis_-_R_to_Y/His_Holiness_Radhanath_Swami/Lectures/01_-_Theme_wise/Srila%20Prabhupada/1995-091_Glories_Of_Srila_Prabhupada_Lecture_-_Radhanath_Swami_Mumbai_1995-08-20_IDesireTree.mp3", "1995-091_Glories_Of_Srila_Prabhupada_Lecture_-_Radhanath_Swami_Mumbai_1995-08-20_IDesireTree.mp3")</f>
        <v>1995-091_Glories_Of_Srila_Prabhupada_Lecture_-_Radhanath_Swami_Mumbai_1995-08-20_IDesireTree.mp3</v>
      </c>
      <c r="D4496" s="11"/>
      <c r="E4496" s="11"/>
    </row>
    <row r="4497" spans="1:5">
      <c r="A4497" s="12" t="s">
        <v>12463</v>
      </c>
      <c r="B4497" s="12" t="s">
        <v>17036</v>
      </c>
      <c r="C4497" s="13" t="str">
        <f>HYPERLINK("https://audio.iskcondesiretree.com/02_-_ISKCON_Swamis/ISKCON_Swamis_-_R_to_Y/His_Holiness_Radhanath_Swami/Lectures/01_-_Theme_wise/Srila%20Prabhupada/1995-127_Offering_To_Srila_Prabhupad_Ht_-_Lecture_-_Radhanath_Swami_Mumbai_1995-10-25_IDesireTree.mp3", "1995-127_Offering_To_Srila_Prabhupad_Ht_-_Lecture_-_Radhanath_Swami_Mumbai_1995-10-25_IDesireTree.mp3")</f>
        <v>1995-127_Offering_To_Srila_Prabhupad_Ht_-_Lecture_-_Radhanath_Swami_Mumbai_1995-10-25_IDesireTree.mp3</v>
      </c>
      <c r="D4497" s="11"/>
      <c r="E4497" s="11"/>
    </row>
    <row r="4498" spans="1:5">
      <c r="A4498" s="12" t="s">
        <v>12463</v>
      </c>
      <c r="B4498" s="12" t="s">
        <v>17037</v>
      </c>
      <c r="C4498" s="13" t="str">
        <f>HYPERLINK("https://audio.iskcondesiretree.com/02_-_ISKCON_Swamis/ISKCON_Swamis_-_R_to_Y/His_Holiness_Radhanath_Swami/Lectures/01_-_Theme_wise/Srila%20Prabhupada/1996-016_Prabhupada_Premanjali_MT_-_Lecture_-_Radhanath_Swami_Belgaum_1996-01-10_IDesireTree.mp3", "1996-016_Prabhupada_Premanjali_MT_-_Lecture_-_Radhanath_Swami_Belgaum_1996-01-10_IDesireTree.mp3")</f>
        <v>1996-016_Prabhupada_Premanjali_MT_-_Lecture_-_Radhanath_Swami_Belgaum_1996-01-10_IDesireTree.mp3</v>
      </c>
      <c r="D4498" s="11"/>
      <c r="E4498" s="11"/>
    </row>
    <row r="4499" spans="1:5">
      <c r="A4499" s="12" t="s">
        <v>12463</v>
      </c>
      <c r="B4499" s="12" t="s">
        <v>17038</v>
      </c>
      <c r="C4499" s="13" t="str">
        <f>HYPERLINK("https://audio.iskcondesiretree.com/02_-_ISKCON_Swamis/ISKCON_Swamis_-_R_to_Y/His_Holiness_Radhanath_Swami/Lectures/01_-_Theme_wise/Srila%20Prabhupada/1996-106_Glories_Of_Srila_Prabhupada_Lecture_-_Radhanath_Swami_Mumbai_1996-08-04_IDesireTree.mp3", "1996-106_Glories_Of_Srila_Prabhupada_Lecture_-_Radhanath_Swami_Mumbai_1996-08-04_IDesireTree.mp3")</f>
        <v>1996-106_Glories_Of_Srila_Prabhupada_Lecture_-_Radhanath_Swami_Mumbai_1996-08-04_IDesireTree.mp3</v>
      </c>
      <c r="D4499" s="11"/>
      <c r="E4499" s="11"/>
    </row>
    <row r="4500" spans="1:5">
      <c r="A4500" s="12" t="s">
        <v>12463</v>
      </c>
      <c r="B4500" s="12" t="s">
        <v>17039</v>
      </c>
      <c r="C4500" s="13" t="str">
        <f>HYPERLINK("https://audio.iskcondesiretree.com/02_-_ISKCON_Swamis/ISKCON_Swamis_-_R_to_Y/His_Holiness_Radhanath_Swami/Lectures/01_-_Theme_wise/Srila%20Prabhupada/1996-120_Glories_Of_Srila_Prabhupada_Lecture_-_Radhanath_Swami_Mumbai_1996-09-04_IDesireTree.mp3", "1996-120_Glories_Of_Srila_Prabhupada_Lecture_-_Radhanath_Swami_Mumbai_1996-09-04_IDesireTree.mp3")</f>
        <v>1996-120_Glories_Of_Srila_Prabhupada_Lecture_-_Radhanath_Swami_Mumbai_1996-09-04_IDesireTree.mp3</v>
      </c>
      <c r="D4500" s="11"/>
      <c r="E4500" s="11"/>
    </row>
    <row r="4501" spans="1:5">
      <c r="A4501" s="12" t="s">
        <v>12463</v>
      </c>
      <c r="B4501" s="12" t="s">
        <v>17040</v>
      </c>
      <c r="C4501" s="13" t="str">
        <f>HYPERLINK("https://audio.iskcondesiretree.com/02_-_ISKCON_Swamis/ISKCON_Swamis_-_R_to_Y/His_Holiness_Radhanath_Swami/Lectures/01_-_Theme_wise/Srila%20Prabhupada/1996-125_Offering_To_Srila_Prabhupada_Lecture_-_Radhanath_Swami_Mumbai_1996-09-06_IDesireTree.mp3", "1996-125_Offering_To_Srila_Prabhupada_Lecture_-_Radhanath_Swami_Mumbai_1996-09-06_IDesireTree.mp3")</f>
        <v>1996-125_Offering_To_Srila_Prabhupada_Lecture_-_Radhanath_Swami_Mumbai_1996-09-06_IDesireTree.mp3</v>
      </c>
      <c r="D4501" s="11"/>
      <c r="E4501" s="11"/>
    </row>
    <row r="4502" spans="1:5">
      <c r="A4502" s="12" t="s">
        <v>12463</v>
      </c>
      <c r="B4502" s="12" t="s">
        <v>17041</v>
      </c>
      <c r="C4502" s="13" t="str">
        <f>HYPERLINK("https://audio.iskcondesiretree.com/02_-_ISKCON_Swamis/ISKCON_Swamis_-_R_to_Y/His_Holiness_Radhanath_Swami/Lectures/01_-_Theme_wise/Srila%20Prabhupada/1996-126_Causeless_Mercy_Of_Srila_Prabhupada_BG_02-70_-_Radhanath_Swami_Mumbai_1996-09-07_IDesireTree.mp3", "1996-126_Causeless_Mercy_Of_Srila_Prabhupada_BG_02-70_-_Radhanath_Swami_Mumbai_1996-09-07_IDesireTree.mp3")</f>
        <v>1996-126_Causeless_Mercy_Of_Srila_Prabhupada_BG_02-70_-_Radhanath_Swami_Mumbai_1996-09-07_IDesireTree.mp3</v>
      </c>
      <c r="D4502" s="11"/>
      <c r="E4502" s="11"/>
    </row>
    <row r="4503" spans="1:5">
      <c r="A4503" s="12" t="s">
        <v>12463</v>
      </c>
      <c r="B4503" s="12" t="s">
        <v>17042</v>
      </c>
      <c r="C4503" s="13" t="str">
        <f>HYPERLINK("https://audio.iskcondesiretree.com/02_-_ISKCON_Swamis/ISKCON_Swamis_-_R_to_Y/His_Holiness_Radhanath_Swami/Lectures/01_-_Theme_wise/Srila%20Prabhupada/1996-130_Pastimes_Of_Srila_Prabhupada_Lecture_-_Radhanath_Swami_Mumbai_1996-09-15_IDesireTree.mp3", "1996-130_Pastimes_Of_Srila_Prabhupada_Lecture_-_Radhanath_Swami_Mumbai_1996-09-15_IDesireTree.mp3")</f>
        <v>1996-130_Pastimes_Of_Srila_Prabhupada_Lecture_-_Radhanath_Swami_Mumbai_1996-09-15_IDesireTree.mp3</v>
      </c>
      <c r="D4503" s="11"/>
      <c r="E4503" s="11"/>
    </row>
    <row r="4504" spans="1:5">
      <c r="A4504" s="12" t="s">
        <v>12463</v>
      </c>
      <c r="B4504" s="12" t="s">
        <v>17043</v>
      </c>
      <c r="C4504" s="13" t="str">
        <f>HYPERLINK("https://audio.iskcondesiretree.com/02_-_ISKCON_Swamis/ISKCON_Swamis_-_R_to_Y/His_Holiness_Radhanath_Swami/Lectures/01_-_Theme_wise/Srila%20Prabhupada/1997-050_Srila_Prabhupada_Lecture_-_Radhanath_Swami_Mumbai_1997-02-23_IDesireTree.mp3", "1997-050_Srila_Prabhupada_Lecture_-_Radhanath_Swami_Mumbai_1997-02-23_IDesireTree.mp3")</f>
        <v>1997-050_Srila_Prabhupada_Lecture_-_Radhanath_Swami_Mumbai_1997-02-23_IDesireTree.mp3</v>
      </c>
      <c r="D4504" s="11"/>
      <c r="E4504" s="11"/>
    </row>
    <row r="4505" spans="1:5">
      <c r="A4505" s="12" t="s">
        <v>12463</v>
      </c>
      <c r="B4505" s="12" t="s">
        <v>17044</v>
      </c>
      <c r="C4505" s="13" t="str">
        <f>HYPERLINK("https://audio.iskcondesiretree.com/02_-_ISKCON_Swamis/ISKCON_Swamis_-_R_to_Y/His_Holiness_Radhanath_Swami/Lectures/01_-_Theme_wise/Srila%20Prabhupada/1997-072_Prabhupada_Nectar_Lecture_-_Radhanath_Swami_Mumbai_1997-05-05_IDesireTree.mp3", "1997-072_Prabhupada_Nectar_Lecture_-_Radhanath_Swami_Mumbai_1997-05-05_IDesireTree.mp3")</f>
        <v>1997-072_Prabhupada_Nectar_Lecture_-_Radhanath_Swami_Mumbai_1997-05-05_IDesireTree.mp3</v>
      </c>
      <c r="D4505" s="11"/>
      <c r="E4505" s="11"/>
    </row>
    <row r="4506" spans="1:5">
      <c r="A4506" s="12" t="s">
        <v>12463</v>
      </c>
      <c r="B4506" s="12" t="s">
        <v>17045</v>
      </c>
      <c r="C4506" s="13" t="str">
        <f>HYPERLINK("https://audio.iskcondesiretree.com/02_-_ISKCON_Swamis/ISKCON_Swamis_-_R_to_Y/His_Holiness_Radhanath_Swami/Lectures/01_-_Theme_wise/Srila%20Prabhupada/1997-090_Offering_To_Srila_Prabhupada_Lecture_-_Radhanath_Swami_Mumbai_1997-08-28_IDesireTree.mp3", "1997-090_Offering_To_Srila_Prabhupada_Lecture_-_Radhanath_Swami_Mumbai_1997-08-28_IDesireTree.mp3")</f>
        <v>1997-090_Offering_To_Srila_Prabhupada_Lecture_-_Radhanath_Swami_Mumbai_1997-08-28_IDesireTree.mp3</v>
      </c>
      <c r="D4506" s="11"/>
      <c r="E4506" s="11"/>
    </row>
    <row r="4507" spans="1:5">
      <c r="A4507" s="12" t="s">
        <v>12463</v>
      </c>
      <c r="B4507" s="12" t="s">
        <v>17046</v>
      </c>
      <c r="C4507" s="13" t="str">
        <f>HYPERLINK("https://audio.iskcondesiretree.com/02_-_ISKCON_Swamis/ISKCON_Swamis_-_R_to_Y/His_Holiness_Radhanath_Swami/Lectures/01_-_Theme_wise/Srila%20Prabhupada/1997-104_How_I_Meet_Srila_Prabhupada_Lecture_-_Radhanath_Swami_St_IDesireTree.mp3", "1997-104_How_I_Meet_Srila_Prabhupada_Lecture_-_Radhanath_Swami_St_IDesireTree.mp3")</f>
        <v>1997-104_How_I_Meet_Srila_Prabhupada_Lecture_-_Radhanath_Swami_St_IDesireTree.mp3</v>
      </c>
      <c r="D4507" s="11"/>
      <c r="E4507" s="11"/>
    </row>
    <row r="4508" spans="1:5">
      <c r="A4508" s="12" t="s">
        <v>12463</v>
      </c>
      <c r="B4508" s="12" t="s">
        <v>17047</v>
      </c>
      <c r="C4508" s="13" t="str">
        <f>HYPERLINK("https://audio.iskcondesiretree.com/02_-_ISKCON_Swamis/ISKCON_Swamis_-_R_to_Y/His_Holiness_Radhanath_Swami/Lectures/01_-_Theme_wise/Srila%20Prabhupada/1998-063_Srila_Prabhupada_Pastimes_Lecture_-_Radhanath_Swami_Mumbai_1998-05-07_IDesireTree.mp3", "1998-063_Srila_Prabhupada_Pastimes_Lecture_-_Radhanath_Swami_Mumbai_1998-05-07_IDesireTree.mp3")</f>
        <v>1998-063_Srila_Prabhupada_Pastimes_Lecture_-_Radhanath_Swami_Mumbai_1998-05-07_IDesireTree.mp3</v>
      </c>
      <c r="D4508" s="11"/>
      <c r="E4508" s="11"/>
    </row>
    <row r="4509" spans="1:5">
      <c r="A4509" s="12" t="s">
        <v>12463</v>
      </c>
      <c r="B4509" s="12" t="s">
        <v>17048</v>
      </c>
      <c r="C4509" s="13" t="str">
        <f>HYPERLINK("https://audio.iskcondesiretree.com/02_-_ISKCON_Swamis/ISKCON_Swamis_-_R_to_Y/His_Holiness_Radhanath_Swami/Lectures/01_-_Theme_wise/Srila%20Prabhupada/1998-082_Reading_Prabhupada_Lilamrita_Lecture_-_Radhanath_Swami_Mumbai_1998-09-16_IDesireTree.mp3", "1998-082_Reading_Prabhupada_Lilamrita_Lecture_-_Radhanath_Swami_Mumbai_1998-09-16_IDesireTree.mp3")</f>
        <v>1998-082_Reading_Prabhupada_Lilamrita_Lecture_-_Radhanath_Swami_Mumbai_1998-09-16_IDesireTree.mp3</v>
      </c>
      <c r="D4509" s="11"/>
      <c r="E4509" s="11"/>
    </row>
    <row r="4510" spans="1:5">
      <c r="A4510" s="12" t="s">
        <v>12463</v>
      </c>
      <c r="B4510" s="12" t="s">
        <v>17049</v>
      </c>
      <c r="C4510" s="13" t="str">
        <f>HYPERLINK("https://audio.iskcondesiretree.com/02_-_ISKCON_Swamis/ISKCON_Swamis_-_R_to_Y/His_Holiness_Radhanath_Swami/Lectures/01_-_Theme_wise/Srila%20Prabhupada/1999-034_Srila_Prabhupada_Lilamrita_Reading_Lecture_-_Radhanath_Swami_Mumbai_1999-06-24_IDesireTree.mp3", "1999-034_Srila_Prabhupada_Lilamrita_Reading_Lecture_-_Radhanath_Swami_Mumbai_1999-06-24_IDesireTree.mp3")</f>
        <v>1999-034_Srila_Prabhupada_Lilamrita_Reading_Lecture_-_Radhanath_Swami_Mumbai_1999-06-24_IDesireTree.mp3</v>
      </c>
      <c r="D4510" s="11"/>
      <c r="E4510" s="11"/>
    </row>
    <row r="4511" spans="1:5">
      <c r="A4511" s="12" t="s">
        <v>12463</v>
      </c>
      <c r="B4511" s="12" t="e">
        <v>#VALUE!</v>
      </c>
      <c r="C4511" s="13" t="e">
        <f>HYPERLINK("https://audio.iskcondesiretree.com/02_-_ISKCON_Swamis/ISKCON_Swamis_-_R_to_Y/His_Holiness_Radhanath_Swami/Lectures/01_-_Theme_wise/Srila%20Prabhupada/2000-085_Offering_to_Srila_Prabhupada_At_Radha_Gopinath_Temple_-_Radhanath_Swami_2000-10-31_IDesireTree.m"&amp;"p3", "2000-085_Offering_to_Srila_Prabhupada_At_Radha_Gopinath_Temple_-_Radhanath_Swami_2000-10-31_IDesireTree.mp3")</f>
        <v>#VALUE!</v>
      </c>
      <c r="D4511" s="11"/>
      <c r="E4511" s="11"/>
    </row>
    <row r="4512" spans="1:5">
      <c r="A4512" s="12" t="s">
        <v>12463</v>
      </c>
      <c r="B4512" s="12" t="s">
        <v>17050</v>
      </c>
      <c r="C4512" s="13" t="str">
        <f>HYPERLINK("https://audio.iskcondesiretree.com/02_-_ISKCON_Swamis/ISKCON_Swamis_-_R_to_Y/His_Holiness_Radhanath_Swami/Lectures/01_-_Theme_wise/Srila%20Prabhupada/2001-029_Become_Loyal_To_Srila_Prabhupad_lecture_-_Radhanath_Swami_Mumbai_2001-07-08_IDesireTree.mp3", "2001-029_Become_Loyal_To_Srila_Prabhupad_lecture_-_Radhanath_Swami_Mumbai_2001-07-08_IDesireTree.mp3")</f>
        <v>2001-029_Become_Loyal_To_Srila_Prabhupad_lecture_-_Radhanath_Swami_Mumbai_2001-07-08_IDesireTree.mp3</v>
      </c>
      <c r="D4512" s="11"/>
      <c r="E4512" s="11"/>
    </row>
    <row r="4513" spans="1:5">
      <c r="A4513" s="12" t="s">
        <v>12463</v>
      </c>
      <c r="B4513" s="12" t="s">
        <v>17051</v>
      </c>
      <c r="C4513" s="13" t="str">
        <f>HYPERLINK("https://audio.iskcondesiretree.com/02_-_ISKCON_Swamis/ISKCON_Swamis_-_R_to_Y/His_Holiness_Radhanath_Swami/Lectures/01_-_Theme_wise/Srila%20Prabhupada/2001-035_Remember_Srila_Prabhupada_Lecture_-_Radhanath_Swami_Moscow_2001-07-30_IDesireTree.mp3", "2001-035_Remember_Srila_Prabhupada_Lecture_-_Radhanath_Swami_Moscow_2001-07-30_IDesireTree.mp3")</f>
        <v>2001-035_Remember_Srila_Prabhupada_Lecture_-_Radhanath_Swami_Moscow_2001-07-30_IDesireTree.mp3</v>
      </c>
      <c r="D4513" s="11"/>
      <c r="E4513" s="11"/>
    </row>
    <row r="4514" spans="1:5">
      <c r="A4514" s="12" t="s">
        <v>12463</v>
      </c>
      <c r="B4514" s="12" t="s">
        <v>17052</v>
      </c>
      <c r="C4514" s="13" t="str">
        <f>HYPERLINK("https://audio.iskcondesiretree.com/02_-_ISKCON_Swamis/ISKCON_Swamis_-_R_to_Y/His_Holiness_Radhanath_Swami/Lectures/01_-_Theme_wise/Srila%20Prabhupada/2003-011_Srila_Prabhupada_Memories_Lecture_-_Radhanath_Swami_Mumbai_2003-01-19_IDesireTree.mp3", "2003-011_Srila_Prabhupada_Memories_Lecture_-_Radhanath_Swami_Mumbai_2003-01-19_IDesireTree.mp3")</f>
        <v>2003-011_Srila_Prabhupada_Memories_Lecture_-_Radhanath_Swami_Mumbai_2003-01-19_IDesireTree.mp3</v>
      </c>
      <c r="D4514" s="11"/>
      <c r="E4514" s="11"/>
    </row>
    <row r="4515" spans="1:5">
      <c r="A4515" s="12" t="s">
        <v>12463</v>
      </c>
      <c r="B4515" s="12" t="s">
        <v>17053</v>
      </c>
      <c r="C4515" s="13" t="str">
        <f>HYPERLINK("https://audio.iskcondesiretree.com/02_-_ISKCON_Swamis/ISKCON_Swamis_-_R_to_Y/His_Holiness_Radhanath_Swami/Lectures/01_-_Theme_wise/Srila%20Prabhupada/2003-078_Offering_to_Srila_Prabhupad_Lecture_-_Radhanath_Swami_New_Vrindavan_2003-10-28_IDesireTree.mp3", "2003-078_Offering_to_Srila_Prabhupad_Lecture_-_Radhanath_Swami_New_Vrindavan_2003-10-28_IDesireTree.mp3")</f>
        <v>2003-078_Offering_to_Srila_Prabhupad_Lecture_-_Radhanath_Swami_New_Vrindavan_2003-10-28_IDesireTree.mp3</v>
      </c>
      <c r="D4515" s="11"/>
      <c r="E4515" s="11"/>
    </row>
    <row r="4516" spans="1:5">
      <c r="A4516" s="12" t="s">
        <v>12463</v>
      </c>
      <c r="B4516" s="12" t="s">
        <v>17054</v>
      </c>
      <c r="C4516" s="13" t="str">
        <f>HYPERLINK("https://audio.iskcondesiretree.com/02_-_ISKCON_Swamis/ISKCON_Swamis_-_R_to_Y/His_Holiness_Radhanath_Swami/Lectures/01_-_Theme_wise/Srila%20Prabhupada/2003-079_Lilamrta_Lecture_-_Radhanath_Swami_New_Vrindavan_2003-10-29_IDesireTree.mp3", "2003-079_Lilamrta_Lecture_-_Radhanath_Swami_New_Vrindavan_2003-10-29_IDesireTree.mp3")</f>
        <v>2003-079_Lilamrta_Lecture_-_Radhanath_Swami_New_Vrindavan_2003-10-29_IDesireTree.mp3</v>
      </c>
      <c r="D4516" s="11"/>
      <c r="E4516" s="11"/>
    </row>
    <row r="4517" spans="1:5">
      <c r="A4517" s="12" t="s">
        <v>12463</v>
      </c>
      <c r="B4517" s="12" t="e">
        <v>#VALUE!</v>
      </c>
      <c r="C4517" s="13" t="e">
        <f>HYPERLINK("https://audio.iskcondesiretree.com/02_-_ISKCON_Swamis/ISKCON_Swamis_-_R_to_Y/His_Holiness_Radhanath_Swami/Lectures/01_-_Theme_wise/Srila%20Prabhupada/2003-080_The_Nature_of_Prabhupada%27s_Love_Lecture_-_Radhanath_Swami_New_Vrindavan_2003-10-29_IDesireTree"&amp;".mp3", "2003-080_The_Nature_of_Prabhupada%27s_Love_Lecture_-_Radhanath_Swami_New_Vrindavan_2003-10-29_IDesireTree.mp3")</f>
        <v>#VALUE!</v>
      </c>
      <c r="D4517" s="11"/>
      <c r="E4517" s="11"/>
    </row>
    <row r="4518" spans="1:5">
      <c r="A4518" s="12" t="s">
        <v>12463</v>
      </c>
      <c r="B4518" s="12" t="s">
        <v>15960</v>
      </c>
      <c r="C4518" s="13" t="str">
        <f>HYPERLINK("https://audio.iskcondesiretree.com/02_-_ISKCON_Swamis/ISKCON_Swamis_-_R_to_Y/His_Holiness_Radhanath_Swami/Lectures/01_-_Theme_wise/Srimad_Bhagavatham/1989-055_Studying_Bhagavatam_SB_07-10-43-44_-_Radhanath_Swami_Mumbai_1989-09-28_IDesireTree.mp3", "1989-055_Studying_Bhagavatam_SB_07-10-43-44_-_Radhanath_Swami_Mumbai_1989-09-28_IDesireTree.mp3")</f>
        <v>1989-055_Studying_Bhagavatam_SB_07-10-43-44_-_Radhanath_Swami_Mumbai_1989-09-28_IDesireTree.mp3</v>
      </c>
      <c r="D4518" s="11"/>
      <c r="E4518" s="11"/>
    </row>
    <row r="4519" spans="1:5">
      <c r="A4519" s="12" t="s">
        <v>12463</v>
      </c>
      <c r="B4519" s="12" t="s">
        <v>17055</v>
      </c>
      <c r="C4519" s="13" t="str">
        <f>HYPERLINK("https://audio.iskcondesiretree.com/02_-_ISKCON_Swamis/ISKCON_Swamis_-_R_to_Y/His_Holiness_Radhanath_Swami/Lectures/01_-_Theme_wise/Srimad_Bhagavatham/1991-079_Pure_Bhagavat_Philosophy_SB_10-01-14_-_Radhanath_Swami_Mumbai_1991-10-15_IDesireTree.mp3", "1991-079_Pure_Bhagavat_Philosophy_SB_10-01-14_-_Radhanath_Swami_Mumbai_1991-10-15_IDesireTree.mp3")</f>
        <v>1991-079_Pure_Bhagavat_Philosophy_SB_10-01-14_-_Radhanath_Swami_Mumbai_1991-10-15_IDesireTree.mp3</v>
      </c>
      <c r="D4519" s="11"/>
      <c r="E4519" s="11"/>
    </row>
    <row r="4520" spans="1:5">
      <c r="A4520" s="12" t="s">
        <v>12463</v>
      </c>
      <c r="B4520" s="12" t="s">
        <v>17056</v>
      </c>
      <c r="C4520" s="13" t="str">
        <f>HYPERLINK("https://audio.iskcondesiretree.com/02_-_ISKCON_Swamis/ISKCON_Swamis_-_R_to_Y/His_Holiness_Radhanath_Swami/Lectures/01_-_Theme_wise/Srimad_Bhagavatham/1992-018_Reading_The_Bhagvatam_SB_10-04-20_-_Radhanath_Swami_Mumbai_1992-01-30_IDesireTree.mp3", "1992-018_Reading_The_Bhagvatam_SB_10-04-20_-_Radhanath_Swami_Mumbai_1992-01-30_IDesireTree.mp3")</f>
        <v>1992-018_Reading_The_Bhagvatam_SB_10-04-20_-_Radhanath_Swami_Mumbai_1992-01-30_IDesireTree.mp3</v>
      </c>
      <c r="D4520" s="11"/>
      <c r="E4520" s="11"/>
    </row>
    <row r="4521" spans="1:5">
      <c r="A4521" s="12" t="s">
        <v>12463</v>
      </c>
      <c r="B4521" s="12" t="s">
        <v>17057</v>
      </c>
      <c r="C4521" s="13" t="str">
        <f>HYPERLINK("https://audio.iskcondesiretree.com/02_-_ISKCON_Swamis/ISKCON_Swamis_-_R_to_Y/His_Holiness_Radhanath_Swami/Lectures/01_-_Theme_wise/Srimad_Bhagavatham/1997-049_Glories_of_Srimad_Bhagavatam_SB_02-08-02_-_Radhanath_Swami_Mumbai_1997-02-23_IDesireTree.mp3", "1997-049_Glories_of_Srimad_Bhagavatam_SB_02-08-02_-_Radhanath_Swami_Mumbai_1997-02-23_IDesireTree.mp3")</f>
        <v>1997-049_Glories_of_Srimad_Bhagavatam_SB_02-08-02_-_Radhanath_Swami_Mumbai_1997-02-23_IDesireTree.mp3</v>
      </c>
      <c r="D4521" s="11"/>
      <c r="E4521" s="11"/>
    </row>
    <row r="4522" spans="1:5">
      <c r="A4522" s="12" t="s">
        <v>12463</v>
      </c>
      <c r="B4522" s="12" t="s">
        <v>17058</v>
      </c>
      <c r="C4522" s="13" t="str">
        <f>HYPERLINK("https://audio.iskcondesiretree.com/02_-_ISKCON_Swamis/ISKCON_Swamis_-_R_to_Y/His_Holiness_Radhanath_Swami/Lectures/01_-_Theme_wise/Srimad_Bhagavatham/1997-076_Chatusshloki_Bhagavatam_SB_02-09-35-36_-_Radhanath_Swami_Mumbai_1997-05-14_IDesireTree.mp3", "1997-076_Chatusshloki_Bhagavatam_SB_02-09-35-36_-_Radhanath_Swami_Mumbai_1997-05-14_IDesireTree.mp3")</f>
        <v>1997-076_Chatusshloki_Bhagavatam_SB_02-09-35-36_-_Radhanath_Swami_Mumbai_1997-05-14_IDesireTree.mp3</v>
      </c>
      <c r="D4522" s="11"/>
      <c r="E4522" s="11"/>
    </row>
    <row r="4523" spans="1:5">
      <c r="A4523" s="12" t="s">
        <v>12463</v>
      </c>
      <c r="B4523" s="12" t="s">
        <v>17059</v>
      </c>
      <c r="C4523" s="13" t="str">
        <f>HYPERLINK("https://audio.iskcondesiretree.com/02_-_ISKCON_Swamis/ISKCON_Swamis_-_R_to_Y/His_Holiness_Radhanath_Swami/Lectures/01_-_Theme_wise/Srimad_Bhagavatham/1997-132_Right_Approach_To_Bhagavatam_SB_05-04-08_-_Radhanath_Swami_Mayapur_1997-10-27_IDesireTree.mp3", "1997-132_Right_Approach_To_Bhagavatam_SB_05-04-08_-_Radhanath_Swami_Mayapur_1997-10-27_IDesireTree.mp3")</f>
        <v>1997-132_Right_Approach_To_Bhagavatam_SB_05-04-08_-_Radhanath_Swami_Mayapur_1997-10-27_IDesireTree.mp3</v>
      </c>
      <c r="D4523" s="11"/>
      <c r="E4523" s="11"/>
    </row>
    <row r="4524" spans="1:5">
      <c r="A4524" s="12" t="s">
        <v>12463</v>
      </c>
      <c r="B4524" s="12" t="s">
        <v>17060</v>
      </c>
      <c r="C4524" s="13" t="str">
        <f>HYPERLINK("https://audio.iskcondesiretree.com/02_-_ISKCON_Swamis/ISKCON_Swamis_-_R_to_Y/His_Holiness_Radhanath_Swami/Lectures/01_-_Theme_wise/Submissiveness/1991-063_Obedience_To_Guru_Parampara_CC_AL_01-02_-_Radhanath_Swami_Mumbai_1991-06-08_IDesireTree.mp3", "1991-063_Obedience_To_Guru_Parampara_CC_AL_01-02_-_Radhanath_Swami_Mumbai_1991-06-08_IDesireTree.mp3")</f>
        <v>1991-063_Obedience_To_Guru_Parampara_CC_AL_01-02_-_Radhanath_Swami_Mumbai_1991-06-08_IDesireTree.mp3</v>
      </c>
      <c r="D4524" s="11"/>
      <c r="E4524" s="11"/>
    </row>
    <row r="4525" spans="1:5">
      <c r="A4525" s="12" t="s">
        <v>12463</v>
      </c>
      <c r="B4525" s="12" t="s">
        <v>17006</v>
      </c>
      <c r="C4525" s="13" t="str">
        <f>HYPERLINK("https://audio.iskcondesiretree.com/02_-_ISKCON_Swamis/ISKCON_Swamis_-_R_to_Y/His_Holiness_Radhanath_Swami/Lectures/01_-_Theme_wise/Submissiveness/1992-066_Submissive_Approach_To_Guru_BG_02-45_-_Radhanath_Swami_1992-06-09_IDesireTree.mp3", "1992-066_Submissive_Approach_To_Guru_BG_02-45_-_Radhanath_Swami_1992-06-09_IDesireTree.mp3")</f>
        <v>1992-066_Submissive_Approach_To_Guru_BG_02-45_-_Radhanath_Swami_1992-06-09_IDesireTree.mp3</v>
      </c>
      <c r="D4525" s="11"/>
      <c r="E4525" s="11"/>
    </row>
    <row r="4526" spans="1:5">
      <c r="A4526" s="12" t="s">
        <v>12463</v>
      </c>
      <c r="B4526" s="12" t="s">
        <v>17007</v>
      </c>
      <c r="C4526" s="13" t="str">
        <f>HYPERLINK("https://audio.iskcondesiretree.com/02_-_ISKCON_Swamis/ISKCON_Swamis_-_R_to_Y/His_Holiness_Radhanath_Swami/Lectures/01_-_Theme_wise/Submissiveness/1992-086_Spiritual_Chastisement_BG_02-11_-_Radhanath_Swami_Mumbai_1992-08-23_IDesireTree.mp3", "1992-086_Spiritual_Chastisement_BG_02-11_-_Radhanath_Swami_Mumbai_1992-08-23_IDesireTree.mp3")</f>
        <v>1992-086_Spiritual_Chastisement_BG_02-11_-_Radhanath_Swami_Mumbai_1992-08-23_IDesireTree.mp3</v>
      </c>
      <c r="D4526" s="11"/>
      <c r="E4526" s="11"/>
    </row>
    <row r="4527" spans="1:5">
      <c r="A4527" s="12" t="s">
        <v>12463</v>
      </c>
      <c r="B4527" s="12" t="s">
        <v>16214</v>
      </c>
      <c r="C4527" s="13" t="str">
        <f>HYPERLINK("https://audio.iskcondesiretree.com/02_-_ISKCON_Swamis/ISKCON_Swamis_-_R_to_Y/His_Holiness_Radhanath_Swami/Lectures/01_-_Theme_wise/Submissiveness/1994-135_Submitting_To_The_Parampara_SB_01-04-01_-_Radhanath_Swami_Mumbai_1994-09-07_IDesireTree.mp3", "1994-135_Submitting_To_The_Parampara_SB_01-04-01_-_Radhanath_Swami_Mumbai_1994-09-07_IDesireTree.mp3")</f>
        <v>1994-135_Submitting_To_The_Parampara_SB_01-04-01_-_Radhanath_Swami_Mumbai_1994-09-07_IDesireTree.mp3</v>
      </c>
      <c r="D4527" s="11"/>
      <c r="E4527" s="11"/>
    </row>
    <row r="4528" spans="1:5">
      <c r="A4528" s="12" t="s">
        <v>12463</v>
      </c>
      <c r="B4528" s="12" t="s">
        <v>17061</v>
      </c>
      <c r="C4528" s="13" t="str">
        <f>HYPERLINK("https://audio.iskcondesiretree.com/02_-_ISKCON_Swamis/ISKCON_Swamis_-_R_to_Y/His_Holiness_Radhanath_Swami/Lectures/01_-_Theme_wise/Submissiveness/1997-047_Become_Submissive_SB_02-08-01_-_Radhanath_Swami_Mumbai_1997-02-22_IDesireTree.mp3", "1997-047_Become_Submissive_SB_02-08-01_-_Radhanath_Swami_Mumbai_1997-02-22_IDesireTree.mp3")</f>
        <v>1997-047_Become_Submissive_SB_02-08-01_-_Radhanath_Swami_Mumbai_1997-02-22_IDesireTree.mp3</v>
      </c>
      <c r="D4528" s="11"/>
      <c r="E4528" s="11"/>
    </row>
    <row r="4529" spans="1:5">
      <c r="A4529" s="12" t="s">
        <v>12463</v>
      </c>
      <c r="B4529" s="12" t="s">
        <v>17062</v>
      </c>
      <c r="C4529" s="13" t="str">
        <f>HYPERLINK("https://audio.iskcondesiretree.com/02_-_ISKCON_Swamis/ISKCON_Swamis_-_R_to_Y/His_Holiness_Radhanath_Swami/Lectures/01_-_Theme_wise/Submissiveness/1998-092_Preach_Only_When_You_Receive_the_Order_Lecture_-_Radhanath_Swami_Mumbai_1997-09-28_IDesireTree.mp3", "1998-092_Preach_Only_When_You_Receive_the_Order_Lecture_-_Radhanath_Swami_Mumbai_1997-09-28_IDesireTree.mp3")</f>
        <v>1998-092_Preach_Only_When_You_Receive_the_Order_Lecture_-_Radhanath_Swami_Mumbai_1997-09-28_IDesireTree.mp3</v>
      </c>
      <c r="D4529" s="11"/>
      <c r="E4529" s="11"/>
    </row>
    <row r="4530" spans="1:5">
      <c r="A4530" s="12" t="s">
        <v>12463</v>
      </c>
      <c r="B4530" s="12" t="s">
        <v>17063</v>
      </c>
      <c r="C4530" s="13" t="str">
        <f>HYPERLINK("https://audio.iskcondesiretree.com/02_-_ISKCON_Swamis/ISKCON_Swamis_-_R_to_Y/His_Holiness_Radhanath_Swami/Lectures/01_-_Theme_wise/Suffering_How_to_handle/1989-004_Unfortunates_Are_Fortunates_SB_07-15-68_-_Radhanath_Swami_Mumbai_-_29-03-89_IDesireTree.mp3", "1989-004_Unfortunates_Are_Fortunates_SB_07-15-68_-_Radhanath_Swami_Mumbai_-_29-03-89_IDesireTree.mp3")</f>
        <v>1989-004_Unfortunates_Are_Fortunates_SB_07-15-68_-_Radhanath_Swami_Mumbai_-_29-03-89_IDesireTree.mp3</v>
      </c>
      <c r="D4530" s="11"/>
      <c r="E4530" s="11"/>
    </row>
    <row r="4531" spans="1:5">
      <c r="A4531" s="12" t="s">
        <v>12463</v>
      </c>
      <c r="B4531" s="12" t="s">
        <v>16620</v>
      </c>
      <c r="C4531" s="13" t="str">
        <f>HYPERLINK("https://audio.iskcondesiretree.com/02_-_ISKCON_Swamis/ISKCON_Swamis_-_R_to_Y/His_Holiness_Radhanath_Swami/Lectures/01_-_Theme_wise/Suffering_How_to_handle/1991-093_Calling_With_Helplessness_SB_10-01-20_-_Radhanath_Swami_Mumbai_1991-10-20_IDesireTree.mp3", "1991-093_Calling_With_Helplessness_SB_10-01-20_-_Radhanath_Swami_Mumbai_1991-10-20_IDesireTree.mp3")</f>
        <v>1991-093_Calling_With_Helplessness_SB_10-01-20_-_Radhanath_Swami_Mumbai_1991-10-20_IDesireTree.mp3</v>
      </c>
      <c r="D4531" s="11"/>
      <c r="E4531" s="11"/>
    </row>
    <row r="4532" spans="1:5">
      <c r="A4532" s="12" t="s">
        <v>12463</v>
      </c>
      <c r="B4532" s="12" t="s">
        <v>17064</v>
      </c>
      <c r="C4532" s="13" t="str">
        <f>HYPERLINK("https://audio.iskcondesiretree.com/02_-_ISKCON_Swamis/ISKCON_Swamis_-_R_to_Y/His_Holiness_Radhanath_Swami/Lectures/01_-_Theme_wise/Suffering_How_to_handle/1992-088_Real_Cause_Of_Suffering_SB_11-23-42-43_-_Radhanath_Swami_Mumbai_1992-08-24_IDesireTree.mp3", "1992-088_Real_Cause_Of_Suffering_SB_11-23-42-43_-_Radhanath_Swami_Mumbai_1992-08-24_IDesireTree.mp3")</f>
        <v>1992-088_Real_Cause_Of_Suffering_SB_11-23-42-43_-_Radhanath_Swami_Mumbai_1992-08-24_IDesireTree.mp3</v>
      </c>
      <c r="D4532" s="11"/>
      <c r="E4532" s="11"/>
    </row>
    <row r="4533" spans="1:5">
      <c r="A4533" s="12" t="s">
        <v>12463</v>
      </c>
      <c r="B4533" s="12" t="s">
        <v>17065</v>
      </c>
      <c r="C4533" s="13" t="str">
        <f>HYPERLINK("https://audio.iskcondesiretree.com/02_-_ISKCON_Swamis/ISKCON_Swamis_-_R_to_Y/His_Holiness_Radhanath_Swami/Lectures/01_-_Theme_wise/Suffering_How_to_handle/1995-071_Material_Life_Means_Suffering_HT_-_BG_06-40_-_Radhanath_Swami_Kurukshetra_1995-03-27.mp3", "1995-071_Material_Life_Means_Suffering_HT_-_BG_06-40_-_Radhanath_Swami_Kurukshetra_1995-03-27.mp3")</f>
        <v>1995-071_Material_Life_Means_Suffering_HT_-_BG_06-40_-_Radhanath_Swami_Kurukshetra_1995-03-27.mp3</v>
      </c>
      <c r="D4533" s="11"/>
      <c r="E4533" s="11"/>
    </row>
    <row r="4534" spans="1:5">
      <c r="A4534" s="12" t="s">
        <v>12463</v>
      </c>
      <c r="B4534" s="12" t="s">
        <v>14161</v>
      </c>
      <c r="C4534" s="13" t="str">
        <f>HYPERLINK("https://audio.iskcondesiretree.com/02_-_ISKCON_Swamis/ISKCON_Swamis_-_R_to_Y/His_Holiness_Radhanath_Swami/Lectures/01_-_Theme_wise/Suffering_How_to_handle/1997-031_Material_Problems_And_Spiritual_Solution_Lecture_Mumbai_-_07-02-97_IDesireTree.mp3", "1997-031_Material_Problems_And_Spiritual_Solution_Lecture_Mumbai_-_07-02-97_IDesireTree.mp3")</f>
        <v>1997-031_Material_Problems_And_Spiritual_Solution_Lecture_Mumbai_-_07-02-97_IDesireTree.mp3</v>
      </c>
      <c r="D4534" s="11"/>
      <c r="E4534" s="11"/>
    </row>
    <row r="4535" spans="1:5">
      <c r="A4535" s="12" t="s">
        <v>12463</v>
      </c>
      <c r="B4535" s="12" t="s">
        <v>17066</v>
      </c>
      <c r="C4535" s="13" t="str">
        <f>HYPERLINK("https://audio.iskcondesiretree.com/02_-_ISKCON_Swamis/ISKCON_Swamis_-_R_to_Y/His_Holiness_Radhanath_Swami/Lectures/01_-_Theme_wise/Suffering_How_to_handle/1998-096_Identify_Yourself_Properly_SB_03-02-29_-_Radhanath_Swami_Mumbai_1997-10-07_IDesireTree.mp3", "1998-096_Identify_Yourself_Properly_SB_03-02-29_-_Radhanath_Swami_Mumbai_1997-10-07_IDesireTree.mp3")</f>
        <v>1998-096_Identify_Yourself_Properly_SB_03-02-29_-_Radhanath_Swami_Mumbai_1997-10-07_IDesireTree.mp3</v>
      </c>
      <c r="D4535" s="11"/>
      <c r="E4535" s="11"/>
    </row>
    <row r="4536" spans="1:5">
      <c r="A4536" s="12" t="s">
        <v>12463</v>
      </c>
      <c r="B4536" s="12" t="s">
        <v>16574</v>
      </c>
      <c r="C4536" s="13" t="str">
        <f>HYPERLINK("https://audio.iskcondesiretree.com/02_-_ISKCON_Swamis/ISKCON_Swamis_-_R_to_Y/His_Holiness_Radhanath_Swami/Lectures/01_-_Theme_wise/Surrender/1990-049_Krsna_Needs_Your_Surrender_SB_08-01-15_-_Radhanath_Swami_Mumbai_1990-04-30_IDesireTree.mp3", "1990-049_Krsna_Needs_Your_Surrender_SB_08-01-15_-_Radhanath_Swami_Mumbai_1990-04-30_IDesireTree.mp3")</f>
        <v>1990-049_Krsna_Needs_Your_Surrender_SB_08-01-15_-_Radhanath_Swami_Mumbai_1990-04-30_IDesireTree.mp3</v>
      </c>
      <c r="D4536" s="11"/>
      <c r="E4536" s="11"/>
    </row>
    <row r="4537" spans="1:5">
      <c r="A4537" s="12" t="s">
        <v>12463</v>
      </c>
      <c r="B4537" s="12" t="s">
        <v>17067</v>
      </c>
      <c r="C4537" s="13" t="str">
        <f>HYPERLINK("https://audio.iskcondesiretree.com/02_-_ISKCON_Swamis/ISKCON_Swamis_-_R_to_Y/His_Holiness_Radhanath_Swami/Lectures/01_-_Theme_wise/Surrender/1990-051_What_Surrender_Means_SB-08_02_31-32_-_Radhanath_Swami_Mumbai_1990-05-20_IDesireTree.mp3", "1990-051_What_Surrender_Means_SB-08_02_31-32_-_Radhanath_Swami_Mumbai_1990-05-20_IDesireTree.mp3")</f>
        <v>1990-051_What_Surrender_Means_SB-08_02_31-32_-_Radhanath_Swami_Mumbai_1990-05-20_IDesireTree.mp3</v>
      </c>
      <c r="D4537" s="11"/>
      <c r="E4537" s="11"/>
    </row>
    <row r="4538" spans="1:5">
      <c r="A4538" s="12" t="s">
        <v>12463</v>
      </c>
      <c r="B4538" s="12" t="s">
        <v>17068</v>
      </c>
      <c r="C4538" s="13" t="str">
        <f>HYPERLINK("https://audio.iskcondesiretree.com/02_-_ISKCON_Swamis/ISKCON_Swamis_-_R_to_Y/His_Holiness_Radhanath_Swami/Lectures/01_-_Theme_wise/Surrender/1990-077_Surrendering_Everything_Lecture_-_Radhanath_Swami_Mumbai_1990-09-02_IDesireTree.mp3", "1990-077_Surrendering_Everything_Lecture_-_Radhanath_Swami_Mumbai_1990-09-02_IDesireTree.mp3")</f>
        <v>1990-077_Surrendering_Everything_Lecture_-_Radhanath_Swami_Mumbai_1990-09-02_IDesireTree.mp3</v>
      </c>
      <c r="D4538" s="11"/>
      <c r="E4538" s="11"/>
    </row>
    <row r="4539" spans="1:5">
      <c r="A4539" s="12" t="s">
        <v>12463</v>
      </c>
      <c r="B4539" s="12" t="s">
        <v>16706</v>
      </c>
      <c r="C4539" s="13" t="str">
        <f>HYPERLINK("https://audio.iskcondesiretree.com/02_-_ISKCON_Swamis/ISKCON_Swamis_-_R_to_Y/His_Holiness_Radhanath_Swami/Lectures/01_-_Theme_wise/Surrender/1991-023_Surrender_To_His_Love_And_Mercy_Lecture_-_Radhanath_Swami_Mumbai_1991-02-27_IDesireTree.mp3",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539" s="11"/>
      <c r="E4539" s="11"/>
    </row>
    <row r="4540" spans="1:5">
      <c r="A4540" s="12" t="s">
        <v>12463</v>
      </c>
      <c r="B4540" s="12" t="s">
        <v>16233</v>
      </c>
      <c r="C4540" s="13" t="str">
        <f>HYPERLINK("https://audio.iskcondesiretree.com/02_-_ISKCON_Swamis/ISKCON_Swamis_-_R_to_Y/His_Holiness_Radhanath_Swami/Lectures/01_-_Theme_wise/Surrender/1991-031_Surrender_And_Faith_BG_11-30-32_-_Radhanath_Swami_Mumbai_1991-03-08_IDesireTree.mp3", "1991-031_Surrender_And_Faith_BG_11-30-32_-_Radhanath_Swami_Mumbai_1991-03-08_IDesireTree.mp3")</f>
        <v>1991-031_Surrender_And_Faith_BG_11-30-32_-_Radhanath_Swami_Mumbai_1991-03-08_IDesireTree.mp3</v>
      </c>
      <c r="D4540" s="11"/>
      <c r="E4540" s="11"/>
    </row>
    <row r="4541" spans="1:5">
      <c r="A4541" s="12" t="s">
        <v>12463</v>
      </c>
      <c r="B4541" s="12" t="e">
        <v>#VALUE!</v>
      </c>
      <c r="C4541" s="13" t="e">
        <f>HYPERLINK("https://audio.iskcondesiretree.com/02_-_ISKCON_Swamis/ISKCON_Swamis_-_R_to_Y/His_Holiness_Radhanath_Swami/Lectures/01_-_Theme_wise/Surrender/1991-124_Exalted_Surrender_Of_Lord%27s_Pure_Devotees_SB_10-02-17_-_Radhanath_Swami_Mumbai_1991-11-26_IDesireTree.m"&amp;"p3", "1991-124_Exalted_Surrender_Of_Lord%27s_Pure_Devotees_SB_10-02-17_-_Radhanath_Swami_Mumbai_1991-11-26_IDesireTree.mp3")</f>
        <v>#VALUE!</v>
      </c>
      <c r="D4541" s="11"/>
      <c r="E4541" s="11"/>
    </row>
    <row r="4542" spans="1:5">
      <c r="A4542" s="12" t="s">
        <v>12463</v>
      </c>
      <c r="B4542" s="12" t="s">
        <v>17069</v>
      </c>
      <c r="C4542" s="13" t="str">
        <f>HYPERLINK("https://audio.iskcondesiretree.com/02_-_ISKCON_Swamis/ISKCON_Swamis_-_R_to_Y/His_Holiness_Radhanath_Swami/Lectures/01_-_Theme_wise/Surrender/1992-124_The_Gift_Of_Surrendering_BG_18-78_-_Radhanath_Swami_Mumbai_1992-11-21_IDesireTree.mp3", "1992-124_The_Gift_Of_Surrendering_BG_18-78_-_Radhanath_Swami_Mumbai_1992-11-21_IDesireTree.mp3")</f>
        <v>1992-124_The_Gift_Of_Surrendering_BG_18-78_-_Radhanath_Swami_Mumbai_1992-11-21_IDesireTree.mp3</v>
      </c>
      <c r="D4542" s="11"/>
      <c r="E4542" s="11"/>
    </row>
    <row r="4543" spans="1:5">
      <c r="A4543" s="12" t="s">
        <v>12463</v>
      </c>
      <c r="B4543" s="12" t="s">
        <v>17070</v>
      </c>
      <c r="C4543" s="13" t="str">
        <f>HYPERLINK("https://audio.iskcondesiretree.com/02_-_ISKCON_Swamis/ISKCON_Swamis_-_R_to_Y/His_Holiness_Radhanath_Swami/Lectures/01_-_Theme_wise/Surrender/1992-140_Only_Surrender_SB_02-04-21_-_Radhanath_Swami_Mumbai_1992-12-13_IDesireTree.mp3", "1992-140_Only_Surrender_SB_02-04-21_-_Radhanath_Swami_Mumbai_1992-12-13_IDesireTree.mp3")</f>
        <v>1992-140_Only_Surrender_SB_02-04-21_-_Radhanath_Swami_Mumbai_1992-12-13_IDesireTree.mp3</v>
      </c>
      <c r="D4543" s="11"/>
      <c r="E4543" s="11"/>
    </row>
    <row r="4544" spans="1:5">
      <c r="A4544" s="12" t="s">
        <v>12463</v>
      </c>
      <c r="B4544" s="12" t="s">
        <v>17071</v>
      </c>
      <c r="C4544" s="13" t="str">
        <f>HYPERLINK("https://audio.iskcondesiretree.com/02_-_ISKCON_Swamis/ISKCON_Swamis_-_R_to_Y/His_Holiness_Radhanath_Swami/Lectures/01_-_Theme_wise/Surrender/1993-190_Dhritarashtra_Surrenders_SB_10-49-29-31_-_Radhanath_Swami_Mumbai_1993-12-20_IDesireTree.mp3", "1993-190_Dhritarashtra_Surrenders_SB_10-49-29-31_-_Radhanath_Swami_Mumbai_1993-12-20_IDesireTree.mp3")</f>
        <v>1993-190_Dhritarashtra_Surrenders_SB_10-49-29-31_-_Radhanath_Swami_Mumbai_1993-12-20_IDesireTree.mp3</v>
      </c>
      <c r="D4544" s="11"/>
      <c r="E4544" s="11"/>
    </row>
    <row r="4545" spans="1:5">
      <c r="A4545" s="12" t="s">
        <v>12463</v>
      </c>
      <c r="B4545" s="12" t="s">
        <v>17072</v>
      </c>
      <c r="C4545" s="13" t="str">
        <f>HYPERLINK("https://audio.iskcondesiretree.com/02_-_ISKCON_Swamis/ISKCON_Swamis_-_R_to_Y/His_Holiness_Radhanath_Swami/Lectures/01_-_Theme_wise/Surrender/1994-022_Krishna_Protects_Those_Who_Surrender_BG_09-22_-_Radhanath_Swami_Kurukshetra_1994-02-08_IDesireTree.mp3", "1994-022_Krishna_Protects_Those_Who_Surrender_BG_09-22_-_Radhanath_Swami_Kurukshetra_1994-02-08_IDesireTree.mp3")</f>
        <v>1994-022_Krishna_Protects_Those_Who_Surrender_BG_09-22_-_Radhanath_Swami_Kurukshetra_1994-02-08_IDesireTree.mp3</v>
      </c>
      <c r="D4545" s="11"/>
      <c r="E4545" s="11"/>
    </row>
    <row r="4546" spans="1:5">
      <c r="A4546" s="12" t="s">
        <v>12463</v>
      </c>
      <c r="B4546" s="12" t="s">
        <v>17073</v>
      </c>
      <c r="C4546" s="13" t="str">
        <f>HYPERLINK("https://audio.iskcondesiretree.com/02_-_ISKCON_Swamis/ISKCON_Swamis_-_R_to_Y/His_Holiness_Radhanath_Swami/Lectures/01_-_Theme_wise/Surrender/1994-039_Surrender-_By_Realisation_Lecture_-_Radhanath_Swami_Mumbai_1994-02-21_IDesireTree.mp3", "1994-039_Surrender-_By_Realisation_Lecture_-_Radhanath_Swami_Mumbai_1994-02-21_IDesireTree.mp3")</f>
        <v>1994-039_Surrender-_By_Realisation_Lecture_-_Radhanath_Swami_Mumbai_1994-02-21_IDesireTree.mp3</v>
      </c>
      <c r="D4546" s="11"/>
      <c r="E4546" s="11"/>
    </row>
    <row r="4547" spans="1:5">
      <c r="A4547" s="12" t="s">
        <v>12463</v>
      </c>
      <c r="B4547" s="12" t="s">
        <v>17074</v>
      </c>
      <c r="C4547" s="13" t="str">
        <f>HYPERLINK("https://audio.iskcondesiretree.com/02_-_ISKCON_Swamis/ISKCON_Swamis_-_R_to_Y/His_Holiness_Radhanath_Swami/Lectures/01_-_Theme_wise/Surrender/1994-054_Surrendering_Everything_SB_08-18-23-25_-_Radhanath_Swami_Mumbai_1994-03-25_IDesireTree.mp3", "1994-054_Surrendering_Everything_SB_08-18-23-25_-_Radhanath_Swami_Mumbai_1994-03-25_IDesireTree.mp3")</f>
        <v>1994-054_Surrendering_Everything_SB_08-18-23-25_-_Radhanath_Swami_Mumbai_1994-03-25_IDesireTree.mp3</v>
      </c>
      <c r="D4547" s="11"/>
      <c r="E4547" s="11"/>
    </row>
    <row r="4548" spans="1:5">
      <c r="A4548" s="12" t="s">
        <v>12463</v>
      </c>
      <c r="B4548" s="12" t="s">
        <v>17075</v>
      </c>
      <c r="C4548" s="13" t="str">
        <f>HYPERLINK("https://audio.iskcondesiretree.com/02_-_ISKCON_Swamis/ISKCON_Swamis_-_R_to_Y/His_Holiness_Radhanath_Swami/Lectures/01_-_Theme_wise/Surrender/1994-082_Importance_Of_Surrender_SB_07-01-07_-_Radhanath_Swami_Mumbai_1994-05-12_IDesireTree.mp3", "1994-082_Importance_Of_Surrender_SB_07-01-07_-_Radhanath_Swami_Mumbai_1994-05-12_IDesireTree.mp3")</f>
        <v>1994-082_Importance_Of_Surrender_SB_07-01-07_-_Radhanath_Swami_Mumbai_1994-05-12_IDesireTree.mp3</v>
      </c>
      <c r="D4548" s="11"/>
      <c r="E4548" s="11"/>
    </row>
    <row r="4549" spans="1:5">
      <c r="A4549" s="12" t="s">
        <v>12463</v>
      </c>
      <c r="B4549" s="12" t="s">
        <v>17076</v>
      </c>
      <c r="C4549" s="13" t="str">
        <f>HYPERLINK("https://audio.iskcondesiretree.com/02_-_ISKCON_Swamis/ISKCON_Swamis_-_R_to_Y/His_Holiness_Radhanath_Swami/Lectures/01_-_Theme_wise/Surrender/1994-137_Surrender_To_the_Order_SB_01-03-42_-_Radhanath_Swami_Mumbai_1994-09-04_IDesireTree.mp3", "1994-137_Surrender_To_the_Order_SB_01-03-42_-_Radhanath_Swami_Mumbai_1994-09-04_IDesireTree.mp3")</f>
        <v>1994-137_Surrender_To_the_Order_SB_01-03-42_-_Radhanath_Swami_Mumbai_1994-09-04_IDesireTree.mp3</v>
      </c>
      <c r="D4549" s="11"/>
      <c r="E4549" s="11"/>
    </row>
    <row r="4550" spans="1:5">
      <c r="A4550" s="12" t="s">
        <v>12463</v>
      </c>
      <c r="B4550" s="12" t="s">
        <v>16495</v>
      </c>
      <c r="C4550" s="13" t="str">
        <f>HYPERLINK("https://audio.iskcondesiretree.com/02_-_ISKCON_Swamis/ISKCON_Swamis_-_R_to_Y/His_Holiness_Radhanath_Swami/Lectures/01_-_Theme_wise/Surrender/1996-149_Surrender_With_Humility_BG_02-04-07_-_Radhanath_Swami_Mumbai_1996-10-06_IDesireTree.mp3", "1996-149_Surrender_With_Humility_BG_02-04-07_-_Radhanath_Swami_Mumbai_1996-10-06_IDesireTree.mp3")</f>
        <v>1996-149_Surrender_With_Humility_BG_02-04-07_-_Radhanath_Swami_Mumbai_1996-10-06_IDesireTree.mp3</v>
      </c>
      <c r="D4550" s="11"/>
      <c r="E4550" s="11"/>
    </row>
    <row r="4551" spans="1:5">
      <c r="A4551" s="12" t="s">
        <v>12463</v>
      </c>
      <c r="B4551" s="12" t="s">
        <v>16567</v>
      </c>
      <c r="C4551" s="13" t="str">
        <f>HYPERLINK("https://audio.iskcondesiretree.com/02_-_ISKCON_Swamis/ISKCON_Swamis_-_R_to_Y/His_Holiness_Radhanath_Swami/Lectures/01_-_Theme_wise/Surrender/1996-155_Knowledge_By_Utter_Surrender_SB_02-04-23_-_Radhanath_Swami_Mumbai_1996-10-19_IDesireTree.mp3", "1996-155_Knowledge_By_Utter_Surrender_SB_02-04-23_-_Radhanath_Swami_Mumbai_1996-10-19_IDesireTree.mp3")</f>
        <v>1996-155_Knowledge_By_Utter_Surrender_SB_02-04-23_-_Radhanath_Swami_Mumbai_1996-10-19_IDesireTree.mp3</v>
      </c>
      <c r="D4551" s="11"/>
      <c r="E4551" s="11"/>
    </row>
    <row r="4552" spans="1:5">
      <c r="A4552" s="12" t="s">
        <v>12463</v>
      </c>
      <c r="B4552" s="12" t="s">
        <v>17025</v>
      </c>
      <c r="C4552" s="13" t="str">
        <f>HYPERLINK("https://audio.iskcondesiretree.com/02_-_ISKCON_Swamis/ISKCON_Swamis_-_R_to_Y/His_Holiness_Radhanath_Swami/Lectures/01_-_Theme_wise/Surrender/1996-173_Surrender_By_Hearing_And_Chanting_SB_02-06-38_-_Radhanath_Swami_Mumbai_1996-12-22_IDesireTree.mp3", "1996-173_Surrender_By_Hearing_And_Chanting_SB_02-06-38_-_Radhanath_Swami_Mumbai_1996-12-22_IDesireTree.mp3")</f>
        <v>1996-173_Surrender_By_Hearing_And_Chanting_SB_02-06-38_-_Radhanath_Swami_Mumbai_1996-12-22_IDesireTree.mp3</v>
      </c>
      <c r="D4552" s="11"/>
      <c r="E4552" s="11"/>
    </row>
    <row r="4553" spans="1:5">
      <c r="A4553" s="12" t="s">
        <v>12463</v>
      </c>
      <c r="B4553" s="12" t="s">
        <v>17077</v>
      </c>
      <c r="C4553" s="13" t="str">
        <f>HYPERLINK("https://audio.iskcondesiretree.com/02_-_ISKCON_Swamis/ISKCON_Swamis_-_R_to_Y/His_Holiness_Radhanath_Swami/Lectures/01_-_Theme_wise/Surrender/1997-034_Surrender_To_The_Surrendered_SB_02-07-43-45_-_Radhanath_Swami_Mumbai_1997-02-09_IDesireTree.mp3", "1997-034_Surrender_To_The_Surrendered_SB_02-07-43-45_-_Radhanath_Swami_Mumbai_1997-02-09_IDesireTree.mp3")</f>
        <v>1997-034_Surrender_To_The_Surrendered_SB_02-07-43-45_-_Radhanath_Swami_Mumbai_1997-02-09_IDesireTree.mp3</v>
      </c>
      <c r="D4553" s="11"/>
      <c r="E4553" s="11"/>
    </row>
    <row r="4554" spans="1:5">
      <c r="A4554" s="12" t="s">
        <v>12463</v>
      </c>
      <c r="B4554" s="12" t="s">
        <v>15927</v>
      </c>
      <c r="C4554" s="13" t="str">
        <f>HYPERLINK("https://audio.iskcondesiretree.com/02_-_ISKCON_Swamis/ISKCON_Swamis_-_R_to_Y/His_Holiness_Radhanath_Swami/Lectures/01_-_Theme_wise/Surrender/1999-039_Surrendering_Krsna_With_Full_Devotion_Lecture_-_Radhanath_Swami_Nasik_1999-07-07_IDesireTree.mp3", "1999-039_Surrendering_Krsna_With_Full_Devotion_Lecture_-_Radhanath_Swami_Nasik_1999-07-07_IDesireTree.mp3")</f>
        <v>1999-039_Surrendering_Krsna_With_Full_Devotion_Lecture_-_Radhanath_Swami_Nasik_1999-07-07_IDesireTree.mp3</v>
      </c>
      <c r="D4554" s="11"/>
      <c r="E4554" s="11"/>
    </row>
    <row r="4555" spans="1:5">
      <c r="A4555" s="12" t="s">
        <v>12463</v>
      </c>
      <c r="B4555" s="12" t="s">
        <v>14465</v>
      </c>
      <c r="C4555" s="13" t="str">
        <f>HYPERLINK("https://audio.iskcondesiretree.com/02_-_ISKCON_Swamis/ISKCON_Swamis_-_R_to_Y/His_Holiness_Radhanath_Swami/Lectures/01_-_Theme_wise/Surrender/2000-026_Unlimited_Happiness_by_Surrendering_to_Krsna_SB_1_-_Radhanath_Swami_IDesireTree.mp3", "2000-026_Unlimited_Happiness_by_Surrendering_to_Krsna_SB_1_-_Radhanath_Swami_IDesireTree.mp3")</f>
        <v>2000-026_Unlimited_Happiness_by_Surrendering_to_Krsna_SB_1_-_Radhanath_Swami_IDesireTree.mp3</v>
      </c>
      <c r="D4555" s="11"/>
      <c r="E4555" s="11"/>
    </row>
    <row r="4556" spans="1:5">
      <c r="A4556" s="12" t="s">
        <v>12463</v>
      </c>
      <c r="B4556" s="12" t="s">
        <v>17078</v>
      </c>
      <c r="C4556" s="13" t="str">
        <f>HYPERLINK("https://audio.iskcondesiretree.com/02_-_ISKCON_Swamis/ISKCON_Swamis_-_R_to_Y/His_Holiness_Radhanath_Swami/Lectures/01_-_Theme_wise/Surrender/2001-064_Make_Your_Desire_One_With_Krsna_SB_Class_-_Radhanath_Swami_Mumbai_2001-12-22_IDesireTree.mp3", "2001-064_Make_Your_Desire_One_With_Krsna_SB_Class_-_Radhanath_Swami_Mumbai_2001-12-22_IDesireTree.mp3")</f>
        <v>2001-064_Make_Your_Desire_One_With_Krsna_SB_Class_-_Radhanath_Swami_Mumbai_2001-12-22_IDesireTree.mp3</v>
      </c>
      <c r="D4556" s="11"/>
      <c r="E4556" s="11"/>
    </row>
    <row r="4557" spans="1:5">
      <c r="A4557" s="12" t="s">
        <v>12463</v>
      </c>
      <c r="B4557" s="12" t="s">
        <v>17079</v>
      </c>
      <c r="C4557" s="13" t="str">
        <f>HYPERLINK("https://audio.iskcondesiretree.com/02_-_ISKCON_Swamis/ISKCON_Swamis_-_R_to_Y/His_Holiness_Radhanath_Swami/Lectures/01_-_Theme_wise/Surrender/2002-034_Fearlessly_Surrender_Our_Lives_To_Krsna_SB_01-19-15_-_Radhanath_Swami_Mumbai_2002-02-14_IDesireTree.mp3", "2002-034_Fearlessly_Surrender_Our_Lives_To_Krsna_SB_01-19-15_-_Radhanath_Swami_Mumbai_2002-02-14_IDesireTree.mp3")</f>
        <v>2002-034_Fearlessly_Surrender_Our_Lives_To_Krsna_SB_01-19-15_-_Radhanath_Swami_Mumbai_2002-02-14_IDesireTree.mp3</v>
      </c>
      <c r="D4557" s="11"/>
      <c r="E4557" s="11"/>
    </row>
    <row r="4558" spans="1:5">
      <c r="A4558" s="12" t="s">
        <v>12463</v>
      </c>
      <c r="B4558" s="12" t="s">
        <v>17080</v>
      </c>
      <c r="C4558" s="13" t="str">
        <f>HYPERLINK("https://audio.iskcondesiretree.com/02_-_ISKCON_Swamis/ISKCON_Swamis_-_R_to_Y/His_Holiness_Radhanath_Swami/Lectures/01_-_Theme_wise/Team_Work/1989-002_Constructive_Work_Lecture_-_Radhanath_Swami_Mumbai_1989-01-20_IDesireTree.mp3", "1989-002_Constructive_Work_Lecture_-_Radhanath_Swami_Mumbai_1989-01-20_IDesireTree.mp3")</f>
        <v>1989-002_Constructive_Work_Lecture_-_Radhanath_Swami_Mumbai_1989-01-20_IDesireTree.mp3</v>
      </c>
      <c r="D4558" s="11"/>
      <c r="E4558" s="11"/>
    </row>
    <row r="4559" spans="1:5">
      <c r="A4559" s="12" t="s">
        <v>12463</v>
      </c>
      <c r="B4559" s="12" t="s">
        <v>17081</v>
      </c>
      <c r="C4559" s="13" t="str">
        <f>HYPERLINK("https://audio.iskcondesiretree.com/02_-_ISKCON_Swamis/ISKCON_Swamis_-_R_to_Y/His_Holiness_Radhanath_Swami/Lectures/01_-_Theme_wise/Team_Work/1992-024_Unified_In_Guru%27s_Service_BG_10-09_-_Radhanath_Swami_Mumbai_1992-02-12_IDesireTree.mp3", "1992-024_Unified_In_Guru%27s_Service_BG_10-09_-_Radhanath_Swami_Mumbai_1992-02-12_IDesireTree.mp3")</f>
        <v>1992-024_Unified_In_Guru%27s_Service_BG_10-09_-_Radhanath_Swami_Mumbai_1992-02-12_IDesireTree.mp3</v>
      </c>
      <c r="D4559" s="11"/>
      <c r="E4559" s="11"/>
    </row>
    <row r="4560" spans="1:5">
      <c r="A4560" s="12" t="s">
        <v>12463</v>
      </c>
      <c r="B4560" s="12" t="s">
        <v>15810</v>
      </c>
      <c r="C4560" s="13" t="str">
        <f>HYPERLINK("https://audio.iskcondesiretree.com/02_-_ISKCON_Swamis/ISKCON_Swamis_-_R_to_Y/His_Holiness_Radhanath_Swami/Lectures/01_-_Theme_wise/Team_Work/1996-076_Give_Up_Envy_And_Cooperate_SB_04-19-01-02_-_Radhanath_Swami_Pune_1996-04-10_IDesireTree.mp3", "1996-076_Give_Up_Envy_And_Cooperate_SB_04-19-01-02_-_Radhanath_Swami_Pune_1996-04-10_IDesireTree.mp3")</f>
        <v>1996-076_Give_Up_Envy_And_Cooperate_SB_04-19-01-02_-_Radhanath_Swami_Pune_1996-04-10_IDesireTree.mp3</v>
      </c>
      <c r="D4560" s="11"/>
      <c r="E4560" s="11"/>
    </row>
    <row r="4561" spans="1:5">
      <c r="A4561" s="12" t="s">
        <v>12463</v>
      </c>
      <c r="B4561" s="12" t="s">
        <v>16003</v>
      </c>
      <c r="C4561" s="13" t="str">
        <f>HYPERLINK("https://audio.iskcondesiretree.com/02_-_ISKCON_Swamis/ISKCON_Swamis_-_R_to_Y/His_Holiness_Radhanath_Swami/Lectures/01_-_Theme_wise/Team_Work/2001-016_Establishing_Unity_In_Diversity_SB_04-01-04_-_Radhanath_Swami_Mumbai_2001-03-03_IDesireTree.mp3", "2001-016_Establishing_Unity_In_Diversity_SB_04-01-04_-_Radhanath_Swami_Mumbai_2001-03-03_IDesireTree.mp3")</f>
        <v>2001-016_Establishing_Unity_In_Diversity_SB_04-01-04_-_Radhanath_Swami_Mumbai_2001-03-03_IDesireTree.mp3</v>
      </c>
      <c r="D4561" s="11"/>
      <c r="E4561" s="11"/>
    </row>
    <row r="4562" spans="1:5">
      <c r="A4562" s="12" t="s">
        <v>12463</v>
      </c>
      <c r="B4562" s="12" t="s">
        <v>17082</v>
      </c>
      <c r="C4562" s="13" t="str">
        <f>HYPERLINK("https://audio.iskcondesiretree.com/02_-_ISKCON_Swamis/ISKCON_Swamis_-_R_to_Y/His_Holiness_Radhanath_Swami/Lectures/01_-_Theme_wise/Time/1993-050_Time_And_Tide_Wait_For_None_Lecture_-_Radhanath_Swami_Mumbai_1993-04-13_new_IDesireTree.mp3", "1993-050_Time_And_Tide_Wait_For_None_Lecture_-_Radhanath_Swami_Mumbai_1993-04-13_new_IDesireTree.mp3")</f>
        <v>1993-050_Time_And_Tide_Wait_For_None_Lecture_-_Radhanath_Swami_Mumbai_1993-04-13_new_IDesireTree.mp3</v>
      </c>
      <c r="D4562" s="11"/>
      <c r="E4562" s="11"/>
    </row>
    <row r="4563" spans="1:5">
      <c r="A4563" s="12" t="s">
        <v>12463</v>
      </c>
      <c r="B4563" s="12" t="s">
        <v>17083</v>
      </c>
      <c r="C4563" s="13" t="str">
        <f>HYPERLINK("https://audio.iskcondesiretree.com/02_-_ISKCON_Swamis/ISKCON_Swamis_-_R_to_Y/His_Holiness_Radhanath_Swami/Lectures/01_-_Theme_wise/Time/1993-140_This_Is_The_Time_SB_01-06-35_-_Radhanath_Swami_Mumbai_1993-19-02_IDesireTree.mp3", "1993-140_This_Is_The_Time_SB_01-06-35_-_Radhanath_Swami_Mumbai_1993-19-02_IDesireTree.mp3")</f>
        <v>1993-140_This_Is_The_Time_SB_01-06-35_-_Radhanath_Swami_Mumbai_1993-19-02_IDesireTree.mp3</v>
      </c>
      <c r="D4563" s="11"/>
      <c r="E4563" s="11"/>
    </row>
    <row r="4564" spans="1:5">
      <c r="A4564" s="12" t="s">
        <v>12463</v>
      </c>
      <c r="B4564" s="12" t="s">
        <v>17084</v>
      </c>
      <c r="C4564" s="13" t="str">
        <f>HYPERLINK("https://audio.iskcondesiretree.com/02_-_ISKCON_Swamis/ISKCON_Swamis_-_R_to_Y/His_Holiness_Radhanath_Swami/Lectures/01_-_Theme_wise/Time/1994-176_Time_Devours_Everything_BG_11-32-33_-_Radhanath_Swami_Mumbai_1994-10-04_IDesireTree.mp3", "1994-176_Time_Devours_Everything_BG_11-32-33_-_Radhanath_Swami_Mumbai_1994-10-04_IDesireTree.mp3")</f>
        <v>1994-176_Time_Devours_Everything_BG_11-32-33_-_Radhanath_Swami_Mumbai_1994-10-04_IDesireTree.mp3</v>
      </c>
      <c r="D4564" s="11"/>
      <c r="E4564" s="11"/>
    </row>
    <row r="4565" spans="1:5">
      <c r="A4565" s="12" t="s">
        <v>12463</v>
      </c>
      <c r="B4565" s="12" t="s">
        <v>17085</v>
      </c>
      <c r="C4565" s="13" t="str">
        <f>HYPERLINK("https://audio.iskcondesiretree.com/02_-_ISKCON_Swamis/ISKCON_Swamis_-_R_to_Y/His_Holiness_Radhanath_Swami/Lectures/01_-_Theme_wise/Time/1995-120_Krishna_In_Form_Of_Kala_SB_01-13-49_-_Radhanath_Swami_Mumbai_1995-10-12_IDesireTree.mp3", "1995-120_Krishna_In_Form_Of_Kala_SB_01-13-49_-_Radhanath_Swami_Mumbai_1995-10-12_IDesireTree.mp3")</f>
        <v>1995-120_Krishna_In_Form_Of_Kala_SB_01-13-49_-_Radhanath_Swami_Mumbai_1995-10-12_IDesireTree.mp3</v>
      </c>
      <c r="D4565" s="11"/>
      <c r="E4565" s="11"/>
    </row>
    <row r="4566" spans="1:5">
      <c r="A4566" s="12" t="s">
        <v>12463</v>
      </c>
      <c r="B4566" s="12" t="s">
        <v>17086</v>
      </c>
      <c r="C4566" s="13" t="str">
        <f>HYPERLINK("https://audio.iskcondesiretree.com/02_-_ISKCON_Swamis/ISKCON_Swamis_-_R_to_Y/His_Holiness_Radhanath_Swami/Lectures/01_-_Theme_wise/Time/1996-011_Don%27t_Waste_Valuable_Time_SB_01-16-6_-_Radhanath_Swami_Mumbai_1996-01-07_IDesireTree.mp3", "1996-011_Don%27t_Waste_Valuable_Time_SB_01-16-6_-_Radhanath_Swami_Mumbai_1996-01-07_IDesireTree.mp3")</f>
        <v>1996-011_Don%27t_Waste_Valuable_Time_SB_01-16-6_-_Radhanath_Swami_Mumbai_1996-01-07_IDesireTree.mp3</v>
      </c>
      <c r="D4566" s="11"/>
      <c r="E4566" s="11"/>
    </row>
    <row r="4567" spans="1:5">
      <c r="A4567" s="12" t="s">
        <v>12463</v>
      </c>
      <c r="B4567" s="12" t="s">
        <v>16475</v>
      </c>
      <c r="C4567" s="13" t="str">
        <f>HYPERLINK("https://audio.iskcondesiretree.com/02_-_ISKCON_Swamis/ISKCON_Swamis_-_R_to_Y/His_Holiness_Radhanath_Swami/Lectures/01_-_Theme_wise/Tolerance/1989-025_Humble_And_Tolerant_SB_07-10-5_-_Radhanath_Swami_Mumbai_1989-08-03_IDesireTree.mp3", "1989-025_Humble_And_Tolerant_SB_07-10-5_-_Radhanath_Swami_Mumbai_1989-08-03_IDesireTree.mp3")</f>
        <v>1989-025_Humble_And_Tolerant_SB_07-10-5_-_Radhanath_Swami_Mumbai_1989-08-03_IDesireTree.mp3</v>
      </c>
      <c r="D4567" s="11"/>
      <c r="E4567" s="11"/>
    </row>
    <row r="4568" spans="1:5">
      <c r="A4568" s="12" t="s">
        <v>12463</v>
      </c>
      <c r="B4568" s="12" t="s">
        <v>17087</v>
      </c>
      <c r="C4568" s="13" t="str">
        <f>HYPERLINK("https://audio.iskcondesiretree.com/02_-_ISKCON_Swamis/ISKCON_Swamis_-_R_to_Y/His_Holiness_Radhanath_Swami/Lectures/01_-_Theme_wise/Tolerance/2003-048_Tolerating_the_Porvoking_Situation_Sunday_Feast_-_Radhanath_Swami_Mumbai_2003-08-17_IDesireTree.mp3", "2003-048_Tolerating_the_Porvoking_Situation_Sunday_Feast_-_Radhanath_Swami_Mumbai_2003-08-17_IDesireTree.mp3")</f>
        <v>2003-048_Tolerating_the_Porvoking_Situation_Sunday_Feast_-_Radhanath_Swami_Mumbai_2003-08-17_IDesireTree.mp3</v>
      </c>
      <c r="D4568" s="11"/>
      <c r="E4568" s="11"/>
    </row>
    <row r="4569" spans="1:5">
      <c r="A4569" s="12" t="s">
        <v>12463</v>
      </c>
      <c r="B4569" s="12" t="s">
        <v>17088</v>
      </c>
      <c r="C4569" s="13" t="str">
        <f>HYPERLINK("https://audio.iskcondesiretree.com/02_-_ISKCON_Swamis/ISKCON_Swamis_-_R_to_Y/His_Holiness_Radhanath_Swami/Lectures/01_-_Theme_wise/Training_at_ISKCON/1994-101_Talks_With_Padharpur_Camp_Volunteers_Lecture_-_Radhanath_Swami_Mumbai_1994-08-07_IDesireTree.mp3", "1994-101_Talks_With_Padharpur_Camp_Volunteers_Lecture_-_Radhanath_Swami_Mumbai_1994-08-07_IDesireTree.mp3")</f>
        <v>1994-101_Talks_With_Padharpur_Camp_Volunteers_Lecture_-_Radhanath_Swami_Mumbai_1994-08-07_IDesireTree.mp3</v>
      </c>
      <c r="D4569" s="11"/>
      <c r="E4569" s="11"/>
    </row>
    <row r="4570" spans="1:5">
      <c r="A4570" s="12" t="s">
        <v>12463</v>
      </c>
      <c r="B4570" s="12" t="s">
        <v>17089</v>
      </c>
      <c r="C4570" s="13" t="str">
        <f>HYPERLINK("https://audio.iskcondesiretree.com/02_-_ISKCON_Swamis/ISKCON_Swamis_-_R_to_Y/His_Holiness_Radhanath_Swami/Lectures/01_-_Theme_wise/Utility_is_the_principle/1989-083_Krishnizing_The_Senses_BG_10-36_-_Radhanath_Swami_Mumbai_1989-12-26_IDesireTree.mp3", "1989-083_Krishnizing_The_Senses_BG_10-36_-_Radhanath_Swami_Mumbai_1989-12-26_IDesireTree.mp3")</f>
        <v>1989-083_Krishnizing_The_Senses_BG_10-36_-_Radhanath_Swami_Mumbai_1989-12-26_IDesireTree.mp3</v>
      </c>
      <c r="D4570" s="11"/>
      <c r="E4570" s="11"/>
    </row>
    <row r="4571" spans="1:5">
      <c r="A4571" s="12" t="s">
        <v>12463</v>
      </c>
      <c r="B4571" s="12" t="s">
        <v>17090</v>
      </c>
      <c r="C4571" s="13" t="str">
        <f>HYPERLINK("https://audio.iskcondesiretree.com/02_-_ISKCON_Swamis/ISKCON_Swamis_-_R_to_Y/His_Holiness_Radhanath_Swami/Lectures/01_-_Theme_wise/Utility_is_the_principle/1995-085_What_Is_Yukta_Vairagya_BG_03-06_-_Radhanath_Swami_Mumbai_1995-08-13_IDesireTree.mp3", "1995-085_What_Is_Yukta_Vairagya_BG_03-06_-_Radhanath_Swami_Mumbai_1995-08-13_IDesireTree.mp3")</f>
        <v>1995-085_What_Is_Yukta_Vairagya_BG_03-06_-_Radhanath_Swami_Mumbai_1995-08-13_IDesireTree.mp3</v>
      </c>
      <c r="D4571" s="11"/>
      <c r="E4571" s="11"/>
    </row>
    <row r="4572" spans="1:5">
      <c r="A4572" s="12" t="s">
        <v>12463</v>
      </c>
      <c r="B4572" s="12" t="s">
        <v>17091</v>
      </c>
      <c r="C4572" s="13" t="str">
        <f>HYPERLINK("https://audio.iskcondesiretree.com/02_-_ISKCON_Swamis/ISKCON_Swamis_-_R_to_Y/His_Holiness_Radhanath_Swami/Lectures/01_-_Theme_wise/Utility_is_the_principle/2003-002_Utilising_Human_Body_Lecture_-_Radhanath_Swami_Mumbai_2003-01-03_IDesireTree.mp3", "2003-002_Utilising_Human_Body_Lecture_-_Radhanath_Swami_Mumbai_2003-01-03_IDesireTree.mp3")</f>
        <v>2003-002_Utilising_Human_Body_Lecture_-_Radhanath_Swami_Mumbai_2003-01-03_IDesireTree.mp3</v>
      </c>
      <c r="D4572" s="11"/>
      <c r="E4572" s="11"/>
    </row>
    <row r="4573" spans="1:5">
      <c r="A4573" s="12" t="s">
        <v>12463</v>
      </c>
      <c r="B4573" s="12" t="s">
        <v>17092</v>
      </c>
      <c r="C4573" s="13" t="str">
        <f>HYPERLINK("https://audio.iskcondesiretree.com/02_-_ISKCON_Swamis/ISKCON_Swamis_-_R_to_Y/His_Holiness_Radhanath_Swami/Lectures/01_-_Theme_wise/Vaishnava/1990-080_Vaishnava_Activities-_Incomprehensible_SB_08-07-23_-_Radhanath_Swami_Mumbai_1990-09-06_IDesireTree.mp3", "1990-080_Vaishnava_Activities-_Incomprehensible_SB_08-07-23_-_Radhanath_Swami_Mumbai_1990-09-06_IDesireTree.mp3")</f>
        <v>1990-080_Vaishnava_Activities-_Incomprehensible_SB_08-07-23_-_Radhanath_Swami_Mumbai_1990-09-06_IDesireTree.mp3</v>
      </c>
      <c r="D4573" s="11"/>
      <c r="E4573" s="11"/>
    </row>
    <row r="4574" spans="1:5">
      <c r="A4574" s="12" t="s">
        <v>12463</v>
      </c>
      <c r="B4574" s="12" t="s">
        <v>17093</v>
      </c>
      <c r="C4574" s="13" t="str">
        <f>HYPERLINK("https://audio.iskcondesiretree.com/02_-_ISKCON_Swamis/ISKCON_Swamis_-_R_to_Y/His_Holiness_Radhanath_Swami/Lectures/01_-_Theme_wise/Vaishnava/1991-037_Why_Vaishnavas_Appear_To_Be_Defeated_SB_09-10-12_-_Radhanath_Swami_Mumbai_1991-04-29_IDesireTree.mp3", "1991-037_Why_Vaishnavas_Appear_To_Be_Defeated_SB_09-10-12_-_Radhanath_Swami_Mumbai_1991-04-29_IDesireTree.mp3")</f>
        <v>1991-037_Why_Vaishnavas_Appear_To_Be_Defeated_SB_09-10-12_-_Radhanath_Swami_Mumbai_1991-04-29_IDesireTree.mp3</v>
      </c>
      <c r="D4574" s="11"/>
      <c r="E4574" s="11"/>
    </row>
    <row r="4575" spans="1:5">
      <c r="A4575" s="12" t="s">
        <v>12463</v>
      </c>
      <c r="B4575" s="12" t="s">
        <v>17094</v>
      </c>
      <c r="C4575" s="13" t="str">
        <f>HYPERLINK("https://audio.iskcondesiretree.com/02_-_ISKCON_Swamis/ISKCON_Swamis_-_R_to_Y/His_Holiness_Radhanath_Swami/Lectures/01_-_Theme_wise/Vaishnava/1991-077_Brahman_By_Quality_And_Not_By_Birth_SB_10-01-13_-_Radhanath_Swami_Mumbai_1991-10-14_IDesireTree.mp3", "1991-077_Brahman_By_Quality_And_Not_By_Birth_SB_10-01-13_-_Radhanath_Swami_Mumbai_1991-10-14_IDesireTree.mp3")</f>
        <v>1991-077_Brahman_By_Quality_And_Not_By_Birth_SB_10-01-13_-_Radhanath_Swami_Mumbai_1991-10-14_IDesireTree.mp3</v>
      </c>
      <c r="D4575" s="11"/>
      <c r="E4575" s="11"/>
    </row>
    <row r="4576" spans="1:5">
      <c r="A4576" s="12" t="s">
        <v>12463</v>
      </c>
      <c r="B4576" s="12" t="s">
        <v>17095</v>
      </c>
      <c r="C4576" s="13" t="str">
        <f>HYPERLINK("https://audio.iskcondesiretree.com/02_-_ISKCON_Swamis/ISKCON_Swamis_-_R_to_Y/His_Holiness_Radhanath_Swami/Lectures/01_-_Theme_wise/Vaishnava/1992-023_Vaishnavism_%26_Sannyas_CC_AL-02_-_Radhanath_Swami_Mumbai_1992-02-12_IDesireTree.mp3", "1992-023_Vaishnavism_%26_Sannyas_CC_AL-02_-_Radhanath_Swami_Mumbai_1992-02-12_IDesireTree.mp3")</f>
        <v>1992-023_Vaishnavism_%26_Sannyas_CC_AL-02_-_Radhanath_Swami_Mumbai_1992-02-12_IDesireTree.mp3</v>
      </c>
      <c r="D4576" s="11"/>
      <c r="E4576" s="11"/>
    </row>
    <row r="4577" spans="1:5">
      <c r="A4577" s="12" t="s">
        <v>12463</v>
      </c>
      <c r="B4577" s="12" t="s">
        <v>17096</v>
      </c>
      <c r="C4577" s="13" t="str">
        <f>HYPERLINK("https://audio.iskcondesiretree.com/02_-_ISKCON_Swamis/ISKCON_Swamis_-_R_to_Y/His_Holiness_Radhanath_Swami/Lectures/01_-_Theme_wise/Vaishnava/1992-076_Vaishnava_Is_Selfless_SB_10-08-07-09_-_Radhanath_Swami_Mumbai_1992-04-10_IDesireTree.mp3", "1992-076_Vaishnava_Is_Selfless_SB_10-08-07-09_-_Radhanath_Swami_Mumbai_1992-04-10_IDesireTree.mp3")</f>
        <v>1992-076_Vaishnava_Is_Selfless_SB_10-08-07-09_-_Radhanath_Swami_Mumbai_1992-04-10_IDesireTree.mp3</v>
      </c>
      <c r="D4577" s="11"/>
      <c r="E4577" s="11"/>
    </row>
    <row r="4578" spans="1:5">
      <c r="A4578" s="12" t="s">
        <v>12463</v>
      </c>
      <c r="B4578" s="12" t="s">
        <v>16366</v>
      </c>
      <c r="C4578" s="13" t="str">
        <f>HYPERLINK("https://audio.iskcondesiretree.com/02_-_ISKCON_Swamis/ISKCON_Swamis_-_R_to_Y/His_Holiness_Radhanath_Swami/Lectures/01_-_Theme_wise/Vaishnava/1995-030_Vaishnavas_Forgive_Easily_SB_01-07-44_-_Radhanath_Swami_Mumbai_1995-01-21.mp3", "1995-030_Vaishnavas_Forgive_Easily_SB_01-07-44_-_Radhanath_Swami_Mumbai_1995-01-21.mp3")</f>
        <v>1995-030_Vaishnavas_Forgive_Easily_SB_01-07-44_-_Radhanath_Swami_Mumbai_1995-01-21.mp3</v>
      </c>
      <c r="D4578" s="11"/>
      <c r="E4578" s="11"/>
    </row>
    <row r="4579" spans="1:5">
      <c r="A4579" s="12" t="s">
        <v>12463</v>
      </c>
      <c r="B4579" s="12" t="s">
        <v>17097</v>
      </c>
      <c r="C4579" s="13" t="str">
        <f>HYPERLINK("https://audio.iskcondesiretree.com/02_-_ISKCON_Swamis/ISKCON_Swamis_-_R_to_Y/His_Holiness_Radhanath_Swami/Lectures/01_-_Theme_wise/Vaishnava/1997-117_Even_An_Elephant_Can_Become_A_Vaishnava_BG_03-02_-_Radhanath_Swami_Mumbai_1997-10-05_IDesireTree.mp3", "1997-117_Even_An_Elephant_Can_Become_A_Vaishnava_BG_03-02_-_Radhanath_Swami_Mumbai_1997-10-05_IDesireTree.mp3")</f>
        <v>1997-117_Even_An_Elephant_Can_Become_A_Vaishnava_BG_03-02_-_Radhanath_Swami_Mumbai_1997-10-05_IDesireTree.mp3</v>
      </c>
      <c r="D4579" s="11"/>
      <c r="E4579" s="11"/>
    </row>
    <row r="4580" spans="1:5">
      <c r="A4580" s="12" t="s">
        <v>12463</v>
      </c>
      <c r="B4580" s="12" t="s">
        <v>16761</v>
      </c>
      <c r="C4580" s="13" t="str">
        <f>HYPERLINK("https://audio.iskcondesiretree.com/02_-_ISKCON_Swamis/ISKCON_Swamis_-_R_to_Y/His_Holiness_Radhanath_Swami/Lectures/01_-_Theme_wise/Vaishnava/1999-064_Maya_Seizes_an_Offender_SB_06-09-43_-_Radhanath_Swami_Mumbai_1999-12-27_IDesireTree.mp3", "1999-064_Maya_Seizes_an_Offender_SB_06-09-43_-_Radhanath_Swami_Mumbai_1999-12-27_IDesireTree.mp3")</f>
        <v>1999-064_Maya_Seizes_an_Offender_SB_06-09-43_-_Radhanath_Swami_Mumbai_1999-12-27_IDesireTree.mp3</v>
      </c>
      <c r="D4580" s="11"/>
      <c r="E4580" s="11"/>
    </row>
    <row r="4581" spans="1:5">
      <c r="A4581" s="12" t="s">
        <v>12463</v>
      </c>
      <c r="B4581" s="12" t="s">
        <v>17098</v>
      </c>
      <c r="C4581" s="13" t="str">
        <f>HYPERLINK("https://audio.iskcondesiretree.com/02_-_ISKCON_Swamis/ISKCON_Swamis_-_R_to_Y/His_Holiness_Radhanath_Swami/Lectures/01_-_Theme_wise/Vaishnava/2001-025_Living_By_The_Principle_Die_To_Live_SB_04-04-24_-_Radhanath_Swami_Mumbai_2001-06-17_IDesireTree.mp3", "2001-025_Living_By_The_Principle_Die_To_Live_SB_04-04-24_-_Radhanath_Swami_Mumbai_2001-06-17_IDesireTree.mp3")</f>
        <v>2001-025_Living_By_The_Principle_Die_To_Live_SB_04-04-24_-_Radhanath_Swami_Mumbai_2001-06-17_IDesireTree.mp3</v>
      </c>
      <c r="D4581" s="11"/>
      <c r="E4581" s="11"/>
    </row>
    <row r="4582" spans="1:5">
      <c r="A4582" s="12" t="s">
        <v>12463</v>
      </c>
      <c r="B4582" s="12" t="s">
        <v>17099</v>
      </c>
      <c r="C4582" s="13" t="str">
        <f>HYPERLINK("https://audio.iskcondesiretree.com/02_-_ISKCON_Swamis/ISKCON_Swamis_-_R_to_Y/His_Holiness_Radhanath_Swami/Lectures/01_-_Theme_wise/Vaishnava/2002-012_True_Substance_Of_Vaishnava_SB_04_-_Radhanath_Swami_IDesireTree.mp3", "2002-012_True_Substance_Of_Vaishnava_SB_04_-_Radhanath_Swami_IDesireTree.mp3")</f>
        <v>2002-012_True_Substance_Of_Vaishnava_SB_04_-_Radhanath_Swami_IDesireTree.mp3</v>
      </c>
      <c r="D4582" s="11"/>
      <c r="E4582" s="11"/>
    </row>
    <row r="4583" spans="1:5">
      <c r="A4583" s="12" t="s">
        <v>12463</v>
      </c>
      <c r="B4583" s="12" t="s">
        <v>17100</v>
      </c>
      <c r="C4583" s="13" t="str">
        <f>HYPERLINK("https://audio.iskcondesiretree.com/02_-_ISKCON_Swamis/ISKCON_Swamis_-_R_to_Y/His_Holiness_Radhanath_Swami/Lectures/01_-_Theme_wise/Vaishnava_Aparadha/1990-078_Gravity_Of_Offence_SB_08-07-22_-_Radhanath_Swami_Mumbai_1990-09-03_IDesireTree.mp3", "1990-078_Gravity_Of_Offence_SB_08-07-22_-_Radhanath_Swami_Mumbai_1990-09-03_IDesireTree.mp3")</f>
        <v>1990-078_Gravity_Of_Offence_SB_08-07-22_-_Radhanath_Swami_Mumbai_1990-09-03_IDesireTree.mp3</v>
      </c>
      <c r="D4583" s="11"/>
      <c r="E4583" s="11"/>
    </row>
    <row r="4584" spans="1:5">
      <c r="A4584" s="12" t="s">
        <v>12463</v>
      </c>
      <c r="B4584" s="12" t="s">
        <v>17101</v>
      </c>
      <c r="C4584" s="13" t="str">
        <f>HYPERLINK("https://audio.iskcondesiretree.com/02_-_ISKCON_Swamis/ISKCON_Swamis_-_R_to_Y/His_Holiness_Radhanath_Swami/Lectures/01_-_Theme_wise/Vaishnava_Aparadha/1991-085_The_Dangers_of_Vaishnava_Aparadha_Lecture_-_Radhanath_Swami_NV_1991-07-18_IDesireTree.mp3", "1991-085_The_Dangers_of_Vaishnava_Aparadha_Lecture_-_Radhanath_Swami_NV_1991-07-18_IDesireTree.mp3")</f>
        <v>1991-085_The_Dangers_of_Vaishnava_Aparadha_Lecture_-_Radhanath_Swami_NV_1991-07-18_IDesireTree.mp3</v>
      </c>
      <c r="D4584" s="11"/>
      <c r="E4584" s="11"/>
    </row>
    <row r="4585" spans="1:5">
      <c r="A4585" s="12" t="s">
        <v>12463</v>
      </c>
      <c r="B4585" s="12" t="s">
        <v>17102</v>
      </c>
      <c r="C4585" s="13" t="str">
        <f>HYPERLINK("https://audio.iskcondesiretree.com/02_-_ISKCON_Swamis/ISKCON_Swamis_-_R_to_Y/His_Holiness_Radhanath_Swami/Lectures/01_-_Theme_wise/Vaishnava_Aparadha/1992-143_Beware_Of_Mad_Elephant_Offence_SB_10-17-12_-_Radhanath_Swami_Mumbai_1992-12-17_IDesireTree.mp3", "1992-143_Beware_Of_Mad_Elephant_Offence_SB_10-17-12_-_Radhanath_Swami_Mumbai_1992-12-17_IDesireTree.mp3")</f>
        <v>1992-143_Beware_Of_Mad_Elephant_Offence_SB_10-17-12_-_Radhanath_Swami_Mumbai_1992-12-17_IDesireTree.mp3</v>
      </c>
      <c r="D4585" s="11"/>
      <c r="E4585" s="11"/>
    </row>
    <row r="4586" spans="1:5">
      <c r="A4586" s="12" t="s">
        <v>12463</v>
      </c>
      <c r="B4586" s="12" t="s">
        <v>17103</v>
      </c>
      <c r="C4586" s="13" t="str">
        <f>HYPERLINK("https://audio.iskcondesiretree.com/02_-_ISKCON_Swamis/ISKCON_Swamis_-_R_to_Y/His_Holiness_Radhanath_Swami/Lectures/01_-_Theme_wise/Vaishnava_Aparadha/1994-180_Criticism_Ruins_Spiritual_Life_Lecture_-_Radhanath_Swami_Mumbai_1994-10-07_IDesireTree.mp3", "1994-180_Criticism_Ruins_Spiritual_Life_Lecture_-_Radhanath_Swami_Mumbai_1994-10-07_IDesireTree.mp3")</f>
        <v>1994-180_Criticism_Ruins_Spiritual_Life_Lecture_-_Radhanath_Swami_Mumbai_1994-10-07_IDesireTree.mp3</v>
      </c>
      <c r="D4586" s="11"/>
      <c r="E4586" s="11"/>
    </row>
    <row r="4587" spans="1:5">
      <c r="A4587" s="12" t="s">
        <v>12463</v>
      </c>
      <c r="B4587" s="12" t="s">
        <v>15847</v>
      </c>
      <c r="C4587" s="13" t="str">
        <f>HYPERLINK("https://audio.iskcondesiretree.com/02_-_ISKCON_Swamis/ISKCON_Swamis_-_R_to_Y/His_Holiness_Radhanath_Swami/Lectures/01_-_Theme_wise/Vaishnava_Aparadha/1994-183_Pride_And_Criticism_SB_04-20-26_-_Radhanath_Swami_Mumbai_1994-10-08_IDesireTree.mp3", "1994-183_Pride_And_Criticism_SB_04-20-26_-_Radhanath_Swami_Mumbai_1994-10-08_IDesireTree.mp3")</f>
        <v>1994-183_Pride_And_Criticism_SB_04-20-26_-_Radhanath_Swami_Mumbai_1994-10-08_IDesireTree.mp3</v>
      </c>
      <c r="D4587" s="11"/>
      <c r="E4587" s="11"/>
    </row>
    <row r="4588" spans="1:5">
      <c r="A4588" s="12" t="s">
        <v>12463</v>
      </c>
      <c r="B4588" s="12" t="s">
        <v>17104</v>
      </c>
      <c r="C4588" s="13" t="str">
        <f>HYPERLINK("https://audio.iskcondesiretree.com/02_-_ISKCON_Swamis/ISKCON_Swamis_-_R_to_Y/His_Holiness_Radhanath_Swami/Lectures/01_-_Theme_wise/Vaishnava_Aparadha/1995-047_Don%27t_Judge_Vaishnavas_By_Material_Bodies_BG_15-08_-_Radhanath_Swami_Mumbai_1995-02-11.mp3", "1995-047_Don%27t_Judge_Vaishnavas_By_Material_Bodies_BG_15-08_-_Radhanath_Swami_Mumbai_1995-02-11.mp3")</f>
        <v>1995-047_Don%27t_Judge_Vaishnavas_By_Material_Bodies_BG_15-08_-_Radhanath_Swami_Mumbai_1995-02-11.mp3</v>
      </c>
      <c r="D4588" s="11"/>
      <c r="E4588" s="11"/>
    </row>
    <row r="4589" spans="1:5">
      <c r="A4589" s="12" t="s">
        <v>12463</v>
      </c>
      <c r="B4589" s="12" t="s">
        <v>16258</v>
      </c>
      <c r="C4589" s="13" t="str">
        <f>HYPERLINK("https://audio.iskcondesiretree.com/02_-_ISKCON_Swamis/ISKCON_Swamis_-_R_to_Y/His_Holiness_Radhanath_Swami/Lectures/01_-_Theme_wise/Vaishnava_Aparadha/1996-069_Glorify_Devotees_Inspite_Of_Our_Ego_Lecture_-_Radhanath_Swami_Mumbai_1996-03-31_IDesireTree.mp3", "1996-069_Glorify_Devotees_Inspite_Of_Our_Ego_Lecture_-_Radhanath_Swami_Mumbai_1996-03-31_IDesireTree.mp3")</f>
        <v>1996-069_Glorify_Devotees_Inspite_Of_Our_Ego_Lecture_-_Radhanath_Swami_Mumbai_1996-03-31_IDesireTree.mp3</v>
      </c>
      <c r="D4589" s="11"/>
      <c r="E4589" s="11"/>
    </row>
    <row r="4590" spans="1:5">
      <c r="A4590" s="12" t="s">
        <v>12463</v>
      </c>
      <c r="B4590" s="12" t="s">
        <v>17105</v>
      </c>
      <c r="C4590" s="13" t="str">
        <f>HYPERLINK("https://audio.iskcondesiretree.com/02_-_ISKCON_Swamis/ISKCON_Swamis_-_R_to_Y/His_Holiness_Radhanath_Swami/Lectures/01_-_Theme_wise/Vaishnava_Aparadha/1997-020_Never_Offend_Devotees_SB_04-30-08_-_Radhanath_Swami_Mumbai_1997-01-23_IDesireTree.mp3", "1997-020_Never_Offend_Devotees_SB_04-30-08_-_Radhanath_Swami_Mumbai_1997-01-23_IDesireTree.mp3")</f>
        <v>1997-020_Never_Offend_Devotees_SB_04-30-08_-_Radhanath_Swami_Mumbai_1997-01-23_IDesireTree.mp3</v>
      </c>
      <c r="D4590" s="11"/>
      <c r="E4590" s="11"/>
    </row>
    <row r="4591" spans="1:5">
      <c r="A4591" s="12" t="s">
        <v>12463</v>
      </c>
      <c r="B4591" s="12" t="s">
        <v>17106</v>
      </c>
      <c r="C4591" s="13" t="str">
        <f>HYPERLINK("https://audio.iskcondesiretree.com/02_-_ISKCON_Swamis/ISKCON_Swamis_-_R_to_Y/His_Holiness_Radhanath_Swami/Lectures/01_-_Theme_wise/Vaishnava_Etiquette_and_Relations/1989-011_An_Empty_Husk_Lecture_-_Radhanathh_Swami_Mumbai1_989-07-08_IDesireTree.mp3", "1989-011_An_Empty_Husk_Lecture_-_Radhanathh_Swami_Mumbai1_989-07-08_IDesireTree.mp3")</f>
        <v>1989-011_An_Empty_Husk_Lecture_-_Radhanathh_Swami_Mumbai1_989-07-08_IDesireTree.mp3</v>
      </c>
      <c r="D4591" s="11"/>
      <c r="E4591" s="11"/>
    </row>
    <row r="4592" spans="1:5">
      <c r="A4592" s="12" t="s">
        <v>12463</v>
      </c>
      <c r="B4592" s="12" t="s">
        <v>17107</v>
      </c>
      <c r="C4592" s="13" t="str">
        <f>HYPERLINK("https://audio.iskcondesiretree.com/02_-_ISKCON_Swamis/ISKCON_Swamis_-_R_to_Y/His_Holiness_Radhanath_Swami/Lectures/01_-_Theme_wise/Vaishnava_Etiquette_and_Relations/1992-093_Vaishnava_Etiquette_Lecture_-_Radhanath_Swami_Mumbai_1992-08-27_IDesireTree.mp3", "1992-093_Vaishnava_Etiquette_Lecture_-_Radhanath_Swami_Mumbai_1992-08-27_IDesireTree.mp3")</f>
        <v>1992-093_Vaishnava_Etiquette_Lecture_-_Radhanath_Swami_Mumbai_1992-08-27_IDesireTree.mp3</v>
      </c>
      <c r="D4592" s="11"/>
      <c r="E4592" s="11"/>
    </row>
    <row r="4593" spans="1:5">
      <c r="A4593" s="12" t="s">
        <v>12463</v>
      </c>
      <c r="B4593" s="12" t="s">
        <v>17108</v>
      </c>
      <c r="C4593" s="13" t="str">
        <f>HYPERLINK("https://audio.iskcondesiretree.com/02_-_ISKCON_Swamis/ISKCON_Swamis_-_R_to_Y/His_Holiness_Radhanath_Swami/Lectures/01_-_Theme_wise/Varnashrama/1991-137_Perfection_Of_Varnashram_Dharma_BG_04-13_-_Radhanath_Swami_Mumbai_1991-11-30_IDesireTree.mp3", "1991-137_Perfection_Of_Varnashram_Dharma_BG_04-13_-_Radhanath_Swami_Mumbai_1991-11-30_IDesireTree.mp3")</f>
        <v>1991-137_Perfection_Of_Varnashram_Dharma_BG_04-13_-_Radhanath_Swami_Mumbai_1991-11-30_IDesireTree.mp3</v>
      </c>
      <c r="D4593" s="11"/>
      <c r="E4593" s="11"/>
    </row>
    <row r="4594" spans="1:5">
      <c r="A4594" s="12" t="s">
        <v>12463</v>
      </c>
      <c r="B4594" s="12" t="s">
        <v>17109</v>
      </c>
      <c r="C4594" s="13" t="str">
        <f>HYPERLINK("https://audio.iskcondesiretree.com/02_-_ISKCON_Swamis/ISKCON_Swamis_-_R_to_Y/His_Holiness_Radhanath_Swami/Lectures/01_-_Theme_wise/Varnashrama/1996-057_One%27s_Ashram_Is_Not_Important_SB_10-02-10_-_Radhanath_Swami_Mumbai_1996-06-17_IDesireTree.mp3", "1996-057_One%27s_Ashram_Is_Not_Important_SB_10-02-10_-_Radhanath_Swami_Mumbai_1996-06-17_IDesireTree.mp3")</f>
        <v>1996-057_One%27s_Ashram_Is_Not_Important_SB_10-02-10_-_Radhanath_Swami_Mumbai_1996-06-17_IDesireTree.mp3</v>
      </c>
      <c r="D4594" s="11"/>
      <c r="E4594" s="11"/>
    </row>
    <row r="4595" spans="1:5">
      <c r="A4595" s="12" t="s">
        <v>12463</v>
      </c>
      <c r="B4595" s="12" t="s">
        <v>17110</v>
      </c>
      <c r="C4595" s="13" t="str">
        <f>HYPERLINK("https://audio.iskcondesiretree.com/02_-_ISKCON_Swamis/ISKCON_Swamis_-_R_to_Y/His_Holiness_Radhanath_Swami/Lectures/01_-_Theme_wise/Varnashrama/1996-087_Varnashram_System_Means_Acting_Together_SB_01-18-32_-_Radhanath_Swami_Mumbai_1996-04-20_IDesireTree.mp3", "1996-087_Varnashram_System_Means_Acting_Together_SB_01-18-32_-_Radhanath_Swami_Mumbai_1996-04-20_IDesireTree.mp3")</f>
        <v>1996-087_Varnashram_System_Means_Acting_Together_SB_01-18-32_-_Radhanath_Swami_Mumbai_1996-04-20_IDesireTree.mp3</v>
      </c>
      <c r="D4595" s="11"/>
      <c r="E4595" s="11"/>
    </row>
    <row r="4596" spans="1:5">
      <c r="A4596" s="12" t="s">
        <v>12463</v>
      </c>
      <c r="B4596" s="12" t="s">
        <v>16557</v>
      </c>
      <c r="C4596" s="13" t="str">
        <f>HYPERLINK("https://audio.iskcondesiretree.com/02_-_ISKCON_Swamis/ISKCON_Swamis_-_R_to_Y/His_Holiness_Radhanath_Swami/Lectures/01_-_Theme_wise/Varnashrama/1996-091_How_Degradation_Of_Brahmanas_Began_SB_01-18-37_-_Radhanath_Swami_Mumbai_1996-04-24_IDesireTree.mp3", "1996-091_How_Degradation_Of_Brahmanas_Began_SB_01-18-37_-_Radhanath_Swami_Mumbai_1996-04-24_IDesireTree.mp3")</f>
        <v>1996-091_How_Degradation_Of_Brahmanas_Began_SB_01-18-37_-_Radhanath_Swami_Mumbai_1996-04-24_IDesireTree.mp3</v>
      </c>
      <c r="D4596" s="11"/>
      <c r="E4596" s="11"/>
    </row>
    <row r="4597" spans="1:5">
      <c r="A4597" s="12" t="s">
        <v>12463</v>
      </c>
      <c r="B4597" s="12" t="s">
        <v>17111</v>
      </c>
      <c r="C4597" s="13" t="str">
        <f>HYPERLINK("https://audio.iskcondesiretree.com/02_-_ISKCON_Swamis/ISKCON_Swamis_-_R_to_Y/His_Holiness_Radhanath_Swami/Lectures/01_-_Theme_wise/Varnashrama/1998-042_Duties_in_Real_Varnashram_System_BG_03-06-32_-_Radhanath_Swami_Mumbai_1998-03-01_IDesireTree.mp3", "1998-042_Duties_in_Real_Varnashram_System_BG_03-06-32_-_Radhanath_Swami_Mumbai_1998-03-01_IDesireTree.mp3")</f>
        <v>1998-042_Duties_in_Real_Varnashram_System_BG_03-06-32_-_Radhanath_Swami_Mumbai_1998-03-01_IDesireTree.mp3</v>
      </c>
      <c r="D4597" s="11"/>
      <c r="E4597" s="11"/>
    </row>
    <row r="4598" spans="1:5">
      <c r="A4598" s="12" t="s">
        <v>12463</v>
      </c>
      <c r="B4598" s="12" t="s">
        <v>17112</v>
      </c>
      <c r="C4598" s="13" t="str">
        <f>HYPERLINK("https://audio.iskcondesiretree.com/02_-_ISKCON_Swamis/ISKCON_Swamis_-_R_to_Y/His_Holiness_Radhanath_Swami/Lectures/01_-_Theme_wise/Vedas/1990-010_The_Essence_Of_Vedas_BNP_03-08-126_-_Radhanath_Swami_Pune_1990-01-19_IDesireTree.mp3", "1990-010_The_Essence_Of_Vedas_BNP_03-08-126_-_Radhanath_Swami_Pune_1990-01-19_IDesireTree.mp3")</f>
        <v>1990-010_The_Essence_Of_Vedas_BNP_03-08-126_-_Radhanath_Swami_Pune_1990-01-19_IDesireTree.mp3</v>
      </c>
      <c r="D4598" s="11"/>
      <c r="E4598" s="11"/>
    </row>
    <row r="4599" spans="1:5">
      <c r="A4599" s="12" t="s">
        <v>12463</v>
      </c>
      <c r="B4599" s="12" t="s">
        <v>17113</v>
      </c>
      <c r="C4599" s="13" t="str">
        <f>HYPERLINK("https://audio.iskcondesiretree.com/02_-_ISKCON_Swamis/ISKCON_Swamis_-_R_to_Y/His_Holiness_Radhanath_Swami/Lectures/01_-_Theme_wise/Vedas/1993-144_Scriptures_Are_The_Eternal_Absolute_Truth_SB_10-08-47_-_Radhanath_Swami_Mumbai_1993-10-08_IDesireTree.mp3", "1993-144_Scriptures_Are_The_Eternal_Absolute_Truth_SB_10-08-47_-_Radhanath_Swami_Mumbai_1993-10-08_IDesireTree.mp3")</f>
        <v>1993-144_Scriptures_Are_The_Eternal_Absolute_Truth_SB_10-08-47_-_Radhanath_Swami_Mumbai_1993-10-08_IDesireTree.mp3</v>
      </c>
      <c r="D4599" s="11"/>
      <c r="E4599" s="11"/>
    </row>
    <row r="4600" spans="1:5">
      <c r="A4600" s="12" t="s">
        <v>12463</v>
      </c>
      <c r="B4600" s="12" t="s">
        <v>17114</v>
      </c>
      <c r="C4600" s="13" t="str">
        <f>HYPERLINK("https://audio.iskcondesiretree.com/02_-_ISKCON_Swamis/ISKCON_Swamis_-_R_to_Y/His_Holiness_Radhanath_Swami/Lectures/01_-_Theme_wise/Vedas/1994-174_Essence_Of_The_Vedas_SB_01-04-13_-_Radhanath_Swami_Mumbai_1994-10-02_IDesireTree.mp3", "1994-174_Essence_Of_The_Vedas_SB_01-04-13_-_Radhanath_Swami_Mumbai_1994-10-02_IDesireTree.mp3")</f>
        <v>1994-174_Essence_Of_The_Vedas_SB_01-04-13_-_Radhanath_Swami_Mumbai_1994-10-02_IDesireTree.mp3</v>
      </c>
      <c r="D4600" s="11"/>
      <c r="E4600" s="11"/>
    </row>
    <row r="4601" spans="1:5">
      <c r="A4601" s="12" t="s">
        <v>12463</v>
      </c>
      <c r="B4601" s="12" t="s">
        <v>17115</v>
      </c>
      <c r="C4601" s="13" t="str">
        <f>HYPERLINK("https://audio.iskcondesiretree.com/02_-_ISKCON_Swamis/ISKCON_Swamis_-_R_to_Y/His_Holiness_Radhanath_Swami/Lectures/01_-_Theme_wise/Vedas/1997-138_Eye_Of_Scriptures_Lecture_-_Radhanath_Swami_Mumbai_1997-11-16_IDesireTree.mp3", "1997-138_Eye_Of_Scriptures_Lecture_-_Radhanath_Swami_Mumbai_1997-11-16_IDesireTree.mp3")</f>
        <v>1997-138_Eye_Of_Scriptures_Lecture_-_Radhanath_Swami_Mumbai_1997-11-16_IDesireTree.mp3</v>
      </c>
      <c r="D4601" s="11"/>
      <c r="E4601" s="11"/>
    </row>
    <row r="4602" spans="1:5">
      <c r="A4602" s="12" t="s">
        <v>12463</v>
      </c>
      <c r="B4602" s="12" t="s">
        <v>16246</v>
      </c>
      <c r="C4602" s="13" t="str">
        <f>HYPERLINK("https://audio.iskcondesiretree.com/02_-_ISKCON_Swamis/ISKCON_Swamis_-_R_to_Y/His_Holiness_Radhanath_Swami/Lectures/01_-_Theme_wise/Vedas/1998-073_Total_Faith_in_Scriptures_SB_03-09-37_-_Radhanath_Swami_Mumbai_1998-07-20_IDesireTree.mp3", "1998-073_Total_Faith_in_Scriptures_SB_03-09-37_-_Radhanath_Swami_Mumbai_1998-07-20_IDesireTree.mp3")</f>
        <v>1998-073_Total_Faith_in_Scriptures_SB_03-09-37_-_Radhanath_Swami_Mumbai_1998-07-20_IDesireTree.mp3</v>
      </c>
      <c r="D4602" s="11"/>
      <c r="E4602" s="11"/>
    </row>
    <row r="4603" spans="1:5">
      <c r="A4603" s="12" t="s">
        <v>12463</v>
      </c>
      <c r="B4603" s="12" t="s">
        <v>17116</v>
      </c>
      <c r="C4603" s="13" t="str">
        <f>HYPERLINK("https://audio.iskcondesiretree.com/02_-_ISKCON_Swamis/ISKCON_Swamis_-_R_to_Y/His_Holiness_Radhanath_Swami/Lectures/01_-_Theme_wise/Vedic_Culture/1989-001_India-The_Land_Of_Dharma_Lecture_-_Radhanath_Swami_Mumbai_1989-01-13_IDesireTree.mp3", "1989-001_India-The_Land_Of_Dharma_Lecture_-_Radhanath_Swami_Mumbai_1989-01-13_IDesireTree.mp3")</f>
        <v>1989-001_India-The_Land_Of_Dharma_Lecture_-_Radhanath_Swami_Mumbai_1989-01-13_IDesireTree.mp3</v>
      </c>
      <c r="D4603" s="11"/>
      <c r="E4603" s="11"/>
    </row>
    <row r="4604" spans="1:5">
      <c r="A4604" s="12" t="s">
        <v>12463</v>
      </c>
      <c r="B4604" s="12" t="s">
        <v>17117</v>
      </c>
      <c r="C4604" s="13" t="str">
        <f>HYPERLINK("https://audio.iskcondesiretree.com/02_-_ISKCON_Swamis/ISKCON_Swamis_-_R_to_Y/His_Holiness_Radhanath_Swami/Lectures/01_-_Theme_wise/Vedic_Culture/1993-099_The_Wealth_Of_Indian_Culture_SB_05-05-05_-_Radhanath_Swami_Mumbai_1993-05-27_IDesireTree.mp3", "1993-099_The_Wealth_Of_Indian_Culture_SB_05-05-05_-_Radhanath_Swami_Mumbai_1993-05-27_IDesireTree.mp3")</f>
        <v>1993-099_The_Wealth_Of_Indian_Culture_SB_05-05-05_-_Radhanath_Swami_Mumbai_1993-05-27_IDesireTree.mp3</v>
      </c>
      <c r="D4604" s="11"/>
      <c r="E4604" s="11"/>
    </row>
    <row r="4605" spans="1:5">
      <c r="A4605" s="12" t="s">
        <v>12463</v>
      </c>
      <c r="B4605" s="12" t="s">
        <v>17118</v>
      </c>
      <c r="C4605" s="13" t="str">
        <f>HYPERLINK("https://audio.iskcondesiretree.com/02_-_ISKCON_Swamis/ISKCON_Swamis_-_R_to_Y/His_Holiness_Radhanath_Swami/Lectures/01_-_Theme_wise/Vedic_Culture/1993-108_Greatness_Of_Vedic_Culture_SB_01-02-25_-_Radhanath_Swami_Mumbai_1993-06-06_IDesireTree.mp3", "1993-108_Greatness_Of_Vedic_Culture_SB_01-02-25_-_Radhanath_Swami_Mumbai_1993-06-06_IDesireTree.mp3")</f>
        <v>1993-108_Greatness_Of_Vedic_Culture_SB_01-02-25_-_Radhanath_Swami_Mumbai_1993-06-06_IDesireTree.mp3</v>
      </c>
      <c r="D4605" s="11"/>
      <c r="E4605" s="11"/>
    </row>
    <row r="4606" spans="1:5">
      <c r="A4606" s="12" t="s">
        <v>12463</v>
      </c>
      <c r="B4606" s="12" t="s">
        <v>17119</v>
      </c>
      <c r="C4606" s="13" t="str">
        <f>HYPERLINK("https://audio.iskcondesiretree.com/02_-_ISKCON_Swamis/ISKCON_Swamis_-_R_to_Y/His_Holiness_Radhanath_Swami/Lectures/01_-_Theme_wise/Vedic_Culture/1994-196_What_Are_Samskaras_Ht_-_Lecture_-_Radhanath_Swami_Mumbai_1994-10-16_IDesireTree.mp3", "1994-196_What_Are_Samskaras_Ht_-_Lecture_-_Radhanath_Swami_Mumbai_1994-10-16_IDesireTree.mp3")</f>
        <v>1994-196_What_Are_Samskaras_Ht_-_Lecture_-_Radhanath_Swami_Mumbai_1994-10-16_IDesireTree.mp3</v>
      </c>
      <c r="D4606" s="11"/>
      <c r="E4606" s="11"/>
    </row>
    <row r="4607" spans="1:5">
      <c r="A4607" s="12" t="s">
        <v>12463</v>
      </c>
      <c r="B4607" s="12" t="s">
        <v>17120</v>
      </c>
      <c r="C4607" s="13" t="str">
        <f>HYPERLINK("https://audio.iskcondesiretree.com/02_-_ISKCON_Swamis/ISKCON_Swamis_-_R_to_Y/His_Holiness_Radhanath_Swami/Lectures/01_-_Theme_wise/Vedic_Culture/1996-038_Importance_Of_Cows_And_Bulls_SB_01-17-20_-_Radhanath_Swami_Mumbai_1996-02-25_IDesireTree.mp3", "1996-038_Importance_Of_Cows_And_Bulls_SB_01-17-20_-_Radhanath_Swami_Mumbai_1996-02-25_IDesireTree.mp3")</f>
        <v>1996-038_Importance_Of_Cows_And_Bulls_SB_01-17-20_-_Radhanath_Swami_Mumbai_1996-02-25_IDesireTree.mp3</v>
      </c>
      <c r="D4607" s="11"/>
      <c r="E4607" s="11"/>
    </row>
    <row r="4608" spans="1:5">
      <c r="A4608" s="12" t="s">
        <v>12463</v>
      </c>
      <c r="B4608" s="12" t="s">
        <v>17121</v>
      </c>
      <c r="C4608" s="13" t="str">
        <f>HYPERLINK("https://audio.iskcondesiretree.com/02_-_ISKCON_Swamis/ISKCON_Swamis_-_R_to_Y/His_Holiness_Radhanath_Swami/Lectures/01_-_Theme_wise/Vedic_Culture/2003-008_The_Culture_of_how_to_Respect_Others_SB_04-21-14_-_Radhanath_Swami_Mumbai_2003-01-12_IDesireTree.mp3", "2003-008_The_Culture_of_how_to_Respect_Others_SB_04-21-14_-_Radhanath_Swami_Mumbai_2003-01-12_IDesireTree.mp3")</f>
        <v>2003-008_The_Culture_of_how_to_Respect_Others_SB_04-21-14_-_Radhanath_Swami_Mumbai_2003-01-12_IDesireTree.mp3</v>
      </c>
      <c r="D4608" s="11"/>
      <c r="E4608" s="11"/>
    </row>
    <row r="4609" spans="1:5">
      <c r="A4609" s="12" t="s">
        <v>12463</v>
      </c>
      <c r="B4609" s="12" t="s">
        <v>13098</v>
      </c>
      <c r="C4609" s="13" t="str">
        <f>HYPERLINK("https://audio.iskcondesiretree.com/02_-_ISKCON_Swamis/ISKCON_Swamis_-_R_to_Y/His_Holiness_Radhanath_Swami/Lectures/01_-_Theme_wise/Vyas_Puja/1990-025_Vyasa_Puja_BVM_1_-_Radhanath_Swami_IDesireTree.mp3", "1990-025_Vyasa_Puja_BVM_1_-_Radhanath_Swami_IDesireTree.mp3")</f>
        <v>1990-025_Vyasa_Puja_BVM_1_-_Radhanath_Swami_IDesireTree.mp3</v>
      </c>
      <c r="D4609" s="11"/>
      <c r="E4609" s="11"/>
    </row>
    <row r="4610" spans="1:5">
      <c r="A4610" s="12" t="s">
        <v>12463</v>
      </c>
      <c r="B4610" s="12" t="s">
        <v>17122</v>
      </c>
      <c r="C4610" s="13" t="str">
        <f>HYPERLINK("https://audio.iskcondesiretree.com/02_-_ISKCON_Swamis/ISKCON_Swamis_-_R_to_Y/His_Holiness_Radhanath_Swami/Lectures/01_-_Theme_wise/Vyas_Puja/1996-031_Vyas_Puja_Lecture_-_Radhanath_Swami_Pune_1996-01-27_IDesireTree.mp3", "1996-031_Vyas_Puja_Lecture_-_Radhanath_Swami_Pune_1996-01-27_IDesireTree.mp3")</f>
        <v>1996-031_Vyas_Puja_Lecture_-_Radhanath_Swami_Pune_1996-01-27_IDesireTree.mp3</v>
      </c>
      <c r="D4610" s="11"/>
      <c r="E4610" s="11"/>
    </row>
    <row r="4611" spans="1:5">
      <c r="A4611" s="12" t="s">
        <v>12463</v>
      </c>
      <c r="B4611" s="12" t="s">
        <v>17123</v>
      </c>
      <c r="C4611" s="13" t="str">
        <f>HYPERLINK("https://audio.iskcondesiretree.com/02_-_ISKCON_Swamis/ISKCON_Swamis_-_R_to_Y/His_Holiness_Radhanath_Swami/Lectures/01_-_Theme_wise/Vyas_Puja/1996-107_Vyas_Puja_Offering_Lecture_-_Radhanath_Swami_Mumbai_1996-04-08_IDesireTree.mp3", "1996-107_Vyas_Puja_Offering_Lecture_-_Radhanath_Swami_Mumbai_1996-04-08_IDesireTree.mp3")</f>
        <v>1996-107_Vyas_Puja_Offering_Lecture_-_Radhanath_Swami_Mumbai_1996-04-08_IDesireTree.mp3</v>
      </c>
      <c r="D4611" s="11"/>
      <c r="E4611" s="11"/>
    </row>
    <row r="4612" spans="1:5">
      <c r="A4612" s="12" t="s">
        <v>12463</v>
      </c>
      <c r="B4612" s="12" t="s">
        <v>17124</v>
      </c>
      <c r="C4612" s="13" t="str">
        <f>HYPERLINK("https://audio.iskcondesiretree.com/02_-_ISKCON_Swamis/ISKCON_Swamis_-_R_to_Y/His_Holiness_Radhanath_Swami/Lectures/01_-_Theme_wise/Vyas_Puja/1996-121_Vyas_Puja_Offering_Lecture_-_Radhanath_Swami_Mumbai_1996-04-09_IDesireTree.mp3", "1996-121_Vyas_Puja_Offering_Lecture_-_Radhanath_Swami_Mumbai_1996-04-09_IDesireTree.mp3")</f>
        <v>1996-121_Vyas_Puja_Offering_Lecture_-_Radhanath_Swami_Mumbai_1996-04-09_IDesireTree.mp3</v>
      </c>
      <c r="D4612" s="11"/>
      <c r="E4612" s="11"/>
    </row>
    <row r="4613" spans="1:5">
      <c r="A4613" s="12" t="s">
        <v>12463</v>
      </c>
      <c r="B4613" s="12" t="s">
        <v>17125</v>
      </c>
      <c r="C4613" s="13" t="str">
        <f>HYPERLINK("https://audio.iskcondesiretree.com/02_-_ISKCON_Swamis/ISKCON_Swamis_-_R_to_Y/His_Holiness_Radhanath_Swami/Lectures/01_-_Theme_wise/Vyas_Puja/1996-125_Offering_To_Srila_Prabhupada_Lecture_-_Radhanath_Swami_Mumbai_1996-06-09_IDesireTree.mp3", "1996-125_Offering_To_Srila_Prabhupada_Lecture_-_Radhanath_Swami_Mumbai_1996-06-09_IDesireTree.mp3")</f>
        <v>1996-125_Offering_To_Srila_Prabhupada_Lecture_-_Radhanath_Swami_Mumbai_1996-06-09_IDesireTree.mp3</v>
      </c>
      <c r="D4613" s="11"/>
      <c r="E4613" s="11"/>
    </row>
    <row r="4614" spans="1:5">
      <c r="A4614" s="12" t="s">
        <v>12463</v>
      </c>
      <c r="B4614" s="12" t="s">
        <v>17126</v>
      </c>
      <c r="C4614" s="13" t="str">
        <f>HYPERLINK("https://audio.iskcondesiretree.com/02_-_ISKCON_Swamis/ISKCON_Swamis_-_R_to_Y/His_Holiness_Radhanath_Swami/Lectures/01_-_Theme_wise/Vyas_Puja/2000-058_Vyas_Puja_Offering_Lecture_-_Radhanath_Swami_Mumbai_2000-08-24_IDesireTree.mp3", "2000-058_Vyas_Puja_Offering_Lecture_-_Radhanath_Swami_Mumbai_2000-08-24_IDesireTree.mp3")</f>
        <v>2000-058_Vyas_Puja_Offering_Lecture_-_Radhanath_Swami_Mumbai_2000-08-24_IDesireTree.mp3</v>
      </c>
      <c r="D4614" s="11"/>
      <c r="E4614" s="11"/>
    </row>
    <row r="4615" spans="1:5">
      <c r="A4615" s="12" t="s">
        <v>12463</v>
      </c>
      <c r="B4615" s="12" t="s">
        <v>17127</v>
      </c>
      <c r="C4615" s="13" t="str">
        <f>HYPERLINK("https://audio.iskcondesiretree.com/02_-_ISKCON_Swamis/ISKCON_Swamis_-_R_to_Y/His_Holiness_Radhanath_Swami/Lectures/01_-_Theme_wise/Vyas_Puja/2001-059_Vyas_Puja_Add_Lecture_-_Radhanath_Swami_Mumbai_2001-12-13_IDesireTree.mp3", "2001-059_Vyas_Puja_Add_Lecture_-_Radhanath_Swami_Mumbai_2001-12-13_IDesireTree.mp3")</f>
        <v>2001-059_Vyas_Puja_Add_Lecture_-_Radhanath_Swami_Mumbai_2001-12-13_IDesireTree.mp3</v>
      </c>
      <c r="D4615" s="11"/>
      <c r="E4615" s="11"/>
    </row>
    <row r="4616" spans="1:5">
      <c r="A4616" s="12" t="s">
        <v>12463</v>
      </c>
      <c r="B4616" s="12" t="s">
        <v>17128</v>
      </c>
      <c r="C4616" s="13" t="str">
        <f>HYPERLINK("https://audio.iskcondesiretree.com/02_-_ISKCON_Swamis/ISKCON_Swamis_-_R_to_Y/His_Holiness_Radhanath_Swami/Lectures/01_-_Theme_wise/Vyas_Puja/2002-120_Vyas_Puja_Address_Lecture_-_Radhanath_Swami_Mumbai_2002-03-13_IDesireTree.mp3", "2002-120_Vyas_Puja_Address_Lecture_-_Radhanath_Swami_Mumbai_2002-03-13_IDesireTree.mp3")</f>
        <v>2002-120_Vyas_Puja_Address_Lecture_-_Radhanath_Swami_Mumbai_2002-03-13_IDesireTree.mp3</v>
      </c>
      <c r="D4616" s="11"/>
      <c r="E4616" s="11"/>
    </row>
    <row r="4617" spans="1:5">
      <c r="A4617" s="12" t="s">
        <v>12463</v>
      </c>
      <c r="B4617" s="12" t="s">
        <v>17129</v>
      </c>
      <c r="C4617" s="13" t="str">
        <f>HYPERLINK("https://audio.iskcondesiretree.com/02_-_ISKCON_Swamis/ISKCON_Swamis_-_R_to_Y/His_Holiness_Radhanath_Swami/Lectures/01_-_Theme_wise/Vyas_Puja/2003-051_Vyas_Puja_Offering_Lecture_-_Radhanath_Swami_Mumbai_2006-08-21_IDesireTree.mp3", "2003-051_Vyas_Puja_Offering_Lecture_-_Radhanath_Swami_Mumbai_2006-08-21_IDesireTree.mp3")</f>
        <v>2003-051_Vyas_Puja_Offering_Lecture_-_Radhanath_Swami_Mumbai_2006-08-21_IDesireTree.mp3</v>
      </c>
      <c r="D4617" s="11"/>
      <c r="E4617" s="11"/>
    </row>
    <row r="4618" spans="1:5">
      <c r="A4618" s="12" t="s">
        <v>12463</v>
      </c>
      <c r="B4618" s="12" t="s">
        <v>17130</v>
      </c>
      <c r="C4618" s="13" t="str">
        <f>HYPERLINK("https://audio.iskcondesiretree.com/02_-_ISKCON_Swamis/ISKCON_Swamis_-_R_to_Y/His_Holiness_Radhanath_Swami/Lectures/01_-_Theme_wise/Vyas_Puja/2003-104_Vyas_Puja_Address_Lecture_-_Radhanath_Swami_Mumbai_-_2003-12-12_IDesireTree.mp3", "2003-104_Vyas_Puja_Address_Lecture_-_Radhanath_Swami_Mumbai_-_2003-12-12_IDesireTree.mp3")</f>
        <v>2003-104_Vyas_Puja_Address_Lecture_-_Radhanath_Swami_Mumbai_-_2003-12-12_IDesireTree.mp3</v>
      </c>
      <c r="D4618" s="11"/>
      <c r="E4618" s="11"/>
    </row>
    <row r="4619" spans="1:5">
      <c r="A4619" s="12" t="s">
        <v>12463</v>
      </c>
      <c r="B4619" s="12" t="s">
        <v>16827</v>
      </c>
      <c r="C4619" s="13" t="str">
        <f>HYPERLINK("https://audio.iskcondesiretree.com/02_-_ISKCON_Swamis/ISKCON_Swamis_-_R_to_Y/His_Holiness_Radhanath_Swami/Lectures/01_-_Theme_wise/Youth_Preaching/1995-014_Talk_With_J_J_Medical_Students_-_Radhanath_Swami_Mumbai_1995-01-11.mp3", "1995-014_Talk_With_J_J_Medical_Students_-_Radhanath_Swami_Mumbai_1995-01-11.mp3")</f>
        <v>1995-014_Talk_With_J_J_Medical_Students_-_Radhanath_Swami_Mumbai_1995-01-11.mp3</v>
      </c>
      <c r="D4619" s="11"/>
      <c r="E4619" s="11"/>
    </row>
    <row r="4620" spans="1:5">
      <c r="A4620" s="12" t="s">
        <v>12464</v>
      </c>
      <c r="B4620" s="12" t="s">
        <v>17131</v>
      </c>
      <c r="C4620" s="13" t="str">
        <f>HYPERLINK("https://audio.iskcondesiretree.com/02_-_ISKCON_Swamis/ISKCON_Swamis_-_R_to_Y/His_Holiness_Radhanath_Swami/Lectures/02_-_Yatra/1997_Mayapur/Mayapur_Yatra_1997_01_Childhood_Pastimes_of_Nimai_with_Sacinandana_Swami_Radhanath_Swami_.mp3", "Mayapur_Yatra_1997_01_Childhood_Pastimes_of_Nimai_with_Sacinandana_Swami_Radhanath_Swami_.mp3")</f>
        <v>Mayapur_Yatra_1997_01_Childhood_Pastimes_of_Nimai_with_Sacinandana_Swami_Radhanath_Swami_.mp3</v>
      </c>
      <c r="D4620" s="11"/>
      <c r="E4620" s="11"/>
    </row>
    <row r="4621" spans="1:5">
      <c r="A4621" s="12" t="s">
        <v>12464</v>
      </c>
      <c r="B4621" s="12" t="s">
        <v>17132</v>
      </c>
      <c r="C4621" s="13" t="str">
        <f>HYPERLINK("https://audio.iskcondesiretree.com/02_-_ISKCON_Swamis/ISKCON_Swamis_-_R_to_Y/His_Holiness_Radhanath_Swami/Lectures/02_-_Yatra/1997_Mayapur/Mayapur_Yatra_1997_02_Radhanath_Swami_Pastimes_at_Srivas_Angan.mp3", "Mayapur_Yatra_1997_02_Radhanath_Swami_Pastimes_at_Srivas_Angan.mp3")</f>
        <v>Mayapur_Yatra_1997_02_Radhanath_Swami_Pastimes_at_Srivas_Angan.mp3</v>
      </c>
      <c r="D4621" s="11"/>
      <c r="E4621" s="11"/>
    </row>
    <row r="4622" spans="1:5">
      <c r="A4622" s="12" t="s">
        <v>12464</v>
      </c>
      <c r="B4622" s="12" t="s">
        <v>17133</v>
      </c>
      <c r="C4622" s="13" t="str">
        <f>HYPERLINK("https://audio.iskcondesiretree.com/02_-_ISKCON_Swamis/ISKCON_Swamis_-_R_to_Y/His_Holiness_Radhanath_Swami/Lectures/02_-_Yatra/1997_Mayapur/Mayapur_Yatra_1997_03_Pastimes_at_the_House_of_Nandan_Acharya_Radhanath_Swami.mp3", "Mayapur_Yatra_1997_03_Pastimes_at_the_House_of_Nandan_Acharya_Radhanath_Swami.mp3")</f>
        <v>Mayapur_Yatra_1997_03_Pastimes_at_the_House_of_Nandan_Acharya_Radhanath_Swami.mp3</v>
      </c>
      <c r="D4622" s="11"/>
      <c r="E4622" s="11"/>
    </row>
    <row r="4623" spans="1:5">
      <c r="A4623" s="12" t="s">
        <v>12464</v>
      </c>
      <c r="B4623" s="12" t="s">
        <v>17134</v>
      </c>
      <c r="C4623" s="13" t="str">
        <f>HYPERLINK("https://audio.iskcondesiretree.com/02_-_ISKCON_Swamis/ISKCON_Swamis_-_R_to_Y/His_Holiness_Radhanath_Swami/Lectures/02_-_Yatra/1997_Mayapur/Mayapur_Yatra_1997_04_House_of_Murari_Gupta_with_Sacinandana_Swami_Radhanath_Swami.mp3", "Mayapur_Yatra_1997_04_House_of_Murari_Gupta_with_Sacinandana_Swami_Radhanath_Swami.mp3")</f>
        <v>Mayapur_Yatra_1997_04_House_of_Murari_Gupta_with_Sacinandana_Swami_Radhanath_Swami.mp3</v>
      </c>
      <c r="D4623" s="11"/>
      <c r="E4623" s="11"/>
    </row>
    <row r="4624" spans="1:5">
      <c r="A4624" s="12" t="s">
        <v>12464</v>
      </c>
      <c r="B4624" s="12" t="s">
        <v>17135</v>
      </c>
      <c r="C4624" s="13" t="str">
        <f>HYPERLINK("https://audio.iskcondesiretree.com/02_-_ISKCON_Swamis/ISKCON_Swamis_-_R_to_Y/His_Holiness_Radhanath_Swami/Lectures/02_-_Yatra/1997_Mayapur/Mayapur_Yatra_1997_05_Pastimes_at_the_House_of_Chandrashekhar_Acharya_Radhanath_Swami.mp3", "Mayapur_Yatra_1997_05_Pastimes_at_the_House_of_Chandrashekhar_Acharya_Radhanath_Swami.mp3")</f>
        <v>Mayapur_Yatra_1997_05_Pastimes_at_the_House_of_Chandrashekhar_Acharya_Radhanath_Swami.mp3</v>
      </c>
      <c r="D4624" s="11"/>
      <c r="E4624" s="11"/>
    </row>
    <row r="4625" spans="1:5">
      <c r="A4625" s="12" t="s">
        <v>12464</v>
      </c>
      <c r="B4625" s="12" t="e">
        <v>#VALUE!</v>
      </c>
      <c r="C4625" s="13" t="e">
        <f>HYPERLINK("https://audio.iskcondesiretree.com/02_-_ISKCON_Swamis/ISKCON_Swamis_-_R_to_Y/His_Holiness_Radhanath_Swami/Lectures/02_-_Yatra/1997_Mayapur/Mayapur_Yatra_1997_06_Glorification_of_Srila_Bhaktisiddhanta_Saraswati_Thakur_Sacinandana%20Swami_Radhanath_Swami.mp"&amp;"3", "Mayapur_Yatra_1997_06_Glorification_of_Srila_Bhaktisiddhanta_Saraswati_Thakur_Sacinandana%20Swami_Radhanath_Swami.mp3")</f>
        <v>#VALUE!</v>
      </c>
      <c r="D4625" s="11"/>
      <c r="E4625" s="11"/>
    </row>
    <row r="4626" spans="1:5">
      <c r="A4626" s="12" t="s">
        <v>12464</v>
      </c>
      <c r="B4626" s="12" t="s">
        <v>17136</v>
      </c>
      <c r="C4626" s="13" t="str">
        <f>HYPERLINK("https://audio.iskcondesiretree.com/02_-_ISKCON_Swamis/ISKCON_Swamis_-_R_to_Y/His_Holiness_Radhanath_Swami/Lectures/02_-_Yatra/1997_Mayapur/Mayapur_Yatra_1997_07_-_Story_of_Simantadvipa_%26_Sridhar_Kolovecha_with_Jananivas_Pr_Radhanath_Swami_.mp3", "Mayapur_Yatra_1997_07_-_Story_of_Simantadvipa_%26_Sridhar_Kolovecha_with_Jananivas_Pr_Radhanath_Swami_.mp3")</f>
        <v>Mayapur_Yatra_1997_07_-_Story_of_Simantadvipa_%26_Sridhar_Kolovecha_with_Jananivas_Pr_Radhanath_Swami_.mp3</v>
      </c>
      <c r="D4626" s="11"/>
      <c r="E4626" s="11"/>
    </row>
    <row r="4627" spans="1:5">
      <c r="A4627" s="12" t="s">
        <v>12464</v>
      </c>
      <c r="B4627" s="12" t="s">
        <v>17137</v>
      </c>
      <c r="C4627" s="13" t="str">
        <f>HYPERLINK("https://audio.iskcondesiretree.com/02_-_ISKCON_Swamis/ISKCON_Swamis_-_R_to_Y/His_Holiness_Radhanath_Swami/Lectures/02_-_Yatra/1997_Mayapur/Mayapur_Yatra_1997_08_-_Pastimes_of_Lord_Jagannath_Jananivas_Prabhu_Pankajanghri_Pr_Radhanath_Swami_.mp3", "Mayapur_Yatra_1997_08_-_Pastimes_of_Lord_Jagannath_Jananivas_Prabhu_Pankajanghri_Pr_Radhanath_Swami_.mp3")</f>
        <v>Mayapur_Yatra_1997_08_-_Pastimes_of_Lord_Jagannath_Jananivas_Prabhu_Pankajanghri_Pr_Radhanath_Swami_.mp3</v>
      </c>
      <c r="D4627" s="11"/>
      <c r="E4627" s="11"/>
    </row>
    <row r="4628" spans="1:5">
      <c r="A4628" s="12" t="s">
        <v>12464</v>
      </c>
      <c r="B4628" s="12" t="s">
        <v>17138</v>
      </c>
      <c r="C4628" s="13" t="str">
        <f>HYPERLINK("https://audio.iskcondesiretree.com/02_-_ISKCON_Swamis/ISKCON_Swamis_-_R_to_Y/His_Holiness_Radhanath_Swami/Lectures/02_-_Yatra/1997_Mayapur/Mayapur_Yatra_1997_09_-_Deliverance_of_Chand_Kazi_Radhanath_Swami.mp3", "Mayapur_Yatra_1997_09_-_Deliverance_of_Chand_Kazi_Radhanath_Swami.mp3")</f>
        <v>Mayapur_Yatra_1997_09_-_Deliverance_of_Chand_Kazi_Radhanath_Swami.mp3</v>
      </c>
      <c r="D4628" s="11"/>
      <c r="E4628" s="11"/>
    </row>
    <row r="4629" spans="1:5">
      <c r="A4629" s="12" t="s">
        <v>12464</v>
      </c>
      <c r="B4629" s="12" t="s">
        <v>17139</v>
      </c>
      <c r="C4629" s="13" t="str">
        <f>HYPERLINK("https://audio.iskcondesiretree.com/02_-_ISKCON_Swamis/ISKCON_Swamis_-_R_to_Y/His_Holiness_Radhanath_Swami/Lectures/02_-_Yatra/1997_Mayapur/Mayapur_Yatra_1997_10_-_Pastimes_at_Surabhi_Kunj_Radhanath_Swami.mp3", "Mayapur_Yatra_1997_10_-_Pastimes_at_Surabhi_Kunj_Radhanath_Swami.mp3")</f>
        <v>Mayapur_Yatra_1997_10_-_Pastimes_at_Surabhi_Kunj_Radhanath_Swami.mp3</v>
      </c>
      <c r="D4629" s="11"/>
      <c r="E4629" s="11"/>
    </row>
    <row r="4630" spans="1:5">
      <c r="A4630" s="12" t="s">
        <v>12464</v>
      </c>
      <c r="B4630" s="12" t="s">
        <v>17140</v>
      </c>
      <c r="C4630" s="13" t="str">
        <f>HYPERLINK("https://audio.iskcondesiretree.com/02_-_ISKCON_Swamis/ISKCON_Swamis_-_R_to_Y/His_Holiness_Radhanath_Swami/Lectures/02_-_Yatra/1997_Mayapur/Mayapur_Yatra_1997_11_-_Glories_of_Srila_Bhaktivinod_Thakur_with_Sacinandana_Swami_Radhanath_Swami.mp3", "Mayapur_Yatra_1997_11_-_Glories_of_Srila_Bhaktivinod_Thakur_with_Sacinandana_Swami_Radhanath_Swami.mp3")</f>
        <v>Mayapur_Yatra_1997_11_-_Glories_of_Srila_Bhaktivinod_Thakur_with_Sacinandana_Swami_Radhanath_Swami.mp3</v>
      </c>
      <c r="D4630" s="11"/>
      <c r="E4630" s="11"/>
    </row>
    <row r="4631" spans="1:5">
      <c r="A4631" s="12" t="s">
        <v>12464</v>
      </c>
      <c r="B4631" s="12" t="e">
        <v>#VALUE!</v>
      </c>
      <c r="C4631" s="13" t="e">
        <f>HYPERLINK("https://audio.iskcondesiretree.com/02_-_ISKCON_Swamis/ISKCON_Swamis_-_R_to_Y/His_Holiness_Radhanath_Swami/Lectures/02_-_Yatra/1997_Mayapur/Mayapur_Yatra_1997_12_Pastimes_at_Suvarna_Vihar_Aamghat_%26_Hari_Hara_Kshetra_Sacinandana_Swami_Radhanath%20Swami.mp"&amp;"3", "Mayapur_Yatra_1997_12_Pastimes_at_Suvarna_Vihar_Aamghat_%26_Hari_Hara_Kshetra_Sacinandana_Swami_Radhanath%20Swami.mp3")</f>
        <v>#VALUE!</v>
      </c>
      <c r="D4631" s="11"/>
      <c r="E4631" s="11"/>
    </row>
    <row r="4632" spans="1:5">
      <c r="A4632" s="12" t="s">
        <v>12464</v>
      </c>
      <c r="B4632" s="12" t="s">
        <v>17141</v>
      </c>
      <c r="C4632" s="13" t="str">
        <f>HYPERLINK("https://audio.iskcondesiretree.com/02_-_ISKCON_Swamis/ISKCON_Swamis_-_R_to_Y/His_Holiness_Radhanath_Swami/Lectures/02_-_Yatra/1997_Mayapur/Mayapur_Yatra_1997_13_Glorification_of_Vrindavan_Das_Thakur_Vasudev_Dutt_Sacinandana_Swami_Radhanath_Swami.mp3", "Mayapur_Yatra_1997_13_Glorification_of_Vrindavan_Das_Thakur_Vasudev_Dutt_Sacinandana_Swami_Radhanath_Swami.mp3")</f>
        <v>Mayapur_Yatra_1997_13_Glorification_of_Vrindavan_Das_Thakur_Vasudev_Dutt_Sacinandana_Swami_Radhanath_Swami.mp3</v>
      </c>
      <c r="D4632" s="11"/>
      <c r="E4632" s="11"/>
    </row>
    <row r="4633" spans="1:5">
      <c r="A4633" s="12" t="s">
        <v>12464</v>
      </c>
      <c r="B4633" s="12" t="s">
        <v>17142</v>
      </c>
      <c r="C4633" s="13" t="str">
        <f>HYPERLINK("https://audio.iskcondesiretree.com/02_-_ISKCON_Swamis/ISKCON_Swamis_-_R_to_Y/His_Holiness_Radhanath_Swami/Lectures/02_-_Yatra/1997_Mayapur/Mayapur_Yatra_1997_14_Pastimes_at_Vidyanagar_Champahati_Radhanath_Swami.mp3", "Mayapur_Yatra_1997_14_Pastimes_at_Vidyanagar_Champahati_Radhanath_Swami.mp3")</f>
        <v>Mayapur_Yatra_1997_14_Pastimes_at_Vidyanagar_Champahati_Radhanath_Swami.mp3</v>
      </c>
      <c r="D4633" s="11"/>
      <c r="E4633" s="11"/>
    </row>
    <row r="4634" spans="1:5">
      <c r="A4634" s="12" t="s">
        <v>12464</v>
      </c>
      <c r="B4634" s="12" t="s">
        <v>17143</v>
      </c>
      <c r="C4634" s="13" t="str">
        <f>HYPERLINK("https://audio.iskcondesiretree.com/02_-_ISKCON_Swamis/ISKCON_Swamis_-_R_to_Y/His_Holiness_Radhanath_Swami/Lectures/02_-_Yatra/1997_Mayapur/Mayapur_Yatra_1997_15_Glorification_of_Vishnu_Priya_Devi_Radhanath_Swami_Sacinandana_Swami.mp3", "Mayapur_Yatra_1997_15_Glorification_of_Vishnu_Priya_Devi_Radhanath_Swami_Sacinandana_Swami.mp3")</f>
        <v>Mayapur_Yatra_1997_15_Glorification_of_Vishnu_Priya_Devi_Radhanath_Swami_Sacinandana_Swami.mp3</v>
      </c>
      <c r="D4634" s="11"/>
      <c r="E4634" s="11"/>
    </row>
    <row r="4635" spans="1:5">
      <c r="A4635" s="12" t="s">
        <v>12464</v>
      </c>
      <c r="B4635" s="12" t="s">
        <v>17144</v>
      </c>
      <c r="C4635" s="13" t="str">
        <f>HYPERLINK("https://audio.iskcondesiretree.com/02_-_ISKCON_Swamis/ISKCON_Swamis_-_R_to_Y/His_Holiness_Radhanath_Swami/Lectures/02_-_Yatra/1997_Mayapur/Mayapur_Yatra_1997_16_Pastimes_at_Ramkeli.mp3", "Mayapur_Yatra_1997_16_Pastimes_at_Ramkeli.mp3")</f>
        <v>Mayapur_Yatra_1997_16_Pastimes_at_Ramkeli.mp3</v>
      </c>
      <c r="D4635" s="11"/>
      <c r="E4635" s="11"/>
    </row>
    <row r="4636" spans="1:5">
      <c r="A4636" s="12" t="s">
        <v>12464</v>
      </c>
      <c r="B4636" s="12" t="s">
        <v>17145</v>
      </c>
      <c r="C4636" s="13" t="str">
        <f>HYPERLINK("https://audio.iskcondesiretree.com/02_-_ISKCON_Swamis/ISKCON_Swamis_-_R_to_Y/His_Holiness_Radhanath_Swami/Lectures/02_-_Yatra/1997_Mayapur/Mayapur_Yatra_1997_17_Govardhan_Lila_Radhanath_Swami_Giriraj_Swami_Sacinandana_Swami.mp3", "Mayapur_Yatra_1997_17_Govardhan_Lila_Radhanath_Swami_Giriraj_Swami_Sacinandana_Swami.mp3")</f>
        <v>Mayapur_Yatra_1997_17_Govardhan_Lila_Radhanath_Swami_Giriraj_Swami_Sacinandana_Swami.mp3</v>
      </c>
      <c r="D4636" s="11"/>
      <c r="E4636" s="11"/>
    </row>
    <row r="4637" spans="1:5">
      <c r="A4637" s="12" t="s">
        <v>12464</v>
      </c>
      <c r="B4637" s="12" t="s">
        <v>17146</v>
      </c>
      <c r="C4637" s="13" t="str">
        <f>HYPERLINK("https://audio.iskcondesiretree.com/02_-_ISKCON_Swamis/ISKCON_Swamis_-_R_to_Y/His_Holiness_Radhanath_Swami/Lectures/02_-_Yatra/1997_Mayapur/Mayapur_Yatra_1997_18_Pastimes_at_Kanainatashala_Radhanath_Swami.mp3", "Mayapur_Yatra_1997_18_Pastimes_at_Kanainatashala_Radhanath_Swami.mp3")</f>
        <v>Mayapur_Yatra_1997_18_Pastimes_at_Kanainatashala_Radhanath_Swami.mp3</v>
      </c>
      <c r="D4637" s="11"/>
      <c r="E4637" s="11"/>
    </row>
    <row r="4638" spans="1:5">
      <c r="A4638" s="12" t="s">
        <v>12464</v>
      </c>
      <c r="B4638" s="12" t="s">
        <v>17147</v>
      </c>
      <c r="C4638" s="13" t="str">
        <f>HYPERLINK("https://audio.iskcondesiretree.com/02_-_ISKCON_Swamis/ISKCON_Swamis_-_R_to_Y/His_Holiness_Radhanath_Swami/Lectures/02_-_Yatra/1997_Mayapur/Mayapur_Yatra_1997_19_Glorification_of%20Govardhan%20Hill%20Radhanath%20Swami.mp3", "Mayapur_Yatra_1997_19_Glorification_of%20Govardhan%20Hill%20Radhanath%20Swami.mp3")</f>
        <v>Mayapur_Yatra_1997_19_Glorification_of%20Govardhan%20Hill%20Radhanath%20Swami.mp3</v>
      </c>
      <c r="D4638" s="11"/>
      <c r="E4638" s="11"/>
    </row>
    <row r="4639" spans="1:5">
      <c r="A4639" s="12" t="s">
        <v>12464</v>
      </c>
      <c r="B4639" s="12" t="s">
        <v>17148</v>
      </c>
      <c r="C4639" s="13" t="str">
        <f>HYPERLINK("https://audio.iskcondesiretree.com/02_-_ISKCON_Swamis/ISKCON_Swamis_-_R_to_Y/His_Holiness_Radhanath_Swami/Lectures/02_-_Yatra/1997_Mayapur/Mayapur_Yatra_1997_20_Childhood_Pastimes_of_Nitai_Radhanath_Swami.mp3", "Mayapur_Yatra_1997_20_Childhood_Pastimes_of_Nitai_Radhanath_Swami.mp3")</f>
        <v>Mayapur_Yatra_1997_20_Childhood_Pastimes_of_Nitai_Radhanath_Swami.mp3</v>
      </c>
      <c r="D4639" s="11"/>
      <c r="E4639" s="11"/>
    </row>
    <row r="4640" spans="1:5">
      <c r="A4640" s="12" t="s">
        <v>12464</v>
      </c>
      <c r="B4640" s="12" t="s">
        <v>17149</v>
      </c>
      <c r="C4640" s="13" t="str">
        <f>HYPERLINK("https://audio.iskcondesiretree.com/02_-_ISKCON_Swamis/ISKCON_Swamis_-_R_to_Y/His_Holiness_Radhanath_Swami/Lectures/02_-_Yatra/1997_Mayapur/Mayapur_Yatra_1997_21_Life_of_Nityananda_Prabhu_Radhanath_Swami_Giriraj_Swami_Sacinandana_Swam.mp3", "Mayapur_Yatra_1997_21_Life_of_Nityananda_Prabhu_Radhanath_Swami_Giriraj_Swami_Sacinandana_Swam.mp3")</f>
        <v>Mayapur_Yatra_1997_21_Life_of_Nityananda_Prabhu_Radhanath_Swami_Giriraj_Swami_Sacinandana_Swam.mp3</v>
      </c>
      <c r="D4640" s="11"/>
      <c r="E4640" s="11"/>
    </row>
    <row r="4641" spans="1:5">
      <c r="A4641" s="12" t="s">
        <v>12464</v>
      </c>
      <c r="B4641" s="12" t="s">
        <v>17150</v>
      </c>
      <c r="C4641" s="13" t="str">
        <f>HYPERLINK("https://audio.iskcondesiretree.com/02_-_ISKCON_Swamis/ISKCON_Swamis_-_R_to_Y/His_Holiness_Radhanath_Swami/Lectures/02_-_Yatra/1997_Mayapur/Mayapur_Yatra_1997_22_Pastimes_at_Jajigrama_Radhanath_Swami.mp3", "Mayapur_Yatra_1997_22_Pastimes_at_Jajigrama_Radhanath_Swami.mp3")</f>
        <v>Mayapur_Yatra_1997_22_Pastimes_at_Jajigrama_Radhanath_Swami.mp3</v>
      </c>
      <c r="D4641" s="11"/>
      <c r="E4641" s="11"/>
    </row>
    <row r="4642" spans="1:5">
      <c r="A4642" s="12" t="s">
        <v>12464</v>
      </c>
      <c r="B4642" s="12" t="s">
        <v>17151</v>
      </c>
      <c r="C4642" s="13" t="str">
        <f>HYPERLINK("https://audio.iskcondesiretree.com/02_-_ISKCON_Swamis/ISKCON_Swamis_-_R_to_Y/His_Holiness_Radhanath_Swami/Lectures/02_-_Yatra/1997_Mayapur/Mayapur_Yatra_1997_23_Pastimes_at_%20Srikhanda_Radhanath_Swami.mp3", "Mayapur_Yatra_1997_23_Pastimes_at_%20Srikhanda_Radhanath_Swami.mp3")</f>
        <v>Mayapur_Yatra_1997_23_Pastimes_at_%20Srikhanda_Radhanath_Swami.mp3</v>
      </c>
      <c r="D4642" s="11"/>
      <c r="E4642" s="11"/>
    </row>
    <row r="4643" spans="1:5">
      <c r="A4643" s="12" t="s">
        <v>12464</v>
      </c>
      <c r="B4643" s="12" t="s">
        <v>17152</v>
      </c>
      <c r="C4643" s="13" t="str">
        <f>HYPERLINK("https://audio.iskcondesiretree.com/02_-_ISKCON_Swamis/ISKCON_Swamis_-_R_to_Y/His_Holiness_Radhanath_Swami/Lectures/02_-_Yatra/1997_Mayapur/Mayapur_Yatra_1997_24_Pastimes_at_Raghava_Pandit%27s_House_Panihati_Radhanath_Swami.mp3", "Mayapur_Yatra_1997_24_Pastimes_at_Raghava_Pandit%27s_House_Panihati_Radhanath_Swami.mp3")</f>
        <v>Mayapur_Yatra_1997_24_Pastimes_at_Raghava_Pandit%27s_House_Panihati_Radhanath_Swami.mp3</v>
      </c>
      <c r="D4643" s="11"/>
      <c r="E4643" s="11"/>
    </row>
    <row r="4644" spans="1:5">
      <c r="A4644" s="12" t="s">
        <v>12464</v>
      </c>
      <c r="B4644" s="12" t="s">
        <v>17153</v>
      </c>
      <c r="C4644" s="13" t="str">
        <f>HYPERLINK("https://audio.iskcondesiretree.com/02_-_ISKCON_Swamis/ISKCON_Swamis_-_R_to_Y/His_Holiness_Radhanath_Swami/Lectures/02_-_Yatra/1997_Mayapur/Mayapur_Yatra_1997_25_Lecture_in_Kardaha_Radhanath_Swami.mp3", "Mayapur_Yatra_1997_25_Lecture_in_Kardaha_Radhanath_Swami.mp3")</f>
        <v>Mayapur_Yatra_1997_25_Lecture_in_Kardaha_Radhanath_Swami.mp3</v>
      </c>
      <c r="D4644" s="11"/>
      <c r="E4644" s="11"/>
    </row>
    <row r="4645" spans="1:5">
      <c r="A4645" s="12" t="s">
        <v>12464</v>
      </c>
      <c r="B4645" s="12" t="s">
        <v>17154</v>
      </c>
      <c r="C4645" s="13" t="str">
        <f>HYPERLINK("https://audio.iskcondesiretree.com/02_-_ISKCON_Swamis/ISKCON_Swamis_-_R_to_Y/His_Holiness_Radhanath_Swami/Lectures/02_-_Yatra/1998_Vrindavan_yatra/Vrindavan_Yatra_1998_01_-_Kalia%20ghat_-_Radhanath_Swami.mp3", "Vrindavan_Yatra_1998_01_-_Kalia%20ghat_-_Radhanath_Swami.mp3")</f>
        <v>Vrindavan_Yatra_1998_01_-_Kalia%20ghat_-_Radhanath_Swami.mp3</v>
      </c>
      <c r="D4645" s="11"/>
      <c r="E4645" s="11"/>
    </row>
    <row r="4646" spans="1:5">
      <c r="A4646" s="12" t="s">
        <v>12464</v>
      </c>
      <c r="B4646" s="12" t="s">
        <v>17155</v>
      </c>
      <c r="C4646" s="13" t="str">
        <f>HYPERLINK("https://audio.iskcondesiretree.com/02_-_ISKCON_Swamis/ISKCON_Swamis_-_R_to_Y/His_Holiness_Radhanath_Swami/Lectures/02_-_Yatra/1998_Vrindavan_yatra/Vrindavan_Yatra_1998_02_-_Various_Temples_Of_Vrindavan-01_-_Radhanath_Swami.mp3", "Vrindavan_Yatra_1998_02_-_Various_Temples_Of_Vrindavan-01_-_Radhanath_Swami.mp3")</f>
        <v>Vrindavan_Yatra_1998_02_-_Various_Temples_Of_Vrindavan-01_-_Radhanath_Swami.mp3</v>
      </c>
      <c r="D4646" s="11"/>
      <c r="E4646" s="11"/>
    </row>
    <row r="4647" spans="1:5">
      <c r="A4647" s="12" t="s">
        <v>12464</v>
      </c>
      <c r="B4647" s="12" t="s">
        <v>17156</v>
      </c>
      <c r="C4647" s="13" t="str">
        <f>HYPERLINK("https://audio.iskcondesiretree.com/02_-_ISKCON_Swamis/ISKCON_Swamis_-_R_to_Y/His_Holiness_Radhanath_Swami/Lectures/02_-_Yatra/1998_Vrindavan_yatra/Vrindavan_Yatra_1998_03_-_Various_Temples_Of_Vrindavan-02_-_Radhanath_Swami.mp3", "Vrindavan_Yatra_1998_03_-_Various_Temples_Of_Vrindavan-02_-_Radhanath_Swami.mp3")</f>
        <v>Vrindavan_Yatra_1998_03_-_Various_Temples_Of_Vrindavan-02_-_Radhanath_Swami.mp3</v>
      </c>
      <c r="D4647" s="11"/>
      <c r="E4647" s="11"/>
    </row>
    <row r="4648" spans="1:5">
      <c r="A4648" s="12" t="s">
        <v>12464</v>
      </c>
      <c r="B4648" s="12" t="s">
        <v>17157</v>
      </c>
      <c r="C4648" s="13" t="str">
        <f>HYPERLINK("https://audio.iskcondesiretree.com/02_-_ISKCON_Swamis/ISKCON_Swamis_-_R_to_Y/His_Holiness_Radhanath_Swami/Lectures/02_-_Yatra/1998_Vrindavan_yatra/Vrindavan_Yatra_1998_04_-_Raval_Dauji%20Temple_-_Radhanath_Swami.mp3", "Vrindavan_Yatra_1998_04_-_Raval_Dauji%20Temple_-_Radhanath_Swami.mp3")</f>
        <v>Vrindavan_Yatra_1998_04_-_Raval_Dauji%20Temple_-_Radhanath_Swami.mp3</v>
      </c>
      <c r="D4648" s="11"/>
      <c r="E4648" s="11"/>
    </row>
    <row r="4649" spans="1:5">
      <c r="A4649" s="12" t="s">
        <v>12464</v>
      </c>
      <c r="B4649" s="12" t="s">
        <v>17158</v>
      </c>
      <c r="C4649" s="13" t="str">
        <f>HYPERLINK("https://audio.iskcondesiretree.com/02_-_ISKCON_Swamis/ISKCON_Swamis_-_R_to_Y/His_Holiness_Radhanath_Swami/Lectures/02_-_Yatra/1998_Vrindavan_yatra/Vrindavan_Yatra_1998_05_-_Govardhan_Parikrama-01_-_Radhanath_Swami.mp3", "Vrindavan_Yatra_1998_05_-_Govardhan_Parikrama-01_-_Radhanath_Swami.mp3")</f>
        <v>Vrindavan_Yatra_1998_05_-_Govardhan_Parikrama-01_-_Radhanath_Swami.mp3</v>
      </c>
      <c r="D4649" s="11"/>
      <c r="E4649" s="11"/>
    </row>
    <row r="4650" spans="1:5">
      <c r="A4650" s="12" t="s">
        <v>12464</v>
      </c>
      <c r="B4650" s="12" t="s">
        <v>17159</v>
      </c>
      <c r="C4650" s="13" t="str">
        <f>HYPERLINK("https://audio.iskcondesiretree.com/02_-_ISKCON_Swamis/ISKCON_Swamis_-_R_to_Y/His_Holiness_Radhanath_Swami/Lectures/02_-_Yatra/1998_Vrindavan_yatra/Vrindavan_Yatra_1998_06_-_Govardhan_Parikrama-02_-_Radhanath_Swami.mp3", "Vrindavan_Yatra_1998_06_-_Govardhan_Parikrama-02_-_Radhanath_Swami.mp3")</f>
        <v>Vrindavan_Yatra_1998_06_-_Govardhan_Parikrama-02_-_Radhanath_Swami.mp3</v>
      </c>
      <c r="D4650" s="11"/>
      <c r="E4650" s="11"/>
    </row>
    <row r="4651" spans="1:5">
      <c r="A4651" s="12" t="s">
        <v>12464</v>
      </c>
      <c r="B4651" s="12" t="s">
        <v>17160</v>
      </c>
      <c r="C4651" s="13" t="str">
        <f>HYPERLINK("https://audio.iskcondesiretree.com/02_-_ISKCON_Swamis/ISKCON_Swamis_-_R_to_Y/His_Holiness_Radhanath_Swami/Lectures/02_-_Yatra/1998_Vrindavan_yatra/Vrindavan_Yatra_1998_07_-_Radhakund_-_Radhanath_Swami.mp3", "Vrindavan_Yatra_1998_07_-_Radhakund_-_Radhanath_Swami.mp3")</f>
        <v>Vrindavan_Yatra_1998_07_-_Radhakund_-_Radhanath_Swami.mp3</v>
      </c>
      <c r="D4651" s="11"/>
      <c r="E4651" s="11"/>
    </row>
    <row r="4652" spans="1:5">
      <c r="A4652" s="12" t="s">
        <v>12464</v>
      </c>
      <c r="B4652" s="12" t="s">
        <v>17161</v>
      </c>
      <c r="C4652" s="13" t="str">
        <f>HYPERLINK("https://audio.iskcondesiretree.com/02_-_ISKCON_Swamis/ISKCON_Swamis_-_R_to_Y/His_Holiness_Radhanath_Swami/Lectures/02_-_Yatra/1998_Vrindavan_yatra/Vrindavan_Yatra_1998_08_-_Bandiravan_-_Radhanath_Swami.mp3", "Vrindavan_Yatra_1998_08_-_Bandiravan_-_Radhanath_Swami.mp3")</f>
        <v>Vrindavan_Yatra_1998_08_-_Bandiravan_-_Radhanath_Swami.mp3</v>
      </c>
      <c r="D4652" s="11"/>
      <c r="E4652" s="11"/>
    </row>
    <row r="4653" spans="1:5">
      <c r="A4653" s="12" t="s">
        <v>12464</v>
      </c>
      <c r="B4653" s="12" t="s">
        <v>17162</v>
      </c>
      <c r="C4653" s="13" t="str">
        <f>HYPERLINK("https://audio.iskcondesiretree.com/02_-_ISKCON_Swamis/ISKCON_Swamis_-_R_to_Y/His_Holiness_Radhanath_Swami/Lectures/02_-_Yatra/1998_Vrindavan_yatra/Vrindavan_Yatra_1998_09_-_Kamyavana_-_Radhanath_Swami.mp3", "Vrindavan_Yatra_1998_09_-_Kamyavana_-_Radhanath_Swami.mp3")</f>
        <v>Vrindavan_Yatra_1998_09_-_Kamyavana_-_Radhanath_Swami.mp3</v>
      </c>
      <c r="D4653" s="11"/>
      <c r="E4653" s="11"/>
    </row>
    <row r="4654" spans="1:5">
      <c r="A4654" s="12" t="s">
        <v>12464</v>
      </c>
      <c r="B4654" s="12" t="s">
        <v>17163</v>
      </c>
      <c r="C4654" s="13" t="str">
        <f>HYPERLINK("https://audio.iskcondesiretree.com/02_-_ISKCON_Swamis/ISKCON_Swamis_-_R_to_Y/His_Holiness_Radhanath_Swami/Lectures/02_-_Yatra/1998_Vrindavan_yatra/Vrindavan_Yatra_1998_10_-_Barsana-01_-_Radhanath_Swami.mp3", "Vrindavan_Yatra_1998_10_-_Barsana-01_-_Radhanath_Swami.mp3")</f>
        <v>Vrindavan_Yatra_1998_10_-_Barsana-01_-_Radhanath_Swami.mp3</v>
      </c>
      <c r="D4654" s="11"/>
      <c r="E4654" s="11"/>
    </row>
    <row r="4655" spans="1:5">
      <c r="A4655" s="12" t="s">
        <v>12464</v>
      </c>
      <c r="B4655" s="12" t="s">
        <v>17164</v>
      </c>
      <c r="C4655" s="13" t="str">
        <f>HYPERLINK("https://audio.iskcondesiretree.com/02_-_ISKCON_Swamis/ISKCON_Swamis_-_R_to_Y/His_Holiness_Radhanath_Swami/Lectures/02_-_Yatra/1998_Vrindavan_yatra/Vrindavan_Yatra_1998_11_-_Barsana-02_-_Radhanath_Swami.mp3", "Vrindavan_Yatra_1998_11_-_Barsana-02_-_Radhanath_Swami.mp3")</f>
        <v>Vrindavan_Yatra_1998_11_-_Barsana-02_-_Radhanath_Swami.mp3</v>
      </c>
      <c r="D4655" s="11"/>
      <c r="E4655" s="11"/>
    </row>
    <row r="4656" spans="1:5">
      <c r="A4656" s="12" t="s">
        <v>12464</v>
      </c>
      <c r="B4656" s="12" t="s">
        <v>17165</v>
      </c>
      <c r="C4656" s="13" t="str">
        <f>HYPERLINK("https://audio.iskcondesiretree.com/02_-_ISKCON_Swamis/ISKCON_Swamis_-_R_to_Y/His_Holiness_Radhanath_Swami/Lectures/02_-_Yatra/1998_Vrindavan_yatra/Vrindavan_Yatra_1998_12_-_Barsana-03_-_Radhanath_Swami.mp3", "Vrindavan_Yatra_1998_12_-_Barsana-03_-_Radhanath_Swami.mp3")</f>
        <v>Vrindavan_Yatra_1998_12_-_Barsana-03_-_Radhanath_Swami.mp3</v>
      </c>
      <c r="D4656" s="11"/>
      <c r="E4656" s="11"/>
    </row>
    <row r="4657" spans="1:5">
      <c r="A4657" s="12" t="s">
        <v>12464</v>
      </c>
      <c r="B4657" s="12" t="s">
        <v>17166</v>
      </c>
      <c r="C4657" s="13" t="str">
        <f>HYPERLINK("https://audio.iskcondesiretree.com/02_-_ISKCON_Swamis/ISKCON_Swamis_-_R_to_Y/His_Holiness_Radhanath_Swami/Lectures/02_-_Yatra/1998_Vrindavan_yatra/Vrindavan_Yatra_1998_13_-_Nand_Gaon_-_Radhanath_Swami.mp3", "Vrindavan_Yatra_1998_13_-_Nand_Gaon_-_Radhanath_Swami.mp3")</f>
        <v>Vrindavan_Yatra_1998_13_-_Nand_Gaon_-_Radhanath_Swami.mp3</v>
      </c>
      <c r="D4657" s="11"/>
      <c r="E4657" s="11"/>
    </row>
    <row r="4658" spans="1:5">
      <c r="A4658" s="12" t="s">
        <v>12464</v>
      </c>
      <c r="B4658" s="12" t="s">
        <v>17167</v>
      </c>
      <c r="C4658" s="13" t="str">
        <f>HYPERLINK("https://audio.iskcondesiretree.com/02_-_ISKCON_Swamis/ISKCON_Swamis_-_R_to_Y/His_Holiness_Radhanath_Swami/Lectures/02_-_Yatra/1998_Vrindavan_yatra/Vrindavan_Yatra_1998_14_-_Pavan_Sarovar_-_Radhanath_Swami.mp3", "Vrindavan_Yatra_1998_14_-_Pavan_Sarovar_-_Radhanath_Swami.mp3")</f>
        <v>Vrindavan_Yatra_1998_14_-_Pavan_Sarovar_-_Radhanath_Swami.mp3</v>
      </c>
      <c r="D4658" s="11"/>
      <c r="E4658" s="11"/>
    </row>
    <row r="4659" spans="1:5">
      <c r="A4659" s="12" t="s">
        <v>12464</v>
      </c>
      <c r="B4659" s="12" t="s">
        <v>17168</v>
      </c>
      <c r="C4659" s="13" t="str">
        <f>HYPERLINK("https://audio.iskcondesiretree.com/02_-_ISKCON_Swamis/ISKCON_Swamis_-_R_to_Y/His_Holiness_Radhanath_Swami/Lectures/02_-_Yatra/1998_Vrindavan_yatra/Vrindavan_Yatra_1998_15_-_Terakadamba_-_Radhanath_Swami.mp3", "Vrindavan_Yatra_1998_15_-_Terakadamba_-_Radhanath_Swami.mp3")</f>
        <v>Vrindavan_Yatra_1998_15_-_Terakadamba_-_Radhanath_Swami.mp3</v>
      </c>
      <c r="D4659" s="11"/>
      <c r="E4659" s="11"/>
    </row>
    <row r="4660" spans="1:5">
      <c r="A4660" s="12" t="s">
        <v>12464</v>
      </c>
      <c r="B4660" s="12" t="s">
        <v>17169</v>
      </c>
      <c r="C4660" s="13" t="str">
        <f>HYPERLINK("https://audio.iskcondesiretree.com/02_-_ISKCON_Swamis/ISKCON_Swamis_-_R_to_Y/His_Holiness_Radhanath_Swami/Lectures/02_-_Yatra/1998_Vrindavan_yatra/Vrindavan_Yatra_1998_16_-_Talvan_Madhuban_-_Radhanath_Swami.mp3", "Vrindavan_Yatra_1998_16_-_Talvan_Madhuban_-_Radhanath_Swami.mp3")</f>
        <v>Vrindavan_Yatra_1998_16_-_Talvan_Madhuban_-_Radhanath_Swami.mp3</v>
      </c>
      <c r="D4660" s="11"/>
      <c r="E4660" s="11"/>
    </row>
    <row r="4661" spans="1:5">
      <c r="A4661" s="12" t="s">
        <v>12464</v>
      </c>
      <c r="B4661" s="12" t="s">
        <v>17170</v>
      </c>
      <c r="C4661" s="13" t="str">
        <f>HYPERLINK("https://audio.iskcondesiretree.com/02_-_ISKCON_Swamis/ISKCON_Swamis_-_R_to_Y/His_Holiness_Radhanath_Swami/Lectures/02_-_Yatra/1999_Ayodhya_Naimisharanya/Naimisharanya_Yatra_-_Eve_Lecture_-_Radhanath_Swami_1999_Gupta_Kunda.mp3", "Naimisharanya_Yatra_-_Eve_Lecture_-_Radhanath_Swami_1999_Gupta_Kunda.mp3")</f>
        <v>Naimisharanya_Yatra_-_Eve_Lecture_-_Radhanath_Swami_1999_Gupta_Kunda.mp3</v>
      </c>
      <c r="D4661" s="11"/>
      <c r="E4661" s="11"/>
    </row>
    <row r="4662" spans="1:5">
      <c r="A4662" s="12" t="s">
        <v>12464</v>
      </c>
      <c r="B4662" s="12" t="s">
        <v>17171</v>
      </c>
      <c r="C4662" s="13" t="str">
        <f>HYPERLINK("https://audio.iskcondesiretree.com/02_-_ISKCON_Swamis/ISKCON_Swamis_-_R_to_Y/His_Holiness_Radhanath_Swami/Lectures/02_-_Yatra/1999_Ayodhya_Naimisharanya/Naimisharanya_Yatra_-_kirtan_-_Radhanath_Swami_1999_Gupta_Kunda.mp3", "Naimisharanya_Yatra_-_kirtan_-_Radhanath_Swami_1999_Gupta_Kunda.mp3")</f>
        <v>Naimisharanya_Yatra_-_kirtan_-_Radhanath_Swami_1999_Gupta_Kunda.mp3</v>
      </c>
      <c r="D4662" s="11"/>
      <c r="E4662" s="11"/>
    </row>
    <row r="4663" spans="1:5">
      <c r="A4663" s="12" t="s">
        <v>12464</v>
      </c>
      <c r="B4663" s="12" t="s">
        <v>17172</v>
      </c>
      <c r="C4663" s="13" t="str">
        <f>HYPERLINK("https://audio.iskcondesiretree.com/02_-_ISKCON_Swamis/ISKCON_Swamis_-_R_to_Y/His_Holiness_Radhanath_Swami/Lectures/02_-_Yatra/1999_Ayodhya_Naimisharanya/Naimisharanya_Yatra_-_kirtan_-_Radhanath_Swami_1999_Naimisharanya.mp3", "Naimisharanya_Yatra_-_kirtan_-_Radhanath_Swami_1999_Naimisharanya.mp3")</f>
        <v>Naimisharanya_Yatra_-_kirtan_-_Radhanath_Swami_1999_Naimisharanya.mp3</v>
      </c>
      <c r="D4663" s="11"/>
      <c r="E4663" s="11"/>
    </row>
    <row r="4664" spans="1:5">
      <c r="A4664" s="12" t="s">
        <v>12464</v>
      </c>
      <c r="B4664" s="12" t="s">
        <v>17173</v>
      </c>
      <c r="C4664" s="13" t="str">
        <f>HYPERLINK("https://audio.iskcondesiretree.com/02_-_ISKCON_Swamis/ISKCON_Swamis_-_R_to_Y/His_Holiness_Radhanath_Swami/Lectures/02_-_Yatra/1999_Ayodhya_Naimisharanya/Naimisharanya_Yatra_-_kirtan_and_Lecture_-_Radhanath_Swami_1999_Naimisharanya.mp3", "Naimisharanya_Yatra_-_kirtan_and_Lecture_-_Radhanath_Swami_1999_Naimisharanya.mp3")</f>
        <v>Naimisharanya_Yatra_-_kirtan_and_Lecture_-_Radhanath_Swami_1999_Naimisharanya.mp3</v>
      </c>
      <c r="D4664" s="11"/>
      <c r="E4664" s="11"/>
    </row>
    <row r="4665" spans="1:5">
      <c r="A4665" s="12" t="s">
        <v>12464</v>
      </c>
      <c r="B4665" s="12" t="s">
        <v>17174</v>
      </c>
      <c r="C4665" s="13" t="str">
        <f>HYPERLINK("https://audio.iskcondesiretree.com/02_-_ISKCON_Swamis/ISKCON_Swamis_-_R_to_Y/His_Holiness_Radhanath_Swami/Lectures/02_-_Yatra/1999_Ayodhya_Naimisharanya/Naimisharanya_Yatra_-_Lecture_01_-_Radhanath_Swami_1999_Gupta_Kunda.mp3", "Naimisharanya_Yatra_-_Lecture_01_-_Radhanath_Swami_1999_Gupta_Kunda.mp3")</f>
        <v>Naimisharanya_Yatra_-_Lecture_01_-_Radhanath_Swami_1999_Gupta_Kunda.mp3</v>
      </c>
      <c r="D4665" s="11"/>
      <c r="E4665" s="11"/>
    </row>
    <row r="4666" spans="1:5">
      <c r="A4666" s="12" t="s">
        <v>12464</v>
      </c>
      <c r="B4666" s="12" t="s">
        <v>17175</v>
      </c>
      <c r="C4666" s="13" t="str">
        <f>HYPERLINK("https://audio.iskcondesiretree.com/02_-_ISKCON_Swamis/ISKCON_Swamis_-_R_to_Y/His_Holiness_Radhanath_Swami/Lectures/02_-_Yatra/1999_Ayodhya_Naimisharanya/Naimisharanya_Yatra_-_Lecture_01_-_Radhanath_Swami_1999_Nandigram.mp3", "Naimisharanya_Yatra_-_Lecture_01_-_Radhanath_Swami_1999_Nandigram.mp3")</f>
        <v>Naimisharanya_Yatra_-_Lecture_01_-_Radhanath_Swami_1999_Nandigram.mp3</v>
      </c>
      <c r="D4666" s="11"/>
      <c r="E4666" s="11"/>
    </row>
    <row r="4667" spans="1:5">
      <c r="A4667" s="12" t="s">
        <v>12464</v>
      </c>
      <c r="B4667" s="12" t="s">
        <v>17176</v>
      </c>
      <c r="C4667" s="13" t="str">
        <f>HYPERLINK("https://audio.iskcondesiretree.com/02_-_ISKCON_Swamis/ISKCON_Swamis_-_R_to_Y/His_Holiness_Radhanath_Swami/Lectures/02_-_Yatra/1999_Ayodhya_Naimisharanya/Naimisharanya_Yatra_-_Lecture_02_-_Radhanath_Swami_1999_Gupta_Kunda.mp3", "Naimisharanya_Yatra_-_Lecture_02_-_Radhanath_Swami_1999_Gupta_Kunda.mp3")</f>
        <v>Naimisharanya_Yatra_-_Lecture_02_-_Radhanath_Swami_1999_Gupta_Kunda.mp3</v>
      </c>
      <c r="D4667" s="11"/>
      <c r="E4667" s="11"/>
    </row>
    <row r="4668" spans="1:5">
      <c r="A4668" s="12" t="s">
        <v>12464</v>
      </c>
      <c r="B4668" s="12" t="s">
        <v>17177</v>
      </c>
      <c r="C4668" s="13" t="str">
        <f>HYPERLINK("https://audio.iskcondesiretree.com/02_-_ISKCON_Swamis/ISKCON_Swamis_-_R_to_Y/His_Holiness_Radhanath_Swami/Lectures/02_-_Yatra/1999_Ayodhya_Naimisharanya/Naimisharanya_Yatra_-_Lecture_02_-_Radhanath_Swami_1999_Naimisharanya.mp3", "Naimisharanya_Yatra_-_Lecture_02_-_Radhanath_Swami_1999_Naimisharanya.mp3")</f>
        <v>Naimisharanya_Yatra_-_Lecture_02_-_Radhanath_Swami_1999_Naimisharanya.mp3</v>
      </c>
      <c r="D4668" s="11"/>
      <c r="E4668" s="11"/>
    </row>
    <row r="4669" spans="1:5">
      <c r="A4669" s="12" t="s">
        <v>12464</v>
      </c>
      <c r="B4669" s="12" t="s">
        <v>17178</v>
      </c>
      <c r="C4669" s="13" t="str">
        <f>HYPERLINK("https://audio.iskcondesiretree.com/02_-_ISKCON_Swamis/ISKCON_Swamis_-_R_to_Y/His_Holiness_Radhanath_Swami/Lectures/02_-_Yatra/1999_Naimisharanya_yatra/Essence_Of_Srimad_Bhagavatam_-_Radhanath_Swami_Naimisharanya.mp3", "Essence_Of_Srimad_Bhagavatam_-_Radhanath_Swami_Naimisharanya.mp3")</f>
        <v>Essence_Of_Srimad_Bhagavatam_-_Radhanath_Swami_Naimisharanya.mp3</v>
      </c>
      <c r="D4669" s="11"/>
      <c r="E4669" s="11"/>
    </row>
    <row r="4670" spans="1:5">
      <c r="A4670" s="12" t="s">
        <v>12464</v>
      </c>
      <c r="B4670" s="12" t="s">
        <v>17179</v>
      </c>
      <c r="C4670" s="13" t="str">
        <f>HYPERLINK("https://audio.iskcondesiretree.com/02_-_ISKCON_Swamis/ISKCON_Swamis_-_R_to_Y/His_Holiness_Radhanath_Swami/Lectures/02_-_Yatra/1999_Naimisharanya_yatra/Kirtan_%26_Lecture_-_Radhanath_Swami_Naimisharanya.mp3", "Kirtan_%26_Lecture_-_Radhanath_Swami_Naimisharanya.mp3")</f>
        <v>Kirtan_%26_Lecture_-_Radhanath_Swami_Naimisharanya.mp3</v>
      </c>
      <c r="D4670" s="11"/>
      <c r="E4670" s="11"/>
    </row>
    <row r="4671" spans="1:5">
      <c r="A4671" s="12" t="s">
        <v>12464</v>
      </c>
      <c r="B4671" s="12" t="s">
        <v>17180</v>
      </c>
      <c r="C4671" s="13" t="str">
        <f>HYPERLINK("https://audio.iskcondesiretree.com/02_-_ISKCON_Swamis/ISKCON_Swamis_-_R_to_Y/His_Holiness_Radhanath_Swami/Lectures/02_-_Yatra/1999_Naimisharanya_yatra/Naimisharanya_Yatra_-_kirtan_Radhanath_Swami_1999_Gupta_Kunda.mp3", "Naimisharanya_Yatra_-_kirtan_Radhanath_Swami_1999_Gupta_Kunda.mp3")</f>
        <v>Naimisharanya_Yatra_-_kirtan_Radhanath_Swami_1999_Gupta_Kunda.mp3</v>
      </c>
      <c r="D4671" s="11"/>
      <c r="E4671" s="11"/>
    </row>
    <row r="4672" spans="1:5">
      <c r="A4672" s="12" t="s">
        <v>12464</v>
      </c>
      <c r="B4672" s="12" t="s">
        <v>17181</v>
      </c>
      <c r="C4672" s="13" t="str">
        <f>HYPERLINK("https://audio.iskcondesiretree.com/02_-_ISKCON_Swamis/ISKCON_Swamis_-_R_to_Y/His_Holiness_Radhanath_Swami/Lectures/02_-_Yatra/1999_Naimisharanya_yatra/Naimisharanya_Yatra_Eve_Lecture_Radhanath_Swami_1999_Gupta_Kunda.mp3", "Naimisharanya_Yatra_Eve_Lecture_Radhanath_Swami_1999_Gupta_Kunda.mp3")</f>
        <v>Naimisharanya_Yatra_Eve_Lecture_Radhanath_Swami_1999_Gupta_Kunda.mp3</v>
      </c>
      <c r="D4672" s="11"/>
      <c r="E4672" s="11"/>
    </row>
    <row r="4673" spans="1:5">
      <c r="A4673" s="12" t="s">
        <v>12464</v>
      </c>
      <c r="B4673" s="12" t="s">
        <v>17182</v>
      </c>
      <c r="C4673" s="13" t="str">
        <f>HYPERLINK("https://audio.iskcondesiretree.com/02_-_ISKCON_Swamis/ISKCON_Swamis_-_R_to_Y/His_Holiness_Radhanath_Swami/Lectures/02_-_Yatra/1999_Naimisharanya_yatra/Naimisharanya_Yatra_kirtan_and_Lecture-_Radhanath_Swami_1999_Naimisharanya.mp3", "Naimisharanya_Yatra_kirtan_and_Lecture-_Radhanath_Swami_1999_Naimisharanya.mp3")</f>
        <v>Naimisharanya_Yatra_kirtan_and_Lecture-_Radhanath_Swami_1999_Naimisharanya.mp3</v>
      </c>
      <c r="D4673" s="11"/>
      <c r="E4673" s="11"/>
    </row>
    <row r="4674" spans="1:5">
      <c r="A4674" s="12" t="s">
        <v>12464</v>
      </c>
      <c r="B4674" s="12" t="s">
        <v>17183</v>
      </c>
      <c r="C4674" s="13" t="str">
        <f>HYPERLINK("https://audio.iskcondesiretree.com/02_-_ISKCON_Swamis/ISKCON_Swamis_-_R_to_Y/His_Holiness_Radhanath_Swami/Lectures/02_-_Yatra/1999_Naimisharanya_yatra/Naimisharanya_Yatra_Lecture_01_Radhanath_Swami_1999_Nandigram.mp3", "Naimisharanya_Yatra_Lecture_01_Radhanath_Swami_1999_Nandigram.mp3")</f>
        <v>Naimisharanya_Yatra_Lecture_01_Radhanath_Swami_1999_Nandigram.mp3</v>
      </c>
      <c r="D4674" s="11"/>
      <c r="E4674" s="11"/>
    </row>
    <row r="4675" spans="1:5">
      <c r="A4675" s="12" t="s">
        <v>12464</v>
      </c>
      <c r="B4675" s="12" t="s">
        <v>17184</v>
      </c>
      <c r="C4675" s="13" t="str">
        <f>HYPERLINK("https://audio.iskcondesiretree.com/02_-_ISKCON_Swamis/ISKCON_Swamis_-_R_to_Y/His_Holiness_Radhanath_Swami/Lectures/02_-_Yatra/1999_Naimisharanya_yatra/Naimisharanya_Yatra_Lecture_02-_Radhanath_Swami_1999_Gupta_Kunda.mp3", "Naimisharanya_Yatra_Lecture_02-_Radhanath_Swami_1999_Gupta_Kunda.mp3")</f>
        <v>Naimisharanya_Yatra_Lecture_02-_Radhanath_Swami_1999_Gupta_Kunda.mp3</v>
      </c>
      <c r="D4675" s="11"/>
      <c r="E4675" s="11"/>
    </row>
    <row r="4676" spans="1:5">
      <c r="A4676" s="12" t="s">
        <v>12464</v>
      </c>
      <c r="B4676" s="12" t="s">
        <v>17185</v>
      </c>
      <c r="C4676" s="13" t="str">
        <f>HYPERLINK("https://audio.iskcondesiretree.com/02_-_ISKCON_Swamis/ISKCON_Swamis_-_R_to_Y/His_Holiness_Radhanath_Swami/Lectures/02_-_Yatra/1999_Naimisharanya_yatra/Naimisharanya_Yatra_Lecture_02_Radhanath_Swami_1999_Naimisharanya.mp3", "Naimisharanya_Yatra_Lecture_02_Radhanath_Swami_1999_Naimisharanya.mp3")</f>
        <v>Naimisharanya_Yatra_Lecture_02_Radhanath_Swami_1999_Naimisharanya.mp3</v>
      </c>
      <c r="D4676" s="11"/>
      <c r="E4676" s="11"/>
    </row>
    <row r="4677" spans="1:5">
      <c r="A4677" s="12" t="s">
        <v>12464</v>
      </c>
      <c r="B4677" s="12" t="s">
        <v>17186</v>
      </c>
      <c r="C4677" s="13" t="str">
        <f>HYPERLINK("https://audio.iskcondesiretree.com/02_-_ISKCON_Swamis/ISKCON_Swamis_-_R_to_Y/His_Holiness_Radhanath_Swami/Lectures/02_-_Yatra/1999_Naimisharanya_yatra/Naimisharanya_Yatra_Radhanath_Swami_1999.mp3", "Naimisharanya_Yatra_Radhanath_Swami_1999.mp3")</f>
        <v>Naimisharanya_Yatra_Radhanath_Swami_1999.mp3</v>
      </c>
      <c r="D4677" s="11"/>
      <c r="E4677" s="11"/>
    </row>
    <row r="4678" spans="1:5">
      <c r="A4678" s="12" t="s">
        <v>12464</v>
      </c>
      <c r="B4678" s="12" t="s">
        <v>17187</v>
      </c>
      <c r="C4678" s="13" t="str">
        <f>HYPERLINK("https://audio.iskcondesiretree.com/02_-_ISKCON_Swamis/ISKCON_Swamis_-_R_to_Y/His_Holiness_Radhanath_Swami/Lectures/02_-_Yatra/1999_Naimisharanya_yatra/Naimisharanya_Yatra_Radhanath_Swami_Lecture_01_1999_Gupta_Kunda.mp3", "Naimisharanya_Yatra_Radhanath_Swami_Lecture_01_1999_Gupta_Kunda.mp3")</f>
        <v>Naimisharanya_Yatra_Radhanath_Swami_Lecture_01_1999_Gupta_Kunda.mp3</v>
      </c>
      <c r="D4678" s="11"/>
      <c r="E4678" s="11"/>
    </row>
    <row r="4679" spans="1:5">
      <c r="A4679" s="12" t="s">
        <v>12464</v>
      </c>
      <c r="B4679" s="12" t="s">
        <v>17188</v>
      </c>
      <c r="C4679" s="13" t="str">
        <f>HYPERLINK("https://audio.iskcondesiretree.com/02_-_ISKCON_Swamis/ISKCON_Swamis_-_R_to_Y/His_Holiness_Radhanath_Swami/Lectures/02_-_Yatra/1999_South_India_yatra/South_India_Yatra_Radhanath_Swami_1999_Part-01.mp3", "South_India_Yatra_Radhanath_Swami_1999_Part-01.mp3")</f>
        <v>South_India_Yatra_Radhanath_Swami_1999_Part-01.mp3</v>
      </c>
      <c r="D4679" s="11"/>
      <c r="E4679" s="11"/>
    </row>
    <row r="4680" spans="1:5">
      <c r="A4680" s="12" t="s">
        <v>12464</v>
      </c>
      <c r="B4680" s="12" t="s">
        <v>17189</v>
      </c>
      <c r="C4680" s="13" t="str">
        <f>HYPERLINK("https://audio.iskcondesiretree.com/02_-_ISKCON_Swamis/ISKCON_Swamis_-_R_to_Y/His_Holiness_Radhanath_Swami/Lectures/02_-_Yatra/1999_South_India_yatra/South_India_Yatra_Radhanath_Swami_1999_Part-02.mp3", "South_India_Yatra_Radhanath_Swami_1999_Part-02.mp3")</f>
        <v>South_India_Yatra_Radhanath_Swami_1999_Part-02.mp3</v>
      </c>
      <c r="D4680" s="11"/>
      <c r="E4680" s="11"/>
    </row>
    <row r="4681" spans="1:5">
      <c r="A4681" s="12" t="s">
        <v>12464</v>
      </c>
      <c r="B4681" s="12" t="s">
        <v>17190</v>
      </c>
      <c r="C4681" s="13" t="str">
        <f>HYPERLINK("https://audio.iskcondesiretree.com/02_-_ISKCON_Swamis/ISKCON_Swamis_-_R_to_Y/His_Holiness_Radhanath_Swami/Lectures/02_-_Yatra/1999_South_India_yatra/South_India_Yatra_Radhanath_Swami_1999_Part-03.mp3", "South_India_Yatra_Radhanath_Swami_1999_Part-03.mp3")</f>
        <v>South_India_Yatra_Radhanath_Swami_1999_Part-03.mp3</v>
      </c>
      <c r="D4681" s="11"/>
      <c r="E4681" s="11"/>
    </row>
    <row r="4682" spans="1:5">
      <c r="A4682" s="12" t="s">
        <v>12464</v>
      </c>
      <c r="B4682" s="12" t="s">
        <v>17191</v>
      </c>
      <c r="C4682" s="13" t="str">
        <f>HYPERLINK("https://audio.iskcondesiretree.com/02_-_ISKCON_Swamis/ISKCON_Swamis_-_R_to_Y/His_Holiness_Radhanath_Swami/Lectures/02_-_Yatra/1999_South_India_yatra/South_India_Yatra_Radhanath_Swami_1999_Part-04.mp3", "South_India_Yatra_Radhanath_Swami_1999_Part-04.mp3")</f>
        <v>South_India_Yatra_Radhanath_Swami_1999_Part-04.mp3</v>
      </c>
      <c r="D4682" s="11"/>
      <c r="E4682" s="11"/>
    </row>
    <row r="4683" spans="1:5">
      <c r="A4683" s="12" t="s">
        <v>12464</v>
      </c>
      <c r="B4683" s="12" t="s">
        <v>17192</v>
      </c>
      <c r="C4683" s="13" t="str">
        <f>HYPERLINK("https://audio.iskcondesiretree.com/02_-_ISKCON_Swamis/ISKCON_Swamis_-_R_to_Y/His_Holiness_Radhanath_Swami/Lectures/02_-_Yatra/1999_South_India_yatra/South_India_Yatra_Radhanath_Swami_1999_Part-05.mp3", "South_India_Yatra_Radhanath_Swami_1999_Part-05.mp3")</f>
        <v>South_India_Yatra_Radhanath_Swami_1999_Part-05.mp3</v>
      </c>
      <c r="D4683" s="11"/>
      <c r="E4683" s="11"/>
    </row>
    <row r="4684" spans="1:5">
      <c r="A4684" s="12" t="s">
        <v>12464</v>
      </c>
      <c r="B4684" s="12" t="s">
        <v>17193</v>
      </c>
      <c r="C4684" s="13" t="str">
        <f>HYPERLINK("https://audio.iskcondesiretree.com/02_-_ISKCON_Swamis/ISKCON_Swamis_-_R_to_Y/His_Holiness_Radhanath_Swami/Lectures/02_-_Yatra/1999_South_India_yatra/South_India_Yatra_Radhanath_Swami_1999_Part-06.mp3", "South_India_Yatra_Radhanath_Swami_1999_Part-06.mp3")</f>
        <v>South_India_Yatra_Radhanath_Swami_1999_Part-06.mp3</v>
      </c>
      <c r="D4684" s="11"/>
      <c r="E4684" s="11"/>
    </row>
    <row r="4685" spans="1:5">
      <c r="A4685" s="12" t="s">
        <v>12464</v>
      </c>
      <c r="B4685" s="12" t="s">
        <v>17194</v>
      </c>
      <c r="C4685" s="13" t="str">
        <f>HYPERLINK("https://audio.iskcondesiretree.com/02_-_ISKCON_Swamis/ISKCON_Swamis_-_R_to_Y/His_Holiness_Radhanath_Swami/Lectures/02_-_Yatra/1999_South_India_yatra/South_India_Yatra_Radhanath_Swami_1999_Part-07.mp3", "South_India_Yatra_Radhanath_Swami_1999_Part-07.mp3")</f>
        <v>South_India_Yatra_Radhanath_Swami_1999_Part-07.mp3</v>
      </c>
      <c r="D4685" s="11"/>
      <c r="E4685" s="11"/>
    </row>
    <row r="4686" spans="1:5">
      <c r="A4686" s="12" t="s">
        <v>12464</v>
      </c>
      <c r="B4686" s="12" t="s">
        <v>17195</v>
      </c>
      <c r="C4686" s="13" t="str">
        <f>HYPERLINK("https://audio.iskcondesiretree.com/02_-_ISKCON_Swamis/ISKCON_Swamis_-_R_to_Y/His_Holiness_Radhanath_Swami/Lectures/02_-_Yatra/1999_South_India_yatra/South_India_Yatra_Radhanath_Swami_1999_Part-08.mp3", "South_India_Yatra_Radhanath_Swami_1999_Part-08.mp3")</f>
        <v>South_India_Yatra_Radhanath_Swami_1999_Part-08.mp3</v>
      </c>
      <c r="D4686" s="11"/>
      <c r="E4686" s="11"/>
    </row>
    <row r="4687" spans="1:5">
      <c r="A4687" s="12" t="s">
        <v>12464</v>
      </c>
      <c r="B4687" s="12" t="s">
        <v>17196</v>
      </c>
      <c r="C4687" s="13" t="str">
        <f>HYPERLINK("https://audio.iskcondesiretree.com/02_-_ISKCON_Swamis/ISKCON_Swamis_-_R_to_Y/His_Holiness_Radhanath_Swami/Lectures/02_-_Yatra/1999_South_India_yatra/South_India_Yatra_Radhanath_Swami_1999_Part-09.mp3", "South_India_Yatra_Radhanath_Swami_1999_Part-09.mp3")</f>
        <v>South_India_Yatra_Radhanath_Swami_1999_Part-09.mp3</v>
      </c>
      <c r="D4687" s="11"/>
      <c r="E4687" s="11"/>
    </row>
    <row r="4688" spans="1:5">
      <c r="A4688" s="12" t="s">
        <v>12464</v>
      </c>
      <c r="B4688" s="12" t="s">
        <v>17197</v>
      </c>
      <c r="C4688" s="13" t="str">
        <f>HYPERLINK("https://audio.iskcondesiretree.com/02_-_ISKCON_Swamis/ISKCON_Swamis_-_R_to_Y/His_Holiness_Radhanath_Swami/Lectures/02_-_Yatra/1999_South_India_yatra/South_India_Yatra_Radhanath_Swami_1999_Part-10.mp3", "South_India_Yatra_Radhanath_Swami_1999_Part-10.mp3")</f>
        <v>South_India_Yatra_Radhanath_Swami_1999_Part-10.mp3</v>
      </c>
      <c r="D4688" s="11"/>
      <c r="E4688" s="11"/>
    </row>
    <row r="4689" spans="1:5">
      <c r="A4689" s="12" t="s">
        <v>12464</v>
      </c>
      <c r="B4689" s="12" t="s">
        <v>17198</v>
      </c>
      <c r="C4689" s="13" t="str">
        <f>HYPERLINK("https://audio.iskcondesiretree.com/02_-_ISKCON_Swamis/ISKCON_Swamis_-_R_to_Y/His_Holiness_Radhanath_Swami/Lectures/02_-_Yatra/1999_South_India_yatra/South_India_Yatra_Radhanath_Swami_1999_Part-11.mp3", "South_India_Yatra_Radhanath_Swami_1999_Part-11.mp3")</f>
        <v>South_India_Yatra_Radhanath_Swami_1999_Part-11.mp3</v>
      </c>
      <c r="D4689" s="11"/>
      <c r="E4689" s="11"/>
    </row>
    <row r="4690" spans="1:5">
      <c r="A4690" s="12" t="s">
        <v>12464</v>
      </c>
      <c r="B4690" s="12" t="s">
        <v>17199</v>
      </c>
      <c r="C4690" s="13" t="str">
        <f>HYPERLINK("https://audio.iskcondesiretree.com/02_-_ISKCON_Swamis/ISKCON_Swamis_-_R_to_Y/His_Holiness_Radhanath_Swami/Lectures/02_-_Yatra/2000_Mayapur/Mayapur_Yatra_2000_-_Inaugural_Lecture_at_Prabhupad_Samadhi_-_Radhanath_Swami.mp3", "Mayapur_Yatra_2000_-_Inaugural_Lecture_at_Prabhupad_Samadhi_-_Radhanath_Swami.mp3")</f>
        <v>Mayapur_Yatra_2000_-_Inaugural_Lecture_at_Prabhupad_Samadhi_-_Radhanath_Swami.mp3</v>
      </c>
      <c r="D4690" s="11"/>
      <c r="E4690" s="11"/>
    </row>
    <row r="4691" spans="1:5">
      <c r="A4691" s="12" t="s">
        <v>12464</v>
      </c>
      <c r="B4691" s="12" t="s">
        <v>17200</v>
      </c>
      <c r="C4691" s="13" t="str">
        <f>HYPERLINK("https://audio.iskcondesiretree.com/02_-_ISKCON_Swamis/ISKCON_Swamis_-_R_to_Y/His_Holiness_Radhanath_Swami/Lectures/02_-_Yatra/2000_Mayapur/Mayapur_Yatra_2000_-_Introduction_of_Shankarshan_Prabhu_-_Radhanath_Swami.mp3", "Mayapur_Yatra_2000_-_Introduction_of_Shankarshan_Prabhu_-_Radhanath_Swami.mp3")</f>
        <v>Mayapur_Yatra_2000_-_Introduction_of_Shankarshan_Prabhu_-_Radhanath_Swami.mp3</v>
      </c>
      <c r="D4691" s="11"/>
      <c r="E4691" s="11"/>
    </row>
    <row r="4692" spans="1:5">
      <c r="A4692" s="12" t="s">
        <v>12464</v>
      </c>
      <c r="B4692" s="12" t="s">
        <v>17201</v>
      </c>
      <c r="C4692" s="13" t="str">
        <f>HYPERLINK("https://audio.iskcondesiretree.com/02_-_ISKCON_Swamis/ISKCON_Swamis_-_R_to_Y/His_Holiness_Radhanath_Swami/Lectures/02_-_Yatra/2000_Mayapur/Mayapur_Yatra_2000_-_Kirtan_and_Glorification_of_Bhakti_Vinod_Thakur_-_Radhanath_Swami.mp3", "Mayapur_Yatra_2000_-_Kirtan_and_Glorification_of_Bhakti_Vinod_Thakur_-_Radhanath_Swami.mp3")</f>
        <v>Mayapur_Yatra_2000_-_Kirtan_and_Glorification_of_Bhakti_Vinod_Thakur_-_Radhanath_Swami.mp3</v>
      </c>
      <c r="D4692" s="11"/>
      <c r="E4692" s="11"/>
    </row>
    <row r="4693" spans="1:5">
      <c r="A4693" s="12" t="s">
        <v>12464</v>
      </c>
      <c r="B4693" s="12" t="s">
        <v>17202</v>
      </c>
      <c r="C4693" s="13" t="str">
        <f>HYPERLINK("https://audio.iskcondesiretree.com/02_-_ISKCON_Swamis/ISKCON_Swamis_-_R_to_Y/His_Holiness_Radhanath_Swami/Lectures/02_-_Yatra/2000_Mayapur/Mayapur_Yatra_2000_-_Lecture_at_Agradweep_-_Radhanath_Swami.mp3", "Mayapur_Yatra_2000_-_Lecture_at_Agradweep_-_Radhanath_Swami.mp3")</f>
        <v>Mayapur_Yatra_2000_-_Lecture_at_Agradweep_-_Radhanath_Swami.mp3</v>
      </c>
      <c r="D4693" s="11"/>
      <c r="E4693" s="11"/>
    </row>
    <row r="4694" spans="1:5">
      <c r="A4694" s="12" t="s">
        <v>12464</v>
      </c>
      <c r="B4694" s="12" t="s">
        <v>17203</v>
      </c>
      <c r="C4694" s="13" t="str">
        <f>HYPERLINK("https://audio.iskcondesiretree.com/02_-_ISKCON_Swamis/ISKCON_Swamis_-_R_to_Y/His_Holiness_Radhanath_Swami/Lectures/02_-_Yatra/2000_Mayapur/Mayapur_Yatra_2000_-_Lecture_at_Antardweep_and_Yogapith_-_Radhanath_Swami.mp3", "Mayapur_Yatra_2000_-_Lecture_at_Antardweep_and_Yogapith_-_Radhanath_Swami.mp3")</f>
        <v>Mayapur_Yatra_2000_-_Lecture_at_Antardweep_and_Yogapith_-_Radhanath_Swami.mp3</v>
      </c>
      <c r="D4694" s="11"/>
      <c r="E4694" s="11"/>
    </row>
    <row r="4695" spans="1:5">
      <c r="A4695" s="12" t="s">
        <v>12464</v>
      </c>
      <c r="B4695" s="12" t="s">
        <v>17204</v>
      </c>
      <c r="C4695" s="13" t="str">
        <f>HYPERLINK("https://audio.iskcondesiretree.com/02_-_ISKCON_Swamis/ISKCON_Swamis_-_R_to_Y/His_Holiness_Radhanath_Swami/Lectures/02_-_Yatra/2000_Mayapur/Mayapur_Yatra_2000_-_Lecture_at_Belpukura_-_Radhanath_Swami.mp3", "Mayapur_Yatra_2000_-_Lecture_at_Belpukura_-_Radhanath_Swami.mp3")</f>
        <v>Mayapur_Yatra_2000_-_Lecture_at_Belpukura_-_Radhanath_Swami.mp3</v>
      </c>
      <c r="D4695" s="11"/>
      <c r="E4695" s="11"/>
    </row>
    <row r="4696" spans="1:5">
      <c r="A4696" s="12" t="s">
        <v>12464</v>
      </c>
      <c r="B4696" s="12" t="s">
        <v>17205</v>
      </c>
      <c r="C4696" s="13" t="str">
        <f>HYPERLINK("https://audio.iskcondesiretree.com/02_-_ISKCON_Swamis/ISKCON_Swamis_-_R_to_Y/His_Holiness_Radhanath_Swami/Lectures/02_-_Yatra/2000_Mayapur/Mayapur_Yatra_2000_-_Lecture_at_Chandrashekhar_Bhavan_-_Radhanath_Swami.mp3", "Mayapur_Yatra_2000_-_Lecture_at_Chandrashekhar_Bhavan_-_Radhanath_Swami.mp3")</f>
        <v>Mayapur_Yatra_2000_-_Lecture_at_Chandrashekhar_Bhavan_-_Radhanath_Swami.mp3</v>
      </c>
      <c r="D4696" s="11"/>
      <c r="E4696" s="11"/>
    </row>
    <row r="4697" spans="1:5">
      <c r="A4697" s="12" t="s">
        <v>12464</v>
      </c>
      <c r="B4697" s="12" t="s">
        <v>17206</v>
      </c>
      <c r="C4697" s="13" t="str">
        <f>HYPERLINK("https://audio.iskcondesiretree.com/02_-_ISKCON_Swamis/ISKCON_Swamis_-_R_to_Y/His_Holiness_Radhanath_Swami/Lectures/02_-_Yatra/2000_Mayapur/Mayapur_Yatra_2000_-_Lecture_at_Ekachakra_-_Radhanath_Swami.mp3", "Mayapur_Yatra_2000_-_Lecture_at_Ekachakra_-_Radhanath_Swami.mp3")</f>
        <v>Mayapur_Yatra_2000_-_Lecture_at_Ekachakra_-_Radhanath_Swami.mp3</v>
      </c>
      <c r="D4697" s="11"/>
      <c r="E4697" s="11"/>
    </row>
    <row r="4698" spans="1:5">
      <c r="A4698" s="12" t="s">
        <v>12464</v>
      </c>
      <c r="B4698" s="12" t="s">
        <v>17207</v>
      </c>
      <c r="C4698" s="13" t="str">
        <f>HYPERLINK("https://audio.iskcondesiretree.com/02_-_ISKCON_Swamis/ISKCON_Swamis_-_R_to_Y/His_Holiness_Radhanath_Swami/Lectures/02_-_Yatra/2000_Mayapur/Mayapur_Yatra_2000_-_Lecture_at_Jagannath_Das_Babaji_Samadhi_Mandir_-_Radhanath_Swami.mp3", "Mayapur_Yatra_2000_-_Lecture_at_Jagannath_Das_Babaji_Samadhi_Mandir_-_Radhanath_Swami.mp3")</f>
        <v>Mayapur_Yatra_2000_-_Lecture_at_Jagannath_Das_Babaji_Samadhi_Mandir_-_Radhanath_Swami.mp3</v>
      </c>
      <c r="D4698" s="11"/>
      <c r="E4698" s="11"/>
    </row>
    <row r="4699" spans="1:5">
      <c r="A4699" s="12" t="s">
        <v>12464</v>
      </c>
      <c r="B4699" s="12" t="s">
        <v>17208</v>
      </c>
      <c r="C4699" s="13" t="str">
        <f>HYPERLINK("https://audio.iskcondesiretree.com/02_-_ISKCON_Swamis/ISKCON_Swamis_-_R_to_Y/His_Holiness_Radhanath_Swami/Lectures/02_-_Yatra/2000_Mayapur/Mayapur_Yatra_2000_-_Lecture_at_Jagannath_Temple_-_Radhe_Shyam_Prabhhu.mp3", "Mayapur_Yatra_2000_-_Lecture_at_Jagannath_Temple_-_Radhe_Shyam_Prabhhu.mp3")</f>
        <v>Mayapur_Yatra_2000_-_Lecture_at_Jagannath_Temple_-_Radhe_Shyam_Prabhhu.mp3</v>
      </c>
      <c r="D4699" s="11"/>
      <c r="E4699" s="11"/>
    </row>
    <row r="4700" spans="1:5">
      <c r="A4700" s="12" t="s">
        <v>12464</v>
      </c>
      <c r="B4700" s="12" t="s">
        <v>17209</v>
      </c>
      <c r="C4700" s="13" t="str">
        <f>HYPERLINK("https://audio.iskcondesiretree.com/02_-_ISKCON_Swamis/ISKCON_Swamis_-_R_to_Y/His_Holiness_Radhanath_Swami/Lectures/02_-_Yatra/2000_Mayapur/Mayapur_Yatra_2000_-_Lecture_at_Koladweep_Glorification_of_Dhameshwar_Mahaprabhu_-_Radhanath_Swami.mp3", "Mayapur_Yatra_2000_-_Lecture_at_Koladweep_Glorification_of_Dhameshwar_Mahaprabhu_-_Radhanath_Swami.mp3")</f>
        <v>Mayapur_Yatra_2000_-_Lecture_at_Koladweep_Glorification_of_Dhameshwar_Mahaprabhu_-_Radhanath_Swami.mp3</v>
      </c>
      <c r="D4700" s="11"/>
      <c r="E4700" s="11"/>
    </row>
    <row r="4701" spans="1:5">
      <c r="A4701" s="12" t="s">
        <v>12464</v>
      </c>
      <c r="B4701" s="12" t="s">
        <v>17210</v>
      </c>
      <c r="C4701" s="13" t="str">
        <f>HYPERLINK("https://audio.iskcondesiretree.com/02_-_ISKCON_Swamis/ISKCON_Swamis_-_R_to_Y/His_Holiness_Radhanath_Swami/Lectures/02_-_Yatra/2000_Mayapur/Mayapur_Yatra_2000_-_Lecture_at_Krsnapura_The_Birth_Place_of_Raghunath_Das_Goswami_-_Radhanath_Swami.mp3", "Mayapur_Yatra_2000_-_Lecture_at_Krsnapura_The_Birth_Place_of_Raghunath_Das_Goswami_-_Radhanath_Swami.mp3")</f>
        <v>Mayapur_Yatra_2000_-_Lecture_at_Krsnapura_The_Birth_Place_of_Raghunath_Das_Goswami_-_Radhanath_Swami.mp3</v>
      </c>
      <c r="D4701" s="11"/>
      <c r="E4701" s="11"/>
    </row>
    <row r="4702" spans="1:5">
      <c r="A4702" s="12" t="s">
        <v>12464</v>
      </c>
      <c r="B4702" s="12" t="s">
        <v>17211</v>
      </c>
      <c r="C4702" s="13" t="str">
        <f>HYPERLINK("https://audio.iskcondesiretree.com/02_-_ISKCON_Swamis/ISKCON_Swamis_-_R_to_Y/His_Holiness_Radhanath_Swami/Lectures/02_-_Yatra/2000_Mayapur/Mayapur_Yatra_2000_-_Lecture_at_Kumarahatta_-_Radhanath_Swami.mp3", "Mayapur_Yatra_2000_-_Lecture_at_Kumarahatta_-_Radhanath_Swami.mp3")</f>
        <v>Mayapur_Yatra_2000_-_Lecture_at_Kumarahatta_-_Radhanath_Swami.mp3</v>
      </c>
      <c r="D4702" s="11"/>
      <c r="E4702" s="11"/>
    </row>
    <row r="4703" spans="1:5">
      <c r="A4703" s="12" t="s">
        <v>12464</v>
      </c>
      <c r="B4703" s="12" t="s">
        <v>17212</v>
      </c>
      <c r="C4703" s="13" t="str">
        <f>HYPERLINK("https://audio.iskcondesiretree.com/02_-_ISKCON_Swamis/ISKCON_Swamis_-_R_to_Y/His_Holiness_Radhanath_Swami/Lectures/02_-_Yatra/2000_Mayapur/Mayapur_Yatra_2000_-_Lecture_at_Modrumdwip_at_Vrndavandas_Thakur%27s_House_-_Radhanath_Swami.mp3", "Mayapur_Yatra_2000_-_Lecture_at_Modrumdwip_at_Vrndavandas_Thakur%27s_House_-_Radhanath_Swami.mp3")</f>
        <v>Mayapur_Yatra_2000_-_Lecture_at_Modrumdwip_at_Vrndavandas_Thakur%27s_House_-_Radhanath_Swami.mp3</v>
      </c>
      <c r="D4703" s="11"/>
      <c r="E4703" s="11"/>
    </row>
    <row r="4704" spans="1:5">
      <c r="A4704" s="12" t="s">
        <v>12464</v>
      </c>
      <c r="B4704" s="12" t="e">
        <v>#VALUE!</v>
      </c>
      <c r="C4704" s="13" t="e">
        <f>HYPERLINK("https://audio.iskcondesiretree.com/02_-_ISKCON_Swamis/ISKCON_Swamis_-_R_to_Y/His_Holiness_Radhanath_Swami/Lectures/02_-_Yatra/2000_Mayapur/Mayapur_Yatra_2000_-_Lecture_at_Modrumdwip_at_Vrndavandas_Thakur%27s_House_and_Sriranga_Thakur%27s_devotion_-_Radhan"&amp;"ath_Swami.mp3", "Mayapur_Yatra_2000_-_Lecture_at_Modrumdwip_at_Vrndavandas_Thakur%27s_House_and_Sriranga_Thakur%27s_devotion_-_Radhanath_Swami.mp3")</f>
        <v>#VALUE!</v>
      </c>
      <c r="D4704" s="11"/>
      <c r="E4704" s="11"/>
    </row>
    <row r="4705" spans="1:5">
      <c r="A4705" s="12" t="s">
        <v>12464</v>
      </c>
      <c r="B4705" s="12" t="s">
        <v>17213</v>
      </c>
      <c r="C4705" s="13" t="str">
        <f>HYPERLINK("https://audio.iskcondesiretree.com/02_-_ISKCON_Swamis/ISKCON_Swamis_-_R_to_Y/His_Holiness_Radhanath_Swami/Lectures/02_-_Yatra/2000_Mayapur/Mayapur_Yatra_2000_-_Lecture_at_Naimisharnya_and_Hamsavahan_-_Radhanath_Swami.mp3", "Mayapur_Yatra_2000_-_Lecture_at_Naimisharnya_and_Hamsavahan_-_Radhanath_Swami.mp3")</f>
        <v>Mayapur_Yatra_2000_-_Lecture_at_Naimisharnya_and_Hamsavahan_-_Radhanath_Swami.mp3</v>
      </c>
      <c r="D4705" s="11"/>
      <c r="E4705" s="11"/>
    </row>
    <row r="4706" spans="1:5">
      <c r="A4706" s="12" t="s">
        <v>12464</v>
      </c>
      <c r="B4706" s="12" t="s">
        <v>17214</v>
      </c>
      <c r="C4706" s="13" t="str">
        <f>HYPERLINK("https://audio.iskcondesiretree.com/02_-_ISKCON_Swamis/ISKCON_Swamis_-_R_to_Y/His_Holiness_Radhanath_Swami/Lectures/02_-_Yatra/2000_Mayapur/Mayapur_Yatra_2000_-_Lecture_at_Phuliya_Gram_-_Radhanath_Swami.mp3", "Mayapur_Yatra_2000_-_Lecture_at_Phuliya_Gram_-_Radhanath_Swami.mp3")</f>
        <v>Mayapur_Yatra_2000_-_Lecture_at_Phuliya_Gram_-_Radhanath_Swami.mp3</v>
      </c>
      <c r="D4706" s="11"/>
      <c r="E4706" s="11"/>
    </row>
    <row r="4707" spans="1:5">
      <c r="A4707" s="12" t="s">
        <v>12464</v>
      </c>
      <c r="B4707" s="12" t="s">
        <v>17215</v>
      </c>
      <c r="C4707" s="13" t="str">
        <f>HYPERLINK("https://audio.iskcondesiretree.com/02_-_ISKCON_Swamis/ISKCON_Swamis_-_R_to_Y/His_Holiness_Radhanath_Swami/Lectures/02_-_Yatra/2000_Mayapur/Mayapur_Yatra_2000_-_Lecture_at_Samadhi_Mandir_of_Chand_Kazi_-_Radhanath_Swami.mp3", "Mayapur_Yatra_2000_-_Lecture_at_Samadhi_Mandir_of_Chand_Kazi_-_Radhanath_Swami.mp3")</f>
        <v>Mayapur_Yatra_2000_-_Lecture_at_Samadhi_Mandir_of_Chand_Kazi_-_Radhanath_Swami.mp3</v>
      </c>
      <c r="D4707" s="11"/>
      <c r="E4707" s="11"/>
    </row>
    <row r="4708" spans="1:5">
      <c r="A4708" s="12" t="s">
        <v>12464</v>
      </c>
      <c r="B4708" s="12" t="s">
        <v>17216</v>
      </c>
      <c r="C4708" s="13" t="str">
        <f>HYPERLINK("https://audio.iskcondesiretree.com/02_-_ISKCON_Swamis/ISKCON_Swamis_-_R_to_Y/His_Holiness_Radhanath_Swami/Lectures/02_-_Yatra/2000_Mayapur/Mayapur_Yatra_2000_-_Lecture_at_Saptagram_Glorification_of_uddharan_Dutt_Thakur_-_Radhanath_Swami.mp3", "Mayapur_Yatra_2000_-_Lecture_at_Saptagram_Glorification_of_uddharan_Dutt_Thakur_-_Radhanath_Swami.mp3")</f>
        <v>Mayapur_Yatra_2000_-_Lecture_at_Saptagram_Glorification_of_uddharan_Dutt_Thakur_-_Radhanath_Swami.mp3</v>
      </c>
      <c r="D4708" s="11"/>
      <c r="E4708" s="11"/>
    </row>
    <row r="4709" spans="1:5">
      <c r="A4709" s="12" t="s">
        <v>12464</v>
      </c>
      <c r="B4709" s="12" t="s">
        <v>17217</v>
      </c>
      <c r="C4709" s="13" t="str">
        <f>HYPERLINK("https://audio.iskcondesiretree.com/02_-_ISKCON_Swamis/ISKCON_Swamis_-_R_to_Y/His_Holiness_Radhanath_Swami/Lectures/02_-_Yatra/2000_Mayapur/Mayapur_Yatra_2000_-_Lecture_at_Shantipur.mp3", "Mayapur_Yatra_2000_-_Lecture_at_Shantipur.mp3")</f>
        <v>Mayapur_Yatra_2000_-_Lecture_at_Shantipur.mp3</v>
      </c>
      <c r="D4709" s="11"/>
      <c r="E4709" s="11"/>
    </row>
    <row r="4710" spans="1:5">
      <c r="A4710" s="12" t="s">
        <v>12464</v>
      </c>
      <c r="B4710" s="12" t="s">
        <v>17218</v>
      </c>
      <c r="C4710" s="13" t="str">
        <f>HYPERLINK("https://audio.iskcondesiretree.com/02_-_ISKCON_Swamis/ISKCON_Swamis_-_R_to_Y/His_Holiness_Radhanath_Swami/Lectures/02_-_Yatra/2000_Mayapur/Mayapur_Yatra_2000_-_Lecture_at_Shivananda_Sen%27s_House_-_Radhanath_Swami.mp3", "Mayapur_Yatra_2000_-_Lecture_at_Shivananda_Sen%27s_House_-_Radhanath_Swami.mp3")</f>
        <v>Mayapur_Yatra_2000_-_Lecture_at_Shivananda_Sen%27s_House_-_Radhanath_Swami.mp3</v>
      </c>
      <c r="D4710" s="11"/>
      <c r="E4710" s="11"/>
    </row>
    <row r="4711" spans="1:5">
      <c r="A4711" s="12" t="s">
        <v>12464</v>
      </c>
      <c r="B4711" s="12" t="s">
        <v>17219</v>
      </c>
      <c r="C4711" s="13" t="str">
        <f>HYPERLINK("https://audio.iskcondesiretree.com/02_-_ISKCON_Swamis/ISKCON_Swamis_-_R_to_Y/His_Holiness_Radhanath_Swami/Lectures/02_-_Yatra/2000_Mayapur/Mayapur_Yatra_2000_-_Lecture_at_Sridhar_Aangan_-_Radhanath_Swami.mp3", "Mayapur_Yatra_2000_-_Lecture_at_Sridhar_Aangan_-_Radhanath_Swami.mp3")</f>
        <v>Mayapur_Yatra_2000_-_Lecture_at_Sridhar_Aangan_-_Radhanath_Swami.mp3</v>
      </c>
      <c r="D4711" s="11"/>
      <c r="E4711" s="11"/>
    </row>
    <row r="4712" spans="1:5">
      <c r="A4712" s="12" t="s">
        <v>12464</v>
      </c>
      <c r="B4712" s="12" t="s">
        <v>17220</v>
      </c>
      <c r="C4712" s="13" t="str">
        <f>HYPERLINK("https://audio.iskcondesiretree.com/02_-_ISKCON_Swamis/ISKCON_Swamis_-_R_to_Y/His_Holiness_Radhanath_Swami/Lectures/02_-_Yatra/2000_Mayapur/Mayapur_Yatra_2000_-_Lecture_at_Srivas_Aangan_-_Radhanath_Swami.mp3", "Mayapur_Yatra_2000_-_Lecture_at_Srivas_Aangan_-_Radhanath_Swami.mp3")</f>
        <v>Mayapur_Yatra_2000_-_Lecture_at_Srivas_Aangan_-_Radhanath_Swami.mp3</v>
      </c>
      <c r="D4712" s="11"/>
      <c r="E4712" s="11"/>
    </row>
    <row r="4713" spans="1:5">
      <c r="A4713" s="12" t="s">
        <v>12464</v>
      </c>
      <c r="B4713" s="12" t="s">
        <v>17221</v>
      </c>
      <c r="C4713" s="13" t="str">
        <f>HYPERLINK("https://audio.iskcondesiretree.com/02_-_ISKCON_Swamis/ISKCON_Swamis_-_R_to_Y/His_Holiness_Radhanath_Swami/Lectures/02_-_Yatra/2000_Mayapur/Mayapur_Yatra_2000_-_Lecture_at_the_house_of_Raghav_Pandit_-_Radhanath_Swami.mp3", "Mayapur_Yatra_2000_-_Lecture_at_the_house_of_Raghav_Pandit_-_Radhanath_Swami.mp3")</f>
        <v>Mayapur_Yatra_2000_-_Lecture_at_the_house_of_Raghav_Pandit_-_Radhanath_Swami.mp3</v>
      </c>
      <c r="D4713" s="11"/>
      <c r="E4713" s="11"/>
    </row>
    <row r="4714" spans="1:5">
      <c r="A4714" s="12" t="s">
        <v>12464</v>
      </c>
      <c r="B4714" s="12" t="s">
        <v>17222</v>
      </c>
      <c r="C4714" s="13" t="str">
        <f>HYPERLINK("https://audio.iskcondesiretree.com/02_-_ISKCON_Swamis/ISKCON_Swamis_-_R_to_Y/His_Holiness_Radhanath_Swami/Lectures/02_-_Yatra/2000_Mayapur/Mayapur_Yatra_2000_-_Lecture_at_Vidyanagar_-_Radhanath_Swami.mp3", "Mayapur_Yatra_2000_-_Lecture_at_Vidyanagar_-_Radhanath_Swami.mp3")</f>
        <v>Mayapur_Yatra_2000_-_Lecture_at_Vidyanagar_-_Radhanath_Swami.mp3</v>
      </c>
      <c r="D4714" s="11"/>
      <c r="E4714" s="11"/>
    </row>
    <row r="4715" spans="1:5">
      <c r="A4715" s="12" t="s">
        <v>12464</v>
      </c>
      <c r="B4715" s="12" t="s">
        <v>17223</v>
      </c>
      <c r="C4715" s="13" t="str">
        <f>HYPERLINK("https://audio.iskcondesiretree.com/02_-_ISKCON_Swamis/ISKCON_Swamis_-_R_to_Y/His_Holiness_Radhanath_Swami/Lectures/02_-_Yatra/2000_Mayapur/Mayapur_Yatra_2000_-_Lecture_at_Vishram_Tal_-_Radhanath_Swami.mp3", "Mayapur_Yatra_2000_-_Lecture_at_Vishram_Tal_-_Radhanath_Swami.mp3")</f>
        <v>Mayapur_Yatra_2000_-_Lecture_at_Vishram_Tal_-_Radhanath_Swami.mp3</v>
      </c>
      <c r="D4715" s="11"/>
      <c r="E4715" s="11"/>
    </row>
    <row r="4716" spans="1:5">
      <c r="A4716" s="12" t="s">
        <v>12464</v>
      </c>
      <c r="B4716" s="12" t="s">
        <v>17224</v>
      </c>
      <c r="C4716" s="13" t="str">
        <f>HYPERLINK("https://audio.iskcondesiretree.com/02_-_ISKCON_Swamis/ISKCON_Swamis_-_R_to_Y/His_Holiness_Radhanath_Swami/Lectures/02_-_Yatra/2000_Mayapur/Mayapur_Yatra_2000_-_Lecture_at_Vishram_Tal_Nityanand_Prabhu%27s_Pastimes_-_Radhanath_Swami.mp3", "Mayapur_Yatra_2000_-_Lecture_at_Vishram_Tal_Nityanand_Prabhu%27s_Pastimes_-_Radhanath_Swami.mp3")</f>
        <v>Mayapur_Yatra_2000_-_Lecture_at_Vishram_Tal_Nityanand_Prabhu%27s_Pastimes_-_Radhanath_Swami.mp3</v>
      </c>
      <c r="D4716" s="11"/>
      <c r="E4716" s="11"/>
    </row>
    <row r="4717" spans="1:5">
      <c r="A4717" s="12" t="s">
        <v>12464</v>
      </c>
      <c r="B4717" s="12" t="s">
        <v>17225</v>
      </c>
      <c r="C4717" s="13" t="str">
        <f>HYPERLINK("https://audio.iskcondesiretree.com/02_-_ISKCON_Swamis/ISKCON_Swamis_-_R_to_Y/His_Holiness_Radhanath_Swami/Lectures/02_-_Yatra/2000_Mayapur/Mayapur_Yatra_2000_-_Lecture_on_Narsinghapally_-_Radhanath_Swami.mp3", "Mayapur_Yatra_2000_-_Lecture_on_Narsinghapally_-_Radhanath_Swami.mp3")</f>
        <v>Mayapur_Yatra_2000_-_Lecture_on_Narsinghapally_-_Radhanath_Swami.mp3</v>
      </c>
      <c r="D4717" s="11"/>
      <c r="E4717" s="11"/>
    </row>
    <row r="4718" spans="1:5">
      <c r="A4718" s="12" t="s">
        <v>12464</v>
      </c>
      <c r="B4718" s="12" t="s">
        <v>17226</v>
      </c>
      <c r="C4718" s="13" t="str">
        <f>HYPERLINK("https://audio.iskcondesiretree.com/02_-_ISKCON_Swamis/ISKCON_Swamis_-_R_to_Y/His_Holiness_Radhanath_Swami/Lectures/02_-_Yatra/2000_Mayapur/Mayapur_Yatra_2000_-_SB_Class_at_Mayapur_Chandrodaya_Mandir_-_Radhanath_Swami.mp3", "Mayapur_Yatra_2000_-_SB_Class_at_Mayapur_Chandrodaya_Mandir_-_Radhanath_Swami.mp3")</f>
        <v>Mayapur_Yatra_2000_-_SB_Class_at_Mayapur_Chandrodaya_Mandir_-_Radhanath_Swami.mp3</v>
      </c>
      <c r="D4718" s="11"/>
      <c r="E4718" s="11"/>
    </row>
    <row r="4719" spans="1:5">
      <c r="A4719" s="12" t="s">
        <v>12464</v>
      </c>
      <c r="B4719" s="12" t="s">
        <v>17227</v>
      </c>
      <c r="C4719" s="13" t="str">
        <f>HYPERLINK("https://audio.iskcondesiretree.com/02_-_ISKCON_Swamis/ISKCON_Swamis_-_R_to_Y/His_Holiness_Radhanath_Swami/Lectures/02_-_Yatra/2000_Mayapur/Mayapur_Yatra_2000_-_Vasudev_Dutta_Thakur%27s_house_-_Radhanath_Swami.mp3", "Mayapur_Yatra_2000_-_Vasudev_Dutta_Thakur%27s_house_-_Radhanath_Swami.mp3")</f>
        <v>Mayapur_Yatra_2000_-_Vasudev_Dutta_Thakur%27s_house_-_Radhanath_Swami.mp3</v>
      </c>
      <c r="D4719" s="11"/>
      <c r="E4719" s="11"/>
    </row>
    <row r="4720" spans="1:5">
      <c r="A4720" s="12" t="s">
        <v>12464</v>
      </c>
      <c r="B4720" s="12" t="s">
        <v>17228</v>
      </c>
      <c r="C4720" s="13" t="str">
        <f>HYPERLINK("https://audio.iskcondesiretree.com/02_-_ISKCON_Swamis/ISKCON_Swamis_-_R_to_Y/His_Holiness_Radhanath_Swami/Lectures/02_-_Yatra/2002_Vrindavan_yatra/Vrindavan_Yatra_2002_01_Lecture_at_Raval_-_Radhanath_Swami.mp3", "Vrindavan_Yatra_2002_01_Lecture_at_Raval_-_Radhanath_Swami.mp3")</f>
        <v>Vrindavan_Yatra_2002_01_Lecture_at_Raval_-_Radhanath_Swami.mp3</v>
      </c>
      <c r="D4720" s="11"/>
      <c r="E4720" s="11"/>
    </row>
    <row r="4721" spans="1:5">
      <c r="A4721" s="12" t="s">
        <v>12464</v>
      </c>
      <c r="B4721" s="12" t="s">
        <v>17229</v>
      </c>
      <c r="C4721" s="13" t="str">
        <f>HYPERLINK("https://audio.iskcondesiretree.com/02_-_ISKCON_Swamis/ISKCON_Swamis_-_R_to_Y/His_Holiness_Radhanath_Swami/Lectures/02_-_Yatra/2002_Vrindavan_yatra/Vrindavan_Yatra_2002_02_Prabhupada_Memories-01_-_Radhanath_Swami.mp3", "Vrindavan_Yatra_2002_02_Prabhupada_Memories-01_-_Radhanath_Swami.mp3")</f>
        <v>Vrindavan_Yatra_2002_02_Prabhupada_Memories-01_-_Radhanath_Swami.mp3</v>
      </c>
      <c r="D4721" s="11"/>
      <c r="E4721" s="11"/>
    </row>
    <row r="4722" spans="1:5">
      <c r="A4722" s="12" t="s">
        <v>12464</v>
      </c>
      <c r="B4722" s="12" t="s">
        <v>17230</v>
      </c>
      <c r="C4722" s="13" t="str">
        <f>HYPERLINK("https://audio.iskcondesiretree.com/02_-_ISKCON_Swamis/ISKCON_Swamis_-_R_to_Y/His_Holiness_Radhanath_Swami/Lectures/02_-_Yatra/2002_Vrindavan_yatra/Vrindavan_Yatra_2002_03_Prabhupada_Memories-02_-_Radhanath_Swami.mp3", "Vrindavan_Yatra_2002_03_Prabhupada_Memories-02_-_Radhanath_Swami.mp3")</f>
        <v>Vrindavan_Yatra_2002_03_Prabhupada_Memories-02_-_Radhanath_Swami.mp3</v>
      </c>
      <c r="D4722" s="11"/>
      <c r="E4722" s="11"/>
    </row>
    <row r="4723" spans="1:5">
      <c r="A4723" s="12" t="s">
        <v>12464</v>
      </c>
      <c r="B4723" s="12" t="s">
        <v>17231</v>
      </c>
      <c r="C4723" s="13" t="str">
        <f>HYPERLINK("https://audio.iskcondesiretree.com/02_-_ISKCON_Swamis/ISKCON_Swamis_-_R_to_Y/His_Holiness_Radhanath_Swami/Lectures/02_-_Yatra/2002_Vrindavan_yatra/Vrindavan_Yatra_2002_04_Prabhupada_Memories-03_-_Radhanath_Swami.mp3", "Vrindavan_Yatra_2002_04_Prabhupada_Memories-03_-_Radhanath_Swami.mp3")</f>
        <v>Vrindavan_Yatra_2002_04_Prabhupada_Memories-03_-_Radhanath_Swami.mp3</v>
      </c>
      <c r="D4723" s="11"/>
      <c r="E4723" s="11"/>
    </row>
    <row r="4724" spans="1:5">
      <c r="A4724" s="12" t="s">
        <v>12464</v>
      </c>
      <c r="B4724" s="12" t="s">
        <v>17232</v>
      </c>
      <c r="C4724" s="13" t="str">
        <f>HYPERLINK("https://audio.iskcondesiretree.com/02_-_ISKCON_Swamis/ISKCON_Swamis_-_R_to_Y/His_Holiness_Radhanath_Swami/Lectures/02_-_Yatra/2002_Vrindavan_yatra/Vrindavan_Yatra_2002_06_Lecture_at_Brahmanda_Ghat_-_Radhanath_Swami.mp3", "Vrindavan_Yatra_2002_06_Lecture_at_Brahmanda_Ghat_-_Radhanath_Swami.mp3")</f>
        <v>Vrindavan_Yatra_2002_06_Lecture_at_Brahmanda_Ghat_-_Radhanath_Swami.mp3</v>
      </c>
      <c r="D4724" s="11"/>
      <c r="E4724" s="11"/>
    </row>
    <row r="4725" spans="1:5">
      <c r="A4725" s="12" t="s">
        <v>12464</v>
      </c>
      <c r="B4725" s="12" t="s">
        <v>17233</v>
      </c>
      <c r="C4725" s="13" t="str">
        <f>HYPERLINK("https://audio.iskcondesiretree.com/02_-_ISKCON_Swamis/ISKCON_Swamis_-_R_to_Y/His_Holiness_Radhanath_Swami/Lectures/02_-_Yatra/2002_Vrindavan_yatra/Vrindavan_Yatra_2002_07_Lecture_at_Gokul-01_-_Radhanath_Swami.mp3", "Vrindavan_Yatra_2002_07_Lecture_at_Gokul-01_-_Radhanath_Swami.mp3")</f>
        <v>Vrindavan_Yatra_2002_07_Lecture_at_Gokul-01_-_Radhanath_Swami.mp3</v>
      </c>
      <c r="D4725" s="11"/>
      <c r="E4725" s="11"/>
    </row>
    <row r="4726" spans="1:5">
      <c r="A4726" s="12" t="s">
        <v>12464</v>
      </c>
      <c r="B4726" s="12" t="s">
        <v>17234</v>
      </c>
      <c r="C4726" s="13" t="str">
        <f>HYPERLINK("https://audio.iskcondesiretree.com/02_-_ISKCON_Swamis/ISKCON_Swamis_-_R_to_Y/His_Holiness_Radhanath_Swami/Lectures/02_-_Yatra/2002_Vrindavan_yatra/Vrindavan_Yatra_2002_08_Lecture_at_Gokul-02_-_Radhanath_Swami.mp3", "Vrindavan_Yatra_2002_08_Lecture_at_Gokul-02_-_Radhanath_Swami.mp3")</f>
        <v>Vrindavan_Yatra_2002_08_Lecture_at_Gokul-02_-_Radhanath_Swami.mp3</v>
      </c>
      <c r="D4726" s="11"/>
      <c r="E4726" s="11"/>
    </row>
    <row r="4727" spans="1:5">
      <c r="A4727" s="12" t="s">
        <v>12464</v>
      </c>
      <c r="B4727" s="12" t="s">
        <v>17235</v>
      </c>
      <c r="C4727" s="13" t="str">
        <f>HYPERLINK("https://audio.iskcondesiretree.com/02_-_ISKCON_Swamis/ISKCON_Swamis_-_R_to_Y/His_Holiness_Radhanath_Swami/Lectures/02_-_Yatra/2002_Vrindavan_yatra/Vrindavan_Yatra_2002_09_Lecture_at_Gokul-03_-_Radhanath_Swami.mp3", "Vrindavan_Yatra_2002_09_Lecture_at_Gokul-03_-_Radhanath_Swami.mp3")</f>
        <v>Vrindavan_Yatra_2002_09_Lecture_at_Gokul-03_-_Radhanath_Swami.mp3</v>
      </c>
      <c r="D4727" s="11"/>
      <c r="E4727" s="11"/>
    </row>
    <row r="4728" spans="1:5">
      <c r="A4728" s="12" t="s">
        <v>12464</v>
      </c>
      <c r="B4728" s="12" t="s">
        <v>17236</v>
      </c>
      <c r="C4728" s="13" t="str">
        <f>HYPERLINK("https://audio.iskcondesiretree.com/02_-_ISKCON_Swamis/ISKCON_Swamis_-_R_to_Y/His_Holiness_Radhanath_Swami/Lectures/02_-_Yatra/2002_Vrindavan_yatra/Vrindavan_Yatra_2002_10_Lecture_at_Sreeji_Temple-01_-_Radhanath_Swami.mp3", "Vrindavan_Yatra_2002_10_Lecture_at_Sreeji_Temple-01_-_Radhanath_Swami.mp3")</f>
        <v>Vrindavan_Yatra_2002_10_Lecture_at_Sreeji_Temple-01_-_Radhanath_Swami.mp3</v>
      </c>
      <c r="D4728" s="11"/>
      <c r="E4728" s="11"/>
    </row>
    <row r="4729" spans="1:5">
      <c r="A4729" s="12" t="s">
        <v>12464</v>
      </c>
      <c r="B4729" s="12" t="s">
        <v>17237</v>
      </c>
      <c r="C4729" s="13" t="str">
        <f>HYPERLINK("https://audio.iskcondesiretree.com/02_-_ISKCON_Swamis/ISKCON_Swamis_-_R_to_Y/His_Holiness_Radhanath_Swami/Lectures/02_-_Yatra/2002_Vrindavan_yatra/Vrindavan_Yatra_2002_11_Lecture_at_Sreeji_Temple-02_-_Radhanath_Swami.mp3", "Vrindavan_Yatra_2002_11_Lecture_at_Sreeji_Temple-02_-_Radhanath_Swami.mp3")</f>
        <v>Vrindavan_Yatra_2002_11_Lecture_at_Sreeji_Temple-02_-_Radhanath_Swami.mp3</v>
      </c>
      <c r="D4729" s="11"/>
      <c r="E4729" s="11"/>
    </row>
    <row r="4730" spans="1:5">
      <c r="A4730" s="12" t="s">
        <v>12464</v>
      </c>
      <c r="B4730" s="12" t="s">
        <v>17238</v>
      </c>
      <c r="C4730" s="13" t="str">
        <f>HYPERLINK("https://audio.iskcondesiretree.com/02_-_ISKCON_Swamis/ISKCON_Swamis_-_R_to_Y/His_Holiness_Radhanath_Swami/Lectures/02_-_Yatra/2002_Vrindavan_yatra/Vrindavan_Yatra_2002_12_Lecture_at_Kushal_Bihari_Temple_-_Radhanath_Swami.mp3", "Vrindavan_Yatra_2002_12_Lecture_at_Kushal_Bihari_Temple_-_Radhanath_Swami.mp3")</f>
        <v>Vrindavan_Yatra_2002_12_Lecture_at_Kushal_Bihari_Temple_-_Radhanath_Swami.mp3</v>
      </c>
      <c r="D4730" s="11"/>
      <c r="E4730" s="11"/>
    </row>
    <row r="4731" spans="1:5">
      <c r="A4731" s="12" t="s">
        <v>12464</v>
      </c>
      <c r="B4731" s="12" t="s">
        <v>17239</v>
      </c>
      <c r="C4731" s="13" t="str">
        <f>HYPERLINK("https://audio.iskcondesiretree.com/02_-_ISKCON_Swamis/ISKCON_Swamis_-_R_to_Y/His_Holiness_Radhanath_Swami/Lectures/02_-_Yatra/2002_Vrindavan_yatra/Vrindavan_Yatra_2002_13_-_Lecture_at_Krsna_Kunda_-_Radhanath_Swami.mp3", "Vrindavan_Yatra_2002_13_-_Lecture_at_Krsna_Kunda_-_Radhanath_Swami.mp3")</f>
        <v>Vrindavan_Yatra_2002_13_-_Lecture_at_Krsna_Kunda_-_Radhanath_Swami.mp3</v>
      </c>
      <c r="D4731" s="11"/>
      <c r="E4731" s="11"/>
    </row>
    <row r="4732" spans="1:5">
      <c r="A4732" s="12" t="s">
        <v>12464</v>
      </c>
      <c r="B4732" s="12" t="s">
        <v>17240</v>
      </c>
      <c r="C4732" s="13" t="str">
        <f>HYPERLINK("https://audio.iskcondesiretree.com/02_-_ISKCON_Swamis/ISKCON_Swamis_-_R_to_Y/His_Holiness_Radhanath_Swami/Lectures/02_-_Yatra/2002_Vrindavan_yatra/Vrindavan_Yatra_2002_16_-_Lecture_at_Govind_Kunda-01_-_Radhanath_Swami.mp3", "Vrindavan_Yatra_2002_16_-_Lecture_at_Govind_Kunda-01_-_Radhanath_Swami.mp3")</f>
        <v>Vrindavan_Yatra_2002_16_-_Lecture_at_Govind_Kunda-01_-_Radhanath_Swami.mp3</v>
      </c>
      <c r="D4732" s="11"/>
      <c r="E4732" s="11"/>
    </row>
    <row r="4733" spans="1:5">
      <c r="A4733" s="12" t="s">
        <v>12464</v>
      </c>
      <c r="B4733" s="12" t="s">
        <v>17241</v>
      </c>
      <c r="C4733" s="13" t="str">
        <f>HYPERLINK("https://audio.iskcondesiretree.com/02_-_ISKCON_Swamis/ISKCON_Swamis_-_R_to_Y/His_Holiness_Radhanath_Swami/Lectures/02_-_Yatra/2002_Vrindavan_yatra/Vrindavan_Yatra_2002_17_-_Lecture_at_Govind_Kunda-02_-_Radhanath_Swami.mp3", "Vrindavan_Yatra_2002_17_-_Lecture_at_Govind_Kunda-02_-_Radhanath_Swami.mp3")</f>
        <v>Vrindavan_Yatra_2002_17_-_Lecture_at_Govind_Kunda-02_-_Radhanath_Swami.mp3</v>
      </c>
      <c r="D4733" s="11"/>
      <c r="E4733" s="11"/>
    </row>
    <row r="4734" spans="1:5">
      <c r="A4734" s="12" t="s">
        <v>12464</v>
      </c>
      <c r="B4734" s="12" t="s">
        <v>17242</v>
      </c>
      <c r="C4734" s="13" t="str">
        <f>HYPERLINK("https://audio.iskcondesiretree.com/02_-_ISKCON_Swamis/ISKCON_Swamis_-_R_to_Y/His_Holiness_Radhanath_Swami/Lectures/02_-_Yatra/2002_Vrindavan_yatra/Vrindavan_Yatra_2002_18_-_Lecture_at_Govind_Kunda-03_-_Radhanath_Swami.mp3", "Vrindavan_Yatra_2002_18_-_Lecture_at_Govind_Kunda-03_-_Radhanath_Swami.mp3")</f>
        <v>Vrindavan_Yatra_2002_18_-_Lecture_at_Govind_Kunda-03_-_Radhanath_Swami.mp3</v>
      </c>
      <c r="D4734" s="11"/>
      <c r="E4734" s="11"/>
    </row>
    <row r="4735" spans="1:5">
      <c r="A4735" s="12" t="s">
        <v>12464</v>
      </c>
      <c r="B4735" s="12" t="s">
        <v>17243</v>
      </c>
      <c r="C4735" s="13" t="str">
        <f>HYPERLINK("https://audio.iskcondesiretree.com/02_-_ISKCON_Swamis/ISKCON_Swamis_-_R_to_Y/His_Holiness_Radhanath_Swami/Lectures/02_-_Yatra/2002_Vrindavan_yatra/Vrindavan_Yatra_2002_19_-_Lecture_at_Candra_Sarovar_-_Radhanath_Swami.mp3", "Vrindavan_Yatra_2002_19_-_Lecture_at_Candra_Sarovar_-_Radhanath_Swami.mp3")</f>
        <v>Vrindavan_Yatra_2002_19_-_Lecture_at_Candra_Sarovar_-_Radhanath_Swami.mp3</v>
      </c>
      <c r="D4735" s="11"/>
      <c r="E4735" s="11"/>
    </row>
    <row r="4736" spans="1:5">
      <c r="A4736" s="12" t="s">
        <v>12464</v>
      </c>
      <c r="B4736" s="12" t="s">
        <v>17244</v>
      </c>
      <c r="C4736" s="13" t="str">
        <f>HYPERLINK("https://audio.iskcondesiretree.com/02_-_ISKCON_Swamis/ISKCON_Swamis_-_R_to_Y/His_Holiness_Radhanath_Swami/Lectures/02_-_Yatra/2002_Vrindavan_yatra/Vrindavan_Yatra_2002_20_-_Lecture_at_Kusum_Sarovar_Govardhan_Parikrama.mp3", "Vrindavan_Yatra_2002_20_-_Lecture_at_Kusum_Sarovar_Govardhan_Parikrama.mp3")</f>
        <v>Vrindavan_Yatra_2002_20_-_Lecture_at_Kusum_Sarovar_Govardhan_Parikrama.mp3</v>
      </c>
      <c r="D4736" s="11"/>
      <c r="E4736" s="11"/>
    </row>
    <row r="4737" spans="1:5">
      <c r="A4737" s="12" t="s">
        <v>12464</v>
      </c>
      <c r="B4737" s="12" t="s">
        <v>17245</v>
      </c>
      <c r="C4737" s="13" t="str">
        <f>HYPERLINK("https://audio.iskcondesiretree.com/02_-_ISKCON_Swamis/ISKCON_Swamis_-_R_to_Y/His_Holiness_Radhanath_Swami/Lectures/02_-_Yatra/2002_Vrindavan_yatra/Vrindavan_Yatra_2002_21_-_Lecture_at_Shyamvan_Govardhan_Parikrama_-_Radhanath_Swami.mp3", "Vrindavan_Yatra_2002_21_-_Lecture_at_Shyamvan_Govardhan_Parikrama_-_Radhanath_Swami.mp3")</f>
        <v>Vrindavan_Yatra_2002_21_-_Lecture_at_Shyamvan_Govardhan_Parikrama_-_Radhanath_Swami.mp3</v>
      </c>
      <c r="D4737" s="11"/>
      <c r="E4737" s="11"/>
    </row>
    <row r="4738" spans="1:5">
      <c r="A4738" s="12" t="s">
        <v>12464</v>
      </c>
      <c r="B4738" s="12" t="s">
        <v>17246</v>
      </c>
      <c r="C4738" s="13" t="str">
        <f>HYPERLINK("https://audio.iskcondesiretree.com/02_-_ISKCON_Swamis/ISKCON_Swamis_-_R_to_Y/His_Holiness_Radhanath_Swami/Lectures/02_-_Yatra/2002_Vrindavan_yatra/Vrindavan_Yatra_2002_23_-_Lecture_at_Govind_Kunda_Govardhan_Parikrama_-_Dinbandhu_Prabhu.mp3", "Vrindavan_Yatra_2002_23_-_Lecture_at_Govind_Kunda_Govardhan_Parikrama_-_Dinbandhu_Prabhu.mp3")</f>
        <v>Vrindavan_Yatra_2002_23_-_Lecture_at_Govind_Kunda_Govardhan_Parikrama_-_Dinbandhu_Prabhu.mp3</v>
      </c>
      <c r="D4738" s="11"/>
      <c r="E4738" s="11"/>
    </row>
    <row r="4739" spans="1:5">
      <c r="A4739" s="12" t="s">
        <v>12464</v>
      </c>
      <c r="B4739" s="12" t="s">
        <v>17247</v>
      </c>
      <c r="C4739" s="13" t="str">
        <f>HYPERLINK("https://audio.iskcondesiretree.com/02_-_ISKCON_Swamis/ISKCON_Swamis_-_R_to_Y/His_Holiness_Radhanath_Swami/Lectures/02_-_Yatra/2002_Vrindavan_yatra/Vrindavan_Yatra_2002_24_-_Lecture_at_Puchari_Govardhan_Parikrama_-_Dinbandhu_Prabhu.mp3", "Vrindavan_Yatra_2002_24_-_Lecture_at_Puchari_Govardhan_Parikrama_-_Dinbandhu_Prabhu.mp3")</f>
        <v>Vrindavan_Yatra_2002_24_-_Lecture_at_Puchari_Govardhan_Parikrama_-_Dinbandhu_Prabhu.mp3</v>
      </c>
      <c r="D4739" s="11"/>
      <c r="E4739" s="11"/>
    </row>
    <row r="4740" spans="1:5">
      <c r="A4740" s="12" t="s">
        <v>12464</v>
      </c>
      <c r="B4740" s="12" t="s">
        <v>17248</v>
      </c>
      <c r="C4740" s="13" t="str">
        <f>HYPERLINK("https://audio.iskcondesiretree.com/02_-_ISKCON_Swamis/ISKCON_Swamis_-_R_to_Y/His_Holiness_Radhanath_Swami/Lectures/02_-_Yatra/2002_Vrindavan_yatra/Vrindavan_Yatra_2002_25_-_Lecture_at_Surabhi_Kunda_Govardhan_Parikrama_-_Dinbandhu_Prabhu.mp3", "Vrindavan_Yatra_2002_25_-_Lecture_at_Surabhi_Kunda_Govardhan_Parikrama_-_Dinbandhu_Prabhu.mp3")</f>
        <v>Vrindavan_Yatra_2002_25_-_Lecture_at_Surabhi_Kunda_Govardhan_Parikrama_-_Dinbandhu_Prabhu.mp3</v>
      </c>
      <c r="D4740" s="11"/>
      <c r="E4740" s="11"/>
    </row>
    <row r="4741" spans="1:5">
      <c r="A4741" s="12" t="s">
        <v>12464</v>
      </c>
      <c r="B4741" s="12" t="s">
        <v>17249</v>
      </c>
      <c r="C4741" s="13" t="str">
        <f>HYPERLINK("https://audio.iskcondesiretree.com/02_-_ISKCON_Swamis/ISKCON_Swamis_-_R_to_Y/His_Holiness_Radhanath_Swami/Lectures/02_-_Yatra/2002_Vrindavan_yatra/Vrindavan_Yatra_2002_26_-_Lecture_at_Uddhava_Kunda_Govardhan_Parikrama_-_Radhanath_Swami.mp3", "Vrindavan_Yatra_2002_26_-_Lecture_at_Uddhava_Kunda_Govardhan_Parikrama_-_Radhanath_Swami.mp3")</f>
        <v>Vrindavan_Yatra_2002_26_-_Lecture_at_Uddhava_Kunda_Govardhan_Parikrama_-_Radhanath_Swami.mp3</v>
      </c>
      <c r="D4741" s="11"/>
      <c r="E4741" s="11"/>
    </row>
    <row r="4742" spans="1:5">
      <c r="A4742" s="12" t="s">
        <v>12464</v>
      </c>
      <c r="B4742" s="12" t="s">
        <v>17250</v>
      </c>
      <c r="C4742" s="13" t="str">
        <f>HYPERLINK("https://audio.iskcondesiretree.com/02_-_ISKCON_Swamis/ISKCON_Swamis_-_R_to_Y/His_Holiness_Radhanath_Swami/Lectures/02_-_Yatra/2002_Vrindavan_yatra/Vrindavan_Yatra_2002_27_-_Govardhan_Parikrama_Concluding_Speech_-_Radhanath_Swami.mp3", "Vrindavan_Yatra_2002_27_-_Govardhan_Parikrama_Concluding_Speech_-_Radhanath_Swami.mp3")</f>
        <v>Vrindavan_Yatra_2002_27_-_Govardhan_Parikrama_Concluding_Speech_-_Radhanath_Swami.mp3</v>
      </c>
      <c r="D4742" s="11"/>
      <c r="E4742" s="11"/>
    </row>
    <row r="4743" spans="1:5">
      <c r="A4743" s="12" t="s">
        <v>12464</v>
      </c>
      <c r="B4743" s="12" t="s">
        <v>17251</v>
      </c>
      <c r="C4743" s="13" t="str">
        <f>HYPERLINK("https://audio.iskcondesiretree.com/02_-_ISKCON_Swamis/ISKCON_Swamis_-_R_to_Y/His_Holiness_Radhanath_Swami/Lectures/02_-_Yatra/2002_Vrindavan_yatra/Vrindavan_Yatra_2002_29_-_Lecture_at_Maan_Sarovar_-_Radhanath_Swami.mp3", "Vrindavan_Yatra_2002_29_-_Lecture_at_Maan_Sarovar_-_Radhanath_Swami.mp3")</f>
        <v>Vrindavan_Yatra_2002_29_-_Lecture_at_Maan_Sarovar_-_Radhanath_Swami.mp3</v>
      </c>
      <c r="D4743" s="11"/>
      <c r="E4743" s="11"/>
    </row>
    <row r="4744" spans="1:5">
      <c r="A4744" s="12" t="s">
        <v>12464</v>
      </c>
      <c r="B4744" s="12" t="s">
        <v>17252</v>
      </c>
      <c r="C4744" s="13" t="str">
        <f>HYPERLINK("https://audio.iskcondesiretree.com/02_-_ISKCON_Swamis/ISKCON_Swamis_-_R_to_Y/His_Holiness_Radhanath_Swami/Lectures/02_-_Yatra/2002_Vrindavan_yatra/Vrindavan_Yatra_2002_31_-_Lecture_at_Bilvavana_-_Radhanath_Swami.mp3", "Vrindavan_Yatra_2002_31_-_Lecture_at_Bilvavana_-_Radhanath_Swami.mp3")</f>
        <v>Vrindavan_Yatra_2002_31_-_Lecture_at_Bilvavana_-_Radhanath_Swami.mp3</v>
      </c>
      <c r="D4744" s="11"/>
      <c r="E4744" s="11"/>
    </row>
    <row r="4745" spans="1:5">
      <c r="A4745" s="12" t="s">
        <v>12464</v>
      </c>
      <c r="B4745" s="12" t="s">
        <v>17253</v>
      </c>
      <c r="C4745" s="13" t="str">
        <f>HYPERLINK("https://audio.iskcondesiretree.com/02_-_ISKCON_Swamis/ISKCON_Swamis_-_R_to_Y/His_Holiness_Radhanath_Swami/Lectures/02_-_Yatra/2002_Vrindavan_yatra/Vrindavan_Yatra_2002_32_-_Lecture_at_Surya_Kunda_Radhanath_Swami.mp3", "Vrindavan_Yatra_2002_32_-_Lecture_at_Surya_Kunda_Radhanath_Swami.mp3")</f>
        <v>Vrindavan_Yatra_2002_32_-_Lecture_at_Surya_Kunda_Radhanath_Swami.mp3</v>
      </c>
      <c r="D4745" s="11"/>
      <c r="E4745" s="11"/>
    </row>
    <row r="4746" spans="1:5">
      <c r="A4746" s="12" t="s">
        <v>12464</v>
      </c>
      <c r="B4746" s="12" t="s">
        <v>17254</v>
      </c>
      <c r="C4746" s="13" t="str">
        <f>HYPERLINK("https://audio.iskcondesiretree.com/02_-_ISKCON_Swamis/ISKCON_Swamis_-_R_to_Y/His_Holiness_Radhanath_Swami/Lectures/02_-_Yatra/2002_Vrindavan_yatra/Vrindavan_Yatra_2002_33_-_Lecture_at_Surya_Kunda_-_Sacinanada_Swami.mp3", "Vrindavan_Yatra_2002_33_-_Lecture_at_Surya_Kunda_-_Sacinanada_Swami.mp3")</f>
        <v>Vrindavan_Yatra_2002_33_-_Lecture_at_Surya_Kunda_-_Sacinanada_Swami.mp3</v>
      </c>
      <c r="D4746" s="11"/>
      <c r="E4746" s="11"/>
    </row>
    <row r="4747" spans="1:5">
      <c r="A4747" s="12" t="s">
        <v>12464</v>
      </c>
      <c r="B4747" s="12" t="s">
        <v>17255</v>
      </c>
      <c r="C4747" s="13" t="str">
        <f>HYPERLINK("https://audio.iskcondesiretree.com/02_-_ISKCON_Swamis/ISKCON_Swamis_-_R_to_Y/His_Holiness_Radhanath_Swami/Lectures/02_-_Yatra/2002_Vrindavan_yatra/Vrindavan_Yatra_2002_34_-_Lecture_at_Surya_Kunda_-_Dinbandhu_Prabhu.mp3", "Vrindavan_Yatra_2002_34_-_Lecture_at_Surya_Kunda_-_Dinbandhu_Prabhu.mp3")</f>
        <v>Vrindavan_Yatra_2002_34_-_Lecture_at_Surya_Kunda_-_Dinbandhu_Prabhu.mp3</v>
      </c>
      <c r="D4747" s="11"/>
      <c r="E4747" s="11"/>
    </row>
    <row r="4748" spans="1:5">
      <c r="A4748" s="12" t="s">
        <v>12464</v>
      </c>
      <c r="B4748" s="12" t="s">
        <v>17256</v>
      </c>
      <c r="C4748" s="13" t="str">
        <f>HYPERLINK("https://audio.iskcondesiretree.com/02_-_ISKCON_Swamis/ISKCON_Swamis_-_R_to_Y/His_Holiness_Radhanath_Swami/Lectures/02_-_Yatra/2002_Vrindavan_yatra/Vrindavan_Yatra_2002_35_-_Lecture_at_Kusum_Sarova_-_Radhanath_Swamir.mp3", "Vrindavan_Yatra_2002_35_-_Lecture_at_Kusum_Sarova_-_Radhanath_Swamir.mp3")</f>
        <v>Vrindavan_Yatra_2002_35_-_Lecture_at_Kusum_Sarova_-_Radhanath_Swamir.mp3</v>
      </c>
      <c r="D4748" s="11"/>
      <c r="E4748" s="11"/>
    </row>
    <row r="4749" spans="1:5">
      <c r="A4749" s="12" t="s">
        <v>12464</v>
      </c>
      <c r="B4749" s="12" t="s">
        <v>17257</v>
      </c>
      <c r="C4749" s="13" t="str">
        <f>HYPERLINK("https://audio.iskcondesiretree.com/02_-_ISKCON_Swamis/ISKCON_Swamis_-_R_to_Y/His_Holiness_Radhanath_Swami/Lectures/02_-_Yatra/2002_Vrindavan_yatra/Vrindavan_Yatra_2002_36_-_Lecture_at_Ter_Kadam-01_-_Radhanath_Swami.mp3", "Vrindavan_Yatra_2002_36_-_Lecture_at_Ter_Kadam-01_-_Radhanath_Swami.mp3")</f>
        <v>Vrindavan_Yatra_2002_36_-_Lecture_at_Ter_Kadam-01_-_Radhanath_Swami.mp3</v>
      </c>
      <c r="D4749" s="11"/>
      <c r="E4749" s="11"/>
    </row>
    <row r="4750" spans="1:5">
      <c r="A4750" s="12" t="s">
        <v>12464</v>
      </c>
      <c r="B4750" s="12" t="s">
        <v>17258</v>
      </c>
      <c r="C4750" s="13" t="str">
        <f>HYPERLINK("https://audio.iskcondesiretree.com/02_-_ISKCON_Swamis/ISKCON_Swamis_-_R_to_Y/His_Holiness_Radhanath_Swami/Lectures/02_-_Yatra/2002_Vrindavan_yatra/Vrindavan_Yatra_2002_37_-_Lecture_at_Ter_Kadam-02_-_Radhanath_Swami.mp3", "Vrindavan_Yatra_2002_37_-_Lecture_at_Ter_Kadam-02_-_Radhanath_Swami.mp3")</f>
        <v>Vrindavan_Yatra_2002_37_-_Lecture_at_Ter_Kadam-02_-_Radhanath_Swami.mp3</v>
      </c>
      <c r="D4750" s="11"/>
      <c r="E4750" s="11"/>
    </row>
    <row r="4751" spans="1:5">
      <c r="A4751" s="12" t="s">
        <v>12464</v>
      </c>
      <c r="B4751" s="12" t="s">
        <v>17259</v>
      </c>
      <c r="C4751" s="13" t="str">
        <f>HYPERLINK("https://audio.iskcondesiretree.com/02_-_ISKCON_Swamis/ISKCON_Swamis_-_R_to_Y/His_Holiness_Radhanath_Swami/Lectures/02_-_Yatra/2002_Vrindavan_yatra/Vrindavan_Yatra_2002_38_-_Lecture_at_Ter_Kadam-03_-_Birju_Babaji.mp3", "Vrindavan_Yatra_2002_38_-_Lecture_at_Ter_Kadam-03_-_Birju_Babaji.mp3")</f>
        <v>Vrindavan_Yatra_2002_38_-_Lecture_at_Ter_Kadam-03_-_Birju_Babaji.mp3</v>
      </c>
      <c r="D4751" s="11"/>
      <c r="E4751" s="11"/>
    </row>
    <row r="4752" spans="1:5">
      <c r="A4752" s="12" t="s">
        <v>12464</v>
      </c>
      <c r="B4752" s="12" t="s">
        <v>17260</v>
      </c>
      <c r="C4752" s="13" t="str">
        <f>HYPERLINK("https://audio.iskcondesiretree.com/02_-_ISKCON_Swamis/ISKCON_Swamis_-_R_to_Y/His_Holiness_Radhanath_Swami/Lectures/02_-_Yatra/2002_Vrindavan_yatra/Vrindavan_Yatra_2002_39_-_Lecture_at_Pawan_Sarovar_-_Radhanath_Swami.mp3", "Vrindavan_Yatra_2002_39_-_Lecture_at_Pawan_Sarovar_-_Radhanath_Swami.mp3")</f>
        <v>Vrindavan_Yatra_2002_39_-_Lecture_at_Pawan_Sarovar_-_Radhanath_Swami.mp3</v>
      </c>
      <c r="D4752" s="11"/>
      <c r="E4752" s="11"/>
    </row>
    <row r="4753" spans="1:5">
      <c r="A4753" s="12" t="s">
        <v>12464</v>
      </c>
      <c r="B4753" s="12" t="s">
        <v>17261</v>
      </c>
      <c r="C4753" s="13" t="str">
        <f>HYPERLINK("https://audio.iskcondesiretree.com/02_-_ISKCON_Swamis/ISKCON_Swamis_-_R_to_Y/His_Holiness_Radhanath_Swami/Lectures/02_-_Yatra/2002_Vrindavan_yatra/Vrindavan_Yatra_2002_40_-_Lecture_at_Vrinda_Kunda_-_Radhanath_Swami_and_Bhagavat_Prasad_Prabhu.mp3", "Vrindavan_Yatra_2002_40_-_Lecture_at_Vrinda_Kunda_-_Radhanath_Swami_and_Bhagavat_Prasad_Prabhu.mp3")</f>
        <v>Vrindavan_Yatra_2002_40_-_Lecture_at_Vrinda_Kunda_-_Radhanath_Swami_and_Bhagavat_Prasad_Prabhu.mp3</v>
      </c>
      <c r="D4753" s="11"/>
      <c r="E4753" s="11"/>
    </row>
    <row r="4754" spans="1:5">
      <c r="A4754" s="12" t="s">
        <v>12464</v>
      </c>
      <c r="B4754" s="12" t="s">
        <v>17262</v>
      </c>
      <c r="C4754" s="13" t="str">
        <f>HYPERLINK("https://audio.iskcondesiretree.com/02_-_ISKCON_Swamis/ISKCON_Swamis_-_R_to_Y/His_Holiness_Radhanath_Swami/Lectures/02_-_Yatra/2002_Vrindavan_yatra/Vrindavan_Yatra_2002_41_-_Lecture_at_Uddhava_Kyari_-_Radhanath_Swami.mp3", "Vrindavan_Yatra_2002_41_-_Lecture_at_Uddhava_Kyari_-_Radhanath_Swami.mp3")</f>
        <v>Vrindavan_Yatra_2002_41_-_Lecture_at_Uddhava_Kyari_-_Radhanath_Swami.mp3</v>
      </c>
      <c r="D4754" s="11"/>
      <c r="E4754" s="11"/>
    </row>
    <row r="4755" spans="1:5">
      <c r="A4755" s="12" t="s">
        <v>12464</v>
      </c>
      <c r="B4755" s="12" t="s">
        <v>17263</v>
      </c>
      <c r="C4755" s="13" t="str">
        <f>HYPERLINK("https://audio.iskcondesiretree.com/02_-_ISKCON_Swamis/ISKCON_Swamis_-_R_to_Y/His_Holiness_Radhanath_Swami/Lectures/02_-_Yatra/2002_Vrindavan_yatra/Vrindavan_Yatra_2002_42_-_Lecture_at_Kaliya_Ghat_-_Radhanath_Swami.mp3", "Vrindavan_Yatra_2002_42_-_Lecture_at_Kaliya_Ghat_-_Radhanath_Swami.mp3")</f>
        <v>Vrindavan_Yatra_2002_42_-_Lecture_at_Kaliya_Ghat_-_Radhanath_Swami.mp3</v>
      </c>
      <c r="D4755" s="11"/>
      <c r="E4755" s="11"/>
    </row>
    <row r="4756" spans="1:5">
      <c r="A4756" s="12" t="s">
        <v>12464</v>
      </c>
      <c r="B4756" s="12" t="s">
        <v>17264</v>
      </c>
      <c r="C4756" s="13" t="str">
        <f>HYPERLINK("https://audio.iskcondesiretree.com/02_-_ISKCON_Swamis/ISKCON_Swamis_-_R_to_Y/His_Holiness_Radhanath_Swami/Lectures/02_-_Yatra/2002_Vrindavan_yatra/Vrindavan_Yatra_2002_43_-_Lecture_at_Radha_Damodar_Temple_-_Radhanath_Swami.mp3", "Vrindavan_Yatra_2002_43_-_Lecture_at_Radha_Damodar_Temple_-_Radhanath_Swami.mp3")</f>
        <v>Vrindavan_Yatra_2002_43_-_Lecture_at_Radha_Damodar_Temple_-_Radhanath_Swami.mp3</v>
      </c>
      <c r="D4756" s="11"/>
      <c r="E4756" s="11"/>
    </row>
    <row r="4757" spans="1:5">
      <c r="A4757" s="12" t="s">
        <v>12464</v>
      </c>
      <c r="B4757" s="12" t="s">
        <v>17265</v>
      </c>
      <c r="C4757" s="13" t="str">
        <f>HYPERLINK("https://audio.iskcondesiretree.com/02_-_ISKCON_Swamis/ISKCON_Swamis_-_R_to_Y/His_Holiness_Radhanath_Swami/Lectures/02_-_Yatra/2002_Vrindavan_yatra/Vrindavan_Yatra_2002_45_-_Prabhupada_Memories_-_Narayani_Mataj_-_Radhanath_Swami.mp3", "Vrindavan_Yatra_2002_45_-_Prabhupada_Memories_-_Narayani_Mataj_-_Radhanath_Swami.mp3")</f>
        <v>Vrindavan_Yatra_2002_45_-_Prabhupada_Memories_-_Narayani_Mataj_-_Radhanath_Swami.mp3</v>
      </c>
      <c r="D4757" s="11"/>
      <c r="E4757" s="11"/>
    </row>
    <row r="4758" spans="1:5">
      <c r="A4758" s="12" t="s">
        <v>12464</v>
      </c>
      <c r="B4758" s="12" t="s">
        <v>17266</v>
      </c>
      <c r="C4758" s="13" t="str">
        <f>HYPERLINK("https://audio.iskcondesiretree.com/02_-_ISKCON_Swamis/ISKCON_Swamis_-_R_to_Y/His_Holiness_Radhanath_Swami/Lectures/02_-_Yatra/2002_Vrindavan_yatra/Vrindavan_Yatra_2002_46_-_Lecture_at_Radha_Govindji_Temple_-_Radhanath_Swami.mp3", "Vrindavan_Yatra_2002_46_-_Lecture_at_Radha_Govindji_Temple_-_Radhanath_Swami.mp3")</f>
        <v>Vrindavan_Yatra_2002_46_-_Lecture_at_Radha_Govindji_Temple_-_Radhanath_Swami.mp3</v>
      </c>
      <c r="D4758" s="11"/>
      <c r="E4758" s="11"/>
    </row>
    <row r="4759" spans="1:5">
      <c r="A4759" s="12" t="s">
        <v>12464</v>
      </c>
      <c r="B4759" s="12" t="s">
        <v>17267</v>
      </c>
      <c r="C4759" s="13" t="str">
        <f>HYPERLINK("https://audio.iskcondesiretree.com/02_-_ISKCON_Swamis/ISKCON_Swamis_-_R_to_Y/His_Holiness_Radhanath_Swami/Lectures/02_-_Yatra/2002_Vrindavan_yatra/Vrindavan_Yatra_2002_47_-_Lecture_at_Vamsi_Vata_-_Radhanath_Swami.mp3", "Vrindavan_Yatra_2002_47_-_Lecture_at_Vamsi_Vata_-_Radhanath_Swami.mp3")</f>
        <v>Vrindavan_Yatra_2002_47_-_Lecture_at_Vamsi_Vata_-_Radhanath_Swami.mp3</v>
      </c>
      <c r="D4759" s="11"/>
      <c r="E4759" s="11"/>
    </row>
    <row r="4760" spans="1:5">
      <c r="A4760" s="12" t="s">
        <v>12464</v>
      </c>
      <c r="B4760" s="12" t="s">
        <v>17268</v>
      </c>
      <c r="C4760" s="13" t="str">
        <f>HYPERLINK("https://audio.iskcondesiretree.com/02_-_ISKCON_Swamis/ISKCON_Swamis_-_R_to_Y/His_Holiness_Radhanath_Swami/Lectures/02_-_Yatra/2002_Vrindavan_yatra/Vrindavan_Yatra_2002_48_-_Talk_at_Yajna_Sthali_-_Radhanath_Swami.mp3", "Vrindavan_Yatra_2002_48_-_Talk_at_Yajna_Sthali_-_Radhanath_Swami.mp3")</f>
        <v>Vrindavan_Yatra_2002_48_-_Talk_at_Yajna_Sthali_-_Radhanath_Swami.mp3</v>
      </c>
      <c r="D4760" s="11"/>
      <c r="E4760" s="11"/>
    </row>
    <row r="4761" spans="1:5">
      <c r="A4761" s="12" t="s">
        <v>12464</v>
      </c>
      <c r="B4761" s="12" t="s">
        <v>17269</v>
      </c>
      <c r="C4761" s="13" t="str">
        <f>HYPERLINK("https://audio.iskcondesiretree.com/02_-_ISKCON_Swamis/ISKCON_Swamis_-_R_to_Y/His_Holiness_Radhanath_Swami/Lectures/02_-_Yatra/2002_Vrindavan_yatra/Vrindavan_Yatra_2002_50_-_Lecture_at_Akrura_Ghat-02_-_Purnacandra_Prabhu_and_Radhanath_Swami.mp3", "Vrindavan_Yatra_2002_50_-_Lecture_at_Akrura_Ghat-02_-_Purnacandra_Prabhu_and_Radhanath_Swami.mp3")</f>
        <v>Vrindavan_Yatra_2002_50_-_Lecture_at_Akrura_Ghat-02_-_Purnacandra_Prabhu_and_Radhanath_Swami.mp3</v>
      </c>
      <c r="D4761" s="11"/>
      <c r="E4761" s="11"/>
    </row>
    <row r="4762" spans="1:5">
      <c r="A4762" s="12" t="s">
        <v>12464</v>
      </c>
      <c r="B4762" s="12" t="s">
        <v>17270</v>
      </c>
      <c r="C4762" s="13" t="str">
        <f>HYPERLINK("https://audio.iskcondesiretree.com/02_-_ISKCON_Swamis/ISKCON_Swamis_-_R_to_Y/His_Holiness_Radhanath_Swami/Lectures/02_-_Yatra/2003_Mayapur_yatra/Mayapur_Yatra_2003_01_-_Lecture_at_Yogapitha_Day-01_Jayapataka%20Swami.mp3", "Mayapur_Yatra_2003_01_-_Lecture_at_Yogapitha_Day-01_Jayapataka%20Swami.mp3")</f>
        <v>Mayapur_Yatra_2003_01_-_Lecture_at_Yogapitha_Day-01_Jayapataka%20Swami.mp3</v>
      </c>
      <c r="D4762" s="11"/>
      <c r="E4762" s="11"/>
    </row>
    <row r="4763" spans="1:5">
      <c r="A4763" s="12" t="s">
        <v>12464</v>
      </c>
      <c r="B4763" s="12" t="s">
        <v>17271</v>
      </c>
      <c r="C4763" s="13" t="str">
        <f>HYPERLINK("https://audio.iskcondesiretree.com/02_-_ISKCON_Swamis/ISKCON_Swamis_-_R_to_Y/His_Holiness_Radhanath_Swami/Lectures/02_-_Yatra/2003_Mayapur_yatra/Mayapur_Yatra_2003_02_-_Lecture_at_Yogapitha_Day-01_Radhanath_Swami.mp3", "Mayapur_Yatra_2003_02_-_Lecture_at_Yogapitha_Day-01_Radhanath_Swami.mp3")</f>
        <v>Mayapur_Yatra_2003_02_-_Lecture_at_Yogapitha_Day-01_Radhanath_Swami.mp3</v>
      </c>
      <c r="D4763" s="11"/>
      <c r="E4763" s="11"/>
    </row>
    <row r="4764" spans="1:5">
      <c r="A4764" s="12" t="s">
        <v>12464</v>
      </c>
      <c r="B4764" s="12" t="s">
        <v>17272</v>
      </c>
      <c r="C4764" s="13" t="str">
        <f>HYPERLINK("https://audio.iskcondesiretree.com/02_-_ISKCON_Swamis/ISKCON_Swamis_-_R_to_Y/His_Holiness_Radhanath_Swami/Lectures/02_-_Yatra/2003_Mayapur_yatra/Mayapur_Yatra_2003_03_-_Lecture_at_Gada_Garden_Day-01_Radhanath_Swami.mp3", "Mayapur_Yatra_2003_03_-_Lecture_at_Gada_Garden_Day-01_Radhanath_Swami.mp3")</f>
        <v>Mayapur_Yatra_2003_03_-_Lecture_at_Gada_Garden_Day-01_Radhanath_Swami.mp3</v>
      </c>
      <c r="D4764" s="11"/>
      <c r="E4764" s="11"/>
    </row>
    <row r="4765" spans="1:5">
      <c r="A4765" s="12" t="s">
        <v>12464</v>
      </c>
      <c r="B4765" s="12" t="s">
        <v>17273</v>
      </c>
      <c r="C4765" s="13" t="str">
        <f>HYPERLINK("https://audio.iskcondesiretree.com/02_-_ISKCON_Swamis/ISKCON_Swamis_-_R_to_Y/His_Holiness_Radhanath_Swami/Lectures/02_-_Yatra/2003_Mayapur_yatra/Mayapur_Yatra_2003_04_-_Lecture_at_Jagannath_Das_Babaji%27s_Samadhi_Day-02_Jayapataka_Swami.mp3", "Mayapur_Yatra_2003_04_-_Lecture_at_Jagannath_Das_Babaji%27s_Samadhi_Day-02_Jayapataka_Swami.mp3")</f>
        <v>Mayapur_Yatra_2003_04_-_Lecture_at_Jagannath_Das_Babaji%27s_Samadhi_Day-02_Jayapataka_Swami.mp3</v>
      </c>
      <c r="D4765" s="11"/>
      <c r="E4765" s="11"/>
    </row>
    <row r="4766" spans="1:5">
      <c r="A4766" s="12" t="s">
        <v>12464</v>
      </c>
      <c r="B4766" s="12" t="s">
        <v>17274</v>
      </c>
      <c r="C4766" s="13" t="str">
        <f>HYPERLINK("https://audio.iskcondesiretree.com/02_-_ISKCON_Swamis/ISKCON_Swamis_-_R_to_Y/His_Holiness_Radhanath_Swami/Lectures/02_-_Yatra/2003_Mayapur_yatra/Mayapur_Yatra_2003_05_-_Lecture_at_Dhameshwar_Mahaprabhu_Day-02_Jayapataka_Swami.mp3", "Mayapur_Yatra_2003_05_-_Lecture_at_Dhameshwar_Mahaprabhu_Day-02_Jayapataka_Swami.mp3")</f>
        <v>Mayapur_Yatra_2003_05_-_Lecture_at_Dhameshwar_Mahaprabhu_Day-02_Jayapataka_Swami.mp3</v>
      </c>
      <c r="D4766" s="11"/>
      <c r="E4766" s="11"/>
    </row>
    <row r="4767" spans="1:5">
      <c r="A4767" s="12" t="s">
        <v>12464</v>
      </c>
      <c r="B4767" s="12" t="s">
        <v>17275</v>
      </c>
      <c r="C4767" s="13" t="str">
        <f>HYPERLINK("https://audio.iskcondesiretree.com/02_-_ISKCON_Swamis/ISKCON_Swamis_-_R_to_Y/His_Holiness_Radhanath_Swami/Lectures/02_-_Yatra/2003_Mayapur_yatra/Mayapur_Yatra_2003_06_-_Lecture_at_Gada_Garden_Day-02_Radhanath_Swami.mp3", "Mayapur_Yatra_2003_06_-_Lecture_at_Gada_Garden_Day-02_Radhanath_Swami.mp3")</f>
        <v>Mayapur_Yatra_2003_06_-_Lecture_at_Gada_Garden_Day-02_Radhanath_Swami.mp3</v>
      </c>
      <c r="D4767" s="11"/>
      <c r="E4767" s="11"/>
    </row>
    <row r="4768" spans="1:5">
      <c r="A4768" s="12" t="s">
        <v>12464</v>
      </c>
      <c r="B4768" s="12" t="s">
        <v>17276</v>
      </c>
      <c r="C4768" s="13" t="str">
        <f>HYPERLINK("https://audio.iskcondesiretree.com/02_-_ISKCON_Swamis/ISKCON_Swamis_-_R_to_Y/His_Holiness_Radhanath_Swami/Lectures/02_-_Yatra/2003_Mayapur_yatra/Mayapur_Yatra_2003_07_-_Lecture_at_Bhaktivinod_Thakur%27s_House_Day-03_Jayapataka_Swami.mp3", "Mayapur_Yatra_2003_07_-_Lecture_at_Bhaktivinod_Thakur%27s_House_Day-03_Jayapataka_Swami.mp3")</f>
        <v>Mayapur_Yatra_2003_07_-_Lecture_at_Bhaktivinod_Thakur%27s_House_Day-03_Jayapataka_Swami.mp3</v>
      </c>
      <c r="D4768" s="11"/>
      <c r="E4768" s="11"/>
    </row>
    <row r="4769" spans="1:5">
      <c r="A4769" s="12" t="s">
        <v>12464</v>
      </c>
      <c r="B4769" s="12" t="s">
        <v>17277</v>
      </c>
      <c r="C4769" s="13" t="str">
        <f>HYPERLINK("https://audio.iskcondesiretree.com/02_-_ISKCON_Swamis/ISKCON_Swamis_-_R_to_Y/His_Holiness_Radhanath_Swami/Lectures/02_-_Yatra/2003_Mayapur_yatra/Mayapur_Yatra_2003_08_-_Lecture_at_Bhaktivinod_Thakur%27s_House_Day-03_Radhanath_Swami.mp3", "Mayapur_Yatra_2003_08_-_Lecture_at_Bhaktivinod_Thakur%27s_House_Day-03_Radhanath_Swami.mp3")</f>
        <v>Mayapur_Yatra_2003_08_-_Lecture_at_Bhaktivinod_Thakur%27s_House_Day-03_Radhanath_Swami.mp3</v>
      </c>
      <c r="D4769" s="11"/>
      <c r="E4769" s="11"/>
    </row>
    <row r="4770" spans="1:5">
      <c r="A4770" s="12" t="s">
        <v>12464</v>
      </c>
      <c r="B4770" s="12" t="s">
        <v>17278</v>
      </c>
      <c r="C4770" s="13" t="str">
        <f>HYPERLINK("https://audio.iskcondesiretree.com/02_-_ISKCON_Swamis/ISKCON_Swamis_-_R_to_Y/His_Holiness_Radhanath_Swami/Lectures/02_-_Yatra/2003_Mayapur_yatra/Mayapur_Yatra_2003_09_-_Lecture_at_Bhaktivinod%20Thakur%27s%20House%28Day%203%29%20Radhanath%20Swami.mp3", "Mayapur_Yatra_2003_09_-_Lecture_at_Bhaktivinod%20Thakur%27s%20House%28Day%203%29%20Radhanath%20Swami.mp3")</f>
        <v>Mayapur_Yatra_2003_09_-_Lecture_at_Bhaktivinod%20Thakur%27s%20House%28Day%203%29%20Radhanath%20Swami.mp3</v>
      </c>
      <c r="D4770" s="11"/>
      <c r="E4770" s="11"/>
    </row>
    <row r="4771" spans="1:5">
      <c r="A4771" s="12" t="s">
        <v>12464</v>
      </c>
      <c r="B4771" s="12" t="s">
        <v>17279</v>
      </c>
      <c r="C4771" s="13" t="str">
        <f>HYPERLINK("https://audio.iskcondesiretree.com/02_-_ISKCON_Swamis/ISKCON_Swamis_-_R_to_Y/His_Holiness_Radhanath_Swami/Lectures/02_-_Yatra/2003_Mayapur_yatra/Mayapur_Yatra_2003_10_-_Lecture_at_Gaur_Doha_Day-03_Radhanath_Swami.mp3", "Mayapur_Yatra_2003_10_-_Lecture_at_Gaur_Doha_Day-03_Radhanath_Swami.mp3")</f>
        <v>Mayapur_Yatra_2003_10_-_Lecture_at_Gaur_Doha_Day-03_Radhanath_Swami.mp3</v>
      </c>
      <c r="D4771" s="11"/>
      <c r="E4771" s="11"/>
    </row>
    <row r="4772" spans="1:5">
      <c r="A4772" s="12" t="s">
        <v>12464</v>
      </c>
      <c r="B4772" s="12" t="s">
        <v>17280</v>
      </c>
      <c r="C4772" s="13" t="str">
        <f>HYPERLINK("https://audio.iskcondesiretree.com/02_-_ISKCON_Swamis/ISKCON_Swamis_-_R_to_Y/His_Holiness_Radhanath_Swami/Lectures/02_-_Yatra/2003_Mayapur_yatra/Mayapur_Yatra_2003_11_-_Lecture_at_Aam_Ghat_Day-03_Radhanath_Swami.mp3", "Mayapur_Yatra_2003_11_-_Lecture_at_Aam_Ghat_Day-03_Radhanath_Swami.mp3")</f>
        <v>Mayapur_Yatra_2003_11_-_Lecture_at_Aam_Ghat_Day-03_Radhanath_Swami.mp3</v>
      </c>
      <c r="D4772" s="11"/>
      <c r="E4772" s="11"/>
    </row>
    <row r="4773" spans="1:5">
      <c r="A4773" s="12" t="s">
        <v>12464</v>
      </c>
      <c r="B4773" s="12" t="s">
        <v>17281</v>
      </c>
      <c r="C4773" s="13" t="str">
        <f>HYPERLINK("https://audio.iskcondesiretree.com/02_-_ISKCON_Swamis/ISKCON_Swamis_-_R_to_Y/His_Holiness_Radhanath_Swami/Lectures/02_-_Yatra/2003_Mayapur_yatra/Mayapur_Yatra_2003_12_-_Lecture_at_Hari_Hara_Kshetra_Day-03_Radhanath_Swami.mp3", "Mayapur_Yatra_2003_12_-_Lecture_at_Hari_Hara_Kshetra_Day-03_Radhanath_Swami.mp3")</f>
        <v>Mayapur_Yatra_2003_12_-_Lecture_at_Hari_Hara_Kshetra_Day-03_Radhanath_Swami.mp3</v>
      </c>
      <c r="D4773" s="11"/>
      <c r="E4773" s="11"/>
    </row>
    <row r="4774" spans="1:5">
      <c r="A4774" s="12" t="s">
        <v>12464</v>
      </c>
      <c r="B4774" s="12" t="s">
        <v>17282</v>
      </c>
      <c r="C4774" s="13" t="str">
        <f>HYPERLINK("https://audio.iskcondesiretree.com/02_-_ISKCON_Swamis/ISKCON_Swamis_-_R_to_Y/His_Holiness_Radhanath_Swami/Lectures/02_-_Yatra/2003_Mayapur_yatra/Mayapur_Yatra_2003_13_-_Childhood_Pastimes_of_Nimai-1_Day-04_Radhanath_Swami.mp3", "Mayapur_Yatra_2003_13_-_Childhood_Pastimes_of_Nimai-1_Day-04_Radhanath_Swami.mp3")</f>
        <v>Mayapur_Yatra_2003_13_-_Childhood_Pastimes_of_Nimai-1_Day-04_Radhanath_Swami.mp3</v>
      </c>
      <c r="D4774" s="11"/>
      <c r="E4774" s="11"/>
    </row>
    <row r="4775" spans="1:5">
      <c r="A4775" s="12" t="s">
        <v>12464</v>
      </c>
      <c r="B4775" s="12" t="s">
        <v>17283</v>
      </c>
      <c r="C4775" s="13" t="str">
        <f>HYPERLINK("https://audio.iskcondesiretree.com/02_-_ISKCON_Swamis/ISKCON_Swamis_-_R_to_Y/His_Holiness_Radhanath_Swami/Lectures/02_-_Yatra/2003_Mayapur_yatra/Mayapur_Yatra_2003_14_-_Childhood_Pastimes_of_Nimai-2_Day-04_Radhanath_Swami.mp3", "Mayapur_Yatra_2003_14_-_Childhood_Pastimes_of_Nimai-2_Day-04_Radhanath_Swami.mp3")</f>
        <v>Mayapur_Yatra_2003_14_-_Childhood_Pastimes_of_Nimai-2_Day-04_Radhanath_Swami.mp3</v>
      </c>
      <c r="D4775" s="11"/>
      <c r="E4775" s="11"/>
    </row>
    <row r="4776" spans="1:5">
      <c r="A4776" s="12" t="s">
        <v>12464</v>
      </c>
      <c r="B4776" s="12" t="s">
        <v>17284</v>
      </c>
      <c r="C4776" s="13" t="str">
        <f>HYPERLINK("https://audio.iskcondesiretree.com/02_-_ISKCON_Swamis/ISKCON_Swamis_-_R_to_Y/His_Holiness_Radhanath_Swami/Lectures/02_-_Yatra/2003_Mayapur_yatra/Mayapur_Yatra_2003_15_-_Childhood_Pastimes_of_Nimai-3_Day-04_Radhanath_Swami.mp3", "Mayapur_Yatra_2003_15_-_Childhood_Pastimes_of_Nimai-3_Day-04_Radhanath_Swami.mp3")</f>
        <v>Mayapur_Yatra_2003_15_-_Childhood_Pastimes_of_Nimai-3_Day-04_Radhanath_Swami.mp3</v>
      </c>
      <c r="D4776" s="11"/>
      <c r="E4776" s="11"/>
    </row>
    <row r="4777" spans="1:5">
      <c r="A4777" s="12" t="s">
        <v>12464</v>
      </c>
      <c r="B4777" s="12" t="s">
        <v>17285</v>
      </c>
      <c r="C4777" s="13" t="str">
        <f>HYPERLINK("https://audio.iskcondesiretree.com/02_-_ISKCON_Swamis/ISKCON_Swamis_-_R_to_Y/His_Holiness_Radhanath_Swami/Lectures/02_-_Yatra/2003_Mayapur_yatra/Mayapur_Yatra_2003_16_-_Childhood_Pastimes_of_Nimai-4_Day-04_Radhanath_Swami.mp3", "Mayapur_Yatra_2003_16_-_Childhood_Pastimes_of_Nimai-4_Day-04_Radhanath_Swami.mp3")</f>
        <v>Mayapur_Yatra_2003_16_-_Childhood_Pastimes_of_Nimai-4_Day-04_Radhanath_Swami.mp3</v>
      </c>
      <c r="D4777" s="11"/>
      <c r="E4777" s="11"/>
    </row>
    <row r="4778" spans="1:5">
      <c r="A4778" s="12" t="s">
        <v>12464</v>
      </c>
      <c r="B4778" s="12" t="s">
        <v>17286</v>
      </c>
      <c r="C4778" s="13" t="str">
        <f>HYPERLINK("https://audio.iskcondesiretree.com/02_-_ISKCON_Swamis/ISKCON_Swamis_-_R_to_Y/His_Holiness_Radhanath_Swami/Lectures/02_-_Yatra/2003_Mayapur_yatra/Mayapur_Yatra_2003_17_-_Lecture_at_Gada_Garden-1_Day-04_Radhanath_Swami.mp3", "Mayapur_Yatra_2003_17_-_Lecture_at_Gada_Garden-1_Day-04_Radhanath_Swami.mp3")</f>
        <v>Mayapur_Yatra_2003_17_-_Lecture_at_Gada_Garden-1_Day-04_Radhanath_Swami.mp3</v>
      </c>
      <c r="D4778" s="11"/>
      <c r="E4778" s="11"/>
    </row>
    <row r="4779" spans="1:5">
      <c r="A4779" s="12" t="s">
        <v>12464</v>
      </c>
      <c r="B4779" s="12" t="s">
        <v>17287</v>
      </c>
      <c r="C4779" s="13" t="str">
        <f>HYPERLINK("https://audio.iskcondesiretree.com/02_-_ISKCON_Swamis/ISKCON_Swamis_-_R_to_Y/His_Holiness_Radhanath_Swami/Lectures/02_-_Yatra/2003_Mayapur_yatra/Mayapur_Yatra_2003_18_-_Lecture_at_Gada_Garden-2_Day-04_Radhanath_Swami.mp3", "Mayapur_Yatra_2003_18_-_Lecture_at_Gada_Garden-2_Day-04_Radhanath_Swami.mp3")</f>
        <v>Mayapur_Yatra_2003_18_-_Lecture_at_Gada_Garden-2_Day-04_Radhanath_Swami.mp3</v>
      </c>
      <c r="D4779" s="11"/>
      <c r="E4779" s="11"/>
    </row>
    <row r="4780" spans="1:5">
      <c r="A4780" s="12" t="s">
        <v>12464</v>
      </c>
      <c r="B4780" s="12" t="s">
        <v>17288</v>
      </c>
      <c r="C4780" s="13" t="str">
        <f>HYPERLINK("https://audio.iskcondesiretree.com/02_-_ISKCON_Swamis/ISKCON_Swamis_-_R_to_Y/His_Holiness_Radhanath_Swami/Lectures/02_-_Yatra/2003_Mayapur_yatra/Mayapur_Yatra_2003_19_-_Deliverance_of_Jagai_%26_Madhai-1_Day-05_Radhanath_Swami.mp3", "Mayapur_Yatra_2003_19_-_Deliverance_of_Jagai_%26_Madhai-1_Day-05_Radhanath_Swami.mp3")</f>
        <v>Mayapur_Yatra_2003_19_-_Deliverance_of_Jagai_%26_Madhai-1_Day-05_Radhanath_Swami.mp3</v>
      </c>
      <c r="D4780" s="11"/>
      <c r="E4780" s="11"/>
    </row>
    <row r="4781" spans="1:5">
      <c r="A4781" s="12" t="s">
        <v>12464</v>
      </c>
      <c r="B4781" s="12" t="s">
        <v>17289</v>
      </c>
      <c r="C4781" s="13" t="str">
        <f>HYPERLINK("https://audio.iskcondesiretree.com/02_-_ISKCON_Swamis/ISKCON_Swamis_-_R_to_Y/His_Holiness_Radhanath_Swami/Lectures/02_-_Yatra/2003_Mayapur_yatra/Mayapur_Yatra_2003_20_-_Deliverance_of_Jagai_%26_Madhai-2_Day-05_Radhanath_Swami.mp3", "Mayapur_Yatra_2003_20_-_Deliverance_of_Jagai_%26_Madhai-2_Day-05_Radhanath_Swami.mp3")</f>
        <v>Mayapur_Yatra_2003_20_-_Deliverance_of_Jagai_%26_Madhai-2_Day-05_Radhanath_Swami.mp3</v>
      </c>
      <c r="D4781" s="11"/>
      <c r="E4781" s="11"/>
    </row>
    <row r="4782" spans="1:5">
      <c r="A4782" s="12" t="s">
        <v>12464</v>
      </c>
      <c r="B4782" s="12" t="s">
        <v>17290</v>
      </c>
      <c r="C4782" s="13" t="str">
        <f>HYPERLINK("https://audio.iskcondesiretree.com/02_-_ISKCON_Swamis/ISKCON_Swamis_-_R_to_Y/His_Holiness_Radhanath_Swami/Lectures/02_-_Yatra/2003_Mayapur_yatra/Mayapur_Yatra_2003_21_-_Deliverance_of_Jagai_%26_Madhai-2_Day-05_Radhanath_Swami.mp3", "Mayapur_Yatra_2003_21_-_Deliverance_of_Jagai_%26_Madhai-2_Day-05_Radhanath_Swami.mp3")</f>
        <v>Mayapur_Yatra_2003_21_-_Deliverance_of_Jagai_%26_Madhai-2_Day-05_Radhanath_Swami.mp3</v>
      </c>
      <c r="D4782" s="11"/>
      <c r="E4782" s="11"/>
    </row>
    <row r="4783" spans="1:5">
      <c r="A4783" s="12" t="s">
        <v>12464</v>
      </c>
      <c r="B4783" s="12" t="s">
        <v>17291</v>
      </c>
      <c r="C4783" s="13" t="str">
        <f>HYPERLINK("https://audio.iskcondesiretree.com/02_-_ISKCON_Swamis/ISKCON_Swamis_-_R_to_Y/His_Holiness_Radhanath_Swami/Lectures/02_-_Yatra/2003_Mayapur_yatra/Mayapur_Yatra_2003_23_-_Lecture_at_Srikhanda-1_Day-05_Radhanath_Swami.mp3", "Mayapur_Yatra_2003_23_-_Lecture_at_Srikhanda-1_Day-05_Radhanath_Swami.mp3")</f>
        <v>Mayapur_Yatra_2003_23_-_Lecture_at_Srikhanda-1_Day-05_Radhanath_Swami.mp3</v>
      </c>
      <c r="D4783" s="11"/>
      <c r="E4783" s="11"/>
    </row>
    <row r="4784" spans="1:5">
      <c r="A4784" s="12" t="s">
        <v>12464</v>
      </c>
      <c r="B4784" s="12" t="s">
        <v>17292</v>
      </c>
      <c r="C4784" s="13" t="str">
        <f>HYPERLINK("https://audio.iskcondesiretree.com/02_-_ISKCON_Swamis/ISKCON_Swamis_-_R_to_Y/His_Holiness_Radhanath_Swami/Lectures/02_-_Yatra/2003_Mayapur_yatra/Mayapur_Yatra_2003_24_-_Lecture_at_Srikhanda-2_Day-05_Radhanath_Swami.mp3", "Mayapur_Yatra_2003_24_-_Lecture_at_Srikhanda-2_Day-05_Radhanath_Swami.mp3")</f>
        <v>Mayapur_Yatra_2003_24_-_Lecture_at_Srikhanda-2_Day-05_Radhanath_Swami.mp3</v>
      </c>
      <c r="D4784" s="11"/>
      <c r="E4784" s="11"/>
    </row>
    <row r="4785" spans="1:5">
      <c r="A4785" s="12" t="s">
        <v>12464</v>
      </c>
      <c r="B4785" s="12" t="s">
        <v>17293</v>
      </c>
      <c r="C4785" s="13" t="str">
        <f>HYPERLINK("https://audio.iskcondesiretree.com/02_-_ISKCON_Swamis/ISKCON_Swamis_-_R_to_Y/His_Holiness_Radhanath_Swami/Lectures/02_-_Yatra/2003_Mayapur_yatra/Mayapur_Yatra_2003_25_-_Lecture_at_Srikhanda_Day-05_Ramesh_Chandra_Goswamiji.mp3", "Mayapur_Yatra_2003_25_-_Lecture_at_Srikhanda_Day-05_Ramesh_Chandra_Goswamiji.mp3")</f>
        <v>Mayapur_Yatra_2003_25_-_Lecture_at_Srikhanda_Day-05_Ramesh_Chandra_Goswamiji.mp3</v>
      </c>
      <c r="D4785" s="11"/>
      <c r="E4785" s="11"/>
    </row>
    <row r="4786" spans="1:5">
      <c r="A4786" s="12" t="s">
        <v>12464</v>
      </c>
      <c r="B4786" s="12" t="s">
        <v>17294</v>
      </c>
      <c r="C4786" s="13" t="str">
        <f>HYPERLINK("https://audio.iskcondesiretree.com/02_-_ISKCON_Swamis/ISKCON_Swamis_-_R_to_Y/His_Holiness_Radhanath_Swami/Lectures/02_-_Yatra/2003_Mayapur_yatra/Mayapur_Yatra_2003_26_-_Lecture_at_Gaudiya_Math_Day-06_Jananivas_Prabhu.mp3", "Mayapur_Yatra_2003_26_-_Lecture_at_Gaudiya_Math_Day-06_Jananivas_Prabhu.mp3")</f>
        <v>Mayapur_Yatra_2003_26_-_Lecture_at_Gaudiya_Math_Day-06_Jananivas_Prabhu.mp3</v>
      </c>
      <c r="D4786" s="11"/>
      <c r="E4786" s="11"/>
    </row>
    <row r="4787" spans="1:5">
      <c r="A4787" s="12" t="s">
        <v>12464</v>
      </c>
      <c r="B4787" s="12" t="s">
        <v>17295</v>
      </c>
      <c r="C4787" s="13" t="str">
        <f>HYPERLINK("https://audio.iskcondesiretree.com/02_-_ISKCON_Swamis/ISKCON_Swamis_-_R_to_Y/His_Holiness_Radhanath_Swami/Lectures/02_-_Yatra/2003_Mayapur_yatra/Mayapur_Yatra_2003_27_-_Lecture_at_Gaudiya_Math_Day-06_Krishnananda_Prabhu.mp3", "Mayapur_Yatra_2003_27_-_Lecture_at_Gaudiya_Math_Day-06_Krishnananda_Prabhu.mp3")</f>
        <v>Mayapur_Yatra_2003_27_-_Lecture_at_Gaudiya_Math_Day-06_Krishnananda_Prabhu.mp3</v>
      </c>
      <c r="D4787" s="11"/>
      <c r="E4787" s="11"/>
    </row>
    <row r="4788" spans="1:5">
      <c r="A4788" s="12" t="s">
        <v>12464</v>
      </c>
      <c r="B4788" s="12" t="s">
        <v>17296</v>
      </c>
      <c r="C4788" s="13" t="str">
        <f>HYPERLINK("https://audio.iskcondesiretree.com/02_-_ISKCON_Swamis/ISKCON_Swamis_-_R_to_Y/His_Holiness_Radhanath_Swami/Lectures/02_-_Yatra/2003_Mayapur_yatra/Mayapur_Yatra_2003_28_-_Lecture_at_Gaudiya_Math_Day-06_Govinda_Prabhu.mp3", "Mayapur_Yatra_2003_28_-_Lecture_at_Gaudiya_Math_Day-06_Govinda_Prabhu.mp3")</f>
        <v>Mayapur_Yatra_2003_28_-_Lecture_at_Gaudiya_Math_Day-06_Govinda_Prabhu.mp3</v>
      </c>
      <c r="D4788" s="11"/>
      <c r="E4788" s="11"/>
    </row>
    <row r="4789" spans="1:5">
      <c r="A4789" s="12" t="s">
        <v>12464</v>
      </c>
      <c r="B4789" s="12" t="s">
        <v>17297</v>
      </c>
      <c r="C4789" s="13" t="str">
        <f>HYPERLINK("https://audio.iskcondesiretree.com/02_-_ISKCON_Swamis/ISKCON_Swamis_-_R_to_Y/His_Holiness_Radhanath_Swami/Lectures/02_-_Yatra/2003_Mayapur_yatra/Mayapur_Yatra_2003_29_-_Lecture_at_Gaudiya_Math_Day-06_Radha_Gopinath_Prabhu.mp3", "Mayapur_Yatra_2003_29_-_Lecture_at_Gaudiya_Math_Day-06_Radha_Gopinath_Prabhu.mp3")</f>
        <v>Mayapur_Yatra_2003_29_-_Lecture_at_Gaudiya_Math_Day-06_Radha_Gopinath_Prabhu.mp3</v>
      </c>
      <c r="D4789" s="11"/>
      <c r="E4789" s="11"/>
    </row>
    <row r="4790" spans="1:5">
      <c r="A4790" s="12" t="s">
        <v>12464</v>
      </c>
      <c r="B4790" s="12" t="s">
        <v>17298</v>
      </c>
      <c r="C4790" s="13" t="str">
        <f>HYPERLINK("https://audio.iskcondesiretree.com/02_-_ISKCON_Swamis/ISKCON_Swamis_-_R_to_Y/His_Holiness_Radhanath_Swami/Lectures/02_-_Yatra/2003_Mayapur_yatra/Mayapur_Yatra_2003_30_-_Lecture_at_Gaudiya_Math_Day-06_Pankajanghri_Prabhu.mp3", "Mayapur_Yatra_2003_30_-_Lecture_at_Gaudiya_Math_Day-06_Pankajanghri_Prabhu.mp3")</f>
        <v>Mayapur_Yatra_2003_30_-_Lecture_at_Gaudiya_Math_Day-06_Pankajanghri_Prabhu.mp3</v>
      </c>
      <c r="D4790" s="11"/>
      <c r="E4790" s="11"/>
    </row>
    <row r="4791" spans="1:5">
      <c r="A4791" s="12" t="s">
        <v>12464</v>
      </c>
      <c r="B4791" s="12" t="s">
        <v>17299</v>
      </c>
      <c r="C4791" s="13" t="str">
        <f>HYPERLINK("https://audio.iskcondesiretree.com/02_-_ISKCON_Swamis/ISKCON_Swamis_-_R_to_Y/His_Holiness_Radhanath_Swami/Lectures/02_-_Yatra/2003_Mayapur_yatra/Mayapur_Yatra_2003_31_-_Lecture_at_Srivas_Angan-1_Day-06_Radhanath_Swami.mp3", "Mayapur_Yatra_2003_31_-_Lecture_at_Srivas_Angan-1_Day-06_Radhanath_Swami.mp3")</f>
        <v>Mayapur_Yatra_2003_31_-_Lecture_at_Srivas_Angan-1_Day-06_Radhanath_Swami.mp3</v>
      </c>
      <c r="D4791" s="11"/>
      <c r="E4791" s="11"/>
    </row>
    <row r="4792" spans="1:5">
      <c r="A4792" s="12" t="s">
        <v>12464</v>
      </c>
      <c r="B4792" s="12" t="s">
        <v>17300</v>
      </c>
      <c r="C4792" s="13" t="str">
        <f>HYPERLINK("https://audio.iskcondesiretree.com/02_-_ISKCON_Swamis/ISKCON_Swamis_-_R_to_Y/His_Holiness_Radhanath_Swami/Lectures/02_-_Yatra/2003_Mayapur_yatra/Mayapur_Yatra_2003_32_-_Lecture_at_Srivas_Angan-2_Day-06_Radhanath_Swami.mp3", "Mayapur_Yatra_2003_32_-_Lecture_at_Srivas_Angan-2_Day-06_Radhanath_Swami.mp3")</f>
        <v>Mayapur_Yatra_2003_32_-_Lecture_at_Srivas_Angan-2_Day-06_Radhanath_Swami.mp3</v>
      </c>
      <c r="D4792" s="11"/>
      <c r="E4792" s="11"/>
    </row>
    <row r="4793" spans="1:5">
      <c r="A4793" s="12" t="s">
        <v>12464</v>
      </c>
      <c r="B4793" s="12" t="s">
        <v>17301</v>
      </c>
      <c r="C4793" s="13" t="str">
        <f>HYPERLINK("https://audio.iskcondesiretree.com/02_-_ISKCON_Swamis/ISKCON_Swamis_-_R_to_Y/His_Holiness_Radhanath_Swami/Lectures/02_-_Yatra/2003_Mayapur_yatra/Mayapur_Yatra_2003_33_-_Lecture_at_Srivas_Angan-3_Day-06_Radhanath_Swami.mp3", "Mayapur_Yatra_2003_33_-_Lecture_at_Srivas_Angan-3_Day-06_Radhanath_Swami.mp3")</f>
        <v>Mayapur_Yatra_2003_33_-_Lecture_at_Srivas_Angan-3_Day-06_Radhanath_Swami.mp3</v>
      </c>
      <c r="D4793" s="11"/>
      <c r="E4793" s="11"/>
    </row>
    <row r="4794" spans="1:5">
      <c r="A4794" s="12" t="s">
        <v>12464</v>
      </c>
      <c r="B4794" s="12" t="s">
        <v>17302</v>
      </c>
      <c r="C4794" s="13" t="str">
        <f>HYPERLINK("https://audio.iskcondesiretree.com/02_-_ISKCON_Swamis/ISKCON_Swamis_-_R_to_Y/His_Holiness_Radhanath_Swami/Lectures/02_-_Yatra/2003_Mayapur_yatra/Mayapur_Yatra_2003_34_-_Lecture_at_Srivas_Angan-4_Day-06_Radhanath_Swami.mp3", "Mayapur_Yatra_2003_34_-_Lecture_at_Srivas_Angan-4_Day-06_Radhanath_Swami.mp3")</f>
        <v>Mayapur_Yatra_2003_34_-_Lecture_at_Srivas_Angan-4_Day-06_Radhanath_Swami.mp3</v>
      </c>
      <c r="D4794" s="11"/>
      <c r="E4794" s="11"/>
    </row>
    <row r="4795" spans="1:5">
      <c r="A4795" s="12" t="s">
        <v>12464</v>
      </c>
      <c r="B4795" s="12" t="s">
        <v>17303</v>
      </c>
      <c r="C4795" s="13" t="str">
        <f>HYPERLINK("https://audio.iskcondesiretree.com/02_-_ISKCON_Swamis/ISKCON_Swamis_-_R_to_Y/His_Holiness_Radhanath_Swami/Lectures/02_-_Yatra/2003_Mayapur_yatra/Mayapur_Yatra_2003_35_-_Lecture_at_Candrodaya_Mandir-1_Day-07_Radhanath_Swami.mp3", "Mayapur_Yatra_2003_35_-_Lecture_at_Candrodaya_Mandir-1_Day-07_Radhanath_Swami.mp3")</f>
        <v>Mayapur_Yatra_2003_35_-_Lecture_at_Candrodaya_Mandir-1_Day-07_Radhanath_Swami.mp3</v>
      </c>
      <c r="D4795" s="11"/>
      <c r="E4795" s="11"/>
    </row>
    <row r="4796" spans="1:5">
      <c r="A4796" s="12" t="s">
        <v>12464</v>
      </c>
      <c r="B4796" s="12" t="s">
        <v>17304</v>
      </c>
      <c r="C4796" s="13" t="str">
        <f>HYPERLINK("https://audio.iskcondesiretree.com/02_-_ISKCON_Swamis/ISKCON_Swamis_-_R_to_Y/His_Holiness_Radhanath_Swami/Lectures/02_-_Yatra/2003_Mayapur_yatra/Mayapur_Yatra_2003_36_-_Lecture_at_Candrodaya_Mandir-1_Day-07_Radhanath_Swami.mp3", "Mayapur_Yatra_2003_36_-_Lecture_at_Candrodaya_Mandir-1_Day-07_Radhanath_Swami.mp3")</f>
        <v>Mayapur_Yatra_2003_36_-_Lecture_at_Candrodaya_Mandir-1_Day-07_Radhanath_Swami.mp3</v>
      </c>
      <c r="D4796" s="11"/>
      <c r="E4796" s="11"/>
    </row>
    <row r="4797" spans="1:5">
      <c r="A4797" s="12" t="s">
        <v>12464</v>
      </c>
      <c r="B4797" s="12" t="s">
        <v>17305</v>
      </c>
      <c r="C4797" s="13" t="str">
        <f>HYPERLINK("https://audio.iskcondesiretree.com/02_-_ISKCON_Swamis/ISKCON_Swamis_-_R_to_Y/His_Holiness_Radhanath_Swami/Lectures/02_-_Yatra/2003_Mayapur_yatra/Mayapur_Yatra_2003_37_-_Lecture_at_Candrodaya_Mandir-2_Day-07_Radhanath_Swami.mp3", "Mayapur_Yatra_2003_37_-_Lecture_at_Candrodaya_Mandir-2_Day-07_Radhanath_Swami.mp3")</f>
        <v>Mayapur_Yatra_2003_37_-_Lecture_at_Candrodaya_Mandir-2_Day-07_Radhanath_Swami.mp3</v>
      </c>
      <c r="D4797" s="11"/>
      <c r="E4797" s="11"/>
    </row>
    <row r="4798" spans="1:5">
      <c r="A4798" s="12" t="s">
        <v>12464</v>
      </c>
      <c r="B4798" s="12" t="s">
        <v>17306</v>
      </c>
      <c r="C4798" s="13" t="str">
        <f>HYPERLINK("https://audio.iskcondesiretree.com/02_-_ISKCON_Swamis/ISKCON_Swamis_-_R_to_Y/His_Holiness_Radhanath_Swami/Lectures/02_-_Yatra/2003_Mayapur_yatra/Mayapur_Yatra_2003_38_-_Lecture_at_Gada_Garden_Day-07_Ramesh_Chandra_Goswamiji.mp3", "Mayapur_Yatra_2003_38_-_Lecture_at_Gada_Garden_Day-07_Ramesh_Chandra_Goswamiji.mp3")</f>
        <v>Mayapur_Yatra_2003_38_-_Lecture_at_Gada_Garden_Day-07_Ramesh_Chandra_Goswamiji.mp3</v>
      </c>
      <c r="D4798" s="11"/>
      <c r="E4798" s="11"/>
    </row>
    <row r="4799" spans="1:5">
      <c r="A4799" s="12" t="s">
        <v>12464</v>
      </c>
      <c r="B4799" s="12" t="s">
        <v>17307</v>
      </c>
      <c r="C4799" s="13" t="str">
        <f>HYPERLINK("https://audio.iskcondesiretree.com/02_-_ISKCON_Swamis/ISKCON_Swamis_-_R_to_Y/His_Holiness_Radhanath_Swami/Lectures/02_-_Yatra/2003_Mayapur_yatra/Mayapur_Yatra_2003_39_-_Srimad_Bhagavatam_Class-01_-_2001-02-20_Day-08_Radhanath_Swami.mp3", "Mayapur_Yatra_2003_39_-_Srimad_Bhagavatam_Class-01_-_2001-02-20_Day-08_Radhanath_Swami.mp3")</f>
        <v>Mayapur_Yatra_2003_39_-_Srimad_Bhagavatam_Class-01_-_2001-02-20_Day-08_Radhanath_Swami.mp3</v>
      </c>
      <c r="D4799" s="11"/>
      <c r="E4799" s="11"/>
    </row>
    <row r="4800" spans="1:5">
      <c r="A4800" s="12" t="s">
        <v>12464</v>
      </c>
      <c r="B4800" s="12" t="s">
        <v>17308</v>
      </c>
      <c r="C4800" s="13" t="str">
        <f>HYPERLINK("https://audio.iskcondesiretree.com/02_-_ISKCON_Swamis/ISKCON_Swamis_-_R_to_Y/His_Holiness_Radhanath_Swami/Lectures/02_-_Yatra/2003_Mayapur_yatra/Mayapur_Yatra_2003_40_-_Srimad_Bhagavatam_Class-02_-_2001-02-10_Day-08_Radhanath_Swami.mp3", "Mayapur_Yatra_2003_40_-_Srimad_Bhagavatam_Class-02_-_2001-02-10_Day-08_Radhanath_Swami.mp3")</f>
        <v>Mayapur_Yatra_2003_40_-_Srimad_Bhagavatam_Class-02_-_2001-02-10_Day-08_Radhanath_Swami.mp3</v>
      </c>
      <c r="D4800" s="11"/>
      <c r="E4800" s="11"/>
    </row>
    <row r="4801" spans="1:5">
      <c r="A4801" s="12" t="s">
        <v>12464</v>
      </c>
      <c r="B4801" s="12" t="s">
        <v>17309</v>
      </c>
      <c r="C4801" s="13" t="str">
        <f>HYPERLINK("https://audio.iskcondesiretree.com/02_-_ISKCON_Swamis/ISKCON_Swamis_-_R_to_Y/His_Holiness_Radhanath_Swami/Lectures/02_-_Yatra/2003_Mayapur_yatra/Mayapur_Yatra_2003_41_-_Lecture_at_Jagannath_Temple-01_Day-08_Radhanath_Swami_Jananivas_Pr_Pankajanghri_Pr.mp3", "Mayapur_Yatra_2003_41_-_Lecture_at_Jagannath_Temple-01_Day-08_Radhanath_Swami_Jananivas_Pr_Pankajanghri_Pr.mp3")</f>
        <v>Mayapur_Yatra_2003_41_-_Lecture_at_Jagannath_Temple-01_Day-08_Radhanath_Swami_Jananivas_Pr_Pankajanghri_Pr.mp3</v>
      </c>
      <c r="D4801" s="11"/>
      <c r="E4801" s="11"/>
    </row>
    <row r="4802" spans="1:5">
      <c r="A4802" s="12" t="s">
        <v>12464</v>
      </c>
      <c r="B4802" s="12" t="s">
        <v>17310</v>
      </c>
      <c r="C4802" s="13" t="str">
        <f>HYPERLINK("https://audio.iskcondesiretree.com/02_-_ISKCON_Swamis/ISKCON_Swamis_-_R_to_Y/His_Holiness_Radhanath_Swami/Lectures/02_-_Yatra/2003_Mayapur_yatra/Mayapur_Yatra_2003_42_-_Lecture_at_Jagannath_Temple-02_Day-08_Jananivas_Prabhu_%26_Pankajanghri_Prabhu.mp3", "Mayapur_Yatra_2003_42_-_Lecture_at_Jagannath_Temple-02_Day-08_Jananivas_Prabhu_%26_Pankajanghri_Prabhu.mp3")</f>
        <v>Mayapur_Yatra_2003_42_-_Lecture_at_Jagannath_Temple-02_Day-08_Jananivas_Prabhu_%26_Pankajanghri_Prabhu.mp3</v>
      </c>
      <c r="D4802" s="11"/>
      <c r="E4802" s="11"/>
    </row>
    <row r="4803" spans="1:5">
      <c r="A4803" s="12" t="s">
        <v>12464</v>
      </c>
      <c r="B4803" s="12" t="s">
        <v>17311</v>
      </c>
      <c r="C4803" s="13" t="str">
        <f>HYPERLINK("https://audio.iskcondesiretree.com/02_-_ISKCON_Swamis/ISKCON_Swamis_-_R_to_Y/His_Holiness_Radhanath_Swami/Lectures/02_-_Yatra/2003_Mayapur_yatra/Mayapur_Yatra_2003_43_-_Lecture_at_Sridhar_Aangan_Day-08_Radhanath_Swami.mp3", "Mayapur_Yatra_2003_43_-_Lecture_at_Sridhar_Aangan_Day-08_Radhanath_Swami.mp3")</f>
        <v>Mayapur_Yatra_2003_43_-_Lecture_at_Sridhar_Aangan_Day-08_Radhanath_Swami.mp3</v>
      </c>
      <c r="D4803" s="11"/>
      <c r="E4803" s="11"/>
    </row>
    <row r="4804" spans="1:5">
      <c r="A4804" s="12" t="s">
        <v>12464</v>
      </c>
      <c r="B4804" s="12" t="s">
        <v>17312</v>
      </c>
      <c r="C4804" s="13" t="str">
        <f>HYPERLINK("https://audio.iskcondesiretree.com/02_-_ISKCON_Swamis/ISKCON_Swamis_-_R_to_Y/His_Holiness_Radhanath_Swami/Lectures/02_-_Yatra/2003_Mayapur_yatra/Mayapur_Yatra_2003_44_-_Lecture_at_Chand_Kazi_Samadhi_Day-08_Radhanath_Swami.mp3", "Mayapur_Yatra_2003_44_-_Lecture_at_Chand_Kazi_Samadhi_Day-08_Radhanath_Swami.mp3")</f>
        <v>Mayapur_Yatra_2003_44_-_Lecture_at_Chand_Kazi_Samadhi_Day-08_Radhanath_Swami.mp3</v>
      </c>
      <c r="D4804" s="11"/>
      <c r="E4804" s="11"/>
    </row>
    <row r="4805" spans="1:5">
      <c r="A4805" s="12" t="s">
        <v>12464</v>
      </c>
      <c r="B4805" s="12" t="s">
        <v>17313</v>
      </c>
      <c r="C4805" s="13" t="str">
        <f>HYPERLINK("https://audio.iskcondesiretree.com/02_-_ISKCON_Swamis/ISKCON_Swamis_-_R_to_Y/His_Holiness_Radhanath_Swami/Lectures/02_-_Yatra/2003_Mayapur_yatra/Mayapur_Yatra_2003_45_-_Lecture_at_Mamgacchi_Day-09_Bhakti_Caru_Swami.mp3", "Mayapur_Yatra_2003_45_-_Lecture_at_Mamgacchi_Day-09_Bhakti_Caru_Swami.mp3")</f>
        <v>Mayapur_Yatra_2003_45_-_Lecture_at_Mamgacchi_Day-09_Bhakti_Caru_Swami.mp3</v>
      </c>
      <c r="D4805" s="11"/>
      <c r="E4805" s="11"/>
    </row>
    <row r="4806" spans="1:5">
      <c r="A4806" s="12" t="s">
        <v>12464</v>
      </c>
      <c r="B4806" s="12" t="s">
        <v>17314</v>
      </c>
      <c r="C4806" s="13" t="str">
        <f>HYPERLINK("https://audio.iskcondesiretree.com/02_-_ISKCON_Swamis/ISKCON_Swamis_-_R_to_Y/His_Holiness_Radhanath_Swami/Lectures/02_-_Yatra/2003_Mayapur_yatra/Mayapur_Yatra_2003_46_-_Lecture_at_Mamgacchi_Day-09_Radhanath_Swami.mp3", "Mayapur_Yatra_2003_46_-_Lecture_at_Mamgacchi_Day-09_Radhanath_Swami.mp3")</f>
        <v>Mayapur_Yatra_2003_46_-_Lecture_at_Mamgacchi_Day-09_Radhanath_Swami.mp3</v>
      </c>
      <c r="D4806" s="11"/>
      <c r="E4806" s="11"/>
    </row>
    <row r="4807" spans="1:5">
      <c r="A4807" s="12" t="s">
        <v>12464</v>
      </c>
      <c r="B4807" s="12" t="s">
        <v>17315</v>
      </c>
      <c r="C4807" s="13" t="str">
        <f>HYPERLINK("https://audio.iskcondesiretree.com/02_-_ISKCON_Swamis/ISKCON_Swamis_-_R_to_Y/His_Holiness_Radhanath_Swami/Lectures/02_-_Yatra/2003_Mayapur_yatra/Mayapur_Yatra_2003_47_-_Lecture_at_Mamgacchi_Day-09_Bhakti_Caru_Swami.mp3", "Mayapur_Yatra_2003_47_-_Lecture_at_Mamgacchi_Day-09_Bhakti_Caru_Swami.mp3")</f>
        <v>Mayapur_Yatra_2003_47_-_Lecture_at_Mamgacchi_Day-09_Bhakti_Caru_Swami.mp3</v>
      </c>
      <c r="D4807" s="11"/>
      <c r="E4807" s="11"/>
    </row>
    <row r="4808" spans="1:5">
      <c r="A4808" s="12" t="s">
        <v>12464</v>
      </c>
      <c r="B4808" s="12" t="s">
        <v>17316</v>
      </c>
      <c r="C4808" s="13" t="str">
        <f>HYPERLINK("https://audio.iskcondesiretree.com/02_-_ISKCON_Swamis/ISKCON_Swamis_-_R_to_Y/His_Holiness_Radhanath_Swami/Lectures/02_-_Yatra/2003_Mayapur_yatra/Mayapur_Yatra_2003_48_-_Lecture_at_Sarang_Thakur%27s_House_Day-09_Krishnananda_Prabhu.mp3", "Mayapur_Yatra_2003_48_-_Lecture_at_Sarang_Thakur%27s_House_Day-09_Krishnananda_Prabhu.mp3")</f>
        <v>Mayapur_Yatra_2003_48_-_Lecture_at_Sarang_Thakur%27s_House_Day-09_Krishnananda_Prabhu.mp3</v>
      </c>
      <c r="D4808" s="11"/>
      <c r="E4808" s="11"/>
    </row>
    <row r="4809" spans="1:5">
      <c r="A4809" s="12" t="s">
        <v>12464</v>
      </c>
      <c r="B4809" s="12" t="s">
        <v>17317</v>
      </c>
      <c r="C4809" s="13" t="str">
        <f>HYPERLINK("https://audio.iskcondesiretree.com/02_-_ISKCON_Swamis/ISKCON_Swamis_-_R_to_Y/His_Holiness_Radhanath_Swami/Lectures/02_-_Yatra/2003_Mayapur_yatra/Mayapur_Yatra_2003_49_-_Lecture_at_Vidyanagar_Day-09_Krishnananda_Prabhu.mp3", "Mayapur_Yatra_2003_49_-_Lecture_at_Vidyanagar_Day-09_Krishnananda_Prabhu.mp3")</f>
        <v>Mayapur_Yatra_2003_49_-_Lecture_at_Vidyanagar_Day-09_Krishnananda_Prabhu.mp3</v>
      </c>
      <c r="D4809" s="11"/>
      <c r="E4809" s="11"/>
    </row>
    <row r="4810" spans="1:5">
      <c r="A4810" s="12" t="s">
        <v>12464</v>
      </c>
      <c r="B4810" s="12" t="e">
        <v>#VALUE!</v>
      </c>
      <c r="C4810" s="13" t="e">
        <f>HYPERLINK("https://audio.iskcondesiretree.com/02_-_ISKCON_Swamis/ISKCON_Swamis_-_R_to_Y/His_Holiness_Radhanath_Swami/Lectures/02_-_Yatra/2003_Mayapur_yatra/Mayapur_Yatra_2003_50_-_Lecture_at_Champahati_Day-09_Radhanath_Swami_Jananivas_Prabhu_%26_Bhakti_Caru_Swami.mp"&amp;"3", "Mayapur_Yatra_2003_50_-_Lecture_at_Champahati_Day-09_Radhanath_Swami_Jananivas_Prabhu_%26_Bhakti_Caru_Swami.mp3")</f>
        <v>#VALUE!</v>
      </c>
      <c r="D4810" s="11"/>
      <c r="E4810" s="11"/>
    </row>
    <row r="4811" spans="1:5">
      <c r="A4811" s="12" t="s">
        <v>12464</v>
      </c>
      <c r="B4811" s="12" t="s">
        <v>17318</v>
      </c>
      <c r="C4811" s="13" t="str">
        <f>HYPERLINK("https://audio.iskcondesiretree.com/02_-_ISKCON_Swamis/ISKCON_Swamis_-_R_to_Y/His_Holiness_Radhanath_Swami/Lectures/02_-_Yatra/2003_Mayapur_yatra/Mayapur_Yatra_2003_51_-_Lecture_at_Bankim_Rai_Day-10_Radhanath_Swami.mp3", "Mayapur_Yatra_2003_51_-_Lecture_at_Bankim_Rai_Day-10_Radhanath_Swami.mp3")</f>
        <v>Mayapur_Yatra_2003_51_-_Lecture_at_Bankim_Rai_Day-10_Radhanath_Swami.mp3</v>
      </c>
      <c r="D4811" s="11"/>
      <c r="E4811" s="11"/>
    </row>
    <row r="4812" spans="1:5">
      <c r="A4812" s="12" t="s">
        <v>12464</v>
      </c>
      <c r="B4812" s="12" t="s">
        <v>17319</v>
      </c>
      <c r="C4812" s="13" t="str">
        <f>HYPERLINK("https://audio.iskcondesiretree.com/02_-_ISKCON_Swamis/ISKCON_Swamis_-_R_to_Y/His_Holiness_Radhanath_Swami/Lectures/02_-_Yatra/2003_Mayapur_yatra/Mayapur_Yatra_2003_52_-_Lecture_at_Kadamba_Kanini_Day-10_Radhanath_Swami.mp3", "Mayapur_Yatra_2003_52_-_Lecture_at_Kadamba_Kanini_Day-10_Radhanath_Swami.mp3")</f>
        <v>Mayapur_Yatra_2003_52_-_Lecture_at_Kadamba_Kanini_Day-10_Radhanath_Swami.mp3</v>
      </c>
      <c r="D4812" s="11"/>
      <c r="E4812" s="11"/>
    </row>
    <row r="4813" spans="1:5">
      <c r="A4813" s="12" t="s">
        <v>12464</v>
      </c>
      <c r="B4813" s="12" t="s">
        <v>17320</v>
      </c>
      <c r="C4813" s="13" t="str">
        <f>HYPERLINK("https://audio.iskcondesiretree.com/02_-_ISKCON_Swamis/ISKCON_Swamis_-_R_to_Y/His_Holiness_Radhanath_Swami/Lectures/02_-_Yatra/2003_Mayapur_yatra/Mayapur_Yatra_2003_53_-_Lecture_at_Ekchakra-1_Day-10_Radhanath_Swami.mp3", "Mayapur_Yatra_2003_53_-_Lecture_at_Ekchakra-1_Day-10_Radhanath_Swami.mp3")</f>
        <v>Mayapur_Yatra_2003_53_-_Lecture_at_Ekchakra-1_Day-10_Radhanath_Swami.mp3</v>
      </c>
      <c r="D4813" s="11"/>
      <c r="E4813" s="11"/>
    </row>
    <row r="4814" spans="1:5">
      <c r="A4814" s="12" t="s">
        <v>12464</v>
      </c>
      <c r="B4814" s="12" t="s">
        <v>17321</v>
      </c>
      <c r="C4814" s="13" t="str">
        <f>HYPERLINK("https://audio.iskcondesiretree.com/02_-_ISKCON_Swamis/ISKCON_Swamis_-_R_to_Y/His_Holiness_Radhanath_Swami/Lectures/02_-_Yatra/2003_Mayapur_yatra/Mayapur_Yatra_2003_54_-_Lecture_at_Ekchakra-2_Day-10_Radhanath_Swami.mp3", "Mayapur_Yatra_2003_54_-_Lecture_at_Ekchakra-2_Day-10_Radhanath_Swami.mp3")</f>
        <v>Mayapur_Yatra_2003_54_-_Lecture_at_Ekchakra-2_Day-10_Radhanath_Swami.mp3</v>
      </c>
      <c r="D4814" s="11"/>
      <c r="E4814" s="11"/>
    </row>
    <row r="4815" spans="1:5">
      <c r="A4815" s="12" t="s">
        <v>12464</v>
      </c>
      <c r="B4815" s="12" t="s">
        <v>17322</v>
      </c>
      <c r="C4815" s="13" t="str">
        <f>HYPERLINK("https://audio.iskcondesiretree.com/02_-_ISKCON_Swamis/ISKCON_Swamis_-_R_to_Y/His_Holiness_Radhanath_Swami/Lectures/02_-_Yatra/2003_Mayapur_yatra/Mayapur_Yatra_2003_55_-_Lecture_at_Ekchakra-3_Day-10_Radhanath_Swami.mp3", "Mayapur_Yatra_2003_55_-_Lecture_at_Ekchakra-3_Day-10_Radhanath_Swami.mp3")</f>
        <v>Mayapur_Yatra_2003_55_-_Lecture_at_Ekchakra-3_Day-10_Radhanath_Swami.mp3</v>
      </c>
      <c r="D4815" s="11"/>
      <c r="E4815" s="11"/>
    </row>
    <row r="4816" spans="1:5">
      <c r="A4816" s="12" t="s">
        <v>12464</v>
      </c>
      <c r="B4816" s="12" t="s">
        <v>17323</v>
      </c>
      <c r="C4816" s="13" t="str">
        <f>HYPERLINK("https://audio.iskcondesiretree.com/02_-_ISKCON_Swamis/ISKCON_Swamis_-_R_to_Y/His_Holiness_Radhanath_Swami/Lectures/02_-_Yatra/2003_Mayapur_yatra/Mayapur_Yatra_2003_56_-_Lecture_at_Murari_Gupta%27s_House-1_Day-11_Krishnananda_Prabhu.mp3", "Mayapur_Yatra_2003_56_-_Lecture_at_Murari_Gupta%27s_House-1_Day-11_Krishnananda_Prabhu.mp3")</f>
        <v>Mayapur_Yatra_2003_56_-_Lecture_at_Murari_Gupta%27s_House-1_Day-11_Krishnananda_Prabhu.mp3</v>
      </c>
      <c r="D4816" s="11"/>
      <c r="E4816" s="11"/>
    </row>
    <row r="4817" spans="1:5">
      <c r="A4817" s="12" t="s">
        <v>12464</v>
      </c>
      <c r="B4817" s="12" t="s">
        <v>17324</v>
      </c>
      <c r="C4817" s="13" t="str">
        <f>HYPERLINK("https://audio.iskcondesiretree.com/02_-_ISKCON_Swamis/ISKCON_Swamis_-_R_to_Y/His_Holiness_Radhanath_Swami/Lectures/02_-_Yatra/2003_Mayapur_yatra/Mayapur_Yatra_2003_57_-_Lecture_at_Murari_Gupta%27s_House-2_Day-11_Radhanath_Swami.mp3", "Mayapur_Yatra_2003_57_-_Lecture_at_Murari_Gupta%27s_House-2_Day-11_Radhanath_Swami.mp3")</f>
        <v>Mayapur_Yatra_2003_57_-_Lecture_at_Murari_Gupta%27s_House-2_Day-11_Radhanath_Swami.mp3</v>
      </c>
      <c r="D4817" s="11"/>
      <c r="E4817" s="11"/>
    </row>
    <row r="4818" spans="1:5">
      <c r="A4818" s="12" t="s">
        <v>12464</v>
      </c>
      <c r="B4818" s="12" t="s">
        <v>17325</v>
      </c>
      <c r="C4818" s="13" t="str">
        <f>HYPERLINK("https://audio.iskcondesiretree.com/02_-_ISKCON_Swamis/ISKCON_Swamis_-_R_to_Y/His_Holiness_Radhanath_Swami/Lectures/02_-_Yatra/2003_Mayapur_yatra/Mayapur_Yatra_2003_58_-_Lecture_at_Gada_Garden-1_Day-11_Radhanath_Swami.mp3", "Mayapur_Yatra_2003_58_-_Lecture_at_Gada_Garden-1_Day-11_Radhanath_Swami.mp3")</f>
        <v>Mayapur_Yatra_2003_58_-_Lecture_at_Gada_Garden-1_Day-11_Radhanath_Swami.mp3</v>
      </c>
      <c r="D4818" s="11"/>
      <c r="E4818" s="11"/>
    </row>
    <row r="4819" spans="1:5">
      <c r="A4819" s="12" t="s">
        <v>12464</v>
      </c>
      <c r="B4819" s="12" t="s">
        <v>17326</v>
      </c>
      <c r="C4819" s="13" t="str">
        <f>HYPERLINK("https://audio.iskcondesiretree.com/02_-_ISKCON_Swamis/ISKCON_Swamis_-_R_to_Y/His_Holiness_Radhanath_Swami/Lectures/02_-_Yatra/2003_Mayapur_yatra/Mayapur_Yatra_2003_59_-_Lecture_at_Gada_Garden-2_Day-11_Radhanath_Swami.mp3", "Mayapur_Yatra_2003_59_-_Lecture_at_Gada_Garden-2_Day-11_Radhanath_Swami.mp3")</f>
        <v>Mayapur_Yatra_2003_59_-_Lecture_at_Gada_Garden-2_Day-11_Radhanath_Swami.mp3</v>
      </c>
      <c r="D4819" s="11"/>
      <c r="E4819" s="11"/>
    </row>
    <row r="4820" spans="1:5">
      <c r="A4820" s="12" t="s">
        <v>12464</v>
      </c>
      <c r="B4820" s="12" t="s">
        <v>17327</v>
      </c>
      <c r="C4820" s="13" t="str">
        <f>HYPERLINK("https://audio.iskcondesiretree.com/02_-_ISKCON_Swamis/ISKCON_Swamis_-_R_to_Y/His_Holiness_Radhanath_Swami/Lectures/02_-_Yatra/2003_Mayapur_yatra/Mayapur_Yatra_2003_60_-_Lecture_at_Phulia-1_Day-12_Radhanath_Swami.mp3", "Mayapur_Yatra_2003_60_-_Lecture_at_Phulia-1_Day-12_Radhanath_Swami.mp3")</f>
        <v>Mayapur_Yatra_2003_60_-_Lecture_at_Phulia-1_Day-12_Radhanath_Swami.mp3</v>
      </c>
      <c r="D4820" s="11"/>
      <c r="E4820" s="11"/>
    </row>
    <row r="4821" spans="1:5">
      <c r="A4821" s="12" t="s">
        <v>12464</v>
      </c>
      <c r="B4821" s="12" t="s">
        <v>17328</v>
      </c>
      <c r="C4821" s="13" t="str">
        <f>HYPERLINK("https://audio.iskcondesiretree.com/02_-_ISKCON_Swamis/ISKCON_Swamis_-_R_to_Y/His_Holiness_Radhanath_Swami/Lectures/02_-_Yatra/2003_Mayapur_yatra/Mayapur_Yatra_2003_61_-_Lecture_at_Phulia-2_Day-12_-_Radhanath_Swami.mp3", "Mayapur_Yatra_2003_61_-_Lecture_at_Phulia-2_Day-12_-_Radhanath_Swami.mp3")</f>
        <v>Mayapur_Yatra_2003_61_-_Lecture_at_Phulia-2_Day-12_-_Radhanath_Swami.mp3</v>
      </c>
      <c r="D4821" s="11"/>
      <c r="E4821" s="11"/>
    </row>
    <row r="4822" spans="1:5">
      <c r="A4822" s="12" t="s">
        <v>12464</v>
      </c>
      <c r="B4822" s="12" t="s">
        <v>17329</v>
      </c>
      <c r="C4822" s="13" t="str">
        <f>HYPERLINK("https://audio.iskcondesiretree.com/02_-_ISKCON_Swamis/ISKCON_Swamis_-_R_to_Y/His_Holiness_Radhanath_Swami/Lectures/02_-_Yatra/2003_Mayapur_yatra/Mayapur_Yatra_2003_62_-_Lecture_at_Ambika_Kalna_Day-12_Radhanath_Swami.mp3", "Mayapur_Yatra_2003_62_-_Lecture_at_Ambika_Kalna_Day-12_Radhanath_Swami.mp3")</f>
        <v>Mayapur_Yatra_2003_62_-_Lecture_at_Ambika_Kalna_Day-12_Radhanath_Swami.mp3</v>
      </c>
      <c r="D4822" s="11"/>
      <c r="E4822" s="11"/>
    </row>
    <row r="4823" spans="1:5">
      <c r="A4823" s="12" t="s">
        <v>12464</v>
      </c>
      <c r="B4823" s="12" t="s">
        <v>17330</v>
      </c>
      <c r="C4823" s="13" t="str">
        <f>HYPERLINK("https://audio.iskcondesiretree.com/02_-_ISKCON_Swamis/ISKCON_Swamis_-_R_to_Y/His_Holiness_Radhanath_Swami/Lectures/02_-_Yatra/2003_Mayapur_yatra/Mayapur_Yatra_2003_63_-_Lecture_at_Shantipur-1_Day-12_Radhanath_Swami.mp3", "Mayapur_Yatra_2003_63_-_Lecture_at_Shantipur-1_Day-12_Radhanath_Swami.mp3")</f>
        <v>Mayapur_Yatra_2003_63_-_Lecture_at_Shantipur-1_Day-12_Radhanath_Swami.mp3</v>
      </c>
      <c r="D4823" s="11"/>
      <c r="E4823" s="11"/>
    </row>
    <row r="4824" spans="1:5">
      <c r="A4824" s="12" t="s">
        <v>12464</v>
      </c>
      <c r="B4824" s="12" t="s">
        <v>17331</v>
      </c>
      <c r="C4824" s="13" t="str">
        <f>HYPERLINK("https://audio.iskcondesiretree.com/02_-_ISKCON_Swamis/ISKCON_Swamis_-_R_to_Y/His_Holiness_Radhanath_Swami/Lectures/02_-_Yatra/2003_Mayapur_yatra/Mayapur_Yatra_2003_64_-_Lecture_at_Shantipur-2_Day-12_Radhanath_Swami.mp3", "Mayapur_Yatra_2003_64_-_Lecture_at_Shantipur-2_Day-12_Radhanath_Swami.mp3")</f>
        <v>Mayapur_Yatra_2003_64_-_Lecture_at_Shantipur-2_Day-12_Radhanath_Swami.mp3</v>
      </c>
      <c r="D4824" s="11"/>
      <c r="E4824" s="11"/>
    </row>
    <row r="4825" spans="1:5">
      <c r="A4825" s="12" t="s">
        <v>12464</v>
      </c>
      <c r="B4825" s="12" t="s">
        <v>17332</v>
      </c>
      <c r="C4825" s="13" t="str">
        <f>HYPERLINK("https://audio.iskcondesiretree.com/02_-_ISKCON_Swamis/ISKCON_Swamis_-_R_to_Y/His_Holiness_Radhanath_Swami/Lectures/02_-_Yatra/2004_Bangladesh/Bangladesh_2004_01_-_Lecture_at_Benapole_-_HH_Radhanath_Swami.mp3", "Bangladesh_2004_01_-_Lecture_at_Benapole_-_HH_Radhanath_Swami.mp3")</f>
        <v>Bangladesh_2004_01_-_Lecture_at_Benapole_-_HH_Radhanath_Swami.mp3</v>
      </c>
      <c r="D4825" s="11"/>
      <c r="E4825" s="11"/>
    </row>
    <row r="4826" spans="1:5">
      <c r="A4826" s="12" t="s">
        <v>12464</v>
      </c>
      <c r="B4826" s="12" t="s">
        <v>17333</v>
      </c>
      <c r="C4826" s="13" t="str">
        <f>HYPERLINK("https://audio.iskcondesiretree.com/02_-_ISKCON_Swamis/ISKCON_Swamis_-_R_to_Y/His_Holiness_Radhanath_Swami/Lectures/02_-_Yatra/2004_Bangladesh/Bangladesh_2004_02_-_Lecture_at_Benapole_-_HH_Indradyumna_Swami.mp3", "Bangladesh_2004_02_-_Lecture_at_Benapole_-_HH_Indradyumna_Swami.mp3")</f>
        <v>Bangladesh_2004_02_-_Lecture_at_Benapole_-_HH_Indradyumna_Swami.mp3</v>
      </c>
      <c r="D4826" s="11"/>
      <c r="E4826" s="11"/>
    </row>
    <row r="4827" spans="1:5">
      <c r="A4827" s="12" t="s">
        <v>12464</v>
      </c>
      <c r="B4827" s="12" t="s">
        <v>17334</v>
      </c>
      <c r="C4827" s="13" t="str">
        <f>HYPERLINK("https://audio.iskcondesiretree.com/02_-_ISKCON_Swamis/ISKCON_Swamis_-_R_to_Y/His_Holiness_Radhanath_Swami/Lectures/02_-_Yatra/2004_Bangladesh/Bangladesh_2004_03_-_Lecture_at_Chittagoan_-_HH_Radhanath_Swami.mp3", "Bangladesh_2004_03_-_Lecture_at_Chittagoan_-_HH_Radhanath_Swami.mp3")</f>
        <v>Bangladesh_2004_03_-_Lecture_at_Chittagoan_-_HH_Radhanath_Swami.mp3</v>
      </c>
      <c r="D4827" s="11"/>
      <c r="E4827" s="11"/>
    </row>
    <row r="4828" spans="1:5">
      <c r="A4828" s="12" t="s">
        <v>12464</v>
      </c>
      <c r="B4828" s="12" t="s">
        <v>17335</v>
      </c>
      <c r="C4828" s="13" t="str">
        <f>HYPERLINK("https://audio.iskcondesiretree.com/02_-_ISKCON_Swamis/ISKCON_Swamis_-_R_to_Y/His_Holiness_Radhanath_Swami/Lectures/02_-_Yatra/2004_Bangladesh/Bangladesh_2004_04_-_Lecture_at_Chittagoan_-_HH_Radhanath_Swami.mp3", "Bangladesh_2004_04_-_Lecture_at_Chittagoan_-_HH_Radhanath_Swami.mp3")</f>
        <v>Bangladesh_2004_04_-_Lecture_at_Chittagoan_-_HH_Radhanath_Swami.mp3</v>
      </c>
      <c r="D4828" s="11"/>
      <c r="E4828" s="11"/>
    </row>
    <row r="4829" spans="1:5">
      <c r="A4829" s="12" t="s">
        <v>12464</v>
      </c>
      <c r="B4829" s="12" t="s">
        <v>17336</v>
      </c>
      <c r="C4829" s="13" t="str">
        <f>HYPERLINK("https://audio.iskcondesiretree.com/02_-_ISKCON_Swamis/ISKCON_Swamis_-_R_to_Y/His_Holiness_Radhanath_Swami/Lectures/02_-_Yatra/2004_Bangladesh/Bangladesh_2004_05_-_Lecture_at_Kheturi_Part-01_-_HH_Radhanath_Swami.mp3", "Bangladesh_2004_05_-_Lecture_at_Kheturi_Part-01_-_HH_Radhanath_Swami.mp3")</f>
        <v>Bangladesh_2004_05_-_Lecture_at_Kheturi_Part-01_-_HH_Radhanath_Swami.mp3</v>
      </c>
      <c r="D4829" s="11"/>
      <c r="E4829" s="11"/>
    </row>
    <row r="4830" spans="1:5">
      <c r="A4830" s="12" t="s">
        <v>12464</v>
      </c>
      <c r="B4830" s="12" t="s">
        <v>17337</v>
      </c>
      <c r="C4830" s="13" t="str">
        <f>HYPERLINK("https://audio.iskcondesiretree.com/02_-_ISKCON_Swamis/ISKCON_Swamis_-_R_to_Y/His_Holiness_Radhanath_Swami/Lectures/02_-_Yatra/2004_Bangladesh/Bangladesh_2004_06_-_Lecture_at_Kheturi_Part-02_-_HH_Radhanath_Swami.mp3", "Bangladesh_2004_06_-_Lecture_at_Kheturi_Part-02_-_HH_Radhanath_Swami.mp3")</f>
        <v>Bangladesh_2004_06_-_Lecture_at_Kheturi_Part-02_-_HH_Radhanath_Swami.mp3</v>
      </c>
      <c r="D4830" s="11"/>
      <c r="E4830" s="11"/>
    </row>
    <row r="4831" spans="1:5">
      <c r="A4831" s="12" t="s">
        <v>12464</v>
      </c>
      <c r="B4831" s="12" t="s">
        <v>17338</v>
      </c>
      <c r="C4831" s="13" t="str">
        <f>HYPERLINK("https://audio.iskcondesiretree.com/02_-_ISKCON_Swamis/ISKCON_Swamis_-_R_to_Y/His_Holiness_Radhanath_Swami/Lectures/02_-_Yatra/2004_Bangladesh/Bangladesh_2004_07_-_Lecture_at_Kheturi_Part-03_-_HH_Radhanath_Swami.mp3", "Bangladesh_2004_07_-_Lecture_at_Kheturi_Part-03_-_HH_Radhanath_Swami.mp3")</f>
        <v>Bangladesh_2004_07_-_Lecture_at_Kheturi_Part-03_-_HH_Radhanath_Swami.mp3</v>
      </c>
      <c r="D4831" s="11"/>
      <c r="E4831" s="11"/>
    </row>
    <row r="4832" spans="1:5">
      <c r="A4832" s="12" t="s">
        <v>12464</v>
      </c>
      <c r="B4832" s="12" t="s">
        <v>17339</v>
      </c>
      <c r="C4832" s="13" t="str">
        <f>HYPERLINK("https://audio.iskcondesiretree.com/02_-_ISKCON_Swamis/ISKCON_Swamis_-_R_to_Y/His_Holiness_Radhanath_Swami/Lectures/02_-_Yatra/2004_Bangladesh/Bangladesh_2004_08_-_Lecture_at_Kheturi_Part-04_-_HH_Radhanath_Swami.mp3", "Bangladesh_2004_08_-_Lecture_at_Kheturi_Part-04_-_HH_Radhanath_Swami.mp3")</f>
        <v>Bangladesh_2004_08_-_Lecture_at_Kheturi_Part-04_-_HH_Radhanath_Swami.mp3</v>
      </c>
      <c r="D4832" s="11"/>
      <c r="E4832" s="11"/>
    </row>
    <row r="4833" spans="1:5">
      <c r="A4833" s="12" t="s">
        <v>12464</v>
      </c>
      <c r="B4833" s="12" t="s">
        <v>17340</v>
      </c>
      <c r="C4833" s="13" t="str">
        <f>HYPERLINK("https://audio.iskcondesiretree.com/02_-_ISKCON_Swamis/ISKCON_Swamis_-_R_to_Y/His_Holiness_Radhanath_Swami/Lectures/02_-_Yatra/2004_Bangladesh/Bangladesh_2004_09_-_Lecture_at_Kheturi_Part-05_-_HH_Radhanath_Swami.mp3", "Bangladesh_2004_09_-_Lecture_at_Kheturi_Part-05_-_HH_Radhanath_Swami.mp3")</f>
        <v>Bangladesh_2004_09_-_Lecture_at_Kheturi_Part-05_-_HH_Radhanath_Swami.mp3</v>
      </c>
      <c r="D4833" s="11"/>
      <c r="E4833" s="11"/>
    </row>
    <row r="4834" spans="1:5">
      <c r="A4834" s="12" t="s">
        <v>12464</v>
      </c>
      <c r="B4834" s="12" t="s">
        <v>17341</v>
      </c>
      <c r="C4834" s="13" t="str">
        <f>HYPERLINK("https://audio.iskcondesiretree.com/02_-_ISKCON_Swamis/ISKCON_Swamis_-_R_to_Y/His_Holiness_Radhanath_Swami/Lectures/02_-_Yatra/2004_Bangladesh/Bangladesh_2004_10_-_Ei_Baro_Karuna_Karo_-_HH_Radhanath_Swami_-_Jessore.mp3", "Bangladesh_2004_10_-_Ei_Baro_Karuna_Karo_-_HH_Radhanath_Swami_-_Jessore.mp3")</f>
        <v>Bangladesh_2004_10_-_Ei_Baro_Karuna_Karo_-_HH_Radhanath_Swami_-_Jessore.mp3</v>
      </c>
      <c r="D4834" s="11"/>
      <c r="E4834" s="11"/>
    </row>
    <row r="4835" spans="1:5">
      <c r="A4835" s="12" t="s">
        <v>12464</v>
      </c>
      <c r="B4835" s="12" t="s">
        <v>17342</v>
      </c>
      <c r="C4835" s="13" t="str">
        <f>HYPERLINK("https://audio.iskcondesiretree.com/02_-_ISKCON_Swamis/ISKCON_Swamis_-_R_to_Y/His_Holiness_Radhanath_Swami/Lectures/02_-_Yatra/2004_Bangladesh/Bangladesh_2004_11_-_Hari_Hari_Bifale_Janama_-_HH_Radhanath_Swami_Kheturi.mp3", "Bangladesh_2004_11_-_Hari_Hari_Bifale_Janama_-_HH_Radhanath_Swami_Kheturi.mp3")</f>
        <v>Bangladesh_2004_11_-_Hari_Hari_Bifale_Janama_-_HH_Radhanath_Swami_Kheturi.mp3</v>
      </c>
      <c r="D4835" s="11"/>
      <c r="E4835" s="11"/>
    </row>
    <row r="4836" spans="1:5">
      <c r="A4836" s="12" t="s">
        <v>12464</v>
      </c>
      <c r="B4836" s="12" t="s">
        <v>17343</v>
      </c>
      <c r="C4836" s="13" t="str">
        <f>HYPERLINK("https://audio.iskcondesiretree.com/02_-_ISKCON_Swamis/ISKCON_Swamis_-_R_to_Y/His_Holiness_Radhanath_Swami/Lectures/02_-_Yatra/2004_Bangladesh/Bangladesh_2004_12_-_Sad_Goswamiastakam_-_HH_Radhanath_Swami_Jessore.mp3", "Bangladesh_2004_12_-_Sad_Goswamiastakam_-_HH_Radhanath_Swami_Jessore.mp3")</f>
        <v>Bangladesh_2004_12_-_Sad_Goswamiastakam_-_HH_Radhanath_Swami_Jessore.mp3</v>
      </c>
      <c r="D4836" s="11"/>
      <c r="E4836" s="11"/>
    </row>
    <row r="4837" spans="1:5">
      <c r="A4837" s="12" t="s">
        <v>12464</v>
      </c>
      <c r="B4837" s="12" t="s">
        <v>17344</v>
      </c>
      <c r="C4837" s="13" t="str">
        <f>HYPERLINK("https://audio.iskcondesiretree.com/02_-_ISKCON_Swamis/ISKCON_Swamis_-_R_to_Y/His_Holiness_Radhanath_Swami/Lectures/02_-_Yatra/2004_Bangladesh/Bangladesh_2004_13_-_Sri_Krsna_Caitanya_Prabhu_-_HH_Radhanath_Swami_Chittagaon.mp3", "Bangladesh_2004_13_-_Sri_Krsna_Caitanya_Prabhu_-_HH_Radhanath_Swami_Chittagaon.mp3")</f>
        <v>Bangladesh_2004_13_-_Sri_Krsna_Caitanya_Prabhu_-_HH_Radhanath_Swami_Chittagaon.mp3</v>
      </c>
      <c r="D4837" s="11"/>
      <c r="E4837" s="11"/>
    </row>
    <row r="4838" spans="1:5">
      <c r="A4838" s="12" t="s">
        <v>12464</v>
      </c>
      <c r="B4838" s="12" t="s">
        <v>17345</v>
      </c>
      <c r="C4838" s="13" t="str">
        <f>HYPERLINK("https://audio.iskcondesiretree.com/02_-_ISKCON_Swamis/ISKCON_Swamis_-_R_to_Y/His_Holiness_Radhanath_Swami/Lectures/02_-_Yatra/2004_Bangladesh/Bangladesh_2004_14_-_Sri_Rupa_Manjari_Pada_-_HH_Radhanath_Swami_Jessore.mp3", "Bangladesh_2004_14_-_Sri_Rupa_Manjari_Pada_-_HH_Radhanath_Swami_Jessore.mp3")</f>
        <v>Bangladesh_2004_14_-_Sri_Rupa_Manjari_Pada_-_HH_Radhanath_Swami_Jessore.mp3</v>
      </c>
      <c r="D4838" s="11"/>
      <c r="E4838" s="11"/>
    </row>
    <row r="4839" spans="1:5">
      <c r="A4839" s="12" t="s">
        <v>12464</v>
      </c>
      <c r="B4839" s="12" t="s">
        <v>17346</v>
      </c>
      <c r="C4839" s="13" t="str">
        <f>HYPERLINK("https://audio.iskcondesiretree.com/02_-_ISKCON_Swamis/ISKCON_Swamis_-_R_to_Y/His_Holiness_Radhanath_Swami/Lectures/02_-_Yatra/2004_Bangladesh/Bangladesh_2004_15_-_Kirtan_-_HH_Indradyumna_Swami.mp3", "Bangladesh_2004_15_-_Kirtan_-_HH_Indradyumna_Swami.mp3")</f>
        <v>Bangladesh_2004_15_-_Kirtan_-_HH_Indradyumna_Swami.mp3</v>
      </c>
      <c r="D4839" s="11"/>
      <c r="E4839" s="11"/>
    </row>
    <row r="4840" spans="1:5">
      <c r="A4840" s="12" t="s">
        <v>12464</v>
      </c>
      <c r="B4840" s="12" t="s">
        <v>17347</v>
      </c>
      <c r="C4840" s="13" t="str">
        <f>HYPERLINK("https://audio.iskcondesiretree.com/02_-_ISKCON_Swamis/ISKCON_Swamis_-_R_to_Y/His_Holiness_Radhanath_Swami/Lectures/02_-_Yatra/2004_Bangladesh/Bangladesh_2004_16_-_Lecture_at_Chittagoan_-_HH_Indradyumna_Swami.mp3", "Bangladesh_2004_16_-_Lecture_at_Chittagoan_-_HH_Indradyumna_Swami.mp3")</f>
        <v>Bangladesh_2004_16_-_Lecture_at_Chittagoan_-_HH_Indradyumna_Swami.mp3</v>
      </c>
      <c r="D4840" s="11"/>
      <c r="E4840" s="11"/>
    </row>
    <row r="4841" spans="1:5">
      <c r="A4841" s="12" t="s">
        <v>12464</v>
      </c>
      <c r="B4841" s="12" t="s">
        <v>17348</v>
      </c>
      <c r="C4841" s="13" t="str">
        <f>HYPERLINK("https://audio.iskcondesiretree.com/02_-_ISKCON_Swamis/ISKCON_Swamis_-_R_to_Y/His_Holiness_Radhanath_Swami/Lectures/02_-_Yatra/2004_Bangladesh/Bangladesh_2004_17_-_Kirtan_-_HH_Indradyumana_Swami_Jessore.mp3", "Bangladesh_2004_17_-_Kirtan_-_HH_Indradyumana_Swami_Jessore.mp3")</f>
        <v>Bangladesh_2004_17_-_Kirtan_-_HH_Indradyumana_Swami_Jessore.mp3</v>
      </c>
      <c r="D4841" s="11"/>
      <c r="E4841" s="11"/>
    </row>
    <row r="4842" spans="1:5">
      <c r="A4842" s="12" t="s">
        <v>12464</v>
      </c>
      <c r="B4842" s="12" t="s">
        <v>17349</v>
      </c>
      <c r="C4842" s="13" t="str">
        <f>HYPERLINK("https://audio.iskcondesiretree.com/02_-_ISKCON_Swamis/ISKCON_Swamis_-_R_to_Y/His_Holiness_Radhanath_Swami/Lectures/02_-_Yatra/2004_Bangladesh/Bangladesh_2004_18_-_Talks_by_devotees_-_Srihatta.mp3", "Bangladesh_2004_18_-_Talks_by_devotees_-_Srihatta.mp3")</f>
        <v>Bangladesh_2004_18_-_Talks_by_devotees_-_Srihatta.mp3</v>
      </c>
      <c r="D4842" s="11"/>
      <c r="E4842" s="11"/>
    </row>
    <row r="4843" spans="1:5">
      <c r="A4843" s="12" t="s">
        <v>12464</v>
      </c>
      <c r="B4843" s="12" t="s">
        <v>17350</v>
      </c>
      <c r="C4843" s="13" t="str">
        <f>HYPERLINK("https://audio.iskcondesiretree.com/02_-_ISKCON_Swamis/ISKCON_Swamis_-_R_to_Y/His_Holiness_Radhanath_Swami/Lectures/02_-_Yatra/2004_Pune_yatra/01%20Day%203%20Memories%20of%20Srila%20Prabhupada%20in%20London-%20III.mp3", "01%20Day%203%20Memories%20of%20Srila%20Prabhupada%20in%20London-%20III.mp3")</f>
        <v>01%20Day%203%20Memories%20of%20Srila%20Prabhupada%20in%20London-%20III.mp3</v>
      </c>
      <c r="D4843" s="11"/>
      <c r="E4843" s="11"/>
    </row>
    <row r="4844" spans="1:5">
      <c r="A4844" s="12" t="s">
        <v>12464</v>
      </c>
      <c r="B4844" s="12" t="s">
        <v>17351</v>
      </c>
      <c r="C4844" s="13" t="str">
        <f>HYPERLINK("https://audio.iskcondesiretree.com/02_-_ISKCON_Swamis/ISKCON_Swamis_-_R_to_Y/His_Holiness_Radhanath_Swami/Lectures/02_-_Yatra/2004_Pune_yatra/02%20Day%203%20Memories%20of%20Srila%20Prabhupada%20in%20London-%20IV.mp3", "02%20Day%203%20Memories%20of%20Srila%20Prabhupada%20in%20London-%20IV.mp3")</f>
        <v>02%20Day%203%20Memories%20of%20Srila%20Prabhupada%20in%20London-%20IV.mp3</v>
      </c>
      <c r="D4844" s="11"/>
      <c r="E4844" s="11"/>
    </row>
    <row r="4845" spans="1:5">
      <c r="A4845" s="12" t="s">
        <v>12464</v>
      </c>
      <c r="B4845" s="12" t="s">
        <v>17352</v>
      </c>
      <c r="C4845" s="13" t="str">
        <f>HYPERLINK("https://audio.iskcondesiretree.com/02_-_ISKCON_Swamis/ISKCON_Swamis_-_R_to_Y/His_Holiness_Radhanath_Swami/Lectures/02_-_Yatra/2004_Pune_yatra/03%20Day%203%20Memories%20of%20Srila%20Prabhupada%20in%20London-%20V.mp3", "03%20Day%203%20Memories%20of%20Srila%20Prabhupada%20in%20London-%20V.mp3")</f>
        <v>03%20Day%203%20Memories%20of%20Srila%20Prabhupada%20in%20London-%20V.mp3</v>
      </c>
      <c r="D4845" s="11"/>
      <c r="E4845" s="11"/>
    </row>
    <row r="4846" spans="1:5">
      <c r="A4846" s="12" t="s">
        <v>12464</v>
      </c>
      <c r="B4846" s="12" t="e">
        <v>#VALUE!</v>
      </c>
      <c r="C4846" s="13" t="e">
        <f>HYPERLINK("https://audio.iskcondesiretree.com/02_-_ISKCON_Swamis/ISKCON_Swamis_-_R_to_Y/His_Holiness_Radhanath_Swami/Lectures/02_-_Yatra/2004_Pune_yatra/Concluding_Speech-Part_1_Niranjana_Maharaj_Prahladananda_Maharaj_Candramauli_Maharaj_Gurudas_Pr_Shyamsundar_Pr.mp"&amp;"3", "Concluding_Speech-Part_1_Niranjana_Maharaj_Prahladananda_Maharaj_Candramauli_Maharaj_Gurudas_Pr_Shyamsundar_Pr.mp3")</f>
        <v>#VALUE!</v>
      </c>
      <c r="D4846" s="11"/>
      <c r="E4846" s="11"/>
    </row>
    <row r="4847" spans="1:5">
      <c r="A4847" s="12" t="s">
        <v>12464</v>
      </c>
      <c r="B4847" s="12" t="s">
        <v>17353</v>
      </c>
      <c r="C4847" s="13" t="str">
        <f>HYPERLINK("https://audio.iskcondesiretree.com/02_-_ISKCON_Swamis/ISKCON_Swamis_-_R_to_Y/His_Holiness_Radhanath_Swami/Lectures/02_-_Yatra/2004_Pune_yatra/Pune_Yatra_2004_01_-_Arrival_Address_-_Radhanath_Swami.mp3", "Pune_Yatra_2004_01_-_Arrival_Address_-_Radhanath_Swami.mp3")</f>
        <v>Pune_Yatra_2004_01_-_Arrival_Address_-_Radhanath_Swami.mp3</v>
      </c>
      <c r="D4847" s="11"/>
      <c r="E4847" s="11"/>
    </row>
    <row r="4848" spans="1:5">
      <c r="A4848" s="12" t="s">
        <v>12464</v>
      </c>
      <c r="B4848" s="12" t="s">
        <v>17354</v>
      </c>
      <c r="C4848" s="13" t="str">
        <f>HYPERLINK("https://audio.iskcondesiretree.com/02_-_ISKCON_Swamis/ISKCON_Swamis_-_R_to_Y/His_Holiness_Radhanath_Swami/Lectures/02_-_Yatra/2004_Pune_yatra/Pune_Yatra_2004_11_-_Srimad_Bhagavatam_-_Radhanath_Maharaj.mp3", "Pune_Yatra_2004_11_-_Srimad_Bhagavatam_-_Radhanath_Maharaj.mp3")</f>
        <v>Pune_Yatra_2004_11_-_Srimad_Bhagavatam_-_Radhanath_Maharaj.mp3</v>
      </c>
      <c r="D4848" s="11"/>
      <c r="E4848" s="11"/>
    </row>
    <row r="4849" spans="1:5">
      <c r="A4849" s="12" t="s">
        <v>12464</v>
      </c>
      <c r="B4849" s="12" t="s">
        <v>17355</v>
      </c>
      <c r="C4849" s="13" t="str">
        <f>HYPERLINK("https://audio.iskcondesiretree.com/02_-_ISKCON_Swamis/ISKCON_Swamis_-_R_to_Y/His_Holiness_Radhanath_Swami/Lectures/02_-_Yatra/2004_Pune_yatra/Pune_Yatra_2004_12_-_Memories_of_Srila_Prabhupada_in_India-01_-_Gurudas_Pr_Shyamsundar_Pr_Malati_Mataji.mp3", "Pune_Yatra_2004_12_-_Memories_of_Srila_Prabhupada_in_India-01_-_Gurudas_Pr_Shyamsundar_Pr_Malati_Mataji.mp3")</f>
        <v>Pune_Yatra_2004_12_-_Memories_of_Srila_Prabhupada_in_India-01_-_Gurudas_Pr_Shyamsundar_Pr_Malati_Mataji.mp3</v>
      </c>
      <c r="D4849" s="11"/>
      <c r="E4849" s="11"/>
    </row>
    <row r="4850" spans="1:5">
      <c r="A4850" s="12" t="s">
        <v>12464</v>
      </c>
      <c r="B4850" s="12" t="s">
        <v>17356</v>
      </c>
      <c r="C4850" s="13" t="str">
        <f>HYPERLINK("https://audio.iskcondesiretree.com/02_-_ISKCON_Swamis/ISKCON_Swamis_-_R_to_Y/His_Holiness_Radhanath_Swami/Lectures/02_-_Yatra/2004_Pune_yatra/Pune_Yatra_2004_15_-_Concluding_Speech-02_-_HG_Malati_Mataji_HG_Yadubar_Pr_HG_Vishakha_Mataji_HH_Radhanath_Sw.mp3", "Pune_Yatra_2004_15_-_Concluding_Speech-02_-_HG_Malati_Mataji_HG_Yadubar_Pr_HG_Vishakha_Mataji_HH_Radhanath_Sw.mp3")</f>
        <v>Pune_Yatra_2004_15_-_Concluding_Speech-02_-_HG_Malati_Mataji_HG_Yadubar_Pr_HG_Vishakha_Mataji_HH_Radhanath_Sw.mp3</v>
      </c>
      <c r="D4850" s="11"/>
      <c r="E4850" s="11"/>
    </row>
    <row r="4851" spans="1:5">
      <c r="A4851" s="12" t="s">
        <v>12464</v>
      </c>
      <c r="B4851" s="12" t="s">
        <v>17357</v>
      </c>
      <c r="C4851" s="13" t="str">
        <f>HYPERLINK("https://audio.iskcondesiretree.com/02_-_ISKCON_Swamis/ISKCON_Swamis_-_R_to_Y/His_Holiness_Radhanath_Swami/Lectures/02_-_Yatra/2004_Pune_yatra/Y04PU01_Arrival_Address_Radhanath_Swami.mp3", "Y04PU01_Arrival_Address_Radhanath_Swami.mp3")</f>
        <v>Y04PU01_Arrival_Address_Radhanath_Swami.mp3</v>
      </c>
      <c r="D4851" s="11"/>
      <c r="E4851" s="11"/>
    </row>
    <row r="4852" spans="1:5">
      <c r="A4852" s="12" t="s">
        <v>12464</v>
      </c>
      <c r="B4852" s="12" t="s">
        <v>17358</v>
      </c>
      <c r="C4852" s="13" t="str">
        <f>HYPERLINK("https://audio.iskcondesiretree.com/02_-_ISKCON_Swamis/ISKCON_Swamis_-_R_to_Y/His_Holiness_Radhanath_Swami/Lectures/02_-_Yatra/2004_Pune_yatra/Y04PU03%20_Memories_of_Srila_Prabhupada_in_San_Francisco_1_Gurudas_Prabhu_Shyamsundar_Prabhu_Malati_Mataji.mp3", "Y04PU03%20_Memories_of_Srila_Prabhupada_in_San_Francisco_1_Gurudas_Prabhu_Shyamsundar_Prabhu_Malati_Mataji.mp3")</f>
        <v>Y04PU03%20_Memories_of_Srila_Prabhupada_in_San_Francisco_1_Gurudas_Prabhu_Shyamsundar_Prabhu_Malati_Mataji.mp3</v>
      </c>
      <c r="D4852" s="11"/>
      <c r="E4852" s="11"/>
    </row>
    <row r="4853" spans="1:5">
      <c r="A4853" s="12" t="s">
        <v>12464</v>
      </c>
      <c r="B4853" s="12" t="s">
        <v>17359</v>
      </c>
      <c r="C4853" s="13" t="str">
        <f>HYPERLINK("https://audio.iskcondesiretree.com/02_-_ISKCON_Swamis/ISKCON_Swamis_-_R_to_Y/His_Holiness_Radhanath_Swami/Lectures/02_-_Yatra/2004_Pune_yatra/Y04PU04%20_Memories_of_Srila_Prabhupada_in_San_Francisco_2_Gurudas_Prabhu_Shyamsundar_Prabhu_Malati_Mataji.mp3", "Y04PU04%20_Memories_of_Srila_Prabhupada_in_San_Francisco_2_Gurudas_Prabhu_Shyamsundar_Prabhu_Malati_Mataji.mp3")</f>
        <v>Y04PU04%20_Memories_of_Srila_Prabhupada_in_San_Francisco_2_Gurudas_Prabhu_Shyamsundar_Prabhu_Malati_Mataji.mp3</v>
      </c>
      <c r="D4853" s="11"/>
      <c r="E4853" s="11"/>
    </row>
    <row r="4854" spans="1:5">
      <c r="A4854" s="12" t="s">
        <v>12464</v>
      </c>
      <c r="B4854" s="12" t="s">
        <v>17360</v>
      </c>
      <c r="C4854" s="13" t="str">
        <f>HYPERLINK("https://audio.iskcondesiretree.com/02_-_ISKCON_Swamis/ISKCON_Swamis_-_R_to_Y/His_Holiness_Radhanath_Swami/Lectures/02_-_Yatra/2004_Pune_yatra/Y04PU05%20_Memories_of_Srila_Prabhupada_in_San_Francisco_3_Gurudas_Prabhu_Shyamsundar_Prabhu_Malati_Mataji.mp3", "Y04PU05%20_Memories_of_Srila_Prabhupada_in_San_Francisco_3_Gurudas_Prabhu_Shyamsundar_Prabhu_Malati_Mataji.mp3")</f>
        <v>Y04PU05%20_Memories_of_Srila_Prabhupada_in_San_Francisco_3_Gurudas_Prabhu_Shyamsundar_Prabhu_Malati_Mataji.mp3</v>
      </c>
      <c r="D4854" s="11"/>
      <c r="E4854" s="11"/>
    </row>
    <row r="4855" spans="1:5">
      <c r="A4855" s="12" t="s">
        <v>12464</v>
      </c>
      <c r="B4855" s="12" t="s">
        <v>17361</v>
      </c>
      <c r="C4855" s="13" t="str">
        <f>HYPERLINK("https://audio.iskcondesiretree.com/02_-_ISKCON_Swamis/ISKCON_Swamis_-_R_to_Y/His_Holiness_Radhanath_Swami/Lectures/02_-_Yatra/2004_Pune_yatra/Y04PU06_Memories_of_Srila_Prabhupada_in_London-2_Gurudas_Prabhu_Shyamsundar_Prabhu_Malati_Mataji.mp3", "Y04PU06_Memories_of_Srila_Prabhupada_in_London-2_Gurudas_Prabhu_Shyamsundar_Prabhu_Malati_Mataji.mp3")</f>
        <v>Y04PU06_Memories_of_Srila_Prabhupada_in_London-2_Gurudas_Prabhu_Shyamsundar_Prabhu_Malati_Mataji.mp3</v>
      </c>
      <c r="D4855" s="11"/>
      <c r="E4855" s="11"/>
    </row>
    <row r="4856" spans="1:5">
      <c r="A4856" s="12" t="s">
        <v>12464</v>
      </c>
      <c r="B4856" s="12" t="s">
        <v>17362</v>
      </c>
      <c r="C4856" s="13" t="str">
        <f>HYPERLINK("https://audio.iskcondesiretree.com/02_-_ISKCON_Swamis/ISKCON_Swamis_-_R_to_Y/His_Holiness_Radhanath_Swami/Lectures/02_-_Yatra/2004_Pune_yatra/Y04PU08_Memories_of_Srila_Prabhupada_in_London-3_Gurudas_Prabhu_Shyamsundar_Prabhu_Malati_Mataji.mp3", "Y04PU08_Memories_of_Srila_Prabhupada_in_London-3_Gurudas_Prabhu_Shyamsundar_Prabhu_Malati_Mataji.mp3")</f>
        <v>Y04PU08_Memories_of_Srila_Prabhupada_in_London-3_Gurudas_Prabhu_Shyamsundar_Prabhu_Malati_Mataji.mp3</v>
      </c>
      <c r="D4856" s="11"/>
      <c r="E4856" s="11"/>
    </row>
    <row r="4857" spans="1:5">
      <c r="A4857" s="12" t="s">
        <v>12464</v>
      </c>
      <c r="B4857" s="12" t="s">
        <v>17363</v>
      </c>
      <c r="C4857" s="13" t="str">
        <f>HYPERLINK("https://audio.iskcondesiretree.com/02_-_ISKCON_Swamis/ISKCON_Swamis_-_R_to_Y/His_Holiness_Radhanath_Swami/Lectures/02_-_Yatra/2004_Pune_yatra/Y04PU09_Memories_of_Srila_Prabhupada_in_London-4_Gurudas_Prabhu_Shyamsundar_Prabhu_Malati_Mataji.mp3", "Y04PU09_Memories_of_Srila_Prabhupada_in_London-4_Gurudas_Prabhu_Shyamsundar_Prabhu_Malati_Mataji.mp3")</f>
        <v>Y04PU09_Memories_of_Srila_Prabhupada_in_London-4_Gurudas_Prabhu_Shyamsundar_Prabhu_Malati_Mataji.mp3</v>
      </c>
      <c r="D4857" s="11"/>
      <c r="E4857" s="11"/>
    </row>
    <row r="4858" spans="1:5">
      <c r="A4858" s="12" t="s">
        <v>12464</v>
      </c>
      <c r="B4858" s="12" t="s">
        <v>17364</v>
      </c>
      <c r="C4858" s="13" t="str">
        <f>HYPERLINK("https://audio.iskcondesiretree.com/02_-_ISKCON_Swamis/ISKCON_Swamis_-_R_to_Y/His_Holiness_Radhanath_Swami/Lectures/02_-_Yatra/2004_Pune_yatra/Y04PU10_Memories_of_Srila_Prabhupada_in_London-5_Gurudas_Prabhu_Shyamsundar_Prabhu_Malati_Mataji.mp3", "Y04PU10_Memories_of_Srila_Prabhupada_in_London-5_Gurudas_Prabhu_Shyamsundar_Prabhu_Malati_Mataji.mp3")</f>
        <v>Y04PU10_Memories_of_Srila_Prabhupada_in_London-5_Gurudas_Prabhu_Shyamsundar_Prabhu_Malati_Mataji.mp3</v>
      </c>
      <c r="D4858" s="11"/>
      <c r="E4858" s="11"/>
    </row>
    <row r="4859" spans="1:5">
      <c r="A4859" s="12" t="s">
        <v>12464</v>
      </c>
      <c r="B4859" s="12" t="s">
        <v>17365</v>
      </c>
      <c r="C4859" s="13" t="str">
        <f>HYPERLINK("https://audio.iskcondesiretree.com/02_-_ISKCON_Swamis/ISKCON_Swamis_-_R_to_Y/His_Holiness_Radhanath_Swami/Lectures/02_-_Yatra/2004_Pune_yatra/Y04PU11_Srimad_Bhagavatam_Radhanath_Maharaj.mp3", "Y04PU11_Srimad_Bhagavatam_Radhanath_Maharaj.mp3")</f>
        <v>Y04PU11_Srimad_Bhagavatam_Radhanath_Maharaj.mp3</v>
      </c>
      <c r="D4859" s="11"/>
      <c r="E4859" s="11"/>
    </row>
    <row r="4860" spans="1:5">
      <c r="A4860" s="12" t="s">
        <v>12464</v>
      </c>
      <c r="B4860" s="12" t="s">
        <v>17366</v>
      </c>
      <c r="C4860" s="13" t="str">
        <f>HYPERLINK("https://audio.iskcondesiretree.com/02_-_ISKCON_Swamis/ISKCON_Swamis_-_R_to_Y/His_Holiness_Radhanath_Swami/Lectures/02_-_Yatra/2004_Pune_yatra/Y04PU12_Memories_of_Srila_Prabhupada_in_India-1_Gurudas_Pr_Shyamsundar_Pr_Malati_Mataji.mp3", "Y04PU12_Memories_of_Srila_Prabhupada_in_India-1_Gurudas_Pr_Shyamsundar_Pr_Malati_Mataji.mp3")</f>
        <v>Y04PU12_Memories_of_Srila_Prabhupada_in_India-1_Gurudas_Pr_Shyamsundar_Pr_Malati_Mataji.mp3</v>
      </c>
      <c r="D4860" s="11"/>
      <c r="E4860" s="11"/>
    </row>
    <row r="4861" spans="1:5">
      <c r="A4861" s="12" t="s">
        <v>12464</v>
      </c>
      <c r="B4861" s="12" t="e">
        <v>#VALUE!</v>
      </c>
      <c r="C4861" s="13" t="e">
        <f>HYPERLINK("https://audio.iskcondesiretree.com/02_-_ISKCON_Swamis/ISKCON_Swamis_-_R_to_Y/His_Holiness_Radhanath_Swami/Lectures/02_-_Yatra/2004_Pune_yatra/Y04PU15_Concluding_Speech-Part_2_H_G_Malati_Mataji_H_G_Yadubar_Prabhu_H_G_Vishakha_Mataji_H_H_Radhanath_Maharaj.m"&amp;"p3", "Y04PU15_Concluding_Speech-Part_2_H_G_Malati_Mataji_H_G_Yadubar_Prabhu_H_G_Vishakha_Mataji_H_H_Radhanath_Maharaj.mp3")</f>
        <v>#VALUE!</v>
      </c>
      <c r="D4861" s="11"/>
      <c r="E4861" s="11"/>
    </row>
    <row r="4862" spans="1:5">
      <c r="A4862" s="12" t="s">
        <v>12464</v>
      </c>
      <c r="B4862" s="12" t="s">
        <v>17367</v>
      </c>
      <c r="C4862" s="13" t="str">
        <f>HYPERLINK("https://audio.iskcondesiretree.com/02_-_ISKCON_Swamis/ISKCON_Swamis_-_R_to_Y/His_Holiness_Radhanath_Swami/Lectures/02_-_Yatra/2004_Vrindavan_yatra/05_-_Vrindavan_Yatra_2004_-_Kirtan_-_Radhanath_Swami_-_ISKCON_Chowpatty.mp3", "05_-_Vrindavan_Yatra_2004_-_Kirtan_-_Radhanath_Swami_-_ISKCON_Chowpatty.mp3")</f>
        <v>05_-_Vrindavan_Yatra_2004_-_Kirtan_-_Radhanath_Swami_-_ISKCON_Chowpatty.mp3</v>
      </c>
      <c r="D4862" s="11"/>
      <c r="E4862" s="11"/>
    </row>
    <row r="4863" spans="1:5">
      <c r="A4863" s="12" t="s">
        <v>12464</v>
      </c>
      <c r="B4863" s="12" t="s">
        <v>17368</v>
      </c>
      <c r="C4863" s="13" t="str">
        <f>HYPERLINK("https://audio.iskcondesiretree.com/02_-_ISKCON_Swamis/ISKCON_Swamis_-_R_to_Y/His_Holiness_Radhanath_Swami/Lectures/02_-_Yatra/2004_Vrindavan_yatra/06_-_Vrindavan_Yatra_2004_-_Krishna%27s_Pastimes_at_Sringara_Vata_-_Radhanath_Swami_-_ISKCON_Chowpatty.mp3", "06_-_Vrindavan_Yatra_2004_-_Krishna%27s_Pastimes_at_Sringara_Vata_-_Radhanath_Swami_-_ISKCON_Chowpatty.mp3")</f>
        <v>06_-_Vrindavan_Yatra_2004_-_Krishna%27s_Pastimes_at_Sringara_Vata_-_Radhanath_Swami_-_ISKCON_Chowpatty.mp3</v>
      </c>
      <c r="D4863" s="11"/>
      <c r="E4863" s="11"/>
    </row>
    <row r="4864" spans="1:5">
      <c r="A4864" s="12" t="s">
        <v>12464</v>
      </c>
      <c r="B4864" s="12" t="s">
        <v>17369</v>
      </c>
      <c r="C4864" s="13" t="str">
        <f>HYPERLINK("https://audio.iskcondesiretree.com/02_-_ISKCON_Swamis/ISKCON_Swamis_-_R_to_Y/His_Holiness_Radhanath_Swami/Lectures/02_-_Yatra/2004_Vrindavan_yatra/07_-_Vrindavan_Yatra_2004_-_Keshi%27s_Pride_and_Yamuna%27s_Mercy_-_Radhanath_Swami_-_ISKCON_Chowpatty.mp3", "07_-_Vrindavan_Yatra_2004_-_Keshi%27s_Pride_and_Yamuna%27s_Mercy_-_Radhanath_Swami_-_ISKCON_Chowpatty.mp3")</f>
        <v>07_-_Vrindavan_Yatra_2004_-_Keshi%27s_Pride_and_Yamuna%27s_Mercy_-_Radhanath_Swami_-_ISKCON_Chowpatty.mp3</v>
      </c>
      <c r="D4864" s="11"/>
      <c r="E4864" s="11"/>
    </row>
    <row r="4865" spans="1:5">
      <c r="A4865" s="12" t="s">
        <v>12464</v>
      </c>
      <c r="B4865" s="12" t="s">
        <v>17370</v>
      </c>
      <c r="C4865" s="13" t="str">
        <f>HYPERLINK("https://audio.iskcondesiretree.com/02_-_ISKCON_Swamis/ISKCON_Swamis_-_R_to_Y/His_Holiness_Radhanath_Swami/Lectures/02_-_Yatra/2004_Vrindavan_yatra/10_-_Vrindavan_Yatra_2004_-_Being_Conscious_of_the_Holy_Dhama_-_Radhanath_Swami_-_ISKCON_Chowpatty.mp3", "10_-_Vrindavan_Yatra_2004_-_Being_Conscious_of_the_Holy_Dhama_-_Radhanath_Swami_-_ISKCON_Chowpatty.mp3")</f>
        <v>10_-_Vrindavan_Yatra_2004_-_Being_Conscious_of_the_Holy_Dhama_-_Radhanath_Swami_-_ISKCON_Chowpatty.mp3</v>
      </c>
      <c r="D4865" s="11"/>
      <c r="E4865" s="11"/>
    </row>
    <row r="4866" spans="1:5">
      <c r="A4866" s="12" t="s">
        <v>12464</v>
      </c>
      <c r="B4866" s="12" t="s">
        <v>17371</v>
      </c>
      <c r="C4866" s="13" t="str">
        <f>HYPERLINK("https://audio.iskcondesiretree.com/02_-_ISKCON_Swamis/ISKCON_Swamis_-_R_to_Y/His_Holiness_Radhanath_Swami/Lectures/02_-_Yatra/2004_Vrindavan_yatra/12_-_Vrindavan_Yatra_2004_-_Wonderful_Pastimes_of_Varsana_-_Radhanath_Swami_-_ISKCON_Chowpatty.mp3", "12_-_Vrindavan_Yatra_2004_-_Wonderful_Pastimes_of_Varsana_-_Radhanath_Swami_-_ISKCON_Chowpatty.mp3")</f>
        <v>12_-_Vrindavan_Yatra_2004_-_Wonderful_Pastimes_of_Varsana_-_Radhanath_Swami_-_ISKCON_Chowpatty.mp3</v>
      </c>
      <c r="D4866" s="11"/>
      <c r="E4866" s="11"/>
    </row>
    <row r="4867" spans="1:5">
      <c r="A4867" s="12" t="s">
        <v>12464</v>
      </c>
      <c r="B4867" s="12" t="s">
        <v>17372</v>
      </c>
      <c r="C4867" s="13" t="str">
        <f>HYPERLINK("https://audio.iskcondesiretree.com/02_-_ISKCON_Swamis/ISKCON_Swamis_-_R_to_Y/His_Holiness_Radhanath_Swami/Lectures/02_-_Yatra/2004_Vrindavan_yatra/14_-_Vrindavan_Yatra_2004_-_Surrendering_with_Sincere_Prayers_-_Radhanath_Swami_-_ISKCON_Chowpatty.mp3", "14_-_Vrindavan_Yatra_2004_-_Surrendering_with_Sincere_Prayers_-_Radhanath_Swami_-_ISKCON_Chowpatty.mp3")</f>
        <v>14_-_Vrindavan_Yatra_2004_-_Surrendering_with_Sincere_Prayers_-_Radhanath_Swami_-_ISKCON_Chowpatty.mp3</v>
      </c>
      <c r="D4867" s="11"/>
      <c r="E4867" s="11"/>
    </row>
    <row r="4868" spans="1:5">
      <c r="A4868" s="12" t="s">
        <v>12464</v>
      </c>
      <c r="B4868" s="12" t="s">
        <v>17373</v>
      </c>
      <c r="C4868" s="13" t="str">
        <f>HYPERLINK("https://audio.iskcondesiretree.com/02_-_ISKCON_Swamis/ISKCON_Swamis_-_R_to_Y/His_Holiness_Radhanath_Swami/Lectures/02_-_Yatra/2004_Vrindavan_yatra/15_-_Vrindavan_Yatra_2004_-_Sri_Rupa_Manjari_Pada_-_Radhanath_Swami_-_ISKCON_Chowpatty.mp3", "15_-_Vrindavan_Yatra_2004_-_Sri_Rupa_Manjari_Pada_-_Radhanath_Swami_-_ISKCON_Chowpatty.mp3")</f>
        <v>15_-_Vrindavan_Yatra_2004_-_Sri_Rupa_Manjari_Pada_-_Radhanath_Swami_-_ISKCON_Chowpatty.mp3</v>
      </c>
      <c r="D4868" s="11"/>
      <c r="E4868" s="11"/>
    </row>
    <row r="4869" spans="1:5">
      <c r="A4869" s="12" t="s">
        <v>12464</v>
      </c>
      <c r="B4869" s="12" t="s">
        <v>17374</v>
      </c>
      <c r="C4869" s="13" t="str">
        <f>HYPERLINK("https://audio.iskcondesiretree.com/02_-_ISKCON_Swamis/ISKCON_Swamis_-_R_to_Y/His_Holiness_Radhanath_Swami/Lectures/02_-_Yatra/2004_Vrindavan_yatra/16_-_Vrindavan_Yatra_2004_-_Divine_Pastimes_of_the_Goswamis_-_Radhanath_Swami_-_ISKCON_Chowpatty.mp3", "16_-_Vrindavan_Yatra_2004_-_Divine_Pastimes_of_the_Goswamis_-_Radhanath_Swami_-_ISKCON_Chowpatty.mp3")</f>
        <v>16_-_Vrindavan_Yatra_2004_-_Divine_Pastimes_of_the_Goswamis_-_Radhanath_Swami_-_ISKCON_Chowpatty.mp3</v>
      </c>
      <c r="D4869" s="11"/>
      <c r="E4869" s="11"/>
    </row>
    <row r="4870" spans="1:5">
      <c r="A4870" s="12" t="s">
        <v>12464</v>
      </c>
      <c r="B4870" s="12" t="s">
        <v>17375</v>
      </c>
      <c r="C4870" s="13" t="str">
        <f>HYPERLINK("https://audio.iskcondesiretree.com/02_-_ISKCON_Swamis/ISKCON_Swamis_-_R_to_Y/His_Holiness_Radhanath_Swami/Lectures/02_-_Yatra/2004_Vrindavan_yatra/17_-_Vrindavan_Yatra_2004_-_The_Seven_Main_Temples_of_Vrindavan_-_Radhanath_Swami_-_ISKCON_Chowpatty.mp3", "17_-_Vrindavan_Yatra_2004_-_The_Seven_Main_Temples_of_Vrindavan_-_Radhanath_Swami_-_ISKCON_Chowpatty.mp3")</f>
        <v>17_-_Vrindavan_Yatra_2004_-_The_Seven_Main_Temples_of_Vrindavan_-_Radhanath_Swami_-_ISKCON_Chowpatty.mp3</v>
      </c>
      <c r="D4870" s="11"/>
      <c r="E4870" s="11"/>
    </row>
    <row r="4871" spans="1:5">
      <c r="A4871" s="12" t="s">
        <v>12464</v>
      </c>
      <c r="B4871" s="12" t="s">
        <v>17376</v>
      </c>
      <c r="C4871" s="13" t="str">
        <f>HYPERLINK("https://audio.iskcondesiretree.com/02_-_ISKCON_Swamis/ISKCON_Swamis_-_R_to_Y/His_Holiness_Radhanath_Swami/Lectures/02_-_Yatra/2004_Vrindavan_yatra/18_-_Vrindavan_Yatra_2004_-_Vamsivata_Kirtan_-_Radhanath_Swami_-_ISKCON_Chowpatty.mp3", "18_-_Vrindavan_Yatra_2004_-_Vamsivata_Kirtan_-_Radhanath_Swami_-_ISKCON_Chowpatty.mp3")</f>
        <v>18_-_Vrindavan_Yatra_2004_-_Vamsivata_Kirtan_-_Radhanath_Swami_-_ISKCON_Chowpatty.mp3</v>
      </c>
      <c r="D4871" s="11"/>
      <c r="E4871" s="11"/>
    </row>
    <row r="4872" spans="1:5">
      <c r="A4872" s="12" t="s">
        <v>12464</v>
      </c>
      <c r="B4872" s="12" t="s">
        <v>17377</v>
      </c>
      <c r="C4872" s="13" t="str">
        <f>HYPERLINK("https://audio.iskcondesiretree.com/02_-_ISKCON_Swamis/ISKCON_Swamis_-_R_to_Y/His_Holiness_Radhanath_Swami/Lectures/02_-_Yatra/2004_Vrindavan_yatra/19_-_Vrindavan_Yatra_2004_-_Pastimes_at_Gokula_Mahavana_-_Radhanath_Swami_-_ISKCON_Chowpatty.mp3", "19_-_Vrindavan_Yatra_2004_-_Pastimes_at_Gokula_Mahavana_-_Radhanath_Swami_-_ISKCON_Chowpatty.mp3")</f>
        <v>19_-_Vrindavan_Yatra_2004_-_Pastimes_at_Gokula_Mahavana_-_Radhanath_Swami_-_ISKCON_Chowpatty.mp3</v>
      </c>
      <c r="D4872" s="11"/>
      <c r="E4872" s="11"/>
    </row>
    <row r="4873" spans="1:5">
      <c r="A4873" s="12" t="s">
        <v>12464</v>
      </c>
      <c r="B4873" s="12" t="s">
        <v>17378</v>
      </c>
      <c r="C4873" s="13" t="str">
        <f>HYPERLINK("https://audio.iskcondesiretree.com/02_-_ISKCON_Swamis/ISKCON_Swamis_-_R_to_Y/His_Holiness_Radhanath_Swami/Lectures/02_-_Yatra/2004_Vrindavan_yatra/21_-_Vrindavan_Yatra_2004_-_Prayers_to_Begin_Govardhana_Parikrama_-_Radhanath_Swami_-_ISKCON_Chowpatty.mp3", "21_-_Vrindavan_Yatra_2004_-_Prayers_to_Begin_Govardhana_Parikrama_-_Radhanath_Swami_-_ISKCON_Chowpatty.mp3")</f>
        <v>21_-_Vrindavan_Yatra_2004_-_Prayers_to_Begin_Govardhana_Parikrama_-_Radhanath_Swami_-_ISKCON_Chowpatty.mp3</v>
      </c>
      <c r="D4873" s="11"/>
      <c r="E4873" s="11"/>
    </row>
    <row r="4874" spans="1:5">
      <c r="A4874" s="12" t="s">
        <v>12464</v>
      </c>
      <c r="B4874" s="12" t="s">
        <v>17379</v>
      </c>
      <c r="C4874" s="13" t="str">
        <f>HYPERLINK("https://audio.iskcondesiretree.com/02_-_ISKCON_Swamis/ISKCON_Swamis_-_R_to_Y/His_Holiness_Radhanath_Swami/Lectures/02_-_Yatra/2004_Vrindavan_yatra/22_-_Vrindavan_Yatra_2004_-_The_Shyamantaka_Jewel_-_Radhanath_Swami_-_ISKCON_Chowpatty.mp3", "22_-_Vrindavan_Yatra_2004_-_The_Shyamantaka_Jewel_-_Radhanath_Swami_-_ISKCON_Chowpatty.mp3")</f>
        <v>22_-_Vrindavan_Yatra_2004_-_The_Shyamantaka_Jewel_-_Radhanath_Swami_-_ISKCON_Chowpatty.mp3</v>
      </c>
      <c r="D4874" s="11"/>
      <c r="E4874" s="11"/>
    </row>
    <row r="4875" spans="1:5">
      <c r="A4875" s="12" t="s">
        <v>12464</v>
      </c>
      <c r="B4875" s="12" t="s">
        <v>17380</v>
      </c>
      <c r="C4875" s="13" t="str">
        <f>HYPERLINK("https://audio.iskcondesiretree.com/02_-_ISKCON_Swamis/ISKCON_Swamis_-_R_to_Y/His_Holiness_Radhanath_Swami/Lectures/02_-_Yatra/2004_Vrindavan_yatra/23_-_Vrindavan_Yatra_2004_-_The_Lilas_of_Manasi_Ganga_-_Radhanath_Swami_-_ISKCON_Chowpatty.mp3", "23_-_Vrindavan_Yatra_2004_-_The_Lilas_of_Manasi_Ganga_-_Radhanath_Swami_-_ISKCON_Chowpatty.mp3")</f>
        <v>23_-_Vrindavan_Yatra_2004_-_The_Lilas_of_Manasi_Ganga_-_Radhanath_Swami_-_ISKCON_Chowpatty.mp3</v>
      </c>
      <c r="D4875" s="11"/>
      <c r="E4875" s="11"/>
    </row>
    <row r="4876" spans="1:5">
      <c r="A4876" s="12" t="s">
        <v>12464</v>
      </c>
      <c r="B4876" s="12" t="s">
        <v>17381</v>
      </c>
      <c r="C4876" s="13" t="str">
        <f>HYPERLINK("https://audio.iskcondesiretree.com/02_-_ISKCON_Swamis/ISKCON_Swamis_-_R_to_Y/His_Holiness_Radhanath_Swami/Lectures/02_-_Yatra/2004_Vrindavan_yatra/24_-_Vrindavan_Yatra_2004_-_Tax_Collection_Pastimes_-_Radhanath_Swami_-_ISKCON_Chowpatty.mp3", "24_-_Vrindavan_Yatra_2004_-_Tax_Collection_Pastimes_-_Radhanath_Swami_-_ISKCON_Chowpatty.mp3")</f>
        <v>24_-_Vrindavan_Yatra_2004_-_Tax_Collection_Pastimes_-_Radhanath_Swami_-_ISKCON_Chowpatty.mp3</v>
      </c>
      <c r="D4876" s="11"/>
      <c r="E4876" s="11"/>
    </row>
    <row r="4877" spans="1:5">
      <c r="A4877" s="12" t="s">
        <v>12464</v>
      </c>
      <c r="B4877" s="12" t="s">
        <v>17382</v>
      </c>
      <c r="C4877" s="13" t="str">
        <f>HYPERLINK("https://audio.iskcondesiretree.com/02_-_ISKCON_Swamis/ISKCON_Swamis_-_R_to_Y/His_Holiness_Radhanath_Swami/Lectures/02_-_Yatra/2004_Vrindavan_yatra/25_-_Vrindavan_Yatra_2004_-_Taking_the_Prasadam_of_Srila_Prabhupada_-_Radhanath_Swami_-_ISKCON_Chowpatty.mp3", "25_-_Vrindavan_Yatra_2004_-_Taking_the_Prasadam_of_Srila_Prabhupada_-_Radhanath_Swami_-_ISKCON_Chowpatty.mp3")</f>
        <v>25_-_Vrindavan_Yatra_2004_-_Taking_the_Prasadam_of_Srila_Prabhupada_-_Radhanath_Swami_-_ISKCON_Chowpatty.mp3</v>
      </c>
      <c r="D4877" s="11"/>
      <c r="E4877" s="11"/>
    </row>
    <row r="4878" spans="1:5">
      <c r="A4878" s="12" t="s">
        <v>12464</v>
      </c>
      <c r="B4878" s="12" t="s">
        <v>17383</v>
      </c>
      <c r="C4878" s="13" t="str">
        <f>HYPERLINK("https://audio.iskcondesiretree.com/02_-_ISKCON_Swamis/ISKCON_Swamis_-_R_to_Y/His_Holiness_Radhanath_Swami/Lectures/02_-_Yatra/2004_Vrindavan_yatra/26_-_Vrindavan_Yatra_2004_-_Krishna-The_King_of_Vraja_-_Radhanath_Swami_-_ISKCON_Chowpatty.mp3", "26_-_Vrindavan_Yatra_2004_-_Krishna-The_King_of_Vraja_-_Radhanath_Swami_-_ISKCON_Chowpatty.mp3")</f>
        <v>26_-_Vrindavan_Yatra_2004_-_Krishna-The_King_of_Vraja_-_Radhanath_Swami_-_ISKCON_Chowpatty.mp3</v>
      </c>
      <c r="D4878" s="11"/>
      <c r="E4878" s="11"/>
    </row>
    <row r="4879" spans="1:5">
      <c r="A4879" s="12" t="s">
        <v>12464</v>
      </c>
      <c r="B4879" s="12" t="s">
        <v>17384</v>
      </c>
      <c r="C4879" s="13" t="str">
        <f>HYPERLINK("https://audio.iskcondesiretree.com/02_-_ISKCON_Swamis/ISKCON_Swamis_-_R_to_Y/His_Holiness_Radhanath_Swami/Lectures/02_-_Yatra/2004_Vrindavan_yatra/27_-_Vrindavan_Yatra_2004_-_Melting_Lords_Melting_Hearts_-_Radhanath_Swami_-_ISKCON_Chowpatty.mp3", "27_-_Vrindavan_Yatra_2004_-_Melting_Lords_Melting_Hearts_-_Radhanath_Swami_-_ISKCON_Chowpatty.mp3")</f>
        <v>27_-_Vrindavan_Yatra_2004_-_Melting_Lords_Melting_Hearts_-_Radhanath_Swami_-_ISKCON_Chowpatty.mp3</v>
      </c>
      <c r="D4879" s="11"/>
      <c r="E4879" s="11"/>
    </row>
    <row r="4880" spans="1:5">
      <c r="A4880" s="12" t="s">
        <v>12464</v>
      </c>
      <c r="B4880" s="12" t="s">
        <v>17385</v>
      </c>
      <c r="C4880" s="13" t="str">
        <f>HYPERLINK("https://audio.iskcondesiretree.com/02_-_ISKCON_Swamis/ISKCON_Swamis_-_R_to_Y/His_Holiness_Radhanath_Swami/Lectures/02_-_Yatra/2004_Vrindavan_yatra/28_-_Vrindavan_Yatra_2004_-_The_Power_of_Forgiveness_-_Radhanath_Swami_-_ISKCON_Chowpatty.mp3", "28_-_Vrindavan_Yatra_2004_-_The_Power_of_Forgiveness_-_Radhanath_Swami_-_ISKCON_Chowpatty.mp3")</f>
        <v>28_-_Vrindavan_Yatra_2004_-_The_Power_of_Forgiveness_-_Radhanath_Swami_-_ISKCON_Chowpatty.mp3</v>
      </c>
      <c r="D4880" s="11"/>
      <c r="E4880" s="11"/>
    </row>
    <row r="4881" spans="1:5">
      <c r="A4881" s="12" t="s">
        <v>12464</v>
      </c>
      <c r="B4881" s="12" t="s">
        <v>17386</v>
      </c>
      <c r="C4881" s="13" t="str">
        <f>HYPERLINK("https://audio.iskcondesiretree.com/02_-_ISKCON_Swamis/ISKCON_Swamis_-_R_to_Y/His_Holiness_Radhanath_Swami/Lectures/02_-_Yatra/2004_Vrindavan_yatra/29_-_Vrindavan_Yatra_2004_-_The_Lifting_of_Govardhana_Hill_-_Radhanath_Swami_-_ISKCON_Chowpatty.mp3", "29_-_Vrindavan_Yatra_2004_-_The_Lifting_of_Govardhana_Hill_-_Radhanath_Swami_-_ISKCON_Chowpatty.mp3")</f>
        <v>29_-_Vrindavan_Yatra_2004_-_The_Lifting_of_Govardhana_Hill_-_Radhanath_Swami_-_ISKCON_Chowpatty.mp3</v>
      </c>
      <c r="D4881" s="11"/>
      <c r="E4881" s="11"/>
    </row>
    <row r="4882" spans="1:5">
      <c r="A4882" s="12" t="s">
        <v>12464</v>
      </c>
      <c r="B4882" s="12" t="s">
        <v>17387</v>
      </c>
      <c r="C4882" s="13" t="str">
        <f>HYPERLINK("https://audio.iskcondesiretree.com/02_-_ISKCON_Swamis/ISKCON_Swamis_-_R_to_Y/His_Holiness_Radhanath_Swami/Lectures/02_-_Yatra/2004_Vrindavan_yatra/30_-_Vrindavan_Yatra_2004_-_Serving_the_Mission_of_Srila_Prabhupada_-_Radhanath_Swami_-_ISKCON_Chowpatty.mp3", "30_-_Vrindavan_Yatra_2004_-_Serving_the_Mission_of_Srila_Prabhupada_-_Radhanath_Swami_-_ISKCON_Chowpatty.mp3")</f>
        <v>30_-_Vrindavan_Yatra_2004_-_Serving_the_Mission_of_Srila_Prabhupada_-_Radhanath_Swami_-_ISKCON_Chowpatty.mp3</v>
      </c>
      <c r="D4882" s="11"/>
      <c r="E4882" s="11"/>
    </row>
    <row r="4883" spans="1:5">
      <c r="A4883" s="12" t="s">
        <v>12464</v>
      </c>
      <c r="B4883" s="12" t="s">
        <v>17388</v>
      </c>
      <c r="C4883" s="13" t="str">
        <f>HYPERLINK("https://audio.iskcondesiretree.com/02_-_ISKCON_Swamis/ISKCON_Swamis_-_R_to_Y/His_Holiness_Radhanath_Swami/Lectures/02_-_Yatra/2004_Vrindavan_yatra/31_-_Vrindavan_Yatra_2004_-_The_Mood_of_Uddhava_in_Vrindavan_-_Radhanath_Swami_-_ISKCON_Chowpatty.mp3", "31_-_Vrindavan_Yatra_2004_-_The_Mood_of_Uddhava_in_Vrindavan_-_Radhanath_Swami_-_ISKCON_Chowpatty.mp3")</f>
        <v>31_-_Vrindavan_Yatra_2004_-_The_Mood_of_Uddhava_in_Vrindavan_-_Radhanath_Swami_-_ISKCON_Chowpatty.mp3</v>
      </c>
      <c r="D4883" s="11"/>
      <c r="E4883" s="11"/>
    </row>
    <row r="4884" spans="1:5">
      <c r="A4884" s="12" t="s">
        <v>12464</v>
      </c>
      <c r="B4884" s="12" t="s">
        <v>17389</v>
      </c>
      <c r="C4884" s="13" t="str">
        <f>HYPERLINK("https://audio.iskcondesiretree.com/02_-_ISKCON_Swamis/ISKCON_Swamis_-_R_to_Y/His_Holiness_Radhanath_Swami/Lectures/02_-_Yatra/2004_Vrindavan_yatra/32_-_Vrindavan_Yatra_2004_-_Sri_Mukta_Carita-The_Pearl_Pastime_-_Radhanath_Swami_-_ISKCON_Chowpatty.mp3", "32_-_Vrindavan_Yatra_2004_-_Sri_Mukta_Carita-The_Pearl_Pastime_-_Radhanath_Swami_-_ISKCON_Chowpatty.mp3")</f>
        <v>32_-_Vrindavan_Yatra_2004_-_Sri_Mukta_Carita-The_Pearl_Pastime_-_Radhanath_Swami_-_ISKCON_Chowpatty.mp3</v>
      </c>
      <c r="D4884" s="11"/>
      <c r="E4884" s="11"/>
    </row>
    <row r="4885" spans="1:5">
      <c r="A4885" s="12" t="s">
        <v>12464</v>
      </c>
      <c r="B4885" s="12" t="s">
        <v>17390</v>
      </c>
      <c r="C4885" s="13" t="str">
        <f>HYPERLINK("https://audio.iskcondesiretree.com/02_-_ISKCON_Swamis/ISKCON_Swamis_-_R_to_Y/His_Holiness_Radhanath_Swami/Lectures/02_-_Yatra/2004_Vrindavan_yatra/33_-_Vrindavan_Yatra_2004_-_The_Identity_of_a_Devotee_-_Radhanath_Swami_-_ISKCON_Chowpatty.mp3", "33_-_Vrindavan_Yatra_2004_-_The_Identity_of_a_Devotee_-_Radhanath_Swami_-_ISKCON_Chowpatty.mp3")</f>
        <v>33_-_Vrindavan_Yatra_2004_-_The_Identity_of_a_Devotee_-_Radhanath_Swami_-_ISKCON_Chowpatty.mp3</v>
      </c>
      <c r="D4885" s="11"/>
      <c r="E4885" s="11"/>
    </row>
    <row r="4886" spans="1:5">
      <c r="A4886" s="12" t="s">
        <v>12464</v>
      </c>
      <c r="B4886" s="12" t="s">
        <v>17391</v>
      </c>
      <c r="C4886" s="13" t="str">
        <f>HYPERLINK("https://audio.iskcondesiretree.com/02_-_ISKCON_Swamis/ISKCON_Swamis_-_R_to_Y/His_Holiness_Radhanath_Swami/Lectures/02_-_Yatra/2004_Vrindavan_yatra/34_-_Vrindavan_Yatra_2004_-_Parikrama_Completion_Prayers_-_Radhanath_Swami_-_ISKCON_Chowpatty.mp3", "34_-_Vrindavan_Yatra_2004_-_Parikrama_Completion_Prayers_-_Radhanath_Swami_-_ISKCON_Chowpatty.mp3")</f>
        <v>34_-_Vrindavan_Yatra_2004_-_Parikrama_Completion_Prayers_-_Radhanath_Swami_-_ISKCON_Chowpatty.mp3</v>
      </c>
      <c r="D4886" s="11"/>
      <c r="E4886" s="11"/>
    </row>
    <row r="4887" spans="1:5">
      <c r="A4887" s="12" t="s">
        <v>12464</v>
      </c>
      <c r="B4887" s="12" t="s">
        <v>17392</v>
      </c>
      <c r="C4887" s="13" t="str">
        <f>HYPERLINK("https://audio.iskcondesiretree.com/02_-_ISKCON_Swamis/ISKCON_Swamis_-_R_to_Y/His_Holiness_Radhanath_Swami/Lectures/02_-_Yatra/2004_Vrindavan_yatra/35_-_Vrindavan_Yatra_2004_-_Gay_Goracand_Jiver_Tore_-_Radhanath_Swami_-_ISKCON_Chowpatty.mp3", "35_-_Vrindavan_Yatra_2004_-_Gay_Goracand_Jiver_Tore_-_Radhanath_Swami_-_ISKCON_Chowpatty.mp3")</f>
        <v>35_-_Vrindavan_Yatra_2004_-_Gay_Goracand_Jiver_Tore_-_Radhanath_Swami_-_ISKCON_Chowpatty.mp3</v>
      </c>
      <c r="D4887" s="11"/>
      <c r="E4887" s="11"/>
    </row>
    <row r="4888" spans="1:5">
      <c r="A4888" s="12" t="s">
        <v>12464</v>
      </c>
      <c r="B4888" s="12" t="s">
        <v>17393</v>
      </c>
      <c r="C4888" s="13" t="str">
        <f>HYPERLINK("https://audio.iskcondesiretree.com/02_-_ISKCON_Swamis/ISKCON_Swamis_-_R_to_Y/His_Holiness_Radhanath_Swami/Lectures/02_-_Yatra/2004_Vrindavan_yatra/36_-_Vrindavan_Yatra_2004_-_Rupa_Goswami%27s_Beautiful_Bhajan_Kutir_-_Radhanath_Swami_-_ISKCON_Chowpatty.mp3", "36_-_Vrindavan_Yatra_2004_-_Rupa_Goswami%27s_Beautiful_Bhajan_Kutir_-_Radhanath_Swami_-_ISKCON_Chowpatty.mp3")</f>
        <v>36_-_Vrindavan_Yatra_2004_-_Rupa_Goswami%27s_Beautiful_Bhajan_Kutir_-_Radhanath_Swami_-_ISKCON_Chowpatty.mp3</v>
      </c>
      <c r="D4888" s="11"/>
      <c r="E4888" s="11"/>
    </row>
    <row r="4889" spans="1:5">
      <c r="A4889" s="12" t="s">
        <v>12464</v>
      </c>
      <c r="B4889" s="12" t="s">
        <v>17394</v>
      </c>
      <c r="C4889" s="13" t="str">
        <f>HYPERLINK("https://audio.iskcondesiretree.com/02_-_ISKCON_Swamis/ISKCON_Swamis_-_R_to_Y/His_Holiness_Radhanath_Swami/Lectures/02_-_Yatra/2004_Vrindavan_yatra/37_-_Vrindavan_Yatra_2004_-_Brahma-Vimohana_Lila_-_Radhanath_Swami_-_ISKCON_Chowpatty.mp3", "37_-_Vrindavan_Yatra_2004_-_Brahma-Vimohana_Lila_-_Radhanath_Swami_-_ISKCON_Chowpatty.mp3")</f>
        <v>37_-_Vrindavan_Yatra_2004_-_Brahma-Vimohana_Lila_-_Radhanath_Swami_-_ISKCON_Chowpatty.mp3</v>
      </c>
      <c r="D4889" s="11"/>
      <c r="E4889" s="11"/>
    </row>
    <row r="4890" spans="1:5">
      <c r="A4890" s="12" t="s">
        <v>12464</v>
      </c>
      <c r="B4890" s="12" t="s">
        <v>17395</v>
      </c>
      <c r="C4890" s="13" t="str">
        <f>HYPERLINK("https://audio.iskcondesiretree.com/02_-_ISKCON_Swamis/ISKCON_Swamis_-_R_to_Y/His_Holiness_Radhanath_Swami/Lectures/02_-_Yatra/2004_Vrindavan_yatra/38_-_Vrindavan_Yatra_2004_-_The_Wonderful_Lilas_at_Ter_Kadamba_-_Radhanath_Swami_-_ISKCON_Chowpatty.mp3", "38_-_Vrindavan_Yatra_2004_-_The_Wonderful_Lilas_at_Ter_Kadamba_-_Radhanath_Swami_-_ISKCON_Chowpatty.mp3")</f>
        <v>38_-_Vrindavan_Yatra_2004_-_The_Wonderful_Lilas_at_Ter_Kadamba_-_Radhanath_Swami_-_ISKCON_Chowpatty.mp3</v>
      </c>
      <c r="D4890" s="11"/>
      <c r="E4890" s="11"/>
    </row>
    <row r="4891" spans="1:5">
      <c r="A4891" s="12" t="s">
        <v>12464</v>
      </c>
      <c r="B4891" s="12" t="s">
        <v>17396</v>
      </c>
      <c r="C4891" s="13" t="str">
        <f>HYPERLINK("https://audio.iskcondesiretree.com/02_-_ISKCON_Swamis/ISKCON_Swamis_-_R_to_Y/His_Holiness_Radhanath_Swami/Lectures/02_-_Yatra/2004_Vrindavan_yatra/39_-_Vrindavan_Yatra_2004_-_Giving_Krishna_Tilll_the_Last_Breath_-_Radhanath_Swami_-_ISKCON_Chowpatty.mp3", "39_-_Vrindavan_Yatra_2004_-_Giving_Krishna_Tilll_the_Last_Breath_-_Radhanath_Swami_-_ISKCON_Chowpatty.mp3")</f>
        <v>39_-_Vrindavan_Yatra_2004_-_Giving_Krishna_Tilll_the_Last_Breath_-_Radhanath_Swami_-_ISKCON_Chowpatty.mp3</v>
      </c>
      <c r="D4891" s="11"/>
      <c r="E4891" s="11"/>
    </row>
    <row r="4892" spans="1:5">
      <c r="A4892" s="12" t="s">
        <v>12464</v>
      </c>
      <c r="B4892" s="12" t="s">
        <v>17397</v>
      </c>
      <c r="C4892" s="13" t="str">
        <f>HYPERLINK("https://audio.iskcondesiretree.com/02_-_ISKCON_Swamis/ISKCON_Swamis_-_R_to_Y/His_Holiness_Radhanath_Swami/Lectures/02_-_Yatra/2004_Vrindavan_yatra/40_-_Vrindavan_Yatra_2004_-_The_Braja_Lila_Planning_Commission_-_Radhanath_Swami_-_ISKCON_Chowpatty.mp3", "40_-_Vrindavan_Yatra_2004_-_The_Braja_Lila_Planning_Commission_-_Radhanath_Swami_-_ISKCON_Chowpatty.mp3")</f>
        <v>40_-_Vrindavan_Yatra_2004_-_The_Braja_Lila_Planning_Commission_-_Radhanath_Swami_-_ISKCON_Chowpatty.mp3</v>
      </c>
      <c r="D4892" s="11"/>
      <c r="E4892" s="11"/>
    </row>
    <row r="4893" spans="1:5">
      <c r="A4893" s="12" t="s">
        <v>12464</v>
      </c>
      <c r="B4893" s="12" t="s">
        <v>17398</v>
      </c>
      <c r="C4893" s="13" t="str">
        <f>HYPERLINK("https://audio.iskcondesiretree.com/02_-_ISKCON_Swamis/ISKCON_Swamis_-_R_to_Y/His_Holiness_Radhanath_Swami/Lectures/02_-_Yatra/2004_Vrindavan_yatra/42_-_Vrindavan_Yatra_2004_-_The_Sacred_Lake_of_Nandagaon_-_Radhanath_Swami_-_ISKCON_Chowpatty.mp3", "42_-_Vrindavan_Yatra_2004_-_The_Sacred_Lake_of_Nandagaon_-_Radhanath_Swami_-_ISKCON_Chowpatty.mp3")</f>
        <v>42_-_Vrindavan_Yatra_2004_-_The_Sacred_Lake_of_Nandagaon_-_Radhanath_Swami_-_ISKCON_Chowpatty.mp3</v>
      </c>
      <c r="D4893" s="11"/>
      <c r="E4893" s="11"/>
    </row>
    <row r="4894" spans="1:5">
      <c r="A4894" s="12" t="s">
        <v>12464</v>
      </c>
      <c r="B4894" s="12" t="s">
        <v>17399</v>
      </c>
      <c r="C4894" s="13" t="str">
        <f>HYPERLINK("https://audio.iskcondesiretree.com/02_-_ISKCON_Swamis/ISKCON_Swamis_-_R_to_Y/His_Holiness_Radhanath_Swami/Lectures/02_-_Yatra/2004_Vrindavan_yatra/43_-_Vrindavan_Yatra_2004_-_The_Mood_of_Entering_Vrindavan_-_Radhanath_Swami_-_ISKCON_Chowpatty.mp3", "43_-_Vrindavan_Yatra_2004_-_The_Mood_of_Entering_Vrindavan_-_Radhanath_Swami_-_ISKCON_Chowpatty.mp3")</f>
        <v>43_-_Vrindavan_Yatra_2004_-_The_Mood_of_Entering_Vrindavan_-_Radhanath_Swami_-_ISKCON_Chowpatty.mp3</v>
      </c>
      <c r="D4894" s="11"/>
      <c r="E4894" s="11"/>
    </row>
    <row r="4895" spans="1:5">
      <c r="A4895" s="12" t="s">
        <v>12464</v>
      </c>
      <c r="B4895" s="12" t="s">
        <v>17400</v>
      </c>
      <c r="C4895" s="13" t="str">
        <f>HYPERLINK("https://audio.iskcondesiretree.com/02_-_ISKCON_Swamis/ISKCON_Swamis_-_R_to_Y/His_Holiness_Radhanath_Swami/Lectures/02_-_Yatra/2004_Vrindavan_yatra/44_-_Vrindavan_Yatra_2004_-_Vande_Krishna_Nanda_Kumara_-_Radhanath_Swami_-_ISKCON_Chowpatty.mp3", "44_-_Vrindavan_Yatra_2004_-_Vande_Krishna_Nanda_Kumara_-_Radhanath_Swami_-_ISKCON_Chowpatty.mp3")</f>
        <v>44_-_Vrindavan_Yatra_2004_-_Vande_Krishna_Nanda_Kumara_-_Radhanath_Swami_-_ISKCON_Chowpatty.mp3</v>
      </c>
      <c r="D4895" s="11"/>
      <c r="E4895" s="11"/>
    </row>
    <row r="4896" spans="1:5">
      <c r="A4896" s="12" t="s">
        <v>12464</v>
      </c>
      <c r="B4896" s="12" t="s">
        <v>17401</v>
      </c>
      <c r="C4896" s="13" t="str">
        <f>HYPERLINK("https://audio.iskcondesiretree.com/02_-_ISKCON_Swamis/ISKCON_Swamis_-_R_to_Y/His_Holiness_Radhanath_Swami/Lectures/02_-_Yatra/2004_Vrindavan_yatra/45_-_Vrindavan_Yatra_2004_-_Ami_Yamuna_Puline_-_Radhanath_Swami_-_ISKCON_Chowpatty.mp3", "45_-_Vrindavan_Yatra_2004_-_Ami_Yamuna_Puline_-_Radhanath_Swami_-_ISKCON_Chowpatty.mp3")</f>
        <v>45_-_Vrindavan_Yatra_2004_-_Ami_Yamuna_Puline_-_Radhanath_Swami_-_ISKCON_Chowpatty.mp3</v>
      </c>
      <c r="D4896" s="11"/>
      <c r="E4896" s="11"/>
    </row>
    <row r="4897" spans="1:5">
      <c r="A4897" s="12" t="s">
        <v>12464</v>
      </c>
      <c r="B4897" s="12" t="s">
        <v>17402</v>
      </c>
      <c r="C4897" s="13" t="str">
        <f>HYPERLINK("https://audio.iskcondesiretree.com/02_-_ISKCON_Swamis/ISKCON_Swamis_-_R_to_Y/His_Holiness_Radhanath_Swami/Lectures/02_-_Yatra/2004_Vrindavan_yatra/46_-_Vrindavan_Yatra_2004_-_Kirtan_at_Nandagaon_-_Radhanath_Swami_-_ISKCON_Chowpatty.mp3", "46_-_Vrindavan_Yatra_2004_-_Kirtan_at_Nandagaon_-_Radhanath_Swami_-_ISKCON_Chowpatty.mp3")</f>
        <v>46_-_Vrindavan_Yatra_2004_-_Kirtan_at_Nandagaon_-_Radhanath_Swami_-_ISKCON_Chowpatty.mp3</v>
      </c>
      <c r="D4897" s="11"/>
      <c r="E4897" s="11"/>
    </row>
    <row r="4898" spans="1:5">
      <c r="A4898" s="12" t="s">
        <v>12464</v>
      </c>
      <c r="B4898" s="12" t="s">
        <v>17403</v>
      </c>
      <c r="C4898" s="13" t="str">
        <f>HYPERLINK("https://audio.iskcondesiretree.com/02_-_ISKCON_Swamis/ISKCON_Swamis_-_R_to_Y/His_Holiness_Radhanath_Swami/Lectures/02_-_Yatra/2004_Vrindavan_yatra/47_-_Vrindavan_Yatra_2004_-_Kirtan_at_Radha_Kunda_-_Radhanath_Swami_-_ISKCON_Chowpatty.mp3", "47_-_Vrindavan_Yatra_2004_-_Kirtan_at_Radha_Kunda_-_Radhanath_Swami_-_ISKCON_Chowpatty.mp3")</f>
        <v>47_-_Vrindavan_Yatra_2004_-_Kirtan_at_Radha_Kunda_-_Radhanath_Swami_-_ISKCON_Chowpatty.mp3</v>
      </c>
      <c r="D4898" s="11"/>
      <c r="E4898" s="11"/>
    </row>
    <row r="4899" spans="1:5">
      <c r="A4899" s="12" t="s">
        <v>12464</v>
      </c>
      <c r="B4899" s="12" t="s">
        <v>17404</v>
      </c>
      <c r="C4899" s="13" t="str">
        <f>HYPERLINK("https://audio.iskcondesiretree.com/02_-_ISKCON_Swamis/ISKCON_Swamis_-_R_to_Y/His_Holiness_Radhanath_Swami/Lectures/02_-_Yatra/2004_Vrindavan_yatra/48_-_Vrindavan_Yatra_2004_-_The_Marriage_of_Radha_and_Krishna_-_Radhanath_Swami_-_ISKCON_Chowpatty.mp3", "48_-_Vrindavan_Yatra_2004_-_The_Marriage_of_Radha_and_Krishna_-_Radhanath_Swami_-_ISKCON_Chowpatty.mp3")</f>
        <v>48_-_Vrindavan_Yatra_2004_-_The_Marriage_of_Radha_and_Krishna_-_Radhanath_Swami_-_ISKCON_Chowpatty.mp3</v>
      </c>
      <c r="D4899" s="11"/>
      <c r="E4899" s="11"/>
    </row>
    <row r="4900" spans="1:5">
      <c r="A4900" s="12" t="s">
        <v>12464</v>
      </c>
      <c r="B4900" s="12" t="s">
        <v>17405</v>
      </c>
      <c r="C4900" s="13" t="str">
        <f>HYPERLINK("https://audio.iskcondesiretree.com/02_-_ISKCON_Swamis/ISKCON_Swamis_-_R_to_Y/His_Holiness_Radhanath_Swami/Lectures/02_-_Yatra/2004_Vrindavan_yatra/49_-_Vrindavan_Yatra_2004_-_The_Glories_of_Radha_Kunda_-_Radhanath_Swami_-_ISKCON_Chowpatty.mp3", "49_-_Vrindavan_Yatra_2004_-_The_Glories_of_Radha_Kunda_-_Radhanath_Swami_-_ISKCON_Chowpatty.mp3")</f>
        <v>49_-_Vrindavan_Yatra_2004_-_The_Glories_of_Radha_Kunda_-_Radhanath_Swami_-_ISKCON_Chowpatty.mp3</v>
      </c>
      <c r="D4900" s="11"/>
      <c r="E4900" s="11"/>
    </row>
    <row r="4901" spans="1:5">
      <c r="A4901" s="12" t="s">
        <v>12464</v>
      </c>
      <c r="B4901" s="12" t="s">
        <v>17406</v>
      </c>
      <c r="C4901" s="13" t="str">
        <f>HYPERLINK("https://audio.iskcondesiretree.com/02_-_ISKCON_Swamis/ISKCON_Swamis_-_R_to_Y/His_Holiness_Radhanath_Swami/Lectures/02_-_Yatra/2004_Vrindavan_yatra/50_-_Vrindavan_Yatra_2004_-_The_Killing_of_Pralambasura_-_Radhanath_Swami_-_ISKCON_Chowpatty.mp3", "50_-_Vrindavan_Yatra_2004_-_The_Killing_of_Pralambasura_-_Radhanath_Swami_-_ISKCON_Chowpatty.mp3")</f>
        <v>50_-_Vrindavan_Yatra_2004_-_The_Killing_of_Pralambasura_-_Radhanath_Swami_-_ISKCON_Chowpatty.mp3</v>
      </c>
      <c r="D4901" s="11"/>
      <c r="E4901" s="11"/>
    </row>
    <row r="4902" spans="1:5">
      <c r="A4902" s="12" t="s">
        <v>12464</v>
      </c>
      <c r="B4902" s="12" t="s">
        <v>17407</v>
      </c>
      <c r="C4902" s="13" t="str">
        <f>HYPERLINK("https://audio.iskcondesiretree.com/02_-_ISKCON_Swamis/ISKCON_Swamis_-_R_to_Y/His_Holiness_Radhanath_Swami/Lectures/02_-_Yatra/2004_Vrindavan_yatra/51_-_Vrindavan_Yatra_2004_-_Repairing_the_Weak_Heart_-_Radhanath_Swami_-_ISKCON_Chowpatty.mp3", "51_-_Vrindavan_Yatra_2004_-_Repairing_the_Weak_Heart_-_Radhanath_Swami_-_ISKCON_Chowpatty.mp3")</f>
        <v>51_-_Vrindavan_Yatra_2004_-_Repairing_the_Weak_Heart_-_Radhanath_Swami_-_ISKCON_Chowpatty.mp3</v>
      </c>
      <c r="D4902" s="11"/>
      <c r="E4902" s="11"/>
    </row>
    <row r="4903" spans="1:5">
      <c r="A4903" s="12" t="s">
        <v>12464</v>
      </c>
      <c r="B4903" s="12" t="s">
        <v>17408</v>
      </c>
      <c r="C4903" s="13" t="str">
        <f>HYPERLINK("https://audio.iskcondesiretree.com/02_-_ISKCON_Swamis/ISKCON_Swamis_-_R_to_Y/His_Holiness_Radhanath_Swami/Lectures/02_-_Yatra/2004_Vrindavan_yatra/52_-_Vrindavan_Yatra_2004_-_Trancendental_Youth_Tie_the_Knot_-_Radhanath_Swami_-_ISKCON_Chowpatty.mp3", "52_-_Vrindavan_Yatra_2004_-_Trancendental_Youth_Tie_the_Knot_-_Radhanath_Swami_-_ISKCON_Chowpatty.mp3")</f>
        <v>52_-_Vrindavan_Yatra_2004_-_Trancendental_Youth_Tie_the_Knot_-_Radhanath_Swami_-_ISKCON_Chowpatty.mp3</v>
      </c>
      <c r="D4903" s="11"/>
      <c r="E4903" s="11"/>
    </row>
    <row r="4904" spans="1:5">
      <c r="A4904" s="12" t="s">
        <v>12464</v>
      </c>
      <c r="B4904" s="12" t="s">
        <v>17409</v>
      </c>
      <c r="C4904" s="13" t="str">
        <f>HYPERLINK("https://audio.iskcondesiretree.com/02_-_ISKCON_Swamis/ISKCON_Swamis_-_R_to_Y/His_Holiness_Radhanath_Swami/Lectures/02_-_Yatra/2004_Vrindavan_yatra/53_-_Vrindavan_Yatra_2004_-_Bathing_with_Strong_Faith_-_Radhanath_Swami_-_ISKCON_Chowpatty.mp3", "53_-_Vrindavan_Yatra_2004_-_Bathing_with_Strong_Faith_-_Radhanath_Swami_-_ISKCON_Chowpatty.mp3")</f>
        <v>53_-_Vrindavan_Yatra_2004_-_Bathing_with_Strong_Faith_-_Radhanath_Swami_-_ISKCON_Chowpatty.mp3</v>
      </c>
      <c r="D4904" s="11"/>
      <c r="E4904" s="11"/>
    </row>
    <row r="4905" spans="1:5">
      <c r="A4905" s="12" t="s">
        <v>12464</v>
      </c>
      <c r="B4905" s="12" t="s">
        <v>17410</v>
      </c>
      <c r="C4905" s="13" t="str">
        <f>HYPERLINK("https://audio.iskcondesiretree.com/02_-_ISKCON_Swamis/ISKCON_Swamis_-_R_to_Y/His_Holiness_Radhanath_Swami/Lectures/02_-_Yatra/2004_Vrindavan_yatra/54_-_Vrindavan_Yatra_2004_-_Dancing_in_Small_Circles_Kirtan_-_Radhanath_Swami_-_ISKCON_Chowpatty.mp3", "54_-_Vrindavan_Yatra_2004_-_Dancing_in_Small_Circles_Kirtan_-_Radhanath_Swami_-_ISKCON_Chowpatty.mp3")</f>
        <v>54_-_Vrindavan_Yatra_2004_-_Dancing_in_Small_Circles_Kirtan_-_Radhanath_Swami_-_ISKCON_Chowpatty.mp3</v>
      </c>
      <c r="D4905" s="11"/>
      <c r="E4905" s="11"/>
    </row>
    <row r="4906" spans="1:5">
      <c r="A4906" s="12" t="s">
        <v>12464</v>
      </c>
      <c r="B4906" s="12" t="s">
        <v>17411</v>
      </c>
      <c r="C4906" s="13" t="str">
        <f>HYPERLINK("https://audio.iskcondesiretree.com/02_-_ISKCON_Swamis/ISKCON_Swamis_-_R_to_Y/His_Holiness_Radhanath_Swami/Lectures/02_-_Yatra/2004_Vrindavan_yatra/55_-_Vrindavan_Yatra_2004_-_Lokanath_Goswami%27s_Simple_Nature_-_Radhanath_Swami_-_ISKCON_Chowpatty.mp3", "55_-_Vrindavan_Yatra_2004_-_Lokanath_Goswami%27s_Simple_Nature_-_Radhanath_Swami_-_ISKCON_Chowpatty.mp3")</f>
        <v>55_-_Vrindavan_Yatra_2004_-_Lokanath_Goswami%27s_Simple_Nature_-_Radhanath_Swami_-_ISKCON_Chowpatty.mp3</v>
      </c>
      <c r="D4906" s="11"/>
      <c r="E4906" s="11"/>
    </row>
    <row r="4907" spans="1:5">
      <c r="A4907" s="12" t="s">
        <v>12464</v>
      </c>
      <c r="B4907" s="12" t="s">
        <v>17412</v>
      </c>
      <c r="C4907" s="13" t="str">
        <f>HYPERLINK("https://audio.iskcondesiretree.com/02_-_ISKCON_Swamis/ISKCON_Swamis_-_R_to_Y/His_Holiness_Radhanath_Swami/Lectures/02_-_Yatra/2004_Vrindavan_yatra/56_-_Vrindavan_Yatra_2004_-_The_Glories_of_Devamrta_Prabhu_-_Radhanath_Swami_-_ISKCON_Chowpatty.mp3", "56_-_Vrindavan_Yatra_2004_-_The_Glories_of_Devamrta_Prabhu_-_Radhanath_Swami_-_ISKCON_Chowpatty.mp3")</f>
        <v>56_-_Vrindavan_Yatra_2004_-_The_Glories_of_Devamrta_Prabhu_-_Radhanath_Swami_-_ISKCON_Chowpatty.mp3</v>
      </c>
      <c r="D4907" s="11"/>
      <c r="E4907" s="11"/>
    </row>
    <row r="4908" spans="1:5">
      <c r="A4908" s="12" t="s">
        <v>12464</v>
      </c>
      <c r="B4908" s="12" t="s">
        <v>17413</v>
      </c>
      <c r="C4908" s="13" t="str">
        <f>HYPERLINK("https://audio.iskcondesiretree.com/02_-_ISKCON_Swamis/ISKCON_Swamis_-_R_to_Y/His_Holiness_Radhanath_Swami/Lectures/02_-_Yatra/2004_Vrindavan_yatra/57_-_Vrindavan_Yatra_2004_-_The_Deceptive_Mentality_of_Bakasura_-_Radhanath_Swami_-_ISKCON_Chowpatty.mp3", "57_-_Vrindavan_Yatra_2004_-_The_Deceptive_Mentality_of_Bakasura_-_Radhanath_Swami_-_ISKCON_Chowpatty.mp3")</f>
        <v>57_-_Vrindavan_Yatra_2004_-_The_Deceptive_Mentality_of_Bakasura_-_Radhanath_Swami_-_ISKCON_Chowpatty.mp3</v>
      </c>
      <c r="D4908" s="11"/>
      <c r="E4908" s="11"/>
    </row>
    <row r="4909" spans="1:5">
      <c r="A4909" s="12" t="s">
        <v>12464</v>
      </c>
      <c r="B4909" s="12" t="s">
        <v>17414</v>
      </c>
      <c r="C4909" s="13" t="str">
        <f>HYPERLINK("https://audio.iskcondesiretree.com/02_-_ISKCON_Swamis/ISKCON_Swamis_-_R_to_Y/His_Holiness_Radhanath_Swami/Lectures/02_-_Yatra/2004_Vrindavan_yatra/58_-_Vrindavan_Yatra_2004_-_Your_day_in_Vrindavan_-_Radhanath_Swami_-_ISKCON_Chowpatty.mp3", "58_-_Vrindavan_Yatra_2004_-_Your_day_in_Vrindavan_-_Radhanath_Swami_-_ISKCON_Chowpatty.mp3")</f>
        <v>58_-_Vrindavan_Yatra_2004_-_Your_day_in_Vrindavan_-_Radhanath_Swami_-_ISKCON_Chowpatty.mp3</v>
      </c>
      <c r="D4909" s="11"/>
      <c r="E4909" s="11"/>
    </row>
    <row r="4910" spans="1:5">
      <c r="A4910" s="12" t="s">
        <v>12464</v>
      </c>
      <c r="B4910" s="12" t="s">
        <v>17415</v>
      </c>
      <c r="C4910" s="13" t="str">
        <f>HYPERLINK("https://audio.iskcondesiretree.com/02_-_ISKCON_Swamis/ISKCON_Swamis_-_R_to_Y/His_Holiness_Radhanath_Swami/Lectures/02_-_Yatra/2004_Vrindavan_yatra/59_-_Vrindavan_Yatra_2004_-_Lalita_Sakhi%27s_Schemes_-_Radhanath_Swami_-_ISKCON_Chowpatty.mp3", "59_-_Vrindavan_Yatra_2004_-_Lalita_Sakhi%27s_Schemes_-_Radhanath_Swami_-_ISKCON_Chowpatty.mp3")</f>
        <v>59_-_Vrindavan_Yatra_2004_-_Lalita_Sakhi%27s_Schemes_-_Radhanath_Swami_-_ISKCON_Chowpatty.mp3</v>
      </c>
      <c r="D4910" s="11"/>
      <c r="E4910" s="11"/>
    </row>
    <row r="4911" spans="1:5">
      <c r="A4911" s="12" t="s">
        <v>12464</v>
      </c>
      <c r="B4911" s="12" t="s">
        <v>17416</v>
      </c>
      <c r="C4911" s="13" t="str">
        <f>HYPERLINK("https://audio.iskcondesiretree.com/02_-_ISKCON_Swamis/ISKCON_Swamis_-_R_to_Y/His_Holiness_Radhanath_Swami/Lectures/02_-_Yatra/2004_Vrindavan_yatra/60_-_Vrindavan_Yatra_2004_-_The_Mood_of_a_Selfless_Servant_-_Radhanath_Swami_-_ISKCON_Chowpatty.mp3", "60_-_Vrindavan_Yatra_2004_-_The_Mood_of_a_Selfless_Servant_-_Radhanath_Swami_-_ISKCON_Chowpatty.mp3")</f>
        <v>60_-_Vrindavan_Yatra_2004_-_The_Mood_of_a_Selfless_Servant_-_Radhanath_Swami_-_ISKCON_Chowpatty.mp3</v>
      </c>
      <c r="D4911" s="11"/>
      <c r="E4911" s="11"/>
    </row>
    <row r="4912" spans="1:5">
      <c r="A4912" s="12" t="s">
        <v>12464</v>
      </c>
      <c r="B4912" s="12" t="s">
        <v>17417</v>
      </c>
      <c r="C4912" s="13" t="str">
        <f>HYPERLINK("https://audio.iskcondesiretree.com/02_-_ISKCON_Swamis/ISKCON_Swamis_-_R_to_Y/His_Holiness_Radhanath_Swami/Lectures/02_-_Yatra/2004_Vrindavan_yatra/61_-_Vrindavan_Yatra_2004_-_Kirtan_at_Radha_Gopijanavallabha_Mandir_-_Radhanath_Swami_-_ISKCON_Chowpatty.mp3", "61_-_Vrindavan_Yatra_2004_-_Kirtan_at_Radha_Gopijanavallabha_Mandir_-_Radhanath_Swami_-_ISKCON_Chowpatty.mp3")</f>
        <v>61_-_Vrindavan_Yatra_2004_-_Kirtan_at_Radha_Gopijanavallabha_Mandir_-_Radhanath_Swami_-_ISKCON_Chowpatty.mp3</v>
      </c>
      <c r="D4912" s="11"/>
      <c r="E4912" s="11"/>
    </row>
    <row r="4913" spans="1:5">
      <c r="A4913" s="12" t="s">
        <v>12464</v>
      </c>
      <c r="B4913" s="12" t="s">
        <v>17418</v>
      </c>
      <c r="C4913" s="13" t="str">
        <f>HYPERLINK("https://audio.iskcondesiretree.com/02_-_ISKCON_Swamis/ISKCON_Swamis_-_R_to_Y/His_Holiness_Radhanath_Swami/Lectures/02_-_Yatra/2004_Vrindavan_yatra/62_-_Vrindavan_Yatra_2004_-_Qualifications_to_Enter_the_Holy_Dhama_-_Radhanath_Swami_-_ISKCON_Chowpatty.mp3", "62_-_Vrindavan_Yatra_2004_-_Qualifications_to_Enter_the_Holy_Dhama_-_Radhanath_Swami_-_ISKCON_Chowpatty.mp3")</f>
        <v>62_-_Vrindavan_Yatra_2004_-_Qualifications_to_Enter_the_Holy_Dhama_-_Radhanath_Swami_-_ISKCON_Chowpatty.mp3</v>
      </c>
      <c r="D4913" s="11"/>
      <c r="E4913" s="11"/>
    </row>
    <row r="4914" spans="1:5">
      <c r="A4914" s="12" t="s">
        <v>12464</v>
      </c>
      <c r="B4914" s="12" t="s">
        <v>17419</v>
      </c>
      <c r="C4914" s="13" t="str">
        <f>HYPERLINK("https://audio.iskcondesiretree.com/02_-_ISKCON_Swamis/ISKCON_Swamis_-_R_to_Y/His_Holiness_Radhanath_Swami/Lectures/02_-_Yatra/2004_Vrindavan_yatra/64_-_Vrindavan_Yatra_2004_-_The_Lilas_of_Lalita_Sakhi_-_Radhanath_Swami_-_ISKCON_Chowpatty.mp3", "64_-_Vrindavan_Yatra_2004_-_The_Lilas_of_Lalita_Sakhi_-_Radhanath_Swami_-_ISKCON_Chowpatty.mp3")</f>
        <v>64_-_Vrindavan_Yatra_2004_-_The_Lilas_of_Lalita_Sakhi_-_Radhanath_Swami_-_ISKCON_Chowpatty.mp3</v>
      </c>
      <c r="D4914" s="11"/>
      <c r="E4914" s="11"/>
    </row>
    <row r="4915" spans="1:5">
      <c r="A4915" s="12" t="s">
        <v>12464</v>
      </c>
      <c r="B4915" s="12" t="s">
        <v>17420</v>
      </c>
      <c r="C4915" s="13" t="str">
        <f>HYPERLINK("https://audio.iskcondesiretree.com/02_-_ISKCON_Swamis/ISKCON_Swamis_-_R_to_Y/His_Holiness_Radhanath_Swami/Lectures/02_-_Yatra/2004_Vrindavan_yatra/67_-_Vrindavan_Yatra_2004_-_Compassion_of_Srimati_Radharani_-_Radhanath_Swami_-_ISKCON_Chowpatty.mp3", "67_-_Vrindavan_Yatra_2004_-_Compassion_of_Srimati_Radharani_-_Radhanath_Swami_-_ISKCON_Chowpatty.mp3")</f>
        <v>67_-_Vrindavan_Yatra_2004_-_Compassion_of_Srimati_Radharani_-_Radhanath_Swami_-_ISKCON_Chowpatty.mp3</v>
      </c>
      <c r="D4915" s="11"/>
      <c r="E4915" s="11"/>
    </row>
    <row r="4916" spans="1:5">
      <c r="A4916" s="12" t="s">
        <v>12464</v>
      </c>
      <c r="B4916" s="12" t="s">
        <v>17421</v>
      </c>
      <c r="C4916" s="13" t="str">
        <f>HYPERLINK("https://audio.iskcondesiretree.com/02_-_ISKCON_Swamis/ISKCON_Swamis_-_R_to_Y/His_Holiness_Radhanath_Swami/Lectures/02_-_Yatra/2004_Vrindavan_yatra/68_-_Vrindavan_Yatra_2004_-_The_Greatest_Moment_of_Need_-_Radhanath_Swami_-_ISKCON_Chowpatty.mp3", "68_-_Vrindavan_Yatra_2004_-_The_Greatest_Moment_of_Need_-_Radhanath_Swami_-_ISKCON_Chowpatty.mp3")</f>
        <v>68_-_Vrindavan_Yatra_2004_-_The_Greatest_Moment_of_Need_-_Radhanath_Swami_-_ISKCON_Chowpatty.mp3</v>
      </c>
      <c r="D4916" s="11"/>
      <c r="E4916" s="11"/>
    </row>
    <row r="4917" spans="1:5">
      <c r="A4917" s="12" t="s">
        <v>12464</v>
      </c>
      <c r="B4917" s="12" t="s">
        <v>17422</v>
      </c>
      <c r="C4917" s="13" t="str">
        <f>HYPERLINK("https://audio.iskcondesiretree.com/02_-_ISKCON_Swamis/ISKCON_Swamis_-_R_to_Y/His_Holiness_Radhanath_Swami/Lectures/02_-_Yatra/2004_Vrindavan_yatra/69_-_Vrindavan_Yatra_2004_-_Intoxicated_State_of_Prema_-_Radhanath_Swami_-_ISKCON_Chowpatty.mp3", "69_-_Vrindavan_Yatra_2004_-_Intoxicated_State_of_Prema_-_Radhanath_Swami_-_ISKCON_Chowpatty.mp3")</f>
        <v>69_-_Vrindavan_Yatra_2004_-_Intoxicated_State_of_Prema_-_Radhanath_Swami_-_ISKCON_Chowpatty.mp3</v>
      </c>
      <c r="D4917" s="11"/>
      <c r="E4917" s="11"/>
    </row>
    <row r="4918" spans="1:5">
      <c r="A4918" s="12" t="s">
        <v>12464</v>
      </c>
      <c r="B4918" s="12" t="s">
        <v>17423</v>
      </c>
      <c r="C4918" s="13" t="str">
        <f>HYPERLINK("https://audio.iskcondesiretree.com/02_-_ISKCON_Swamis/ISKCON_Swamis_-_R_to_Y/His_Holiness_Radhanath_Swami/Lectures/02_-_Yatra/2004_Vrindavan_yatra/70_-_Vrindavan_Yatra_2004_-_Our_Hero_Balarama_-_Radhanath_Swami_-_ISKCON_Chowpatty.mp3", "70_-_Vrindavan_Yatra_2004_-_Our_Hero_Balarama_-_Radhanath_Swami_-_ISKCON_Chowpatty.mp3")</f>
        <v>70_-_Vrindavan_Yatra_2004_-_Our_Hero_Balarama_-_Radhanath_Swami_-_ISKCON_Chowpatty.mp3</v>
      </c>
      <c r="D4918" s="11"/>
      <c r="E4918" s="11"/>
    </row>
    <row r="4919" spans="1:5">
      <c r="A4919" s="12" t="s">
        <v>12464</v>
      </c>
      <c r="B4919" s="12" t="s">
        <v>17424</v>
      </c>
      <c r="C4919" s="13" t="str">
        <f>HYPERLINK("https://audio.iskcondesiretree.com/02_-_ISKCON_Swamis/ISKCON_Swamis_-_R_to_Y/His_Holiness_Radhanath_Swami/Lectures/02_-_Yatra/2004_Vrindavan_yatra/71_-_Vrindavan_Yatra_2004_-_The_Glories_of_Lord_Balarama_-_Radhanath_Swami_-_ISKCON_Chowpatty.mp3", "71_-_Vrindavan_Yatra_2004_-_The_Glories_of_Lord_Balarama_-_Radhanath_Swami_-_ISKCON_Chowpatty.mp3")</f>
        <v>71_-_Vrindavan_Yatra_2004_-_The_Glories_of_Lord_Balarama_-_Radhanath_Swami_-_ISKCON_Chowpatty.mp3</v>
      </c>
      <c r="D4919" s="11"/>
      <c r="E4919" s="11"/>
    </row>
    <row r="4920" spans="1:5">
      <c r="A4920" s="12" t="s">
        <v>12464</v>
      </c>
      <c r="B4920" s="12" t="s">
        <v>17425</v>
      </c>
      <c r="C4920" s="13" t="str">
        <f>HYPERLINK("https://audio.iskcondesiretree.com/02_-_ISKCON_Swamis/ISKCON_Swamis_-_R_to_Y/His_Holiness_Radhanath_Swami/Lectures/02_-_Yatra/2004_Vrindavan_yatra/72_-_Vrindavan_Yatra_2004_-_Gay_Goracand_Jiver_Tore_-_Radhanath_Swami_-_ISKCON_Chowpatty.mp3", "72_-_Vrindavan_Yatra_2004_-_Gay_Goracand_Jiver_Tore_-_Radhanath_Swami_-_ISKCON_Chowpatty.mp3")</f>
        <v>72_-_Vrindavan_Yatra_2004_-_Gay_Goracand_Jiver_Tore_-_Radhanath_Swami_-_ISKCON_Chowpatty.mp3</v>
      </c>
      <c r="D4920" s="11"/>
      <c r="E4920" s="11"/>
    </row>
    <row r="4921" spans="1:5">
      <c r="A4921" s="12" t="s">
        <v>12464</v>
      </c>
      <c r="B4921" s="12" t="s">
        <v>17426</v>
      </c>
      <c r="C4921" s="13" t="str">
        <f>HYPERLINK("https://audio.iskcondesiretree.com/02_-_ISKCON_Swamis/ISKCON_Swamis_-_R_to_Y/His_Holiness_Radhanath_Swami/Lectures/02_-_Yatra/2004_Vrindavan_yatra/73_-_Vrindavan_Yatra_2004_-_Brahma-Vimohana_Lila_-_Radhanath_Swami_-_ISKCON_Chowpatty.mp3", "73_-_Vrindavan_Yatra_2004_-_Brahma-Vimohana_Lila_-_Radhanath_Swami_-_ISKCON_Chowpatty.mp3")</f>
        <v>73_-_Vrindavan_Yatra_2004_-_Brahma-Vimohana_Lila_-_Radhanath_Swami_-_ISKCON_Chowpatty.mp3</v>
      </c>
      <c r="D4921" s="11"/>
      <c r="E4921" s="11"/>
    </row>
    <row r="4922" spans="1:5">
      <c r="A4922" s="12" t="s">
        <v>12464</v>
      </c>
      <c r="B4922" s="12" t="s">
        <v>17427</v>
      </c>
      <c r="C4922" s="13" t="str">
        <f>HYPERLINK("https://audio.iskcondesiretree.com/02_-_ISKCON_Swamis/ISKCON_Swamis_-_R_to_Y/His_Holiness_Radhanath_Swami/Lectures/02_-_Yatra/2004_Vrindavan_yatra/74_-_Vrindavan_Yatra_2004_-_Giving_Krishna_Tilll_the_Last_Breath_-_Radhanath_Swami_-_ISKCON_Chowpatty.mp3", "74_-_Vrindavan_Yatra_2004_-_Giving_Krishna_Tilll_the_Last_Breath_-_Radhanath_Swami_-_ISKCON_Chowpatty.mp3")</f>
        <v>74_-_Vrindavan_Yatra_2004_-_Giving_Krishna_Tilll_the_Last_Breath_-_Radhanath_Swami_-_ISKCON_Chowpatty.mp3</v>
      </c>
      <c r="D4922" s="11"/>
      <c r="E4922" s="11"/>
    </row>
    <row r="4923" spans="1:5">
      <c r="A4923" s="12" t="s">
        <v>12464</v>
      </c>
      <c r="B4923" s="12" t="s">
        <v>17428</v>
      </c>
      <c r="C4923" s="13" t="str">
        <f>HYPERLINK("https://audio.iskcondesiretree.com/02_-_ISKCON_Swamis/ISKCON_Swamis_-_R_to_Y/His_Holiness_Radhanath_Swami/Lectures/02_-_Yatra/2004_Vrindavan_yatra/76_-_Vrindavan_Yatra_2004_-_The_Mood_of_Entering_Vrindavan_-_Radhanath_Swami_-_ISKCON_Chowpatty.mp3", "76_-_Vrindavan_Yatra_2004_-_The_Mood_of_Entering_Vrindavan_-_Radhanath_Swami_-_ISKCON_Chowpatty.mp3")</f>
        <v>76_-_Vrindavan_Yatra_2004_-_The_Mood_of_Entering_Vrindavan_-_Radhanath_Swami_-_ISKCON_Chowpatty.mp3</v>
      </c>
      <c r="D4923" s="11"/>
      <c r="E4923" s="11"/>
    </row>
    <row r="4924" spans="1:5">
      <c r="A4924" s="12" t="s">
        <v>12464</v>
      </c>
      <c r="B4924" s="12" t="s">
        <v>17429</v>
      </c>
      <c r="C4924" s="13" t="str">
        <f>HYPERLINK("https://audio.iskcondesiretree.com/02_-_ISKCON_Swamis/ISKCON_Swamis_-_R_to_Y/His_Holiness_Radhanath_Swami/Lectures/02_-_Yatra/2004_Vrindavan_yatra/77_-_Vrindavan_Yatra_2004_-_Ami_Yamuna_Puline_-_Radhanath_Swami_-_ISKCON_Chowpatty.mp3", "77_-_Vrindavan_Yatra_2004_-_Ami_Yamuna_Puline_-_Radhanath_Swami_-_ISKCON_Chowpatty.mp3")</f>
        <v>77_-_Vrindavan_Yatra_2004_-_Ami_Yamuna_Puline_-_Radhanath_Swami_-_ISKCON_Chowpatty.mp3</v>
      </c>
      <c r="D4924" s="11"/>
      <c r="E4924" s="11"/>
    </row>
    <row r="4925" spans="1:5">
      <c r="A4925" s="12" t="s">
        <v>12464</v>
      </c>
      <c r="B4925" s="12" t="s">
        <v>17430</v>
      </c>
      <c r="C4925" s="13" t="str">
        <f>HYPERLINK("https://audio.iskcondesiretree.com/02_-_ISKCON_Swamis/ISKCON_Swamis_-_R_to_Y/His_Holiness_Radhanath_Swami/Lectures/02_-_Yatra/2004_Vrindavan_yatra/78_-_Vrindavan_Yatra_2004_-_The_Marriage_of_Radha_and_Krishna_-_Radhanath_Swami_-_ISKCON_Chowpatty.mp3", "78_-_Vrindavan_Yatra_2004_-_The_Marriage_of_Radha_and_Krishna_-_Radhanath_Swami_-_ISKCON_Chowpatty.mp3")</f>
        <v>78_-_Vrindavan_Yatra_2004_-_The_Marriage_of_Radha_and_Krishna_-_Radhanath_Swami_-_ISKCON_Chowpatty.mp3</v>
      </c>
      <c r="D4925" s="11"/>
      <c r="E4925" s="11"/>
    </row>
    <row r="4926" spans="1:5">
      <c r="A4926" s="12" t="s">
        <v>12464</v>
      </c>
      <c r="B4926" s="12" t="s">
        <v>17431</v>
      </c>
      <c r="C4926" s="13" t="str">
        <f>HYPERLINK("https://audio.iskcondesiretree.com/02_-_ISKCON_Swamis/ISKCON_Swamis_-_R_to_Y/His_Holiness_Radhanath_Swami/Lectures/02_-_Yatra/2004_Vrindavan_yatra/79_-_Vrindavan_Yatra_2004_-_The_Killing_of_Pralambasura_-_Radhanath_Swami_-_ISKCON_Chowpatty.mp3", "79_-_Vrindavan_Yatra_2004_-_The_Killing_of_Pralambasura_-_Radhanath_Swami_-_ISKCON_Chowpatty.mp3")</f>
        <v>79_-_Vrindavan_Yatra_2004_-_The_Killing_of_Pralambasura_-_Radhanath_Swami_-_ISKCON_Chowpatty.mp3</v>
      </c>
      <c r="D4926" s="11"/>
      <c r="E4926" s="11"/>
    </row>
    <row r="4927" spans="1:5">
      <c r="A4927" s="12" t="s">
        <v>12464</v>
      </c>
      <c r="B4927" s="12" t="s">
        <v>17432</v>
      </c>
      <c r="C4927" s="13" t="str">
        <f>HYPERLINK("https://audio.iskcondesiretree.com/02_-_ISKCON_Swamis/ISKCON_Swamis_-_R_to_Y/His_Holiness_Radhanath_Swami/Lectures/02_-_Yatra/2004_Vrindavan_yatra/80_-_Vrindavan_Yatra_2004_-_Trancendental_Youth_Tie_the_Knot_-_Radhanath_Swami_-_ISKCON_Chowpatty.mp3", "80_-_Vrindavan_Yatra_2004_-_Trancendental_Youth_Tie_the_Knot_-_Radhanath_Swami_-_ISKCON_Chowpatty.mp3")</f>
        <v>80_-_Vrindavan_Yatra_2004_-_Trancendental_Youth_Tie_the_Knot_-_Radhanath_Swami_-_ISKCON_Chowpatty.mp3</v>
      </c>
      <c r="D4927" s="11"/>
      <c r="E4927" s="11"/>
    </row>
    <row r="4928" spans="1:5">
      <c r="A4928" s="12" t="s">
        <v>12464</v>
      </c>
      <c r="B4928" s="12" t="s">
        <v>17433</v>
      </c>
      <c r="C4928" s="13" t="str">
        <f>HYPERLINK("https://audio.iskcondesiretree.com/02_-_ISKCON_Swamis/ISKCON_Swamis_-_R_to_Y/His_Holiness_Radhanath_Swami/Lectures/02_-_Yatra/2004_Vrindavan_yatra/81_-_Vrindavan_Yatra_2004_-_Dancing_in_Small_Circles_Kirtan_-_Radhanath_Swami_-_ISKCON_Chowpatty.mp3", "81_-_Vrindavan_Yatra_2004_-_Dancing_in_Small_Circles_Kirtan_-_Radhanath_Swami_-_ISKCON_Chowpatty.mp3")</f>
        <v>81_-_Vrindavan_Yatra_2004_-_Dancing_in_Small_Circles_Kirtan_-_Radhanath_Swami_-_ISKCON_Chowpatty.mp3</v>
      </c>
      <c r="D4928" s="11"/>
      <c r="E4928" s="11"/>
    </row>
    <row r="4929" spans="1:5">
      <c r="A4929" s="12" t="s">
        <v>12464</v>
      </c>
      <c r="B4929" s="12" t="s">
        <v>17434</v>
      </c>
      <c r="C4929" s="13" t="str">
        <f>HYPERLINK("https://audio.iskcondesiretree.com/02_-_ISKCON_Swamis/ISKCON_Swamis_-_R_to_Y/His_Holiness_Radhanath_Swami/Lectures/02_-_Yatra/2004_Vrindavan_yatra/82_-_Vrindavan_Yatra_2004_-_The_Glories_of_Devamrta_Prabhu_-_Radhanath_Swami_-_ISKCON_Chowpatty.mp3", "82_-_Vrindavan_Yatra_2004_-_The_Glories_of_Devamrta_Prabhu_-_Radhanath_Swami_-_ISKCON_Chowpatty.mp3")</f>
        <v>82_-_Vrindavan_Yatra_2004_-_The_Glories_of_Devamrta_Prabhu_-_Radhanath_Swami_-_ISKCON_Chowpatty.mp3</v>
      </c>
      <c r="D4929" s="11"/>
      <c r="E4929" s="11"/>
    </row>
    <row r="4930" spans="1:5">
      <c r="A4930" s="12" t="s">
        <v>12464</v>
      </c>
      <c r="B4930" s="12" t="s">
        <v>17435</v>
      </c>
      <c r="C4930" s="13" t="str">
        <f>HYPERLINK("https://audio.iskcondesiretree.com/02_-_ISKCON_Swamis/ISKCON_Swamis_-_R_to_Y/His_Holiness_Radhanath_Swami/Lectures/02_-_Yatra/2004_Vrindavan_yatra/83_-_Vrindavan_Yatra_2004_-_Your_day_in_Vrindavan_-_Radhanath_Swami_-_ISKCON_Chowpatty.mp3", "83_-_Vrindavan_Yatra_2004_-_Your_day_in_Vrindavan_-_Radhanath_Swami_-_ISKCON_Chowpatty.mp3")</f>
        <v>83_-_Vrindavan_Yatra_2004_-_Your_day_in_Vrindavan_-_Radhanath_Swami_-_ISKCON_Chowpatty.mp3</v>
      </c>
      <c r="D4930" s="11"/>
      <c r="E4930" s="11"/>
    </row>
    <row r="4931" spans="1:5">
      <c r="A4931" s="12" t="s">
        <v>12464</v>
      </c>
      <c r="B4931" s="12" t="s">
        <v>17436</v>
      </c>
      <c r="C4931" s="13" t="str">
        <f>HYPERLINK("https://audio.iskcondesiretree.com/02_-_ISKCON_Swamis/ISKCON_Swamis_-_R_to_Y/His_Holiness_Radhanath_Swami/Lectures/02_-_Yatra/2004_Vrindavan_yatra/84_-_Vrindavan_Yatra_2004_-_The_Mood_of_a_Selfless_Servant_-_Radhanath_Swami_-_ISKCON_Chowpatty.mp3", "84_-_Vrindavan_Yatra_2004_-_The_Mood_of_a_Selfless_Servant_-_Radhanath_Swami_-_ISKCON_Chowpatty.mp3")</f>
        <v>84_-_Vrindavan_Yatra_2004_-_The_Mood_of_a_Selfless_Servant_-_Radhanath_Swami_-_ISKCON_Chowpatty.mp3</v>
      </c>
      <c r="D4931" s="11"/>
      <c r="E4931" s="11"/>
    </row>
    <row r="4932" spans="1:5">
      <c r="A4932" s="12" t="s">
        <v>12464</v>
      </c>
      <c r="B4932" s="12" t="s">
        <v>17437</v>
      </c>
      <c r="C4932" s="13" t="str">
        <f>HYPERLINK("https://audio.iskcondesiretree.com/02_-_ISKCON_Swamis/ISKCON_Swamis_-_R_to_Y/His_Holiness_Radhanath_Swami/Lectures/02_-_Yatra/2004_Vrindavan_yatra/85_-_Vrindavan_Yatra_2004_-_Kirtan_at_Radha_Gopijanavallabha_Mandir_-_Radhanath_Swami_-_ISKCON_Chowpatty.mp3", "85_-_Vrindavan_Yatra_2004_-_Kirtan_at_Radha_Gopijanavallabha_Mandir_-_Radhanath_Swami_-_ISKCON_Chowpatty.mp3")</f>
        <v>85_-_Vrindavan_Yatra_2004_-_Kirtan_at_Radha_Gopijanavallabha_Mandir_-_Radhanath_Swami_-_ISKCON_Chowpatty.mp3</v>
      </c>
      <c r="D4932" s="11"/>
      <c r="E4932" s="11"/>
    </row>
    <row r="4933" spans="1:5">
      <c r="A4933" s="12" t="s">
        <v>12464</v>
      </c>
      <c r="B4933" s="12" t="s">
        <v>17438</v>
      </c>
      <c r="C4933" s="13" t="str">
        <f>HYPERLINK("https://audio.iskcondesiretree.com/02_-_ISKCON_Swamis/ISKCON_Swamis_-_R_to_Y/His_Holiness_Radhanath_Swami/Lectures/02_-_Yatra/2005-2006_South_India_yatra/01_Tirupati/SIY_Tirupati_01_-_Mangalacharana_-_Radhanath_Swami.mp3", "SIY_Tirupati_01_-_Mangalacharana_-_Radhanath_Swami.mp3")</f>
        <v>SIY_Tirupati_01_-_Mangalacharana_-_Radhanath_Swami.mp3</v>
      </c>
      <c r="D4933" s="11"/>
      <c r="E4933" s="11"/>
    </row>
    <row r="4934" spans="1:5">
      <c r="A4934" s="12" t="s">
        <v>12464</v>
      </c>
      <c r="B4934" s="12" t="s">
        <v>17439</v>
      </c>
      <c r="C4934" s="13" t="str">
        <f>HYPERLINK("https://audio.iskcondesiretree.com/02_-_ISKCON_Swamis/ISKCON_Swamis_-_R_to_Y/His_Holiness_Radhanath_Swami/Lectures/02_-_Yatra/2005-2006_South_India_yatra/01_Tirupati/SIY_Tirupati_02_-_Establishing_the_Spirit_of_Yatra_-_Radhanath_Swami.mp3", "SIY_Tirupati_02_-_Establishing_the_Spirit_of_Yatra_-_Radhanath_Swami.mp3")</f>
        <v>SIY_Tirupati_02_-_Establishing_the_Spirit_of_Yatra_-_Radhanath_Swami.mp3</v>
      </c>
      <c r="D4934" s="11"/>
      <c r="E4934" s="11"/>
    </row>
    <row r="4935" spans="1:5">
      <c r="A4935" s="12" t="s">
        <v>12464</v>
      </c>
      <c r="B4935" s="12" t="s">
        <v>17440</v>
      </c>
      <c r="C4935" s="13" t="str">
        <f>HYPERLINK("https://audio.iskcondesiretree.com/02_-_ISKCON_Swamis/ISKCON_Swamis_-_R_to_Y/His_Holiness_Radhanath_Swami/Lectures/02_-_Yatra/2005-2006_South_India_yatra/01_Tirupati/SIY_Tirupati_03_-_Lord_Srinivas%27s_Separation_For_Lakshmi_Devi_-_Radhanath_Swami.mp3", "SIY_Tirupati_03_-_Lord_Srinivas%27s_Separation_For_Lakshmi_Devi_-_Radhanath_Swami.mp3")</f>
        <v>SIY_Tirupati_03_-_Lord_Srinivas%27s_Separation_For_Lakshmi_Devi_-_Radhanath_Swami.mp3</v>
      </c>
      <c r="D4935" s="11"/>
      <c r="E4935" s="11"/>
    </row>
    <row r="4936" spans="1:5">
      <c r="A4936" s="12" t="s">
        <v>12464</v>
      </c>
      <c r="B4936" s="12" t="s">
        <v>17441</v>
      </c>
      <c r="C4936" s="13" t="str">
        <f>HYPERLINK("https://audio.iskcondesiretree.com/02_-_ISKCON_Swamis/ISKCON_Swamis_-_R_to_Y/His_Holiness_Radhanath_Swami/Lectures/02_-_Yatra/2005-2006_South_India_yatra/01_Tirupati/SIY_Tirupati_04_-_Vedavati_The_Emblem_of_Chastity_and_Patience_-_Radhanath_Swami.mp3", "SIY_Tirupati_04_-_Vedavati_The_Emblem_of_Chastity_and_Patience_-_Radhanath_Swami.mp3")</f>
        <v>SIY_Tirupati_04_-_Vedavati_The_Emblem_of_Chastity_and_Patience_-_Radhanath_Swami.mp3</v>
      </c>
      <c r="D4936" s="11"/>
      <c r="E4936" s="11"/>
    </row>
    <row r="4937" spans="1:5">
      <c r="A4937" s="12" t="s">
        <v>12464</v>
      </c>
      <c r="B4937" s="12" t="s">
        <v>17442</v>
      </c>
      <c r="C4937" s="13" t="str">
        <f>HYPERLINK("https://audio.iskcondesiretree.com/02_-_ISKCON_Swamis/ISKCON_Swamis_-_R_to_Y/His_Holiness_Radhanath_Swami/Lectures/02_-_Yatra/2005-2006_South_India_yatra/01_Tirupati/SIY_Tirupati_05_-_Behaviour_of_An_Ideal_Disciple_-_Radhanath_Swami.mp3", "SIY_Tirupati_05_-_Behaviour_of_An_Ideal_Disciple_-_Radhanath_Swami.mp3")</f>
        <v>SIY_Tirupati_05_-_Behaviour_of_An_Ideal_Disciple_-_Radhanath_Swami.mp3</v>
      </c>
      <c r="D4937" s="11"/>
      <c r="E4937" s="11"/>
    </row>
    <row r="4938" spans="1:5">
      <c r="A4938" s="12" t="s">
        <v>12464</v>
      </c>
      <c r="B4938" s="12" t="s">
        <v>17443</v>
      </c>
      <c r="C4938" s="13" t="str">
        <f>HYPERLINK("https://audio.iskcondesiretree.com/02_-_ISKCON_Swamis/ISKCON_Swamis_-_R_to_Y/His_Holiness_Radhanath_Swami/Lectures/02_-_Yatra/2005-2006_South_India_yatra/01_Tirupati/SIY_Tirupati_06_-_Qualities_of_a_True_Vaisnava_-_Radhanath_Swami.mp3", "SIY_Tirupati_06_-_Qualities_of_a_True_Vaisnava_-_Radhanath_Swami.mp3")</f>
        <v>SIY_Tirupati_06_-_Qualities_of_a_True_Vaisnava_-_Radhanath_Swami.mp3</v>
      </c>
      <c r="D4938" s="11"/>
      <c r="E4938" s="11"/>
    </row>
    <row r="4939" spans="1:5">
      <c r="A4939" s="12" t="s">
        <v>12464</v>
      </c>
      <c r="B4939" s="12" t="s">
        <v>17444</v>
      </c>
      <c r="C4939" s="13" t="str">
        <f>HYPERLINK("https://audio.iskcondesiretree.com/02_-_ISKCON_Swamis/ISKCON_Swamis_-_R_to_Y/His_Holiness_Radhanath_Swami/Lectures/02_-_Yatra/2005-2006_South_India_yatra/02_Kanchipuram/SIY_Kanchipuram_04_-_Ramanuja_Accepts_Sannyas_-_Radhanath_Swami.mp3", "SIY_Kanchipuram_04_-_Ramanuja_Accepts_Sannyas_-_Radhanath_Swami.mp3")</f>
        <v>SIY_Kanchipuram_04_-_Ramanuja_Accepts_Sannyas_-_Radhanath_Swami.mp3</v>
      </c>
      <c r="D4939" s="11"/>
      <c r="E4939" s="11"/>
    </row>
    <row r="4940" spans="1:5">
      <c r="A4940" s="12" t="s">
        <v>12464</v>
      </c>
      <c r="B4940" s="12" t="s">
        <v>17445</v>
      </c>
      <c r="C4940" s="13" t="str">
        <f>HYPERLINK("https://audio.iskcondesiretree.com/02_-_ISKCON_Swamis/ISKCON_Swamis_-_R_to_Y/His_Holiness_Radhanath_Swami/Lectures/02_-_Yatra/2005-2006_South_India_yatra/02_Kanchipuram/SIY_Kanchipuram_06_-_Ramanuja%27s_pastimes_-_Radhanath_Swami.mp3", "SIY_Kanchipuram_06_-_Ramanuja%27s_pastimes_-_Radhanath_Swami.mp3")</f>
        <v>SIY_Kanchipuram_06_-_Ramanuja%27s_pastimes_-_Radhanath_Swami.mp3</v>
      </c>
      <c r="D4940" s="11"/>
      <c r="E4940" s="11"/>
    </row>
    <row r="4941" spans="1:5">
      <c r="A4941" s="12" t="s">
        <v>12464</v>
      </c>
      <c r="B4941" s="12" t="s">
        <v>17446</v>
      </c>
      <c r="C4941" s="13" t="str">
        <f>HYPERLINK("https://audio.iskcondesiretree.com/02_-_ISKCON_Swamis/ISKCON_Swamis_-_R_to_Y/His_Holiness_Radhanath_Swami/Lectures/02_-_Yatra/2005-2006_South_India_yatra/02_Kanchipuram/SIY_Kanchipuram_09_-_Glorious_Departure_of_Quresh_-_Radhanath_Swami.mp3", "SIY_Kanchipuram_09_-_Glorious_Departure_of_Quresh_-_Radhanath_Swami.mp3")</f>
        <v>SIY_Kanchipuram_09_-_Glorious_Departure_of_Quresh_-_Radhanath_Swami.mp3</v>
      </c>
      <c r="D4941" s="11"/>
      <c r="E4941" s="11"/>
    </row>
    <row r="4942" spans="1:5">
      <c r="A4942" s="12" t="s">
        <v>12464</v>
      </c>
      <c r="B4942" s="12" t="s">
        <v>17447</v>
      </c>
      <c r="C4942" s="13" t="str">
        <f>HYPERLINK("https://audio.iskcondesiretree.com/02_-_ISKCON_Swamis/ISKCON_Swamis_-_R_to_Y/His_Holiness_Radhanath_Swami/Lectures/02_-_Yatra/2005-2006_South_India_yatra/03_Sri%20Rangam/SIY_Sri_Rangam_02_-_History_of_the_Sri_Rangam_Temple_-_Radhanath_Swami.mp3", "SIY_Sri_Rangam_02_-_History_of_the_Sri_Rangam_Temple_-_Radhanath_Swami.mp3")</f>
        <v>SIY_Sri_Rangam_02_-_History_of_the_Sri_Rangam_Temple_-_Radhanath_Swami.mp3</v>
      </c>
      <c r="D4942" s="11"/>
      <c r="E4942" s="11"/>
    </row>
    <row r="4943" spans="1:5">
      <c r="A4943" s="12" t="s">
        <v>12464</v>
      </c>
      <c r="B4943" s="12" t="s">
        <v>17448</v>
      </c>
      <c r="C4943" s="13" t="str">
        <f>HYPERLINK("https://audio.iskcondesiretree.com/02_-_ISKCON_Swamis/ISKCON_Swamis_-_R_to_Y/His_Holiness_Radhanath_Swami/Lectures/02_-_Yatra/2005-2006_South_India_yatra/03_Sri%20Rangam/SIY_Sri_Rangam_03_-_Keeping_the_Spirit_of_the_Parampara_Alive_-_Radhanath_Swami.mp3", "SIY_Sri_Rangam_03_-_Keeping_the_Spirit_of_the_Parampara_Alive_-_Radhanath_Swami.mp3")</f>
        <v>SIY_Sri_Rangam_03_-_Keeping_the_Spirit_of_the_Parampara_Alive_-_Radhanath_Swami.mp3</v>
      </c>
      <c r="D4943" s="11"/>
      <c r="E4943" s="11"/>
    </row>
    <row r="4944" spans="1:5">
      <c r="A4944" s="12" t="s">
        <v>12464</v>
      </c>
      <c r="B4944" s="12" t="s">
        <v>17449</v>
      </c>
      <c r="C4944" s="13" t="str">
        <f>HYPERLINK("https://audio.iskcondesiretree.com/02_-_ISKCON_Swamis/ISKCON_Swamis_-_R_to_Y/His_Holiness_Radhanath_Swami/Lectures/02_-_Yatra/2005-2006_South_India_yatra/03_Sri%20Rangam/SIY_Sri_Rangam_04_-_Mahaprabhu_Begins_his_South_India_Tour_-_Radhanath_Swami.mp3", "SIY_Sri_Rangam_04_-_Mahaprabhu_Begins_his_South_India_Tour_-_Radhanath_Swami.mp3")</f>
        <v>SIY_Sri_Rangam_04_-_Mahaprabhu_Begins_his_South_India_Tour_-_Radhanath_Swami.mp3</v>
      </c>
      <c r="D4944" s="11"/>
      <c r="E4944" s="11"/>
    </row>
    <row r="4945" spans="1:5">
      <c r="A4945" s="12" t="s">
        <v>12464</v>
      </c>
      <c r="B4945" s="12" t="s">
        <v>17450</v>
      </c>
      <c r="C4945" s="13" t="str">
        <f>HYPERLINK("https://audio.iskcondesiretree.com/02_-_ISKCON_Swamis/ISKCON_Swamis_-_R_to_Y/His_Holiness_Radhanath_Swami/Lectures/02_-_Yatra/2005-2006_South_India_yatra/03_Sri%20Rangam/SIY_Sri_Rangam_05_-_Mahaprabhu_Delivers_Vasudeva_the_Leper_-_Radhanath_Swami.mp3", "SIY_Sri_Rangam_05_-_Mahaprabhu_Delivers_Vasudeva_the_Leper_-_Radhanath_Swami.mp3")</f>
        <v>SIY_Sri_Rangam_05_-_Mahaprabhu_Delivers_Vasudeva_the_Leper_-_Radhanath_Swami.mp3</v>
      </c>
      <c r="D4945" s="11"/>
      <c r="E4945" s="11"/>
    </row>
    <row r="4946" spans="1:5">
      <c r="A4946" s="12" t="s">
        <v>12464</v>
      </c>
      <c r="B4946" s="12" t="e">
        <v>#VALUE!</v>
      </c>
      <c r="C4946" s="13" t="e">
        <f>HYPERLINK("https://audio.iskcondesiretree.com/02_-_ISKCON_Swamis/ISKCON_Swamis_-_R_to_Y/His_Holiness_Radhanath_Swami/Lectures/02_-_Yatra/2005-2006_South_India_yatra/03_Sri%20Rangam/SIY_Sri_Rangam_07_-_Mahaprabhu%27s_Stay_At_Venkata_Bhatt%27s_House_-_Radhanath_Swami."&amp;"mp3", "SIY_Sri_Rangam_07_-_Mahaprabhu%27s_Stay_At_Venkata_Bhatt%27s_House_-_Radhanath_Swami.mp3")</f>
        <v>#VALUE!</v>
      </c>
      <c r="D4946" s="11"/>
      <c r="E4946" s="11"/>
    </row>
    <row r="4947" spans="1:5">
      <c r="A4947" s="12" t="s">
        <v>12464</v>
      </c>
      <c r="B4947" s="12" t="s">
        <v>17451</v>
      </c>
      <c r="C4947" s="13" t="str">
        <f>HYPERLINK("https://audio.iskcondesiretree.com/02_-_ISKCON_Swamis/ISKCON_Swamis_-_R_to_Y/His_Holiness_Radhanath_Swami/Lectures/02_-_Yatra/2005-2006_South_India_yatra/03_Sri%20Rangam/SIY_Sri_Rangam_08_-_Glorification_of_Gaudiya_Sampradaya_-_Radhanath_Swami.mp3", "SIY_Sri_Rangam_08_-_Glorification_of_Gaudiya_Sampradaya_-_Radhanath_Swami.mp3")</f>
        <v>SIY_Sri_Rangam_08_-_Glorification_of_Gaudiya_Sampradaya_-_Radhanath_Swami.mp3</v>
      </c>
      <c r="D4947" s="11"/>
      <c r="E4947" s="11"/>
    </row>
    <row r="4948" spans="1:5">
      <c r="A4948" s="12" t="s">
        <v>12464</v>
      </c>
      <c r="B4948" s="12" t="e">
        <v>#VALUE!</v>
      </c>
      <c r="C4948" s="13" t="e">
        <f>HYPERLINK("https://audio.iskcondesiretree.com/02_-_ISKCON_Swamis/ISKCON_Swamis_-_R_to_Y/His_Holiness_Radhanath_Swami/Lectures/02_-_Yatra/2005-2006_South_India_yatra/03_Sri%20Rangam/SIY_Sri_Rangam_11_-_Lord_Nityananda_Prabhu%27s_Journey_to_Navadvipa_-_Radhanath_Swami"&amp;".mp3", "SIY_Sri_Rangam_11_-_Lord_Nityananda_Prabhu%27s_Journey_to_Navadvipa_-_Radhanath_Swami.mp3")</f>
        <v>#VALUE!</v>
      </c>
      <c r="D4948" s="11"/>
      <c r="E4948" s="11"/>
    </row>
    <row r="4949" spans="1:5">
      <c r="A4949" s="12" t="s">
        <v>12464</v>
      </c>
      <c r="B4949" s="12" t="s">
        <v>17452</v>
      </c>
      <c r="C4949" s="13" t="str">
        <f>HYPERLINK("https://audio.iskcondesiretree.com/02_-_ISKCON_Swamis/ISKCON_Swamis_-_R_to_Y/His_Holiness_Radhanath_Swami/Lectures/02_-_Yatra/2005-2006_South_India_yatra/03_Sri%20Rangam/SIY_Sri_Rangam_13_-_Kirtan_at_Sri_Rangam_Temple-04_-_Radhanath_Swami.mp3", "SIY_Sri_Rangam_13_-_Kirtan_at_Sri_Rangam_Temple-04_-_Radhanath_Swami.mp3")</f>
        <v>SIY_Sri_Rangam_13_-_Kirtan_at_Sri_Rangam_Temple-04_-_Radhanath_Swami.mp3</v>
      </c>
      <c r="D4949" s="11"/>
      <c r="E4949" s="11"/>
    </row>
    <row r="4950" spans="1:5">
      <c r="A4950" s="12" t="s">
        <v>12464</v>
      </c>
      <c r="B4950" s="12" t="s">
        <v>17453</v>
      </c>
      <c r="C4950" s="13" t="str">
        <f>HYPERLINK("https://audio.iskcondesiretree.com/02_-_ISKCON_Swamis/ISKCON_Swamis_-_R_to_Y/His_Holiness_Radhanath_Swami/Lectures/02_-_Yatra/2005-2006_South_India_yatra/04_Rameshwaram/SIY_Rameshwaram_02_-_%20Mighty_Hanuman%27s_Mighty_Deeds_-_Radhanath_Swami.mp3", "SIY_Rameshwaram_02_-_%20Mighty_Hanuman%27s_Mighty_Deeds_-_Radhanath_Swami.mp3")</f>
        <v>SIY_Rameshwaram_02_-_%20Mighty_Hanuman%27s_Mighty_Deeds_-_Radhanath_Swami.mp3</v>
      </c>
      <c r="D4950" s="11"/>
      <c r="E4950" s="11"/>
    </row>
    <row r="4951" spans="1:5">
      <c r="A4951" s="12" t="s">
        <v>12464</v>
      </c>
      <c r="B4951" s="12" t="s">
        <v>17454</v>
      </c>
      <c r="C4951" s="13" t="str">
        <f>HYPERLINK("https://audio.iskcondesiretree.com/02_-_ISKCON_Swamis/ISKCON_Swamis_-_R_to_Y/His_Holiness_Radhanath_Swami/Lectures/02_-_Yatra/2005-2006_South_India_yatra/04_Rameshwaram/SIY_Rameshwaram_03_-_Vibhishana%27s_Advice_to_Ravana%27s_Plot_-_Radhanath_Swami.mp3", "SIY_Rameshwaram_03_-_Vibhishana%27s_Advice_to_Ravana%27s_Plot_-_Radhanath_Swami.mp3")</f>
        <v>SIY_Rameshwaram_03_-_Vibhishana%27s_Advice_to_Ravana%27s_Plot_-_Radhanath_Swami.mp3</v>
      </c>
      <c r="D4951" s="11"/>
      <c r="E4951" s="11"/>
    </row>
    <row r="4952" spans="1:5">
      <c r="A4952" s="12" t="s">
        <v>12464</v>
      </c>
      <c r="B4952" s="12" t="s">
        <v>17455</v>
      </c>
      <c r="C4952" s="13" t="str">
        <f>HYPERLINK("https://audio.iskcondesiretree.com/02_-_ISKCON_Swamis/ISKCON_Swamis_-_R_to_Y/His_Holiness_Radhanath_Swami/Lectures/02_-_Yatra/2005-2006_South_India_yatra/04_Rameshwaram/SIY_Rameshwaram_04_-_Vibhishana_Surrenders_To_Lord_Rama_-_Radhanath_Swami.mp3", "SIY_Rameshwaram_04_-_Vibhishana_Surrenders_To_Lord_Rama_-_Radhanath_Swami.mp3")</f>
        <v>SIY_Rameshwaram_04_-_Vibhishana_Surrenders_To_Lord_Rama_-_Radhanath_Swami.mp3</v>
      </c>
      <c r="D4952" s="11"/>
      <c r="E4952" s="11"/>
    </row>
    <row r="4953" spans="1:5">
      <c r="A4953" s="12" t="s">
        <v>12464</v>
      </c>
      <c r="B4953" s="12" t="s">
        <v>17456</v>
      </c>
      <c r="C4953" s="13" t="str">
        <f>HYPERLINK("https://audio.iskcondesiretree.com/02_-_ISKCON_Swamis/ISKCON_Swamis_-_R_to_Y/His_Holiness_Radhanath_Swami/Lectures/02_-_Yatra/2005-2006_South_India_yatra/04_Rameshwaram/SIY_Rameshwaram_05_-_Sacrifice_of_Lord_Laksman_-_Radhanath_Swami.mp3", "SIY_Rameshwaram_05_-_Sacrifice_of_Lord_Laksman_-_Radhanath_Swami.mp3")</f>
        <v>SIY_Rameshwaram_05_-_Sacrifice_of_Lord_Laksman_-_Radhanath_Swami.mp3</v>
      </c>
      <c r="D4953" s="11"/>
      <c r="E4953" s="11"/>
    </row>
    <row r="4954" spans="1:5">
      <c r="A4954" s="12" t="s">
        <v>12464</v>
      </c>
      <c r="B4954" s="12" t="s">
        <v>17457</v>
      </c>
      <c r="C4954" s="13" t="str">
        <f>HYPERLINK("https://audio.iskcondesiretree.com/02_-_ISKCON_Swamis/ISKCON_Swamis_-_R_to_Y/His_Holiness_Radhanath_Swami/Lectures/02_-_Yatra/2005-2006_South_India_yatra/04_Rameshwaram/SIY_Rameshwaram_06_-_Glories_of_King_Kulashekar_and_Andal_Alwar_-_Radhanath_Swami.mp3", "SIY_Rameshwaram_06_-_Glories_of_King_Kulashekar_and_Andal_Alwar_-_Radhanath_Swami.mp3")</f>
        <v>SIY_Rameshwaram_06_-_Glories_of_King_Kulashekar_and_Andal_Alwar_-_Radhanath_Swami.mp3</v>
      </c>
      <c r="D4954" s="11"/>
      <c r="E4954" s="11"/>
    </row>
    <row r="4955" spans="1:5">
      <c r="A4955" s="12" t="s">
        <v>12464</v>
      </c>
      <c r="B4955" s="12" t="s">
        <v>17458</v>
      </c>
      <c r="C4955" s="13" t="str">
        <f>HYPERLINK("https://audio.iskcondesiretree.com/02_-_ISKCON_Swamis/ISKCON_Swamis_-_R_to_Y/His_Holiness_Radhanath_Swami/Lectures/02_-_Yatra/2005-2006_South_India_yatra/05_Madurai/SIY_Madurai_01_-_Significance_of_Darbha_Shayana_-_Radhanath_Swami.mp3", "SIY_Madurai_01_-_Significance_of_Darbha_Shayana_-_Radhanath_Swami.mp3")</f>
        <v>SIY_Madurai_01_-_Significance_of_Darbha_Shayana_-_Radhanath_Swami.mp3</v>
      </c>
      <c r="D4955" s="11"/>
      <c r="E4955" s="11"/>
    </row>
    <row r="4956" spans="1:5">
      <c r="A4956" s="12" t="s">
        <v>12464</v>
      </c>
      <c r="B4956" s="12" t="s">
        <v>17459</v>
      </c>
      <c r="C4956" s="13" t="str">
        <f>HYPERLINK("https://audio.iskcondesiretree.com/02_-_ISKCON_Swamis/ISKCON_Swamis_-_R_to_Y/His_Holiness_Radhanath_Swami/Lectures/02_-_Yatra/2005-2006_South_India_yatra/05_Madurai/SIY_Madurai_02_-_Realizations_at_Rshabh_Hill_-_Rameshchand_Goswami_Nityodita_Prabhu.mp3", "SIY_Madurai_02_-_Realizations_at_Rshabh_Hill_-_Rameshchand_Goswami_Nityodita_Prabhu.mp3")</f>
        <v>SIY_Madurai_02_-_Realizations_at_Rshabh_Hill_-_Rameshchand_Goswami_Nityodita_Prabhu.mp3</v>
      </c>
      <c r="D4956" s="11"/>
      <c r="E4956" s="11"/>
    </row>
    <row r="4957" spans="1:5">
      <c r="A4957" s="12" t="s">
        <v>12464</v>
      </c>
      <c r="B4957" s="12" t="s">
        <v>17460</v>
      </c>
      <c r="C4957" s="13" t="str">
        <f>HYPERLINK("https://audio.iskcondesiretree.com/02_-_ISKCON_Swamis/ISKCON_Swamis_-_R_to_Y/His_Holiness_Radhanath_Swami/Lectures/02_-_Yatra/2005-2006_South_India_yatra/05_Madurai/SIY_Madurai_03_-_Realizations_of_-_Radhanath_Swami.mp3", "SIY_Madurai_03_-_Realizations_of_-_Radhanath_Swami.mp3")</f>
        <v>SIY_Madurai_03_-_Realizations_of_-_Radhanath_Swami.mp3</v>
      </c>
      <c r="D4957" s="11"/>
      <c r="E4957" s="11"/>
    </row>
    <row r="4958" spans="1:5">
      <c r="A4958" s="12" t="s">
        <v>12464</v>
      </c>
      <c r="B4958" s="12" t="s">
        <v>17461</v>
      </c>
      <c r="C4958" s="13" t="str">
        <f>HYPERLINK("https://audio.iskcondesiretree.com/02_-_ISKCON_Swamis/ISKCON_Swamis_-_R_to_Y/His_Holiness_Radhanath_Swami/Lectures/02_-_Yatra/2005-2006_South_India_yatra/05_Madurai/SIY_Madurai_04_-_Realizations_of_HG_Shyamasundar_Prabhu.mp3", "SIY_Madurai_04_-_Realizations_of_HG_Shyamasundar_Prabhu.mp3")</f>
        <v>SIY_Madurai_04_-_Realizations_of_HG_Shyamasundar_Prabhu.mp3</v>
      </c>
      <c r="D4958" s="11"/>
      <c r="E4958" s="11"/>
    </row>
    <row r="4959" spans="1:5">
      <c r="A4959" s="12" t="s">
        <v>12464</v>
      </c>
      <c r="B4959" s="12" t="s">
        <v>17462</v>
      </c>
      <c r="C4959" s="13" t="str">
        <f>HYPERLINK("https://audio.iskcondesiretree.com/02_-_ISKCON_Swamis/ISKCON_Swamis_-_R_to_Y/His_Holiness_Radhanath_Swami/Lectures/02_-_Yatra/2005-2006_South_India_yatra/05_Madurai/SIY_Madurai_05_-_Realizations_of_HG_Tribhangananda_Prabhu.mp3", "SIY_Madurai_05_-_Realizations_of_HG_Tribhangananda_Prabhu.mp3")</f>
        <v>SIY_Madurai_05_-_Realizations_of_HG_Tribhangananda_Prabhu.mp3</v>
      </c>
      <c r="D4959" s="11"/>
      <c r="E4959" s="11"/>
    </row>
    <row r="4960" spans="1:5">
      <c r="A4960" s="12" t="s">
        <v>12464</v>
      </c>
      <c r="B4960" s="12" t="s">
        <v>17463</v>
      </c>
      <c r="C4960" s="13" t="str">
        <f>HYPERLINK("https://audio.iskcondesiretree.com/02_-_ISKCON_Swamis/ISKCON_Swamis_-_R_to_Y/His_Holiness_Radhanath_Swami/Lectures/02_-_Yatra/2005-2006_South_India_yatra/05_Madurai/SIY_Madurai_06_-_Realizations_of_HG_Yadavacarya_Prabhu.mp3", "SIY_Madurai_06_-_Realizations_of_HG_Yadavacarya_Prabhu.mp3")</f>
        <v>SIY_Madurai_06_-_Realizations_of_HG_Yadavacarya_Prabhu.mp3</v>
      </c>
      <c r="D4960" s="11"/>
      <c r="E4960" s="11"/>
    </row>
    <row r="4961" spans="1:5">
      <c r="A4961" s="12" t="s">
        <v>12464</v>
      </c>
      <c r="B4961" s="12" t="s">
        <v>17464</v>
      </c>
      <c r="C4961" s="13" t="str">
        <f>HYPERLINK("https://audio.iskcondesiretree.com/02_-_ISKCON_Swamis/ISKCON_Swamis_-_R_to_Y/His_Holiness_Radhanath_Swami/Lectures/02_-_Yatra/2005-2006_South_India_yatra/05_Madurai/SIY_Madurai_07_-_Realizations_of_HG_Amohamoha_Mataji.mp3", "SIY_Madurai_07_-_Realizations_of_HG_Amohamoha_Mataji.mp3")</f>
        <v>SIY_Madurai_07_-_Realizations_of_HG_Amohamoha_Mataji.mp3</v>
      </c>
      <c r="D4961" s="11"/>
      <c r="E4961" s="11"/>
    </row>
    <row r="4962" spans="1:5">
      <c r="A4962" s="12" t="s">
        <v>12464</v>
      </c>
      <c r="B4962" s="12" t="s">
        <v>17465</v>
      </c>
      <c r="C4962" s="13" t="str">
        <f>HYPERLINK("https://audio.iskcondesiretree.com/02_-_ISKCON_Swamis/ISKCON_Swamis_-_R_to_Y/His_Holiness_Radhanath_Swami/Lectures/02_-_Yatra/2005-2006_South_India_yatra/05_Madurai/SIY_Madurai_08_-_Realizations_of_HG_Nartaki_Mataji.mp3", "SIY_Madurai_08_-_Realizations_of_HG_Nartaki_Mataji.mp3")</f>
        <v>SIY_Madurai_08_-_Realizations_of_HG_Nartaki_Mataji.mp3</v>
      </c>
      <c r="D4962" s="11"/>
      <c r="E4962" s="11"/>
    </row>
    <row r="4963" spans="1:5">
      <c r="A4963" s="12" t="s">
        <v>12464</v>
      </c>
      <c r="B4963" s="12" t="s">
        <v>17466</v>
      </c>
      <c r="C4963" s="13" t="str">
        <f>HYPERLINK("https://audio.iskcondesiretree.com/02_-_ISKCON_Swamis/ISKCON_Swamis_-_R_to_Y/His_Holiness_Radhanath_Swami/Lectures/02_-_Yatra/2005_Pune_yatra/Pune_yatra_2005_01_-_Inaugural_Class_Day-01_-_Radhanath_Swami.mp3", "Pune_yatra_2005_01_-_Inaugural_Class_Day-01_-_Radhanath_Swami.mp3")</f>
        <v>Pune_yatra_2005_01_-_Inaugural_Class_Day-01_-_Radhanath_Swami.mp3</v>
      </c>
      <c r="D4963" s="11"/>
      <c r="E4963" s="11"/>
    </row>
    <row r="4964" spans="1:5">
      <c r="A4964" s="12" t="s">
        <v>12464</v>
      </c>
      <c r="B4964" s="12" t="s">
        <v>17467</v>
      </c>
      <c r="C4964" s="13" t="str">
        <f>HYPERLINK("https://audio.iskcondesiretree.com/02_-_ISKCON_Swamis/ISKCON_Swamis_-_R_to_Y/His_Holiness_Radhanath_Swami/Lectures/02_-_Yatra/2005_Pune_yatra/Pune_yatra_2005_02_-_Inaugural_Class_Day-01_-_Srila_Prabhupada%27s_various_Disciple.mp3", "Pune_yatra_2005_02_-_Inaugural_Class_Day-01_-_Srila_Prabhupada%27s_various_Disciple.mp3")</f>
        <v>Pune_yatra_2005_02_-_Inaugural_Class_Day-01_-_Srila_Prabhupada%27s_various_Disciple.mp3</v>
      </c>
      <c r="D4964" s="11"/>
      <c r="E4964" s="11"/>
    </row>
    <row r="4965" spans="1:5">
      <c r="A4965" s="12" t="s">
        <v>12464</v>
      </c>
      <c r="B4965" s="12" t="s">
        <v>17468</v>
      </c>
      <c r="C4965" s="13" t="str">
        <f>HYPERLINK("https://audio.iskcondesiretree.com/02_-_ISKCON_Swamis/ISKCON_Swamis_-_R_to_Y/His_Holiness_Radhanath_Swami/Lectures/02_-_Yatra/2005_Pune_yatra/Pune_yatra_2005_03_-_Seeing_Krishna_Day-02_-_Devamrita_Swami.mp3", "Pune_yatra_2005_03_-_Seeing_Krishna_Day-02_-_Devamrita_Swami.mp3")</f>
        <v>Pune_yatra_2005_03_-_Seeing_Krishna_Day-02_-_Devamrita_Swami.mp3</v>
      </c>
      <c r="D4965" s="11"/>
      <c r="E4965" s="11"/>
    </row>
    <row r="4966" spans="1:5">
      <c r="A4966" s="12" t="s">
        <v>12464</v>
      </c>
      <c r="B4966" s="12" t="s">
        <v>17469</v>
      </c>
      <c r="C4966" s="13" t="str">
        <f>HYPERLINK("https://audio.iskcondesiretree.com/02_-_ISKCON_Swamis/ISKCON_Swamis_-_R_to_Y/His_Holiness_Radhanath_Swami/Lectures/02_-_Yatra/2005_Pune_yatra/Pune_yatra_2005_04_-_Questions_and_Answers_Day-02_-_Srila_Prabhupada%27s_Various_Disciple.mp3", "Pune_yatra_2005_04_-_Questions_and_Answers_Day-02_-_Srila_Prabhupada%27s_Various_Disciple.mp3")</f>
        <v>Pune_yatra_2005_04_-_Questions_and_Answers_Day-02_-_Srila_Prabhupada%27s_Various_Disciple.mp3</v>
      </c>
      <c r="D4966" s="11"/>
      <c r="E4966" s="11"/>
    </row>
    <row r="4967" spans="1:5">
      <c r="A4967" s="12" t="s">
        <v>12464</v>
      </c>
      <c r="B4967" s="12" t="s">
        <v>17470</v>
      </c>
      <c r="C4967" s="13" t="str">
        <f>HYPERLINK("https://audio.iskcondesiretree.com/02_-_ISKCON_Swamis/ISKCON_Swamis_-_R_to_Y/His_Holiness_Radhanath_Swami/Lectures/02_-_Yatra/2005_Pune_yatra/Pune_yatra_2005_07_-_Lecture_Day-03_-_Bhakti_Charu_Swami.mp3", "Pune_yatra_2005_07_-_Lecture_Day-03_-_Bhakti_Charu_Swami.mp3")</f>
        <v>Pune_yatra_2005_07_-_Lecture_Day-03_-_Bhakti_Charu_Swami.mp3</v>
      </c>
      <c r="D4967" s="11"/>
      <c r="E4967" s="11"/>
    </row>
    <row r="4968" spans="1:5">
      <c r="A4968" s="12" t="s">
        <v>12464</v>
      </c>
      <c r="B4968" s="12" t="s">
        <v>17471</v>
      </c>
      <c r="C4968" s="13" t="str">
        <f>HYPERLINK("https://audio.iskcondesiretree.com/02_-_ISKCON_Swamis/ISKCON_Swamis_-_R_to_Y/His_Holiness_Radhanath_Swami/Lectures/02_-_Yatra/2005_Pune_yatra/Pune_yatra_2005_08_-_Questions_and_Answers_Day-03_Srila_Prabhupada%27s_Various_Disciple.mp3", "Pune_yatra_2005_08_-_Questions_and_Answers_Day-03_Srila_Prabhupada%27s_Various_Disciple.mp3")</f>
        <v>Pune_yatra_2005_08_-_Questions_and_Answers_Day-03_Srila_Prabhupada%27s_Various_Disciple.mp3</v>
      </c>
      <c r="D4968" s="11"/>
      <c r="E4968" s="11"/>
    </row>
    <row r="4969" spans="1:5">
      <c r="A4969" s="12" t="s">
        <v>12464</v>
      </c>
      <c r="B4969" s="12" t="s">
        <v>17472</v>
      </c>
      <c r="C4969" s="13" t="str">
        <f>HYPERLINK("https://audio.iskcondesiretree.com/02_-_ISKCON_Swamis/ISKCON_Swamis_-_R_to_Y/His_Holiness_Radhanath_Swami/Lectures/02_-_Yatra/2005_Pune_yatra/Pune_yatra_2005_09_-_Association_of_Devotees_Day-04_-_Niranjana_Swami.mp3", "Pune_yatra_2005_09_-_Association_of_Devotees_Day-04_-_Niranjana_Swami.mp3")</f>
        <v>Pune_yatra_2005_09_-_Association_of_Devotees_Day-04_-_Niranjana_Swami.mp3</v>
      </c>
      <c r="D4969" s="11"/>
      <c r="E4969" s="11"/>
    </row>
    <row r="4970" spans="1:5">
      <c r="A4970" s="12" t="s">
        <v>12464</v>
      </c>
      <c r="B4970" s="12" t="s">
        <v>17473</v>
      </c>
      <c r="C4970" s="13" t="str">
        <f>HYPERLINK("https://audio.iskcondesiretree.com/02_-_ISKCON_Swamis/ISKCON_Swamis_-_R_to_Y/His_Holiness_Radhanath_Swami/Lectures/02_-_Yatra/2005_Pune_yatra/Pune_yatra_2005_10_-_Lecture_Day-04_-_Lokanath_Swami.mp3", "Pune_yatra_2005_10_-_Lecture_Day-04_-_Lokanath_Swami.mp3")</f>
        <v>Pune_yatra_2005_10_-_Lecture_Day-04_-_Lokanath_Swami.mp3</v>
      </c>
      <c r="D4970" s="11"/>
      <c r="E4970" s="11"/>
    </row>
    <row r="4971" spans="1:5">
      <c r="A4971" s="12" t="s">
        <v>12464</v>
      </c>
      <c r="B4971" s="12" t="s">
        <v>17474</v>
      </c>
      <c r="C4971" s="13" t="str">
        <f>HYPERLINK("https://audio.iskcondesiretree.com/02_-_ISKCON_Swamis/ISKCON_Swamis_-_R_to_Y/His_Holiness_Radhanath_Swami/Lectures/02_-_Yatra/2005_Pune_yatra/Pune_yatra_2005_11_-_Concluding_Speech_Day-04_-_Srila_Prabhupada%27s_Various_Disciple.mp3", "Pune_yatra_2005_11_-_Concluding_Speech_Day-04_-_Srila_Prabhupada%27s_Various_Disciple.mp3")</f>
        <v>Pune_yatra_2005_11_-_Concluding_Speech_Day-04_-_Srila_Prabhupada%27s_Various_Disciple.mp3</v>
      </c>
      <c r="D4971" s="11"/>
      <c r="E4971" s="11"/>
    </row>
    <row r="4972" spans="1:5">
      <c r="A4972" s="12" t="s">
        <v>12464</v>
      </c>
      <c r="B4972" s="12" t="s">
        <v>17475</v>
      </c>
      <c r="C4972" s="13" t="str">
        <f>HYPERLINK("https://audio.iskcondesiretree.com/02_-_ISKCON_Swamis/ISKCON_Swamis_-_R_to_Y/His_Holiness_Radhanath_Swami/Lectures/02_-_Yatra/2005_Pune_yatra/Pune_yatra_2005_12_-_Concluding_Speech_Day-04_-_Radhanath_Swami.mp3", "Pune_yatra_2005_12_-_Concluding_Speech_Day-04_-_Radhanath_Swami.mp3")</f>
        <v>Pune_yatra_2005_12_-_Concluding_Speech_Day-04_-_Radhanath_Swami.mp3</v>
      </c>
      <c r="D4972" s="11"/>
      <c r="E4972" s="11"/>
    </row>
    <row r="4973" spans="1:5">
      <c r="A4973" s="12" t="s">
        <v>12464</v>
      </c>
      <c r="B4973" s="12" t="s">
        <v>17476</v>
      </c>
      <c r="C4973" s="13" t="str">
        <f>HYPERLINK("https://audio.iskcondesiretree.com/02_-_ISKCON_Swamis/ISKCON_Swamis_-_R_to_Y/His_Holiness_Radhanath_Swami/Lectures/02_-_Yatra/2007_Mayapur_yatra/Mayapur_Yatra_2007-11-05_Birth_and_Childhood_pastimes_of_Nimai_Radhanath_Swami.MP3", "Mayapur_Yatra_2007-11-05_Birth_and_Childhood_pastimes_of_Nimai_Radhanath_Swami.MP3")</f>
        <v>Mayapur_Yatra_2007-11-05_Birth_and_Childhood_pastimes_of_Nimai_Radhanath_Swami.MP3</v>
      </c>
      <c r="D4973" s="11"/>
      <c r="E4973" s="11"/>
    </row>
    <row r="4974" spans="1:5">
      <c r="A4974" s="12" t="s">
        <v>12464</v>
      </c>
      <c r="B4974" s="12" t="s">
        <v>17477</v>
      </c>
      <c r="C4974" s="13" t="str">
        <f>HYPERLINK("https://audio.iskcondesiretree.com/02_-_ISKCON_Swamis/ISKCON_Swamis_-_R_to_Y/His_Holiness_Radhanath_Swami/Lectures/02_-_Yatra/2007_Mayapur_yatra/Mayapur_Yatra_2007-11-05_Jagannath_Pastime_Simanta_Dwipa_Radhanath_Swami.MP3", "Mayapur_Yatra_2007-11-05_Jagannath_Pastime_Simanta_Dwipa_Radhanath_Swami.MP3")</f>
        <v>Mayapur_Yatra_2007-11-05_Jagannath_Pastime_Simanta_Dwipa_Radhanath_Swami.MP3</v>
      </c>
      <c r="D4974" s="11"/>
      <c r="E4974" s="11"/>
    </row>
    <row r="4975" spans="1:5">
      <c r="A4975" s="12" t="s">
        <v>12464</v>
      </c>
      <c r="B4975" s="12" t="s">
        <v>17478</v>
      </c>
      <c r="C4975" s="13" t="str">
        <f>HYPERLINK("https://audio.iskcondesiretree.com/02_-_ISKCON_Swamis/ISKCON_Swamis_-_R_to_Y/His_Holiness_Radhanath_Swami/Lectures/02_-_Yatra/2007_Mayapur_yatra/Mayapur_Yatra_2007-11-05_SB_Class_CC_Conclusion_Srila_Prabhupada_Giriraj_Swami.MP3", "Mayapur_Yatra_2007-11-05_SB_Class_CC_Conclusion_Srila_Prabhupada_Giriraj_Swami.MP3")</f>
        <v>Mayapur_Yatra_2007-11-05_SB_Class_CC_Conclusion_Srila_Prabhupada_Giriraj_Swami.MP3</v>
      </c>
      <c r="D4975" s="11"/>
      <c r="E4975" s="11"/>
    </row>
    <row r="4976" spans="1:5">
      <c r="A4976" s="12" t="s">
        <v>12464</v>
      </c>
      <c r="B4976" s="12" t="s">
        <v>17479</v>
      </c>
      <c r="C4976" s="13" t="str">
        <f>HYPERLINK("https://audio.iskcondesiretree.com/02_-_ISKCON_Swamis/ISKCON_Swamis_-_R_to_Y/His_Holiness_Radhanath_Swami/Lectures/02_-_Yatra/2007_Mayapur_yatra/Mayapur_Yatra_2007-11-06_Mahaprakasha_Lila_Mayapur_Iskcon_Radhanath_Swami.MP3", "Mayapur_Yatra_2007-11-06_Mahaprakasha_Lila_Mayapur_Iskcon_Radhanath_Swami.MP3")</f>
        <v>Mayapur_Yatra_2007-11-06_Mahaprakasha_Lila_Mayapur_Iskcon_Radhanath_Swami.MP3</v>
      </c>
      <c r="D4976" s="11"/>
      <c r="E4976" s="11"/>
    </row>
    <row r="4977" spans="1:5">
      <c r="A4977" s="12" t="s">
        <v>12464</v>
      </c>
      <c r="B4977" s="12" t="s">
        <v>17480</v>
      </c>
      <c r="C4977" s="13" t="str">
        <f>HYPERLINK("https://audio.iskcondesiretree.com/02_-_ISKCON_Swamis/ISKCON_Swamis_-_R_to_Y/His_Holiness_Radhanath_Swami/Lectures/02_-_Yatra/2007_Mayapur_yatra/Mayapur_Yatra_2007-11-07_Chand_Kazi_Kolevech_Sridhar_Srivas_Son_Dying_lila_Radhanath_Swami.MP3", "Mayapur_Yatra_2007-11-07_Chand_Kazi_Kolevech_Sridhar_Srivas_Son_Dying_lila_Radhanath_Swami.MP3")</f>
        <v>Mayapur_Yatra_2007-11-07_Chand_Kazi_Kolevech_Sridhar_Srivas_Son_Dying_lila_Radhanath_Swami.MP3</v>
      </c>
      <c r="D4977" s="11"/>
      <c r="E4977" s="11"/>
    </row>
    <row r="4978" spans="1:5">
      <c r="A4978" s="12" t="s">
        <v>12464</v>
      </c>
      <c r="B4978" s="12" t="s">
        <v>17481</v>
      </c>
      <c r="C4978" s="13" t="str">
        <f>HYPERLINK("https://audio.iskcondesiretree.com/02_-_ISKCON_Swamis/ISKCON_Swamis_-_R_to_Y/His_Holiness_Radhanath_Swami/Lectures/02_-_Yatra/2007_Mayapur_yatra/Mayapur_Yatra_2007-11-08_Bhakta_Sesa_prabhu_Madhyam_Dvip_Naimasaranya.MP3", "Mayapur_Yatra_2007-11-08_Bhakta_Sesa_prabhu_Madhyam_Dvip_Naimasaranya.MP3")</f>
        <v>Mayapur_Yatra_2007-11-08_Bhakta_Sesa_prabhu_Madhyam_Dvip_Naimasaranya.MP3</v>
      </c>
      <c r="D4978" s="11"/>
      <c r="E4978" s="11"/>
    </row>
    <row r="4979" spans="1:5">
      <c r="A4979" s="12" t="s">
        <v>12464</v>
      </c>
      <c r="B4979" s="12" t="s">
        <v>17482</v>
      </c>
      <c r="C4979" s="13" t="str">
        <f>HYPERLINK("https://audio.iskcondesiretree.com/02_-_ISKCON_Swamis/ISKCON_Swamis_-_R_to_Y/His_Holiness_Radhanath_Swami/Lectures/02_-_Yatra/2007_Mayapur_yatra/Mayapur_Yatra_2007-11-08_Jagai_Madhai_Radhanath_Swami.MP3", "Mayapur_Yatra_2007-11-08_Jagai_Madhai_Radhanath_Swami.MP3")</f>
        <v>Mayapur_Yatra_2007-11-08_Jagai_Madhai_Radhanath_Swami.MP3</v>
      </c>
      <c r="D4979" s="11"/>
      <c r="E4979" s="11"/>
    </row>
    <row r="4980" spans="1:5">
      <c r="A4980" s="12" t="s">
        <v>12464</v>
      </c>
      <c r="B4980" s="12" t="s">
        <v>17483</v>
      </c>
      <c r="C4980" s="13" t="str">
        <f>HYPERLINK("https://audio.iskcondesiretree.com/02_-_ISKCON_Swamis/ISKCON_Swamis_-_R_to_Y/His_Holiness_Radhanath_Swami/Lectures/02_-_Yatra/2007_Mayapur_yatra/Mayapur_Yatra_2007-11-08_Madhyam_Dvip_Radhanath_Swami.MP3", "Mayapur_Yatra_2007-11-08_Madhyam_Dvip_Radhanath_Swami.MP3")</f>
        <v>Mayapur_Yatra_2007-11-08_Madhyam_Dvip_Radhanath_Swami.MP3</v>
      </c>
      <c r="D4980" s="11"/>
      <c r="E4980" s="11"/>
    </row>
    <row r="4981" spans="1:5">
      <c r="A4981" s="12" t="s">
        <v>12464</v>
      </c>
      <c r="B4981" s="12" t="s">
        <v>17484</v>
      </c>
      <c r="C4981" s="13" t="str">
        <f>HYPERLINK("https://audio.iskcondesiretree.com/02_-_ISKCON_Swamis/ISKCON_Swamis_-_R_to_Y/His_Holiness_Radhanath_Swami/Lectures/02_-_Yatra/2007_Mayapur_yatra/Mayapur_Yatra_2007-11-09_Kumar-Huta_Birth_Place_Iswar_Puri_Radhanath_Swami.MP3", "Mayapur_Yatra_2007-11-09_Kumar-Huta_Birth_Place_Iswar_Puri_Radhanath_Swami.MP3")</f>
        <v>Mayapur_Yatra_2007-11-09_Kumar-Huta_Birth_Place_Iswar_Puri_Radhanath_Swami.MP3</v>
      </c>
      <c r="D4981" s="11"/>
      <c r="E4981" s="11"/>
    </row>
    <row r="4982" spans="1:5">
      <c r="A4982" s="12" t="s">
        <v>12464</v>
      </c>
      <c r="B4982" s="12" t="s">
        <v>17485</v>
      </c>
      <c r="C4982" s="13" t="str">
        <f>HYPERLINK("https://audio.iskcondesiretree.com/02_-_ISKCON_Swamis/ISKCON_Swamis_-_R_to_Y/His_Holiness_Radhanath_Swami/Lectures/02_-_Yatra/2007_Mayapur_yatra/Mayapur_Yatra_2007-11-12_Nityananda_Katha_Radhanath_Swami_Mayapur_Iskcon.MP3", "Mayapur_Yatra_2007-11-12_Nityananda_Katha_Radhanath_Swami_Mayapur_Iskcon.MP3")</f>
        <v>Mayapur_Yatra_2007-11-12_Nityananda_Katha_Radhanath_Swami_Mayapur_Iskcon.MP3</v>
      </c>
      <c r="D4982" s="11"/>
      <c r="E4982" s="11"/>
    </row>
    <row r="4983" spans="1:5">
      <c r="A4983" s="12" t="s">
        <v>12464</v>
      </c>
      <c r="B4983" s="12" t="s">
        <v>17486</v>
      </c>
      <c r="C4983" s="13" t="str">
        <f>HYPERLINK("https://audio.iskcondesiretree.com/02_-_ISKCON_Swamis/ISKCON_Swamis_-_R_to_Y/His_Holiness_Radhanath_Swami/Lectures/02_-_Yatra/2007_Mayapur_yatra/Mayapur_Yatra_2007-11-12_SB_03_09_08_Indradyumna_Swami.MP3", "Mayapur_Yatra_2007-11-12_SB_03_09_08_Indradyumna_Swami.MP3")</f>
        <v>Mayapur_Yatra_2007-11-12_SB_03_09_08_Indradyumna_Swami.MP3</v>
      </c>
      <c r="D4983" s="11"/>
      <c r="E4983" s="11"/>
    </row>
    <row r="4984" spans="1:5">
      <c r="A4984" s="12" t="s">
        <v>12464</v>
      </c>
      <c r="B4984" s="12" t="s">
        <v>17487</v>
      </c>
      <c r="C4984" s="13" t="str">
        <f>HYPERLINK("https://audio.iskcondesiretree.com/02_-_ISKCON_Swamis/ISKCON_Swamis_-_R_to_Y/His_Holiness_Radhanath_Swami/Lectures/02_-_Yatra/2007_Mayapur_yatra/Mayapur_Yatra_2007-11-13_Bhakti_Purushottam_Swami_Mayapur_Iskcon.MP3", "Mayapur_Yatra_2007-11-13_Bhakti_Purushottam_Swami_Mayapur_Iskcon.MP3")</f>
        <v>Mayapur_Yatra_2007-11-13_Bhakti_Purushottam_Swami_Mayapur_Iskcon.MP3</v>
      </c>
      <c r="D4984" s="11"/>
      <c r="E4984" s="11"/>
    </row>
    <row r="4985" spans="1:5">
      <c r="A4985" s="12" t="s">
        <v>12464</v>
      </c>
      <c r="B4985" s="12" t="s">
        <v>17488</v>
      </c>
      <c r="C4985" s="13" t="str">
        <f>HYPERLINK("https://audio.iskcondesiretree.com/02_-_ISKCON_Swamis/ISKCON_Swamis_-_R_to_Y/His_Holiness_Radhanath_Swami/Lectures/02_-_Yatra/2007_Mayapur_yatra/Mayapur_Yatra_2007-11-13_Srila_Prabhupada_Jayapataka_Swami.MP3", "Mayapur_Yatra_2007-11-13_Srila_Prabhupada_Jayapataka_Swami.MP3")</f>
        <v>Mayapur_Yatra_2007-11-13_Srila_Prabhupada_Jayapataka_Swami.MP3</v>
      </c>
      <c r="D4985" s="11"/>
      <c r="E4985" s="11"/>
    </row>
    <row r="4986" spans="1:5">
      <c r="A4986" s="12" t="s">
        <v>12464</v>
      </c>
      <c r="B4986" s="12" t="s">
        <v>17489</v>
      </c>
      <c r="C4986" s="13" t="str">
        <f>HYPERLINK("https://audio.iskcondesiretree.com/02_-_ISKCON_Swamis/ISKCON_Swamis_-_R_to_Y/His_Holiness_Radhanath_Swami/Lectures/02_-_Yatra/2007_Mayapur_yatra/Mayapur_Yatra_2007-11-13_Srila_Prabhupada_Katha_Indradyumna_Swami%2C%20UmaS%2CBhavaP%2CVayaP.MP3", "Mayapur_Yatra_2007-11-13_Srila_Prabhupada_Katha_Indradyumna_Swami%2C%20UmaS%2CBhavaP%2CVayaP.MP3")</f>
        <v>Mayapur_Yatra_2007-11-13_Srila_Prabhupada_Katha_Indradyumna_Swami%2C%20UmaS%2CBhavaP%2CVayaP.MP3</v>
      </c>
      <c r="D4986" s="11"/>
      <c r="E4986" s="11"/>
    </row>
    <row r="4987" spans="1:5">
      <c r="A4987" s="12" t="s">
        <v>12464</v>
      </c>
      <c r="B4987" s="12" t="s">
        <v>17490</v>
      </c>
      <c r="C4987" s="13" t="str">
        <f>HYPERLINK("https://audio.iskcondesiretree.com/02_-_ISKCON_Swamis/ISKCON_Swamis_-_R_to_Y/His_Holiness_Radhanath_Swami/Lectures/02_-_Yatra/2007_Mayapur_yatra/Mayapur_Yatra_2007-11-13_Srila_Prabhupada_Katha_PankajP_JanP_AnuttaP_MalatiM.MP3", "Mayapur_Yatra_2007-11-13_Srila_Prabhupada_Katha_PankajP_JanP_AnuttaP_MalatiM.MP3")</f>
        <v>Mayapur_Yatra_2007-11-13_Srila_Prabhupada_Katha_PankajP_JanP_AnuttaP_MalatiM.MP3</v>
      </c>
      <c r="D4987" s="11"/>
      <c r="E4987" s="11"/>
    </row>
    <row r="4988" spans="1:5">
      <c r="A4988" s="12" t="s">
        <v>12464</v>
      </c>
      <c r="B4988" s="12" t="s">
        <v>17491</v>
      </c>
      <c r="C4988" s="13" t="str">
        <f>HYPERLINK("https://audio.iskcondesiretree.com/02_-_ISKCON_Swamis/ISKCON_Swamis_-_R_to_Y/His_Holiness_Radhanath_Swami/Lectures/02_-_Yatra/2007_Mayapur_yatra/Mayapur_Yatra_2007-11-14_Srila_Prabhupada_Memories_Bhavananada_Prabhu.MP3", "Mayapur_Yatra_2007-11-14_Srila_Prabhupada_Memories_Bhavananada_Prabhu.MP3")</f>
        <v>Mayapur_Yatra_2007-11-14_Srila_Prabhupada_Memories_Bhavananada_Prabhu.MP3</v>
      </c>
      <c r="D4988" s="11"/>
      <c r="E4988" s="11"/>
    </row>
    <row r="4989" spans="1:5">
      <c r="A4989" s="12" t="s">
        <v>12464</v>
      </c>
      <c r="B4989" s="12" t="s">
        <v>17492</v>
      </c>
      <c r="C4989" s="13" t="str">
        <f>HYPERLINK("https://audio.iskcondesiretree.com/02_-_ISKCON_Swamis/ISKCON_Swamis_-_R_to_Y/His_Holiness_Radhanath_Swami/Lectures/02_-_Yatra/2007_Mayapur_yatra/Mayapur_Yatra_2007-11-14_Srila_Prabhupada_Memories_Giriraj_Swami.MP3", "Mayapur_Yatra_2007-11-14_Srila_Prabhupada_Memories_Giriraj_Swami.MP3")</f>
        <v>Mayapur_Yatra_2007-11-14_Srila_Prabhupada_Memories_Giriraj_Swami.MP3</v>
      </c>
      <c r="D4989" s="11"/>
      <c r="E4989" s="11"/>
    </row>
    <row r="4990" spans="1:5">
      <c r="A4990" s="12" t="s">
        <v>12464</v>
      </c>
      <c r="B4990" s="12" t="s">
        <v>17493</v>
      </c>
      <c r="C4990" s="13" t="str">
        <f>HYPERLINK("https://audio.iskcondesiretree.com/02_-_ISKCON_Swamis/ISKCON_Swamis_-_R_to_Y/His_Holiness_Radhanath_Swami/Lectures/02_-_Yatra/2007_Mayapur_yatra/Mayapur_Yatra_2007-11-14_Srila_Prabhupada_Memories_Grahila_Prabhu.MP3", "Mayapur_Yatra_2007-11-14_Srila_Prabhupada_Memories_Grahila_Prabhu.MP3")</f>
        <v>Mayapur_Yatra_2007-11-14_Srila_Prabhupada_Memories_Grahila_Prabhu.MP3</v>
      </c>
      <c r="D4990" s="11"/>
      <c r="E4990" s="11"/>
    </row>
    <row r="4991" spans="1:5">
      <c r="A4991" s="12" t="s">
        <v>12464</v>
      </c>
      <c r="B4991" s="12" t="s">
        <v>17494</v>
      </c>
      <c r="C4991" s="13" t="str">
        <f>HYPERLINK("https://audio.iskcondesiretree.com/02_-_ISKCON_Swamis/ISKCON_Swamis_-_R_to_Y/His_Holiness_Radhanath_Swami/Lectures/02_-_Yatra/2007_Mayapur_yatra/Mayapur_Yatra_2007-11-14_Srila_Prabhupada_Memories_Kulshekhara_Prabhu.MP3", "Mayapur_Yatra_2007-11-14_Srila_Prabhupada_Memories_Kulshekhara_Prabhu.MP3")</f>
        <v>Mayapur_Yatra_2007-11-14_Srila_Prabhupada_Memories_Kulshekhara_Prabhu.MP3</v>
      </c>
      <c r="D4991" s="11"/>
      <c r="E4991" s="11"/>
    </row>
    <row r="4992" spans="1:5">
      <c r="A4992" s="12" t="s">
        <v>12464</v>
      </c>
      <c r="B4992" s="12" t="s">
        <v>17495</v>
      </c>
      <c r="C4992" s="13" t="str">
        <f>HYPERLINK("https://audio.iskcondesiretree.com/02_-_ISKCON_Swamis/ISKCON_Swamis_-_R_to_Y/His_Holiness_Radhanath_Swami/Lectures/02_-_Yatra/2007_Mayapur_yatra/Mayapur_Yatra_2007-11-14_Srila_Prabhupada_Offerings_Hrishikesh_Prabhu%20Ambrish%20Prabhu.MP3", "Mayapur_Yatra_2007-11-14_Srila_Prabhupada_Offerings_Hrishikesh_Prabhu%20Ambrish%20Prabhu.MP3")</f>
        <v>Mayapur_Yatra_2007-11-14_Srila_Prabhupada_Offerings_Hrishikesh_Prabhu%20Ambrish%20Prabhu.MP3</v>
      </c>
      <c r="D4992" s="11"/>
      <c r="E4992" s="11"/>
    </row>
    <row r="4993" spans="1:5">
      <c r="A4993" s="12" t="s">
        <v>12464</v>
      </c>
      <c r="B4993" s="12" t="s">
        <v>17496</v>
      </c>
      <c r="C4993" s="13" t="str">
        <f>HYPERLINK("https://audio.iskcondesiretree.com/02_-_ISKCON_Swamis/ISKCON_Swamis_-_R_to_Y/His_Holiness_Radhanath_Swami/Lectures/02_-_Yatra/2007_Mayapur_yatra/Mayapur_Yatra_2007-11-14_Srila_Prabhupada_Offerings_Indradyumna_Swami.MP3", "Mayapur_Yatra_2007-11-14_Srila_Prabhupada_Offerings_Indradyumna_Swami.MP3")</f>
        <v>Mayapur_Yatra_2007-11-14_Srila_Prabhupada_Offerings_Indradyumna_Swami.MP3</v>
      </c>
      <c r="D4993" s="11"/>
      <c r="E4993" s="11"/>
    </row>
    <row r="4994" spans="1:5">
      <c r="A4994" s="12" t="s">
        <v>12464</v>
      </c>
      <c r="B4994" s="12" t="s">
        <v>17497</v>
      </c>
      <c r="C4994" s="13" t="str">
        <f>HYPERLINK("https://audio.iskcondesiretree.com/02_-_ISKCON_Swamis/ISKCON_Swamis_-_R_to_Y/His_Holiness_Radhanath_Swami/Lectures/02_-_Yatra/2007_Mayapur_yatra/Mayapur_Yatra_2007-11-14_Srila_Prabhupada_Offerings_Jayapataka_Swami.MP3", "Mayapur_Yatra_2007-11-14_Srila_Prabhupada_Offerings_Jayapataka_Swami.MP3")</f>
        <v>Mayapur_Yatra_2007-11-14_Srila_Prabhupada_Offerings_Jayapataka_Swami.MP3</v>
      </c>
      <c r="D4994" s="11"/>
      <c r="E4994" s="11"/>
    </row>
    <row r="4995" spans="1:5">
      <c r="A4995" s="12" t="s">
        <v>12464</v>
      </c>
      <c r="B4995" s="12" t="s">
        <v>17498</v>
      </c>
      <c r="C4995" s="13" t="str">
        <f>HYPERLINK("https://audio.iskcondesiretree.com/02_-_ISKCON_Swamis/ISKCON_Swamis_-_R_to_Y/His_Holiness_Radhanath_Swami/Lectures/02_-_Yatra/2007_Mayapur_yatra/Mayapur_Yatra_2007-11-14_Srila_Prabhupada_Offerings_Malati_Mataji.MP3", "Mayapur_Yatra_2007-11-14_Srila_Prabhupada_Offerings_Malati_Mataji.MP3")</f>
        <v>Mayapur_Yatra_2007-11-14_Srila_Prabhupada_Offerings_Malati_Mataji.MP3</v>
      </c>
      <c r="D4995" s="11"/>
      <c r="E4995" s="11"/>
    </row>
    <row r="4996" spans="1:5">
      <c r="A4996" s="12" t="s">
        <v>12464</v>
      </c>
      <c r="B4996" s="12" t="s">
        <v>17499</v>
      </c>
      <c r="C4996" s="13" t="str">
        <f>HYPERLINK("https://audio.iskcondesiretree.com/02_-_ISKCON_Swamis/ISKCON_Swamis_-_R_to_Y/His_Holiness_Radhanath_Swami/Lectures/02_-_Yatra/2007_Mayapur_yatra/Mayapur_Yatra_2007-11-14_Srila_Prabhupada_Offerings_Nartaki_Mataji.MP3", "Mayapur_Yatra_2007-11-14_Srila_Prabhupada_Offerings_Nartaki_Mataji.MP3")</f>
        <v>Mayapur_Yatra_2007-11-14_Srila_Prabhupada_Offerings_Nartaki_Mataji.MP3</v>
      </c>
      <c r="D4996" s="11"/>
      <c r="E4996" s="11"/>
    </row>
    <row r="4997" spans="1:5">
      <c r="A4997" s="12" t="s">
        <v>12464</v>
      </c>
      <c r="B4997" s="12" t="s">
        <v>17500</v>
      </c>
      <c r="C4997" s="13" t="str">
        <f>HYPERLINK("https://audio.iskcondesiretree.com/02_-_ISKCON_Swamis/ISKCON_Swamis_-_R_to_Y/His_Holiness_Radhanath_Swami/Lectures/02_-_Yatra/2007_Mayapur_yatra/Mayapur_Yatra_2007-11-14_Srila_Prabhupada_Offerings_Nityodita_Prabhu.MP3", "Mayapur_Yatra_2007-11-14_Srila_Prabhupada_Offerings_Nityodita_Prabhu.MP3")</f>
        <v>Mayapur_Yatra_2007-11-14_Srila_Prabhupada_Offerings_Nityodita_Prabhu.MP3</v>
      </c>
      <c r="D4997" s="11"/>
      <c r="E4997" s="11"/>
    </row>
    <row r="4998" spans="1:5">
      <c r="A4998" s="12" t="s">
        <v>12464</v>
      </c>
      <c r="B4998" s="12" t="s">
        <v>17501</v>
      </c>
      <c r="C4998" s="13" t="str">
        <f>HYPERLINK("https://audio.iskcondesiretree.com/02_-_ISKCON_Swamis/ISKCON_Swamis_-_R_to_Y/His_Holiness_Radhanath_Swami/Lectures/02_-_Yatra/2007_Mayapur_yatra/Mayapur_Yatra_2007-11-14_Srila_Prabhupada_Offerings_Radhanath_Swami.MP3", "Mayapur_Yatra_2007-11-14_Srila_Prabhupada_Offerings_Radhanath_Swami.MP3")</f>
        <v>Mayapur_Yatra_2007-11-14_Srila_Prabhupada_Offerings_Radhanath_Swami.MP3</v>
      </c>
      <c r="D4998" s="11"/>
      <c r="E4998" s="11"/>
    </row>
    <row r="4999" spans="1:5">
      <c r="A4999" s="12" t="s">
        <v>12464</v>
      </c>
      <c r="B4999" s="12" t="s">
        <v>17502</v>
      </c>
      <c r="C4999" s="13" t="str">
        <f>HYPERLINK("https://audio.iskcondesiretree.com/02_-_ISKCON_Swamis/ISKCON_Swamis_-_R_to_Y/His_Holiness_Radhanath_Swami/Lectures/02_-_Yatra/2007_Mayapur_yatra/Mayapur_Yatra_2007-11-14_Srila_Prabhupada_Offerings_Rohinipriya_Mataji.MP3", "Mayapur_Yatra_2007-11-14_Srila_Prabhupada_Offerings_Rohinipriya_Mataji.MP3")</f>
        <v>Mayapur_Yatra_2007-11-14_Srila_Prabhupada_Offerings_Rohinipriya_Mataji.MP3</v>
      </c>
      <c r="D4999" s="11"/>
      <c r="E4999" s="11"/>
    </row>
    <row r="5000" spans="1:5">
      <c r="A5000" s="12" t="s">
        <v>12464</v>
      </c>
      <c r="B5000" s="12" t="s">
        <v>17503</v>
      </c>
      <c r="C5000" s="13" t="str">
        <f>HYPERLINK("https://audio.iskcondesiretree.com/02_-_ISKCON_Swamis/ISKCON_Swamis_-_R_to_Y/His_Holiness_Radhanath_Swami/Lectures/02_-_Yatra/2007_Mayapur_yatra/Mayapur_Yatra_2007-11-14_Srila_Prabhupada_Offerings_Sri_Raga_Prabhu.MP3", "Mayapur_Yatra_2007-11-14_Srila_Prabhupada_Offerings_Sri_Raga_Prabhu.MP3")</f>
        <v>Mayapur_Yatra_2007-11-14_Srila_Prabhupada_Offerings_Sri_Raga_Prabhu.MP3</v>
      </c>
      <c r="D5000" s="11"/>
      <c r="E5000" s="11"/>
    </row>
    <row r="5001" spans="1:5">
      <c r="A5001" s="12" t="s">
        <v>12464</v>
      </c>
      <c r="B5001" s="12" t="s">
        <v>17504</v>
      </c>
      <c r="C5001" s="13" t="str">
        <f>HYPERLINK("https://audio.iskcondesiretree.com/02_-_ISKCON_Swamis/ISKCON_Swamis_-_R_to_Y/His_Holiness_Radhanath_Swami/Lectures/02_-_Yatra/2007_Mayapur_yatra/Mayapur_Yatra_2007-11-14_Srila_Prabhupada_Offerings_Umapati_Swami.MP3", "Mayapur_Yatra_2007-11-14_Srila_Prabhupada_Offerings_Umapati_Swami.MP3")</f>
        <v>Mayapur_Yatra_2007-11-14_Srila_Prabhupada_Offerings_Umapati_Swami.MP3</v>
      </c>
      <c r="D5001" s="11"/>
      <c r="E5001" s="11"/>
    </row>
    <row r="5002" spans="1:5">
      <c r="A5002" s="12" t="s">
        <v>12464</v>
      </c>
      <c r="B5002" s="12" t="s">
        <v>17505</v>
      </c>
      <c r="C5002" s="13" t="str">
        <f>HYPERLINK("https://audio.iskcondesiretree.com/02_-_ISKCON_Swamis/ISKCON_Swamis_-_R_to_Y/His_Holiness_Radhanath_Swami/Lectures/02_-_Yatra/2007_Mayapur_yatra/Mayapur_Yatra_2007-11-15_Jayapataka_Swami_Radhanath_Swami_Modrum_Dwip_Mamgacchi.MP3", "Mayapur_Yatra_2007-11-15_Jayapataka_Swami_Radhanath_Swami_Modrum_Dwip_Mamgacchi.MP3")</f>
        <v>Mayapur_Yatra_2007-11-15_Jayapataka_Swami_Radhanath_Swami_Modrum_Dwip_Mamgacchi.MP3</v>
      </c>
      <c r="D5002" s="11"/>
      <c r="E5002" s="11"/>
    </row>
    <row r="5003" spans="1:5">
      <c r="A5003" s="12" t="s">
        <v>12464</v>
      </c>
      <c r="B5003" s="12" t="s">
        <v>17506</v>
      </c>
      <c r="C5003" s="13" t="str">
        <f>HYPERLINK("https://audio.iskcondesiretree.com/02_-_ISKCON_Swamis/ISKCON_Swamis_-_R_to_Y/His_Holiness_Radhanath_Swami/Lectures/02_-_Yatra/2007_Mayapur_yatra/Mayapur_Yatra_2007-11-15_Lord_Nityananda_Radhanath_Swami_Mayapur_Iskcon.MP3", "Mayapur_Yatra_2007-11-15_Lord_Nityananda_Radhanath_Swami_Mayapur_Iskcon.MP3")</f>
        <v>Mayapur_Yatra_2007-11-15_Lord_Nityananda_Radhanath_Swami_Mayapur_Iskcon.MP3</v>
      </c>
      <c r="D5003" s="11"/>
      <c r="E5003" s="11"/>
    </row>
    <row r="5004" spans="1:5">
      <c r="A5004" s="12" t="s">
        <v>12464</v>
      </c>
      <c r="B5004" s="12" t="s">
        <v>17507</v>
      </c>
      <c r="C5004" s="13" t="str">
        <f>HYPERLINK("https://audio.iskcondesiretree.com/02_-_ISKCON_Swamis/ISKCON_Swamis_-_R_to_Y/His_Holiness_Radhanath_Swami/Lectures/02_-_Yatra/2007_Mayapur_yatra/Mayapur_Yatra_2007-11-16_Govinda_Prabhu%20Krishnananda_Prabhu_Caitanya_Math.MP3", "Mayapur_Yatra_2007-11-16_Govinda_Prabhu%20Krishnananda_Prabhu_Caitanya_Math.MP3")</f>
        <v>Mayapur_Yatra_2007-11-16_Govinda_Prabhu%20Krishnananda_Prabhu_Caitanya_Math.MP3</v>
      </c>
      <c r="D5004" s="11"/>
      <c r="E5004" s="11"/>
    </row>
    <row r="5005" spans="1:5">
      <c r="A5005" s="12" t="s">
        <v>12464</v>
      </c>
      <c r="B5005" s="12" t="s">
        <v>17508</v>
      </c>
      <c r="C5005" s="13" t="str">
        <f>HYPERLINK("https://audio.iskcondesiretree.com/02_-_ISKCON_Swamis/ISKCON_Swamis_-_R_to_Y/His_Holiness_Radhanath_Swami/Lectures/02_-_Yatra/2007_Mayapur_yatra/Mayapur_Yatra_2007-11-16_SB_03_09_11_Indradyumna_Swami.MP3", "Mayapur_Yatra_2007-11-16_SB_03_09_11_Indradyumna_Swami.MP3")</f>
        <v>Mayapur_Yatra_2007-11-16_SB_03_09_11_Indradyumna_Swami.MP3</v>
      </c>
      <c r="D5005" s="11"/>
      <c r="E5005" s="11"/>
    </row>
    <row r="5006" spans="1:5">
      <c r="A5006" s="12" t="s">
        <v>12464</v>
      </c>
      <c r="B5006" s="12" t="s">
        <v>17509</v>
      </c>
      <c r="C5006" s="13" t="str">
        <f>HYPERLINK("https://audio.iskcondesiretree.com/02_-_ISKCON_Swamis/ISKCON_Swamis_-_R_to_Y/His_Holiness_Radhanath_Swami/Lectures/02_-_Yatra/2007_Pune_yatra/Pune_Yatra_01_Pastimes_of_Advaita_Acharya_Radhanath_Swami_2007-01-25.mp3", "Pune_Yatra_01_Pastimes_of_Advaita_Acharya_Radhanath_Swami_2007-01-25.mp3")</f>
        <v>Pune_Yatra_01_Pastimes_of_Advaita_Acharya_Radhanath_Swami_2007-01-25.mp3</v>
      </c>
      <c r="D5006" s="11"/>
      <c r="E5006" s="11"/>
    </row>
    <row r="5007" spans="1:5">
      <c r="A5007" s="12" t="s">
        <v>12464</v>
      </c>
      <c r="B5007" s="12" t="s">
        <v>17510</v>
      </c>
      <c r="C5007" s="13" t="str">
        <f>HYPERLINK("https://audio.iskcondesiretree.com/02_-_ISKCON_Swamis/ISKCON_Swamis_-_R_to_Y/His_Holiness_Radhanath_Swami/Lectures/02_-_Yatra/2007_Pune_yatra/Pune_Yatra_02_Gaur_Arati_%26_Kirtan_Gaurvani_Prabhu_2007-01-25.mp3", "Pune_Yatra_02_Gaur_Arati_%26_Kirtan_Gaurvani_Prabhu_2007-01-25.mp3")</f>
        <v>Pune_Yatra_02_Gaur_Arati_%26_Kirtan_Gaurvani_Prabhu_2007-01-25.mp3</v>
      </c>
      <c r="D5007" s="11"/>
      <c r="E5007" s="11"/>
    </row>
    <row r="5008" spans="1:5">
      <c r="A5008" s="12" t="s">
        <v>12464</v>
      </c>
      <c r="B5008" s="12" t="s">
        <v>17511</v>
      </c>
      <c r="C5008" s="13" t="str">
        <f>HYPERLINK("https://audio.iskcondesiretree.com/02_-_ISKCON_Swamis/ISKCON_Swamis_-_R_to_Y/His_Holiness_Radhanath_Swami/Lectures/02_-_Yatra/2007_Pune_yatra/Pune_Yatra_03_Kirtan_Sivram_Prabhu_2007-01-26.mp3", "Pune_Yatra_03_Kirtan_Sivram_Prabhu_2007-01-26.mp3")</f>
        <v>Pune_Yatra_03_Kirtan_Sivram_Prabhu_2007-01-26.mp3</v>
      </c>
      <c r="D5008" s="11"/>
      <c r="E5008" s="11"/>
    </row>
    <row r="5009" spans="1:5">
      <c r="A5009" s="12" t="s">
        <v>12464</v>
      </c>
      <c r="B5009" s="12" t="s">
        <v>17512</v>
      </c>
      <c r="C5009" s="13" t="str">
        <f>HYPERLINK("https://audio.iskcondesiretree.com/02_-_ISKCON_Swamis/ISKCON_Swamis_-_R_to_Y/His_Holiness_Radhanath_Swami/Lectures/02_-_Yatra/2007_Pune_yatra/Pune_Yatra_04_Parama_Koruna_Bhajan_Swaroop_Damodar_Prabhu_2007-01-26.mp3", "Pune_Yatra_04_Parama_Koruna_Bhajan_Swaroop_Damodar_Prabhu_2007-01-26.mp3")</f>
        <v>Pune_Yatra_04_Parama_Koruna_Bhajan_Swaroop_Damodar_Prabhu_2007-01-26.mp3</v>
      </c>
      <c r="D5009" s="11"/>
      <c r="E5009" s="11"/>
    </row>
    <row r="5010" spans="1:5">
      <c r="A5010" s="12" t="s">
        <v>12464</v>
      </c>
      <c r="B5010" s="12" t="s">
        <v>17513</v>
      </c>
      <c r="C5010" s="13" t="str">
        <f>HYPERLINK("https://audio.iskcondesiretree.com/02_-_ISKCON_Swamis/ISKCON_Swamis_-_R_to_Y/His_Holiness_Radhanath_Swami/Lectures/02_-_Yatra/2007_Pune_yatra/Pune_Yatra_05_Hey_Govinda_Hey_Gopal_Bhajan_Swaroop_Damodar_Prabhu_2007-01-26.mp3", "Pune_Yatra_05_Hey_Govinda_Hey_Gopal_Bhajan_Swaroop_Damodar_Prabhu_2007-01-26.mp3")</f>
        <v>Pune_Yatra_05_Hey_Govinda_Hey_Gopal_Bhajan_Swaroop_Damodar_Prabhu_2007-01-26.mp3</v>
      </c>
      <c r="D5010" s="11"/>
      <c r="E5010" s="11"/>
    </row>
    <row r="5011" spans="1:5">
      <c r="A5011" s="12" t="s">
        <v>12464</v>
      </c>
      <c r="B5011" s="12" t="s">
        <v>17514</v>
      </c>
      <c r="C5011" s="13" t="str">
        <f>HYPERLINK("https://audio.iskcondesiretree.com/02_-_ISKCON_Swamis/ISKCON_Swamis_-_R_to_Y/His_Holiness_Radhanath_Swami/Lectures/02_-_Yatra/2007_Pune_yatra/Pune_Yatra_06_Glories_of_Bhismadev_Radhanath_Swami_2007-01-26.mp3", "Pune_Yatra_06_Glories_of_Bhismadev_Radhanath_Swami_2007-01-26.mp3")</f>
        <v>Pune_Yatra_06_Glories_of_Bhismadev_Radhanath_Swami_2007-01-26.mp3</v>
      </c>
      <c r="D5011" s="11"/>
      <c r="E5011" s="11"/>
    </row>
    <row r="5012" spans="1:5">
      <c r="A5012" s="12" t="s">
        <v>12464</v>
      </c>
      <c r="B5012" s="12" t="s">
        <v>17515</v>
      </c>
      <c r="C5012" s="13" t="str">
        <f>HYPERLINK("https://audio.iskcondesiretree.com/02_-_ISKCON_Swamis/ISKCON_Swamis_-_R_to_Y/His_Holiness_Radhanath_Swami/Lectures/02_-_Yatra/2007_Pune_yatra/Pune_Yatra_07_Welcome_Address_Appreciation_2007-01-26.mp3", "Pune_Yatra_07_Welcome_Address_Appreciation_2007-01-26.mp3")</f>
        <v>Pune_Yatra_07_Welcome_Address_Appreciation_2007-01-26.mp3</v>
      </c>
      <c r="D5012" s="11"/>
      <c r="E5012" s="11"/>
    </row>
    <row r="5013" spans="1:5">
      <c r="A5013" s="12" t="s">
        <v>12464</v>
      </c>
      <c r="B5013" s="12" t="s">
        <v>17516</v>
      </c>
      <c r="C5013" s="13" t="str">
        <f>HYPERLINK("https://audio.iskcondesiretree.com/02_-_ISKCON_Swamis/ISKCON_Swamis_-_R_to_Y/His_Holiness_Radhanath_Swami/Lectures/02_-_Yatra/2007_Pune_yatra/Pune_Yatra_08_Gaur_Arat_iEvening_Kirtan_Gaurvani_Prabhu_2007-01-26.mp3", "Pune_Yatra_08_Gaur_Arat_iEvening_Kirtan_Gaurvani_Prabhu_2007-01-26.mp3")</f>
        <v>Pune_Yatra_08_Gaur_Arat_iEvening_Kirtan_Gaurvani_Prabhu_2007-01-26.mp3</v>
      </c>
      <c r="D5013" s="11"/>
      <c r="E5013" s="11"/>
    </row>
    <row r="5014" spans="1:5">
      <c r="A5014" s="12" t="s">
        <v>12464</v>
      </c>
      <c r="B5014" s="12" t="s">
        <v>17517</v>
      </c>
      <c r="C5014" s="13" t="str">
        <f>HYPERLINK("https://audio.iskcondesiretree.com/02_-_ISKCON_Swamis/ISKCON_Swamis_-_R_to_Y/His_Holiness_Radhanath_Swami/Lectures/02_-_Yatra/2007_Pune_yatra/Pune_Yatra_09_Narsimha_Arati_Pankajangahi_Prabhu_2007-01-26.mp3", "Pune_Yatra_09_Narsimha_Arati_Pankajangahi_Prabhu_2007-01-26.mp3")</f>
        <v>Pune_Yatra_09_Narsimha_Arati_Pankajangahi_Prabhu_2007-01-26.mp3</v>
      </c>
      <c r="D5014" s="11"/>
      <c r="E5014" s="11"/>
    </row>
    <row r="5015" spans="1:5">
      <c r="A5015" s="12" t="s">
        <v>12464</v>
      </c>
      <c r="B5015" s="12" t="s">
        <v>17518</v>
      </c>
      <c r="C5015" s="13" t="str">
        <f>HYPERLINK("https://audio.iskcondesiretree.com/02_-_ISKCON_Swamis/ISKCON_Swamis_-_R_to_Y/His_Holiness_Radhanath_Swami/Lectures/02_-_Yatra/2007_Pune_yatra/Pune_Yatra_10_Sripad_Madhvacarya_Radhanath_Swami_2007-01-27.mp3", "Pune_Yatra_10_Sripad_Madhvacarya_Radhanath_Swami_2007-01-27.mp3")</f>
        <v>Pune_Yatra_10_Sripad_Madhvacarya_Radhanath_Swami_2007-01-27.mp3</v>
      </c>
      <c r="D5015" s="11"/>
      <c r="E5015" s="11"/>
    </row>
    <row r="5016" spans="1:5">
      <c r="A5016" s="12" t="s">
        <v>12464</v>
      </c>
      <c r="B5016" s="12" t="s">
        <v>17519</v>
      </c>
      <c r="C5016" s="13" t="str">
        <f>HYPERLINK("https://audio.iskcondesiretree.com/02_-_ISKCON_Swamis/ISKCON_Swamis_-_R_to_Y/His_Holiness_Radhanath_Swami/Lectures/02_-_Yatra/2007_Pune_yatra/Pune_Yatra_11_Mayapur_Experience_Realization_Jananivas_Prabhu_%26_Pankajanghari_Prabhu_2007-01-27.mp3", "Pune_Yatra_11_Mayapur_Experience_Realization_Jananivas_Prabhu_%26_Pankajanghari_Prabhu_2007-01-27.mp3")</f>
        <v>Pune_Yatra_11_Mayapur_Experience_Realization_Jananivas_Prabhu_%26_Pankajanghari_Prabhu_2007-01-27.mp3</v>
      </c>
      <c r="D5016" s="11"/>
      <c r="E5016" s="11"/>
    </row>
    <row r="5017" spans="1:5">
      <c r="A5017" s="12" t="s">
        <v>12464</v>
      </c>
      <c r="B5017" s="12" t="s">
        <v>17520</v>
      </c>
      <c r="C5017" s="13" t="str">
        <f>HYPERLINK("https://audio.iskcondesiretree.com/02_-_ISKCON_Swamis/ISKCON_Swamis_-_R_to_Y/His_Holiness_Radhanath_Swami/Lectures/02_-_Yatra/2007_Pune_yatra/Pune_Yatra_12_Realizations_Chandramouli_Swami_2007-01-27.mp3", "Pune_Yatra_12_Realizations_Chandramouli_Swami_2007-01-27.mp3")</f>
        <v>Pune_Yatra_12_Realizations_Chandramouli_Swami_2007-01-27.mp3</v>
      </c>
      <c r="D5017" s="11"/>
      <c r="E5017" s="11"/>
    </row>
    <row r="5018" spans="1:5">
      <c r="A5018" s="12" t="s">
        <v>12464</v>
      </c>
      <c r="B5018" s="12" t="s">
        <v>17521</v>
      </c>
      <c r="C5018" s="13" t="str">
        <f>HYPERLINK("https://audio.iskcondesiretree.com/02_-_ISKCON_Swamis/ISKCON_Swamis_-_R_to_Y/His_Holiness_Radhanath_Swami/Lectures/02_-_Yatra/2007_Pune_yatra/Pune_Yatra_13_Question_%26_Answers_Radhanath_Swami_Chandramouli_Swami_Jananivas_Prabhu_Pankajanghari_Prabhu.mp3", "Pune_Yatra_13_Question_%26_Answers_Radhanath_Swami_Chandramouli_Swami_Jananivas_Prabhu_Pankajanghari_Prabhu.mp3")</f>
        <v>Pune_Yatra_13_Question_%26_Answers_Radhanath_Swami_Chandramouli_Swami_Jananivas_Prabhu_Pankajanghari_Prabhu.mp3</v>
      </c>
      <c r="D5018" s="11"/>
      <c r="E5018" s="11"/>
    </row>
    <row r="5019" spans="1:5">
      <c r="A5019" s="12" t="s">
        <v>12464</v>
      </c>
      <c r="B5019" s="12" t="s">
        <v>17522</v>
      </c>
      <c r="C5019" s="13" t="str">
        <f>HYPERLINK("https://audio.iskcondesiretree.com/02_-_ISKCON_Swamis/ISKCON_Swamis_-_R_to_Y/His_Holiness_Radhanath_Swami/Lectures/02_-_Yatra/2007_Pune_yatra/Pune_Yatra_14_Kirtan_Gaurvani_Prabhu_2007-01-27.mp3", "Pune_Yatra_14_Kirtan_Gaurvani_Prabhu_2007-01-27.mp3")</f>
        <v>Pune_Yatra_14_Kirtan_Gaurvani_Prabhu_2007-01-27.mp3</v>
      </c>
      <c r="D5019" s="11"/>
      <c r="E5019" s="11"/>
    </row>
    <row r="5020" spans="1:5">
      <c r="A5020" s="12" t="s">
        <v>12464</v>
      </c>
      <c r="B5020" s="12" t="s">
        <v>17523</v>
      </c>
      <c r="C5020" s="13" t="str">
        <f>HYPERLINK("https://audio.iskcondesiretree.com/02_-_ISKCON_Swamis/ISKCON_Swamis_-_R_to_Y/His_Holiness_Radhanath_Swami/Lectures/02_-_Yatra/2007_Pune_yatra/Pune_Yatra_15_Question_%26_Answers_Radhanath_Swami_Chandramouli_Swami_Jananivas_Prabhu_Pankajanghari_Prabhu.mp3", "Pune_Yatra_15_Question_%26_Answers_Radhanath_Swami_Chandramouli_Swami_Jananivas_Prabhu_Pankajanghari_Prabhu.mp3")</f>
        <v>Pune_Yatra_15_Question_%26_Answers_Radhanath_Swami_Chandramouli_Swami_Jananivas_Prabhu_Pankajanghari_Prabhu.mp3</v>
      </c>
      <c r="D5020" s="11"/>
      <c r="E5020" s="11"/>
    </row>
    <row r="5021" spans="1:5">
      <c r="A5021" s="12" t="s">
        <v>12464</v>
      </c>
      <c r="B5021" s="12" t="s">
        <v>17524</v>
      </c>
      <c r="C5021" s="13" t="str">
        <f>HYPERLINK("https://audio.iskcondesiretree.com/02_-_ISKCON_Swamis/ISKCON_Swamis_-_R_to_Y/His_Holiness_Radhanath_Swami/Lectures/02_-_Yatra/2007_Pune_yatra/Pune_Yatra_16_Glorifying_Bhakti_Swaroop_Damoda_rSwami_Radhanath_Swami_2007-01-28.mp3", "Pune_Yatra_16_Glorifying_Bhakti_Swaroop_Damoda_rSwami_Radhanath_Swami_2007-01-28.mp3")</f>
        <v>Pune_Yatra_16_Glorifying_Bhakti_Swaroop_Damoda_rSwami_Radhanath_Swami_2007-01-28.mp3</v>
      </c>
      <c r="D5021" s="11"/>
      <c r="E5021" s="11"/>
    </row>
    <row r="5022" spans="1:5">
      <c r="A5022" s="12" t="s">
        <v>12464</v>
      </c>
      <c r="B5022" s="12" t="s">
        <v>17525</v>
      </c>
      <c r="C5022" s="13" t="str">
        <f>HYPERLINK("https://audio.iskcondesiretree.com/02_-_ISKCON_Swamis/ISKCON_Swamis_-_R_to_Y/His_Holiness_Radhanath_Swami/Lectures/02_-_Yatra/2007_Pune_yatra/Pune_Yatra_17_Concluding_Lecture_All_Speakers_2007-01-28.mp3", "Pune_Yatra_17_Concluding_Lecture_All_Speakers_2007-01-28.mp3")</f>
        <v>Pune_Yatra_17_Concluding_Lecture_All_Speakers_2007-01-28.mp3</v>
      </c>
      <c r="D5022" s="11"/>
      <c r="E5022" s="11"/>
    </row>
    <row r="5023" spans="1:5">
      <c r="A5023" s="12" t="s">
        <v>12464</v>
      </c>
      <c r="B5023" s="12" t="s">
        <v>17526</v>
      </c>
      <c r="C5023" s="13" t="str">
        <f>HYPERLINK("https://audio.iskcondesiretree.com/02_-_ISKCON_Swamis/ISKCON_Swamis_-_R_to_Y/His_Holiness_Radhanath_Swami/Lectures/02_-_Yatra/2008_Pune_yatra/Yatra_Pune_2008-01-24_01_Inaugural_Kirtan_Radhanath_Swami.mp3", "Yatra_Pune_2008-01-24_01_Inaugural_Kirtan_Radhanath_Swami.mp3")</f>
        <v>Yatra_Pune_2008-01-24_01_Inaugural_Kirtan_Radhanath_Swami.mp3</v>
      </c>
      <c r="D5023" s="11"/>
      <c r="E5023" s="11"/>
    </row>
    <row r="5024" spans="1:5">
      <c r="A5024" s="12" t="s">
        <v>12464</v>
      </c>
      <c r="B5024" s="12" t="s">
        <v>17527</v>
      </c>
      <c r="C5024" s="13" t="str">
        <f>HYPERLINK("https://audio.iskcondesiretree.com/02_-_ISKCON_Swamis/ISKCON_Swamis_-_R_to_Y/His_Holiness_Radhanath_Swami/Lectures/02_-_Yatra/2008_Pune_yatra/Yatra_Pune_2008-01-24_02_Inaugural_Lecture_For_Pune_Yatra_Radhanath_Swami.mp3", "Yatra_Pune_2008-01-24_02_Inaugural_Lecture_For_Pune_Yatra_Radhanath_Swami.mp3")</f>
        <v>Yatra_Pune_2008-01-24_02_Inaugural_Lecture_For_Pune_Yatra_Radhanath_Swami.mp3</v>
      </c>
      <c r="D5024" s="11"/>
      <c r="E5024" s="11"/>
    </row>
    <row r="5025" spans="1:5">
      <c r="A5025" s="12" t="s">
        <v>12464</v>
      </c>
      <c r="B5025" s="12" t="s">
        <v>17528</v>
      </c>
      <c r="C5025" s="13" t="str">
        <f>HYPERLINK("https://audio.iskcondesiretree.com/02_-_ISKCON_Swamis/ISKCON_Swamis_-_R_to_Y/His_Holiness_Radhanath_Swami/Lectures/02_-_Yatra/2008_Pune_yatra/Yatra_Pune_2008-01-25_03_Do_Not_Become_A_Prisoner_Of_Success_SB-06-11-24-26_Radhanath_Swami.mp3", "Yatra_Pune_2008-01-25_03_Do_Not_Become_A_Prisoner_Of_Success_SB-06-11-24-26_Radhanath_Swami.mp3")</f>
        <v>Yatra_Pune_2008-01-25_03_Do_Not_Become_A_Prisoner_Of_Success_SB-06-11-24-26_Radhanath_Swami.mp3</v>
      </c>
      <c r="D5025" s="11"/>
      <c r="E5025" s="11"/>
    </row>
    <row r="5026" spans="1:5">
      <c r="A5026" s="12" t="s">
        <v>12464</v>
      </c>
      <c r="B5026" s="12" t="s">
        <v>17529</v>
      </c>
      <c r="C5026" s="13" t="str">
        <f>HYPERLINK("https://audio.iskcondesiretree.com/02_-_ISKCON_Swamis/ISKCON_Swamis_-_R_to_Y/His_Holiness_Radhanath_Swami/Lectures/02_-_Yatra/2008_Pune_yatra/Yatra_Pune_2008-01-25_04_Q%26A_Session_Radhanath_Swami_Chandramauli_Swami_Mahamuni_Pr_Soma_Pr.mp3", "Yatra_Pune_2008-01-25_04_Q%26A_Session_Radhanath_Swami_Chandramauli_Swami_Mahamuni_Pr_Soma_Pr.mp3")</f>
        <v>Yatra_Pune_2008-01-25_04_Q%26A_Session_Radhanath_Swami_Chandramauli_Swami_Mahamuni_Pr_Soma_Pr.mp3</v>
      </c>
      <c r="D5026" s="11"/>
      <c r="E5026" s="11"/>
    </row>
    <row r="5027" spans="1:5">
      <c r="A5027" s="12" t="s">
        <v>12464</v>
      </c>
      <c r="B5027" s="12" t="s">
        <v>17530</v>
      </c>
      <c r="C5027" s="13" t="str">
        <f>HYPERLINK("https://audio.iskcondesiretree.com/02_-_ISKCON_Swamis/ISKCON_Swamis_-_R_to_Y/His_Holiness_Radhanath_Swami/Lectures/02_-_Yatra/2008_Pune_yatra/Yatra_Pune_2008-01-26_05_Absorbing_Oneself_In_Hari_Katha_%26_Hari_Kirtan_SB-10-01-13_Radhanath_Swami.mp3", "Yatra_Pune_2008-01-26_05_Absorbing_Oneself_In_Hari_Katha_%26_Hari_Kirtan_SB-10-01-13_Radhanath_Swami.mp3")</f>
        <v>Yatra_Pune_2008-01-26_05_Absorbing_Oneself_In_Hari_Katha_%26_Hari_Kirtan_SB-10-01-13_Radhanath_Swami.mp3</v>
      </c>
      <c r="D5027" s="11"/>
      <c r="E5027" s="11"/>
    </row>
    <row r="5028" spans="1:5">
      <c r="A5028" s="12" t="s">
        <v>12464</v>
      </c>
      <c r="B5028" s="12" t="s">
        <v>17531</v>
      </c>
      <c r="C5028" s="13" t="str">
        <f>HYPERLINK("https://audio.iskcondesiretree.com/02_-_ISKCON_Swamis/ISKCON_Swamis_-_R_to_Y/His_Holiness_Radhanath_Swami/Lectures/02_-_Yatra/2008_Pune_yatra/Yatra_Pune_2008-01-26_06_Prayers_Of_Lord_Caitanya_Chandramauli_Swami.mp3", "Yatra_Pune_2008-01-26_06_Prayers_Of_Lord_Caitanya_Chandramauli_Swami.mp3")</f>
        <v>Yatra_Pune_2008-01-26_06_Prayers_Of_Lord_Caitanya_Chandramauli_Swami.mp3</v>
      </c>
      <c r="D5028" s="11"/>
      <c r="E5028" s="11"/>
    </row>
    <row r="5029" spans="1:5">
      <c r="A5029" s="12" t="s">
        <v>12464</v>
      </c>
      <c r="B5029" s="12" t="s">
        <v>17532</v>
      </c>
      <c r="C5029" s="13" t="str">
        <f>HYPERLINK("https://audio.iskcondesiretree.com/02_-_ISKCON_Swamis/ISKCON_Swamis_-_R_to_Y/His_Holiness_Radhanath_Swami/Lectures/02_-_Yatra/2008_Pune_yatra/Yatra_Pune_2008-01-26_07_Questions_%26_Answers_Session_Radhanath_Swami_Chandramauli_Swami.mp3", "Yatra_Pune_2008-01-26_07_Questions_%26_Answers_Session_Radhanath_Swami_Chandramauli_Swami.mp3")</f>
        <v>Yatra_Pune_2008-01-26_07_Questions_%26_Answers_Session_Radhanath_Swami_Chandramauli_Swami.mp3</v>
      </c>
      <c r="D5029" s="11"/>
      <c r="E5029" s="11"/>
    </row>
    <row r="5030" spans="1:5">
      <c r="A5030" s="12" t="s">
        <v>12464</v>
      </c>
      <c r="B5030" s="12" t="s">
        <v>17533</v>
      </c>
      <c r="C5030" s="13" t="str">
        <f>HYPERLINK("https://audio.iskcondesiretree.com/02_-_ISKCON_Swamis/ISKCON_Swamis_-_R_to_Y/His_Holiness_Radhanath_Swami/Lectures/02_-_Yatra/2008_Pune_yatra/Yatra_Pune_2008-01-27_08_No_Mercy-No_Understanding_SB-01-08-29_Radhanath_Swami.mp3", "Yatra_Pune_2008-01-27_08_No_Mercy-No_Understanding_SB-01-08-29_Radhanath_Swami.mp3")</f>
        <v>Yatra_Pune_2008-01-27_08_No_Mercy-No_Understanding_SB-01-08-29_Radhanath_Swami.mp3</v>
      </c>
      <c r="D5030" s="11"/>
      <c r="E5030" s="11"/>
    </row>
    <row r="5031" spans="1:5">
      <c r="A5031" s="12" t="s">
        <v>12464</v>
      </c>
      <c r="B5031" s="12" t="s">
        <v>17534</v>
      </c>
      <c r="C5031" s="13" t="str">
        <f>HYPERLINK("https://audio.iskcondesiretree.com/02_-_ISKCON_Swamis/ISKCON_Swamis_-_R_to_Y/His_Holiness_Radhanath_Swami/Lectures/02_-_Yatra/2008_Pune_yatra/Yatra_Pune_2008-01-27_09_Questions_%26_Answers_Session_Chandramauli_Swami_Radhanath_Swami.mp3", "Yatra_Pune_2008-01-27_09_Questions_%26_Answers_Session_Chandramauli_Swami_Radhanath_Swami.mp3")</f>
        <v>Yatra_Pune_2008-01-27_09_Questions_%26_Answers_Session_Chandramauli_Swami_Radhanath_Swami.mp3</v>
      </c>
      <c r="D5031" s="11"/>
      <c r="E5031" s="11"/>
    </row>
    <row r="5032" spans="1:5">
      <c r="A5032" s="12" t="s">
        <v>12464</v>
      </c>
      <c r="B5032" s="12" t="s">
        <v>17535</v>
      </c>
      <c r="C5032" s="13" t="str">
        <f>HYPERLINK("https://audio.iskcondesiretree.com/02_-_ISKCON_Swamis/ISKCON_Swamis_-_R_to_Y/His_Holiness_Radhanath_Swami/Lectures/02_-_Yatra/2008_Pune_yatra/Yatra_Pune_2008-01-27_10_Closing_Session_Of_Pune_Yatra_Radhanath_Swami_Candramauli_Swami_Mahamuni_Pr.mp3", "Yatra_Pune_2008-01-27_10_Closing_Session_Of_Pune_Yatra_Radhanath_Swami_Candramauli_Swami_Mahamuni_Pr.mp3")</f>
        <v>Yatra_Pune_2008-01-27_10_Closing_Session_Of_Pune_Yatra_Radhanath_Swami_Candramauli_Swami_Mahamuni_Pr.mp3</v>
      </c>
      <c r="D5032" s="11"/>
      <c r="E5032" s="11"/>
    </row>
    <row r="5033" spans="1:5">
      <c r="A5033" s="12" t="s">
        <v>12464</v>
      </c>
      <c r="B5033" s="12" t="s">
        <v>17536</v>
      </c>
      <c r="C5033" s="13" t="str">
        <f>HYPERLINK("https://audio.iskcondesiretree.com/02_-_ISKCON_Swamis/ISKCON_Swamis_-_R_to_Y/His_Holiness_Radhanath_Swami/Lectures/02_-_Yatra/2008_Vrindavan_Yatra/01_-_Vrindavan_Yatra_2008_-_Mood_In_The_Spiritual_World_Temples_Of_Vrindavan_Part-01_-_Radhanath_Swami.mp3", "01_-_Vrindavan_Yatra_2008_-_Mood_In_The_Spiritual_World_Temples_Of_Vrindavan_Part-01_-_Radhanath_Swami.mp3")</f>
        <v>01_-_Vrindavan_Yatra_2008_-_Mood_In_The_Spiritual_World_Temples_Of_Vrindavan_Part-01_-_Radhanath_Swami.mp3</v>
      </c>
      <c r="D5033" s="11"/>
      <c r="E5033" s="11"/>
    </row>
    <row r="5034" spans="1:5">
      <c r="A5034" s="12" t="s">
        <v>12464</v>
      </c>
      <c r="B5034" s="12" t="s">
        <v>17537</v>
      </c>
      <c r="C5034" s="13" t="str">
        <f>HYPERLINK("https://audio.iskcondesiretree.com/02_-_ISKCON_Swamis/ISKCON_Swamis_-_R_to_Y/His_Holiness_Radhanath_Swami/Lectures/02_-_Yatra/2008_Vrindavan_Yatra/02_-_Vrindavan_Yatra_2008_-_Mood_In_The_Spiritual_World_Temples_Of_Vrindavan_Part-02_-_Radhanath_Swami.mp3", "02_-_Vrindavan_Yatra_2008_-_Mood_In_The_Spiritual_World_Temples_Of_Vrindavan_Part-02_-_Radhanath_Swami.mp3")</f>
        <v>02_-_Vrindavan_Yatra_2008_-_Mood_In_The_Spiritual_World_Temples_Of_Vrindavan_Part-02_-_Radhanath_Swami.mp3</v>
      </c>
      <c r="D5034" s="11"/>
      <c r="E5034" s="11"/>
    </row>
    <row r="5035" spans="1:5">
      <c r="A5035" s="12" t="s">
        <v>12464</v>
      </c>
      <c r="B5035" s="12" t="s">
        <v>17538</v>
      </c>
      <c r="C5035" s="13" t="str">
        <f>HYPERLINK("https://audio.iskcondesiretree.com/02_-_ISKCON_Swamis/ISKCON_Swamis_-_R_to_Y/His_Holiness_Radhanath_Swami/Lectures/02_-_Yatra/2008_Vrindavan_Yatra/03_-_Vrindavan_Yatra_2008_-_Mood_In_The_Spiritual_World_Temples_Of_Vrindavan_Part-03_-_Radhanath_Swami.mp3", "03_-_Vrindavan_Yatra_2008_-_Mood_In_The_Spiritual_World_Temples_Of_Vrindavan_Part-03_-_Radhanath_Swami.mp3")</f>
        <v>03_-_Vrindavan_Yatra_2008_-_Mood_In_The_Spiritual_World_Temples_Of_Vrindavan_Part-03_-_Radhanath_Swami.mp3</v>
      </c>
      <c r="D5035" s="11"/>
      <c r="E5035" s="11"/>
    </row>
    <row r="5036" spans="1:5">
      <c r="A5036" s="12" t="s">
        <v>12464</v>
      </c>
      <c r="B5036" s="12" t="s">
        <v>17539</v>
      </c>
      <c r="C5036" s="13" t="str">
        <f>HYPERLINK("https://audio.iskcondesiretree.com/02_-_ISKCON_Swamis/ISKCON_Swamis_-_R_to_Y/His_Holiness_Radhanath_Swami/Lectures/02_-_Yatra/2008_Vrindavan_Yatra/04_-_Vrindavan_Yatra_2008_-_Krsna%27s_Pastimes_In_Mahavan_Killing_Of_Putana_-_Radhanath_Swami.mp3", "04_-_Vrindavan_Yatra_2008_-_Krsna%27s_Pastimes_In_Mahavan_Killing_Of_Putana_-_Radhanath_Swami.mp3")</f>
        <v>04_-_Vrindavan_Yatra_2008_-_Krsna%27s_Pastimes_In_Mahavan_Killing_Of_Putana_-_Radhanath_Swami.mp3</v>
      </c>
      <c r="D5036" s="11"/>
      <c r="E5036" s="11"/>
    </row>
    <row r="5037" spans="1:5">
      <c r="A5037" s="12" t="s">
        <v>12464</v>
      </c>
      <c r="B5037" s="12" t="s">
        <v>17540</v>
      </c>
      <c r="C5037" s="13" t="str">
        <f>HYPERLINK("https://audio.iskcondesiretree.com/02_-_ISKCON_Swamis/ISKCON_Swamis_-_R_to_Y/His_Holiness_Radhanath_Swami/Lectures/02_-_Yatra/2008_Vrindavan_Yatra/05_-_Vrindavan_Yatra_2008_-_Krsna%27s_Pastimes_In_Mahavan_Killing_Of_Sakatasura_-_Radhanath_Swami.mp3", "05_-_Vrindavan_Yatra_2008_-_Krsna%27s_Pastimes_In_Mahavan_Killing_Of_Sakatasura_-_Radhanath_Swami.mp3")</f>
        <v>05_-_Vrindavan_Yatra_2008_-_Krsna%27s_Pastimes_In_Mahavan_Killing_Of_Sakatasura_-_Radhanath_Swami.mp3</v>
      </c>
      <c r="D5037" s="11"/>
      <c r="E5037" s="11"/>
    </row>
    <row r="5038" spans="1:5">
      <c r="A5038" s="12" t="s">
        <v>12464</v>
      </c>
      <c r="B5038" s="12" t="s">
        <v>17541</v>
      </c>
      <c r="C5038" s="13" t="str">
        <f>HYPERLINK("https://audio.iskcondesiretree.com/02_-_ISKCON_Swamis/ISKCON_Swamis_-_R_to_Y/His_Holiness_Radhanath_Swami/Lectures/02_-_Yatra/2008_Vrindavan_Yatra/07_-_Vrindavan_Yatra_2008_-_Govardhan_Pastimes_Part-01_-_Radhanath_Swami.mp3", "07_-_Vrindavan_Yatra_2008_-_Govardhan_Pastimes_Part-01_-_Radhanath_Swami.mp3")</f>
        <v>07_-_Vrindavan_Yatra_2008_-_Govardhan_Pastimes_Part-01_-_Radhanath_Swami.mp3</v>
      </c>
      <c r="D5038" s="11"/>
      <c r="E5038" s="11"/>
    </row>
    <row r="5039" spans="1:5">
      <c r="A5039" s="12" t="s">
        <v>12464</v>
      </c>
      <c r="B5039" s="12" t="s">
        <v>17542</v>
      </c>
      <c r="C5039" s="13" t="str">
        <f>HYPERLINK("https://audio.iskcondesiretree.com/02_-_ISKCON_Swamis/ISKCON_Swamis_-_R_to_Y/His_Holiness_Radhanath_Swami/Lectures/02_-_Yatra/2008_Vrindavan_Yatra/08_-_Vrindavan_Yatra_2008_-_Govardhan_Pastimes_Part-02_-_Radhanath_Swami.mp3", "08_-_Vrindavan_Yatra_2008_-_Govardhan_Pastimes_Part-02_-_Radhanath_Swami.mp3")</f>
        <v>08_-_Vrindavan_Yatra_2008_-_Govardhan_Pastimes_Part-02_-_Radhanath_Swami.mp3</v>
      </c>
      <c r="D5039" s="11"/>
      <c r="E5039" s="11"/>
    </row>
    <row r="5040" spans="1:5">
      <c r="A5040" s="12" t="s">
        <v>12464</v>
      </c>
      <c r="B5040" s="12" t="s">
        <v>17543</v>
      </c>
      <c r="C5040" s="13" t="str">
        <f>HYPERLINK("https://audio.iskcondesiretree.com/02_-_ISKCON_Swamis/ISKCON_Swamis_-_R_to_Y/His_Holiness_Radhanath_Swami/Lectures/02_-_Yatra/2008_Vrindavan_Yatra/09_-_Vrindavan_Yatra_2008_-_Pastime_of_Krishna_at_Bramhand_Kund_-_Radhanath_Swami.mp3", "09_-_Vrindavan_Yatra_2008_-_Pastime_of_Krishna_at_Bramhand_Kund_-_Radhanath_Swami.mp3")</f>
        <v>09_-_Vrindavan_Yatra_2008_-_Pastime_of_Krishna_at_Bramhand_Kund_-_Radhanath_Swami.mp3</v>
      </c>
      <c r="D5040" s="11"/>
      <c r="E5040" s="11"/>
    </row>
    <row r="5041" spans="1:5">
      <c r="A5041" s="12" t="s">
        <v>12464</v>
      </c>
      <c r="B5041" s="12" t="s">
        <v>17544</v>
      </c>
      <c r="C5041" s="13" t="str">
        <f>HYPERLINK("https://audio.iskcondesiretree.com/02_-_ISKCON_Swamis/ISKCON_Swamis_-_R_to_Y/His_Holiness_Radhanath_Swami/Lectures/02_-_Yatra/2008_Vrindavan_Yatra/10_-_Vrindavan_Yatra_2008_-_Pastime_of_Krishna_at_Gokul_-_Radhanath_Swami.mp3", "10_-_Vrindavan_Yatra_2008_-_Pastime_of_Krishna_at_Gokul_-_Radhanath_Swami.mp3")</f>
        <v>10_-_Vrindavan_Yatra_2008_-_Pastime_of_Krishna_at_Gokul_-_Radhanath_Swami.mp3</v>
      </c>
      <c r="D5041" s="11"/>
      <c r="E5041" s="11"/>
    </row>
    <row r="5042" spans="1:5">
      <c r="A5042" s="12" t="s">
        <v>12464</v>
      </c>
      <c r="B5042" s="12" t="s">
        <v>17545</v>
      </c>
      <c r="C5042" s="13" t="str">
        <f>HYPERLINK("https://audio.iskcondesiretree.com/02_-_ISKCON_Swamis/ISKCON_Swamis_-_R_to_Y/His_Holiness_Radhanath_Swami/Lectures/02_-_Yatra/2008_Vrindavan_Yatra/11_-_Vrindavan_Yatra_2008_-_Significance_Of_Mana_Sarovar_-_Radhanath_Swami.mp3", "11_-_Vrindavan_Yatra_2008_-_Significance_Of_Mana_Sarovar_-_Radhanath_Swami.mp3")</f>
        <v>11_-_Vrindavan_Yatra_2008_-_Significance_Of_Mana_Sarovar_-_Radhanath_Swami.mp3</v>
      </c>
      <c r="D5042" s="11"/>
      <c r="E5042" s="11"/>
    </row>
    <row r="5043" spans="1:5">
      <c r="A5043" s="12" t="s">
        <v>12464</v>
      </c>
      <c r="B5043" s="12" t="s">
        <v>17546</v>
      </c>
      <c r="C5043" s="13" t="str">
        <f>HYPERLINK("https://audio.iskcondesiretree.com/02_-_ISKCON_Swamis/ISKCON_Swamis_-_R_to_Y/His_Holiness_Radhanath_Swami/Lectures/02_-_Yatra/2008_Vrindavan_Yatra/12_-_Vrindavan_Yatra_2008_-_Brahma_Vimohan_Lila_Part-01_-_Radhanath_Swami.mp3", "12_-_Vrindavan_Yatra_2008_-_Brahma_Vimohan_Lila_Part-01_-_Radhanath_Swami.mp3")</f>
        <v>12_-_Vrindavan_Yatra_2008_-_Brahma_Vimohan_Lila_Part-01_-_Radhanath_Swami.mp3</v>
      </c>
      <c r="D5043" s="11"/>
      <c r="E5043" s="11"/>
    </row>
    <row r="5044" spans="1:5">
      <c r="A5044" s="12" t="s">
        <v>12464</v>
      </c>
      <c r="B5044" s="12" t="s">
        <v>17547</v>
      </c>
      <c r="C5044" s="13" t="str">
        <f>HYPERLINK("https://audio.iskcondesiretree.com/02_-_ISKCON_Swamis/ISKCON_Swamis_-_R_to_Y/His_Holiness_Radhanath_Swami/Lectures/02_-_Yatra/2008_Vrindavan_Yatra/13_-_Vrindavan_Yatra_2008_-_Brahma_Vimohan_Lila_Part-02_-_Radhanath_Swami.mp3", "13_-_Vrindavan_Yatra_2008_-_Brahma_Vimohan_Lila_Part-02_-_Radhanath_Swami.mp3")</f>
        <v>13_-_Vrindavan_Yatra_2008_-_Brahma_Vimohan_Lila_Part-02_-_Radhanath_Swami.mp3</v>
      </c>
      <c r="D5044" s="11"/>
      <c r="E5044" s="11"/>
    </row>
    <row r="5045" spans="1:5">
      <c r="A5045" s="12" t="s">
        <v>12464</v>
      </c>
      <c r="B5045" s="12" t="s">
        <v>17548</v>
      </c>
      <c r="C5045" s="13" t="str">
        <f>HYPERLINK("https://audio.iskcondesiretree.com/02_-_ISKCON_Swamis/ISKCON_Swamis_-_R_to_Y/His_Holiness_Radhanath_Swami/Lectures/02_-_Yatra/2008_Vrindavan_Yatra/14_-_Vrindavan_Yatra_2008_-_Govardhan_Parikrama_Through_Sound_Vibration_Part-01_-_Radhanath_Swami.mp3", "14_-_Vrindavan_Yatra_2008_-_Govardhan_Parikrama_Through_Sound_Vibration_Part-01_-_Radhanath_Swami.mp3")</f>
        <v>14_-_Vrindavan_Yatra_2008_-_Govardhan_Parikrama_Through_Sound_Vibration_Part-01_-_Radhanath_Swami.mp3</v>
      </c>
      <c r="D5045" s="11"/>
      <c r="E5045" s="11"/>
    </row>
    <row r="5046" spans="1:5">
      <c r="A5046" s="12" t="s">
        <v>12464</v>
      </c>
      <c r="B5046" s="12" t="s">
        <v>17549</v>
      </c>
      <c r="C5046" s="13" t="str">
        <f>HYPERLINK("https://audio.iskcondesiretree.com/02_-_ISKCON_Swamis/ISKCON_Swamis_-_R_to_Y/His_Holiness_Radhanath_Swami/Lectures/02_-_Yatra/2008_Vrindavan_Yatra/15_-_Vrindavan_Yatra_2008_-_Govardhan_Parikrama_Through_Sound_Vibration_Part-02_-_Radhanath_Swami.mp3", "15_-_Vrindavan_Yatra_2008_-_Govardhan_Parikrama_Through_Sound_Vibration_Part-02_-_Radhanath_Swami.mp3")</f>
        <v>15_-_Vrindavan_Yatra_2008_-_Govardhan_Parikrama_Through_Sound_Vibration_Part-02_-_Radhanath_Swami.mp3</v>
      </c>
      <c r="D5046" s="11"/>
      <c r="E5046" s="11"/>
    </row>
    <row r="5047" spans="1:5">
      <c r="A5047" s="12" t="s">
        <v>12464</v>
      </c>
      <c r="B5047" s="12" t="s">
        <v>17550</v>
      </c>
      <c r="C5047" s="13" t="str">
        <f>HYPERLINK("https://audio.iskcondesiretree.com/02_-_ISKCON_Swamis/ISKCON_Swamis_-_R_to_Y/His_Holiness_Radhanath_Swami/Lectures/02_-_Yatra/2008_Vrindavan_Yatra/16_-_Vrindavan_Yatra_2008_-_Delivarance_Of_DhenukasurArishtasura_Part-01_-_Radhanath_Swami.mp3", "16_-_Vrindavan_Yatra_2008_-_Delivarance_Of_DhenukasurArishtasura_Part-01_-_Radhanath_Swami.mp3")</f>
        <v>16_-_Vrindavan_Yatra_2008_-_Delivarance_Of_DhenukasurArishtasura_Part-01_-_Radhanath_Swami.mp3</v>
      </c>
      <c r="D5047" s="11"/>
      <c r="E5047" s="11"/>
    </row>
    <row r="5048" spans="1:5">
      <c r="A5048" s="12" t="s">
        <v>12464</v>
      </c>
      <c r="B5048" s="12" t="s">
        <v>17551</v>
      </c>
      <c r="C5048" s="13" t="str">
        <f>HYPERLINK("https://audio.iskcondesiretree.com/02_-_ISKCON_Swamis/ISKCON_Swamis_-_R_to_Y/His_Holiness_Radhanath_Swami/Lectures/02_-_Yatra/2008_Vrindavan_Yatra/17_-_Vrindavan_Yatra_2008_-_Delivarance_Of_DhenukasurArishtasura_Part-02_-_Radhanath_Swami.mp3", "17_-_Vrindavan_Yatra_2008_-_Delivarance_Of_DhenukasurArishtasura_Part-02_-_Radhanath_Swami.mp3")</f>
        <v>17_-_Vrindavan_Yatra_2008_-_Delivarance_Of_DhenukasurArishtasura_Part-02_-_Radhanath_Swami.mp3</v>
      </c>
      <c r="D5048" s="11"/>
      <c r="E5048" s="11"/>
    </row>
    <row r="5049" spans="1:5">
      <c r="A5049" s="12" t="s">
        <v>12464</v>
      </c>
      <c r="B5049" s="12" t="s">
        <v>17552</v>
      </c>
      <c r="C5049" s="13" t="str">
        <f>HYPERLINK("https://audio.iskcondesiretree.com/02_-_ISKCON_Swamis/ISKCON_Swamis_-_R_to_Y/His_Holiness_Radhanath_Swami/Lectures/02_-_Yatra/2008_Vrindavan_Yatra/18_-_Vrindavan_Yatra_2008_-_Searching_For_Krishna_-_HH-Sachinandan_Swami.mp3", "18_-_Vrindavan_Yatra_2008_-_Searching_For_Krishna_-_HH-Sachinandan_Swami.mp3")</f>
        <v>18_-_Vrindavan_Yatra_2008_-_Searching_For_Krishna_-_HH-Sachinandan_Swami.mp3</v>
      </c>
      <c r="D5049" s="11"/>
      <c r="E5049" s="11"/>
    </row>
    <row r="5050" spans="1:5">
      <c r="A5050" s="12" t="s">
        <v>12464</v>
      </c>
      <c r="B5050" s="12" t="s">
        <v>17553</v>
      </c>
      <c r="C5050" s="13" t="str">
        <f>HYPERLINK("https://audio.iskcondesiretree.com/02_-_ISKCON_Swamis/ISKCON_Swamis_-_R_to_Y/His_Holiness_Radhanath_Swami/Lectures/02_-_Yatra/2008_Vrindavan_Yatra/19_-_Vrindavan_Yatra_2008_-_Begging_For_the_Love_of_Krishna_-_HH-Radhanath_Swami_at.mp3", "19_-_Vrindavan_Yatra_2008_-_Begging_For_the_Love_of_Krishna_-_HH-Radhanath_Swami_at.mp3")</f>
        <v>19_-_Vrindavan_Yatra_2008_-_Begging_For_the_Love_of_Krishna_-_HH-Radhanath_Swami_at.mp3</v>
      </c>
      <c r="D5050" s="11"/>
      <c r="E5050" s="11"/>
    </row>
    <row r="5051" spans="1:5">
      <c r="A5051" s="12" t="s">
        <v>12464</v>
      </c>
      <c r="B5051" s="12" t="s">
        <v>17554</v>
      </c>
      <c r="C5051" s="13" t="str">
        <f>HYPERLINK("https://audio.iskcondesiretree.com/02_-_ISKCON_Swamis/ISKCON_Swamis_-_R_to_Y/His_Holiness_Radhanath_Swami/Lectures/02_-_Yatra/2008_Vrindavan_Yatra/20_-_Vrindavan_Yatra_2008_-_Radha_%26_Krishna_Pastimes_-_HH-Sachinandan_Swami_at_Maan.mp3", "20_-_Vrindavan_Yatra_2008_-_Radha_%26_Krishna_Pastimes_-_HH-Sachinandan_Swami_at_Maan.mp3")</f>
        <v>20_-_Vrindavan_Yatra_2008_-_Radha_%26_Krishna_Pastimes_-_HH-Sachinandan_Swami_at_Maan.mp3</v>
      </c>
      <c r="D5051" s="11"/>
      <c r="E5051" s="11"/>
    </row>
    <row r="5052" spans="1:5">
      <c r="A5052" s="12" t="s">
        <v>12464</v>
      </c>
      <c r="B5052" s="12" t="s">
        <v>17555</v>
      </c>
      <c r="C5052" s="13" t="str">
        <f>HYPERLINK("https://audio.iskcondesiretree.com/02_-_ISKCON_Swamis/ISKCON_Swamis_-_R_to_Y/His_Holiness_Radhanath_Swami/Lectures/02_-_Yatra/2008_Vrindavan_Yatra/21_-_Vrindavan_Yatra_2008_-_Expression_of_The_Love_From_the_Heart_-_HH-Radhanath_Swami.mp3", "21_-_Vrindavan_Yatra_2008_-_Expression_of_The_Love_From_the_Heart_-_HH-Radhanath_Swami.mp3")</f>
        <v>21_-_Vrindavan_Yatra_2008_-_Expression_of_The_Love_From_the_Heart_-_HH-Radhanath_Swami.mp3</v>
      </c>
      <c r="D5052" s="11"/>
      <c r="E5052" s="11"/>
    </row>
    <row r="5053" spans="1:5">
      <c r="A5053" s="12" t="s">
        <v>12464</v>
      </c>
      <c r="B5053" s="12" t="s">
        <v>17556</v>
      </c>
      <c r="C5053" s="13" t="str">
        <f>HYPERLINK("https://audio.iskcondesiretree.com/02_-_ISKCON_Swamis/ISKCON_Swamis_-_R_to_Y/His_Holiness_Radhanath_Swami/Lectures/02_-_Yatra/2008_Vrindavan_Yatra/22_-_Vrindavan_Yatra_2008_-_Krishna_Talking_with_Birds_%26_Animals_-_HH-Sachinanadan_Swami.mp3", "22_-_Vrindavan_Yatra_2008_-_Krishna_Talking_with_Birds_%26_Animals_-_HH-Sachinanadan_Swami.mp3")</f>
        <v>22_-_Vrindavan_Yatra_2008_-_Krishna_Talking_with_Birds_%26_Animals_-_HH-Sachinanadan_Swami.mp3</v>
      </c>
      <c r="D5053" s="11"/>
      <c r="E5053" s="11"/>
    </row>
    <row r="5054" spans="1:5">
      <c r="A5054" s="12" t="s">
        <v>12464</v>
      </c>
      <c r="B5054" s="12" t="s">
        <v>17557</v>
      </c>
      <c r="C5054" s="13" t="str">
        <f>HYPERLINK("https://audio.iskcondesiretree.com/02_-_ISKCON_Swamis/ISKCON_Swamis_-_R_to_Y/His_Holiness_Radhanath_Swami/Lectures/02_-_Yatra/2008_Vrindavan_Yatra/23_-_Vrindavan_Yatra_2008_-_Krishna%E2%80%99s_pastimes_in_Nandagram_-_HG-Deena_Bandhu_Dasa.mp3", "23_-_Vrindavan_Yatra_2008_-_Krishna%E2%80%99s_pastimes_in_Nandagram_-_HG-Deena_Bandhu_Dasa.mp3")</f>
        <v>23_-_Vrindavan_Yatra_2008_-_Krishna%E2%80%99s_pastimes_in_Nandagram_-_HG-Deena_Bandhu_Dasa.mp3</v>
      </c>
      <c r="D5054" s="11"/>
      <c r="E5054" s="11"/>
    </row>
    <row r="5055" spans="1:5">
      <c r="A5055" s="12" t="s">
        <v>12464</v>
      </c>
      <c r="B5055" s="12" t="s">
        <v>17558</v>
      </c>
      <c r="C5055" s="13" t="str">
        <f>HYPERLINK("https://audio.iskcondesiretree.com/02_-_ISKCON_Swamis/ISKCON_Swamis_-_R_to_Y/His_Holiness_Radhanath_Swami/Lectures/02_-_Yatra/2008_Vrindavan_Yatra/24_-_Vrindavan_Yatra_2008_-_Concluding_Lecture_-_HG-Govind_Das.mp3", "24_-_Vrindavan_Yatra_2008_-_Concluding_Lecture_-_HG-Govind_Das.mp3")</f>
        <v>24_-_Vrindavan_Yatra_2008_-_Concluding_Lecture_-_HG-Govind_Das.mp3</v>
      </c>
      <c r="D5055" s="11"/>
      <c r="E5055" s="11"/>
    </row>
    <row r="5056" spans="1:5">
      <c r="A5056" s="12" t="s">
        <v>12464</v>
      </c>
      <c r="B5056" s="12" t="s">
        <v>17559</v>
      </c>
      <c r="C5056" s="13" t="str">
        <f>HYPERLINK("https://audio.iskcondesiretree.com/02_-_ISKCON_Swamis/ISKCON_Swamis_-_R_to_Y/His_Holiness_Radhanath_Swami/Lectures/02_-_Yatra/2008_Vrindavan_Yatra/25_-_Vrindavan_Yatra_2008_-_Concluding_Lecture_-_HG-Radha_Gopinath_Das.mp3", "25_-_Vrindavan_Yatra_2008_-_Concluding_Lecture_-_HG-Radha_Gopinath_Das.mp3")</f>
        <v>25_-_Vrindavan_Yatra_2008_-_Concluding_Lecture_-_HG-Radha_Gopinath_Das.mp3</v>
      </c>
      <c r="D5056" s="11"/>
      <c r="E5056" s="11"/>
    </row>
    <row r="5057" spans="1:5">
      <c r="A5057" s="12" t="s">
        <v>12464</v>
      </c>
      <c r="B5057" s="12" t="s">
        <v>17560</v>
      </c>
      <c r="C5057" s="13" t="str">
        <f>HYPERLINK("https://audio.iskcondesiretree.com/02_-_ISKCON_Swamis/ISKCON_Swamis_-_R_to_Y/His_Holiness_Radhanath_Swami/Lectures/02_-_Yatra/2008_Vrindavan_Yatra/26_-_Vrindavan_Yatra_2008_-_Concluding_Lecture_-_HH-Radhanath_Swami.mp3", "26_-_Vrindavan_Yatra_2008_-_Concluding_Lecture_-_HH-Radhanath_Swami.mp3")</f>
        <v>26_-_Vrindavan_Yatra_2008_-_Concluding_Lecture_-_HH-Radhanath_Swami.mp3</v>
      </c>
      <c r="D5057" s="11"/>
      <c r="E5057" s="11"/>
    </row>
    <row r="5058" spans="1:5">
      <c r="A5058" s="12" t="s">
        <v>12464</v>
      </c>
      <c r="B5058" s="12" t="s">
        <v>17561</v>
      </c>
      <c r="C5058" s="13" t="str">
        <f>HYPERLINK("https://audio.iskcondesiretree.com/02_-_ISKCON_Swamis/ISKCON_Swamis_-_R_to_Y/His_Holiness_Radhanath_Swami/Lectures/02_-_Yatra/2008_Vrindavan_Yatra/27_-_Vrindavan_Yatra_2008_-_Hare_Krishna_HH-Radhanath_Swami.mp3", "27_-_Vrindavan_Yatra_2008_-_Hare_Krishna_HH-Radhanath_Swami.mp3")</f>
        <v>27_-_Vrindavan_Yatra_2008_-_Hare_Krishna_HH-Radhanath_Swami.mp3</v>
      </c>
      <c r="D5058" s="11"/>
      <c r="E5058" s="11"/>
    </row>
    <row r="5059" spans="1:5">
      <c r="A5059" s="12" t="s">
        <v>12464</v>
      </c>
      <c r="B5059" s="12" t="s">
        <v>17562</v>
      </c>
      <c r="C5059" s="13" t="str">
        <f>HYPERLINK("https://audio.iskcondesiretree.com/02_-_ISKCON_Swamis/ISKCON_Swamis_-_R_to_Y/His_Holiness_Radhanath_Swami/Lectures/02_-_Yatra/2009_Mayapur_Yatra/2009-10-07_-_Damodarastakam_Flute_-_Radhanath_Swami_ISKCON_Chowpatty.MP3", "2009-10-07_-_Damodarastakam_Flute_-_Radhanath_Swami_ISKCON_Chowpatty.MP3")</f>
        <v>2009-10-07_-_Damodarastakam_Flute_-_Radhanath_Swami_ISKCON_Chowpatty.MP3</v>
      </c>
      <c r="D5059" s="11"/>
      <c r="E5059" s="11"/>
    </row>
    <row r="5060" spans="1:5">
      <c r="A5060" s="12" t="s">
        <v>12464</v>
      </c>
      <c r="B5060" s="12" t="s">
        <v>17563</v>
      </c>
      <c r="C5060" s="13" t="str">
        <f>HYPERLINK("https://audio.iskcondesiretree.com/02_-_ISKCON_Swamis/ISKCON_Swamis_-_R_to_Y/His_Holiness_Radhanath_Swami/Lectures/02_-_Yatra/2009_Mayapur_Yatra/2009-10-08_-_Damodarastakam_Flute_%26_Tabla_-_Radhanath_Swami_ISKCON_Chowpatty.MP3", "2009-10-08_-_Damodarastakam_Flute_%26_Tabla_-_Radhanath_Swami_ISKCON_Chowpatty.MP3")</f>
        <v>2009-10-08_-_Damodarastakam_Flute_%26_Tabla_-_Radhanath_Swami_ISKCON_Chowpatty.MP3</v>
      </c>
      <c r="D5060" s="11"/>
      <c r="E5060" s="11"/>
    </row>
    <row r="5061" spans="1:5">
      <c r="A5061" s="12" t="s">
        <v>12464</v>
      </c>
      <c r="B5061" s="12" t="s">
        <v>17564</v>
      </c>
      <c r="C5061" s="13" t="str">
        <f>HYPERLINK("https://audio.iskcondesiretree.com/02_-_ISKCON_Swamis/ISKCON_Swamis_-_R_to_Y/His_Holiness_Radhanath_Swami/Lectures/02_-_Yatra/2009_Mayapur_Yatra/2009-10-09_-_Damodarastakam_Flute_%26_Mridanga_-_Radhanath_Swami_ISKCON_Chowpatty.MP3", "2009-10-09_-_Damodarastakam_Flute_%26_Mridanga_-_Radhanath_Swami_ISKCON_Chowpatty.MP3")</f>
        <v>2009-10-09_-_Damodarastakam_Flute_%26_Mridanga_-_Radhanath_Swami_ISKCON_Chowpatty.MP3</v>
      </c>
      <c r="D5061" s="11"/>
      <c r="E5061" s="11"/>
    </row>
    <row r="5062" spans="1:5">
      <c r="A5062" s="12" t="s">
        <v>12464</v>
      </c>
      <c r="B5062" s="12" t="s">
        <v>17565</v>
      </c>
      <c r="C5062" s="13" t="str">
        <f>HYPERLINK("https://audio.iskcondesiretree.com/02_-_ISKCON_Swamis/ISKCON_Swamis_-_R_to_Y/His_Holiness_Radhanath_Swami/Lectures/02_-_Yatra/2009_Mayapur_Yatra/2009-10-17_-_Glories_of_Navadwipa_Dhama_-_Jayapataka_Swamii_-_ISKCON_Mayapur.mp3", "2009-10-17_-_Glories_of_Navadwipa_Dhama_-_Jayapataka_Swamii_-_ISKCON_Mayapur.mp3")</f>
        <v>2009-10-17_-_Glories_of_Navadwipa_Dhama_-_Jayapataka_Swamii_-_ISKCON_Mayapur.mp3</v>
      </c>
      <c r="D5062" s="11"/>
      <c r="E5062" s="11"/>
    </row>
    <row r="5063" spans="1:5">
      <c r="A5063" s="12" t="s">
        <v>12464</v>
      </c>
      <c r="B5063" s="12" t="s">
        <v>17566</v>
      </c>
      <c r="C5063" s="13" t="str">
        <f>HYPERLINK("https://audio.iskcondesiretree.com/02_-_ISKCON_Swamis/ISKCON_Swamis_-_R_to_Y/His_Holiness_Radhanath_Swami/Lectures/02_-_Yatra/2009_Mayapur_Yatra/2009-10-17_-_Inaugral_Lecture-Mood_In_The_Yatra_-_Radhanath_Swami_ISKCON_Mayapur.mp3", "2009-10-17_-_Inaugral_Lecture-Mood_In_The_Yatra_-_Radhanath_Swami_ISKCON_Mayapur.mp3")</f>
        <v>2009-10-17_-_Inaugral_Lecture-Mood_In_The_Yatra_-_Radhanath_Swami_ISKCON_Mayapur.mp3</v>
      </c>
      <c r="D5063" s="11"/>
      <c r="E5063" s="11"/>
    </row>
    <row r="5064" spans="1:5">
      <c r="A5064" s="12" t="s">
        <v>12464</v>
      </c>
      <c r="B5064" s="12" t="s">
        <v>17567</v>
      </c>
      <c r="C5064" s="13" t="str">
        <f>HYPERLINK("https://audio.iskcondesiretree.com/02_-_ISKCON_Swamis/ISKCON_Swamis_-_R_to_Y/His_Holiness_Radhanath_Swami/Lectures/02_-_Yatra/2009_Mayapur_Yatra/2009-10-17_-_Inviting%20Jaya%20Pataka%20Swami_%20Radhanath_Swami.mp3", "2009-10-17_-_Inviting%20Jaya%20Pataka%20Swami_%20Radhanath_Swami.mp3")</f>
        <v>2009-10-17_-_Inviting%20Jaya%20Pataka%20Swami_%20Radhanath_Swami.mp3</v>
      </c>
      <c r="D5064" s="11"/>
      <c r="E5064" s="11"/>
    </row>
    <row r="5065" spans="1:5">
      <c r="A5065" s="12" t="s">
        <v>12464</v>
      </c>
      <c r="B5065" s="12" t="s">
        <v>17568</v>
      </c>
      <c r="C5065" s="13" t="str">
        <f>HYPERLINK("https://audio.iskcondesiretree.com/02_-_ISKCON_Swamis/ISKCON_Swamis_-_R_to_Y/His_Holiness_Radhanath_Swami/Lectures/02_-_Yatra/2009_Mayapur_Yatra/2009-10-17_-_Kirtan_1_-_Radhanath_Swami_ISKCON_Chowpatty.mp3", "2009-10-17_-_Kirtan_1_-_Radhanath_Swami_ISKCON_Chowpatty.mp3")</f>
        <v>2009-10-17_-_Kirtan_1_-_Radhanath_Swami_ISKCON_Chowpatty.mp3</v>
      </c>
      <c r="D5065" s="11"/>
      <c r="E5065" s="11"/>
    </row>
    <row r="5066" spans="1:5">
      <c r="A5066" s="12" t="s">
        <v>12464</v>
      </c>
      <c r="B5066" s="12" t="s">
        <v>17569</v>
      </c>
      <c r="C5066" s="13" t="str">
        <f>HYPERLINK("https://audio.iskcondesiretree.com/02_-_ISKCON_Swamis/ISKCON_Swamis_-_R_to_Y/His_Holiness_Radhanath_Swami/Lectures/02_-_Yatra/2009_Mayapur_Yatra/2009-10-17_-_Kirtan_2_-_Radhanath_Swami_ISKCON_Chowpatty.mp3", "2009-10-17_-_Kirtan_2_-_Radhanath_Swami_ISKCON_Chowpatty.mp3")</f>
        <v>2009-10-17_-_Kirtan_2_-_Radhanath_Swami_ISKCON_Chowpatty.mp3</v>
      </c>
      <c r="D5066" s="11"/>
      <c r="E5066" s="11"/>
    </row>
    <row r="5067" spans="1:5">
      <c r="A5067" s="12" t="s">
        <v>12464</v>
      </c>
      <c r="B5067" s="12" t="s">
        <v>17570</v>
      </c>
      <c r="C5067" s="13" t="str">
        <f>HYPERLINK("https://audio.iskcondesiretree.com/02_-_ISKCON_Swamis/ISKCON_Swamis_-_R_to_Y/His_Holiness_Radhanath_Swami/Lectures/02_-_Yatra/2009_Mayapur_Yatra/2009-10-17_-_Significance_Of_Diwali_-_Radhanath_Swamii_-_ISKCON_Mayapur.mp3", "2009-10-17_-_Significance_Of_Diwali_-_Radhanath_Swamii_-_ISKCON_Mayapur.mp3")</f>
        <v>2009-10-17_-_Significance_Of_Diwali_-_Radhanath_Swamii_-_ISKCON_Mayapur.mp3</v>
      </c>
      <c r="D5067" s="11"/>
      <c r="E5067" s="11"/>
    </row>
    <row r="5068" spans="1:5">
      <c r="A5068" s="12" t="s">
        <v>12464</v>
      </c>
      <c r="B5068" s="12" t="s">
        <v>17571</v>
      </c>
      <c r="C5068" s="13" t="str">
        <f>HYPERLINK("https://audio.iskcondesiretree.com/02_-_ISKCON_Swamis/ISKCON_Swamis_-_R_to_Y/His_Holiness_Radhanath_Swami/Lectures/02_-_Yatra/2009_Mayapur_Yatra/2009-10-18_-_Bhajan_Parama_karuna_-_Radhanath_Swami_ISKCON_Mayapur.mp3", "2009-10-18_-_Bhajan_Parama_karuna_-_Radhanath_Swami_ISKCON_Mayapur.mp3")</f>
        <v>2009-10-18_-_Bhajan_Parama_karuna_-_Radhanath_Swami_ISKCON_Mayapur.mp3</v>
      </c>
      <c r="D5068" s="11"/>
      <c r="E5068" s="11"/>
    </row>
    <row r="5069" spans="1:5">
      <c r="A5069" s="12" t="s">
        <v>12464</v>
      </c>
      <c r="B5069" s="12" t="s">
        <v>17572</v>
      </c>
      <c r="C5069" s="13" t="str">
        <f>HYPERLINK("https://audio.iskcondesiretree.com/02_-_ISKCON_Swamis/ISKCON_Swamis_-_R_to_Y/His_Holiness_Radhanath_Swami/Lectures/02_-_Yatra/2009_Mayapur_Yatra/2009-10-18_-_Gaura_Leela_-_Radhanath_Swami%2CJayapataka_Swami_ISKCON_Mayapur.mp3", "2009-10-18_-_Gaura_Leela_-_Radhanath_Swami%2CJayapataka_Swami_ISKCON_Mayapur.mp3")</f>
        <v>2009-10-18_-_Gaura_Leela_-_Radhanath_Swami%2CJayapataka_Swami_ISKCON_Mayapur.mp3</v>
      </c>
      <c r="D5069" s="11"/>
      <c r="E5069" s="11"/>
    </row>
    <row r="5070" spans="1:5">
      <c r="A5070" s="12" t="s">
        <v>12464</v>
      </c>
      <c r="B5070" s="12" t="s">
        <v>17573</v>
      </c>
      <c r="C5070" s="13" t="str">
        <f>HYPERLINK("https://audio.iskcondesiretree.com/02_-_ISKCON_Swamis/ISKCON_Swamis_-_R_to_Y/His_Holiness_Radhanath_Swami/Lectures/02_-_Yatra/2009_Mayapur_Yatra/2009-10-19_-_Damodar_Ashtakam_-_Naru_Gopal_Prabhu.mp3", "2009-10-19_-_Damodar_Ashtakam_-_Naru_Gopal_Prabhu.mp3")</f>
        <v>2009-10-19_-_Damodar_Ashtakam_-_Naru_Gopal_Prabhu.mp3</v>
      </c>
      <c r="D5070" s="11"/>
      <c r="E5070" s="11"/>
    </row>
    <row r="5071" spans="1:5">
      <c r="A5071" s="12" t="s">
        <v>12464</v>
      </c>
      <c r="B5071" s="12" t="s">
        <v>17574</v>
      </c>
      <c r="C5071" s="13" t="str">
        <f>HYPERLINK("https://audio.iskcondesiretree.com/02_-_ISKCON_Swamis/ISKCON_Swamis_-_R_to_Y/His_Holiness_Radhanath_Swami/Lectures/02_-_Yatra/2009_Mayapur_Yatra/2009-10-19_-_Indra%C2%B4s_Reaction_To_Goverdhan_Puja_-_Radhanath_Swami_ISKCON_Mayapur.mp3", "2009-10-19_-_Indra%C2%B4s_Reaction_To_Goverdhan_Puja_-_Radhanath_Swami_ISKCON_Mayapur.mp3")</f>
        <v>2009-10-19_-_Indra%C2%B4s_Reaction_To_Goverdhan_Puja_-_Radhanath_Swami_ISKCON_Mayapur.mp3</v>
      </c>
      <c r="D5071" s="11"/>
      <c r="E5071" s="11"/>
    </row>
    <row r="5072" spans="1:5">
      <c r="A5072" s="12" t="s">
        <v>12464</v>
      </c>
      <c r="B5072" s="12" t="s">
        <v>17575</v>
      </c>
      <c r="C5072" s="13" t="str">
        <f>HYPERLINK("https://audio.iskcondesiretree.com/02_-_ISKCON_Swamis/ISKCON_Swamis_-_R_to_Y/His_Holiness_Radhanath_Swami/Lectures/02_-_Yatra/2009_Mayapur_Yatra/2009-10-19_-_SB-10-24-35_Krsna_Worships_Sri_Goverdhan_-_Radhanath_Swami_-_ISKCON_Mayapur.mp3", "2009-10-19_-_SB-10-24-35_Krsna_Worships_Sri_Goverdhan_-_Radhanath_Swami_-_ISKCON_Mayapur.mp3")</f>
        <v>2009-10-19_-_SB-10-24-35_Krsna_Worships_Sri_Goverdhan_-_Radhanath_Swami_-_ISKCON_Mayapur.mp3</v>
      </c>
      <c r="D5072" s="11"/>
      <c r="E5072" s="11"/>
    </row>
    <row r="5073" spans="1:5">
      <c r="A5073" s="12" t="s">
        <v>12464</v>
      </c>
      <c r="B5073" s="12" t="s">
        <v>17576</v>
      </c>
      <c r="C5073" s="13" t="str">
        <f>HYPERLINK("https://audio.iskcondesiretree.com/02_-_ISKCON_Swamis/ISKCON_Swamis_-_R_to_Y/His_Holiness_Radhanath_Swami/Lectures/02_-_Yatra/2009_Mayapur_Yatra/2009-10-20_-_Childhood_Pastimes_Of_Nimai_-_Radhanath_Swami_-_ISKCON_Mayapur.mp3", "2009-10-20_-_Childhood_Pastimes_Of_Nimai_-_Radhanath_Swami_-_ISKCON_Mayapur.mp3")</f>
        <v>2009-10-20_-_Childhood_Pastimes_Of_Nimai_-_Radhanath_Swami_-_ISKCON_Mayapur.mp3</v>
      </c>
      <c r="D5073" s="11"/>
      <c r="E5073" s="11"/>
    </row>
    <row r="5074" spans="1:5">
      <c r="A5074" s="12" t="s">
        <v>12464</v>
      </c>
      <c r="B5074" s="12" t="s">
        <v>17577</v>
      </c>
      <c r="C5074" s="13" t="str">
        <f>HYPERLINK("https://audio.iskcondesiretree.com/02_-_ISKCON_Swamis/ISKCON_Swamis_-_R_to_Y/His_Holiness_Radhanath_Swami/Lectures/02_-_Yatra/2009_Mayapur_Yatra/2009-10-20_-_Damodar_Ashtakam_-_Radhanath_Swami.mp3", "2009-10-20_-_Damodar_Ashtakam_-_Radhanath_Swami.mp3")</f>
        <v>2009-10-20_-_Damodar_Ashtakam_-_Radhanath_Swami.mp3</v>
      </c>
      <c r="D5074" s="11"/>
      <c r="E5074" s="11"/>
    </row>
    <row r="5075" spans="1:5">
      <c r="A5075" s="12" t="s">
        <v>12464</v>
      </c>
      <c r="B5075" s="12" t="s">
        <v>17578</v>
      </c>
      <c r="C5075" s="13" t="str">
        <f>HYPERLINK("https://audio.iskcondesiretree.com/02_-_ISKCON_Swamis/ISKCON_Swamis_-_R_to_Y/His_Holiness_Radhanath_Swami/Lectures/02_-_Yatra/2009_Mayapur_Yatra/2009-10-20_-_HK_Kirtan_-_Radhanath_Swami.mp3", "2009-10-20_-_HK_Kirtan_-_Radhanath_Swami.mp3")</f>
        <v>2009-10-20_-_HK_Kirtan_-_Radhanath_Swami.mp3</v>
      </c>
      <c r="D5075" s="11"/>
      <c r="E5075" s="11"/>
    </row>
    <row r="5076" spans="1:5">
      <c r="A5076" s="12" t="s">
        <v>12464</v>
      </c>
      <c r="B5076" s="12" t="s">
        <v>17579</v>
      </c>
      <c r="C5076" s="13" t="str">
        <f>HYPERLINK("https://audio.iskcondesiretree.com/02_-_ISKCON_Swamis/ISKCON_Swamis_-_R_to_Y/His_Holiness_Radhanath_Swami/Lectures/02_-_Yatra/2009_Mayapur_Yatra/2009-10-21_-_Jaya_Jaya_Jagannath_-_Radhanath_Swami.mp3", "2009-10-21_-_Jaya_Jaya_Jagannath_-_Radhanath_Swami.mp3")</f>
        <v>2009-10-21_-_Jaya_Jaya_Jagannath_-_Radhanath_Swami.mp3</v>
      </c>
      <c r="D5076" s="11"/>
      <c r="E5076" s="11"/>
    </row>
    <row r="5077" spans="1:5">
      <c r="A5077" s="12" t="s">
        <v>12464</v>
      </c>
      <c r="B5077" s="12" t="s">
        <v>17580</v>
      </c>
      <c r="C5077" s="13" t="str">
        <f>HYPERLINK("https://audio.iskcondesiretree.com/02_-_ISKCON_Swamis/ISKCON_Swamis_-_R_to_Y/His_Holiness_Radhanath_Swami/Lectures/02_-_Yatra/2009_Mayapur_Yatra/2009-10-21_-_Setting_The_Scene_For_Lord_Caitanya%27s_Sanyasa_-_Radhanath_Swami.mp3", "2009-10-21_-_Setting_The_Scene_For_Lord_Caitanya%27s_Sanyasa_-_Radhanath_Swami.mp3")</f>
        <v>2009-10-21_-_Setting_The_Scene_For_Lord_Caitanya%27s_Sanyasa_-_Radhanath_Swami.mp3</v>
      </c>
      <c r="D5077" s="11"/>
      <c r="E5077" s="11"/>
    </row>
    <row r="5078" spans="1:5">
      <c r="A5078" s="12" t="s">
        <v>12464</v>
      </c>
      <c r="B5078" s="12" t="s">
        <v>17581</v>
      </c>
      <c r="C5078" s="13" t="str">
        <f>HYPERLINK("https://audio.iskcondesiretree.com/02_-_ISKCON_Swamis/ISKCON_Swamis_-_R_to_Y/His_Holiness_Radhanath_Swami/Lectures/02_-_Yatra/2009_Mayapur_Yatra/2009-10-22_-_Gurudev_Kripa_Bindu_Diya_-_Murari_Hari_Prabhu_ISKCON_Mayapur.mp3", "2009-10-22_-_Gurudev_Kripa_Bindu_Diya_-_Murari_Hari_Prabhu_ISKCON_Mayapur.mp3")</f>
        <v>2009-10-22_-_Gurudev_Kripa_Bindu_Diya_-_Murari_Hari_Prabhu_ISKCON_Mayapur.mp3</v>
      </c>
      <c r="D5078" s="11"/>
      <c r="E5078" s="11"/>
    </row>
    <row r="5079" spans="1:5">
      <c r="A5079" s="12" t="s">
        <v>12464</v>
      </c>
      <c r="B5079" s="12" t="s">
        <v>17582</v>
      </c>
      <c r="C5079" s="13" t="str">
        <f>HYPERLINK("https://audio.iskcondesiretree.com/02_-_ISKCON_Swamis/ISKCON_Swamis_-_R_to_Y/His_Holiness_Radhanath_Swami/Lectures/02_-_Yatra/2009_Mayapur_Yatra/2009-10-22_-_HK_Kirtan_%26_Je_Anilo_Prema_Dhana_-_Radhanath_Swami_ISKCON_Mayapur.mp3", "2009-10-22_-_HK_Kirtan_%26_Je_Anilo_Prema_Dhana_-_Radhanath_Swami_ISKCON_Mayapur.mp3")</f>
        <v>2009-10-22_-_HK_Kirtan_%26_Je_Anilo_Prema_Dhana_-_Radhanath_Swami_ISKCON_Mayapur.mp3</v>
      </c>
      <c r="D5079" s="11"/>
      <c r="E5079" s="11"/>
    </row>
    <row r="5080" spans="1:5">
      <c r="A5080" s="12" t="s">
        <v>12464</v>
      </c>
      <c r="B5080" s="12" t="s">
        <v>17583</v>
      </c>
      <c r="C5080" s="13" t="str">
        <f>HYPERLINK("https://audio.iskcondesiretree.com/02_-_ISKCON_Swamis/ISKCON_Swamis_-_R_to_Y/His_Holiness_Radhanath_Swami/Lectures/02_-_Yatra/2009_Mayapur_Yatra/2009-10-22_-_HK_Kirtan_-_Murari_Hari_Prabhu.mp3", "2009-10-22_-_HK_Kirtan_-_Murari_Hari_Prabhu.mp3")</f>
        <v>2009-10-22_-_HK_Kirtan_-_Murari_Hari_Prabhu.mp3</v>
      </c>
      <c r="D5080" s="11"/>
      <c r="E5080" s="11"/>
    </row>
    <row r="5081" spans="1:5">
      <c r="A5081" s="12" t="s">
        <v>12464</v>
      </c>
      <c r="B5081" s="12" t="s">
        <v>17584</v>
      </c>
      <c r="C5081" s="13" t="str">
        <f>HYPERLINK("https://audio.iskcondesiretree.com/02_-_ISKCON_Swamis/ISKCON_Swamis_-_R_to_Y/His_Holiness_Radhanath_Swami/Lectures/02_-_Yatra/2009_Mayapur_Yatra/2009-10-22_-_HK_Kirtan_-_Murari_Hari_Prabhu_ISKCON_Mayapur.mp3", "2009-10-22_-_HK_Kirtan_-_Murari_Hari_Prabhu_ISKCON_Mayapur.mp3")</f>
        <v>2009-10-22_-_HK_Kirtan_-_Murari_Hari_Prabhu_ISKCON_Mayapur.mp3</v>
      </c>
      <c r="D5081" s="11"/>
      <c r="E5081" s="11"/>
    </row>
    <row r="5082" spans="1:5">
      <c r="A5082" s="12" t="s">
        <v>12464</v>
      </c>
      <c r="B5082" s="12" t="s">
        <v>17585</v>
      </c>
      <c r="C5082" s="13" t="str">
        <f>HYPERLINK("https://audio.iskcondesiretree.com/02_-_ISKCON_Swamis/ISKCON_Swamis_-_R_to_Y/His_Holiness_Radhanath_Swami/Lectures/02_-_Yatra/2009_Mayapur_Yatra/2009-10-22_-_Offerings_To_Srila_Prabhupada-1_-_Prabhupada_Disciples_ISKCON_Mayapur.mp3", "2009-10-22_-_Offerings_To_Srila_Prabhupada-1_-_Prabhupada_Disciples_ISKCON_Mayapur.mp3")</f>
        <v>2009-10-22_-_Offerings_To_Srila_Prabhupada-1_-_Prabhupada_Disciples_ISKCON_Mayapur.mp3</v>
      </c>
      <c r="D5082" s="11"/>
      <c r="E5082" s="11"/>
    </row>
    <row r="5083" spans="1:5">
      <c r="A5083" s="12" t="s">
        <v>12464</v>
      </c>
      <c r="B5083" s="12" t="s">
        <v>17586</v>
      </c>
      <c r="C5083" s="13" t="str">
        <f>HYPERLINK("https://audio.iskcondesiretree.com/02_-_ISKCON_Swamis/ISKCON_Swamis_-_R_to_Y/His_Holiness_Radhanath_Swami/Lectures/02_-_Yatra/2009_Mayapur_Yatra/2009-10-22_-_Offerings_To_Srila_Prabhupada-3_-_Prabhupada_Disciples_ISKCON_Mayapur.mp3", "2009-10-22_-_Offerings_To_Srila_Prabhupada-3_-_Prabhupada_Disciples_ISKCON_Mayapur.mp3")</f>
        <v>2009-10-22_-_Offerings_To_Srila_Prabhupada-3_-_Prabhupada_Disciples_ISKCON_Mayapur.mp3</v>
      </c>
      <c r="D5083" s="11"/>
      <c r="E5083" s="11"/>
    </row>
    <row r="5084" spans="1:5">
      <c r="A5084" s="12" t="s">
        <v>12464</v>
      </c>
      <c r="B5084" s="12" t="s">
        <v>17587</v>
      </c>
      <c r="C5084" s="13" t="str">
        <f>HYPERLINK("https://audio.iskcondesiretree.com/02_-_ISKCON_Swamis/ISKCON_Swamis_-_R_to_Y/His_Holiness_Radhanath_Swami/Lectures/02_-_Yatra/2009_Mayapur_Yatra/2009-10-22_-_Offerings_To_Srila_Prabhupada_-_Prabhupada_Disciples_ISKCON_Mayapur.mp3", "2009-10-22_-_Offerings_To_Srila_Prabhupada_-_Prabhupada_Disciples_ISKCON_Mayapur.mp3")</f>
        <v>2009-10-22_-_Offerings_To_Srila_Prabhupada_-_Prabhupada_Disciples_ISKCON_Mayapur.mp3</v>
      </c>
      <c r="D5084" s="11"/>
      <c r="E5084" s="11"/>
    </row>
    <row r="5085" spans="1:5">
      <c r="A5085" s="12" t="s">
        <v>12464</v>
      </c>
      <c r="B5085" s="12" t="s">
        <v>17588</v>
      </c>
      <c r="C5085" s="13" t="str">
        <f>HYPERLINK("https://audio.iskcondesiretree.com/02_-_ISKCON_Swamis/ISKCON_Swamis_-_R_to_Y/His_Holiness_Radhanath_Swami/Lectures/02_-_Yatra/2009_Mayapur_Yatra/2009-10-22_-_Offerings_To_Srila_Prabhupada_-_Umapati_Swami_ISKCON_Mayapur.mp3", "2009-10-22_-_Offerings_To_Srila_Prabhupada_-_Umapati_Swami_ISKCON_Mayapur.mp3")</f>
        <v>2009-10-22_-_Offerings_To_Srila_Prabhupada_-_Umapati_Swami_ISKCON_Mayapur.mp3</v>
      </c>
      <c r="D5085" s="11"/>
      <c r="E5085" s="11"/>
    </row>
    <row r="5086" spans="1:5">
      <c r="A5086" s="12" t="s">
        <v>12464</v>
      </c>
      <c r="B5086" s="12" t="s">
        <v>17589</v>
      </c>
      <c r="C5086" s="13" t="str">
        <f>HYPERLINK("https://audio.iskcondesiretree.com/02_-_ISKCON_Swamis/ISKCON_Swamis_-_R_to_Y/His_Holiness_Radhanath_Swami/Lectures/02_-_Yatra/2009_Mayapur_Yatra/2009-10-22_-_Ohe_Vaishnava_Thakur_-_Murari_Hari_Prabhu_ISKCON_Mayapur.mp3", "2009-10-22_-_Ohe_Vaishnava_Thakur_-_Murari_Hari_Prabhu_ISKCON_Mayapur.mp3")</f>
        <v>2009-10-22_-_Ohe_Vaishnava_Thakur_-_Murari_Hari_Prabhu_ISKCON_Mayapur.mp3</v>
      </c>
      <c r="D5086" s="11"/>
      <c r="E5086" s="11"/>
    </row>
    <row r="5087" spans="1:5">
      <c r="A5087" s="12" t="s">
        <v>12464</v>
      </c>
      <c r="B5087" s="12" t="s">
        <v>17590</v>
      </c>
      <c r="C5087" s="13" t="str">
        <f>HYPERLINK("https://audio.iskcondesiretree.com/02_-_ISKCON_Swamis/ISKCON_Swamis_-_R_to_Y/His_Holiness_Radhanath_Swami/Lectures/02_-_Yatra/2009_Mayapur_Yatra/2009-10-23_-_Sanyasa_Ceremony_Of_Mahaprabhu_-_Radhanath_Swami_ISKCON_Mayapur.mp3", "2009-10-23_-_Sanyasa_Ceremony_Of_Mahaprabhu_-_Radhanath_Swami_ISKCON_Mayapur.mp3")</f>
        <v>2009-10-23_-_Sanyasa_Ceremony_Of_Mahaprabhu_-_Radhanath_Swami_ISKCON_Mayapur.mp3</v>
      </c>
      <c r="D5087" s="11"/>
      <c r="E5087" s="11"/>
    </row>
    <row r="5088" spans="1:5">
      <c r="A5088" s="12" t="s">
        <v>12464</v>
      </c>
      <c r="B5088" s="12" t="s">
        <v>17591</v>
      </c>
      <c r="C5088" s="13" t="str">
        <f>HYPERLINK("https://audio.iskcondesiretree.com/02_-_ISKCON_Swamis/ISKCON_Swamis_-_R_to_Y/His_Holiness_Radhanath_Swami/Lectures/02_-_Yatra/2009_Mayapur_Yatra/2009-10-23_-_Yadi_Gaur_Na_Hoite_-_Radhanath_Swami_ISKCON_Mayapur.mp3", "2009-10-23_-_Yadi_Gaur_Na_Hoite_-_Radhanath_Swami_ISKCON_Mayapur.mp3")</f>
        <v>2009-10-23_-_Yadi_Gaur_Na_Hoite_-_Radhanath_Swami_ISKCON_Mayapur.mp3</v>
      </c>
      <c r="D5088" s="11"/>
      <c r="E5088" s="11"/>
    </row>
    <row r="5089" spans="1:5">
      <c r="A5089" s="12" t="s">
        <v>12464</v>
      </c>
      <c r="B5089" s="12" t="s">
        <v>17592</v>
      </c>
      <c r="C5089" s="13" t="str">
        <f>HYPERLINK("https://audio.iskcondesiretree.com/02_-_ISKCON_Swamis/ISKCON_Swamis_-_R_to_Y/His_Holiness_Radhanath_Swami/Lectures/02_-_Yatra/2009_Mayapur_Yatra/2009-10-24_-_Kali_Kukkur_-_Radhanath_Swami_ISKCON_Mayapur.mp3", "2009-10-24_-_Kali_Kukkur_-_Radhanath_Swami_ISKCON_Mayapur.mp3")</f>
        <v>2009-10-24_-_Kali_Kukkur_-_Radhanath_Swami_ISKCON_Mayapur.mp3</v>
      </c>
      <c r="D5089" s="11"/>
      <c r="E5089" s="11"/>
    </row>
    <row r="5090" spans="1:5">
      <c r="A5090" s="12" t="s">
        <v>12464</v>
      </c>
      <c r="B5090" s="12" t="s">
        <v>17593</v>
      </c>
      <c r="C5090" s="13" t="str">
        <f>HYPERLINK("https://audio.iskcondesiretree.com/02_-_ISKCON_Swamis/ISKCON_Swamis_-_R_to_Y/His_Holiness_Radhanath_Swami/Lectures/02_-_Yatra/2009_Mayapur_Yatra/2009-10-24_-_Reunion_Of_Devotees_With_Lord_Caitanya_After_Sannyasa_ISKCON_Mayapur.mp3", "2009-10-24_-_Reunion_Of_Devotees_With_Lord_Caitanya_After_Sannyasa_ISKCON_Mayapur.mp3")</f>
        <v>2009-10-24_-_Reunion_Of_Devotees_With_Lord_Caitanya_After_Sannyasa_ISKCON_Mayapur.mp3</v>
      </c>
      <c r="D5090" s="11"/>
      <c r="E5090" s="11"/>
    </row>
    <row r="5091" spans="1:5">
      <c r="A5091" s="12" t="s">
        <v>12464</v>
      </c>
      <c r="B5091" s="12" t="s">
        <v>17594</v>
      </c>
      <c r="C5091" s="13" t="str">
        <f>HYPERLINK("https://audio.iskcondesiretree.com/02_-_ISKCON_Swamis/ISKCON_Swamis_-_R_to_Y/His_Holiness_Radhanath_Swami/Lectures/02_-_Yatra/2009_Mayapur_Yatra/2009-10-25_-_Jayo_Jayo_Jagannath_Sacira_Nandana_-_Radhanath_Swami_ISKCON_Mayapur.mp3", "2009-10-25_-_Jayo_Jayo_Jagannath_Sacira_Nandana_-_Radhanath_Swami_ISKCON_Mayapur.mp3")</f>
        <v>2009-10-25_-_Jayo_Jayo_Jagannath_Sacira_Nandana_-_Radhanath_Swami_ISKCON_Mayapur.mp3</v>
      </c>
      <c r="D5091" s="11"/>
      <c r="E5091" s="11"/>
    </row>
    <row r="5092" spans="1:5">
      <c r="A5092" s="12" t="s">
        <v>12464</v>
      </c>
      <c r="B5092" s="12" t="s">
        <v>17595</v>
      </c>
      <c r="C5092" s="13" t="str">
        <f>HYPERLINK("https://audio.iskcondesiretree.com/02_-_ISKCON_Swamis/ISKCON_Swamis_-_R_to_Y/His_Holiness_Radhanath_Swami/Lectures/02_-_Yatra/2009_Mayapur_Yatra/2009-10-25_-_Lord_Caitanya_Returns_To_Navadvip_-_Radhanath_Swami_ISKCON_Mayapur.mp3", "2009-10-25_-_Lord_Caitanya_Returns_To_Navadvip_-_Radhanath_Swami_ISKCON_Mayapur.mp3")</f>
        <v>2009-10-25_-_Lord_Caitanya_Returns_To_Navadvip_-_Radhanath_Swami_ISKCON_Mayapur.mp3</v>
      </c>
      <c r="D5092" s="11"/>
      <c r="E5092" s="11"/>
    </row>
    <row r="5093" spans="1:5">
      <c r="A5093" s="12" t="s">
        <v>12464</v>
      </c>
      <c r="B5093" s="12" t="s">
        <v>17596</v>
      </c>
      <c r="C5093" s="13" t="str">
        <f>HYPERLINK("https://audio.iskcondesiretree.com/02_-_ISKCON_Swamis/ISKCON_Swamis_-_R_to_Y/His_Holiness_Radhanath_Swami/Lectures/02_-_Yatra/2009_Mayapur_Yatra/2009-10-26_-_Accessing_Lord_Caitanya%27s_Mercy_Through_Lord_Nityanand_-_Radhanath_Swami_ISKCON_Mayapur.mp3", "2009-10-26_-_Accessing_Lord_Caitanya%27s_Mercy_Through_Lord_Nityanand_-_Radhanath_Swami_ISKCON_Mayapur.mp3")</f>
        <v>2009-10-26_-_Accessing_Lord_Caitanya%27s_Mercy_Through_Lord_Nityanand_-_Radhanath_Swami_ISKCON_Mayapur.mp3</v>
      </c>
      <c r="D5093" s="11"/>
      <c r="E5093" s="11"/>
    </row>
    <row r="5094" spans="1:5">
      <c r="A5094" s="12" t="s">
        <v>12464</v>
      </c>
      <c r="B5094" s="12" t="s">
        <v>17597</v>
      </c>
      <c r="C5094" s="13" t="str">
        <f>HYPERLINK("https://audio.iskcondesiretree.com/02_-_ISKCON_Swamis/ISKCON_Swamis_-_R_to_Y/His_Holiness_Radhanath_Swami/Lectures/02_-_Yatra/2009_Mayapur_Yatra/2009-10-26_-_Akaroda_Paramananda_Nityanand_Ram_-_Radhanath_Swami_ISKCON_Mayapur.mp3", "2009-10-26_-_Akaroda_Paramananda_Nityanand_Ram_-_Radhanath_Swami_ISKCON_Mayapur.mp3")</f>
        <v>2009-10-26_-_Akaroda_Paramananda_Nityanand_Ram_-_Radhanath_Swami_ISKCON_Mayapur.mp3</v>
      </c>
      <c r="D5094" s="11"/>
      <c r="E5094" s="11"/>
    </row>
    <row r="5095" spans="1:5">
      <c r="A5095" s="12" t="s">
        <v>12464</v>
      </c>
      <c r="B5095" s="12" t="s">
        <v>17598</v>
      </c>
      <c r="C5095" s="13" t="str">
        <f>HYPERLINK("https://audio.iskcondesiretree.com/02_-_ISKCON_Swamis/ISKCON_Swamis_-_R_to_Y/His_Holiness_Radhanath_Swami/Lectures/02_-_Yatra/2009_Mayapur_Yatra/2009-10-26_-_Dhana_Mora_Nityanand_-_Radhanath_Swami_ISKCON_Mayapur.mp3", "2009-10-26_-_Dhana_Mora_Nityanand_-_Radhanath_Swami_ISKCON_Mayapur.mp3")</f>
        <v>2009-10-26_-_Dhana_Mora_Nityanand_-_Radhanath_Swami_ISKCON_Mayapur.mp3</v>
      </c>
      <c r="D5095" s="11"/>
      <c r="E5095" s="11"/>
    </row>
    <row r="5096" spans="1:5">
      <c r="A5096" s="12" t="s">
        <v>12464</v>
      </c>
      <c r="B5096" s="12" t="s">
        <v>17599</v>
      </c>
      <c r="C5096" s="13" t="str">
        <f>HYPERLINK("https://audio.iskcondesiretree.com/02_-_ISKCON_Swamis/ISKCON_Swamis_-_R_to_Y/His_Holiness_Radhanath_Swami/Lectures/02_-_Yatra/2009_Mayapur_Yatra/2009-10-26_-_Doyal_Nitai_Caitanya_Bole_-_Radhanath_Swami_ISKCON_Mayapur.mp3", "2009-10-26_-_Doyal_Nitai_Caitanya_Bole_-_Radhanath_Swami_ISKCON_Mayapur.mp3")</f>
        <v>2009-10-26_-_Doyal_Nitai_Caitanya_Bole_-_Radhanath_Swami_ISKCON_Mayapur.mp3</v>
      </c>
      <c r="D5096" s="11"/>
      <c r="E5096" s="11"/>
    </row>
    <row r="5097" spans="1:5">
      <c r="A5097" s="12" t="s">
        <v>12464</v>
      </c>
      <c r="B5097" s="12" t="s">
        <v>17600</v>
      </c>
      <c r="C5097" s="13" t="str">
        <f>HYPERLINK("https://audio.iskcondesiretree.com/02_-_ISKCON_Swamis/ISKCON_Swamis_-_R_to_Y/His_Holiness_Radhanath_Swami/Lectures/02_-_Yatra/2009_Mayapur_Yatra/2009-10-26_-_HK_Kirtan_-_Radhanath_Swami_ISKCON_Mayapur.mp3", "2009-10-26_-_HK_Kirtan_-_Radhanath_Swami_ISKCON_Mayapur.mp3")</f>
        <v>2009-10-26_-_HK_Kirtan_-_Radhanath_Swami_ISKCON_Mayapur.mp3</v>
      </c>
      <c r="D5097" s="11"/>
      <c r="E5097" s="11"/>
    </row>
    <row r="5098" spans="1:5">
      <c r="A5098" s="12" t="s">
        <v>12464</v>
      </c>
      <c r="B5098" s="12" t="s">
        <v>17601</v>
      </c>
      <c r="C5098" s="13" t="str">
        <f>HYPERLINK("https://audio.iskcondesiretree.com/02_-_ISKCON_Swamis/ISKCON_Swamis_-_R_to_Y/His_Holiness_Radhanath_Swami/Lectures/02_-_Yatra/2009_Mayapur_Yatra/2009-10-26_-_Nadiya_Godruma_Nityanand_Mahajan_-_Radhanath_Swami_ISKCON_Mayapur.mp3", "2009-10-26_-_Nadiya_Godruma_Nityanand_Mahajan_-_Radhanath_Swami_ISKCON_Mayapur.mp3")</f>
        <v>2009-10-26_-_Nadiya_Godruma_Nityanand_Mahajan_-_Radhanath_Swami_ISKCON_Mayapur.mp3</v>
      </c>
      <c r="D5098" s="11"/>
      <c r="E5098" s="11"/>
    </row>
    <row r="5099" spans="1:5">
      <c r="A5099" s="12" t="s">
        <v>12464</v>
      </c>
      <c r="B5099" s="12" t="s">
        <v>17602</v>
      </c>
      <c r="C5099" s="13" t="str">
        <f>HYPERLINK("https://audio.iskcondesiretree.com/02_-_ISKCON_Swamis/ISKCON_Swamis_-_R_to_Y/His_Holiness_Radhanath_Swami/Lectures/02_-_Yatra/2009_Mayapur_Yatra/2009-10-27_-_Concluding_Session_-_Radhanath_Swami_%26_Mayapur_Devotees_ISKCON_Mayapur.mp3", "2009-10-27_-_Concluding_Session_-_Radhanath_Swami_%26_Mayapur_Devotees_ISKCON_Mayapur.mp3")</f>
        <v>2009-10-27_-_Concluding_Session_-_Radhanath_Swami_%26_Mayapur_Devotees_ISKCON_Mayapur.mp3</v>
      </c>
      <c r="D5099" s="11"/>
      <c r="E5099" s="11"/>
    </row>
    <row r="5100" spans="1:5">
      <c r="A5100" s="12" t="s">
        <v>12464</v>
      </c>
      <c r="B5100" s="12" t="s">
        <v>17603</v>
      </c>
      <c r="C5100" s="13" t="str">
        <f>HYPERLINK("https://audio.iskcondesiretree.com/02_-_ISKCON_Swamis/ISKCON_Swamis_-_R_to_Y/His_Holiness_Radhanath_Swami/Lectures/02_-_Yatra/2009_Mayapur_Yatra/2009-10-27_-_Damodarastakam_%26_HK_Kirtan_-_Radhanath_Swami.MP3", "2009-10-27_-_Damodarastakam_%26_HK_Kirtan_-_Radhanath_Swami.MP3")</f>
        <v>2009-10-27_-_Damodarastakam_%26_HK_Kirtan_-_Radhanath_Swami.MP3</v>
      </c>
      <c r="D5100" s="11"/>
      <c r="E5100" s="11"/>
    </row>
    <row r="5101" spans="1:5">
      <c r="A5101" s="12" t="s">
        <v>12464</v>
      </c>
      <c r="B5101" s="12" t="s">
        <v>17604</v>
      </c>
      <c r="C5101" s="13" t="str">
        <f>HYPERLINK("https://audio.iskcondesiretree.com/02_-_ISKCON_Swamis/ISKCON_Swamis_-_R_to_Y/His_Holiness_Radhanath_Swami/Lectures/02_-_Yatra/2009_Mayapur_Yatra/2009-10-27_-_Gauranga_Bolite_Habe_-_Radhanath_Swami_ISKCON_Mayapur.mp3", "2009-10-27_-_Gauranga_Bolite_Habe_-_Radhanath_Swami_ISKCON_Mayapur.mp3")</f>
        <v>2009-10-27_-_Gauranga_Bolite_Habe_-_Radhanath_Swami_ISKCON_Mayapur.mp3</v>
      </c>
      <c r="D5101" s="11"/>
      <c r="E5101" s="11"/>
    </row>
    <row r="5102" spans="1:5">
      <c r="A5102" s="12" t="s">
        <v>12464</v>
      </c>
      <c r="B5102" s="12" t="s">
        <v>17605</v>
      </c>
      <c r="C5102" s="13" t="str">
        <f>HYPERLINK("https://audio.iskcondesiretree.com/02_-_ISKCON_Swamis/ISKCON_Swamis_-_R_to_Y/His_Holiness_Radhanath_Swami/Lectures/02_-_Yatra/2009_Mayapur_Yatra/2009-10-27_-_Maan_Leela_Of_Radha_Maan_Bihari_-_Susheel_Goswami_ISKCON_Mayapur%28Hindi%29.mp3", "2009-10-27_-_Maan_Leela_Of_Radha_Maan_Bihari_-_Susheel_Goswami_ISKCON_Mayapur%28Hindi%29.mp3")</f>
        <v>2009-10-27_-_Maan_Leela_Of_Radha_Maan_Bihari_-_Susheel_Goswami_ISKCON_Mayapur%28Hindi%29.mp3</v>
      </c>
      <c r="D5102" s="11"/>
      <c r="E5102" s="11"/>
    </row>
    <row r="5103" spans="1:5">
      <c r="A5103" s="12" t="s">
        <v>12464</v>
      </c>
      <c r="B5103" s="12" t="s">
        <v>17606</v>
      </c>
      <c r="C5103" s="13" t="str">
        <f>HYPERLINK("https://audio.iskcondesiretree.com/02_-_ISKCON_Swamis/ISKCON_Swamis_-_R_to_Y/His_Holiness_Radhanath_Swami/Lectures/02_-_Yatra/2009_Pune_Yatra/2009-01-23_Welcome_Address_-_Radhanath_Sw_Chandramauli_Sw_Bhakti_Vishrambha_Madhav_Sw_SukhaHava_Mataji.mp3", "2009-01-23_Welcome_Address_-_Radhanath_Sw_Chandramauli_Sw_Bhakti_Vishrambha_Madhav_Sw_SukhaHava_Mataji.mp3")</f>
        <v>2009-01-23_Welcome_Address_-_Radhanath_Sw_Chandramauli_Sw_Bhakti_Vishrambha_Madhav_Sw_SukhaHava_Mataji.mp3</v>
      </c>
      <c r="D5103" s="11"/>
      <c r="E5103" s="11"/>
    </row>
    <row r="5104" spans="1:5">
      <c r="A5104" s="12" t="s">
        <v>12464</v>
      </c>
      <c r="B5104" s="12" t="s">
        <v>17607</v>
      </c>
      <c r="C5104" s="13" t="str">
        <f>HYPERLINK("https://audio.iskcondesiretree.com/02_-_ISKCON_Swamis/ISKCON_Swamis_-_R_to_Y/His_Holiness_Radhanath_Swami/Lectures/02_-_Yatra/2009_Pune_Yatra/2009-01-24_Eve%20Lecture_-_Jaya_Pataka_Swami.mp3", "2009-01-24_Eve%20Lecture_-_Jaya_Pataka_Swami.mp3")</f>
        <v>2009-01-24_Eve%20Lecture_-_Jaya_Pataka_Swami.mp3</v>
      </c>
      <c r="D5104" s="11"/>
      <c r="E5104" s="11"/>
    </row>
    <row r="5105" spans="1:5">
      <c r="A5105" s="12" t="s">
        <v>12464</v>
      </c>
      <c r="B5105" s="12" t="s">
        <v>17608</v>
      </c>
      <c r="C5105" s="13" t="str">
        <f>HYPERLINK("https://audio.iskcondesiretree.com/02_-_ISKCON_Swamis/ISKCON_Swamis_-_R_to_Y/His_Holiness_Radhanath_Swami/Lectures/02_-_Yatra/2009_Pune_Yatra/2009-01-24_SB-2-3-22_Duty_Of_Householders_To_Worship_Deities_-_Radhanath_Swami.mp3", "2009-01-24_SB-2-3-22_Duty_Of_Householders_To_Worship_Deities_-_Radhanath_Swami.mp3")</f>
        <v>2009-01-24_SB-2-3-22_Duty_Of_Householders_To_Worship_Deities_-_Radhanath_Swami.mp3</v>
      </c>
      <c r="D5105" s="11"/>
      <c r="E5105" s="11"/>
    </row>
    <row r="5106" spans="1:5">
      <c r="A5106" s="12" t="s">
        <v>12464</v>
      </c>
      <c r="B5106" s="12" t="s">
        <v>17609</v>
      </c>
      <c r="C5106" s="13" t="str">
        <f>HYPERLINK("https://audio.iskcondesiretree.com/02_-_ISKCON_Swamis/ISKCON_Swamis_-_R_to_Y/His_Holiness_Radhanath_Swami/Lectures/02_-_Yatra/2009_Pune_Yatra/2009-01-25_Glories_Of_Narottam_Das_Thakur_-_Jaya_Pataka_Swami.mp3", "2009-01-25_Glories_Of_Narottam_Das_Thakur_-_Jaya_Pataka_Swami.mp3")</f>
        <v>2009-01-25_Glories_Of_Narottam_Das_Thakur_-_Jaya_Pataka_Swami.mp3</v>
      </c>
      <c r="D5106" s="11"/>
      <c r="E5106" s="11"/>
    </row>
    <row r="5107" spans="1:5">
      <c r="A5107" s="12" t="s">
        <v>12464</v>
      </c>
      <c r="B5107" s="12" t="s">
        <v>17610</v>
      </c>
      <c r="C5107" s="13" t="str">
        <f>HYPERLINK("https://audio.iskcondesiretree.com/02_-_ISKCON_Swamis/ISKCON_Swamis_-_R_to_Y/His_Holiness_Radhanath_Swami/Lectures/02_-_Yatra/2009_Pune_Yatra/2009-01-25_SB-5-13-25_Mundane_Philanthropy_Versus_Spiritual_Compassion_-_Radhanath_Swami.mp3", "2009-01-25_SB-5-13-25_Mundane_Philanthropy_Versus_Spiritual_Compassion_-_Radhanath_Swami.mp3")</f>
        <v>2009-01-25_SB-5-13-25_Mundane_Philanthropy_Versus_Spiritual_Compassion_-_Radhanath_Swami.mp3</v>
      </c>
      <c r="D5107" s="11"/>
      <c r="E5107" s="11"/>
    </row>
    <row r="5108" spans="1:5">
      <c r="A5108" s="12" t="s">
        <v>12464</v>
      </c>
      <c r="B5108" s="12" t="s">
        <v>17611</v>
      </c>
      <c r="C5108" s="13" t="str">
        <f>HYPERLINK("https://audio.iskcondesiretree.com/02_-_ISKCON_Swamis/ISKCON_Swamis_-_R_to_Y/His_Holiness_Radhanath_Swami/Lectures/02_-_Yatra/2009_Pune_Yatra/2009-01-26_SB-5-13-23_Jada_Bharata-Extra_Cautious_In_His_Dealings_-_Radhanath_Swami.mp3", "2009-01-26_SB-5-13-23_Jada_Bharata-Extra_Cautious_In_His_Dealings_-_Radhanath_Swami.mp3")</f>
        <v>2009-01-26_SB-5-13-23_Jada_Bharata-Extra_Cautious_In_His_Dealings_-_Radhanath_Swami.mp3</v>
      </c>
      <c r="D5108" s="11"/>
      <c r="E5108" s="11"/>
    </row>
    <row r="5109" spans="1:5">
      <c r="A5109" s="12" t="s">
        <v>12464</v>
      </c>
      <c r="B5109" s="12" t="s">
        <v>17612</v>
      </c>
      <c r="C5109" s="13" t="str">
        <f>HYPERLINK("https://audio.iskcondesiretree.com/02_-_ISKCON_Swamis/ISKCON_Swamis_-_R_to_Y/His_Holiness_Radhanath_Swami/Lectures/02_-_Yatra/2011_Vrindavan_Yatra/2011-10-22_Receiving_the_grace_of_Sri_Vrindavan_Dham_-_Radhanath_Swami_Vrindavan.mp3", "2011-10-22_Receiving_the_grace_of_Sri_Vrindavan_Dham_-_Radhanath_Swami_Vrindavan.mp3")</f>
        <v>2011-10-22_Receiving_the_grace_of_Sri_Vrindavan_Dham_-_Radhanath_Swami_Vrindavan.mp3</v>
      </c>
      <c r="D5109" s="11"/>
      <c r="E5109" s="11"/>
    </row>
    <row r="5110" spans="1:5">
      <c r="A5110" s="12" t="s">
        <v>12464</v>
      </c>
      <c r="B5110" s="12" t="s">
        <v>17613</v>
      </c>
      <c r="C5110" s="13" t="str">
        <f>HYPERLINK("https://audio.iskcondesiretree.com/02_-_ISKCON_Swamis/ISKCON_Swamis_-_R_to_Y/His_Holiness_Radhanath_Swami/Lectures/02_-_Yatra/2011_Vrindavan_Yatra/2011-10-23_Pastimes_of_Vaisnava_Acharyas_-_Dwarkadish_Prabhu_Govardhana.mp3", "2011-10-23_Pastimes_of_Vaisnava_Acharyas_-_Dwarkadish_Prabhu_Govardhana.mp3")</f>
        <v>2011-10-23_Pastimes_of_Vaisnava_Acharyas_-_Dwarkadish_Prabhu_Govardhana.mp3</v>
      </c>
      <c r="D5110" s="11"/>
      <c r="E5110" s="11"/>
    </row>
    <row r="5111" spans="1:5">
      <c r="A5111" s="12" t="s">
        <v>12464</v>
      </c>
      <c r="B5111" s="12" t="s">
        <v>17614</v>
      </c>
      <c r="C5111" s="13" t="str">
        <f>HYPERLINK("https://audio.iskcondesiretree.com/02_-_ISKCON_Swamis/ISKCON_Swamis_-_R_to_Y/His_Holiness_Radhanath_Swami/Lectures/02_-_Yatra/2011_Vrindavan_Yatra/2011-10-23_Reinstallation_of_Sri_Sri_Radha_Govindadji_-_Radhanath_Swami_Vrindavan.MP3", "2011-10-23_Reinstallation_of_Sri_Sri_Radha_Govindadji_-_Radhanath_Swami_Vrindavan.MP3")</f>
        <v>2011-10-23_Reinstallation_of_Sri_Sri_Radha_Govindadji_-_Radhanath_Swami_Vrindavan.MP3</v>
      </c>
      <c r="D5111" s="11"/>
      <c r="E5111" s="11"/>
    </row>
    <row r="5112" spans="1:5">
      <c r="A5112" s="12" t="s">
        <v>12464</v>
      </c>
      <c r="B5112" s="12" t="s">
        <v>17615</v>
      </c>
      <c r="C5112" s="13" t="str">
        <f>HYPERLINK("https://audio.iskcondesiretree.com/02_-_ISKCON_Swamis/ISKCON_Swamis_-_R_to_Y/His_Holiness_Radhanath_Swami/Lectures/02_-_Yatra/2011_Vrindavan_Yatra/2011-10-24_Gopal_Bhatt_Goswami_meets_Lord_chaitanya_-_Radhanath_Swami_Vrindavan.mp3", "2011-10-24_Gopal_Bhatt_Goswami_meets_Lord_chaitanya_-_Radhanath_Swami_Vrindavan.mp3")</f>
        <v>2011-10-24_Gopal_Bhatt_Goswami_meets_Lord_chaitanya_-_Radhanath_Swami_Vrindavan.mp3</v>
      </c>
      <c r="D5112" s="11"/>
      <c r="E5112" s="11"/>
    </row>
    <row r="5113" spans="1:5">
      <c r="A5113" s="12" t="s">
        <v>12464</v>
      </c>
      <c r="B5113" s="12" t="s">
        <v>17616</v>
      </c>
      <c r="C5113" s="13" t="str">
        <f>HYPERLINK("https://audio.iskcondesiretree.com/02_-_ISKCON_Swamis/ISKCON_Swamis_-_R_to_Y/His_Holiness_Radhanath_Swami/Lectures/02_-_Yatra/2011_Vrindavan_Yatra/2011-10-24_Jaya_Balaram_Drama_-_ISKCON_Pune_Devotees_Vrindavan.mp3", "2011-10-24_Jaya_Balaram_Drama_-_ISKCON_Pune_Devotees_Vrindavan.mp3")</f>
        <v>2011-10-24_Jaya_Balaram_Drama_-_ISKCON_Pune_Devotees_Vrindavan.mp3</v>
      </c>
      <c r="D5113" s="11"/>
      <c r="E5113" s="11"/>
    </row>
    <row r="5114" spans="1:5">
      <c r="A5114" s="12" t="s">
        <v>12464</v>
      </c>
      <c r="B5114" s="12" t="s">
        <v>17617</v>
      </c>
      <c r="C5114" s="13" t="str">
        <f>HYPERLINK("https://audio.iskcondesiretree.com/02_-_ISKCON_Swamis/ISKCON_Swamis_-_R_to_Y/His_Holiness_Radhanath_Swami/Lectures/02_-_Yatra/2011_Vrindavan_Yatra/2011-10-24_Pastimes_of_Krishna_Balaram_and_Akrura_-_Bhakti_Rasamrita_Swami_Vrindavan.mp3", "2011-10-24_Pastimes_of_Krishna_Balaram_and_Akrura_-_Bhakti_Rasamrita_Swami_Vrindavan.mp3")</f>
        <v>2011-10-24_Pastimes_of_Krishna_Balaram_and_Akrura_-_Bhakti_Rasamrita_Swami_Vrindavan.mp3</v>
      </c>
      <c r="D5114" s="11"/>
      <c r="E5114" s="11"/>
    </row>
    <row r="5115" spans="1:5">
      <c r="A5115" s="12" t="s">
        <v>12464</v>
      </c>
      <c r="B5115" s="12" t="s">
        <v>17618</v>
      </c>
      <c r="C5115" s="13" t="str">
        <f>HYPERLINK("https://audio.iskcondesiretree.com/02_-_ISKCON_Swamis/ISKCON_Swamis_-_R_to_Y/His_Holiness_Radhanath_Swami/Lectures/02_-_Yatra/2011_Vrindavan_Yatra/2011-10-24_Publishing_of_Sri_Chaitanya_Charitamrita_-_Giriraj_Swami_Vrindavan.mp3", "2011-10-24_Publishing_of_Sri_Chaitanya_Charitamrita_-_Giriraj_Swami_Vrindavan.mp3")</f>
        <v>2011-10-24_Publishing_of_Sri_Chaitanya_Charitamrita_-_Giriraj_Swami_Vrindavan.mp3</v>
      </c>
      <c r="D5115" s="11"/>
      <c r="E5115" s="11"/>
    </row>
    <row r="5116" spans="1:5">
      <c r="A5116" s="12" t="s">
        <v>12464</v>
      </c>
      <c r="B5116" s="12" t="s">
        <v>17619</v>
      </c>
      <c r="C5116" s="13" t="str">
        <f>HYPERLINK("https://audio.iskcondesiretree.com/02_-_ISKCON_Swamis/ISKCON_Swamis_-_R_to_Y/His_Holiness_Radhanath_Swami/Lectures/02_-_Yatra/2011_Vrindavan_Yatra/2011-10-25_Pastimes_of_Radha_and_Krishna_-_Krishnanand_Prabhu_Vrindavan.mp3", "2011-10-25_Pastimes_of_Radha_and_Krishna_-_Krishnanand_Prabhu_Vrindavan.mp3")</f>
        <v>2011-10-25_Pastimes_of_Radha_and_Krishna_-_Krishnanand_Prabhu_Vrindavan.mp3</v>
      </c>
      <c r="D5116" s="11"/>
      <c r="E5116" s="11"/>
    </row>
    <row r="5117" spans="1:5">
      <c r="A5117" s="12" t="s">
        <v>12464</v>
      </c>
      <c r="B5117" s="12" t="s">
        <v>17620</v>
      </c>
      <c r="C5117" s="13" t="str">
        <f>HYPERLINK("https://audio.iskcondesiretree.com/02_-_ISKCON_Swamis/ISKCON_Swamis_-_R_to_Y/His_Holiness_Radhanath_Swami/Lectures/02_-_Yatra/2011_Vrindavan_Yatra/2011-10-25_Srila_Jiva_Goswami_Seeks_shelter_of_Srila_Rupa_and_Sanatana_-_Radhanath_Swami_Vrindavan.MP3", "2011-10-25_Srila_Jiva_Goswami_Seeks_shelter_of_Srila_Rupa_and_Sanatana_-_Radhanath_Swami_Vrindavan.MP3")</f>
        <v>2011-10-25_Srila_Jiva_Goswami_Seeks_shelter_of_Srila_Rupa_and_Sanatana_-_Radhanath_Swami_Vrindavan.MP3</v>
      </c>
      <c r="D5117" s="11"/>
      <c r="E5117" s="11"/>
    </row>
    <row r="5118" spans="1:5">
      <c r="A5118" s="12" t="s">
        <v>12464</v>
      </c>
      <c r="B5118" s="12" t="s">
        <v>17621</v>
      </c>
      <c r="C5118" s="13" t="str">
        <f>HYPERLINK("https://audio.iskcondesiretree.com/02_-_ISKCON_Swamis/ISKCON_Swamis_-_R_to_Y/His_Holiness_Radhanath_Swami/Lectures/02_-_Yatra/2011_Vrindavan_Yatra/2011-10-26_Krishna%27s_Childhood_Pastimes_at_Gokul_Mahavan_-_Radhanath_Swami_Vrindavan.MP3", "2011-10-26_Krishna%27s_Childhood_Pastimes_at_Gokul_Mahavan_-_Radhanath_Swami_Vrindavan.MP3")</f>
        <v>2011-10-26_Krishna%27s_Childhood_Pastimes_at_Gokul_Mahavan_-_Radhanath_Swami_Vrindavan.MP3</v>
      </c>
      <c r="D5118" s="11"/>
      <c r="E5118" s="11"/>
    </row>
    <row r="5119" spans="1:5">
      <c r="A5119" s="12" t="s">
        <v>12464</v>
      </c>
      <c r="B5119" s="12" t="s">
        <v>17622</v>
      </c>
      <c r="C5119" s="13" t="str">
        <f>HYPERLINK("https://audio.iskcondesiretree.com/02_-_ISKCON_Swamis/ISKCON_Swamis_-_R_to_Y/His_Holiness_Radhanath_Swami/Lectures/02_-_Yatra/2011_Vrindavan_Yatra/2011-10-26_Pastimes_of_Srimati_Radharani_-_Rohini_Priya_Prabhu_Vrindavan.mp3", "2011-10-26_Pastimes_of_Srimati_Radharani_-_Rohini_Priya_Prabhu_Vrindavan.mp3")</f>
        <v>2011-10-26_Pastimes_of_Srimati_Radharani_-_Rohini_Priya_Prabhu_Vrindavan.mp3</v>
      </c>
      <c r="D5119" s="11"/>
      <c r="E5119" s="11"/>
    </row>
    <row r="5120" spans="1:5">
      <c r="A5120" s="12" t="s">
        <v>12464</v>
      </c>
      <c r="B5120" s="12" t="s">
        <v>17623</v>
      </c>
      <c r="C5120" s="13" t="str">
        <f>HYPERLINK("https://audio.iskcondesiretree.com/02_-_ISKCON_Swamis/ISKCON_Swamis_-_R_to_Y/His_Holiness_Radhanath_Swami/Lectures/02_-_Yatra/2011_Vrindavan_Yatra/2011-10-26_Pastimes_of_Yashoda_and_Damodar_-_Govinda_Prabhu_Vrindavan.mp3", "2011-10-26_Pastimes_of_Yashoda_and_Damodar_-_Govinda_Prabhu_Vrindavan.mp3")</f>
        <v>2011-10-26_Pastimes_of_Yashoda_and_Damodar_-_Govinda_Prabhu_Vrindavan.mp3</v>
      </c>
      <c r="D5120" s="11"/>
      <c r="E5120" s="11"/>
    </row>
    <row r="5121" spans="1:5">
      <c r="A5121" s="12" t="s">
        <v>12464</v>
      </c>
      <c r="B5121" s="12" t="s">
        <v>17624</v>
      </c>
      <c r="C5121" s="13" t="str">
        <f>HYPERLINK("https://audio.iskcondesiretree.com/02_-_ISKCON_Swamis/ISKCON_Swamis_-_R_to_Y/His_Holiness_Radhanath_Swami/Lectures/02_-_Yatra/2011_Vrindavan_Yatra/2011-10-27_Brajvasis_Perform_Govardhanpuja_-_Radhanath_Swami_Vrindavan.MP3", "2011-10-27_Brajvasis_Perform_Govardhanpuja_-_Radhanath_Swami_Vrindavan.MP3")</f>
        <v>2011-10-27_Brajvasis_Perform_Govardhanpuja_-_Radhanath_Swami_Vrindavan.MP3</v>
      </c>
      <c r="D5121" s="11"/>
      <c r="E5121" s="11"/>
    </row>
    <row r="5122" spans="1:5">
      <c r="A5122" s="12" t="s">
        <v>12464</v>
      </c>
      <c r="B5122" s="12" t="s">
        <v>17625</v>
      </c>
      <c r="C5122" s="13" t="str">
        <f>HYPERLINK("https://audio.iskcondesiretree.com/02_-_ISKCON_Swamis/ISKCON_Swamis_-_R_to_Y/His_Holiness_Radhanath_Swami/Lectures/02_-_Yatra/2011_Vrindavan_Yatra/2011-10-27_Pastimes_of_Bramha_-_Radha_Gopinath_Prabhu_Vrindavan.mp3", "2011-10-27_Pastimes_of_Bramha_-_Radha_Gopinath_Prabhu_Vrindavan.mp3")</f>
        <v>2011-10-27_Pastimes_of_Bramha_-_Radha_Gopinath_Prabhu_Vrindavan.mp3</v>
      </c>
      <c r="D5122" s="11"/>
      <c r="E5122" s="11"/>
    </row>
    <row r="5123" spans="1:5">
      <c r="A5123" s="12" t="s">
        <v>12464</v>
      </c>
      <c r="B5123" s="12" t="s">
        <v>17626</v>
      </c>
      <c r="C5123" s="13" t="str">
        <f>HYPERLINK("https://audio.iskcondesiretree.com/02_-_ISKCON_Swamis/ISKCON_Swamis_-_R_to_Y/His_Holiness_Radhanath_Swami/Lectures/02_-_Yatra/2011_Vrindavan_Yatra/2011-10-27_Sri_Giriraj_-_Embodiment_of_Servitorship_-_Giriraj_Swami_Vrindavan.MP3", "2011-10-27_Sri_Giriraj_-_Embodiment_of_Servitorship_-_Giriraj_Swami_Vrindavan.MP3")</f>
        <v>2011-10-27_Sri_Giriraj_-_Embodiment_of_Servitorship_-_Giriraj_Swami_Vrindavan.MP3</v>
      </c>
      <c r="D5123" s="11"/>
      <c r="E5123" s="11"/>
    </row>
    <row r="5124" spans="1:5">
      <c r="A5124" s="12" t="s">
        <v>12464</v>
      </c>
      <c r="B5124" s="12" t="s">
        <v>17627</v>
      </c>
      <c r="C5124" s="13" t="str">
        <f>HYPERLINK("https://audio.iskcondesiretree.com/02_-_ISKCON_Swamis/ISKCON_Swamis_-_R_to_Y/His_Holiness_Radhanath_Swami/Lectures/02_-_Yatra/2011_Vrindavan_Yatra/2011-10-28_Killing_of_Aghasura_and_Brahma_Vimohan_Lila_-_Radhanath_Swami_Vrindavan.MP3", "2011-10-28_Killing_of_Aghasura_and_Brahma_Vimohan_Lila_-_Radhanath_Swami_Vrindavan.MP3")</f>
        <v>2011-10-28_Killing_of_Aghasura_and_Brahma_Vimohan_Lila_-_Radhanath_Swami_Vrindavan.MP3</v>
      </c>
      <c r="D5124" s="11"/>
      <c r="E5124" s="11"/>
    </row>
    <row r="5125" spans="1:5">
      <c r="A5125" s="12" t="s">
        <v>12464</v>
      </c>
      <c r="B5125" s="12" t="s">
        <v>17628</v>
      </c>
      <c r="C5125" s="13" t="str">
        <f>HYPERLINK("https://audio.iskcondesiretree.com/02_-_ISKCON_Swamis/ISKCON_Swamis_-_R_to_Y/His_Holiness_Radhanath_Swami/Lectures/02_-_Yatra/2011_Vrindavan_Yatra/2011-10-28_Pastimes_of_Krishna_and_Balaram_-_Gaur_Gopal_Prabhu_Vrindavan.mp3", "2011-10-28_Pastimes_of_Krishna_and_Balaram_-_Gaur_Gopal_Prabhu_Vrindavan.mp3")</f>
        <v>2011-10-28_Pastimes_of_Krishna_and_Balaram_-_Gaur_Gopal_Prabhu_Vrindavan.mp3</v>
      </c>
      <c r="D5125" s="11"/>
      <c r="E5125" s="11"/>
    </row>
    <row r="5126" spans="1:5">
      <c r="A5126" s="12" t="s">
        <v>12464</v>
      </c>
      <c r="B5126" s="12" t="s">
        <v>17629</v>
      </c>
      <c r="C5126" s="13" t="str">
        <f>HYPERLINK("https://audio.iskcondesiretree.com/02_-_ISKCON_Swamis/ISKCON_Swamis_-_R_to_Y/His_Holiness_Radhanath_Swami/Lectures/02_-_Yatra/2011_Vrindavan_Yatra/2011-10-29_Imbibe_Srila_Prabhupadas_Missionary_Spirit_-_Vaisesika_Prabhu_Govardhan.MP3", "2011-10-29_Imbibe_Srila_Prabhupadas_Missionary_Spirit_-_Vaisesika_Prabhu_Govardhan.MP3")</f>
        <v>2011-10-29_Imbibe_Srila_Prabhupadas_Missionary_Spirit_-_Vaisesika_Prabhu_Govardhan.MP3</v>
      </c>
      <c r="D5126" s="11"/>
      <c r="E5126" s="11"/>
    </row>
    <row r="5127" spans="1:5">
      <c r="A5127" s="12" t="s">
        <v>12464</v>
      </c>
      <c r="B5127" s="12" t="s">
        <v>17630</v>
      </c>
      <c r="C5127" s="13" t="str">
        <f>HYPERLINK("https://audio.iskcondesiretree.com/02_-_ISKCON_Swamis/ISKCON_Swamis_-_R_to_Y/His_Holiness_Radhanath_Swami/Lectures/02_-_Yatra/2011_Vrindavan_Yatra/2011-10-29_Pleasing_Krishna_by_pleasing_His_Devotees_-_Radhanath_Swami_Govardhan.MP3", "2011-10-29_Pleasing_Krishna_by_pleasing_His_Devotees_-_Radhanath_Swami_Govardhan.MP3")</f>
        <v>2011-10-29_Pleasing_Krishna_by_pleasing_His_Devotees_-_Radhanath_Swami_Govardhan.MP3</v>
      </c>
      <c r="D5127" s="11"/>
      <c r="E5127" s="11"/>
    </row>
    <row r="5128" spans="1:5">
      <c r="A5128" s="12" t="s">
        <v>12464</v>
      </c>
      <c r="B5128" s="12" t="s">
        <v>17631</v>
      </c>
      <c r="C5128" s="13" t="str">
        <f>HYPERLINK("https://audio.iskcondesiretree.com/02_-_ISKCON_Swamis/ISKCON_Swamis_-_R_to_Y/His_Holiness_Radhanath_Swami/Lectures/02_-_Yatra/2011_Vrindavan_Yatra/2011-10-30_Morning_Offerings_to_Srila_Prabhupada_-_Various_Devotees_Govardhan.MP3", "2011-10-30_Morning_Offerings_to_Srila_Prabhupada_-_Various_Devotees_Govardhan.MP3")</f>
        <v>2011-10-30_Morning_Offerings_to_Srila_Prabhupada_-_Various_Devotees_Govardhan.MP3</v>
      </c>
      <c r="D5128" s="11"/>
      <c r="E5128" s="11"/>
    </row>
    <row r="5129" spans="1:5">
      <c r="A5129" s="12" t="s">
        <v>12464</v>
      </c>
      <c r="B5129" s="12" t="s">
        <v>17632</v>
      </c>
      <c r="C5129" s="13" t="str">
        <f>HYPERLINK("https://audio.iskcondesiretree.com/02_-_ISKCON_Swamis/ISKCON_Swamis_-_R_to_Y/His_Holiness_Radhanath_Swami/Lectures/02_-_Yatra/2011_Vrindavan_Yatra/2011-10-30_Offering_to_Srila_Prabhupada_-_Dhanurdhar_Swami_Govardhan.mp3", "2011-10-30_Offering_to_Srila_Prabhupada_-_Dhanurdhar_Swami_Govardhan.mp3")</f>
        <v>2011-10-30_Offering_to_Srila_Prabhupada_-_Dhanurdhar_Swami_Govardhan.mp3</v>
      </c>
      <c r="D5129" s="11"/>
      <c r="E5129" s="11"/>
    </row>
    <row r="5130" spans="1:5">
      <c r="A5130" s="12" t="s">
        <v>12464</v>
      </c>
      <c r="B5130" s="12" t="s">
        <v>17633</v>
      </c>
      <c r="C5130" s="13" t="str">
        <f>HYPERLINK("https://audio.iskcondesiretree.com/02_-_ISKCON_Swamis/ISKCON_Swamis_-_R_to_Y/His_Holiness_Radhanath_Swami/Lectures/02_-_Yatra/2011_Vrindavan_Yatra/2011-10-30_Offering_to_Srila_Prabhupada_-_Jayadvaita_Swami_Govardhan.mp3", "2011-10-30_Offering_to_Srila_Prabhupada_-_Jayadvaita_Swami_Govardhan.mp3")</f>
        <v>2011-10-30_Offering_to_Srila_Prabhupada_-_Jayadvaita_Swami_Govardhan.mp3</v>
      </c>
      <c r="D5130" s="11"/>
      <c r="E5130" s="11"/>
    </row>
    <row r="5131" spans="1:5">
      <c r="A5131" s="12" t="s">
        <v>12464</v>
      </c>
      <c r="B5131" s="12" t="s">
        <v>17634</v>
      </c>
      <c r="C5131" s="13" t="str">
        <f>HYPERLINK("https://audio.iskcondesiretree.com/02_-_ISKCON_Swamis/ISKCON_Swamis_-_R_to_Y/His_Holiness_Radhanath_Swami/Lectures/02_-_Yatra/2011_Vrindavan_Yatra/2011-10-30_Offering_to_Srila_Prabhupada_-_Kavichandra_Swami_Govardhan.MP3", "2011-10-30_Offering_to_Srila_Prabhupada_-_Kavichandra_Swami_Govardhan.MP3")</f>
        <v>2011-10-30_Offering_to_Srila_Prabhupada_-_Kavichandra_Swami_Govardhan.MP3</v>
      </c>
      <c r="D5131" s="11"/>
      <c r="E5131" s="11"/>
    </row>
    <row r="5132" spans="1:5">
      <c r="A5132" s="12" t="s">
        <v>12464</v>
      </c>
      <c r="B5132" s="12" t="s">
        <v>17635</v>
      </c>
      <c r="C5132" s="13" t="str">
        <f>HYPERLINK("https://audio.iskcondesiretree.com/02_-_ISKCON_Swamis/ISKCON_Swamis_-_R_to_Y/His_Holiness_Radhanath_Swami/Lectures/02_-_Yatra/2011_Vrindavan_Yatra/2011-10-30_Offering_to_Srila_Prabhupada_-_Srutakirti_Prabhu_and_Sachinanadana_Swami_Govardhan.MP3", "2011-10-30_Offering_to_Srila_Prabhupada_-_Srutakirti_Prabhu_and_Sachinanadana_Swami_Govardhan.MP3")</f>
        <v>2011-10-30_Offering_to_Srila_Prabhupada_-_Srutakirti_Prabhu_and_Sachinanadana_Swami_Govardhan.MP3</v>
      </c>
      <c r="D5132" s="11"/>
      <c r="E5132" s="11"/>
    </row>
    <row r="5133" spans="1:5">
      <c r="A5133" s="12" t="s">
        <v>12464</v>
      </c>
      <c r="B5133" s="12" t="s">
        <v>17636</v>
      </c>
      <c r="C5133" s="13" t="str">
        <f>HYPERLINK("https://audio.iskcondesiretree.com/02_-_ISKCON_Swamis/ISKCON_Swamis_-_R_to_Y/His_Holiness_Radhanath_Swami/Lectures/02_-_Yatra/2011_Vrindavan_Yatra/2011-11-01_Chanting_with_Affection_-_Sachinanadana_Swami_Govardhan.MP3", "2011-11-01_Chanting_with_Affection_-_Sachinanadana_Swami_Govardhan.MP3")</f>
        <v>2011-11-01_Chanting_with_Affection_-_Sachinanadana_Swami_Govardhan.MP3</v>
      </c>
      <c r="D5133" s="11"/>
      <c r="E5133" s="11"/>
    </row>
    <row r="5134" spans="1:5">
      <c r="A5134" s="12" t="s">
        <v>12464</v>
      </c>
      <c r="B5134" s="12" t="s">
        <v>17637</v>
      </c>
      <c r="C5134" s="13" t="str">
        <f>HYPERLINK("https://audio.iskcondesiretree.com/02_-_ISKCON_Swamis/ISKCON_Swamis_-_R_to_Y/His_Holiness_Radhanath_Swami/Lectures/02_-_Yatra/2011_Vrindavan_Yatra/2011-11-01_Proper_mood_for_Yatra_and_Animals_of_Vraja_are_Special_Souls_-_Malati_Mataji.mp3", "2011-11-01_Proper_mood_for_Yatra_and_Animals_of_Vraja_are_Special_Souls_-_Malati_Mataji.mp3")</f>
        <v>2011-11-01_Proper_mood_for_Yatra_and_Animals_of_Vraja_are_Special_Souls_-_Malati_Mataji.mp3</v>
      </c>
      <c r="D5134" s="11"/>
      <c r="E5134" s="11"/>
    </row>
    <row r="5135" spans="1:5">
      <c r="A5135" s="12" t="s">
        <v>12464</v>
      </c>
      <c r="B5135" s="12" t="s">
        <v>17638</v>
      </c>
      <c r="C5135" s="13" t="str">
        <f>HYPERLINK("https://audio.iskcondesiretree.com/02_-_ISKCON_Swamis/ISKCON_Swamis_-_R_to_Y/His_Holiness_Radhanath_Swami/Lectures/02_-_Yatra/2011_Vrindavan_Yatra/2011-11-01_Srila_Prabhupada_Katha_-_Radhanath_Swami_Govardhan.mp3", "2011-11-01_Srila_Prabhupada_Katha_-_Radhanath_Swami_Govardhan.mp3")</f>
        <v>2011-11-01_Srila_Prabhupada_Katha_-_Radhanath_Swami_Govardhan.mp3</v>
      </c>
      <c r="D5135" s="11"/>
      <c r="E5135" s="11"/>
    </row>
    <row r="5136" spans="1:5">
      <c r="A5136" s="12" t="s">
        <v>12464</v>
      </c>
      <c r="B5136" s="12" t="s">
        <v>17639</v>
      </c>
      <c r="C5136" s="13" t="str">
        <f>HYPERLINK("https://audio.iskcondesiretree.com/02_-_ISKCON_Swamis/ISKCON_Swamis_-_R_to_Y/His_Holiness_Radhanath_Swami/Lectures/02_-_Yatra/2011_Vrindavan_Yatra/2011-11-02_Glories_of_Govardhan_Parikrama_-_Radhanath_Swami_Govardhan.MP3", "2011-11-02_Glories_of_Govardhan_Parikrama_-_Radhanath_Swami_Govardhan.MP3")</f>
        <v>2011-11-02_Glories_of_Govardhan_Parikrama_-_Radhanath_Swami_Govardhan.MP3</v>
      </c>
      <c r="D5136" s="11"/>
      <c r="E5136" s="11"/>
    </row>
    <row r="5137" spans="1:5">
      <c r="A5137" s="12" t="s">
        <v>12464</v>
      </c>
      <c r="B5137" s="12" t="s">
        <v>17640</v>
      </c>
      <c r="C5137" s="13" t="str">
        <f>HYPERLINK("https://audio.iskcondesiretree.com/02_-_ISKCON_Swamis/ISKCON_Swamis_-_R_to_Y/His_Holiness_Radhanath_Swami/Lectures/02_-_Yatra/2011_Vrindavan_Yatra/2011-11-03_Glories_of_Govardhan_-_Giriraj_Swami_Govardhan.MP3", "2011-11-03_Glories_of_Govardhan_-_Giriraj_Swami_Govardhan.MP3")</f>
        <v>2011-11-03_Glories_of_Govardhan_-_Giriraj_Swami_Govardhan.MP3</v>
      </c>
      <c r="D5137" s="11"/>
      <c r="E5137" s="11"/>
    </row>
    <row r="5138" spans="1:5">
      <c r="A5138" s="12" t="s">
        <v>12464</v>
      </c>
      <c r="B5138" s="12" t="s">
        <v>17641</v>
      </c>
      <c r="C5138" s="13" t="str">
        <f>HYPERLINK("https://audio.iskcondesiretree.com/02_-_ISKCON_Swamis/ISKCON_Swamis_-_R_to_Y/His_Holiness_Radhanath_Swami/Lectures/02_-_Yatra/2011_Vrindavan_Yatra/2011-11-03_Glories_of_Govardhan_Parikrama_Part-01_-_Radhanath_Swami_Govardhan.MP3", "2011-11-03_Glories_of_Govardhan_Parikrama_Part-01_-_Radhanath_Swami_Govardhan.MP3")</f>
        <v>2011-11-03_Glories_of_Govardhan_Parikrama_Part-01_-_Radhanath_Swami_Govardhan.MP3</v>
      </c>
      <c r="D5138" s="11"/>
      <c r="E5138" s="11"/>
    </row>
    <row r="5139" spans="1:5">
      <c r="A5139" s="12" t="s">
        <v>12464</v>
      </c>
      <c r="B5139" s="12" t="s">
        <v>17642</v>
      </c>
      <c r="C5139" s="13" t="str">
        <f>HYPERLINK("https://audio.iskcondesiretree.com/02_-_ISKCON_Swamis/ISKCON_Swamis_-_R_to_Y/His_Holiness_Radhanath_Swami/Lectures/02_-_Yatra/2011_Vrindavan_Yatra/2011-11-04_Glories_of_Govardhan_Parikrama_Part-02_-_Radhanath_Swami_and_Others_Govardhan.MP3", "2011-11-04_Glories_of_Govardhan_Parikrama_Part-02_-_Radhanath_Swami_and_Others_Govardhan.MP3")</f>
        <v>2011-11-04_Glories_of_Govardhan_Parikrama_Part-02_-_Radhanath_Swami_and_Others_Govardhan.MP3</v>
      </c>
      <c r="D5139" s="11"/>
      <c r="E5139" s="11"/>
    </row>
    <row r="5140" spans="1:5">
      <c r="A5140" s="12" t="s">
        <v>12464</v>
      </c>
      <c r="B5140" s="12" t="s">
        <v>17643</v>
      </c>
      <c r="C5140" s="13" t="str">
        <f>HYPERLINK("https://audio.iskcondesiretree.com/02_-_ISKCON_Swamis/ISKCON_Swamis_-_R_to_Y/His_Holiness_Radhanath_Swami/Lectures/02_-_Yatra/2012_Mayapur_Yatra/Audio/2012-11-13_Srila_Prabhupada%27s_Vision_about_Sri_Mayapur_Dham_-_Radhanath_Swami_ISKCON_Chowpatty.mp3", "2012-11-13_Srila_Prabhupada%27s_Vision_about_Sri_Mayapur_Dham_-_Radhanath_Swami_ISKCON_Chowpatty.mp3")</f>
        <v>2012-11-13_Srila_Prabhupada%27s_Vision_about_Sri_Mayapur_Dham_-_Radhanath_Swami_ISKCON_Chowpatty.mp3</v>
      </c>
      <c r="D5140" s="11"/>
      <c r="E5140" s="11"/>
    </row>
    <row r="5141" spans="1:5">
      <c r="A5141" s="12" t="s">
        <v>12464</v>
      </c>
      <c r="B5141" s="12" t="s">
        <v>17644</v>
      </c>
      <c r="C5141" s="13" t="str">
        <f>HYPERLINK("https://audio.iskcondesiretree.com/02_-_ISKCON_Swamis/ISKCON_Swamis_-_R_to_Y/His_Holiness_Radhanath_Swami/Lectures/02_-_Yatra/2012_Mayapur_Yatra/Audio/2012-11-14_Invaluable_Lessons_from_Sri_Govardhana_Lila_-_Radhanath_Swami_ISKCON_Chowpatty.mp3", "2012-11-14_Invaluable_Lessons_from_Sri_Govardhana_Lila_-_Radhanath_Swami_ISKCON_Chowpatty.mp3")</f>
        <v>2012-11-14_Invaluable_Lessons_from_Sri_Govardhana_Lila_-_Radhanath_Swami_ISKCON_Chowpatty.mp3</v>
      </c>
      <c r="D5141" s="11"/>
      <c r="E5141" s="11"/>
    </row>
    <row r="5142" spans="1:5">
      <c r="A5142" s="12" t="s">
        <v>12464</v>
      </c>
      <c r="B5142" s="12" t="s">
        <v>17645</v>
      </c>
      <c r="C5142" s="13" t="str">
        <f>HYPERLINK("https://audio.iskcondesiretree.com/02_-_ISKCON_Swamis/ISKCON_Swamis_-_R_to_Y/His_Holiness_Radhanath_Swami/Lectures/02_-_Yatra/2012_Mayapur_Yatra/Audio/2012-11-14_The_Divine_Nine_Islands_of_Sri_Navadvipa_Dham_-_Bhakti_Purushottam_Swami_ISKCON_Chowpatty.mp3", "2012-11-14_The_Divine_Nine_Islands_of_Sri_Navadvipa_Dham_-_Bhakti_Purushottam_Swami_ISKCON_Chowpatty.mp3")</f>
        <v>2012-11-14_The_Divine_Nine_Islands_of_Sri_Navadvipa_Dham_-_Bhakti_Purushottam_Swami_ISKCON_Chowpatty.mp3</v>
      </c>
      <c r="D5142" s="11"/>
      <c r="E5142" s="11"/>
    </row>
    <row r="5143" spans="1:5">
      <c r="A5143" s="12" t="s">
        <v>12464</v>
      </c>
      <c r="B5143" s="12" t="s">
        <v>17646</v>
      </c>
      <c r="C5143" s="13" t="str">
        <f>HYPERLINK("https://audio.iskcondesiretree.com/02_-_ISKCON_Swamis/ISKCON_Swamis_-_R_to_Y/His_Holiness_Radhanath_Swami/Lectures/02_-_Yatra/2012_Mayapur_Yatra/Audio/2012-11-15_Appearance_of_the_Lord_Gaur_Chandra_-_Radhanath_Swami_ISKCON_Chowpatty.mp3", "2012-11-15_Appearance_of_the_Lord_Gaur_Chandra_-_Radhanath_Swami_ISKCON_Chowpatty.mp3")</f>
        <v>2012-11-15_Appearance_of_the_Lord_Gaur_Chandra_-_Radhanath_Swami_ISKCON_Chowpatty.mp3</v>
      </c>
      <c r="D5143" s="11"/>
      <c r="E5143" s="11"/>
    </row>
    <row r="5144" spans="1:5">
      <c r="A5144" s="12" t="s">
        <v>12464</v>
      </c>
      <c r="B5144" s="12" t="s">
        <v>17647</v>
      </c>
      <c r="C5144" s="13" t="str">
        <f>HYPERLINK("https://audio.iskcondesiretree.com/02_-_ISKCON_Swamis/ISKCON_Swamis_-_R_to_Y/His_Holiness_Radhanath_Swami/Lectures/02_-_Yatra/2012_Mayapur_Yatra/Audio/2012-11-16_Enchanting_Pastimes_of_Child_Nimai-01_-_Radhanath_Swami_ISKCON_Chowpatty.mp3", "2012-11-16_Enchanting_Pastimes_of_Child_Nimai-01_-_Radhanath_Swami_ISKCON_Chowpatty.mp3")</f>
        <v>2012-11-16_Enchanting_Pastimes_of_Child_Nimai-01_-_Radhanath_Swami_ISKCON_Chowpatty.mp3</v>
      </c>
      <c r="D5144" s="11"/>
      <c r="E5144" s="11"/>
    </row>
    <row r="5145" spans="1:5">
      <c r="A5145" s="12" t="s">
        <v>12464</v>
      </c>
      <c r="B5145" s="12" t="s">
        <v>17648</v>
      </c>
      <c r="C5145" s="13" t="str">
        <f>HYPERLINK("https://audio.iskcondesiretree.com/02_-_ISKCON_Swamis/ISKCON_Swamis_-_R_to_Y/His_Holiness_Radhanath_Swami/Lectures/02_-_Yatra/2012_Mayapur_Yatra/Audio/2012-11-17_Disappearance_Day_of_Srila_Prabhupada-01_-_SP_Disciples_ISKCON_Chowpatty.mp3", "2012-11-17_Disappearance_Day_of_Srila_Prabhupada-01_-_SP_Disciples_ISKCON_Chowpatty.mp3")</f>
        <v>2012-11-17_Disappearance_Day_of_Srila_Prabhupada-01_-_SP_Disciples_ISKCON_Chowpatty.mp3</v>
      </c>
      <c r="D5145" s="11"/>
      <c r="E5145" s="11"/>
    </row>
    <row r="5146" spans="1:5">
      <c r="A5146" s="12" t="s">
        <v>12464</v>
      </c>
      <c r="B5146" s="12" t="s">
        <v>17649</v>
      </c>
      <c r="C5146" s="13" t="str">
        <f>HYPERLINK("https://audio.iskcondesiretree.com/02_-_ISKCON_Swamis/ISKCON_Swamis_-_R_to_Y/His_Holiness_Radhanath_Swami/Lectures/02_-_Yatra/2012_Mayapur_Yatra/Audio/2012-11-17_Disappearance_Day_of_Srila_Prabhupada-02_-_SP_Disciples_ISKCON_Chowpatty.mp3", "2012-11-17_Disappearance_Day_of_Srila_Prabhupada-02_-_SP_Disciples_ISKCON_Chowpatty.mp3")</f>
        <v>2012-11-17_Disappearance_Day_of_Srila_Prabhupada-02_-_SP_Disciples_ISKCON_Chowpatty.mp3</v>
      </c>
      <c r="D5146" s="11"/>
      <c r="E5146" s="11"/>
    </row>
    <row r="5147" spans="1:5">
      <c r="A5147" s="12" t="s">
        <v>12464</v>
      </c>
      <c r="B5147" s="12" t="s">
        <v>17650</v>
      </c>
      <c r="C5147" s="13" t="str">
        <f>HYPERLINK("https://audio.iskcondesiretree.com/02_-_ISKCON_Swamis/ISKCON_Swamis_-_R_to_Y/His_Holiness_Radhanath_Swami/Lectures/02_-_Yatra/2012_Mayapur_Yatra/Audio/2012-11-18_Enchanting_Pastimes_of_Child_Nimai-02_-_Radhanath_Swami_ISKCON_Chowpatty.mp3", "2012-11-18_Enchanting_Pastimes_of_Child_Nimai-02_-_Radhanath_Swami_ISKCON_Chowpatty.mp3")</f>
        <v>2012-11-18_Enchanting_Pastimes_of_Child_Nimai-02_-_Radhanath_Swami_ISKCON_Chowpatty.mp3</v>
      </c>
      <c r="D5147" s="11"/>
      <c r="E5147" s="11"/>
    </row>
    <row r="5148" spans="1:5">
      <c r="A5148" s="12" t="s">
        <v>12464</v>
      </c>
      <c r="B5148" s="12" t="s">
        <v>17651</v>
      </c>
      <c r="C5148" s="13" t="str">
        <f>HYPERLINK("https://audio.iskcondesiretree.com/02_-_ISKCON_Swamis/ISKCON_Swamis_-_R_to_Y/His_Holiness_Radhanath_Swami/Lectures/02_-_Yatra/2012_Mayapur_Yatra/Audio/2012-11-19_Nimai_Pandita_Charms-The_Inhabitants_of_Navadvipa_-_Radhanath_Swami_ISKCON_Chowpatty.mp3", "2012-11-19_Nimai_Pandita_Charms-The_Inhabitants_of_Navadvipa_-_Radhanath_Swami_ISKCON_Chowpatty.mp3")</f>
        <v>2012-11-19_Nimai_Pandita_Charms-The_Inhabitants_of_Navadvipa_-_Radhanath_Swami_ISKCON_Chowpatty.mp3</v>
      </c>
      <c r="D5148" s="11"/>
      <c r="E5148" s="11"/>
    </row>
    <row r="5149" spans="1:5">
      <c r="A5149" s="12" t="s">
        <v>12464</v>
      </c>
      <c r="B5149" s="12" t="s">
        <v>17652</v>
      </c>
      <c r="C5149" s="13" t="str">
        <f>HYPERLINK("https://audio.iskcondesiretree.com/02_-_ISKCON_Swamis/ISKCON_Swamis_-_R_to_Y/His_Holiness_Radhanath_Swami/Lectures/02_-_Yatra/2012_Mayapur_Yatra/Audio/2012-11-20_The_Beginning_of_the_Sankirtan_Movement_-_Radhanath_Swami_ISKCON_Chowpatty.mp3", "2012-11-20_The_Beginning_of_the_Sankirtan_Movement_-_Radhanath_Swami_ISKCON_Chowpatty.mp3")</f>
        <v>2012-11-20_The_Beginning_of_the_Sankirtan_Movement_-_Radhanath_Swami_ISKCON_Chowpatty.mp3</v>
      </c>
      <c r="D5149" s="11"/>
      <c r="E5149" s="11"/>
    </row>
    <row r="5150" spans="1:5">
      <c r="A5150" s="12" t="s">
        <v>12464</v>
      </c>
      <c r="B5150" s="12" t="s">
        <v>17653</v>
      </c>
      <c r="C5150" s="13" t="str">
        <f>HYPERLINK("https://audio.iskcondesiretree.com/02_-_ISKCON_Swamis/ISKCON_Swamis_-_R_to_Y/His_Holiness_Radhanath_Swami/Lectures/02_-_Yatra/2012_Mayapur_Yatra/Audio/2012-11-21_Lecture_At_Goshala-On_Occassion_of_Gopashtami_-_Radhanath_Swami_ISKCON_Chowpatty.mp3", "2012-11-21_Lecture_At_Goshala-On_Occassion_of_Gopashtami_-_Radhanath_Swami_ISKCON_Chowpatty.mp3")</f>
        <v>2012-11-21_Lecture_At_Goshala-On_Occassion_of_Gopashtami_-_Radhanath_Swami_ISKCON_Chowpatty.mp3</v>
      </c>
      <c r="D5150" s="11"/>
      <c r="E5150" s="11"/>
    </row>
    <row r="5151" spans="1:5">
      <c r="A5151" s="12" t="s">
        <v>12464</v>
      </c>
      <c r="B5151" s="12" t="s">
        <v>17654</v>
      </c>
      <c r="C5151" s="13" t="str">
        <f>HYPERLINK("https://audio.iskcondesiretree.com/02_-_ISKCON_Swamis/ISKCON_Swamis_-_R_to_Y/His_Holiness_Radhanath_Swami/Lectures/02_-_Yatra/2012_Mayapur_Yatra/Audio/2012-11-21_Lord_Caitanya%27s_Mahaprakash_Lila_at_Srivas_Angan-01_-_Radhanath_Swami_ISKCON_Chowpatty.mp3", "2012-11-21_Lord_Caitanya%27s_Mahaprakash_Lila_at_Srivas_Angan-01_-_Radhanath_Swami_ISKCON_Chowpatty.mp3")</f>
        <v>2012-11-21_Lord_Caitanya%27s_Mahaprakash_Lila_at_Srivas_Angan-01_-_Radhanath_Swami_ISKCON_Chowpatty.mp3</v>
      </c>
      <c r="D5151" s="11"/>
      <c r="E5151" s="11"/>
    </row>
    <row r="5152" spans="1:5">
      <c r="A5152" s="12" t="s">
        <v>12464</v>
      </c>
      <c r="B5152" s="12" t="s">
        <v>17655</v>
      </c>
      <c r="C5152" s="13" t="str">
        <f>HYPERLINK("https://audio.iskcondesiretree.com/02_-_ISKCON_Swamis/ISKCON_Swamis_-_R_to_Y/His_Holiness_Radhanath_Swami/Lectures/02_-_Yatra/2012_Mayapur_Yatra/Audio/2012-11-21_Receving_the_Divine_Grace_of_Lord_Caitanya_-_Jayapataka_Swami_ISKCON_Chowpatty.mp3", "2012-11-21_Receving_the_Divine_Grace_of_Lord_Caitanya_-_Jayapataka_Swami_ISKCON_Chowpatty.mp3")</f>
        <v>2012-11-21_Receving_the_Divine_Grace_of_Lord_Caitanya_-_Jayapataka_Swami_ISKCON_Chowpatty.mp3</v>
      </c>
      <c r="D5152" s="11"/>
      <c r="E5152" s="11"/>
    </row>
    <row r="5153" spans="1:5">
      <c r="A5153" s="12" t="s">
        <v>12464</v>
      </c>
      <c r="B5153" s="12" t="s">
        <v>17656</v>
      </c>
      <c r="C5153" s="13" t="str">
        <f>HYPERLINK("https://audio.iskcondesiretree.com/02_-_ISKCON_Swamis/ISKCON_Swamis_-_R_to_Y/His_Holiness_Radhanath_Swami/Lectures/02_-_Yatra/2012_Mayapur_Yatra/Audio/2012-11-22_Caitanya_Lila_-_Jaypataka_Swami_ISKCON_Chowpatty.mp3", "2012-11-22_Caitanya_Lila_-_Jaypataka_Swami_ISKCON_Chowpatty.mp3")</f>
        <v>2012-11-22_Caitanya_Lila_-_Jaypataka_Swami_ISKCON_Chowpatty.mp3</v>
      </c>
      <c r="D5153" s="11"/>
      <c r="E5153" s="11"/>
    </row>
    <row r="5154" spans="1:5">
      <c r="A5154" s="12" t="s">
        <v>12464</v>
      </c>
      <c r="B5154" s="12" t="s">
        <v>17657</v>
      </c>
      <c r="C5154" s="13" t="str">
        <f>HYPERLINK("https://audio.iskcondesiretree.com/02_-_ISKCON_Swamis/ISKCON_Swamis_-_R_to_Y/His_Holiness_Radhanath_Swami/Lectures/02_-_Yatra/2012_Mayapur_Yatra/Audio/2012-11-22_Lord_Caitanya%27s_Mahaprakash_Lila_at_Srivas_Angan-02_-_Radhanath_Swami_ISKCON_Chowpatty.mp3", "2012-11-22_Lord_Caitanya%27s_Mahaprakash_Lila_at_Srivas_Angan-02_-_Radhanath_Swami_ISKCON_Chowpatty.mp3")</f>
        <v>2012-11-22_Lord_Caitanya%27s_Mahaprakash_Lila_at_Srivas_Angan-02_-_Radhanath_Swami_ISKCON_Chowpatty.mp3</v>
      </c>
      <c r="D5154" s="11"/>
      <c r="E5154" s="11"/>
    </row>
    <row r="5155" spans="1:5">
      <c r="A5155" s="12" t="s">
        <v>12464</v>
      </c>
      <c r="B5155" s="12" t="s">
        <v>17658</v>
      </c>
      <c r="C5155" s="13" t="str">
        <f>HYPERLINK("https://audio.iskcondesiretree.com/02_-_ISKCON_Swamis/ISKCON_Swamis_-_R_to_Y/His_Holiness_Radhanath_Swami/Lectures/02_-_Yatra/2012_Mayapur_Yatra/Audio/2012-11-23_Lecture_at_Ekachakra_Dham-Glories_of_Lord_Nityananda_-_Radhanath_Swami_ISKCON_Chowpatty.mp3", "2012-11-23_Lecture_at_Ekachakra_Dham-Glories_of_Lord_Nityananda_-_Radhanath_Swami_ISKCON_Chowpatty.mp3")</f>
        <v>2012-11-23_Lecture_at_Ekachakra_Dham-Glories_of_Lord_Nityananda_-_Radhanath_Swami_ISKCON_Chowpatty.mp3</v>
      </c>
      <c r="D5155" s="11"/>
      <c r="E5155" s="11"/>
    </row>
    <row r="5156" spans="1:5">
      <c r="A5156" s="12" t="s">
        <v>12464</v>
      </c>
      <c r="B5156" s="12" t="s">
        <v>17659</v>
      </c>
      <c r="C5156" s="13" t="str">
        <f>HYPERLINK("https://audio.iskcondesiretree.com/02_-_ISKCON_Swamis/ISKCON_Swamis_-_R_to_Y/His_Holiness_Radhanath_Swami/Lectures/02_-_Yatra/2013_Vrindavan_Yatra/2013-10-31_Vrindavan_Yatra_2013_-_The_Exalted_Position_of_Gopis_-_Radhanath_Swami_Vrindavan.mp3", "2013-10-31_Vrindavan_Yatra_2013_-_The_Exalted_Position_of_Gopis_-_Radhanath_Swami_Vrindavan.mp3")</f>
        <v>2013-10-31_Vrindavan_Yatra_2013_-_The_Exalted_Position_of_Gopis_-_Radhanath_Swami_Vrindavan.mp3</v>
      </c>
      <c r="D5156" s="11"/>
      <c r="E5156" s="11"/>
    </row>
    <row r="5157" spans="1:5">
      <c r="A5157" s="12" t="s">
        <v>12464</v>
      </c>
      <c r="B5157" s="12" t="s">
        <v>17660</v>
      </c>
      <c r="C5157" s="13" t="str">
        <f>HYPERLINK("https://audio.iskcondesiretree.com/02_-_ISKCON_Swamis/ISKCON_Swamis_-_R_to_Y/His_Holiness_Radhanath_Swami/Lectures/02_-_Yatra/2013_Vrindavan_Yatra/2013-11-01_Vrindavan_Yatra_2013_-_Brahma_Vimohan_Lila_Part_01_-_Radhanath_Swami_Vrindavan.mp3", "2013-11-01_Vrindavan_Yatra_2013_-_Brahma_Vimohan_Lila_Part_01_-_Radhanath_Swami_Vrindavan.mp3")</f>
        <v>2013-11-01_Vrindavan_Yatra_2013_-_Brahma_Vimohan_Lila_Part_01_-_Radhanath_Swami_Vrindavan.mp3</v>
      </c>
      <c r="D5157" s="11"/>
      <c r="E5157" s="11"/>
    </row>
    <row r="5158" spans="1:5">
      <c r="A5158" s="12" t="s">
        <v>12464</v>
      </c>
      <c r="B5158" s="12" t="s">
        <v>17661</v>
      </c>
      <c r="C5158" s="13" t="str">
        <f>HYPERLINK("https://audio.iskcondesiretree.com/02_-_ISKCON_Swamis/ISKCON_Swamis_-_R_to_Y/His_Holiness_Radhanath_Swami/Lectures/02_-_Yatra/2013_Vrindavan_Yatra/2013-11-01_Vrindavan_Yatra_2013_-_Brahma_Vimohan_Lila_Part_02_-_Radhanath_Swami_Vrindavan.mp3", "2013-11-01_Vrindavan_Yatra_2013_-_Brahma_Vimohan_Lila_Part_02_-_Radhanath_Swami_Vrindavan.mp3")</f>
        <v>2013-11-01_Vrindavan_Yatra_2013_-_Brahma_Vimohan_Lila_Part_02_-_Radhanath_Swami_Vrindavan.mp3</v>
      </c>
      <c r="D5158" s="11"/>
      <c r="E5158" s="11"/>
    </row>
    <row r="5159" spans="1:5">
      <c r="A5159" s="12" t="s">
        <v>12464</v>
      </c>
      <c r="B5159" s="12" t="s">
        <v>17662</v>
      </c>
      <c r="C5159" s="13" t="str">
        <f>HYPERLINK("https://audio.iskcondesiretree.com/02_-_ISKCON_Swamis/ISKCON_Swamis_-_R_to_Y/His_Holiness_Radhanath_Swami/Lectures/02_-_Yatra/2013_Vrindavan_Yatra/2013-11-03_Vrindavan_Yatra_2013_-_Conquered_by_his_devotees_Love_Day_06_-_Radhanath_Swami_Vrindavan.mp3", "2013-11-03_Vrindavan_Yatra_2013_-_Conquered_by_his_devotees_Love_Day_06_-_Radhanath_Swami_Vrindavan.mp3")</f>
        <v>2013-11-03_Vrindavan_Yatra_2013_-_Conquered_by_his_devotees_Love_Day_06_-_Radhanath_Swami_Vrindavan.mp3</v>
      </c>
      <c r="D5159" s="11"/>
      <c r="E5159" s="11"/>
    </row>
    <row r="5160" spans="1:5">
      <c r="A5160" s="12" t="s">
        <v>12464</v>
      </c>
      <c r="B5160" s="12" t="s">
        <v>17663</v>
      </c>
      <c r="C5160" s="13" t="str">
        <f>HYPERLINK("https://audio.iskcondesiretree.com/02_-_ISKCON_Swamis/ISKCON_Swamis_-_R_to_Y/His_Holiness_Radhanath_Swami/Lectures/02_-_Yatra/2013_Vrindavan_Yatra/2013-11-04_Vrindavan_Yatra_2013_-_Glories_of_Govardhan_Day_07_-_Radhanath_Swami_Vrindavan.mp3", "2013-11-04_Vrindavan_Yatra_2013_-_Glories_of_Govardhan_Day_07_-_Radhanath_Swami_Vrindavan.mp3")</f>
        <v>2013-11-04_Vrindavan_Yatra_2013_-_Glories_of_Govardhan_Day_07_-_Radhanath_Swami_Vrindavan.mp3</v>
      </c>
      <c r="D5160" s="11"/>
      <c r="E5160" s="11"/>
    </row>
    <row r="5161" spans="1:5">
      <c r="A5161" s="12" t="s">
        <v>12464</v>
      </c>
      <c r="B5161" s="12" t="s">
        <v>17664</v>
      </c>
      <c r="C5161" s="13" t="str">
        <f>HYPERLINK("https://audio.iskcondesiretree.com/02_-_ISKCON_Swamis/ISKCON_Swamis_-_R_to_Y/His_Holiness_Radhanath_Swami/Lectures/02_-_Yatra/2013_Vrindavan_Yatra/2013-11-05_Vrindavan_Yatra_2013_-_Good_fortune_of_Brijbasis_Day_08_-_Radhanath_Swami_Vrindavan.mp3", "2013-11-05_Vrindavan_Yatra_2013_-_Good_fortune_of_Brijbasis_Day_08_-_Radhanath_Swami_Vrindavan.mp3")</f>
        <v>2013-11-05_Vrindavan_Yatra_2013_-_Good_fortune_of_Brijbasis_Day_08_-_Radhanath_Swami_Vrindavan.mp3</v>
      </c>
      <c r="D5161" s="11"/>
      <c r="E5161" s="11"/>
    </row>
    <row r="5162" spans="1:5">
      <c r="A5162" s="12" t="s">
        <v>12464</v>
      </c>
      <c r="B5162" s="12" t="s">
        <v>17665</v>
      </c>
      <c r="C5162" s="13" t="str">
        <f>HYPERLINK("https://audio.iskcondesiretree.com/02_-_ISKCON_Swamis/ISKCON_Swamis_-_R_to_Y/His_Holiness_Radhanath_Swami/Lectures/02_-_Yatra/2013_Vrindavan_Yatra/2013-11-06_Vrindavan_Yatra_2013_-_Govardhan_Lilas_Day_09_-_Radhanath_Swami_Vrindavan.mp3", "2013-11-06_Vrindavan_Yatra_2013_-_Govardhan_Lilas_Day_09_-_Radhanath_Swami_Vrindavan.mp3")</f>
        <v>2013-11-06_Vrindavan_Yatra_2013_-_Govardhan_Lilas_Day_09_-_Radhanath_Swami_Vrindavan.mp3</v>
      </c>
      <c r="D5162" s="11"/>
      <c r="E5162" s="11"/>
    </row>
    <row r="5163" spans="1:5">
      <c r="A5163" s="12" t="s">
        <v>12464</v>
      </c>
      <c r="B5163" s="12" t="s">
        <v>17666</v>
      </c>
      <c r="C5163" s="13" t="str">
        <f>HYPERLINK("https://audio.iskcondesiretree.com/02_-_ISKCON_Swamis/ISKCON_Swamis_-_R_to_Y/His_Holiness_Radhanath_Swami/Lectures/02_-_Yatra/2013_Vrindavan_Yatra/2013-11-07_Vrindavan_Yatra_2013_-_Offerings_to_Srila_%20Prabhupada_-_Bhakti_Charu_Swami_Vrindavan.mp3", "2013-11-07_Vrindavan_Yatra_2013_-_Offerings_to_Srila_%20Prabhupada_-_Bhakti_Charu_Swami_Vrindavan.mp3")</f>
        <v>2013-11-07_Vrindavan_Yatra_2013_-_Offerings_to_Srila_%20Prabhupada_-_Bhakti_Charu_Swami_Vrindavan.mp3</v>
      </c>
      <c r="D5163" s="11"/>
      <c r="E5163" s="11"/>
    </row>
    <row r="5164" spans="1:5">
      <c r="A5164" s="12" t="s">
        <v>12464</v>
      </c>
      <c r="B5164" s="12" t="s">
        <v>17667</v>
      </c>
      <c r="C5164" s="13" t="str">
        <f>HYPERLINK("https://audio.iskcondesiretree.com/02_-_ISKCON_Swamis/ISKCON_Swamis_-_R_to_Y/His_Holiness_Radhanath_Swami/Lectures/02_-_Yatra/2013_Vrindavan_Yatra/2013-11-07_Vrindavan_Yatra_2013_-_Offerings_to_Srila_Prabhupada_-_Arjun_Pr_Vrindavan.mp3", "2013-11-07_Vrindavan_Yatra_2013_-_Offerings_to_Srila_Prabhupada_-_Arjun_Pr_Vrindavan.mp3")</f>
        <v>2013-11-07_Vrindavan_Yatra_2013_-_Offerings_to_Srila_Prabhupada_-_Arjun_Pr_Vrindavan.mp3</v>
      </c>
      <c r="D5164" s="11"/>
      <c r="E5164" s="11"/>
    </row>
    <row r="5165" spans="1:5">
      <c r="A5165" s="12" t="s">
        <v>12464</v>
      </c>
      <c r="B5165" s="12" t="s">
        <v>17668</v>
      </c>
      <c r="C5165" s="13" t="str">
        <f>HYPERLINK("https://audio.iskcondesiretree.com/02_-_ISKCON_Swamis/ISKCON_Swamis_-_R_to_Y/His_Holiness_Radhanath_Swami/Lectures/02_-_Yatra/2013_Vrindavan_Yatra/2013-11-07_Vrindavan_Yatra_2013_-_Offerings_to_Srila_Prabhupada_-_Bhurijana_Pr_Vrindavan.mp3", "2013-11-07_Vrindavan_Yatra_2013_-_Offerings_to_Srila_Prabhupada_-_Bhurijana_Pr_Vrindavan.mp3")</f>
        <v>2013-11-07_Vrindavan_Yatra_2013_-_Offerings_to_Srila_Prabhupada_-_Bhurijana_Pr_Vrindavan.mp3</v>
      </c>
      <c r="D5165" s="11"/>
      <c r="E5165" s="11"/>
    </row>
    <row r="5166" spans="1:5">
      <c r="A5166" s="12" t="s">
        <v>12464</v>
      </c>
      <c r="B5166" s="12" t="s">
        <v>17669</v>
      </c>
      <c r="C5166" s="13" t="str">
        <f>HYPERLINK("https://audio.iskcondesiretree.com/02_-_ISKCON_Swamis/ISKCON_Swamis_-_R_to_Y/His_Holiness_Radhanath_Swami/Lectures/02_-_Yatra/2013_Vrindavan_Yatra/2013-11-07_Vrindavan_Yatra_2013_-_Offerings_to_Srila_Prabhupada_-_Dhanurdhar_Swami_Vrindavan.mp3", "2013-11-07_Vrindavan_Yatra_2013_-_Offerings_to_Srila_Prabhupada_-_Dhanurdhar_Swami_Vrindavan.mp3")</f>
        <v>2013-11-07_Vrindavan_Yatra_2013_-_Offerings_to_Srila_Prabhupada_-_Dhanurdhar_Swami_Vrindavan.mp3</v>
      </c>
      <c r="D5166" s="11"/>
      <c r="E5166" s="11"/>
    </row>
    <row r="5167" spans="1:5">
      <c r="A5167" s="12" t="s">
        <v>12464</v>
      </c>
      <c r="B5167" s="12" t="s">
        <v>17670</v>
      </c>
      <c r="C5167" s="13" t="str">
        <f>HYPERLINK("https://audio.iskcondesiretree.com/02_-_ISKCON_Swamis/ISKCON_Swamis_-_R_to_Y/His_Holiness_Radhanath_Swami/Lectures/02_-_Yatra/2013_Vrindavan_Yatra/2013-11-07_Vrindavan_Yatra_2013_-_Offerings_to_Srila_Prabhupada_-_Radhanath_Swami_Vrindavan.mp3", "2013-11-07_Vrindavan_Yatra_2013_-_Offerings_to_Srila_Prabhupada_-_Radhanath_Swami_Vrindavan.mp3")</f>
        <v>2013-11-07_Vrindavan_Yatra_2013_-_Offerings_to_Srila_Prabhupada_-_Radhanath_Swami_Vrindavan.mp3</v>
      </c>
      <c r="D5167" s="11"/>
      <c r="E5167" s="11"/>
    </row>
    <row r="5168" spans="1:5">
      <c r="A5168" s="12" t="s">
        <v>12464</v>
      </c>
      <c r="B5168" s="12" t="s">
        <v>17671</v>
      </c>
      <c r="C5168" s="13" t="str">
        <f>HYPERLINK("https://audio.iskcondesiretree.com/02_-_ISKCON_Swamis/ISKCON_Swamis_-_R_to_Y/His_Holiness_Radhanath_Swami/Lectures/02_-_Yatra/2013_Vrindavan_Yatra/2013-11-07_Vrindavan_Yatra_2013_-_Offerings_to_Srila_Prabhupada_-_Sacinandana_Sw_Vrindavan.mp3", "2013-11-07_Vrindavan_Yatra_2013_-_Offerings_to_Srila_Prabhupada_-_Sacinandana_Sw_Vrindavan.mp3")</f>
        <v>2013-11-07_Vrindavan_Yatra_2013_-_Offerings_to_Srila_Prabhupada_-_Sacinandana_Sw_Vrindavan.mp3</v>
      </c>
      <c r="D5168" s="11"/>
      <c r="E5168" s="11"/>
    </row>
    <row r="5169" spans="1:5">
      <c r="A5169" s="12" t="s">
        <v>12464</v>
      </c>
      <c r="B5169" s="12" t="s">
        <v>17672</v>
      </c>
      <c r="C5169" s="13" t="str">
        <f>HYPERLINK("https://audio.iskcondesiretree.com/02_-_ISKCON_Swamis/ISKCON_Swamis_-_R_to_Y/His_Holiness_Radhanath_Swami/Lectures/02_-_Yatra/2013_Vrindavan_Yatra/2013-11-09_Vrindavan_Yatra_2013_-_Concluding_Session_-_Srila_Prabhupada_Disciples_Vrindavan.mp3", "2013-11-09_Vrindavan_Yatra_2013_-_Concluding_Session_-_Srila_Prabhupada_Disciples_Vrindavan.mp3")</f>
        <v>2013-11-09_Vrindavan_Yatra_2013_-_Concluding_Session_-_Srila_Prabhupada_Disciples_Vrindavan.mp3</v>
      </c>
      <c r="D5169" s="11"/>
      <c r="E5169" s="11"/>
    </row>
    <row r="5170" spans="1:5">
      <c r="A5170" s="12" t="s">
        <v>12464</v>
      </c>
      <c r="B5170" s="12" t="s">
        <v>17673</v>
      </c>
      <c r="C5170" s="13" t="str">
        <f>HYPERLINK("https://audio.iskcondesiretree.com/02_-_ISKCON_Swamis/ISKCON_Swamis_-_R_to_Y/His_Holiness_Radhanath_Swami/Lectures/02_-_Yatra/2013_Vrindavan_Yatra/2013-11-09_Vrindavan_Yatra_2013_-_Pastimes_In_And_Around_Govardhan_-_Radhanath_Swami_Vrindavan.mp3", "2013-11-09_Vrindavan_Yatra_2013_-_Pastimes_In_And_Around_Govardhan_-_Radhanath_Swami_Vrindavan.mp3")</f>
        <v>2013-11-09_Vrindavan_Yatra_2013_-_Pastimes_In_And_Around_Govardhan_-_Radhanath_Swami_Vrindavan.mp3</v>
      </c>
      <c r="D5170" s="11"/>
      <c r="E5170" s="11"/>
    </row>
    <row r="5171" spans="1:5">
      <c r="A5171" s="12" t="s">
        <v>12464</v>
      </c>
      <c r="B5171" s="12" t="s">
        <v>17674</v>
      </c>
      <c r="C5171" s="13" t="str">
        <f>HYPERLINK("https://audio.iskcondesiretree.com/02_-_ISKCON_Swamis/ISKCON_Swamis_-_R_to_Y/His_Holiness_Radhanath_Swami/Lectures/02_-_Yatra/2013_Vrindavan_Yatra/2013-11-09_Vrindavan_Yatra_2013_-_Question_and_Answer_Session_-_Senior_Devotees_Vrindavan.mp3", "2013-11-09_Vrindavan_Yatra_2013_-_Question_and_Answer_Session_-_Senior_Devotees_Vrindavan.mp3")</f>
        <v>2013-11-09_Vrindavan_Yatra_2013_-_Question_and_Answer_Session_-_Senior_Devotees_Vrindavan.mp3</v>
      </c>
      <c r="D5171" s="11"/>
      <c r="E5171" s="11"/>
    </row>
    <row r="5172" spans="1:5">
      <c r="A5172" s="12" t="s">
        <v>12464</v>
      </c>
      <c r="B5172" s="12" t="s">
        <v>17675</v>
      </c>
      <c r="C5172" s="13" t="str">
        <f>HYPERLINK("https://audio.iskcondesiretree.com/02_-_ISKCON_Swamis/ISKCON_Swamis_-_R_to_Y/His_Holiness_Radhanath_Swami/Lectures/02_-_Yatra/2013_Vrindavan_Yatra/2013-11-09_Vrindavan_Yatra_2013_-_What_is_the_Goal_of_Human_Life_-_Shyamananda_Pr_Vrindavan.mp3", "2013-11-09_Vrindavan_Yatra_2013_-_What_is_the_Goal_of_Human_Life_-_Shyamananda_Pr_Vrindavan.mp3")</f>
        <v>2013-11-09_Vrindavan_Yatra_2013_-_What_is_the_Goal_of_Human_Life_-_Shyamananda_Pr_Vrindavan.mp3</v>
      </c>
      <c r="D5172" s="11"/>
      <c r="E5172" s="11"/>
    </row>
    <row r="5173" spans="1:5">
      <c r="A5173" s="12" t="s">
        <v>12464</v>
      </c>
      <c r="B5173" s="12" t="s">
        <v>17676</v>
      </c>
      <c r="C5173" s="13" t="str">
        <f>HYPERLINK("https://audio.iskcondesiretree.com/02_-_ISKCON_Swamis/ISKCON_Swamis_-_R_to_Y/His_Holiness_Radhanath_Swami/Lectures/02_-_Yatra/2013_Vrindavan_Yatra/2013-11-09_Vrindavan_Yatra_2013_-_Why_Visit_a_Dham_-_Radha_Gopinath_Pr_Vrindavan.mp3", "2013-11-09_Vrindavan_Yatra_2013_-_Why_Visit_a_Dham_-_Radha_Gopinath_Pr_Vrindavan.mp3")</f>
        <v>2013-11-09_Vrindavan_Yatra_2013_-_Why_Visit_a_Dham_-_Radha_Gopinath_Pr_Vrindavan.mp3</v>
      </c>
      <c r="D5173" s="11"/>
      <c r="E5173" s="11"/>
    </row>
    <row r="5174" spans="1:5">
      <c r="A5174" s="12" t="s">
        <v>12464</v>
      </c>
      <c r="B5174" s="12" t="s">
        <v>17677</v>
      </c>
      <c r="C5174" s="13" t="str">
        <f>HYPERLINK("https://audio.iskcondesiretree.com/02_-_ISKCON_Swamis/ISKCON_Swamis_-_R_to_Y/His_Holiness_Radhanath_Swami/Lectures/02_-_Yatra/2014_South_India_Yatra/06_-_2014-10-24_South_India_Yatra_2014_-_Govardhana_Puja%20_Day_03%28Evening%29_-_Radhanath_Swami.mp3", "06_-_2014-10-24_South_India_Yatra_2014_-_Govardhana_Puja%20_Day_03%28Evening%29_-_Radhanath_Swami.mp3")</f>
        <v>06_-_2014-10-24_South_India_Yatra_2014_-_Govardhana_Puja%20_Day_03%28Evening%29_-_Radhanath_Swami.mp3</v>
      </c>
      <c r="D5174" s="11"/>
      <c r="E5174" s="11"/>
    </row>
    <row r="5175" spans="1:5">
      <c r="A5175" s="12" t="s">
        <v>12464</v>
      </c>
      <c r="B5175" s="12" t="s">
        <v>17678</v>
      </c>
      <c r="C5175" s="13" t="str">
        <f>HYPERLINK("https://audio.iskcondesiretree.com/02_-_ISKCON_Swamis/ISKCON_Swamis_-_R_to_Y/His_Holiness_Radhanath_Swami/Lectures/02_-_Yatra/2014_South_India_Yatra/08_-_2014-10-27_South_India_Yatra_2014_-_Srila_Prabhupada_Disappearance_Day_05_-_Radhanath_Swami_Udupi.mp3", "08_-_2014-10-27_South_India_Yatra_2014_-_Srila_Prabhupada_Disappearance_Day_05_-_Radhanath_Swami_Udupi.mp3")</f>
        <v>08_-_2014-10-27_South_India_Yatra_2014_-_Srila_Prabhupada_Disappearance_Day_05_-_Radhanath_Swami_Udupi.mp3</v>
      </c>
      <c r="D5175" s="11"/>
      <c r="E5175" s="11"/>
    </row>
    <row r="5176" spans="1:5">
      <c r="A5176" s="12" t="s">
        <v>12464</v>
      </c>
      <c r="B5176" s="12" t="s">
        <v>17679</v>
      </c>
      <c r="C5176" s="13" t="str">
        <f>HYPERLINK("https://audio.iskcondesiretree.com/02_-_ISKCON_Swamis/ISKCON_Swamis_-_R_to_Y/His_Holiness_Radhanath_Swami/Lectures/02_-_Yatra/2014_South_India_Yatra/10_-_2014-10-29_South_India_Yatra_2014_-_What_Pleases_Krishna_Day_06_-_Radhanath_Swami_Udupi.mp3", "10_-_2014-10-29_South_India_Yatra_2014_-_What_Pleases_Krishna_Day_06_-_Radhanath_Swami_Udupi.mp3")</f>
        <v>10_-_2014-10-29_South_India_Yatra_2014_-_What_Pleases_Krishna_Day_06_-_Radhanath_Swami_Udupi.mp3</v>
      </c>
      <c r="D5176" s="11"/>
      <c r="E5176" s="11"/>
    </row>
    <row r="5177" spans="1:5">
      <c r="A5177" s="12" t="s">
        <v>12464</v>
      </c>
      <c r="B5177" s="12" t="e">
        <v>#VALUE!</v>
      </c>
      <c r="C5177" s="13" t="e">
        <f>HYPERLINK("https://audio.iskcondesiretree.com/02_-_ISKCON_Swamis/ISKCON_Swamis_-_R_to_Y/His_Holiness_Radhanath_Swami/Lectures/02_-_Yatra/2015_Vrindavan_Yatra/2015-11-11_Vrindavan_Kartik_Yatra_2015_-_Childhood_pastimes_of_Lord_Krishna_and_Lord_Chaitanya_Day_04_-_Radh"&amp;"anath_Swami_Vrindavan.mp3", "2015-11-11_Vrindavan_Kartik_Yatra_2015_-_Childhood_pastimes_of_Lord_Krishna_and_Lord_Chaitanya_Day_04_-_Radhanath_Swami_Vrindavan.mp3")</f>
        <v>#VALUE!</v>
      </c>
      <c r="D5177" s="11"/>
      <c r="E5177" s="11"/>
    </row>
    <row r="5178" spans="1:5">
      <c r="A5178" s="12" t="s">
        <v>12464</v>
      </c>
      <c r="B5178" s="12" t="s">
        <v>17680</v>
      </c>
      <c r="C5178" s="13" t="str">
        <f>HYPERLINK("https://audio.iskcondesiretree.com/02_-_ISKCON_Swamis/ISKCON_Swamis_-_R_to_Y/His_Holiness_Radhanath_Swami/Lectures/02_-_Yatra/2015_Vrindavan_Yatra/2015-11-12_Vrindavan_Kartik_Yatra_2015_-_Govardhana_Lila_Day_05_-_Radhanath_Swami_Vrindavan.mp3", "2015-11-12_Vrindavan_Kartik_Yatra_2015_-_Govardhana_Lila_Day_05_-_Radhanath_Swami_Vrindavan.mp3")</f>
        <v>2015-11-12_Vrindavan_Kartik_Yatra_2015_-_Govardhana_Lila_Day_05_-_Radhanath_Swami_Vrindavan.mp3</v>
      </c>
      <c r="D5178" s="11"/>
      <c r="E5178" s="11"/>
    </row>
    <row r="5179" spans="1:5">
      <c r="A5179" s="12" t="s">
        <v>12464</v>
      </c>
      <c r="B5179" s="12" t="e">
        <v>#VALUE!</v>
      </c>
      <c r="C5179" s="13" t="e">
        <f>HYPERLINK("https://audio.iskcondesiretree.com/02_-_ISKCON_Swamis/ISKCON_Swamis_-_R_to_Y/His_Holiness_Radhanath_Swami/Lectures/02_-_Yatra/2015_Vrindavan_Yatra/2015-11-13_Vrindavan_Kartik_Yatra_2015_-_The_Best_of_Devotees_Hari_Das_Varya_Day_06_-_Radhanath_Swami_Vrinda"&amp;"van.mp3", "2015-11-13_Vrindavan_Kartik_Yatra_2015_-_The_Best_of_Devotees_Hari_Das_Varya_Day_06_-_Radhanath_Swami_Vrindavan.mp3")</f>
        <v>#VALUE!</v>
      </c>
      <c r="D5179" s="11"/>
      <c r="E5179" s="11"/>
    </row>
    <row r="5180" spans="1:5">
      <c r="A5180" s="12" t="s">
        <v>12464</v>
      </c>
      <c r="B5180" s="12" t="s">
        <v>17681</v>
      </c>
      <c r="C5180" s="13" t="str">
        <f>HYPERLINK("https://audio.iskcondesiretree.com/02_-_ISKCON_Swamis/ISKCON_Swamis_-_R_to_Y/His_Holiness_Radhanath_Swami/Lectures/02_-_Yatra/2015_Vrindavan_Yatra/2015-11-17_Vrindavan_Kartik_Yatra_2015_-_Govardhan_Puja_Day_09_-_Radhanath_Swami_Vrindavan.mp3", "2015-11-17_Vrindavan_Kartik_Yatra_2015_-_Govardhan_Puja_Day_09_-_Radhanath_Swami_Vrindavan.mp3")</f>
        <v>2015-11-17_Vrindavan_Kartik_Yatra_2015_-_Govardhan_Puja_Day_09_-_Radhanath_Swami_Vrindavan.mp3</v>
      </c>
      <c r="D5180" s="11"/>
      <c r="E5180" s="11"/>
    </row>
    <row r="5181" spans="1:5">
      <c r="A5181" s="12" t="s">
        <v>12464</v>
      </c>
      <c r="B5181" s="12" t="s">
        <v>17682</v>
      </c>
      <c r="C5181" s="13" t="str">
        <f>HYPERLINK("https://audio.iskcondesiretree.com/02_-_ISKCON_Swamis/ISKCON_Swamis_-_R_to_Y/His_Holiness_Radhanath_Swami/Lectures/02_-_Yatra/2015_Vrindavan_Yatra/2015-11-17_Vrindavan_Kartik_Yatra_2015_-_Serving_Lord_Krishna_Day_10_-_Radhanath_Swami_Vrindavan.mp3", "2015-11-17_Vrindavan_Kartik_Yatra_2015_-_Serving_Lord_Krishna_Day_10_-_Radhanath_Swami_Vrindavan.mp3")</f>
        <v>2015-11-17_Vrindavan_Kartik_Yatra_2015_-_Serving_Lord_Krishna_Day_10_-_Radhanath_Swami_Vrindavan.mp3</v>
      </c>
      <c r="D5181" s="11"/>
      <c r="E5181" s="11"/>
    </row>
    <row r="5182" spans="1:5">
      <c r="A5182" s="12" t="s">
        <v>12464</v>
      </c>
      <c r="B5182" s="12" t="e">
        <v>#VALUE!</v>
      </c>
      <c r="C5182" s="13" t="e">
        <f>HYPERLINK("https://audio.iskcondesiretree.com/02_-_ISKCON_Swamis/ISKCON_Swamis_-_R_to_Y/His_Holiness_Radhanath_Swami/Lectures/02_-_Yatra/2015_Vrindavan_Yatra/2015-11-17_Vrindavan_Kartik_Yatra_2015_-_Thanks_Giving_By_Mandakini_Mataji_Day_11_-_Radhanath_Swami_Vrindava"&amp;"n.mp3", "2015-11-17_Vrindavan_Kartik_Yatra_2015_-_Thanks_Giving_By_Mandakini_Mataji_Day_11_-_Radhanath_Swami_Vrindavan.mp3")</f>
        <v>#VALUE!</v>
      </c>
      <c r="D5182" s="11"/>
      <c r="E5182" s="11"/>
    </row>
    <row r="5183" spans="1:5">
      <c r="A5183" s="12" t="s">
        <v>12464</v>
      </c>
      <c r="B5183" s="12" t="s">
        <v>17683</v>
      </c>
      <c r="C5183" s="13" t="str">
        <f>HYPERLINK("https://audio.iskcondesiretree.com/02_-_ISKCON_Swamis/ISKCON_Swamis_-_R_to_Y/His_Holiness_Radhanath_Swami/Lectures/02_-_Yatra/2017_Mayapur_Yatra/01_-_2017_Mayapur_Kartik_Yatra_-_Rain_Kirtan_-_Radhanath_Swami.mp3", "01_-_2017_Mayapur_Kartik_Yatra_-_Rain_Kirtan_-_Radhanath_Swami.mp3")</f>
        <v>01_-_2017_Mayapur_Kartik_Yatra_-_Rain_Kirtan_-_Radhanath_Swami.mp3</v>
      </c>
      <c r="D5183" s="11"/>
      <c r="E5183" s="11"/>
    </row>
    <row r="5184" spans="1:5">
      <c r="A5184" s="12" t="s">
        <v>12464</v>
      </c>
      <c r="B5184" s="12" t="s">
        <v>17684</v>
      </c>
      <c r="C5184" s="13" t="str">
        <f>HYPERLINK("https://audio.iskcondesiretree.com/02_-_ISKCON_Swamis/ISKCON_Swamis_-_R_to_Y/His_Holiness_Radhanath_Swami/Lectures/02_-_Yatra/2017_Mayapur_Yatra/02_-_2017_Mayapur_Kartik_Yatra_-_Day-01-Inaugration_and_Setting_the_mood_for_Yatra_-_Radhanath_Swami.mp3", "02_-_2017_Mayapur_Kartik_Yatra_-_Day-01-Inaugration_and_Setting_the_mood_for_Yatra_-_Radhanath_Swami.mp3")</f>
        <v>02_-_2017_Mayapur_Kartik_Yatra_-_Day-01-Inaugration_and_Setting_the_mood_for_Yatra_-_Radhanath_Swami.mp3</v>
      </c>
      <c r="D5184" s="11"/>
      <c r="E5184" s="11"/>
    </row>
    <row r="5185" spans="1:5">
      <c r="A5185" s="12" t="s">
        <v>12464</v>
      </c>
      <c r="B5185" s="12" t="s">
        <v>17685</v>
      </c>
      <c r="C5185" s="13" t="str">
        <f>HYPERLINK("https://audio.iskcondesiretree.com/02_-_ISKCON_Swamis/ISKCON_Swamis_-_R_to_Y/His_Holiness_Radhanath_Swami/Lectures/02_-_Yatra/2017_Mayapur_Yatra/03_-_2017_Mayapur_Kartik_Yatra_-_Day-02-Sweet_Childhood_Pastimes_of_Nimai_and_Krishna_-_Radhanath_Swami.mp3", "03_-_2017_Mayapur_Kartik_Yatra_-_Day-02-Sweet_Childhood_Pastimes_of_Nimai_and_Krishna_-_Radhanath_Swami.mp3")</f>
        <v>03_-_2017_Mayapur_Kartik_Yatra_-_Day-02-Sweet_Childhood_Pastimes_of_Nimai_and_Krishna_-_Radhanath_Swami.mp3</v>
      </c>
      <c r="D5185" s="11"/>
      <c r="E5185" s="11"/>
    </row>
    <row r="5186" spans="1:5">
      <c r="A5186" s="12" t="s">
        <v>12464</v>
      </c>
      <c r="B5186" s="12" t="s">
        <v>17686</v>
      </c>
      <c r="C5186" s="13" t="str">
        <f>HYPERLINK("https://audio.iskcondesiretree.com/02_-_ISKCON_Swamis/ISKCON_Swamis_-_R_to_Y/His_Holiness_Radhanath_Swami/Lectures/02_-_Yatra/2017_Mayapur_Yatra/04_-_2017_Mayapur_Kartik_Yatra_-_Day-03-Marriage_Pastimes_of_Nimai_Pandit_-_Jayapataka_Swami.mp3", "04_-_2017_Mayapur_Kartik_Yatra_-_Day-03-Marriage_Pastimes_of_Nimai_Pandit_-_Jayapataka_Swami.mp3")</f>
        <v>04_-_2017_Mayapur_Kartik_Yatra_-_Day-03-Marriage_Pastimes_of_Nimai_Pandit_-_Jayapataka_Swami.mp3</v>
      </c>
      <c r="D5186" s="11"/>
      <c r="E5186" s="11"/>
    </row>
    <row r="5187" spans="1:5">
      <c r="A5187" s="12" t="s">
        <v>12464</v>
      </c>
      <c r="B5187" s="12" t="s">
        <v>17687</v>
      </c>
      <c r="C5187" s="13" t="str">
        <f>HYPERLINK("https://audio.iskcondesiretree.com/02_-_ISKCON_Swamis/ISKCON_Swamis_-_R_to_Y/His_Holiness_Radhanath_Swami/Lectures/02_-_Yatra/2017_Mayapur_Yatra/05_-_2017_Mayapur_Kartik_Yatra_-_Day-03-Pastimes_of_Visvambhar_-_Radhanath_Swami.mp3", "05_-_2017_Mayapur_Kartik_Yatra_-_Day-03-Pastimes_of_Visvambhar_-_Radhanath_Swami.mp3")</f>
        <v>05_-_2017_Mayapur_Kartik_Yatra_-_Day-03-Pastimes_of_Visvambhar_-_Radhanath_Swami.mp3</v>
      </c>
      <c r="D5187" s="11"/>
      <c r="E5187" s="11"/>
    </row>
    <row r="5188" spans="1:5">
      <c r="A5188" s="12" t="s">
        <v>12464</v>
      </c>
      <c r="B5188" s="12" t="s">
        <v>17688</v>
      </c>
      <c r="C5188" s="13" t="str">
        <f>HYPERLINK("https://audio.iskcondesiretree.com/02_-_ISKCON_Swamis/ISKCON_Swamis_-_R_to_Y/His_Holiness_Radhanath_Swami/Lectures/02_-_Yatra/2017_Mayapur_Yatra/06_-_2017_Mayapur_Kartik_Yatra_-_Day-04-Pastimes_of_Nimai_in_Nadia_-_Jayapataka_Swami.mp3", "06_-_2017_Mayapur_Kartik_Yatra_-_Day-04-Pastimes_of_Nimai_in_Nadia_-_Jayapataka_Swami.mp3")</f>
        <v>06_-_2017_Mayapur_Kartik_Yatra_-_Day-04-Pastimes_of_Nimai_in_Nadia_-_Jayapataka_Swami.mp3</v>
      </c>
      <c r="D5188" s="11"/>
      <c r="E5188" s="11"/>
    </row>
    <row r="5189" spans="1:5">
      <c r="A5189" s="12" t="s">
        <v>12464</v>
      </c>
      <c r="B5189" s="12" t="s">
        <v>17689</v>
      </c>
      <c r="C5189" s="13" t="str">
        <f>HYPERLINK("https://audio.iskcondesiretree.com/02_-_ISKCON_Swamis/ISKCON_Swamis_-_R_to_Y/His_Holiness_Radhanath_Swami/Lectures/02_-_Yatra/2017_Mayapur_Yatra/07_-_2017_Mayapur_Kartik_Yatra_-_Day-04-Pastimes_of_Nimai_Pandit_-_Radhanath_Swami.mp3", "07_-_2017_Mayapur_Kartik_Yatra_-_Day-04-Pastimes_of_Nimai_Pandit_-_Radhanath_Swami.mp3")</f>
        <v>07_-_2017_Mayapur_Kartik_Yatra_-_Day-04-Pastimes_of_Nimai_Pandit_-_Radhanath_Swami.mp3</v>
      </c>
      <c r="D5189" s="11"/>
      <c r="E5189" s="11"/>
    </row>
    <row r="5190" spans="1:5">
      <c r="A5190" s="12" t="s">
        <v>12464</v>
      </c>
      <c r="B5190" s="12" t="s">
        <v>17690</v>
      </c>
      <c r="C5190" s="13" t="str">
        <f>HYPERLINK("https://audio.iskcondesiretree.com/02_-_ISKCON_Swamis/ISKCON_Swamis_-_R_to_Y/His_Holiness_Radhanath_Swami/Lectures/02_-_Yatra/2017_Mayapur_Yatra/08_-_2017_Mayapur_Kartik_Yatra_-_Day-05_Vyasa_Puja_offering_by_Bhakti_Purushottam_Swami.mp3", "08_-_2017_Mayapur_Kartik_Yatra_-_Day-05_Vyasa_Puja_offering_by_Bhakti_Purushottam_Swami.mp3")</f>
        <v>08_-_2017_Mayapur_Kartik_Yatra_-_Day-05_Vyasa_Puja_offering_by_Bhakti_Purushottam_Swami.mp3</v>
      </c>
      <c r="D5190" s="11"/>
      <c r="E5190" s="11"/>
    </row>
    <row r="5191" spans="1:5">
      <c r="A5191" s="12" t="s">
        <v>12464</v>
      </c>
      <c r="B5191" s="12" t="s">
        <v>17691</v>
      </c>
      <c r="C5191" s="13" t="str">
        <f>HYPERLINK("https://audio.iskcondesiretree.com/02_-_ISKCON_Swamis/ISKCON_Swamis_-_R_to_Y/His_Holiness_Radhanath_Swami/Lectures/02_-_Yatra/2017_Mayapur_Yatra/08_-_2017_Mayapur_Kartik_Yatra_-_Day-05_Vyasa_Puja_offering_by_Chandramauli_Swami.mp3", "08_-_2017_Mayapur_Kartik_Yatra_-_Day-05_Vyasa_Puja_offering_by_Chandramauli_Swami.mp3")</f>
        <v>08_-_2017_Mayapur_Kartik_Yatra_-_Day-05_Vyasa_Puja_offering_by_Chandramauli_Swami.mp3</v>
      </c>
      <c r="D5191" s="11"/>
      <c r="E5191" s="11"/>
    </row>
    <row r="5192" spans="1:5">
      <c r="A5192" s="12" t="s">
        <v>12464</v>
      </c>
      <c r="B5192" s="12" t="s">
        <v>17692</v>
      </c>
      <c r="C5192" s="13" t="str">
        <f>HYPERLINK("https://audio.iskcondesiretree.com/02_-_ISKCON_Swamis/ISKCON_Swamis_-_R_to_Y/His_Holiness_Radhanath_Swami/Lectures/02_-_Yatra/2017_Mayapur_Yatra/08_-_2017_Mayapur_Kartik_Yatra_-_Day-05_Vyasa_Puja_offering_by_Jananivas_Prabhu.mp3", "08_-_2017_Mayapur_Kartik_Yatra_-_Day-05_Vyasa_Puja_offering_by_Jananivas_Prabhu.mp3")</f>
        <v>08_-_2017_Mayapur_Kartik_Yatra_-_Day-05_Vyasa_Puja_offering_by_Jananivas_Prabhu.mp3</v>
      </c>
      <c r="D5192" s="11"/>
      <c r="E5192" s="11"/>
    </row>
    <row r="5193" spans="1:5">
      <c r="A5193" s="12" t="s">
        <v>12464</v>
      </c>
      <c r="B5193" s="12" t="s">
        <v>17693</v>
      </c>
      <c r="C5193" s="13" t="str">
        <f>HYPERLINK("https://audio.iskcondesiretree.com/02_-_ISKCON_Swamis/ISKCON_Swamis_-_R_to_Y/His_Holiness_Radhanath_Swami/Lectures/02_-_Yatra/2017_Mayapur_Yatra/08_-_2017_Mayapur_Kartik_Yatra_-_Day-05_Vyasa_Puja_offering_by_Mandakini_Mataji.mp3", "08_-_2017_Mayapur_Kartik_Yatra_-_Day-05_Vyasa_Puja_offering_by_Mandakini_Mataji.mp3")</f>
        <v>08_-_2017_Mayapur_Kartik_Yatra_-_Day-05_Vyasa_Puja_offering_by_Mandakini_Mataji.mp3</v>
      </c>
      <c r="D5193" s="11"/>
      <c r="E5193" s="11"/>
    </row>
    <row r="5194" spans="1:5">
      <c r="A5194" s="12" t="s">
        <v>12464</v>
      </c>
      <c r="B5194" s="12" t="s">
        <v>17694</v>
      </c>
      <c r="C5194" s="13" t="str">
        <f>HYPERLINK("https://audio.iskcondesiretree.com/02_-_ISKCON_Swamis/ISKCON_Swamis_-_R_to_Y/His_Holiness_Radhanath_Swami/Lectures/02_-_Yatra/2017_Mayapur_Yatra/08_-_2017_Mayapur_Kartik_Yatra_-_Day-05_Vyasa_Puja_offering_by_Nartaki_Mataji.mp3", "08_-_2017_Mayapur_Kartik_Yatra_-_Day-05_Vyasa_Puja_offering_by_Nartaki_Mataji.mp3")</f>
        <v>08_-_2017_Mayapur_Kartik_Yatra_-_Day-05_Vyasa_Puja_offering_by_Nartaki_Mataji.mp3</v>
      </c>
      <c r="D5194" s="11"/>
      <c r="E5194" s="11"/>
    </row>
    <row r="5195" spans="1:5">
      <c r="A5195" s="12" t="s">
        <v>12464</v>
      </c>
      <c r="B5195" s="12" t="s">
        <v>17695</v>
      </c>
      <c r="C5195" s="13" t="str">
        <f>HYPERLINK("https://audio.iskcondesiretree.com/02_-_ISKCON_Swamis/ISKCON_Swamis_-_R_to_Y/His_Holiness_Radhanath_Swami/Lectures/02_-_Yatra/2017_Mayapur_Yatra/08_-_2017_Mayapur_Kartik_Yatra_-_Day-05_Vyasa_Puja_offering_by_Niranjana_Swami.mp3", "08_-_2017_Mayapur_Kartik_Yatra_-_Day-05_Vyasa_Puja_offering_by_Niranjana_Swami.mp3")</f>
        <v>08_-_2017_Mayapur_Kartik_Yatra_-_Day-05_Vyasa_Puja_offering_by_Niranjana_Swami.mp3</v>
      </c>
      <c r="D5195" s="11"/>
      <c r="E5195" s="11"/>
    </row>
    <row r="5196" spans="1:5">
      <c r="A5196" s="12" t="s">
        <v>12464</v>
      </c>
      <c r="B5196" s="12" t="s">
        <v>17696</v>
      </c>
      <c r="C5196" s="13" t="str">
        <f>HYPERLINK("https://audio.iskcondesiretree.com/02_-_ISKCON_Swamis/ISKCON_Swamis_-_R_to_Y/His_Holiness_Radhanath_Swami/Lectures/02_-_Yatra/2017_Mayapur_Yatra/08_-_2017_Mayapur_Kartik_Yatra_-_Day-05_Vyasa_Puja_offering_by_Pankajanghri_Prabhu.mp3", "08_-_2017_Mayapur_Kartik_Yatra_-_Day-05_Vyasa_Puja_offering_by_Pankajanghri_Prabhu.mp3")</f>
        <v>08_-_2017_Mayapur_Kartik_Yatra_-_Day-05_Vyasa_Puja_offering_by_Pankajanghri_Prabhu.mp3</v>
      </c>
      <c r="D5196" s="11"/>
      <c r="E5196" s="11"/>
    </row>
    <row r="5197" spans="1:5">
      <c r="A5197" s="12" t="s">
        <v>12464</v>
      </c>
      <c r="B5197" s="12" t="s">
        <v>17697</v>
      </c>
      <c r="C5197" s="13" t="str">
        <f>HYPERLINK("https://audio.iskcondesiretree.com/02_-_ISKCON_Swamis/ISKCON_Swamis_-_R_to_Y/His_Holiness_Radhanath_Swami/Lectures/02_-_Yatra/2017_Mayapur_Yatra/08_-_2017_Mayapur_Kartik_Yatra_-_Day-05_Vyasa_Puja_offering_by_Radha_Gopinath_Prabhu.mp3", "08_-_2017_Mayapur_Kartik_Yatra_-_Day-05_Vyasa_Puja_offering_by_Radha_Gopinath_Prabhu.mp3")</f>
        <v>08_-_2017_Mayapur_Kartik_Yatra_-_Day-05_Vyasa_Puja_offering_by_Radha_Gopinath_Prabhu.mp3</v>
      </c>
      <c r="D5197" s="11"/>
      <c r="E5197" s="11"/>
    </row>
    <row r="5198" spans="1:5">
      <c r="A5198" s="12" t="s">
        <v>12464</v>
      </c>
      <c r="B5198" s="12" t="s">
        <v>17698</v>
      </c>
      <c r="C5198" s="13" t="str">
        <f>HYPERLINK("https://audio.iskcondesiretree.com/02_-_ISKCON_Swamis/ISKCON_Swamis_-_R_to_Y/His_Holiness_Radhanath_Swami/Lectures/02_-_Yatra/2017_Mayapur_Yatra/08_-_2017_Mayapur_Kartik_Yatra_-_Day-05_Vyasa_Puja_offering_by_Radheshyam_Prabhu.mp3", "08_-_2017_Mayapur_Kartik_Yatra_-_Day-05_Vyasa_Puja_offering_by_Radheshyam_Prabhu.mp3")</f>
        <v>08_-_2017_Mayapur_Kartik_Yatra_-_Day-05_Vyasa_Puja_offering_by_Radheshyam_Prabhu.mp3</v>
      </c>
      <c r="D5198" s="11"/>
      <c r="E5198" s="11"/>
    </row>
    <row r="5199" spans="1:5">
      <c r="A5199" s="12" t="s">
        <v>12464</v>
      </c>
      <c r="B5199" s="12" t="s">
        <v>17699</v>
      </c>
      <c r="C5199" s="13" t="str">
        <f>HYPERLINK("https://audio.iskcondesiretree.com/02_-_ISKCON_Swamis/ISKCON_Swamis_-_R_to_Y/His_Holiness_Radhanath_Swami/Lectures/02_-_Yatra/2017_Mayapur_Yatra/08_-_2017_Mayapur_Kartik_Yatra_-_Day-05_Vyasa_Puja_offering_by_Sesha_Prabhu.mp3", "08_-_2017_Mayapur_Kartik_Yatra_-_Day-05_Vyasa_Puja_offering_by_Sesha_Prabhu.mp3")</f>
        <v>08_-_2017_Mayapur_Kartik_Yatra_-_Day-05_Vyasa_Puja_offering_by_Sesha_Prabhu.mp3</v>
      </c>
      <c r="D5199" s="11"/>
      <c r="E5199" s="11"/>
    </row>
    <row r="5200" spans="1:5">
      <c r="A5200" s="12" t="s">
        <v>12464</v>
      </c>
      <c r="B5200" s="12" t="s">
        <v>17700</v>
      </c>
      <c r="C5200" s="13" t="str">
        <f>HYPERLINK("https://audio.iskcondesiretree.com/02_-_ISKCON_Swamis/ISKCON_Swamis_-_R_to_Y/His_Holiness_Radhanath_Swami/Lectures/02_-_Yatra/2017_Mayapur_Yatra/08_-_2017_Mayapur_Kartik_Yatra_-_Day-05_Vyasa_Puja_offering_by_Shauri_Prabhu.mp3", "08_-_2017_Mayapur_Kartik_Yatra_-_Day-05_Vyasa_Puja_offering_by_Shauri_Prabhu.mp3")</f>
        <v>08_-_2017_Mayapur_Kartik_Yatra_-_Day-05_Vyasa_Puja_offering_by_Shauri_Prabhu.mp3</v>
      </c>
      <c r="D5200" s="11"/>
      <c r="E5200" s="11"/>
    </row>
    <row r="5201" spans="1:5">
      <c r="A5201" s="12" t="s">
        <v>12464</v>
      </c>
      <c r="B5201" s="12" t="s">
        <v>17701</v>
      </c>
      <c r="C5201" s="13" t="str">
        <f>HYPERLINK("https://audio.iskcondesiretree.com/02_-_ISKCON_Swamis/ISKCON_Swamis_-_R_to_Y/His_Holiness_Radhanath_Swami/Lectures/02_-_Yatra/2017_Mayapur_Yatra/08_-_2017_Mayapur_Kartik_Yatra_-_Day-05_Vyasa_Puja_offering_by_Sivarama_Swami.mp3", "08_-_2017_Mayapur_Kartik_Yatra_-_Day-05_Vyasa_Puja_offering_by_Sivarama_Swami.mp3")</f>
        <v>08_-_2017_Mayapur_Kartik_Yatra_-_Day-05_Vyasa_Puja_offering_by_Sivarama_Swami.mp3</v>
      </c>
      <c r="D5201" s="11"/>
      <c r="E5201" s="11"/>
    </row>
    <row r="5202" spans="1:5">
      <c r="A5202" s="12" t="s">
        <v>12464</v>
      </c>
      <c r="B5202" s="12" t="s">
        <v>17702</v>
      </c>
      <c r="C5202" s="13" t="str">
        <f>HYPERLINK("https://audio.iskcondesiretree.com/02_-_ISKCON_Swamis/ISKCON_Swamis_-_R_to_Y/His_Holiness_Radhanath_Swami/Lectures/02_-_Yatra/2017_Mayapur_Yatra/08_-_2017_Mayapur_Kartik_Yatra_-_Day-05_Vyasa_Puja_offering_by_Various_Devotees.mp3", "08_-_2017_Mayapur_Kartik_Yatra_-_Day-05_Vyasa_Puja_offering_by_Various_Devotees.mp3")</f>
        <v>08_-_2017_Mayapur_Kartik_Yatra_-_Day-05_Vyasa_Puja_offering_by_Various_Devotees.mp3</v>
      </c>
      <c r="D5202" s="11"/>
      <c r="E5202" s="11"/>
    </row>
    <row r="5203" spans="1:5">
      <c r="A5203" s="12" t="s">
        <v>12464</v>
      </c>
      <c r="B5203" s="12" t="s">
        <v>17703</v>
      </c>
      <c r="C5203" s="13" t="str">
        <f>HYPERLINK("https://audio.iskcondesiretree.com/02_-_ISKCON_Swamis/ISKCON_Swamis_-_R_to_Y/His_Holiness_Radhanath_Swami/Lectures/02_-_Yatra/2017_Mayapur_Yatra/09_-_2017_Mayapur_Kartik_Yatra_-_Day-06-Lord_Chaitanya_inaugrating_Sankirtan_Movement_-_Radhanath_Swami.mp3", "09_-_2017_Mayapur_Kartik_Yatra_-_Day-06-Lord_Chaitanya_inaugrating_Sankirtan_Movement_-_Radhanath_Swami.mp3")</f>
        <v>09_-_2017_Mayapur_Kartik_Yatra_-_Day-06-Lord_Chaitanya_inaugrating_Sankirtan_Movement_-_Radhanath_Swami.mp3</v>
      </c>
      <c r="D5203" s="11"/>
      <c r="E5203" s="11"/>
    </row>
    <row r="5204" spans="1:5">
      <c r="A5204" s="12" t="s">
        <v>12464</v>
      </c>
      <c r="B5204" s="12" t="s">
        <v>17704</v>
      </c>
      <c r="C5204" s="13" t="str">
        <f>HYPERLINK("https://audio.iskcondesiretree.com/02_-_ISKCON_Swamis/ISKCON_Swamis_-_R_to_Y/His_Holiness_Radhanath_Swami/Lectures/02_-_Yatra/2017_Mayapur_Yatra/10_-_2017_Mayapur_Kartik_Yatra_-_Day-07-Lord_Chaitanya%27s_meeting_Nityananda_Prabhu_-_Radhanath_Swami.mp3", "10_-_2017_Mayapur_Kartik_Yatra_-_Day-07-Lord_Chaitanya%27s_meeting_Nityananda_Prabhu_-_Radhanath_Swami.mp3")</f>
        <v>10_-_2017_Mayapur_Kartik_Yatra_-_Day-07-Lord_Chaitanya%27s_meeting_Nityananda_Prabhu_-_Radhanath_Swami.mp3</v>
      </c>
      <c r="D5204" s="11"/>
      <c r="E5204" s="11"/>
    </row>
    <row r="5205" spans="1:5">
      <c r="A5205" s="12" t="s">
        <v>12464</v>
      </c>
      <c r="B5205" s="12" t="s">
        <v>17705</v>
      </c>
      <c r="C5205" s="13" t="str">
        <f>HYPERLINK("https://audio.iskcondesiretree.com/02_-_ISKCON_Swamis/ISKCON_Swamis_-_R_to_Y/His_Holiness_Radhanath_Swami/Lectures/02_-_Yatra/2017_Mayapur_Yatra/11_-_2017_Mayapur_Kartik_Yatra_-_Day-08_Class_-_Radhanath_Swami.mp3", "11_-_2017_Mayapur_Kartik_Yatra_-_Day-08_Class_-_Radhanath_Swami.mp3")</f>
        <v>11_-_2017_Mayapur_Kartik_Yatra_-_Day-08_Class_-_Radhanath_Swami.mp3</v>
      </c>
      <c r="D5205" s="11"/>
      <c r="E5205" s="11"/>
    </row>
    <row r="5206" spans="1:5">
      <c r="A5206" s="12" t="s">
        <v>12464</v>
      </c>
      <c r="B5206" s="12" t="s">
        <v>17706</v>
      </c>
      <c r="C5206" s="13" t="str">
        <f>HYPERLINK("https://audio.iskcondesiretree.com/02_-_ISKCON_Swamis/ISKCON_Swamis_-_R_to_Y/His_Holiness_Radhanath_Swami/Lectures/02_-_Yatra/2017_Mayapur_Yatra/12_-_2017_Mayapur_Kartik_Yatra_-_Day-09_Class_-_Radhanath_Swami.mp3", "12_-_2017_Mayapur_Kartik_Yatra_-_Day-09_Class_-_Radhanath_Swami.mp3")</f>
        <v>12_-_2017_Mayapur_Kartik_Yatra_-_Day-09_Class_-_Radhanath_Swami.mp3</v>
      </c>
      <c r="D5206" s="11"/>
      <c r="E5206" s="11"/>
    </row>
    <row r="5207" spans="1:5">
      <c r="A5207" s="12" t="s">
        <v>12464</v>
      </c>
      <c r="B5207" s="12" t="s">
        <v>17707</v>
      </c>
      <c r="C5207" s="13" t="str">
        <f>HYPERLINK("https://audio.iskcondesiretree.com/02_-_ISKCON_Swamis/ISKCON_Swamis_-_R_to_Y/His_Holiness_Radhanath_Swami/Lectures/02_-_Yatra/2018_Jagannath_Puri_Yatra/2018_Jagannath_Puri_Kartik_Yatra_-_Day-01_-_2018-11-07_Radhanath_Swami.mp3", "2018_Jagannath_Puri_Kartik_Yatra_-_Day-01_-_2018-11-07_Radhanath_Swami.mp3")</f>
        <v>2018_Jagannath_Puri_Kartik_Yatra_-_Day-01_-_2018-11-07_Radhanath_Swami.mp3</v>
      </c>
      <c r="D5207" s="11"/>
      <c r="E5207" s="11"/>
    </row>
    <row r="5208" spans="1:5">
      <c r="A5208" s="12" t="s">
        <v>12464</v>
      </c>
      <c r="B5208" s="12" t="s">
        <v>17708</v>
      </c>
      <c r="C5208" s="13" t="str">
        <f>HYPERLINK("https://audio.iskcondesiretree.com/02_-_ISKCON_Swamis/ISKCON_Swamis_-_R_to_Y/His_Holiness_Radhanath_Swami/Lectures/02_-_Yatra/2018_Jagannath_Puri_Yatra/2018_Jagannath_Puri_Kartik_Yatra_-_Day-02_Part-01_-_2018-11-08_Radhanath_Swami.mp3", "2018_Jagannath_Puri_Kartik_Yatra_-_Day-02_Part-01_-_2018-11-08_Radhanath_Swami.mp3")</f>
        <v>2018_Jagannath_Puri_Kartik_Yatra_-_Day-02_Part-01_-_2018-11-08_Radhanath_Swami.mp3</v>
      </c>
      <c r="D5208" s="11"/>
      <c r="E5208" s="11"/>
    </row>
    <row r="5209" spans="1:5">
      <c r="A5209" s="12" t="s">
        <v>12464</v>
      </c>
      <c r="B5209" s="12" t="s">
        <v>17709</v>
      </c>
      <c r="C5209" s="13" t="str">
        <f>HYPERLINK("https://audio.iskcondesiretree.com/02_-_ISKCON_Swamis/ISKCON_Swamis_-_R_to_Y/His_Holiness_Radhanath_Swami/Lectures/02_-_Yatra/2018_Jagannath_Puri_Yatra/2018_Jagannath_Puri_Kartik_Yatra_-_Day-02_Part-02_-_2018-11-08_Radhanath_Swami.mp3", "2018_Jagannath_Puri_Kartik_Yatra_-_Day-02_Part-02_-_2018-11-08_Radhanath_Swami.mp3")</f>
        <v>2018_Jagannath_Puri_Kartik_Yatra_-_Day-02_Part-02_-_2018-11-08_Radhanath_Swami.mp3</v>
      </c>
      <c r="D5209" s="11"/>
      <c r="E5209" s="11"/>
    </row>
    <row r="5210" spans="1:5">
      <c r="A5210" s="12" t="s">
        <v>12464</v>
      </c>
      <c r="B5210" s="12" t="s">
        <v>17710</v>
      </c>
      <c r="C5210" s="13" t="str">
        <f>HYPERLINK("https://audio.iskcondesiretree.com/02_-_ISKCON_Swamis/ISKCON_Swamis_-_R_to_Y/His_Holiness_Radhanath_Swami/Lectures/02_-_Yatra/2018_Jagannath_Puri_Yatra/2018_Jagannath_Puri_Kartik_Yatra_-_Day-03_-_2018-11-09_Radhanath_Swami.mp3", "2018_Jagannath_Puri_Kartik_Yatra_-_Day-03_-_2018-11-09_Radhanath_Swami.mp3")</f>
        <v>2018_Jagannath_Puri_Kartik_Yatra_-_Day-03_-_2018-11-09_Radhanath_Swami.mp3</v>
      </c>
      <c r="D5210" s="11"/>
      <c r="E5210" s="11"/>
    </row>
    <row r="5211" spans="1:5">
      <c r="A5211" s="12" t="s">
        <v>12464</v>
      </c>
      <c r="B5211" s="12" t="s">
        <v>17711</v>
      </c>
      <c r="C5211" s="13" t="str">
        <f>HYPERLINK("https://audio.iskcondesiretree.com/02_-_ISKCON_Swamis/ISKCON_Swamis_-_R_to_Y/His_Holiness_Radhanath_Swami/Lectures/02_-_Yatra/2018_Jagannath_Puri_Yatra/2018_Jagannath_Puri_Kartik_Yatra_-_Day-04_-_2018-11-10_Radhanath_Swami.mp3", "2018_Jagannath_Puri_Kartik_Yatra_-_Day-04_-_2018-11-10_Radhanath_Swami.mp3")</f>
        <v>2018_Jagannath_Puri_Kartik_Yatra_-_Day-04_-_2018-11-10_Radhanath_Swami.mp3</v>
      </c>
      <c r="D5211" s="11"/>
      <c r="E5211" s="11"/>
    </row>
    <row r="5212" spans="1:5">
      <c r="A5212" s="12" t="s">
        <v>12464</v>
      </c>
      <c r="B5212" s="12" t="s">
        <v>17712</v>
      </c>
      <c r="C5212" s="13" t="str">
        <f>HYPERLINK("https://audio.iskcondesiretree.com/02_-_ISKCON_Swamis/ISKCON_Swamis_-_R_to_Y/His_Holiness_Radhanath_Swami/Lectures/02_-_Yatra/2018_Jagannath_Puri_Yatra/2018_Jagannath_Puri_Kartik_Yatra_-_Day-05_-_2018-11-11_Radhanath_Swami.mp3", "2018_Jagannath_Puri_Kartik_Yatra_-_Day-05_-_2018-11-11_Radhanath_Swami.mp3")</f>
        <v>2018_Jagannath_Puri_Kartik_Yatra_-_Day-05_-_2018-11-11_Radhanath_Swami.mp3</v>
      </c>
      <c r="D5212" s="11"/>
      <c r="E5212" s="11"/>
    </row>
    <row r="5213" spans="1:5">
      <c r="A5213" s="12" t="s">
        <v>12464</v>
      </c>
      <c r="B5213" s="12" t="s">
        <v>17713</v>
      </c>
      <c r="C5213" s="13" t="str">
        <f>HYPERLINK("https://audio.iskcondesiretree.com/02_-_ISKCON_Swamis/ISKCON_Swamis_-_R_to_Y/His_Holiness_Radhanath_Swami/Lectures/02_-_Yatra/2018_Jagannath_Puri_Yatra/2018_Jagannath_Puri_Kartik_Yatra_-_Day-06_-_2018-11-12_Radhanath_Swami.mp3", "2018_Jagannath_Puri_Kartik_Yatra_-_Day-06_-_2018-11-12_Radhanath_Swami.mp3")</f>
        <v>2018_Jagannath_Puri_Kartik_Yatra_-_Day-06_-_2018-11-12_Radhanath_Swami.mp3</v>
      </c>
      <c r="D5213" s="11"/>
      <c r="E5213" s="11"/>
    </row>
    <row r="5214" spans="1:5">
      <c r="A5214" s="12" t="s">
        <v>12464</v>
      </c>
      <c r="B5214" s="12" t="s">
        <v>17714</v>
      </c>
      <c r="C5214" s="13" t="str">
        <f>HYPERLINK("https://audio.iskcondesiretree.com/02_-_ISKCON_Swamis/ISKCON_Swamis_-_R_to_Y/His_Holiness_Radhanath_Swami/Lectures/02_-_Yatra/2018_Jagannath_Puri_Yatra/2018_Jagannath_Puri_Kartik_Yatra_-_Day-07_-_2018-11-13_Radhanath_Swami.mp3", "2018_Jagannath_Puri_Kartik_Yatra_-_Day-07_-_2018-11-13_Radhanath_Swami.mp3")</f>
        <v>2018_Jagannath_Puri_Kartik_Yatra_-_Day-07_-_2018-11-13_Radhanath_Swami.mp3</v>
      </c>
      <c r="D5214" s="11"/>
      <c r="E5214" s="11"/>
    </row>
    <row r="5215" spans="1:5">
      <c r="A5215" s="12" t="s">
        <v>12464</v>
      </c>
      <c r="B5215" s="12" t="s">
        <v>17715</v>
      </c>
      <c r="C5215" s="13" t="str">
        <f>HYPERLINK("https://audio.iskcondesiretree.com/02_-_ISKCON_Swamis/ISKCON_Swamis_-_R_to_Y/His_Holiness_Radhanath_Swami/Lectures/02_-_Yatra/2018_Jagannath_Puri_Yatra/2018_Jagannath_Puri_Kartik_Yatra_-_Day-08_-_2018-11-14_Radhanath_Swami.mp3", "2018_Jagannath_Puri_Kartik_Yatra_-_Day-08_-_2018-11-14_Radhanath_Swami.mp3")</f>
        <v>2018_Jagannath_Puri_Kartik_Yatra_-_Day-08_-_2018-11-14_Radhanath_Swami.mp3</v>
      </c>
      <c r="D5215" s="11"/>
      <c r="E5215" s="11"/>
    </row>
    <row r="5216" spans="1:5">
      <c r="A5216" s="12" t="s">
        <v>12464</v>
      </c>
      <c r="B5216" s="12" t="s">
        <v>17716</v>
      </c>
      <c r="C5216" s="13" t="str">
        <f>HYPERLINK("https://audio.iskcondesiretree.com/02_-_ISKCON_Swamis/ISKCON_Swamis_-_R_to_Y/His_Holiness_Radhanath_Swami/Lectures/02_-_Yatra/2019_Vrindavan_Yatra/01_-_2019_Vrindavan_Kartik_Yatra_-_Spirit_of_Gratitude_Day-01_-_2019-10-27_Radhanath_Swami.mp3", "01_-_2019_Vrindavan_Kartik_Yatra_-_Spirit_of_Gratitude_Day-01_-_2019-10-27_Radhanath_Swami.mp3")</f>
        <v>01_-_2019_Vrindavan_Kartik_Yatra_-_Spirit_of_Gratitude_Day-01_-_2019-10-27_Radhanath_Swami.mp3</v>
      </c>
      <c r="D5216" s="11"/>
      <c r="E5216" s="11"/>
    </row>
    <row r="5217" spans="1:5">
      <c r="A5217" s="12" t="s">
        <v>12464</v>
      </c>
      <c r="B5217" s="12" t="s">
        <v>17717</v>
      </c>
      <c r="C5217" s="13" t="str">
        <f>HYPERLINK("https://audio.iskcondesiretree.com/02_-_ISKCON_Swamis/ISKCON_Swamis_-_R_to_Y/His_Holiness_Radhanath_Swami/Lectures/02_-_Yatra/2019_Vrindavan_Yatra/02_-_2019_Vrindavan_Kartik_Yatra_-_Damodar_Lila_Day-02_-_2019-10-28_Radhanath_Swami.mp3", "02_-_2019_Vrindavan_Kartik_Yatra_-_Damodar_Lila_Day-02_-_2019-10-28_Radhanath_Swami.mp3")</f>
        <v>02_-_2019_Vrindavan_Kartik_Yatra_-_Damodar_Lila_Day-02_-_2019-10-28_Radhanath_Swami.mp3</v>
      </c>
      <c r="D5217" s="11"/>
      <c r="E5217" s="11"/>
    </row>
    <row r="5218" spans="1:5">
      <c r="A5218" s="12" t="s">
        <v>12464</v>
      </c>
      <c r="B5218" s="12" t="s">
        <v>17718</v>
      </c>
      <c r="C5218" s="13" t="str">
        <f>HYPERLINK("https://audio.iskcondesiretree.com/02_-_ISKCON_Swamis/ISKCON_Swamis_-_R_to_Y/His_Holiness_Radhanath_Swami/Lectures/02_-_Yatra/2019_Vrindavan_Yatra/03_-_2019_Vrindavan_Kartik_Yatra_-_Govardhan_Lila_Day-03_-_2019-10-29_Radhanath_Swami.mp3", "03_-_2019_Vrindavan_Kartik_Yatra_-_Govardhan_Lila_Day-03_-_2019-10-29_Radhanath_Swami.mp3")</f>
        <v>03_-_2019_Vrindavan_Kartik_Yatra_-_Govardhan_Lila_Day-03_-_2019-10-29_Radhanath_Swami.mp3</v>
      </c>
      <c r="D5218" s="11"/>
      <c r="E5218" s="11"/>
    </row>
    <row r="5219" spans="1:5">
      <c r="A5219" s="12" t="s">
        <v>12464</v>
      </c>
      <c r="B5219" s="12" t="s">
        <v>17719</v>
      </c>
      <c r="C5219" s="13" t="str">
        <f>HYPERLINK("https://audio.iskcondesiretree.com/02_-_ISKCON_Swamis/ISKCON_Swamis_-_R_to_Y/His_Holiness_Radhanath_Swami/Lectures/02_-_Yatra/2019_Vrindavan_Yatra/04_-_2019_Vrindavan_Kartik_Yatra_-_Brahma_Vimohana_Lila_Day-04_-_2019-10-30_Radhanath_Swami.mp3", "04_-_2019_Vrindavan_Kartik_Yatra_-_Brahma_Vimohana_Lila_Day-04_-_2019-10-30_Radhanath_Swami.mp3")</f>
        <v>04_-_2019_Vrindavan_Kartik_Yatra_-_Brahma_Vimohana_Lila_Day-04_-_2019-10-30_Radhanath_Swami.mp3</v>
      </c>
      <c r="D5219" s="11"/>
      <c r="E5219" s="11"/>
    </row>
    <row r="5220" spans="1:5">
      <c r="A5220" s="12" t="s">
        <v>12464</v>
      </c>
      <c r="B5220" s="12" t="e">
        <v>#VALUE!</v>
      </c>
      <c r="C5220" s="13" t="e">
        <f>HYPERLINK("https://audio.iskcondesiretree.com/02_-_ISKCON_Swamis/ISKCON_Swamis_-_R_to_Y/His_Holiness_Radhanath_Swami/Lectures/02_-_Yatra/2019_Vrindavan_Yatra/05_-_2019_Vrindavan_Kartik_Yatra_-_Srila_Prabhupada_Disappearance_Lecture_Day-05_-_2019-10-31_Radhanath_Swam"&amp;"i.mp3", "05_-_2019_Vrindavan_Kartik_Yatra_-_Srila_Prabhupada_Disappearance_Lecture_Day-05_-_2019-10-31_Radhanath_Swami.mp3")</f>
        <v>#VALUE!</v>
      </c>
      <c r="D5220" s="11"/>
      <c r="E5220" s="11"/>
    </row>
    <row r="5221" spans="1:5">
      <c r="A5221" s="12" t="s">
        <v>12464</v>
      </c>
      <c r="B5221" s="12" t="s">
        <v>17720</v>
      </c>
      <c r="C5221" s="13" t="str">
        <f>HYPERLINK("https://audio.iskcondesiretree.com/02_-_ISKCON_Swamis/ISKCON_Swamis_-_R_to_Y/His_Holiness_Radhanath_Swami/Lectures/02_-_Yatra/2019_Vrindavan_Yatra/06_-_2019_Vrindavan_Kartik_Yatra_-_Subduing_Kaliya_Day-06_-_2019-11-01_Radhanath_Swami.mp3", "06_-_2019_Vrindavan_Kartik_Yatra_-_Subduing_Kaliya_Day-06_-_2019-11-01_Radhanath_Swami.mp3")</f>
        <v>06_-_2019_Vrindavan_Kartik_Yatra_-_Subduing_Kaliya_Day-06_-_2019-11-01_Radhanath_Swami.mp3</v>
      </c>
      <c r="D5221" s="11"/>
      <c r="E5221" s="11"/>
    </row>
    <row r="5222" spans="1:5">
      <c r="A5222" s="12" t="s">
        <v>12464</v>
      </c>
      <c r="B5222" s="12" t="e">
        <v>#VALUE!</v>
      </c>
      <c r="C5222" s="13" t="e">
        <f>HYPERLINK("https://audio.iskcondesiretree.com/02_-_ISKCON_Swamis/ISKCON_Swamis_-_R_to_Y/His_Holiness_Radhanath_Swami/Lectures/02_-_Yatra/2019_Vrindavan_Yatra/07_-_2019_Vrindavan_Kartik_Yatra_-_Understanding_Gopi%27s_Love_for_Krishna_Day-07_-_2019-11-02_Radhanath_Swa"&amp;"mi.mp3", "07_-_2019_Vrindavan_Kartik_Yatra_-_Understanding_Gopi%27s_Love_for_Krishna_Day-07_-_2019-11-02_Radhanath_Swami.mp3")</f>
        <v>#VALUE!</v>
      </c>
      <c r="D5222" s="11"/>
      <c r="E5222" s="11"/>
    </row>
    <row r="5223" spans="1:5">
      <c r="A5223" s="12" t="s">
        <v>12464</v>
      </c>
      <c r="B5223" s="12" t="e">
        <v>#VALUE!</v>
      </c>
      <c r="C5223" s="13" t="e">
        <f>HYPERLINK("https://audio.iskcondesiretree.com/02_-_ISKCON_Swamis/ISKCON_Swamis_-_R_to_Y/His_Holiness_Radhanath_Swami/Lectures/02_-_Yatra/2019_Vrindavan_Yatra/08_-_2019_Vrindavan_Kartik_Yatra_-_Understanding_Gopi%27s_Love_for_Krishna_Day-08_-_2019-11-03_Radhanath_Swa"&amp;"mi.mp3", "08_-_2019_Vrindavan_Kartik_Yatra_-_Understanding_Gopi%27s_Love_for_Krishna_Day-08_-_2019-11-03_Radhanath_Swami.mp3")</f>
        <v>#VALUE!</v>
      </c>
      <c r="D5223" s="11"/>
      <c r="E5223" s="11"/>
    </row>
    <row r="5224" spans="1:5">
      <c r="A5224" s="12" t="s">
        <v>12464</v>
      </c>
      <c r="B5224" s="12" t="s">
        <v>17721</v>
      </c>
      <c r="C5224" s="13" t="str">
        <f>HYPERLINK("https://audio.iskcondesiretree.com/02_-_ISKCON_Swamis/ISKCON_Swamis_-_R_to_Y/His_Holiness_Radhanath_Swami/Lectures/02_-_Yatra/2023_Jagannath_Puri_Yatra/2023_Jagannath_Puri_Kartik_Yatra_-_Day-01_-_2023-11_Radhanath_Swami.mp3", "2023_Jagannath_Puri_Kartik_Yatra_-_Day-01_-_2023-11_Radhanath_Swami.mp3")</f>
        <v>2023_Jagannath_Puri_Kartik_Yatra_-_Day-01_-_2023-11_Radhanath_Swami.mp3</v>
      </c>
      <c r="D5224" s="11"/>
      <c r="E5224" s="11"/>
    </row>
    <row r="5225" spans="1:5">
      <c r="A5225" s="12" t="s">
        <v>12464</v>
      </c>
      <c r="B5225" s="12" t="s">
        <v>17722</v>
      </c>
      <c r="C5225" s="13" t="str">
        <f>HYPERLINK("https://audio.iskcondesiretree.com/02_-_ISKCON_Swamis/ISKCON_Swamis_-_R_to_Y/His_Holiness_Radhanath_Swami/Lectures/02_-_Yatra/2023_Jagannath_Puri_Yatra/2023_Jagannath_Puri_Kartik_Yatra_-_Day-02_-_2023-11_Radhanath_Swami.mp3", "2023_Jagannath_Puri_Kartik_Yatra_-_Day-02_-_2023-11_Radhanath_Swami.mp3")</f>
        <v>2023_Jagannath_Puri_Kartik_Yatra_-_Day-02_-_2023-11_Radhanath_Swami.mp3</v>
      </c>
      <c r="D5225" s="11"/>
      <c r="E5225" s="11"/>
    </row>
    <row r="5226" spans="1:5">
      <c r="A5226" s="12" t="s">
        <v>12464</v>
      </c>
      <c r="B5226" s="12" t="s">
        <v>17723</v>
      </c>
      <c r="C5226" s="13" t="str">
        <f>HYPERLINK("https://audio.iskcondesiretree.com/02_-_ISKCON_Swamis/ISKCON_Swamis_-_R_to_Y/His_Holiness_Radhanath_Swami/Lectures/02_-_Yatra/2023_Jagannath_Puri_Yatra/2023_Jagannath_Puri_Kartik_Yatra_-_Day-03_-_2023-11_Radhanath_Swami.mp3", "2023_Jagannath_Puri_Kartik_Yatra_-_Day-03_-_2023-11_Radhanath_Swami.mp3")</f>
        <v>2023_Jagannath_Puri_Kartik_Yatra_-_Day-03_-_2023-11_Radhanath_Swami.mp3</v>
      </c>
      <c r="D5226" s="11"/>
      <c r="E5226" s="11"/>
    </row>
    <row r="5227" spans="1:5">
      <c r="A5227" s="12" t="s">
        <v>12464</v>
      </c>
      <c r="B5227" s="12" t="s">
        <v>17724</v>
      </c>
      <c r="C5227" s="13" t="str">
        <f>HYPERLINK("https://audio.iskcondesiretree.com/02_-_ISKCON_Swamis/ISKCON_Swamis_-_R_to_Y/His_Holiness_Radhanath_Swami/Lectures/02_-_Yatra/2023_Jagannath_Puri_Yatra/2023_Jagannath_Puri_Kartik_Yatra_-_Day-05_-_2023-11_Radhanath_Swami.mp3", "2023_Jagannath_Puri_Kartik_Yatra_-_Day-05_-_2023-11_Radhanath_Swami.mp3")</f>
        <v>2023_Jagannath_Puri_Kartik_Yatra_-_Day-05_-_2023-11_Radhanath_Swami.mp3</v>
      </c>
      <c r="D5227" s="11"/>
      <c r="E5227" s="11"/>
    </row>
    <row r="5228" spans="1:5">
      <c r="A5228" s="12" t="s">
        <v>12464</v>
      </c>
      <c r="B5228" s="12" t="s">
        <v>17725</v>
      </c>
      <c r="C5228" s="13" t="str">
        <f>HYPERLINK("https://audio.iskcondesiretree.com/02_-_ISKCON_Swamis/ISKCON_Swamis_-_R_to_Y/His_Holiness_Radhanath_Swami/Lectures/02_-_Yatra/2023_Jagannath_Puri_Yatra/2023_Jagannath_Puri_Kartik_Yatra_-_Day-06_-_2023-11_Radhanath_Swami.mp3", "2023_Jagannath_Puri_Kartik_Yatra_-_Day-06_-_2023-11_Radhanath_Swami.mp3")</f>
        <v>2023_Jagannath_Puri_Kartik_Yatra_-_Day-06_-_2023-11_Radhanath_Swami.mp3</v>
      </c>
      <c r="D5228" s="11"/>
      <c r="E5228" s="11"/>
    </row>
    <row r="5229" spans="1:5">
      <c r="A5229" s="12" t="s">
        <v>12464</v>
      </c>
      <c r="B5229" s="12" t="s">
        <v>17726</v>
      </c>
      <c r="C5229" s="13" t="str">
        <f>HYPERLINK("https://audio.iskcondesiretree.com/02_-_ISKCON_Swamis/ISKCON_Swamis_-_R_to_Y/His_Holiness_Radhanath_Swami/Lectures/02_-_Yatra/2024_Mayapur_Dham_Yatra/2024_Mayapur_Dham_Kartik_Yatra_-_Day-01_-_2024-10_Radhanath_Swami.mp3", "2024_Mayapur_Dham_Kartik_Yatra_-_Day-01_-_2024-10_Radhanath_Swami.mp3")</f>
        <v>2024_Mayapur_Dham_Kartik_Yatra_-_Day-01_-_2024-10_Radhanath_Swami.mp3</v>
      </c>
      <c r="D5229" s="11"/>
      <c r="E5229" s="11"/>
    </row>
    <row r="5230" spans="1:5">
      <c r="A5230" s="12" t="s">
        <v>12464</v>
      </c>
      <c r="B5230" s="12" t="s">
        <v>17727</v>
      </c>
      <c r="C5230" s="13" t="str">
        <f>HYPERLINK("https://audio.iskcondesiretree.com/02_-_ISKCON_Swamis/ISKCON_Swamis_-_R_to_Y/His_Holiness_Radhanath_Swami/Lectures/02_-_Yatra/2024_Mayapur_Dham_Yatra/2024_Mayapur_Dham_Kartik_Yatra_-_Day-02_-_2024-10_Radhanath_Swami.mp3", "2024_Mayapur_Dham_Kartik_Yatra_-_Day-02_-_2024-10_Radhanath_Swami.mp3")</f>
        <v>2024_Mayapur_Dham_Kartik_Yatra_-_Day-02_-_2024-10_Radhanath_Swami.mp3</v>
      </c>
      <c r="D5230" s="11"/>
      <c r="E5230" s="11"/>
    </row>
    <row r="5231" spans="1:5">
      <c r="A5231" s="12" t="s">
        <v>12464</v>
      </c>
      <c r="B5231" s="12" t="s">
        <v>17728</v>
      </c>
      <c r="C5231" s="13" t="str">
        <f>HYPERLINK("https://audio.iskcondesiretree.com/02_-_ISKCON_Swamis/ISKCON_Swamis_-_R_to_Y/His_Holiness_Radhanath_Swami/Lectures/02_-_Yatra/2024_Mayapur_Dham_Yatra/2024_Mayapur_Dham_Kartik_Yatra_-_Day-03_-_2024-10_Radhanath_Swami.mp3", "2024_Mayapur_Dham_Kartik_Yatra_-_Day-03_-_2024-10_Radhanath_Swami.mp3")</f>
        <v>2024_Mayapur_Dham_Kartik_Yatra_-_Day-03_-_2024-10_Radhanath_Swami.mp3</v>
      </c>
      <c r="D5231" s="11"/>
      <c r="E5231" s="11"/>
    </row>
    <row r="5232" spans="1:5">
      <c r="A5232" s="12" t="s">
        <v>12464</v>
      </c>
      <c r="B5232" s="12" t="s">
        <v>17729</v>
      </c>
      <c r="C5232" s="13" t="str">
        <f>HYPERLINK("https://audio.iskcondesiretree.com/02_-_ISKCON_Swamis/ISKCON_Swamis_-_R_to_Y/His_Holiness_Radhanath_Swami/Lectures/02_-_Yatra/2024_Mayapur_Dham_Yatra/2024_Mayapur_Dham_Kartik_Yatra_-_Day-04_-_2024-10_Radhanath_Swami.mp3", "2024_Mayapur_Dham_Kartik_Yatra_-_Day-04_-_2024-10_Radhanath_Swami.mp3")</f>
        <v>2024_Mayapur_Dham_Kartik_Yatra_-_Day-04_-_2024-10_Radhanath_Swami.mp3</v>
      </c>
      <c r="D5232" s="11"/>
      <c r="E5232" s="11"/>
    </row>
    <row r="5233" spans="1:5">
      <c r="A5233" s="12" t="s">
        <v>12464</v>
      </c>
      <c r="B5233" s="12" t="s">
        <v>17730</v>
      </c>
      <c r="C5233" s="13" t="str">
        <f>HYPERLINK("https://audio.iskcondesiretree.com/02_-_ISKCON_Swamis/ISKCON_Swamis_-_R_to_Y/His_Holiness_Radhanath_Swami/Lectures/02_-_Yatra/2024_Mayapur_Dham_Yatra/2024_Mayapur_Dham_Kartik_Yatra_-_Day-05_-_2024-10_Radhanath_Swami.mp3", "2024_Mayapur_Dham_Kartik_Yatra_-_Day-05_-_2024-10_Radhanath_Swami.mp3")</f>
        <v>2024_Mayapur_Dham_Kartik_Yatra_-_Day-05_-_2024-10_Radhanath_Swami.mp3</v>
      </c>
      <c r="D5233" s="11"/>
      <c r="E5233" s="11"/>
    </row>
    <row r="5234" spans="1:5">
      <c r="A5234" s="12" t="s">
        <v>12464</v>
      </c>
      <c r="B5234" s="12" t="s">
        <v>17731</v>
      </c>
      <c r="C5234" s="13" t="str">
        <f>HYPERLINK("https://audio.iskcondesiretree.com/02_-_ISKCON_Swamis/ISKCON_Swamis_-_R_to_Y/His_Holiness_Radhanath_Swami/Lectures/02_-_Yatra/2024_Mayapur_Dham_Yatra/2024_Mayapur_Dham_Kartik_Yatra_-_Day-06_-_2024-10_Radhanath_Swami.mp3", "2024_Mayapur_Dham_Kartik_Yatra_-_Day-06_-_2024-10_Radhanath_Swami.mp3")</f>
        <v>2024_Mayapur_Dham_Kartik_Yatra_-_Day-06_-_2024-10_Radhanath_Swami.mp3</v>
      </c>
      <c r="D5234" s="11"/>
      <c r="E5234" s="11"/>
    </row>
    <row r="5235" spans="1:5">
      <c r="A5235" s="12" t="s">
        <v>12464</v>
      </c>
      <c r="B5235" s="12" t="s">
        <v>17732</v>
      </c>
      <c r="C5235" s="13" t="str">
        <f>HYPERLINK("https://audio.iskcondesiretree.com/02_-_ISKCON_Swamis/ISKCON_Swamis_-_R_to_Y/His_Holiness_Radhanath_Swami/Lectures/02_-_Yatra/2024_Mayapur_Dham_Yatra/2024_Mayapur_Dham_Kartik_Yatra_-_Srila_Prabhupada_Disappearance_Day_-_2024-11_Senior_Devotees.mp3", "2024_Mayapur_Dham_Kartik_Yatra_-_Srila_Prabhupada_Disappearance_Day_-_2024-11_Senior_Devotees.mp3")</f>
        <v>2024_Mayapur_Dham_Kartik_Yatra_-_Srila_Prabhupada_Disappearance_Day_-_2024-11_Senior_Devotees.mp3</v>
      </c>
      <c r="D5235" s="11"/>
      <c r="E5235" s="11"/>
    </row>
    <row r="5236" spans="1:5">
      <c r="A5236" s="12" t="s">
        <v>12464</v>
      </c>
      <c r="B5236" s="12" t="s">
        <v>17733</v>
      </c>
      <c r="C5236" s="13" t="str">
        <f>HYPERLINK("https://audio.iskcondesiretree.com/02_-_ISKCON_Swamis/ISKCON_Swamis_-_R_to_Y/His_Holiness_Radhanath_Swami/Lectures/02_-_Yatra/Dwaraka/Dwaraka_-_Beyt_Dwarka_-_Radhanath_Swami.mp3", "Dwaraka_-_Beyt_Dwarka_-_Radhanath_Swami.mp3")</f>
        <v>Dwaraka_-_Beyt_Dwarka_-_Radhanath_Swami.mp3</v>
      </c>
      <c r="D5236" s="11"/>
      <c r="E5236" s="11"/>
    </row>
    <row r="5237" spans="1:5">
      <c r="A5237" s="12" t="s">
        <v>12464</v>
      </c>
      <c r="B5237" s="12" t="s">
        <v>17734</v>
      </c>
      <c r="C5237" s="13" t="str">
        <f>HYPERLINK("https://audio.iskcondesiretree.com/02_-_ISKCON_Swamis/ISKCON_Swamis_-_R_to_Y/His_Holiness_Radhanath_Swami/Lectures/02_-_Yatra/Dwaraka/Dwaraka_-_Geeta_Mandir_-_Radhanath_Swami.mp3", "Dwaraka_-_Geeta_Mandir_-_Radhanath_Swami.mp3")</f>
        <v>Dwaraka_-_Geeta_Mandir_-_Radhanath_Swami.mp3</v>
      </c>
      <c r="D5237" s="11"/>
      <c r="E5237" s="11"/>
    </row>
    <row r="5238" spans="1:5">
      <c r="A5238" s="12" t="s">
        <v>12464</v>
      </c>
      <c r="B5238" s="12" t="s">
        <v>17735</v>
      </c>
      <c r="C5238" s="13" t="str">
        <f>HYPERLINK("https://audio.iskcondesiretree.com/02_-_ISKCON_Swamis/ISKCON_Swamis_-_R_to_Y/His_Holiness_Radhanath_Swami/Lectures/02_-_Yatra/Dwaraka/Dwaraka_-_Gopi_Talao_Ghat_-_Radhanath_Swami.mp3", "Dwaraka_-_Gopi_Talao_Ghat_-_Radhanath_Swami.mp3")</f>
        <v>Dwaraka_-_Gopi_Talao_Ghat_-_Radhanath_Swami.mp3</v>
      </c>
      <c r="D5238" s="11"/>
      <c r="E5238" s="11"/>
    </row>
    <row r="5239" spans="1:5">
      <c r="A5239" s="12" t="s">
        <v>12464</v>
      </c>
      <c r="B5239" s="12" t="s">
        <v>17736</v>
      </c>
      <c r="C5239" s="13" t="str">
        <f>HYPERLINK("https://audio.iskcondesiretree.com/02_-_ISKCON_Swamis/ISKCON_Swamis_-_R_to_Y/His_Holiness_Radhanath_Swami/Lectures/02_-_Yatra/Dwaraka/Dwaraka_-_Nageshwar_Madhav_Temple_-_Radhanath_Swami.mp3", "Dwaraka_-_Nageshwar_Madhav_Temple_-_Radhanath_Swami.mp3")</f>
        <v>Dwaraka_-_Nageshwar_Madhav_Temple_-_Radhanath_Swami.mp3</v>
      </c>
      <c r="D5239" s="11"/>
      <c r="E5239" s="11"/>
    </row>
    <row r="5240" spans="1:5">
      <c r="A5240" s="12" t="s">
        <v>12464</v>
      </c>
      <c r="B5240" s="12" t="s">
        <v>17737</v>
      </c>
      <c r="C5240" s="13" t="str">
        <f>HYPERLINK("https://audio.iskcondesiretree.com/02_-_ISKCON_Swamis/ISKCON_Swamis_-_R_to_Y/His_Holiness_Radhanath_Swami/Lectures/02_-_Yatra/Dwaraka/Dwaraka_-_Ranchod_Rai_Temple_-_Radhanath_Swami.mp3", "Dwaraka_-_Ranchod_Rai_Temple_-_Radhanath_Swami.mp3")</f>
        <v>Dwaraka_-_Ranchod_Rai_Temple_-_Radhanath_Swami.mp3</v>
      </c>
      <c r="D5240" s="11"/>
      <c r="E5240" s="11"/>
    </row>
    <row r="5241" spans="1:5">
      <c r="A5241" s="12" t="s">
        <v>12464</v>
      </c>
      <c r="B5241" s="12" t="s">
        <v>17738</v>
      </c>
      <c r="C5241" s="13" t="str">
        <f>HYPERLINK("https://audio.iskcondesiretree.com/02_-_ISKCON_Swamis/ISKCON_Swamis_-_R_to_Y/His_Holiness_Radhanath_Swami/Lectures/02_-_Yatra/Dwaraka/Dwaraka_-_Somnath_mandir_-_Radhanath_Swami.mp3", "Dwaraka_-_Somnath_mandir_-_Radhanath_Swami.mp3")</f>
        <v>Dwaraka_-_Somnath_mandir_-_Radhanath_Swami.mp3</v>
      </c>
      <c r="D5241" s="11"/>
      <c r="E5241" s="11"/>
    </row>
    <row r="5242" spans="1:5">
      <c r="A5242" s="12" t="s">
        <v>12464</v>
      </c>
      <c r="B5242" s="12" t="s">
        <v>17739</v>
      </c>
      <c r="C5242" s="13" t="str">
        <f>HYPERLINK("https://audio.iskcondesiretree.com/02_-_ISKCON_Swamis/ISKCON_Swamis_-_R_to_Y/His_Holiness_Radhanath_Swami/Lectures/02_-_Yatra/Dwaraka/Dwaraka_-_Sudama_Kutir_-_Radhanath_Swami.mp3", "Dwaraka_-_Sudama_Kutir_-_Radhanath_Swami.mp3")</f>
        <v>Dwaraka_-_Sudama_Kutir_-_Radhanath_Swami.mp3</v>
      </c>
      <c r="D5242" s="11"/>
      <c r="E5242" s="11"/>
    </row>
    <row r="5243" spans="1:5">
      <c r="A5243" s="12" t="s">
        <v>12464</v>
      </c>
      <c r="B5243" s="12" t="s">
        <v>17740</v>
      </c>
      <c r="C5243" s="13" t="str">
        <f>HYPERLINK("https://audio.iskcondesiretree.com/02_-_ISKCON_Swamis/ISKCON_Swamis_-_R_to_Y/His_Holiness_Radhanath_Swami/Lectures/02_-_Yatra/Dwaraka/Dwaraka_-_Sudama_Temple_-_Radhanath_Swami.mp3", "Dwaraka_-_Sudama_Temple_-_Radhanath_Swami.mp3")</f>
        <v>Dwaraka_-_Sudama_Temple_-_Radhanath_Swami.mp3</v>
      </c>
      <c r="D5243" s="11"/>
      <c r="E5243" s="11"/>
    </row>
    <row r="5244" spans="1:5">
      <c r="A5244" s="12" t="s">
        <v>12464</v>
      </c>
      <c r="B5244" s="12" t="s">
        <v>17741</v>
      </c>
      <c r="C5244" s="13" t="str">
        <f>HYPERLINK("https://audio.iskcondesiretree.com/02_-_ISKCON_Swamis/ISKCON_Swamis_-_R_to_Y/His_Holiness_Radhanath_Swami/Lectures/02_-_Yatra/Jaganath_Puri_yatra/1994/Jagannath_Puri_Yatra_1994_01_-_Jagannath_Temple_simha_dwara_-_Radhanath_Swami.mp3", "Jagannath_Puri_Yatra_1994_01_-_Jagannath_Temple_simha_dwara_-_Radhanath_Swami.mp3")</f>
        <v>Jagannath_Puri_Yatra_1994_01_-_Jagannath_Temple_simha_dwara_-_Radhanath_Swami.mp3</v>
      </c>
      <c r="D5244" s="11"/>
      <c r="E5244" s="11"/>
    </row>
    <row r="5245" spans="1:5">
      <c r="A5245" s="12" t="s">
        <v>12464</v>
      </c>
      <c r="B5245" s="12" t="s">
        <v>17742</v>
      </c>
      <c r="C5245" s="13" t="str">
        <f>HYPERLINK("https://audio.iskcondesiretree.com/02_-_ISKCON_Swamis/ISKCON_Swamis_-_R_to_Y/His_Holiness_Radhanath_Swami/Lectures/02_-_Yatra/Jaganath_Puri_yatra/1994/Jagannath_Puri_Yatra_1994_02_-_Jagannath_Temple_Southern_Gate_-_Radhanath_Swami.mp3", "Jagannath_Puri_Yatra_1994_02_-_Jagannath_Temple_Southern_Gate_-_Radhanath_Swami.mp3")</f>
        <v>Jagannath_Puri_Yatra_1994_02_-_Jagannath_Temple_Southern_Gate_-_Radhanath_Swami.mp3</v>
      </c>
      <c r="D5245" s="11"/>
      <c r="E5245" s="11"/>
    </row>
    <row r="5246" spans="1:5">
      <c r="A5246" s="12" t="s">
        <v>12464</v>
      </c>
      <c r="B5246" s="12" t="s">
        <v>17743</v>
      </c>
      <c r="C5246" s="13" t="str">
        <f>HYPERLINK("https://audio.iskcondesiretree.com/02_-_ISKCON_Swamis/ISKCON_Swamis_-_R_to_Y/His_Holiness_Radhanath_Swami/Lectures/02_-_Yatra/Jaganath_Puri_yatra/1994/Jagannath_Puri_Yatra_1994_03_-_Jagannath_Temple_Nouthern_Gate_-_Radhanath_Swami.mp3", "Jagannath_Puri_Yatra_1994_03_-_Jagannath_Temple_Nouthern_Gate_-_Radhanath_Swami.mp3")</f>
        <v>Jagannath_Puri_Yatra_1994_03_-_Jagannath_Temple_Nouthern_Gate_-_Radhanath_Swami.mp3</v>
      </c>
      <c r="D5246" s="11"/>
      <c r="E5246" s="11"/>
    </row>
    <row r="5247" spans="1:5">
      <c r="A5247" s="12" t="s">
        <v>12464</v>
      </c>
      <c r="B5247" s="12" t="s">
        <v>17744</v>
      </c>
      <c r="C5247" s="13" t="str">
        <f>HYPERLINK("https://audio.iskcondesiretree.com/02_-_ISKCON_Swamis/ISKCON_Swamis_-_R_to_Y/His_Holiness_Radhanath_Swami/Lectures/02_-_Yatra/Jaganath_Puri_yatra/1994/Jagannath_Puri_Yatra_1994_04_-_Sarvabhauma_Bhattacharya%27s_House_-_Radhanath_Swami.mp3", "Jagannath_Puri_Yatra_1994_04_-_Sarvabhauma_Bhattacharya%27s_House_-_Radhanath_Swami.mp3")</f>
        <v>Jagannath_Puri_Yatra_1994_04_-_Sarvabhauma_Bhattacharya%27s_House_-_Radhanath_Swami.mp3</v>
      </c>
      <c r="D5247" s="11"/>
      <c r="E5247" s="11"/>
    </row>
    <row r="5248" spans="1:5">
      <c r="A5248" s="12" t="s">
        <v>12464</v>
      </c>
      <c r="B5248" s="12" t="s">
        <v>17745</v>
      </c>
      <c r="C5248" s="13" t="str">
        <f>HYPERLINK("https://audio.iskcondesiretree.com/02_-_ISKCON_Swamis/ISKCON_Swamis_-_R_to_Y/His_Holiness_Radhanath_Swami/Lectures/02_-_Yatra/Jaganath_Puri_yatra/1994/Jagannath_Puri_Yatra_1994_05_-_Gaudiya_Math-house_of_Bhaktivinod_Thakur_-_Radhanath_Swami.mp3", "Jagannath_Puri_Yatra_1994_05_-_Gaudiya_Math-house_of_Bhaktivinod_Thakur_-_Radhanath_Swami.mp3")</f>
        <v>Jagannath_Puri_Yatra_1994_05_-_Gaudiya_Math-house_of_Bhaktivinod_Thakur_-_Radhanath_Swami.mp3</v>
      </c>
      <c r="D5248" s="11"/>
      <c r="E5248" s="11"/>
    </row>
    <row r="5249" spans="1:5">
      <c r="A5249" s="12" t="s">
        <v>12464</v>
      </c>
      <c r="B5249" s="12" t="s">
        <v>17746</v>
      </c>
      <c r="C5249" s="13" t="str">
        <f>HYPERLINK("https://audio.iskcondesiretree.com/02_-_ISKCON_Swamis/ISKCON_Swamis_-_R_to_Y/His_Holiness_Radhanath_Swami/Lectures/02_-_Yatra/Jaganath_Puri_yatra/1994/Jagannath_Puri_Yatra_1994_06_-_Gambhira-house_of_kashi_mishra_-_Radhanath_Swami.mp3", "Jagannath_Puri_Yatra_1994_06_-_Gambhira-house_of_kashi_mishra_-_Radhanath_Swami.mp3")</f>
        <v>Jagannath_Puri_Yatra_1994_06_-_Gambhira-house_of_kashi_mishra_-_Radhanath_Swami.mp3</v>
      </c>
      <c r="D5249" s="11"/>
      <c r="E5249" s="11"/>
    </row>
    <row r="5250" spans="1:5">
      <c r="A5250" s="12" t="s">
        <v>12464</v>
      </c>
      <c r="B5250" s="12" t="s">
        <v>17747</v>
      </c>
      <c r="C5250" s="13" t="str">
        <f>HYPERLINK("https://audio.iskcondesiretree.com/02_-_ISKCON_Swamis/ISKCON_Swamis_-_R_to_Y/His_Holiness_Radhanath_Swami/Lectures/02_-_Yatra/Jaganath_Puri_yatra/1994/Jagannath_Puri_Yatra_1994_07_-_Tota_Gopinath_-_Radhanath_Swami.mp3", "Jagannath_Puri_Yatra_1994_07_-_Tota_Gopinath_-_Radhanath_Swami.mp3")</f>
        <v>Jagannath_Puri_Yatra_1994_07_-_Tota_Gopinath_-_Radhanath_Swami.mp3</v>
      </c>
      <c r="D5250" s="11"/>
      <c r="E5250" s="11"/>
    </row>
    <row r="5251" spans="1:5">
      <c r="A5251" s="12" t="s">
        <v>12464</v>
      </c>
      <c r="B5251" s="12" t="s">
        <v>17748</v>
      </c>
      <c r="C5251" s="13" t="str">
        <f>HYPERLINK("https://audio.iskcondesiretree.com/02_-_ISKCON_Swamis/ISKCON_Swamis_-_R_to_Y/His_Holiness_Radhanath_Swami/Lectures/02_-_Yatra/Jaganath_Puri_yatra/1994/Jagannath_Puri_Yatra_1994_08_-_Srila_haridas_thakur_Samadhi_Mandir_-_Radhanath_Swami.mp3", "Jagannath_Puri_Yatra_1994_08_-_Srila_haridas_thakur_Samadhi_Mandir_-_Radhanath_Swami.mp3")</f>
        <v>Jagannath_Puri_Yatra_1994_08_-_Srila_haridas_thakur_Samadhi_Mandir_-_Radhanath_Swami.mp3</v>
      </c>
      <c r="D5251" s="11"/>
      <c r="E5251" s="11"/>
    </row>
    <row r="5252" spans="1:5">
      <c r="A5252" s="12" t="s">
        <v>12464</v>
      </c>
      <c r="B5252" s="12" t="s">
        <v>17749</v>
      </c>
      <c r="C5252" s="13" t="str">
        <f>HYPERLINK("https://audio.iskcondesiretree.com/02_-_ISKCON_Swamis/ISKCON_Swamis_-_R_to_Y/His_Holiness_Radhanath_Swami/Lectures/02_-_Yatra/Jaganath_Puri_yatra/1994/Jagannath_Puri_Yatra_1994_09_-_Bedi_Hanuman_Temple_-_Radhanath_Swami.mp3", "Jagannath_Puri_Yatra_1994_09_-_Bedi_Hanuman_Temple_-_Radhanath_Swami.mp3")</f>
        <v>Jagannath_Puri_Yatra_1994_09_-_Bedi_Hanuman_Temple_-_Radhanath_Swami.mp3</v>
      </c>
      <c r="D5252" s="11"/>
      <c r="E5252" s="11"/>
    </row>
    <row r="5253" spans="1:5">
      <c r="A5253" s="12" t="s">
        <v>12464</v>
      </c>
      <c r="B5253" s="12" t="s">
        <v>17750</v>
      </c>
      <c r="C5253" s="13" t="str">
        <f>HYPERLINK("https://audio.iskcondesiretree.com/02_-_ISKCON_Swamis/ISKCON_Swamis_-_R_to_Y/His_Holiness_Radhanath_Swami/Lectures/02_-_Yatra/Jaganath_Puri_yatra/1994/Jagannath_Puri_Yatra_1994_10_-_Chakra_tirtha_-_Radhanath_Swami.mp3", "Jagannath_Puri_Yatra_1994_10_-_Chakra_tirtha_-_Radhanath_Swami.mp3")</f>
        <v>Jagannath_Puri_Yatra_1994_10_-_Chakra_tirtha_-_Radhanath_Swami.mp3</v>
      </c>
      <c r="D5253" s="11"/>
      <c r="E5253" s="11"/>
    </row>
    <row r="5254" spans="1:5">
      <c r="A5254" s="12" t="s">
        <v>12464</v>
      </c>
      <c r="B5254" s="12" t="s">
        <v>17751</v>
      </c>
      <c r="C5254" s="13" t="str">
        <f>HYPERLINK("https://audio.iskcondesiretree.com/02_-_ISKCON_Swamis/ISKCON_Swamis_-_R_to_Y/His_Holiness_Radhanath_Swami/Lectures/02_-_Yatra/Jaganath_Puri_yatra/1994/Jagannath_Puri_Yatra_1994_11_-_Paramananda_puri_well_-_Radhanath_Swami.mp3", "Jagannath_Puri_Yatra_1994_11_-_Paramananda_puri_well_-_Radhanath_Swami.mp3")</f>
        <v>Jagannath_Puri_Yatra_1994_11_-_Paramananda_puri_well_-_Radhanath_Swami.mp3</v>
      </c>
      <c r="D5254" s="11"/>
      <c r="E5254" s="11"/>
    </row>
    <row r="5255" spans="1:5">
      <c r="A5255" s="12" t="s">
        <v>12464</v>
      </c>
      <c r="B5255" s="12" t="s">
        <v>17752</v>
      </c>
      <c r="C5255" s="13" t="str">
        <f>HYPERLINK("https://audio.iskcondesiretree.com/02_-_ISKCON_Swamis/ISKCON_Swamis_-_R_to_Y/His_Holiness_Radhanath_Swami/Lectures/02_-_Yatra/Jaganath_Puri_yatra/1994/Jagannath_Puri_Yatra_1994_13_-_Route_of_Ratha_Yatra-Jagannath_Gardens_Narendra_Sarovar.mp3", "Jagannath_Puri_Yatra_1994_13_-_Route_of_Ratha_Yatra-Jagannath_Gardens_Narendra_Sarovar.mp3")</f>
        <v>Jagannath_Puri_Yatra_1994_13_-_Route_of_Ratha_Yatra-Jagannath_Gardens_Narendra_Sarovar.mp3</v>
      </c>
      <c r="D5255" s="11"/>
      <c r="E5255" s="11"/>
    </row>
    <row r="5256" spans="1:5">
      <c r="A5256" s="12" t="s">
        <v>12464</v>
      </c>
      <c r="B5256" s="12" t="s">
        <v>17753</v>
      </c>
      <c r="C5256" s="13" t="str">
        <f>HYPERLINK("https://audio.iskcondesiretree.com/02_-_ISKCON_Swamis/ISKCON_Swamis_-_R_to_Y/His_Holiness_Radhanath_Swami/Lectures/02_-_Yatra/Jaganath_Puri_yatra/1994/Jagannath_Puri_Yatra_1994_14_-_Narasimha_arati_-_Radhanath_Swami.mp3", "Jagannath_Puri_Yatra_1994_14_-_Narasimha_arati_-_Radhanath_Swami.mp3")</f>
        <v>Jagannath_Puri_Yatra_1994_14_-_Narasimha_arati_-_Radhanath_Swami.mp3</v>
      </c>
      <c r="D5256" s="11"/>
      <c r="E5256" s="11"/>
    </row>
    <row r="5257" spans="1:5">
      <c r="A5257" s="12" t="s">
        <v>12464</v>
      </c>
      <c r="B5257" s="12" t="s">
        <v>17754</v>
      </c>
      <c r="C5257" s="13" t="str">
        <f>HYPERLINK("https://audio.iskcondesiretree.com/02_-_ISKCON_Swamis/ISKCON_Swamis_-_R_to_Y/His_Holiness_Radhanath_Swami/Lectures/02_-_Yatra/Jaganath_Puri_yatra/1994/Jagannath_Puri_Yatra_1994_15_-_Sakshi_Gopal_Temple_-_Radhanath_Swami.mp3", "Jagannath_Puri_Yatra_1994_15_-_Sakshi_Gopal_Temple_-_Radhanath_Swami.mp3")</f>
        <v>Jagannath_Puri_Yatra_1994_15_-_Sakshi_Gopal_Temple_-_Radhanath_Swami.mp3</v>
      </c>
      <c r="D5257" s="11"/>
      <c r="E5257" s="11"/>
    </row>
    <row r="5258" spans="1:5">
      <c r="A5258" s="12" t="s">
        <v>12464</v>
      </c>
      <c r="B5258" s="12" t="s">
        <v>17755</v>
      </c>
      <c r="C5258" s="13" t="str">
        <f>HYPERLINK("https://audio.iskcondesiretree.com/02_-_ISKCON_Swamis/ISKCON_Swamis_-_R_to_Y/His_Holiness_Radhanath_Swami/Lectures/02_-_Yatra/Jaganath_Puri_yatra/1994/Jagannath_Puri_Yatra_1994_16_-_Radhanath_Swami_Kirtan.mp3", "Jagannath_Puri_Yatra_1994_16_-_Radhanath_Swami_Kirtan.mp3")</f>
        <v>Jagannath_Puri_Yatra_1994_16_-_Radhanath_Swami_Kirtan.mp3</v>
      </c>
      <c r="D5258" s="11"/>
      <c r="E5258" s="11"/>
    </row>
    <row r="5259" spans="1:5">
      <c r="A5259" s="12" t="s">
        <v>12464</v>
      </c>
      <c r="B5259" s="12" t="s">
        <v>17756</v>
      </c>
      <c r="C5259" s="13" t="str">
        <f>HYPERLINK("https://audio.iskcondesiretree.com/02_-_ISKCON_Swamis/ISKCON_Swamis_-_R_to_Y/His_Holiness_Radhanath_Swami/Lectures/02_-_Yatra/Jaganath_Puri_yatra/1998/Jagannath_Puri_Yatra_1998_-_Atharanala_-_Radhanath_Swami.mp3", "Jagannath_Puri_Yatra_1998_-_Atharanala_-_Radhanath_Swami.mp3")</f>
        <v>Jagannath_Puri_Yatra_1998_-_Atharanala_-_Radhanath_Swami.mp3</v>
      </c>
      <c r="D5259" s="11"/>
      <c r="E5259" s="11"/>
    </row>
    <row r="5260" spans="1:5">
      <c r="A5260" s="12" t="s">
        <v>12464</v>
      </c>
      <c r="B5260" s="12" t="s">
        <v>17757</v>
      </c>
      <c r="C5260" s="13" t="str">
        <f>HYPERLINK("https://audio.iskcondesiretree.com/02_-_ISKCON_Swamis/ISKCON_Swamis_-_R_to_Y/His_Holiness_Radhanath_Swami/Lectures/02_-_Yatra/Jaganath_Puri_yatra/1998/Jagannath_Puri_Yatra_1998_-_Bedi_Hanuman_-_Radhanath_Swami.mp3", "Jagannath_Puri_Yatra_1998_-_Bedi_Hanuman_-_Radhanath_Swami.mp3")</f>
        <v>Jagannath_Puri_Yatra_1998_-_Bedi_Hanuman_-_Radhanath_Swami.mp3</v>
      </c>
      <c r="D5260" s="11"/>
      <c r="E5260" s="11"/>
    </row>
    <row r="5261" spans="1:5">
      <c r="A5261" s="12" t="s">
        <v>12464</v>
      </c>
      <c r="B5261" s="12" t="s">
        <v>17758</v>
      </c>
      <c r="C5261" s="13" t="str">
        <f>HYPERLINK("https://audio.iskcondesiretree.com/02_-_ISKCON_Swamis/ISKCON_Swamis_-_R_to_Y/His_Holiness_Radhanath_Swami/Lectures/02_-_Yatra/Jaganath_Puri_yatra/1998/Jagannath_Puri_Yatra_1998_-_Bindu_Sarovar-bhuvaneshwar_-_Radhanath_Swami.mp3", "Jagannath_Puri_Yatra_1998_-_Bindu_Sarovar-bhuvaneshwar_-_Radhanath_Swami.mp3")</f>
        <v>Jagannath_Puri_Yatra_1998_-_Bindu_Sarovar-bhuvaneshwar_-_Radhanath_Swami.mp3</v>
      </c>
      <c r="D5261" s="11"/>
      <c r="E5261" s="11"/>
    </row>
    <row r="5262" spans="1:5">
      <c r="A5262" s="12" t="s">
        <v>12464</v>
      </c>
      <c r="B5262" s="12" t="s">
        <v>17759</v>
      </c>
      <c r="C5262" s="13" t="str">
        <f>HYPERLINK("https://audio.iskcondesiretree.com/02_-_ISKCON_Swamis/ISKCON_Swamis_-_R_to_Y/His_Holiness_Radhanath_Swami/Lectures/02_-_Yatra/Jaganath_Puri_yatra/1998/Jagannath_Puri_Yatra_1998_-_Chataka_Parvat_-_Radhanath_Swami.mp3", "Jagannath_Puri_Yatra_1998_-_Chataka_Parvat_-_Radhanath_Swami.mp3")</f>
        <v>Jagannath_Puri_Yatra_1998_-_Chataka_Parvat_-_Radhanath_Swami.mp3</v>
      </c>
      <c r="D5262" s="11"/>
      <c r="E5262" s="11"/>
    </row>
    <row r="5263" spans="1:5">
      <c r="A5263" s="12" t="s">
        <v>12464</v>
      </c>
      <c r="B5263" s="12" t="s">
        <v>17760</v>
      </c>
      <c r="C5263" s="13" t="str">
        <f>HYPERLINK("https://audio.iskcondesiretree.com/02_-_ISKCON_Swamis/ISKCON_Swamis_-_R_to_Y/His_Holiness_Radhanath_Swami/Lectures/02_-_Yatra/Jaganath_Puri_yatra/1998/Jagannath_Puri_Yatra_1998_-_Danda_Bhanga_Nadi-Kamalapur_-_Radhanath_Swami.mp3", "Jagannath_Puri_Yatra_1998_-_Danda_Bhanga_Nadi-Kamalapur_-_Radhanath_Swami.mp3")</f>
        <v>Jagannath_Puri_Yatra_1998_-_Danda_Bhanga_Nadi-Kamalapur_-_Radhanath_Swami.mp3</v>
      </c>
      <c r="D5263" s="11"/>
      <c r="E5263" s="11"/>
    </row>
    <row r="5264" spans="1:5">
      <c r="A5264" s="12" t="s">
        <v>12464</v>
      </c>
      <c r="B5264" s="12" t="s">
        <v>17761</v>
      </c>
      <c r="C5264" s="13" t="str">
        <f>HYPERLINK("https://audio.iskcondesiretree.com/02_-_ISKCON_Swamis/ISKCON_Swamis_-_R_to_Y/His_Holiness_Radhanath_Swami/Lectures/02_-_Yatra/Jaganath_Puri_yatra/1998/Jagannath_Puri_Yatra_1998_-_Gambhira_-_Radhanath_Swami.mp3", "Jagannath_Puri_Yatra_1998_-_Gambhira_-_Radhanath_Swami.mp3")</f>
        <v>Jagannath_Puri_Yatra_1998_-_Gambhira_-_Radhanath_Swami.mp3</v>
      </c>
      <c r="D5264" s="11"/>
      <c r="E5264" s="11"/>
    </row>
    <row r="5265" spans="1:5">
      <c r="A5265" s="12" t="s">
        <v>12464</v>
      </c>
      <c r="B5265" s="12" t="s">
        <v>17762</v>
      </c>
      <c r="C5265" s="13" t="str">
        <f>HYPERLINK("https://audio.iskcondesiretree.com/02_-_ISKCON_Swamis/ISKCON_Swamis_-_R_to_Y/His_Holiness_Radhanath_Swami/Lectures/02_-_Yatra/Jaganath_Puri_yatra/1998/Jagannath_Puri_Yatra_1998_-_Gundicha_Temple_-_Radhanath_Swami.mp3", "Jagannath_Puri_Yatra_1998_-_Gundicha_Temple_-_Radhanath_Swami.mp3")</f>
        <v>Jagannath_Puri_Yatra_1998_-_Gundicha_Temple_-_Radhanath_Swami.mp3</v>
      </c>
      <c r="D5265" s="11"/>
      <c r="E5265" s="11"/>
    </row>
    <row r="5266" spans="1:5">
      <c r="A5266" s="12" t="s">
        <v>12464</v>
      </c>
      <c r="B5266" s="12" t="s">
        <v>17763</v>
      </c>
      <c r="C5266" s="13" t="str">
        <f>HYPERLINK("https://audio.iskcondesiretree.com/02_-_ISKCON_Swamis/ISKCON_Swamis_-_R_to_Y/His_Holiness_Radhanath_Swami/Lectures/02_-_Yatra/Jaganath_Puri_yatra/1998/Jagannath_Puri_Yatra_1998_-_House_of_Bhaktivinode_thakur_-_Radhanath_Swami.mp3", "Jagannath_Puri_Yatra_1998_-_House_of_Bhaktivinode_thakur_-_Radhanath_Swami.mp3")</f>
        <v>Jagannath_Puri_Yatra_1998_-_House_of_Bhaktivinode_thakur_-_Radhanath_Swami.mp3</v>
      </c>
      <c r="D5266" s="11"/>
      <c r="E5266" s="11"/>
    </row>
    <row r="5267" spans="1:5">
      <c r="A5267" s="12" t="s">
        <v>12464</v>
      </c>
      <c r="B5267" s="12" t="s">
        <v>17764</v>
      </c>
      <c r="C5267" s="13" t="str">
        <f>HYPERLINK("https://audio.iskcondesiretree.com/02_-_ISKCON_Swamis/ISKCON_Swamis_-_R_to_Y/His_Holiness_Radhanath_Swami/Lectures/02_-_Yatra/Jaganath_Puri_yatra/1998/Jagannath_Puri_Yatra_1998_-_House_Of_Sarvabhuma_Bhattacharya_-_Radhanath_Swami.mp3", "Jagannath_Puri_Yatra_1998_-_House_Of_Sarvabhuma_Bhattacharya_-_Radhanath_Swami.mp3")</f>
        <v>Jagannath_Puri_Yatra_1998_-_House_Of_Sarvabhuma_Bhattacharya_-_Radhanath_Swami.mp3</v>
      </c>
      <c r="D5267" s="11"/>
      <c r="E5267" s="11"/>
    </row>
    <row r="5268" spans="1:5">
      <c r="A5268" s="12" t="s">
        <v>12464</v>
      </c>
      <c r="B5268" s="12" t="s">
        <v>17765</v>
      </c>
      <c r="C5268" s="13" t="str">
        <f>HYPERLINK("https://audio.iskcondesiretree.com/02_-_ISKCON_Swamis/ISKCON_Swamis_-_R_to_Y/His_Holiness_Radhanath_Swami/Lectures/02_-_Yatra/Jaganath_Puri_yatra/1998/Jagannath_Puri_Yatra_1998_-_Indradyumna_sarovar_-_Radhanath_Swami.mp3", "Jagannath_Puri_Yatra_1998_-_Indradyumna_sarovar_-_Radhanath_Swami.mp3")</f>
        <v>Jagannath_Puri_Yatra_1998_-_Indradyumna_sarovar_-_Radhanath_Swami.mp3</v>
      </c>
      <c r="D5268" s="11"/>
      <c r="E5268" s="11"/>
    </row>
    <row r="5269" spans="1:5">
      <c r="A5269" s="12" t="s">
        <v>12464</v>
      </c>
      <c r="B5269" s="12" t="s">
        <v>17766</v>
      </c>
      <c r="C5269" s="13" t="str">
        <f>HYPERLINK("https://audio.iskcondesiretree.com/02_-_ISKCON_Swamis/ISKCON_Swamis_-_R_to_Y/His_Holiness_Radhanath_Swami/Lectures/02_-_Yatra/Jaganath_Puri_yatra/1998/Jagannath_Puri_Yatra_1998_-_Jagannath_temple_-_Radhanath_Swami.mp3", "Jagannath_Puri_Yatra_1998_-_Jagannath_temple_-_Radhanath_Swami.mp3")</f>
        <v>Jagannath_Puri_Yatra_1998_-_Jagannath_temple_-_Radhanath_Swami.mp3</v>
      </c>
      <c r="D5269" s="11"/>
      <c r="E5269" s="11"/>
    </row>
    <row r="5270" spans="1:5">
      <c r="A5270" s="12" t="s">
        <v>12464</v>
      </c>
      <c r="B5270" s="12" t="s">
        <v>17767</v>
      </c>
      <c r="C5270" s="13" t="str">
        <f>HYPERLINK("https://audio.iskcondesiretree.com/02_-_ISKCON_Swamis/ISKCON_Swamis_-_R_to_Y/His_Holiness_Radhanath_Swami/Lectures/02_-_Yatra/Jaganath_Puri_yatra/1998/Jagannath_Puri_Yatra_1998_-_Jagannath_Vallabh_Garden-1_-_Radhanath_Swami.mp3", "Jagannath_Puri_Yatra_1998_-_Jagannath_Vallabh_Garden-1_-_Radhanath_Swami.mp3")</f>
        <v>Jagannath_Puri_Yatra_1998_-_Jagannath_Vallabh_Garden-1_-_Radhanath_Swami.mp3</v>
      </c>
      <c r="D5270" s="11"/>
      <c r="E5270" s="11"/>
    </row>
    <row r="5271" spans="1:5">
      <c r="A5271" s="12" t="s">
        <v>12464</v>
      </c>
      <c r="B5271" s="12" t="s">
        <v>17768</v>
      </c>
      <c r="C5271" s="13" t="str">
        <f>HYPERLINK("https://audio.iskcondesiretree.com/02_-_ISKCON_Swamis/ISKCON_Swamis_-_R_to_Y/His_Holiness_Radhanath_Swami/Lectures/02_-_Yatra/Jaganath_Puri_yatra/1998/Jagannath_Puri_Yatra_1998_-_Jagannath_Vallabh_Garden-2_-_Radhanath_Swami.mp3", "Jagannath_Puri_Yatra_1998_-_Jagannath_Vallabh_Garden-2_-_Radhanath_Swami.mp3")</f>
        <v>Jagannath_Puri_Yatra_1998_-_Jagannath_Vallabh_Garden-2_-_Radhanath_Swami.mp3</v>
      </c>
      <c r="D5271" s="11"/>
      <c r="E5271" s="11"/>
    </row>
    <row r="5272" spans="1:5">
      <c r="A5272" s="12" t="s">
        <v>12464</v>
      </c>
      <c r="B5272" s="12" t="s">
        <v>17769</v>
      </c>
      <c r="C5272" s="13" t="str">
        <f>HYPERLINK("https://audio.iskcondesiretree.com/02_-_ISKCON_Swamis/ISKCON_Swamis_-_R_to_Y/His_Holiness_Radhanath_Swami/Lectures/02_-_Yatra/Jaganath_Puri_yatra/1998/Jagannath_Puri_Yatra_1998_-_Krsna_Caitanya_math-Bhakti_Vallabh_Puri_Maharaj_-_Radhanath_Swami.mp3", "Jagannath_Puri_Yatra_1998_-_Krsna_Caitanya_math-Bhakti_Vallabh_Puri_Maharaj_-_Radhanath_Swami.mp3")</f>
        <v>Jagannath_Puri_Yatra_1998_-_Krsna_Caitanya_math-Bhakti_Vallabh_Puri_Maharaj_-_Radhanath_Swami.mp3</v>
      </c>
      <c r="D5272" s="11"/>
      <c r="E5272" s="11"/>
    </row>
    <row r="5273" spans="1:5">
      <c r="A5273" s="12" t="s">
        <v>12464</v>
      </c>
      <c r="B5273" s="12" t="s">
        <v>17770</v>
      </c>
      <c r="C5273" s="13" t="str">
        <f>HYPERLINK("https://audio.iskcondesiretree.com/02_-_ISKCON_Swamis/ISKCON_Swamis_-_R_to_Y/His_Holiness_Radhanath_Swami/Lectures/02_-_Yatra/Jaganath_Puri_yatra/1998/Jagannath_Puri_Yatra_1998_-_Ksira_Chor_Gopinath-Remuna_-_Radhanath_Swami.mp3", "Jagannath_Puri_Yatra_1998_-_Ksira_Chor_Gopinath-Remuna_-_Radhanath_Swami.mp3")</f>
        <v>Jagannath_Puri_Yatra_1998_-_Ksira_Chor_Gopinath-Remuna_-_Radhanath_Swami.mp3</v>
      </c>
      <c r="D5273" s="11"/>
      <c r="E5273" s="11"/>
    </row>
    <row r="5274" spans="1:5">
      <c r="A5274" s="12" t="s">
        <v>12464</v>
      </c>
      <c r="B5274" s="12" t="s">
        <v>17771</v>
      </c>
      <c r="C5274" s="13" t="str">
        <f>HYPERLINK("https://audio.iskcondesiretree.com/02_-_ISKCON_Swamis/ISKCON_Swamis_-_R_to_Y/His_Holiness_Radhanath_Swami/Lectures/02_-_Yatra/Jaganath_Puri_yatra/1998/Jagannath_Puri_Yatra_1998_-_Narendra_Sarovar_-_Radhanath_Swami.mp3", "Jagannath_Puri_Yatra_1998_-_Narendra_Sarovar_-_Radhanath_Swami.mp3")</f>
        <v>Jagannath_Puri_Yatra_1998_-_Narendra_Sarovar_-_Radhanath_Swami.mp3</v>
      </c>
      <c r="D5274" s="11"/>
      <c r="E5274" s="11"/>
    </row>
    <row r="5275" spans="1:5">
      <c r="A5275" s="12" t="s">
        <v>12464</v>
      </c>
      <c r="B5275" s="12" t="s">
        <v>17772</v>
      </c>
      <c r="C5275" s="13" t="str">
        <f>HYPERLINK("https://audio.iskcondesiretree.com/02_-_ISKCON_Swamis/ISKCON_Swamis_-_R_to_Y/His_Holiness_Radhanath_Swami/Lectures/02_-_Yatra/Jaganath_Puri_yatra/1998/Jagannath_Puri_Yatra_1998_-_Paramananda_puri_well_-_Radhanath_Swami.mp3", "Jagannath_Puri_Yatra_1998_-_Paramananda_puri_well_-_Radhanath_Swami.mp3")</f>
        <v>Jagannath_Puri_Yatra_1998_-_Paramananda_puri_well_-_Radhanath_Swami.mp3</v>
      </c>
      <c r="D5275" s="11"/>
      <c r="E5275" s="11"/>
    </row>
    <row r="5276" spans="1:5">
      <c r="A5276" s="12" t="s">
        <v>12464</v>
      </c>
      <c r="B5276" s="12" t="s">
        <v>17773</v>
      </c>
      <c r="C5276" s="13" t="str">
        <f>HYPERLINK("https://audio.iskcondesiretree.com/02_-_ISKCON_Swamis/ISKCON_Swamis_-_R_to_Y/His_Holiness_Radhanath_Swami/Lectures/02_-_Yatra/Jaganath_Puri_yatra/1998/Jagannath_Puri_Yatra_1998_-_Parikrama_Of_jagannath_Temple_-_Radhanath_Swami.mp3", "Jagannath_Puri_Yatra_1998_-_Parikrama_Of_jagannath_Temple_-_Radhanath_Swami.mp3")</f>
        <v>Jagannath_Puri_Yatra_1998_-_Parikrama_Of_jagannath_Temple_-_Radhanath_Swami.mp3</v>
      </c>
      <c r="D5276" s="11"/>
      <c r="E5276" s="11"/>
    </row>
    <row r="5277" spans="1:5">
      <c r="A5277" s="12" t="s">
        <v>12464</v>
      </c>
      <c r="B5277" s="12" t="s">
        <v>17774</v>
      </c>
      <c r="C5277" s="13" t="str">
        <f>HYPERLINK("https://audio.iskcondesiretree.com/02_-_ISKCON_Swamis/ISKCON_Swamis_-_R_to_Y/His_Holiness_Radhanath_Swami/Lectures/02_-_Yatra/Jaganath_Puri_yatra/1998/Jagannath_Puri_Yatra_1998_-_Siddha_bakul_-_Radhanath_Swami.mp3", "Jagannath_Puri_Yatra_1998_-_Siddha_bakul_-_Radhanath_Swami.mp3")</f>
        <v>Jagannath_Puri_Yatra_1998_-_Siddha_bakul_-_Radhanath_Swami.mp3</v>
      </c>
      <c r="D5277" s="11"/>
      <c r="E5277" s="11"/>
    </row>
    <row r="5278" spans="1:5">
      <c r="A5278" s="12" t="s">
        <v>12464</v>
      </c>
      <c r="B5278" s="12" t="s">
        <v>17775</v>
      </c>
      <c r="C5278" s="13" t="str">
        <f>HYPERLINK("https://audio.iskcondesiretree.com/02_-_ISKCON_Swamis/ISKCON_Swamis_-_R_to_Y/His_Holiness_Radhanath_Swami/Lectures/02_-_Yatra/Jaganath_Puri_yatra/1998/Jagannath_Puri_Yatra_1998_-_Srila_Raghunath_Das_Goswami_took_spoiled_prasad.mp3", "Jagannath_Puri_Yatra_1998_-_Srila_Raghunath_Das_Goswami_took_spoiled_prasad.mp3")</f>
        <v>Jagannath_Puri_Yatra_1998_-_Srila_Raghunath_Das_Goswami_took_spoiled_prasad.mp3</v>
      </c>
      <c r="D5278" s="11"/>
      <c r="E5278" s="11"/>
    </row>
    <row r="5279" spans="1:5">
      <c r="A5279" s="12" t="s">
        <v>12464</v>
      </c>
      <c r="B5279" s="12" t="s">
        <v>17776</v>
      </c>
      <c r="C5279" s="13" t="str">
        <f>HYPERLINK("https://audio.iskcondesiretree.com/02_-_ISKCON_Swamis/ISKCON_Swamis_-_R_to_Y/His_Holiness_Radhanath_Swami/Lectures/02_-_Yatra/Jaganath_Puri_yatra/1998/Jagannath_Puri_Yatra_1998_-_Tota_Gopinath_-_Radhanath_Swami.mp3", "Jagannath_Puri_Yatra_1998_-_Tota_Gopinath_-_Radhanath_Swami.mp3")</f>
        <v>Jagannath_Puri_Yatra_1998_-_Tota_Gopinath_-_Radhanath_Swami.mp3</v>
      </c>
      <c r="D5279" s="11"/>
      <c r="E5279" s="11"/>
    </row>
    <row r="5280" spans="1:5">
      <c r="A5280" s="12" t="s">
        <v>12464</v>
      </c>
      <c r="B5280" s="12" t="s">
        <v>17777</v>
      </c>
      <c r="C5280" s="13" t="str">
        <f>HYPERLINK("https://audio.iskcondesiretree.com/02_-_ISKCON_Swamis/ISKCON_Swamis_-_R_to_Y/His_Holiness_Radhanath_Swami/Lectures/02_-_Yatra/Jaganath_Puri_yatra/1999/Jagannath_Puri_Yatra_1999_01_-_Siddha_bakul_-_Radhanath_Swami.mp3", "Jagannath_Puri_Yatra_1999_01_-_Siddha_bakul_-_Radhanath_Swami.mp3")</f>
        <v>Jagannath_Puri_Yatra_1999_01_-_Siddha_bakul_-_Radhanath_Swami.mp3</v>
      </c>
      <c r="D5280" s="11"/>
      <c r="E5280" s="11"/>
    </row>
    <row r="5281" spans="1:5">
      <c r="A5281" s="12" t="s">
        <v>12464</v>
      </c>
      <c r="B5281" s="12" t="s">
        <v>17778</v>
      </c>
      <c r="C5281" s="13" t="str">
        <f>HYPERLINK("https://audio.iskcondesiretree.com/02_-_ISKCON_Swamis/ISKCON_Swamis_-_R_to_Y/His_Holiness_Radhanath_Swami/Lectures/02_-_Yatra/Jaganath_Puri_yatra/1999/Jagannath_Puri_Yatra_1999_02_-_Gaudiya_Math_-_Radhanath_Swami.mp3", "Jagannath_Puri_Yatra_1999_02_-_Gaudiya_Math_-_Radhanath_Swami.mp3")</f>
        <v>Jagannath_Puri_Yatra_1999_02_-_Gaudiya_Math_-_Radhanath_Swami.mp3</v>
      </c>
      <c r="D5281" s="11"/>
      <c r="E5281" s="11"/>
    </row>
    <row r="5282" spans="1:5">
      <c r="A5282" s="12" t="s">
        <v>12464</v>
      </c>
      <c r="B5282" s="12" t="s">
        <v>17779</v>
      </c>
      <c r="C5282" s="13" t="str">
        <f>HYPERLINK("https://audio.iskcondesiretree.com/02_-_ISKCON_Swamis/ISKCON_Swamis_-_R_to_Y/His_Holiness_Radhanath_Swami/Lectures/02_-_Yatra/Jaganath_Puri_yatra/1999/Jagannath_Puri_Yatra_1999_03_-_Gambhira_-_Radhanath_Swami.mp3", "Jagannath_Puri_Yatra_1999_03_-_Gambhira_-_Radhanath_Swami.mp3")</f>
        <v>Jagannath_Puri_Yatra_1999_03_-_Gambhira_-_Radhanath_Swami.mp3</v>
      </c>
      <c r="D5282" s="11"/>
      <c r="E5282" s="11"/>
    </row>
    <row r="5283" spans="1:5">
      <c r="A5283" s="12" t="s">
        <v>12464</v>
      </c>
      <c r="B5283" s="12" t="s">
        <v>17780</v>
      </c>
      <c r="C5283" s="13" t="str">
        <f>HYPERLINK("https://audio.iskcondesiretree.com/02_-_ISKCON_Swamis/ISKCON_Swamis_-_R_to_Y/His_Holiness_Radhanath_Swami/Lectures/02_-_Yatra/Jaganath_Puri_yatra/1999/Jagannath_Puri_Yatra_1999_04_-_Tota_Gopinath_-_Radhanath_Swami.mp3", "Jagannath_Puri_Yatra_1999_04_-_Tota_Gopinath_-_Radhanath_Swami.mp3")</f>
        <v>Jagannath_Puri_Yatra_1999_04_-_Tota_Gopinath_-_Radhanath_Swami.mp3</v>
      </c>
      <c r="D5283" s="11"/>
      <c r="E5283" s="11"/>
    </row>
    <row r="5284" spans="1:5">
      <c r="A5284" s="12" t="s">
        <v>12464</v>
      </c>
      <c r="B5284" s="12" t="s">
        <v>17781</v>
      </c>
      <c r="C5284" s="13" t="str">
        <f>HYPERLINK("https://audio.iskcondesiretree.com/02_-_ISKCON_Swamis/ISKCON_Swamis_-_R_to_Y/His_Holiness_Radhanath_Swami/Lectures/02_-_Yatra/Jaganath_Puri_yatra/1999/Jagannath_Puri_Yatra_1999_05_-_Alarnath_-_Radhanath_Swami.mp3", "Jagannath_Puri_Yatra_1999_05_-_Alarnath_-_Radhanath_Swami.mp3")</f>
        <v>Jagannath_Puri_Yatra_1999_05_-_Alarnath_-_Radhanath_Swami.mp3</v>
      </c>
      <c r="D5284" s="11"/>
      <c r="E5284" s="11"/>
    </row>
    <row r="5285" spans="1:5">
      <c r="A5285" s="12" t="s">
        <v>12464</v>
      </c>
      <c r="B5285" s="12" t="s">
        <v>17782</v>
      </c>
      <c r="C5285" s="13" t="str">
        <f>HYPERLINK("https://audio.iskcondesiretree.com/02_-_ISKCON_Swamis/ISKCON_Swamis_-_R_to_Y/His_Holiness_Radhanath_Swami/Lectures/02_-_Yatra/Jaganath_Puri_yatra/2001/Jagannath_Puri_Yatra_2001_01_-_Lec_At_Kalyan_Mandapa_-_Radhanath_Swami.mp3", "Jagannath_Puri_Yatra_2001_01_-_Lec_At_Kalyan_Mandapa_-_Radhanath_Swami.mp3")</f>
        <v>Jagannath_Puri_Yatra_2001_01_-_Lec_At_Kalyan_Mandapa_-_Radhanath_Swami.mp3</v>
      </c>
      <c r="D5285" s="11"/>
      <c r="E5285" s="11"/>
    </row>
    <row r="5286" spans="1:5">
      <c r="A5286" s="12" t="s">
        <v>12464</v>
      </c>
      <c r="B5286" s="12" t="s">
        <v>17783</v>
      </c>
      <c r="C5286" s="13" t="str">
        <f>HYPERLINK("https://audio.iskcondesiretree.com/02_-_ISKCON_Swamis/ISKCON_Swamis_-_R_to_Y/His_Holiness_Radhanath_Swami/Lectures/02_-_Yatra/Jaganath_Puri_yatra/2001/Jagannath_Puri_Yatra_2001_02_-_Lec_At_Kalyan_Mandapa_-_Radhanath_Swami.mp3", "Jagannath_Puri_Yatra_2001_02_-_Lec_At_Kalyan_Mandapa_-_Radhanath_Swami.mp3")</f>
        <v>Jagannath_Puri_Yatra_2001_02_-_Lec_At_Kalyan_Mandapa_-_Radhanath_Swami.mp3</v>
      </c>
      <c r="D5286" s="11"/>
      <c r="E5286" s="11"/>
    </row>
    <row r="5287" spans="1:5">
      <c r="A5287" s="12" t="s">
        <v>12464</v>
      </c>
      <c r="B5287" s="12" t="s">
        <v>17784</v>
      </c>
      <c r="C5287" s="13" t="str">
        <f>HYPERLINK("https://audio.iskcondesiretree.com/02_-_ISKCON_Swamis/ISKCON_Swamis_-_R_to_Y/His_Holiness_Radhanath_Swami/Lectures/02_-_Yatra/Jaganath_Puri_yatra/2001/Jagannath_Puri_Yatra_2001_03_-_Lec_At_Kalyan_Mandapa_-_Radhanath_Swami.mp3", "Jagannath_Puri_Yatra_2001_03_-_Lec_At_Kalyan_Mandapa_-_Radhanath_Swami.mp3")</f>
        <v>Jagannath_Puri_Yatra_2001_03_-_Lec_At_Kalyan_Mandapa_-_Radhanath_Swami.mp3</v>
      </c>
      <c r="D5287" s="11"/>
      <c r="E5287" s="11"/>
    </row>
    <row r="5288" spans="1:5">
      <c r="A5288" s="12" t="s">
        <v>12464</v>
      </c>
      <c r="B5288" s="12" t="s">
        <v>17785</v>
      </c>
      <c r="C5288" s="13" t="str">
        <f>HYPERLINK("https://audio.iskcondesiretree.com/02_-_ISKCON_Swamis/ISKCON_Swamis_-_R_to_Y/His_Holiness_Radhanath_Swami/Lectures/02_-_Yatra/Jaganath_Puri_yatra/2006/Jaganath_Puri_Yatra_2006_01_-_Appearance_of_Lord_Jagannath_-_Radhanath_Swami.mp3", "Jaganath_Puri_Yatra_2006_01_-_Appearance_of_Lord_Jagannath_-_Radhanath_Swami.mp3")</f>
        <v>Jaganath_Puri_Yatra_2006_01_-_Appearance_of_Lord_Jagannath_-_Radhanath_Swami.mp3</v>
      </c>
      <c r="D5288" s="11"/>
      <c r="E5288" s="11"/>
    </row>
    <row r="5289" spans="1:5">
      <c r="A5289" s="12" t="s">
        <v>12464</v>
      </c>
      <c r="B5289" s="12" t="s">
        <v>17786</v>
      </c>
      <c r="C5289" s="13" t="str">
        <f>HYPERLINK("https://audio.iskcondesiretree.com/02_-_ISKCON_Swamis/ISKCON_Swamis_-_R_to_Y/His_Holiness_Radhanath_Swami/Lectures/02_-_Yatra/Jaganath_Puri_yatra/2006/Jaganath_Puri_Yatra_2006_02_-_The_Simha_Guru_Jananivas_Prabhu_Devamrita_Swami_-_Radhanath_Swami.mp3", "Jaganath_Puri_Yatra_2006_02_-_The_Simha_Guru_Jananivas_Prabhu_Devamrita_Swami_-_Radhanath_Swami.mp3")</f>
        <v>Jaganath_Puri_Yatra_2006_02_-_The_Simha_Guru_Jananivas_Prabhu_Devamrita_Swami_-_Radhanath_Swami.mp3</v>
      </c>
      <c r="D5289" s="11"/>
      <c r="E5289" s="11"/>
    </row>
    <row r="5290" spans="1:5">
      <c r="A5290" s="12" t="s">
        <v>12464</v>
      </c>
      <c r="B5290" s="12" t="s">
        <v>17787</v>
      </c>
      <c r="C5290" s="13" t="str">
        <f>HYPERLINK("https://audio.iskcondesiretree.com/02_-_ISKCON_Swamis/ISKCON_Swamis_-_R_to_Y/His_Holiness_Radhanath_Swami/Lectures/02_-_Yatra/Jaganath_Puri_yatra/2006/Jaganath_Puri_Yatra_2006_03_-_Begging_Humility_from_Haridas_Thakur_Indradyumna_Swami.mp3", "Jaganath_Puri_Yatra_2006_03_-_Begging_Humility_from_Haridas_Thakur_Indradyumna_Swami.mp3")</f>
        <v>Jaganath_Puri_Yatra_2006_03_-_Begging_Humility_from_Haridas_Thakur_Indradyumna_Swami.mp3</v>
      </c>
      <c r="D5290" s="11"/>
      <c r="E5290" s="11"/>
    </row>
    <row r="5291" spans="1:5">
      <c r="A5291" s="12" t="s">
        <v>12464</v>
      </c>
      <c r="B5291" s="12" t="s">
        <v>17788</v>
      </c>
      <c r="C5291" s="13" t="str">
        <f>HYPERLINK("https://audio.iskcondesiretree.com/02_-_ISKCON_Swamis/ISKCON_Swamis_-_R_to_Y/His_Holiness_Radhanath_Swami/Lectures/02_-_Yatra/Jaganath_Puri_yatra/2006/Jaganath_Puri_Yatra_2006_04_-_Chanting_in_the_Footsteps_of_Haridas_Thakur_Sacinandan_Swami.mp3", "Jaganath_Puri_Yatra_2006_04_-_Chanting_in_the_Footsteps_of_Haridas_Thakur_Sacinandan_Swami.mp3")</f>
        <v>Jaganath_Puri_Yatra_2006_04_-_Chanting_in_the_Footsteps_of_Haridas_Thakur_Sacinandan_Swami.mp3</v>
      </c>
      <c r="D5291" s="11"/>
      <c r="E5291" s="11"/>
    </row>
    <row r="5292" spans="1:5">
      <c r="A5292" s="12" t="s">
        <v>12464</v>
      </c>
      <c r="B5292" s="12" t="s">
        <v>17789</v>
      </c>
      <c r="C5292" s="13" t="str">
        <f>HYPERLINK("https://audio.iskcondesiretree.com/02_-_ISKCON_Swamis/ISKCON_Swamis_-_R_to_Y/His_Holiness_Radhanath_Swami/Lectures/02_-_Yatra/Jaganath_Puri_yatra/2006/Jaganath_Puri_Yatra_2006_05_-_Life_%26_Teachings_of_Srila_Haridas_Thakur_-_Radhanath_Swami.mp3", "Jaganath_Puri_Yatra_2006_05_-_Life_%26_Teachings_of_Srila_Haridas_Thakur_-_Radhanath_Swami.mp3")</f>
        <v>Jaganath_Puri_Yatra_2006_05_-_Life_%26_Teachings_of_Srila_Haridas_Thakur_-_Radhanath_Swami.mp3</v>
      </c>
      <c r="D5292" s="11"/>
      <c r="E5292" s="11"/>
    </row>
    <row r="5293" spans="1:5">
      <c r="A5293" s="12" t="s">
        <v>12464</v>
      </c>
      <c r="B5293" s="12" t="s">
        <v>17790</v>
      </c>
      <c r="C5293" s="13" t="str">
        <f>HYPERLINK("https://audio.iskcondesiretree.com/02_-_ISKCON_Swamis/ISKCON_Swamis_-_R_to_Y/His_Holiness_Radhanath_Swami/Lectures/02_-_Yatra/Jaganath_Puri_yatra/2006/Jaganath_Puri_Yatra_2006_06_-_The_Blazing_Fear_of_Separation_from_Lord_Caitanya_Devamrita_Swami.mp3", "Jaganath_Puri_Yatra_2006_06_-_The_Blazing_Fear_of_Separation_from_Lord_Caitanya_Devamrita_Swami.mp3")</f>
        <v>Jaganath_Puri_Yatra_2006_06_-_The_Blazing_Fear_of_Separation_from_Lord_Caitanya_Devamrita_Swami.mp3</v>
      </c>
      <c r="D5293" s="11"/>
      <c r="E5293" s="11"/>
    </row>
    <row r="5294" spans="1:5">
      <c r="A5294" s="12" t="s">
        <v>12464</v>
      </c>
      <c r="B5294" s="12" t="s">
        <v>17791</v>
      </c>
      <c r="C5294" s="13" t="str">
        <f>HYPERLINK("https://audio.iskcondesiretree.com/02_-_ISKCON_Swamis/ISKCON_Swamis_-_R_to_Y/His_Holiness_Radhanath_Swami/Lectures/02_-_Yatra/Jaganath_Puri_yatra/2006/Jaganath_Puri_Yatra_2006_07_-_Humility_%26_Tolerance_of_Gadadhar_Pandit_Chandramouli_Swami.mp3", "Jaganath_Puri_Yatra_2006_07_-_Humility_%26_Tolerance_of_Gadadhar_Pandit_Chandramouli_Swami.mp3")</f>
        <v>Jaganath_Puri_Yatra_2006_07_-_Humility_%26_Tolerance_of_Gadadhar_Pandit_Chandramouli_Swami.mp3</v>
      </c>
      <c r="D5294" s="11"/>
      <c r="E5294" s="11"/>
    </row>
    <row r="5295" spans="1:5">
      <c r="A5295" s="12" t="s">
        <v>12464</v>
      </c>
      <c r="B5295" s="12" t="s">
        <v>17792</v>
      </c>
      <c r="C5295" s="13" t="str">
        <f>HYPERLINK("https://audio.iskcondesiretree.com/02_-_ISKCON_Swamis/ISKCON_Swamis_-_R_to_Y/His_Holiness_Radhanath_Swami/Lectures/02_-_Yatra/Jaganath_Puri_yatra/2006/Jaganath_Puri_Yatra_2006_08_-_The_Glories_of_Gadadhar_Pandit_-_Radhanath_Swami.mp3", "Jaganath_Puri_Yatra_2006_08_-_The_Glories_of_Gadadhar_Pandit_-_Radhanath_Swami.mp3")</f>
        <v>Jaganath_Puri_Yatra_2006_08_-_The_Glories_of_Gadadhar_Pandit_-_Radhanath_Swami.mp3</v>
      </c>
      <c r="D5295" s="11"/>
      <c r="E5295" s="11"/>
    </row>
    <row r="5296" spans="1:5">
      <c r="A5296" s="12" t="s">
        <v>12464</v>
      </c>
      <c r="B5296" s="12" t="s">
        <v>17793</v>
      </c>
      <c r="C5296" s="13" t="str">
        <f>HYPERLINK("https://audio.iskcondesiretree.com/02_-_ISKCON_Swamis/ISKCON_Swamis_-_R_to_Y/His_Holiness_Radhanath_Swami/Lectures/02_-_Yatra/Jaganath_Puri_yatra/2006/Jaganath_Puri_Yatra_2006_09_-_Spiritual_Emotions_of_Lord_Caitanya_Mahaprabhu_Pankajangari_Prabhu.mp3", "Jaganath_Puri_Yatra_2006_09_-_Spiritual_Emotions_of_Lord_Caitanya_Mahaprabhu_Pankajangari_Prabhu.mp3")</f>
        <v>Jaganath_Puri_Yatra_2006_09_-_Spiritual_Emotions_of_Lord_Caitanya_Mahaprabhu_Pankajangari_Prabhu.mp3</v>
      </c>
      <c r="D5296" s="11"/>
      <c r="E5296" s="11"/>
    </row>
    <row r="5297" spans="1:5">
      <c r="A5297" s="12" t="s">
        <v>12464</v>
      </c>
      <c r="B5297" s="12" t="s">
        <v>17794</v>
      </c>
      <c r="C5297" s="13" t="str">
        <f>HYPERLINK("https://audio.iskcondesiretree.com/02_-_ISKCON_Swamis/ISKCON_Swamis_-_R_to_Y/His_Holiness_Radhanath_Swami/Lectures/02_-_Yatra/Jaganath_Puri_yatra/2006/Jaganath_Puri_Yatra_2006_10_-_Lord_Caitanya%27s_Pastimes_at_Gambira_-_Radhanath_Swami.mp3", "Jaganath_Puri_Yatra_2006_10_-_Lord_Caitanya%27s_Pastimes_at_Gambira_-_Radhanath_Swami.mp3")</f>
        <v>Jaganath_Puri_Yatra_2006_10_-_Lord_Caitanya%27s_Pastimes_at_Gambira_-_Radhanath_Swami.mp3</v>
      </c>
      <c r="D5297" s="11"/>
      <c r="E5297" s="11"/>
    </row>
    <row r="5298" spans="1:5">
      <c r="A5298" s="12" t="s">
        <v>12464</v>
      </c>
      <c r="B5298" s="12" t="s">
        <v>17795</v>
      </c>
      <c r="C5298" s="13" t="str">
        <f>HYPERLINK("https://audio.iskcondesiretree.com/02_-_ISKCON_Swamis/ISKCON_Swamis_-_R_to_Y/His_Holiness_Radhanath_Swami/Lectures/02_-_Yatra/Jaganath_Puri_yatra/2006/Jaganath_Puri_Yatra_2006_11_-_Yatra_Realizations_Sacinandan_Swami.mp3", "Jaganath_Puri_Yatra_2006_11_-_Yatra_Realizations_Sacinandan_Swami.mp3")</f>
        <v>Jaganath_Puri_Yatra_2006_11_-_Yatra_Realizations_Sacinandan_Swami.mp3</v>
      </c>
      <c r="D5298" s="11"/>
      <c r="E5298" s="11"/>
    </row>
    <row r="5299" spans="1:5">
      <c r="A5299" s="12" t="s">
        <v>12464</v>
      </c>
      <c r="B5299" s="12" t="s">
        <v>17796</v>
      </c>
      <c r="C5299" s="13" t="str">
        <f>HYPERLINK("https://audio.iskcondesiretree.com/02_-_ISKCON_Swamis/ISKCON_Swamis_-_R_to_Y/His_Holiness_Radhanath_Swami/Lectures/02_-_Yatra/Jaganath_Puri_yatra/2006/Jaganath_Puri_Yatra_2006_12_-_Yatra_Realizations_Jananivas_Prabhu.mp3", "Jaganath_Puri_Yatra_2006_12_-_Yatra_Realizations_Jananivas_Prabhu.mp3")</f>
        <v>Jaganath_Puri_Yatra_2006_12_-_Yatra_Realizations_Jananivas_Prabhu.mp3</v>
      </c>
      <c r="D5299" s="11"/>
      <c r="E5299" s="11"/>
    </row>
    <row r="5300" spans="1:5">
      <c r="A5300" s="12" t="s">
        <v>12464</v>
      </c>
      <c r="B5300" s="12" t="s">
        <v>17797</v>
      </c>
      <c r="C5300" s="13" t="str">
        <f>HYPERLINK("https://audio.iskcondesiretree.com/02_-_ISKCON_Swamis/ISKCON_Swamis_-_R_to_Y/His_Holiness_Radhanath_Swami/Lectures/02_-_Yatra/Jaganath_Puri_yatra/2006/Jaganath_Puri_Yatra_2006_13_-_Yatra_Realizations_Chandramouli_Swami.mp3", "Jaganath_Puri_Yatra_2006_13_-_Yatra_Realizations_Chandramouli_Swami.mp3")</f>
        <v>Jaganath_Puri_Yatra_2006_13_-_Yatra_Realizations_Chandramouli_Swami.mp3</v>
      </c>
      <c r="D5300" s="11"/>
      <c r="E5300" s="11"/>
    </row>
    <row r="5301" spans="1:5">
      <c r="A5301" s="12" t="s">
        <v>12464</v>
      </c>
      <c r="B5301" s="12" t="s">
        <v>17798</v>
      </c>
      <c r="C5301" s="13" t="str">
        <f>HYPERLINK("https://audio.iskcondesiretree.com/02_-_ISKCON_Swamis/ISKCON_Swamis_-_R_to_Y/His_Holiness_Radhanath_Swami/Lectures/02_-_Yatra/Jaganath_Puri_yatra/2006/Jaganath_Puri_Yatra_2006_14_-_Yatra_Realizations_-_Radhanath_Swami.mp3", "Jaganath_Puri_Yatra_2006_14_-_Yatra_Realizations_-_Radhanath_Swami.mp3")</f>
        <v>Jaganath_Puri_Yatra_2006_14_-_Yatra_Realizations_-_Radhanath_Swami.mp3</v>
      </c>
      <c r="D5301" s="11"/>
      <c r="E5301" s="11"/>
    </row>
    <row r="5302" spans="1:5">
      <c r="A5302" s="12" t="s">
        <v>12464</v>
      </c>
      <c r="B5302" s="12" t="s">
        <v>17799</v>
      </c>
      <c r="C5302" s="13" t="str">
        <f>HYPERLINK("https://audio.iskcondesiretree.com/02_-_ISKCON_Swamis/ISKCON_Swamis_-_R_to_Y/His_Holiness_Radhanath_Swami/Lectures/02_-_Yatra/Jaganath_Puri_yatra/2013/Jagannath_Puri_Yatra_2013-07-07_-_Hare_Krishna_Kirtan_-_Radhanath_Swami.mp3", "Jagannath_Puri_Yatra_2013-07-07_-_Hare_Krishna_Kirtan_-_Radhanath_Swami.mp3")</f>
        <v>Jagannath_Puri_Yatra_2013-07-07_-_Hare_Krishna_Kirtan_-_Radhanath_Swami.mp3</v>
      </c>
      <c r="D5302" s="11"/>
      <c r="E5302" s="11"/>
    </row>
    <row r="5303" spans="1:5">
      <c r="A5303" s="12" t="s">
        <v>12464</v>
      </c>
      <c r="B5303" s="12" t="s">
        <v>17800</v>
      </c>
      <c r="C5303" s="13" t="str">
        <f>HYPERLINK("https://audio.iskcondesiretree.com/02_-_ISKCON_Swamis/ISKCON_Swamis_-_R_to_Y/His_Holiness_Radhanath_Swami/Lectures/02_-_Yatra/Jaganath_Puri_yatra/2013/Jagannath_Puri_Yatra_2013-09-09_-_The_Process_of_Rath_Yatra_%28Morning_Lecture%29_-_Radhanath_Swami.mp3", "Jagannath_Puri_Yatra_2013-09-09_-_The_Process_of_Rath_Yatra_%28Morning_Lecture%29_-_Radhanath_Swami.mp3")</f>
        <v>Jagannath_Puri_Yatra_2013-09-09_-_The_Process_of_Rath_Yatra_%28Morning_Lecture%29_-_Radhanath_Swami.mp3</v>
      </c>
      <c r="D5303" s="11"/>
      <c r="E5303" s="11"/>
    </row>
    <row r="5304" spans="1:5">
      <c r="A5304" s="12" t="s">
        <v>12464</v>
      </c>
      <c r="B5304" s="12" t="s">
        <v>17801</v>
      </c>
      <c r="C5304" s="13" t="str">
        <f>HYPERLINK("https://audio.iskcondesiretree.com/02_-_ISKCON_Swamis/ISKCON_Swamis_-_R_to_Y/His_Holiness_Radhanath_Swami/Lectures/02_-_Yatra/Jaipur_yatra/Jaipur_Yatra_01_-_Pastimes_of_Radha_Govinda_-_Radhanath_Swami.mp3", "Jaipur_Yatra_01_-_Pastimes_of_Radha_Govinda_-_Radhanath_Swami.mp3")</f>
        <v>Jaipur_Yatra_01_-_Pastimes_of_Radha_Govinda_-_Radhanath_Swami.mp3</v>
      </c>
      <c r="D5304" s="11"/>
      <c r="E5304" s="11"/>
    </row>
    <row r="5305" spans="1:5">
      <c r="A5305" s="12" t="s">
        <v>12464</v>
      </c>
      <c r="B5305" s="12" t="s">
        <v>17802</v>
      </c>
      <c r="C5305" s="13" t="str">
        <f>HYPERLINK("https://audio.iskcondesiretree.com/02_-_ISKCON_Swamis/ISKCON_Swamis_-_R_to_Y/His_Holiness_Radhanath_Swami/Lectures/02_-_Yatra/Jaipur_yatra/Jaipur_Yatra_02_-_Pastimes_of_Radha_Gopinath_-_Radhanath_Swami.mp3", "Jaipur_Yatra_02_-_Pastimes_of_Radha_Gopinath_-_Radhanath_Swami.mp3")</f>
        <v>Jaipur_Yatra_02_-_Pastimes_of_Radha_Gopinath_-_Radhanath_Swami.mp3</v>
      </c>
      <c r="D5305" s="11"/>
      <c r="E5305" s="11"/>
    </row>
    <row r="5306" spans="1:5">
      <c r="A5306" s="12" t="s">
        <v>12464</v>
      </c>
      <c r="B5306" s="12" t="s">
        <v>17803</v>
      </c>
      <c r="C5306" s="13" t="str">
        <f>HYPERLINK("https://audio.iskcondesiretree.com/02_-_ISKCON_Swamis/ISKCON_Swamis_-_R_to_Y/His_Holiness_Radhanath_Swami/Lectures/02_-_Yatra/Jaipur_yatra/Jaipur_Yatra_03_-_Pastimes_of_Radha_Vinoda_-_Radhanath_Swami.mp3", "Jaipur_Yatra_03_-_Pastimes_of_Radha_Vinoda_-_Radhanath_Swami.mp3")</f>
        <v>Jaipur_Yatra_03_-_Pastimes_of_Radha_Vinoda_-_Radhanath_Swami.mp3</v>
      </c>
      <c r="D5306" s="11"/>
      <c r="E5306" s="11"/>
    </row>
    <row r="5307" spans="1:5">
      <c r="A5307" s="12" t="s">
        <v>12464</v>
      </c>
      <c r="B5307" s="12" t="s">
        <v>17804</v>
      </c>
      <c r="C5307" s="13" t="str">
        <f>HYPERLINK("https://audio.iskcondesiretree.com/02_-_ISKCON_Swamis/ISKCON_Swamis_-_R_to_Y/His_Holiness_Radhanath_Swami/Lectures/02_-_Yatra/Jaipur_yatra/Jaipur_Yatra_04_-_Pastimes_of_Radha_Damodar_-_Radhanath_Swami.mp3", "Jaipur_Yatra_04_-_Pastimes_of_Radha_Damodar_-_Radhanath_Swami.mp3")</f>
        <v>Jaipur_Yatra_04_-_Pastimes_of_Radha_Damodar_-_Radhanath_Swami.mp3</v>
      </c>
      <c r="D5307" s="11"/>
      <c r="E5307" s="11"/>
    </row>
    <row r="5308" spans="1:5">
      <c r="A5308" s="12" t="s">
        <v>12464</v>
      </c>
      <c r="B5308" s="12" t="s">
        <v>17805</v>
      </c>
      <c r="C5308" s="13" t="str">
        <f>HYPERLINK("https://audio.iskcondesiretree.com/02_-_ISKCON_Swamis/ISKCON_Swamis_-_R_to_Y/His_Holiness_Radhanath_Swami/Lectures/02_-_Yatra/Jaipur_yatra/Jaipur_Yatra_05_-_Pastimes_of_Radha_Madan_Mohan_-_Radhanath_Swami.mp3", "Jaipur_Yatra_05_-_Pastimes_of_Radha_Madan_Mohan_-_Radhanath_Swami.mp3")</f>
        <v>Jaipur_Yatra_05_-_Pastimes_of_Radha_Madan_Mohan_-_Radhanath_Swami.mp3</v>
      </c>
      <c r="D5308" s="11"/>
      <c r="E5308" s="11"/>
    </row>
    <row r="5309" spans="1:5">
      <c r="A5309" s="12" t="s">
        <v>12464</v>
      </c>
      <c r="B5309" s="12" t="s">
        <v>17806</v>
      </c>
      <c r="C5309" s="13" t="str">
        <f>HYPERLINK("https://audio.iskcondesiretree.com/02_-_ISKCON_Swamis/ISKCON_Swamis_-_R_to_Y/His_Holiness_Radhanath_Swami/Lectures/02_-_Yatra/Jaipur_yatra/Jaipur_Yatra_06_-_Glorification_of_Jaydev_Goswami_-_Radhanath_Swami.mp3", "Jaipur_Yatra_06_-_Glorification_of_Jaydev_Goswami_-_Radhanath_Swami.mp3")</f>
        <v>Jaipur_Yatra_06_-_Glorification_of_Jaydev_Goswami_-_Radhanath_Swami.mp3</v>
      </c>
      <c r="D5309" s="11"/>
      <c r="E5309" s="11"/>
    </row>
    <row r="5310" spans="1:5">
      <c r="A5310" s="12" t="s">
        <v>12464</v>
      </c>
      <c r="B5310" s="12" t="s">
        <v>17807</v>
      </c>
      <c r="C5310" s="13" t="str">
        <f>HYPERLINK("https://audio.iskcondesiretree.com/02_-_ISKCON_Swamis/ISKCON_Swamis_-_R_to_Y/His_Holiness_Radhanath_Swami/Lectures/02_-_Yatra/Jaipur_yatra/Jaipur_Yatra_07_-_Baldev_Vidyabhushan_defeating_Mayavadis_-_Radhanath_Swami.mp3", "Jaipur_Yatra_07_-_Baldev_Vidyabhushan_defeating_Mayavadis_-_Radhanath_Swami.mp3")</f>
        <v>Jaipur_Yatra_07_-_Baldev_Vidyabhushan_defeating_Mayavadis_-_Radhanath_Swami.mp3</v>
      </c>
      <c r="D5310" s="11"/>
      <c r="E5310" s="11"/>
    </row>
    <row r="5311" spans="1:5">
      <c r="A5311" s="12" t="s">
        <v>12464</v>
      </c>
      <c r="B5311" s="12" t="s">
        <v>17808</v>
      </c>
      <c r="C5311" s="13" t="str">
        <f>HYPERLINK("https://audio.iskcondesiretree.com/02_-_ISKCON_Swamis/ISKCON_Swamis_-_R_to_Y/His_Holiness_Radhanath_Swami/Lectures/02_-_Yatra/Jaipur_yatra/Jaipur_Yatra_08_-_Radha_Krsna_Gati_-_Radhanath_Swami.mp3", "Jaipur_Yatra_08_-_Radha_Krsna_Gati_-_Radhanath_Swami.mp3")</f>
        <v>Jaipur_Yatra_08_-_Radha_Krsna_Gati_-_Radhanath_Swami.mp3</v>
      </c>
      <c r="D5311" s="11"/>
      <c r="E5311" s="11"/>
    </row>
    <row r="5312" spans="1:5">
      <c r="A5312" s="12" t="s">
        <v>12464</v>
      </c>
      <c r="B5312" s="12" t="s">
        <v>17809</v>
      </c>
      <c r="C5312" s="13" t="str">
        <f>HYPERLINK("https://audio.iskcondesiretree.com/02_-_ISKCON_Swamis/ISKCON_Swamis_-_R_to_Y/His_Holiness_Radhanath_Swami/Lectures/02_-_Yatra/Kurukshetra_Yatra/1994/Kurukshetra_Yatra_1994_01_-_Jyotisar-Place_where_BG_was_spoken_-_Radhanath_Swami.mp3", "Kurukshetra_Yatra_1994_01_-_Jyotisar-Place_where_BG_was_spoken_-_Radhanath_Swami.mp3")</f>
        <v>Kurukshetra_Yatra_1994_01_-_Jyotisar-Place_where_BG_was_spoken_-_Radhanath_Swami.mp3</v>
      </c>
      <c r="D5312" s="11"/>
      <c r="E5312" s="11"/>
    </row>
    <row r="5313" spans="1:5">
      <c r="A5313" s="12" t="s">
        <v>12464</v>
      </c>
      <c r="B5313" s="12" t="s">
        <v>17810</v>
      </c>
      <c r="C5313" s="13" t="str">
        <f>HYPERLINK("https://audio.iskcondesiretree.com/02_-_ISKCON_Swamis/ISKCON_Swamis_-_R_to_Y/His_Holiness_Radhanath_Swami/Lectures/02_-_Yatra/Kurukshetra_Yatra/1994/Kurukshetra_Yatra_1994_02_-_Bana_Shaiya-Place_where_Bhisma_Lay_on_Arrows_-_Radhanath_Swami.mp3", "Kurukshetra_Yatra_1994_02_-_Bana_Shaiya-Place_where_Bhisma_Lay_on_Arrows_-_Radhanath_Swami.mp3")</f>
        <v>Kurukshetra_Yatra_1994_02_-_Bana_Shaiya-Place_where_Bhisma_Lay_on_Arrows_-_Radhanath_Swami.mp3</v>
      </c>
      <c r="D5313" s="11"/>
      <c r="E5313" s="11"/>
    </row>
    <row r="5314" spans="1:5">
      <c r="A5314" s="12" t="s">
        <v>12464</v>
      </c>
      <c r="B5314" s="12" t="s">
        <v>17811</v>
      </c>
      <c r="C5314" s="13" t="str">
        <f>HYPERLINK("https://audio.iskcondesiretree.com/02_-_ISKCON_Swamis/ISKCON_Swamis_-_R_to_Y/His_Holiness_Radhanath_Swami/Lectures/02_-_Yatra/Kurukshetra_Yatra/1994/Kurukshetra_Yatra_1994_03_-_Surya_kund-Place_where_Duryodhan_was_killed_-_Radhanath_Swami.mp3", "Kurukshetra_Yatra_1994_03_-_Surya_kund-Place_where_Duryodhan_was_killed_-_Radhanath_Swami.mp3")</f>
        <v>Kurukshetra_Yatra_1994_03_-_Surya_kund-Place_where_Duryodhan_was_killed_-_Radhanath_Swami.mp3</v>
      </c>
      <c r="D5314" s="11"/>
      <c r="E5314" s="11"/>
    </row>
    <row r="5315" spans="1:5">
      <c r="A5315" s="12" t="s">
        <v>12464</v>
      </c>
      <c r="B5315" s="12" t="s">
        <v>17812</v>
      </c>
      <c r="C5315" s="13" t="str">
        <f>HYPERLINK("https://audio.iskcondesiretree.com/02_-_ISKCON_Swamis/ISKCON_Swamis_-_R_to_Y/His_Holiness_Radhanath_Swami/Lectures/02_-_Yatra/Kurukshetra_Yatra/1994/Kurukshetra_Yatra_1994_04_-_Amin-Place_Where_Abhimanyu_Was_Killed_-_Radhanath_Swami.mp3", "Kurukshetra_Yatra_1994_04_-_Amin-Place_Where_Abhimanyu_Was_Killed_-_Radhanath_Swami.mp3")</f>
        <v>Kurukshetra_Yatra_1994_04_-_Amin-Place_Where_Abhimanyu_Was_Killed_-_Radhanath_Swami.mp3</v>
      </c>
      <c r="D5315" s="11"/>
      <c r="E5315" s="11"/>
    </row>
    <row r="5316" spans="1:5">
      <c r="A5316" s="12" t="s">
        <v>12464</v>
      </c>
      <c r="B5316" s="12" t="s">
        <v>17813</v>
      </c>
      <c r="C5316" s="13" t="str">
        <f>HYPERLINK("https://audio.iskcondesiretree.com/02_-_ISKCON_Swamis/ISKCON_Swamis_-_R_to_Y/His_Holiness_Radhanath_Swami/Lectures/02_-_Yatra/Kurukshetra_Yatra/1995/Kurukshetra_Yatra_1995_01_-_Bhishma_Kund_-_Radhanath_Swami.mp3", "Kurukshetra_Yatra_1995_01_-_Bhishma_Kund_-_Radhanath_Swami.mp3")</f>
        <v>Kurukshetra_Yatra_1995_01_-_Bhishma_Kund_-_Radhanath_Swami.mp3</v>
      </c>
      <c r="D5316" s="11"/>
      <c r="E5316" s="11"/>
    </row>
    <row r="5317" spans="1:5">
      <c r="A5317" s="12" t="s">
        <v>12464</v>
      </c>
      <c r="B5317" s="12" t="s">
        <v>17814</v>
      </c>
      <c r="C5317" s="13" t="str">
        <f>HYPERLINK("https://audio.iskcondesiretree.com/02_-_ISKCON_Swamis/ISKCON_Swamis_-_R_to_Y/His_Holiness_Radhanath_Swami/Lectures/02_-_Yatra/Kurukshetra_Yatra/1995/Kurukshetra_Yatra_1995_02_-_Sannihit_Sarovar_-_Radhanath_Swami.mp3", "Kurukshetra_Yatra_1995_02_-_Sannihit_Sarovar_-_Radhanath_Swami.mp3")</f>
        <v>Kurukshetra_Yatra_1995_02_-_Sannihit_Sarovar_-_Radhanath_Swami.mp3</v>
      </c>
      <c r="D5317" s="11"/>
      <c r="E5317" s="11"/>
    </row>
    <row r="5318" spans="1:5">
      <c r="A5318" s="12" t="s">
        <v>12464</v>
      </c>
      <c r="B5318" s="12" t="s">
        <v>17815</v>
      </c>
      <c r="C5318" s="13" t="str">
        <f>HYPERLINK("https://audio.iskcondesiretree.com/02_-_ISKCON_Swamis/ISKCON_Swamis_-_R_to_Y/His_Holiness_Radhanath_Swami/Lectures/02_-_Yatra/Kurukshetra_Yatra/1995/Kurukshetra_Yatra_1995_03_-_Bhadra_kali_mandir_-_Radhanath_Swami.mp3", "Kurukshetra_Yatra_1995_03_-_Bhadra_kali_mandir_-_Radhanath_Swami.mp3")</f>
        <v>Kurukshetra_Yatra_1995_03_-_Bhadra_kali_mandir_-_Radhanath_Swami.mp3</v>
      </c>
      <c r="D5318" s="11"/>
      <c r="E5318" s="11"/>
    </row>
    <row r="5319" spans="1:5">
      <c r="A5319" s="12" t="s">
        <v>12464</v>
      </c>
      <c r="B5319" s="12" t="s">
        <v>17816</v>
      </c>
      <c r="C5319" s="13" t="str">
        <f>HYPERLINK("https://audio.iskcondesiretree.com/02_-_ISKCON_Swamis/ISKCON_Swamis_-_R_to_Y/His_Holiness_Radhanath_Swami/Lectures/02_-_Yatra/Kurukshetra_Yatra/1995/Kurukshetra_Yatra_1995_04_-_Jyoti_sar_-_Radhanath_Swami.mp3", "Kurukshetra_Yatra_1995_04_-_Jyoti_sar_-_Radhanath_Swami.mp3")</f>
        <v>Kurukshetra_Yatra_1995_04_-_Jyoti_sar_-_Radhanath_Swami.mp3</v>
      </c>
      <c r="D5319" s="11"/>
      <c r="E5319" s="11"/>
    </row>
    <row r="5320" spans="1:5">
      <c r="A5320" s="12" t="s">
        <v>12464</v>
      </c>
      <c r="B5320" s="12" t="s">
        <v>17817</v>
      </c>
      <c r="C5320" s="13" t="str">
        <f>HYPERLINK("https://audio.iskcondesiretree.com/02_-_ISKCON_Swamis/ISKCON_Swamis_-_R_to_Y/His_Holiness_Radhanath_Swami/Lectures/02_-_Yatra/Nashik/1995/Nashik_Yatra_1995_01_-_Tapovan_-_Radhanath_Swami.mp3", "Nashik_Yatra_1995_01_-_Tapovan_-_Radhanath_Swami.mp3")</f>
        <v>Nashik_Yatra_1995_01_-_Tapovan_-_Radhanath_Swami.mp3</v>
      </c>
      <c r="D5320" s="11"/>
      <c r="E5320" s="11"/>
    </row>
    <row r="5321" spans="1:5">
      <c r="A5321" s="12" t="s">
        <v>12464</v>
      </c>
      <c r="B5321" s="12" t="s">
        <v>17818</v>
      </c>
      <c r="C5321" s="13" t="str">
        <f>HYPERLINK("https://audio.iskcondesiretree.com/02_-_ISKCON_Swamis/ISKCON_Swamis_-_R_to_Y/His_Holiness_Radhanath_Swami/Lectures/02_-_Yatra/Nashik/1995/Nashik_Yatra_1995_02_-_Confluence_of_river_Godavari_%26_Kapila_-_Radhanath_Swami.mp3", "Nashik_Yatra_1995_02_-_Confluence_of_river_Godavari_%26_Kapila_-_Radhanath_Swami.mp3")</f>
        <v>Nashik_Yatra_1995_02_-_Confluence_of_river_Godavari_%26_Kapila_-_Radhanath_Swami.mp3</v>
      </c>
      <c r="D5321" s="11"/>
      <c r="E5321" s="11"/>
    </row>
    <row r="5322" spans="1:5">
      <c r="A5322" s="12" t="s">
        <v>12464</v>
      </c>
      <c r="B5322" s="12" t="s">
        <v>17819</v>
      </c>
      <c r="C5322" s="13" t="str">
        <f>HYPERLINK("https://audio.iskcondesiretree.com/02_-_ISKCON_Swamis/ISKCON_Swamis_-_R_to_Y/His_Holiness_Radhanath_Swami/Lectures/02_-_Yatra/Nashik/1995/Nashik_Yatra_1995_03_-_Place_where_Sita_devi_was_kidnapped_-_Radhanath_Swami.mp3", "Nashik_Yatra_1995_03_-_Place_where_Sita_devi_was_kidnapped_-_Radhanath_Swami.mp3")</f>
        <v>Nashik_Yatra_1995_03_-_Place_where_Sita_devi_was_kidnapped_-_Radhanath_Swami.mp3</v>
      </c>
      <c r="D5322" s="11"/>
      <c r="E5322" s="11"/>
    </row>
    <row r="5323" spans="1:5">
      <c r="A5323" s="12" t="s">
        <v>12464</v>
      </c>
      <c r="B5323" s="12" t="s">
        <v>17820</v>
      </c>
      <c r="C5323" s="13" t="str">
        <f>HYPERLINK("https://audio.iskcondesiretree.com/02_-_ISKCON_Swamis/ISKCON_Swamis_-_R_to_Y/His_Holiness_Radhanath_Swami/Lectures/02_-_Yatra/Nashik/1995/Nashik_Yatra_1995_04_-_Sita_cave_-_Radhanath_Swami.mp3", "Nashik_Yatra_1995_04_-_Sita_cave_-_Radhanath_Swami.mp3")</f>
        <v>Nashik_Yatra_1995_04_-_Sita_cave_-_Radhanath_Swami.mp3</v>
      </c>
      <c r="D5323" s="11"/>
      <c r="E5323" s="11"/>
    </row>
    <row r="5324" spans="1:5">
      <c r="A5324" s="12" t="s">
        <v>12464</v>
      </c>
      <c r="B5324" s="12" t="s">
        <v>17821</v>
      </c>
      <c r="C5324" s="13" t="str">
        <f>HYPERLINK("https://audio.iskcondesiretree.com/02_-_ISKCON_Swamis/ISKCON_Swamis_-_R_to_Y/His_Holiness_Radhanath_Swami/Lectures/02_-_Yatra/Nashik/1995/Nashik_Yatra_1995_05_-_Rama_Kunda_%26_Kapoleshwar_Mahadev_-_Radhanath_Swami.mp3", "Nashik_Yatra_1995_05_-_Rama_Kunda_%26_Kapoleshwar_Mahadev_-_Radhanath_Swami.mp3")</f>
        <v>Nashik_Yatra_1995_05_-_Rama_Kunda_%26_Kapoleshwar_Mahadev_-_Radhanath_Swami.mp3</v>
      </c>
      <c r="D5324" s="11"/>
      <c r="E5324" s="11"/>
    </row>
    <row r="5325" spans="1:5">
      <c r="A5325" s="12" t="s">
        <v>12464</v>
      </c>
      <c r="B5325" s="12" t="s">
        <v>17822</v>
      </c>
      <c r="C5325" s="13" t="str">
        <f>HYPERLINK("https://audio.iskcondesiretree.com/02_-_ISKCON_Swamis/ISKCON_Swamis_-_R_to_Y/His_Holiness_Radhanath_Swami/Lectures/02_-_Yatra/Nashik/1995/Nashik_Yatra_1995_06_-_Triambakeswar_%26_Brahmagiri_-_Radhanath_Swami.mp3", "Nashik_Yatra_1995_06_-_Triambakeswar_%26_Brahmagiri_-_Radhanath_Swami.mp3")</f>
        <v>Nashik_Yatra_1995_06_-_Triambakeswar_%26_Brahmagiri_-_Radhanath_Swami.mp3</v>
      </c>
      <c r="D5325" s="11"/>
      <c r="E5325" s="11"/>
    </row>
    <row r="5326" spans="1:5">
      <c r="A5326" s="12" t="s">
        <v>12464</v>
      </c>
      <c r="B5326" s="12" t="s">
        <v>17823</v>
      </c>
      <c r="C5326" s="13" t="str">
        <f>HYPERLINK("https://audio.iskcondesiretree.com/02_-_ISKCON_Swamis/ISKCON_Swamis_-_R_to_Y/His_Holiness_Radhanath_Swami/Lectures/02_-_Yatra/Nashik/1998/Nashik_Yatra_1998_01_-_Raam_Kund_-_Radhanath_Swami.mp3", "Nashik_Yatra_1998_01_-_Raam_Kund_-_Radhanath_Swami.mp3")</f>
        <v>Nashik_Yatra_1998_01_-_Raam_Kund_-_Radhanath_Swami.mp3</v>
      </c>
      <c r="D5326" s="11"/>
      <c r="E5326" s="11"/>
    </row>
    <row r="5327" spans="1:5">
      <c r="A5327" s="12" t="s">
        <v>12464</v>
      </c>
      <c r="B5327" s="12" t="s">
        <v>17824</v>
      </c>
      <c r="C5327" s="13" t="str">
        <f>HYPERLINK("https://audio.iskcondesiretree.com/02_-_ISKCON_Swamis/ISKCON_Swamis_-_R_to_Y/His_Holiness_Radhanath_Swami/Lectures/02_-_Yatra/Nashik/1998/Nashik_Yatra_1998_02_-_Kalaram_Mandir_-_About%20Panchavati.mp3", "Nashik_Yatra_1998_02_-_Kalaram_Mandir_-_About%20Panchavati.mp3")</f>
        <v>Nashik_Yatra_1998_02_-_Kalaram_Mandir_-_About%20Panchavati.mp3</v>
      </c>
      <c r="D5327" s="11"/>
      <c r="E5327" s="11"/>
    </row>
    <row r="5328" spans="1:5">
      <c r="A5328" s="12" t="s">
        <v>12464</v>
      </c>
      <c r="B5328" s="12" t="s">
        <v>17825</v>
      </c>
      <c r="C5328" s="13" t="str">
        <f>HYPERLINK("https://audio.iskcondesiretree.com/02_-_ISKCON_Swamis/ISKCON_Swamis_-_R_to_Y/His_Holiness_Radhanath_Swami/Lectures/02_-_Yatra/Nashik/1998/Nashik_Yatra_1998_03_-_Sita_Haran_-_Radhanath_Swami.mp3", "Nashik_Yatra_1998_03_-_Sita_Haran_-_Radhanath_Swami.mp3")</f>
        <v>Nashik_Yatra_1998_03_-_Sita_Haran_-_Radhanath_Swami.mp3</v>
      </c>
      <c r="D5328" s="11"/>
      <c r="E5328" s="11"/>
    </row>
    <row r="5329" spans="1:5">
      <c r="A5329" s="12" t="s">
        <v>12464</v>
      </c>
      <c r="B5329" s="12" t="s">
        <v>17826</v>
      </c>
      <c r="C5329" s="13" t="str">
        <f>HYPERLINK("https://audio.iskcondesiretree.com/02_-_ISKCON_Swamis/ISKCON_Swamis_-_R_to_Y/His_Holiness_Radhanath_Swami/Lectures/02_-_Yatra/Nashik/1998/Nashik_Yatra_1998_04_-_Tapovan_-_Radhanath_Swami.mp3", "Nashik_Yatra_1998_04_-_Tapovan_-_Radhanath_Swami.mp3")</f>
        <v>Nashik_Yatra_1998_04_-_Tapovan_-_Radhanath_Swami.mp3</v>
      </c>
      <c r="D5329" s="11"/>
      <c r="E5329" s="11"/>
    </row>
    <row r="5330" spans="1:5">
      <c r="A5330" s="12" t="s">
        <v>12464</v>
      </c>
      <c r="B5330" s="12" t="s">
        <v>17827</v>
      </c>
      <c r="C5330" s="13" t="str">
        <f>HYPERLINK("https://audio.iskcondesiretree.com/02_-_ISKCON_Swamis/ISKCON_Swamis_-_R_to_Y/His_Holiness_Radhanath_Swami/Lectures/02_-_Yatra/Nashik/1998/Nashik_Yatra_1998_05_-_Trambakeshwar_%26_Kusbarth_Tirth_-_Radhanath_Swami.mp3", "Nashik_Yatra_1998_05_-_Trambakeshwar_%26_Kusbarth_Tirth_-_Radhanath_Swami.mp3")</f>
        <v>Nashik_Yatra_1998_05_-_Trambakeshwar_%26_Kusbarth_Tirth_-_Radhanath_Swami.mp3</v>
      </c>
      <c r="D5330" s="11"/>
      <c r="E5330" s="11"/>
    </row>
    <row r="5331" spans="1:5">
      <c r="A5331" s="12" t="s">
        <v>12464</v>
      </c>
      <c r="B5331" s="12" t="s">
        <v>17828</v>
      </c>
      <c r="C5331" s="13" t="str">
        <f>HYPERLINK("https://audio.iskcondesiretree.com/02_-_ISKCON_Swamis/ISKCON_Swamis_-_R_to_Y/His_Holiness_Radhanath_Swami/Lectures/02_-_Yatra/Nashik/1998/Nashik_Yatra_1998_06_-_Sundarnaryan_Temple.mp3", "Nashik_Yatra_1998_06_-_Sundarnaryan_Temple.mp3")</f>
        <v>Nashik_Yatra_1998_06_-_Sundarnaryan_Temple.mp3</v>
      </c>
      <c r="D5331" s="11"/>
      <c r="E5331" s="11"/>
    </row>
    <row r="5332" spans="1:5">
      <c r="A5332" s="12" t="s">
        <v>12464</v>
      </c>
      <c r="B5332" s="12" t="s">
        <v>17829</v>
      </c>
      <c r="C5332" s="13" t="str">
        <f>HYPERLINK("https://audio.iskcondesiretree.com/02_-_ISKCON_Swamis/ISKCON_Swamis_-_R_to_Y/His_Holiness_Radhanath_Swami/Lectures/02_-_Yatra/Nashik/1998/Nashik_Yatra_1998_07_-_Jatayu_Tirth_-_Radhanath_Swami.mp3", "Nashik_Yatra_1998_07_-_Jatayu_Tirth_-_Radhanath_Swami.mp3")</f>
        <v>Nashik_Yatra_1998_07_-_Jatayu_Tirth_-_Radhanath_Swami.mp3</v>
      </c>
      <c r="D5332" s="11"/>
      <c r="E5332" s="11"/>
    </row>
    <row r="5333" spans="1:5">
      <c r="A5333" s="12" t="s">
        <v>12464</v>
      </c>
      <c r="B5333" s="12" t="s">
        <v>17830</v>
      </c>
      <c r="C5333" s="13" t="str">
        <f>HYPERLINK("https://audio.iskcondesiretree.com/02_-_ISKCON_Swamis/ISKCON_Swamis_-_R_to_Y/His_Holiness_Radhanath_Swami/Lectures/02_-_Yatra/Nilachala_yatra/Nilachala_Yatra_-_Glories_of_Haridas_Thakur_-_Radhanath_Swami.mp3", "Nilachala_Yatra_-_Glories_of_Haridas_Thakur_-_Radhanath_Swami.mp3")</f>
        <v>Nilachala_Yatra_-_Glories_of_Haridas_Thakur_-_Radhanath_Swami.mp3</v>
      </c>
      <c r="D5333" s="11"/>
      <c r="E5333" s="11"/>
    </row>
    <row r="5334" spans="1:5">
      <c r="A5334" s="12" t="s">
        <v>12464</v>
      </c>
      <c r="B5334" s="12" t="s">
        <v>17831</v>
      </c>
      <c r="C5334" s="13" t="str">
        <f>HYPERLINK("https://audio.iskcondesiretree.com/02_-_ISKCON_Swamis/ISKCON_Swamis_-_R_to_Y/His_Holiness_Radhanath_Swami/Lectures/02_-_Yatra/Nilachala_yatra/Nilachala_Yatra_-_Glorifying_A_Ray_of_Vishnu_-_Radhanath_Swami.mp3", "Nilachala_Yatra_-_Glorifying_A_Ray_of_Vishnu_-_Radhanath_Swami.mp3")</f>
        <v>Nilachala_Yatra_-_Glorifying_A_Ray_of_Vishnu_-_Radhanath_Swami.mp3</v>
      </c>
      <c r="D5334" s="11"/>
      <c r="E5334" s="11"/>
    </row>
    <row r="5335" spans="1:5">
      <c r="A5335" s="12" t="s">
        <v>12464</v>
      </c>
      <c r="B5335" s="12" t="s">
        <v>17832</v>
      </c>
      <c r="C5335" s="13" t="str">
        <f>HYPERLINK("https://audio.iskcondesiretree.com/02_-_ISKCON_Swamis/ISKCON_Swamis_-_R_to_Y/His_Holiness_Radhanath_Swami/Lectures/02_-_Yatra/Nilachala_yatra/Nilachala_Yatra_-_Lord_Performing_Pastimes_at_Kamalpur_and_Attarnala_-_Radhanath_Swami.mp3", "Nilachala_Yatra_-_Lord_Performing_Pastimes_at_Kamalpur_and_Attarnala_-_Radhanath_Swami.mp3")</f>
        <v>Nilachala_Yatra_-_Lord_Performing_Pastimes_at_Kamalpur_and_Attarnala_-_Radhanath_Swami.mp3</v>
      </c>
      <c r="D5335" s="11"/>
      <c r="E5335" s="11"/>
    </row>
    <row r="5336" spans="1:5">
      <c r="A5336" s="12" t="s">
        <v>12464</v>
      </c>
      <c r="B5336" s="12" t="s">
        <v>17833</v>
      </c>
      <c r="C5336" s="13" t="str">
        <f>HYPERLINK("https://audio.iskcondesiretree.com/02_-_ISKCON_Swamis/ISKCON_Swamis_-_R_to_Y/His_Holiness_Radhanath_Swami/Lectures/02_-_Yatra/Nilachala_yatra/Nilachala_Yatra_-_Pastimes_at_Chataka_parvat_-_Radhanath_Swami.mp3", "Nilachala_Yatra_-_Pastimes_at_Chataka_parvat_-_Radhanath_Swami.mp3")</f>
        <v>Nilachala_Yatra_-_Pastimes_at_Chataka_parvat_-_Radhanath_Swami.mp3</v>
      </c>
      <c r="D5336" s="11"/>
      <c r="E5336" s="11"/>
    </row>
    <row r="5337" spans="1:5">
      <c r="A5337" s="12" t="s">
        <v>12464</v>
      </c>
      <c r="B5337" s="12" t="s">
        <v>17834</v>
      </c>
      <c r="C5337" s="13" t="str">
        <f>HYPERLINK("https://audio.iskcondesiretree.com/02_-_ISKCON_Swamis/ISKCON_Swamis_-_R_to_Y/His_Holiness_Radhanath_Swami/Lectures/02_-_Yatra/Nilachala_yatra/Nilachala_Yatra_-_Pastimes_at_Indradumna_Sarovar_-_Radhanath_Swami.mp3", "Nilachala_Yatra_-_Pastimes_at_Indradumna_Sarovar_-_Radhanath_Swami.mp3")</f>
        <v>Nilachala_Yatra_-_Pastimes_at_Indradumna_Sarovar_-_Radhanath_Swami.mp3</v>
      </c>
      <c r="D5337" s="11"/>
      <c r="E5337" s="11"/>
    </row>
    <row r="5338" spans="1:5">
      <c r="A5338" s="12" t="s">
        <v>12464</v>
      </c>
      <c r="B5338" s="12" t="s">
        <v>17835</v>
      </c>
      <c r="C5338" s="13" t="str">
        <f>HYPERLINK("https://audio.iskcondesiretree.com/02_-_ISKCON_Swamis/ISKCON_Swamis_-_R_to_Y/His_Holiness_Radhanath_Swami/Lectures/02_-_Yatra/Nilachala_yatra/Nilachala_Yatra_-_Pastimes_at_Jagannath_Vallabh_Garden_%26_Gundicha_Temple_-_Radhanath_Swami.mp3", "Nilachala_Yatra_-_Pastimes_at_Jagannath_Vallabh_Garden_%26_Gundicha_Temple_-_Radhanath_Swami.mp3")</f>
        <v>Nilachala_Yatra_-_Pastimes_at_Jagannath_Vallabh_Garden_%26_Gundicha_Temple_-_Radhanath_Swami.mp3</v>
      </c>
      <c r="D5338" s="11"/>
      <c r="E5338" s="11"/>
    </row>
    <row r="5339" spans="1:5">
      <c r="A5339" s="12" t="s">
        <v>12464</v>
      </c>
      <c r="B5339" s="12" t="s">
        <v>17836</v>
      </c>
      <c r="C5339" s="13" t="str">
        <f>HYPERLINK("https://audio.iskcondesiretree.com/02_-_ISKCON_Swamis/ISKCON_Swamis_-_R_to_Y/His_Holiness_Radhanath_Swami/Lectures/02_-_Yatra/Nilachala_yatra/Nilachala_Yatra_-_Pastimes_at_Narendra_Sarovar_-_Radhanath_Swami.mp3", "Nilachala_Yatra_-_Pastimes_at_Narendra_Sarovar_-_Radhanath_Swami.mp3")</f>
        <v>Nilachala_Yatra_-_Pastimes_at_Narendra_Sarovar_-_Radhanath_Swami.mp3</v>
      </c>
      <c r="D5339" s="11"/>
      <c r="E5339" s="11"/>
    </row>
    <row r="5340" spans="1:5">
      <c r="A5340" s="12" t="s">
        <v>12464</v>
      </c>
      <c r="B5340" s="12" t="s">
        <v>17837</v>
      </c>
      <c r="C5340" s="13" t="str">
        <f>HYPERLINK("https://audio.iskcondesiretree.com/02_-_ISKCON_Swamis/ISKCON_Swamis_-_R_to_Y/His_Holiness_Radhanath_Swami/Lectures/02_-_Yatra/Nilachala_yatra/Nilachala_Yatra_-_Pastimes_at_the_House_of_Sarvabhauma_Bhattacarya_-_Radhanath_Swami.mp3", "Nilachala_Yatra_-_Pastimes_at_the_House_of_Sarvabhauma_Bhattacarya_-_Radhanath_Swami.mp3")</f>
        <v>Nilachala_Yatra_-_Pastimes_at_the_House_of_Sarvabhauma_Bhattacarya_-_Radhanath_Swami.mp3</v>
      </c>
      <c r="D5340" s="11"/>
      <c r="E5340" s="11"/>
    </row>
    <row r="5341" spans="1:5">
      <c r="A5341" s="12" t="s">
        <v>12464</v>
      </c>
      <c r="B5341" s="12" t="s">
        <v>17838</v>
      </c>
      <c r="C5341" s="13" t="str">
        <f>HYPERLINK("https://audio.iskcondesiretree.com/02_-_ISKCON_Swamis/ISKCON_Swamis_-_R_to_Y/His_Holiness_Radhanath_Swami/Lectures/02_-_Yatra/Nilachala_yatra/Nilachala_Yatra_-_Renunciation_of_Raghunath_das_Goswami_-_Radhanath_Swami.mp3", "Nilachala_Yatra_-_Renunciation_of_Raghunath_das_Goswami_-_Radhanath_Swami.mp3")</f>
        <v>Nilachala_Yatra_-_Renunciation_of_Raghunath_das_Goswami_-_Radhanath_Swami.mp3</v>
      </c>
      <c r="D5341" s="11"/>
      <c r="E5341" s="11"/>
    </row>
    <row r="5342" spans="1:5">
      <c r="A5342" s="12" t="s">
        <v>12464</v>
      </c>
      <c r="B5342" s="12" t="s">
        <v>17839</v>
      </c>
      <c r="C5342" s="13" t="str">
        <f>HYPERLINK("https://audio.iskcondesiretree.com/02_-_ISKCON_Swamis/ISKCON_Swamis_-_R_to_Y/His_Holiness_Radhanath_Swami/Lectures/02_-_Yatra/Nilachala_yatra/Nilachala_Yatra_-_Stories_of_Lord_Jagannath_-_Radhanath_Swami.mp3", "Nilachala_Yatra_-_Stories_of_Lord_Jagannath_-_Radhanath_Swami.mp3")</f>
        <v>Nilachala_Yatra_-_Stories_of_Lord_Jagannath_-_Radhanath_Swami.mp3</v>
      </c>
      <c r="D5342" s="11"/>
      <c r="E5342" s="11"/>
    </row>
    <row r="5343" spans="1:5">
      <c r="A5343" s="12" t="s">
        <v>12464</v>
      </c>
      <c r="B5343" s="12" t="s">
        <v>17840</v>
      </c>
      <c r="C5343" s="13" t="str">
        <f>HYPERLINK("https://audio.iskcondesiretree.com/02_-_ISKCON_Swamis/ISKCON_Swamis_-_R_to_Y/His_Holiness_Radhanath_Swami/Lectures/02_-_Yatra/Nilachala_yatra/Nilachala_Yatra_-_Story_of_Bhuvaneswar_Mahadev_-_Radhanath_Swami.mp3", "Nilachala_Yatra_-_Story_of_Bhuvaneswar_Mahadev_-_Radhanath_Swami.mp3")</f>
        <v>Nilachala_Yatra_-_Story_of_Bhuvaneswar_Mahadev_-_Radhanath_Swami.mp3</v>
      </c>
      <c r="D5343" s="11"/>
      <c r="E5343" s="11"/>
    </row>
    <row r="5344" spans="1:5">
      <c r="A5344" s="12" t="s">
        <v>12464</v>
      </c>
      <c r="B5344" s="12" t="s">
        <v>17841</v>
      </c>
      <c r="C5344" s="13" t="str">
        <f>HYPERLINK("https://audio.iskcondesiretree.com/02_-_ISKCON_Swamis/ISKCON_Swamis_-_R_to_Y/His_Holiness_Radhanath_Swami/Lectures/02_-_Yatra/Nilachala_yatra/Nilachala_Yatra_-_Story_of_Kshir_Chor_Gopinath_-_Radhanath_Swami.mp3", "Nilachala_Yatra_-_Story_of_Kshir_Chor_Gopinath_-_Radhanath_Swami.mp3")</f>
        <v>Nilachala_Yatra_-_Story_of_Kshir_Chor_Gopinath_-_Radhanath_Swami.mp3</v>
      </c>
      <c r="D5344" s="11"/>
      <c r="E5344" s="11"/>
    </row>
    <row r="5345" spans="1:5">
      <c r="A5345" s="12" t="s">
        <v>12464</v>
      </c>
      <c r="B5345" s="12" t="s">
        <v>17842</v>
      </c>
      <c r="C5345" s="13" t="str">
        <f>HYPERLINK("https://audio.iskcondesiretree.com/02_-_ISKCON_Swamis/ISKCON_Swamis_-_R_to_Y/His_Holiness_Radhanath_Swami/Lectures/02_-_Yatra/Nilachala_yatra/Nilachala_Yatra_-_The_Residence_of_Lord_Chaitanya_-_Gambhira_-_Radhanath_Swami.mp3", "Nilachala_Yatra_-_The_Residence_of_Lord_Chaitanya_-_Gambhira_-_Radhanath_Swami.mp3")</f>
        <v>Nilachala_Yatra_-_The_Residence_of_Lord_Chaitanya_-_Gambhira_-_Radhanath_Swami.mp3</v>
      </c>
      <c r="D5345" s="11"/>
      <c r="E5345" s="11"/>
    </row>
    <row r="5346" spans="1:5">
      <c r="A5346" s="12" t="s">
        <v>12464</v>
      </c>
      <c r="B5346" s="12" t="s">
        <v>17843</v>
      </c>
      <c r="C5346" s="13" t="str">
        <f>HYPERLINK("https://audio.iskcondesiretree.com/02_-_ISKCON_Swamis/ISKCON_Swamis_-_R_to_Y/His_Holiness_Radhanath_Swami/Lectures/02_-_Yatra/Nilachala_yatra/Nilachala_Yatra_-_Totagopinath_-_Radhanath_Swami.mp3", "Nilachala_Yatra_-_Totagopinath_-_Radhanath_Swami.mp3")</f>
        <v>Nilachala_Yatra_-_Totagopinath_-_Radhanath_Swami.mp3</v>
      </c>
      <c r="D5346" s="11"/>
      <c r="E5346" s="11"/>
    </row>
    <row r="5347" spans="1:5">
      <c r="A5347" s="12" t="s">
        <v>12465</v>
      </c>
      <c r="B5347" s="12" t="s">
        <v>12466</v>
      </c>
      <c r="C5347" s="13" t="str">
        <f>HYPERLINK("https://audio.iskcondesiretree.com/02_-_ISKCON_Swamis/ISKCON_Swamis_-_R_to_Y/His_Holiness_Radhanath_Swami/Lectures/03_-_From_devotees/05-02-EYE-CAMP_-_Radhanath_Swami.mp3", "05-02-EYE-CAMP_-_Radhanath_Swami.mp3")</f>
        <v>05-02-EYE-CAMP_-_Radhanath_Swami.mp3</v>
      </c>
      <c r="D5347" s="11"/>
      <c r="E5347" s="11"/>
    </row>
    <row r="5348" spans="1:5">
      <c r="A5348" s="12" t="s">
        <v>12465</v>
      </c>
      <c r="B5348" s="12" t="s">
        <v>12467</v>
      </c>
      <c r="C5348" s="13" t="str">
        <f>HYPERLINK("https://audio.iskcondesiretree.com/02_-_ISKCON_Swamis/ISKCON_Swamis_-_R_to_Y/His_Holiness_Radhanath_Swami/Lectures/03_-_From_devotees/2005-01-29_SB_-_Radhanath_Swami.mp3", "2005-01-29_SB_-_Radhanath_Swami.mp3")</f>
        <v>2005-01-29_SB_-_Radhanath_Swami.mp3</v>
      </c>
      <c r="D5348" s="11"/>
      <c r="E5348" s="11"/>
    </row>
    <row r="5349" spans="1:5">
      <c r="A5349" s="12" t="s">
        <v>12465</v>
      </c>
      <c r="B5349" s="12" t="s">
        <v>12468</v>
      </c>
      <c r="C5349" s="13" t="str">
        <f>HYPERLINK("https://audio.iskcondesiretree.com/02_-_ISKCON_Swamis/ISKCON_Swamis_-_R_to_Y/His_Holiness_Radhanath_Swami/Lectures/03_-_From_devotees/2005-01-30_SB_-_Radhanath_Swami.mp3", "2005-01-30_SB_-_Radhanath_Swami.mp3")</f>
        <v>2005-01-30_SB_-_Radhanath_Swami.mp3</v>
      </c>
      <c r="D5349" s="11"/>
      <c r="E5349" s="11"/>
    </row>
    <row r="5350" spans="1:5">
      <c r="A5350" s="12" t="s">
        <v>12465</v>
      </c>
      <c r="B5350" s="12" t="s">
        <v>12469</v>
      </c>
      <c r="C5350" s="13" t="str">
        <f>HYPERLINK("https://audio.iskcondesiretree.com/02_-_ISKCON_Swamis/ISKCON_Swamis_-_R_to_Y/His_Holiness_Radhanath_Swami/Lectures/03_-_From_devotees/2005-02-05_SB_-_Radhanath_Swami.mp3", "2005-02-05_SB_-_Radhanath_Swami.mp3")</f>
        <v>2005-02-05_SB_-_Radhanath_Swami.mp3</v>
      </c>
      <c r="D5350" s="11"/>
      <c r="E5350" s="11"/>
    </row>
    <row r="5351" spans="1:5">
      <c r="A5351" s="12" t="s">
        <v>12465</v>
      </c>
      <c r="B5351" s="12" t="s">
        <v>12470</v>
      </c>
      <c r="C5351" s="13" t="str">
        <f>HYPERLINK("https://audio.iskcondesiretree.com/02_-_ISKCON_Swamis/ISKCON_Swamis_-_R_to_Y/His_Holiness_Radhanath_Swami/Lectures/03_-_From_devotees/2005-11-25_Prerana_-_Radhanath_Swami.mp3", "2005-11-25_Prerana_-_Radhanath_Swami.mp3")</f>
        <v>2005-11-25_Prerana_-_Radhanath_Swami.mp3</v>
      </c>
      <c r="D5351" s="11"/>
      <c r="E5351" s="11"/>
    </row>
    <row r="5352" spans="1:5">
      <c r="A5352" s="12" t="s">
        <v>12465</v>
      </c>
      <c r="B5352" s="12" t="s">
        <v>12471</v>
      </c>
      <c r="C5352" s="13" t="str">
        <f>HYPERLINK("https://audio.iskcondesiretree.com/02_-_ISKCON_Swamis/ISKCON_Swamis_-_R_to_Y/His_Holiness_Radhanath_Swami/Lectures/03_-_From_devotees/2007-04-29_-_Radhanath_Swami.mp3", "2007-04-29_-_Radhanath_Swami.mp3")</f>
        <v>2007-04-29_-_Radhanath_Swami.mp3</v>
      </c>
      <c r="D5352" s="11"/>
      <c r="E5352" s="11"/>
    </row>
    <row r="5353" spans="1:5">
      <c r="A5353" s="12" t="s">
        <v>12465</v>
      </c>
      <c r="B5353" s="12" t="s">
        <v>12472</v>
      </c>
      <c r="C5353" s="13" t="str">
        <f>HYPERLINK("https://audio.iskcondesiretree.com/02_-_ISKCON_Swamis/ISKCON_Swamis_-_R_to_Y/His_Holiness_Radhanath_Swami/Lectures/03_-_From_devotees/2007-06-10_Columbus_-_Radhanath_Swami.mp3", "2007-06-10_Columbus_-_Radhanath_Swami.mp3")</f>
        <v>2007-06-10_Columbus_-_Radhanath_Swami.mp3</v>
      </c>
      <c r="D5353" s="11"/>
      <c r="E5353" s="11"/>
    </row>
    <row r="5354" spans="1:5">
      <c r="A5354" s="12" t="s">
        <v>12465</v>
      </c>
      <c r="B5354" s="12" t="s">
        <v>12473</v>
      </c>
      <c r="C5354" s="13" t="str">
        <f>HYPERLINK("https://audio.iskcondesiretree.com/02_-_ISKCON_Swamis/ISKCON_Swamis_-_R_to_Y/His_Holiness_Radhanath_Swami/Lectures/03_-_From_devotees/2008-05-11_-_Radhanath_Swami.mp3", "2008-05-11_-_Radhanath_Swami.mp3")</f>
        <v>2008-05-11_-_Radhanath_Swami.mp3</v>
      </c>
      <c r="D5354" s="11"/>
      <c r="E5354" s="11"/>
    </row>
    <row r="5355" spans="1:5">
      <c r="A5355" s="12" t="s">
        <v>12465</v>
      </c>
      <c r="B5355" s="12" t="s">
        <v>12474</v>
      </c>
      <c r="C5355" s="13" t="str">
        <f>HYPERLINK("https://audio.iskcondesiretree.com/02_-_ISKCON_Swamis/ISKCON_Swamis_-_R_to_Y/His_Holiness_Radhanath_Swami/Lectures/03_-_From_devotees/2008-06-22_-_Radhanath_Swami.mp3", "2008-06-22_-_Radhanath_Swami.mp3")</f>
        <v>2008-06-22_-_Radhanath_Swami.mp3</v>
      </c>
      <c r="D5355" s="11"/>
      <c r="E5355" s="11"/>
    </row>
    <row r="5356" spans="1:5">
      <c r="A5356" s="12" t="s">
        <v>12465</v>
      </c>
      <c r="B5356" s="12" t="s">
        <v>12475</v>
      </c>
      <c r="C5356" s="13" t="str">
        <f>HYPERLINK("https://audio.iskcondesiretree.com/02_-_ISKCON_Swamis/ISKCON_Swamis_-_R_to_Y/His_Holiness_Radhanath_Swami/Lectures/03_-_From_devotees/CC_Caitanya_Lila_-_2007-07-28_Los_Angeles_-_Radhanath_Swami.mp3", "CC_Caitanya_Lila_-_2007-07-28_Los_Angeles_-_Radhanath_Swami.mp3")</f>
        <v>CC_Caitanya_Lila_-_2007-07-28_Los_Angeles_-_Radhanath_Swami.mp3</v>
      </c>
      <c r="D5356" s="11"/>
      <c r="E5356" s="11"/>
    </row>
    <row r="5357" spans="1:5">
      <c r="A5357" s="12" t="s">
        <v>12465</v>
      </c>
      <c r="B5357" s="12" t="s">
        <v>12476</v>
      </c>
      <c r="C5357" s="13" t="str">
        <f>HYPERLINK("https://audio.iskcondesiretree.com/02_-_ISKCON_Swamis/ISKCON_Swamis_-_R_to_Y/His_Holiness_Radhanath_Swami/Lectures/03_-_From_devotees/Initiation_-_Radhanath_Swami_2006-08-09.mp3", "Initiation_-_Radhanath_Swami_2006-08-09.mp3")</f>
        <v>Initiation_-_Radhanath_Swami_2006-08-09.mp3</v>
      </c>
      <c r="D5357" s="11"/>
      <c r="E5357" s="11"/>
    </row>
    <row r="5358" spans="1:5">
      <c r="A5358" s="12" t="s">
        <v>12465</v>
      </c>
      <c r="B5358" s="12" t="s">
        <v>12477</v>
      </c>
      <c r="C5358" s="13" t="str">
        <f>HYPERLINK("https://audio.iskcondesiretree.com/02_-_ISKCON_Swamis/ISKCON_Swamis_-_R_to_Y/His_Holiness_Radhanath_Swami/Lectures/03_-_From_devotees/Lord_Balaram_appearance_day_-_Radhanath_Swami_2006-08-09.mp3", "Lord_Balaram_appearance_day_-_Radhanath_Swami_2006-08-09.mp3")</f>
        <v>Lord_Balaram_appearance_day_-_Radhanath_Swami_2006-08-09.mp3</v>
      </c>
      <c r="D5358" s="11"/>
      <c r="E5358" s="11"/>
    </row>
    <row r="5359" spans="1:5">
      <c r="A5359" s="12" t="s">
        <v>12465</v>
      </c>
      <c r="B5359" s="12" t="s">
        <v>12478</v>
      </c>
      <c r="C5359" s="13" t="str">
        <f>HYPERLINK("https://audio.iskcondesiretree.com/02_-_ISKCON_Swamis/ISKCON_Swamis_-_R_to_Y/His_Holiness_Radhanath_Swami/Lectures/03_-_From_devotees/PR_OvercomingfearI_-_Radhanath_Swami.mp3", "PR_OvercomingfearI_-_Radhanath_Swami.mp3")</f>
        <v>PR_OvercomingfearI_-_Radhanath_Swami.mp3</v>
      </c>
      <c r="D5359" s="11"/>
      <c r="E5359" s="11"/>
    </row>
    <row r="5360" spans="1:5">
      <c r="A5360" s="12" t="s">
        <v>12465</v>
      </c>
      <c r="B5360" s="12" t="s">
        <v>12479</v>
      </c>
      <c r="C5360" s="13" t="str">
        <f>HYPERLINK("https://audio.iskcondesiretree.com/02_-_ISKCON_Swamis/ISKCON_Swamis_-_R_to_Y/His_Holiness_Radhanath_Swami/Lectures/03_-_From_devotees/PR_OvercomingfearII_-_Radhanath_Swami.mp3", "PR_OvercomingfearII_-_Radhanath_Swami.mp3")</f>
        <v>PR_OvercomingfearII_-_Radhanath_Swami.mp3</v>
      </c>
      <c r="D5360" s="11"/>
      <c r="E5360" s="11"/>
    </row>
    <row r="5361" spans="1:5">
      <c r="A5361" s="12" t="s">
        <v>12465</v>
      </c>
      <c r="B5361" s="12" t="s">
        <v>12480</v>
      </c>
      <c r="C5361" s="13" t="str">
        <f>HYPERLINK("https://audio.iskcondesiretree.com/02_-_ISKCON_Swamis/ISKCON_Swamis_-_R_to_Y/His_Holiness_Radhanath_Swami/Lectures/03_-_From_devotees/PR_Power_of_Habits_Part-01_-_Radhanath_Swami.mp3", "PR_Power_of_Habits_Part-01_-_Radhanath_Swami.mp3")</f>
        <v>PR_Power_of_Habits_Part-01_-_Radhanath_Swami.mp3</v>
      </c>
      <c r="D5361" s="11"/>
      <c r="E5361" s="11"/>
    </row>
    <row r="5362" spans="1:5">
      <c r="A5362" s="12" t="s">
        <v>12465</v>
      </c>
      <c r="B5362" s="12" t="s">
        <v>12481</v>
      </c>
      <c r="C5362" s="13" t="str">
        <f>HYPERLINK("https://audio.iskcondesiretree.com/02_-_ISKCON_Swamis/ISKCON_Swamis_-_R_to_Y/His_Holiness_Radhanath_Swami/Lectures/03_-_From_devotees/PR_Power_of_Habits_Part-02_-_Radhanath_Swami.mp3", "PR_Power_of_Habits_Part-02_-_Radhanath_Swami.mp3")</f>
        <v>PR_Power_of_Habits_Part-02_-_Radhanath_Swami.mp3</v>
      </c>
      <c r="D5362" s="11"/>
      <c r="E5362" s="11"/>
    </row>
    <row r="5363" spans="1:5">
      <c r="A5363" s="12" t="s">
        <v>12465</v>
      </c>
      <c r="B5363" s="12" t="s">
        <v>12482</v>
      </c>
      <c r="C5363" s="13" t="str">
        <f>HYPERLINK("https://audio.iskcondesiretree.com/02_-_ISKCON_Swamis/ISKCON_Swamis_-_R_to_Y/His_Holiness_Radhanath_Swami/Lectures/03_-_From_devotees/PR_Principles_of_satisfaction_Part-01_-_Radhanath_Swami.mp3", "PR_Principles_of_satisfaction_Part-01_-_Radhanath_Swami.mp3")</f>
        <v>PR_Principles_of_satisfaction_Part-01_-_Radhanath_Swami.mp3</v>
      </c>
      <c r="D5363" s="11"/>
      <c r="E5363" s="11"/>
    </row>
    <row r="5364" spans="1:5">
      <c r="A5364" s="12" t="s">
        <v>12465</v>
      </c>
      <c r="B5364" s="12" t="s">
        <v>12483</v>
      </c>
      <c r="C5364" s="13" t="str">
        <f>HYPERLINK("https://audio.iskcondesiretree.com/02_-_ISKCON_Swamis/ISKCON_Swamis_-_R_to_Y/His_Holiness_Radhanath_Swami/Lectures/03_-_From_devotees/PR_Principles_of_satisfaction_Part-02_-_Radhanath_Swami.mp3", "PR_Principles_of_satisfaction_Part-02_-_Radhanath_Swami.mp3")</f>
        <v>PR_Principles_of_satisfaction_Part-02_-_Radhanath_Swami.mp3</v>
      </c>
      <c r="D5364" s="11"/>
      <c r="E5364" s="11"/>
    </row>
    <row r="5365" spans="1:5">
      <c r="A5365" s="12" t="s">
        <v>12465</v>
      </c>
      <c r="B5365" s="12" t="s">
        <v>12484</v>
      </c>
      <c r="C5365" s="13" t="str">
        <f>HYPERLINK("https://audio.iskcondesiretree.com/02_-_ISKCON_Swamis/ISKCON_Swamis_-_R_to_Y/His_Holiness_Radhanath_Swami/Lectures/03_-_From_devotees/Prerana_-_Power_of_renunciation_-_2007-04-28_-_Radhanath_Swami.mp3", "Prerana_-_Power_of_renunciation_-_2007-04-28_-_Radhanath_Swami.mp3")</f>
        <v>Prerana_-_Power_of_renunciation_-_2007-04-28_-_Radhanath_Swami.mp3</v>
      </c>
      <c r="D5365" s="11"/>
      <c r="E5365" s="11"/>
    </row>
    <row r="5366" spans="1:5">
      <c r="A5366" s="12" t="s">
        <v>12465</v>
      </c>
      <c r="B5366" s="12" t="s">
        <v>12485</v>
      </c>
      <c r="C5366" s="13" t="str">
        <f>HYPERLINK("https://audio.iskcondesiretree.com/02_-_ISKCON_Swamis/ISKCON_Swamis_-_R_to_Y/His_Holiness_Radhanath_Swami/Lectures/03_-_From_devotees/Rama_Lecture_2009-04-05_Radha_Govinda_Mandir_-_Radhanath_Swami.mp3", "Rama_Lecture_2009-04-05_Radha_Govinda_Mandir_-_Radhanath_Swami.mp3")</f>
        <v>Rama_Lecture_2009-04-05_Radha_Govinda_Mandir_-_Radhanath_Swami.mp3</v>
      </c>
      <c r="D5366" s="11"/>
      <c r="E5366" s="11"/>
    </row>
    <row r="5367" spans="1:5">
      <c r="A5367" s="12" t="s">
        <v>12465</v>
      </c>
      <c r="B5367" s="12" t="s">
        <v>12486</v>
      </c>
      <c r="C5367" s="13" t="str">
        <f>HYPERLINK("https://audio.iskcondesiretree.com/02_-_ISKCON_Swamis/ISKCON_Swamis_-_R_to_Y/His_Holiness_Radhanath_Swami/Lectures/03_-_From_devotees/RNS_08-08-22_How_To_Know_Krsna_-_Seattle.mp3", "RNS_08-08-22_How_To_Know_Krsna_-_Seattle.mp3")</f>
        <v>RNS_08-08-22_How_To_Know_Krsna_-_Seattle.mp3</v>
      </c>
      <c r="D5367" s="11"/>
      <c r="E5367" s="11"/>
    </row>
    <row r="5368" spans="1:5">
      <c r="A5368" s="12" t="s">
        <v>12465</v>
      </c>
      <c r="B5368" s="12" t="s">
        <v>12487</v>
      </c>
      <c r="C5368" s="13" t="str">
        <f>HYPERLINK("https://audio.iskcondesiretree.com/02_-_ISKCON_Swamis/ISKCON_Swamis_-_R_to_Y/His_Holiness_Radhanath_Swami/Lectures/03_-_From_devotees/RNS_08-08-22_Real_foundation_of_the_temple_-_Seattle.mp3", "RNS_08-08-22_Real_foundation_of_the_temple_-_Seattle.mp3")</f>
        <v>RNS_08-08-22_Real_foundation_of_the_temple_-_Seattle.mp3</v>
      </c>
      <c r="D5368" s="11"/>
      <c r="E5368" s="11"/>
    </row>
    <row r="5369" spans="1:5">
      <c r="A5369" s="12" t="s">
        <v>12465</v>
      </c>
      <c r="B5369" s="12" t="s">
        <v>12488</v>
      </c>
      <c r="C5369" s="13" t="str">
        <f>HYPERLINK("https://audio.iskcondesiretree.com/02_-_ISKCON_Swamis/ISKCON_Swamis_-_R_to_Y/His_Holiness_Radhanath_Swami/Lectures/03_-_From_devotees/RNS_08-08-23_Krsnas_birth_pastime_-_Seattle.mp3", "RNS_08-08-23_Krsnas_birth_pastime_-_Seattle.mp3")</f>
        <v>RNS_08-08-23_Krsnas_birth_pastime_-_Seattle.mp3</v>
      </c>
      <c r="D5369" s="11"/>
      <c r="E5369" s="11"/>
    </row>
    <row r="5370" spans="1:5">
      <c r="A5370" s="12" t="s">
        <v>12465</v>
      </c>
      <c r="B5370" s="12" t="s">
        <v>12489</v>
      </c>
      <c r="C5370" s="13" t="str">
        <f>HYPERLINK("https://audio.iskcondesiretree.com/02_-_ISKCON_Swamis/ISKCON_Swamis_-_R_to_Y/His_Holiness_Radhanath_Swami/Lectures/03_-_From_devotees/RNS_08-08-24_Offering_of_love_-_Seattle.mp3", "RNS_08-08-24_Offering_of_love_-_Seattle.mp3")</f>
        <v>RNS_08-08-24_Offering_of_love_-_Seattle.mp3</v>
      </c>
      <c r="D5370" s="11"/>
      <c r="E5370" s="11"/>
    </row>
    <row r="5371" spans="1:5">
      <c r="A5371" s="12" t="s">
        <v>12465</v>
      </c>
      <c r="B5371" s="12" t="s">
        <v>12490</v>
      </c>
      <c r="C5371" s="13" t="str">
        <f>HYPERLINK("https://audio.iskcondesiretree.com/02_-_ISKCON_Swamis/ISKCON_Swamis_-_R_to_Y/His_Holiness_Radhanath_Swami/Lectures/03_-_From_devotees/RNS_08-08-24_Srila_Prabhupada_Vyasa_Puja_Offering_-_Seattle.mp3", "RNS_08-08-24_Srila_Prabhupada_Vyasa_Puja_Offering_-_Seattle.mp3")</f>
        <v>RNS_08-08-24_Srila_Prabhupada_Vyasa_Puja_Offering_-_Seattle.mp3</v>
      </c>
      <c r="D5371" s="11"/>
      <c r="E5371" s="11"/>
    </row>
    <row r="5372" spans="1:5">
      <c r="A5372" s="12" t="s">
        <v>12465</v>
      </c>
      <c r="B5372" s="12" t="s">
        <v>12491</v>
      </c>
      <c r="C5372" s="13" t="str">
        <f>HYPERLINK("https://audio.iskcondesiretree.com/02_-_ISKCON_Swamis/ISKCON_Swamis_-_R_to_Y/His_Holiness_Radhanath_Swami/Lectures/03_-_From_devotees/RNS_Arrival_address_-_07-10-05.mp3", "RNS_Arrival_address_-_07-10-05.mp3")</f>
        <v>RNS_Arrival_address_-_07-10-05.mp3</v>
      </c>
      <c r="D5372" s="11"/>
      <c r="E5372" s="11"/>
    </row>
    <row r="5373" spans="1:5">
      <c r="A5373" s="12" t="s">
        <v>12465</v>
      </c>
      <c r="B5373" s="12" t="s">
        <v>12492</v>
      </c>
      <c r="C5373" s="13" t="str">
        <f>HYPERLINK("https://audio.iskcondesiretree.com/02_-_ISKCON_Swamis/ISKCON_Swamis_-_R_to_Y/His_Holiness_Radhanath_Swami/Lectures/03_-_From_devotees/RNS_Balarama_Appearance_-_Evening_Lecture_-_07-08-28_Alachua_Temple.mp3", "RNS_Balarama_Appearance_-_Evening_Lecture_-_07-08-28_Alachua_Temple.mp3")</f>
        <v>RNS_Balarama_Appearance_-_Evening_Lecture_-_07-08-28_Alachua_Temple.mp3</v>
      </c>
      <c r="D5373" s="11"/>
      <c r="E5373" s="11"/>
    </row>
    <row r="5374" spans="1:5">
      <c r="A5374" s="12" t="s">
        <v>12465</v>
      </c>
      <c r="B5374" s="12" t="s">
        <v>12493</v>
      </c>
      <c r="C5374" s="13" t="str">
        <f>HYPERLINK("https://audio.iskcondesiretree.com/02_-_ISKCON_Swamis/ISKCON_Swamis_-_R_to_Y/His_Holiness_Radhanath_Swami/Lectures/03_-_From_devotees/RNS_Balarama_Appearance_-_Morning_Lecture_-_07-08-28_Alachua_Temple.mp3", "RNS_Balarama_Appearance_-_Morning_Lecture_-_07-08-28_Alachua_Temple.mp3")</f>
        <v>RNS_Balarama_Appearance_-_Morning_Lecture_-_07-08-28_Alachua_Temple.mp3</v>
      </c>
      <c r="D5374" s="11"/>
      <c r="E5374" s="11"/>
    </row>
    <row r="5375" spans="1:5">
      <c r="A5375" s="12" t="s">
        <v>12465</v>
      </c>
      <c r="B5375" s="12" t="s">
        <v>12494</v>
      </c>
      <c r="C5375" s="13" t="str">
        <f>HYPERLINK("https://audio.iskcondesiretree.com/02_-_ISKCON_Swamis/ISKCON_Swamis_-_R_to_Y/His_Holiness_Radhanath_Swami/Lectures/03_-_From_devotees/RNS_CC_Caitanya_Lila_-_07-07-28_Los_Angeles.mp3", "RNS_CC_Caitanya_Lila_-_07-07-28_Los_Angeles.mp3")</f>
        <v>RNS_CC_Caitanya_Lila_-_07-07-28_Los_Angeles.mp3</v>
      </c>
      <c r="D5375" s="11"/>
      <c r="E5375" s="11"/>
    </row>
    <row r="5376" spans="1:5">
      <c r="A5376" s="12" t="s">
        <v>12465</v>
      </c>
      <c r="B5376" s="12" t="s">
        <v>12495</v>
      </c>
      <c r="C5376" s="13" t="str">
        <f>HYPERLINK("https://audio.iskcondesiretree.com/02_-_ISKCON_Swamis/ISKCON_Swamis_-_R_to_Y/His_Holiness_Radhanath_Swami/Lectures/03_-_From_devotees/RNS_CC_Reading_-_04-07-20_Los_Angeles.mp3", "RNS_CC_Reading_-_04-07-20_Los_Angeles.mp3")</f>
        <v>RNS_CC_Reading_-_04-07-20_Los_Angeles.mp3</v>
      </c>
      <c r="D5376" s="11"/>
      <c r="E5376" s="11"/>
    </row>
    <row r="5377" spans="1:5">
      <c r="A5377" s="12" t="s">
        <v>12465</v>
      </c>
      <c r="B5377" s="12" t="s">
        <v>12496</v>
      </c>
      <c r="C5377" s="13" t="str">
        <f>HYPERLINK("https://audio.iskcondesiretree.com/02_-_ISKCON_Swamis/ISKCON_Swamis_-_R_to_Y/His_Holiness_Radhanath_Swami/Lectures/03_-_From_devotees/RNS_CC_Reading_-_04-07-21_Los_Angeles.mp3", "RNS_CC_Reading_-_04-07-21_Los_Angeles.mp3")</f>
        <v>RNS_CC_Reading_-_04-07-21_Los_Angeles.mp3</v>
      </c>
      <c r="D5377" s="11"/>
      <c r="E5377" s="11"/>
    </row>
    <row r="5378" spans="1:5">
      <c r="A5378" s="12" t="s">
        <v>12465</v>
      </c>
      <c r="B5378" s="12" t="s">
        <v>12497</v>
      </c>
      <c r="C5378" s="13" t="str">
        <f>HYPERLINK("https://audio.iskcondesiretree.com/02_-_ISKCON_Swamis/ISKCON_Swamis_-_R_to_Y/His_Holiness_Radhanath_Swami/Lectures/03_-_From_devotees/RNS_CC_Reading_-_04-07-23_Los_Angeles.mp3", "RNS_CC_Reading_-_04-07-23_Los_Angeles.mp3")</f>
        <v>RNS_CC_Reading_-_04-07-23_Los_Angeles.mp3</v>
      </c>
      <c r="D5378" s="11"/>
      <c r="E5378" s="11"/>
    </row>
    <row r="5379" spans="1:5">
      <c r="A5379" s="12" t="s">
        <v>12465</v>
      </c>
      <c r="B5379" s="12" t="s">
        <v>12498</v>
      </c>
      <c r="C5379" s="13" t="str">
        <f>HYPERLINK("https://audio.iskcondesiretree.com/02_-_ISKCON_Swamis/ISKCON_Swamis_-_R_to_Y/His_Holiness_Radhanath_Swami/Lectures/03_-_From_devotees/RNS_CC_Reading_-_07-07-27_Los_Angeles.mp3", "RNS_CC_Reading_-_07-07-27_Los_Angeles.mp3")</f>
        <v>RNS_CC_Reading_-_07-07-27_Los_Angeles.mp3</v>
      </c>
      <c r="D5379" s="11"/>
      <c r="E5379" s="11"/>
    </row>
    <row r="5380" spans="1:5">
      <c r="A5380" s="12" t="s">
        <v>12465</v>
      </c>
      <c r="B5380" s="12" t="s">
        <v>12499</v>
      </c>
      <c r="C5380" s="13" t="str">
        <f>HYPERLINK("https://audio.iskcondesiretree.com/02_-_ISKCON_Swamis/ISKCON_Swamis_-_R_to_Y/His_Holiness_Radhanath_Swami/Lectures/03_-_From_devotees/RNS_CC_Reading_-_07-07-29_Los_Angeles.mp3", "RNS_CC_Reading_-_07-07-29_Los_Angeles.mp3")</f>
        <v>RNS_CC_Reading_-_07-07-29_Los_Angeles.mp3</v>
      </c>
      <c r="D5380" s="11"/>
      <c r="E5380" s="11"/>
    </row>
    <row r="5381" spans="1:5">
      <c r="A5381" s="12" t="s">
        <v>12465</v>
      </c>
      <c r="B5381" s="12" t="s">
        <v>12500</v>
      </c>
      <c r="C5381" s="13" t="str">
        <f>HYPERLINK("https://audio.iskcondesiretree.com/02_-_ISKCON_Swamis/ISKCON_Swamis_-_R_to_Y/His_Holiness_Radhanath_Swami/Lectures/03_-_From_devotees/RNS_Chicago_-_08-12-21.mp3", "RNS_Chicago_-_08-12-21.mp3")</f>
        <v>RNS_Chicago_-_08-12-21.mp3</v>
      </c>
      <c r="D5381" s="11"/>
      <c r="E5381" s="11"/>
    </row>
    <row r="5382" spans="1:5">
      <c r="A5382" s="12" t="s">
        <v>12465</v>
      </c>
      <c r="B5382" s="12" t="s">
        <v>12501</v>
      </c>
      <c r="C5382" s="13" t="str">
        <f>HYPERLINK("https://audio.iskcondesiretree.com/02_-_ISKCON_Swamis/ISKCON_Swamis_-_R_to_Y/His_Holiness_Radhanath_Swami/Lectures/03_-_From_devotees/RNS_Festivals_-_Sacred_sounds_festivals_-_09-06-07.mp3", "RNS_Festivals_-_Sacred_sounds_festivals_-_09-06-07.mp3")</f>
        <v>RNS_Festivals_-_Sacred_sounds_festivals_-_09-06-07.mp3</v>
      </c>
      <c r="D5382" s="11"/>
      <c r="E5382" s="11"/>
    </row>
    <row r="5383" spans="1:5">
      <c r="A5383" s="12" t="s">
        <v>12465</v>
      </c>
      <c r="B5383" s="12" t="s">
        <v>12502</v>
      </c>
      <c r="C5383" s="13" t="str">
        <f>HYPERLINK("https://audio.iskcondesiretree.com/02_-_ISKCON_Swamis/ISKCON_Swamis_-_R_to_Y/His_Holiness_Radhanath_Swami/Lectures/03_-_From_devotees/RNS_Initiations_-_03-11-30_Los_Angeles.mp3", "RNS_Initiations_-_03-11-30_Los_Angeles.mp3")</f>
        <v>RNS_Initiations_-_03-11-30_Los_Angeles.mp3</v>
      </c>
      <c r="D5383" s="11"/>
      <c r="E5383" s="11"/>
    </row>
    <row r="5384" spans="1:5">
      <c r="A5384" s="12" t="s">
        <v>12465</v>
      </c>
      <c r="B5384" s="12" t="s">
        <v>12503</v>
      </c>
      <c r="C5384" s="13" t="str">
        <f>HYPERLINK("https://audio.iskcondesiretree.com/02_-_ISKCON_Swamis/ISKCON_Swamis_-_R_to_Y/His_Holiness_Radhanath_Swami/Lectures/03_-_From_devotees/RNS_Initiations_-_04-07-19_Los_Angeles.mp3", "RNS_Initiations_-_04-07-19_Los_Angeles.mp3")</f>
        <v>RNS_Initiations_-_04-07-19_Los_Angeles.mp3</v>
      </c>
      <c r="D5384" s="11"/>
      <c r="E5384" s="11"/>
    </row>
    <row r="5385" spans="1:5">
      <c r="A5385" s="12" t="s">
        <v>12465</v>
      </c>
      <c r="B5385" s="12" t="s">
        <v>12504</v>
      </c>
      <c r="C5385" s="13" t="str">
        <f>HYPERLINK("https://audio.iskcondesiretree.com/02_-_ISKCON_Swamis/ISKCON_Swamis_-_R_to_Y/His_Holiness_Radhanath_Swami/Lectures/03_-_From_devotees/RNS_PR_From_Ritual_To_Spiritual_-_08-02-09.mp3", "RNS_PR_From_Ritual_To_Spiritual_-_08-02-09.mp3")</f>
        <v>RNS_PR_From_Ritual_To_Spiritual_-_08-02-09.mp3</v>
      </c>
      <c r="D5385" s="11"/>
      <c r="E5385" s="11"/>
    </row>
    <row r="5386" spans="1:5">
      <c r="A5386" s="12" t="s">
        <v>12465</v>
      </c>
      <c r="B5386" s="12" t="s">
        <v>12505</v>
      </c>
      <c r="C5386" s="13" t="str">
        <f>HYPERLINK("https://audio.iskcondesiretree.com/02_-_ISKCON_Swamis/ISKCON_Swamis_-_R_to_Y/His_Holiness_Radhanath_Swami/Lectures/03_-_From_devotees/RNS_Prerna_Being_A_True_Friend_08-04-22.mp3", "RNS_Prerna_Being_A_True_Friend_08-04-22.mp3")</f>
        <v>RNS_Prerna_Being_A_True_Friend_08-04-22.mp3</v>
      </c>
      <c r="D5386" s="11"/>
      <c r="E5386" s="11"/>
    </row>
    <row r="5387" spans="1:5">
      <c r="A5387" s="12" t="s">
        <v>12465</v>
      </c>
      <c r="B5387" s="12" t="s">
        <v>12506</v>
      </c>
      <c r="C5387" s="13" t="str">
        <f>HYPERLINK("https://audio.iskcondesiretree.com/02_-_ISKCON_Swamis/ISKCON_Swamis_-_R_to_Y/His_Holiness_Radhanath_Swami/Lectures/03_-_From_devotees/RNS_Ram_Navami_-_Exemplary_Character_Of_Lord_Ramchandra_-_08-04-14_Juhu.mp3", "RNS_Ram_Navami_-_Exemplary_Character_Of_Lord_Ramchandra_-_08-04-14_Juhu.mp3")</f>
        <v>RNS_Ram_Navami_-_Exemplary_Character_Of_Lord_Ramchandra_-_08-04-14_Juhu.mp3</v>
      </c>
      <c r="D5387" s="11"/>
      <c r="E5387" s="11"/>
    </row>
    <row r="5388" spans="1:5">
      <c r="A5388" s="12" t="s">
        <v>12465</v>
      </c>
      <c r="B5388" s="12" t="s">
        <v>12507</v>
      </c>
      <c r="C5388" s="13" t="str">
        <f>HYPERLINK("https://audio.iskcondesiretree.com/02_-_ISKCON_Swamis/ISKCON_Swamis_-_R_to_Y/His_Holiness_Radhanath_Swami/Lectures/03_-_From_devotees/RNS_Ram_Navami_-_Lord_Rama_Ehibits_Ideal_Behaviour_For_Humanity_-_08-04-14.mp3", "RNS_Ram_Navami_-_Lord_Rama_Ehibits_Ideal_Behaviour_For_Humanity_-_08-04-14.mp3")</f>
        <v>RNS_Ram_Navami_-_Lord_Rama_Ehibits_Ideal_Behaviour_For_Humanity_-_08-04-14.mp3</v>
      </c>
      <c r="D5388" s="11"/>
      <c r="E5388" s="11"/>
    </row>
    <row r="5389" spans="1:5">
      <c r="A5389" s="12" t="s">
        <v>12465</v>
      </c>
      <c r="B5389" s="12" t="s">
        <v>12508</v>
      </c>
      <c r="C5389" s="13" t="str">
        <f>HYPERLINK("https://audio.iskcondesiretree.com/02_-_ISKCON_Swamis/ISKCON_Swamis_-_R_to_Y/His_Holiness_Radhanath_Swami/Lectures/03_-_From_devotees/RNS_Saving_India%27s_Future_Generations_-_Gopal%27s_Fun_Sch_Annual_Day_-_07-12-16.mp3", "RNS_Saving_India%27s_Future_Generations_-_Gopal%27s_Fun_Sch_Annual_Day_-_07-12-16.mp3")</f>
        <v>RNS_Saving_India%27s_Future_Generations_-_Gopal%27s_Fun_Sch_Annual_Day_-_07-12-16.mp3</v>
      </c>
      <c r="D5389" s="11"/>
      <c r="E5389" s="11"/>
    </row>
    <row r="5390" spans="1:5">
      <c r="A5390" s="12" t="s">
        <v>12465</v>
      </c>
      <c r="B5390" s="12" t="s">
        <v>12509</v>
      </c>
      <c r="C5390" s="13" t="str">
        <f>HYPERLINK("https://audio.iskcondesiretree.com/02_-_ISKCON_Swamis/ISKCON_Swamis_-_R_to_Y/His_Holiness_Radhanath_Swami/Lectures/03_-_From_devotees/RNS_SB_03-15-39_-_02-12-22_Los_Angeles.mp3", "RNS_SB_03-15-39_-_02-12-22_Los_Angeles.mp3")</f>
        <v>RNS_SB_03-15-39_-_02-12-22_Los_Angeles.mp3</v>
      </c>
      <c r="D5390" s="11"/>
      <c r="E5390" s="11"/>
    </row>
    <row r="5391" spans="1:5">
      <c r="A5391" s="12" t="s">
        <v>12465</v>
      </c>
      <c r="B5391" s="12" t="s">
        <v>12510</v>
      </c>
      <c r="C5391" s="13" t="str">
        <f>HYPERLINK("https://audio.iskcondesiretree.com/02_-_ISKCON_Swamis/ISKCON_Swamis_-_R_to_Y/His_Holiness_Radhanath_Swami/Lectures/03_-_From_devotees/RNS_SB_03-24-40_-_03-11-26_Los_Angeles.mp3", "RNS_SB_03-24-40_-_03-11-26_Los_Angeles.mp3")</f>
        <v>RNS_SB_03-24-40_-_03-11-26_Los_Angeles.mp3</v>
      </c>
      <c r="D5391" s="11"/>
      <c r="E5391" s="11"/>
    </row>
    <row r="5392" spans="1:5">
      <c r="A5392" s="12" t="s">
        <v>12465</v>
      </c>
      <c r="B5392" s="12" t="s">
        <v>12511</v>
      </c>
      <c r="C5392" s="13" t="str">
        <f>HYPERLINK("https://audio.iskcondesiretree.com/02_-_ISKCON_Swamis/ISKCON_Swamis_-_R_to_Y/His_Holiness_Radhanath_Swami/Lectures/03_-_From_devotees/RNS_SB_03-24-41_-_03-11-27_Los_Angeles.mp3", "RNS_SB_03-24-41_-_03-11-27_Los_Angeles.mp3")</f>
        <v>RNS_SB_03-24-41_-_03-11-27_Los_Angeles.mp3</v>
      </c>
      <c r="D5392" s="11"/>
      <c r="E5392" s="11"/>
    </row>
    <row r="5393" spans="1:5">
      <c r="A5393" s="12" t="s">
        <v>12465</v>
      </c>
      <c r="B5393" s="12" t="s">
        <v>12512</v>
      </c>
      <c r="C5393" s="13" t="str">
        <f>HYPERLINK("https://audio.iskcondesiretree.com/02_-_ISKCON_Swamis/ISKCON_Swamis_-_R_to_Y/His_Holiness_Radhanath_Swami/Lectures/03_-_From_devotees/RNS_SB_03-24-42_-_03-11-28_Los_Angeles.mp3", "RNS_SB_03-24-42_-_03-11-28_Los_Angeles.mp3")</f>
        <v>RNS_SB_03-24-42_-_03-11-28_Los_Angeles.mp3</v>
      </c>
      <c r="D5393" s="11"/>
      <c r="E5393" s="11"/>
    </row>
    <row r="5394" spans="1:5">
      <c r="A5394" s="12" t="s">
        <v>12465</v>
      </c>
      <c r="B5394" s="12" t="s">
        <v>12513</v>
      </c>
      <c r="C5394" s="13" t="str">
        <f>HYPERLINK("https://audio.iskcondesiretree.com/02_-_ISKCON_Swamis/ISKCON_Swamis_-_R_to_Y/His_Holiness_Radhanath_Swami/Lectures/03_-_From_devotees/RNS_SB_03-24-43_-_03-11-29_Los_Angeles.mp3", "RNS_SB_03-24-43_-_03-11-29_Los_Angeles.mp3")</f>
        <v>RNS_SB_03-24-43_-_03-11-29_Los_Angeles.mp3</v>
      </c>
      <c r="D5394" s="11"/>
      <c r="E5394" s="11"/>
    </row>
    <row r="5395" spans="1:5">
      <c r="A5395" s="12" t="s">
        <v>12465</v>
      </c>
      <c r="B5395" s="12" t="s">
        <v>12514</v>
      </c>
      <c r="C5395" s="13" t="str">
        <f>HYPERLINK("https://audio.iskcondesiretree.com/02_-_ISKCON_Swamis/ISKCON_Swamis_-_R_to_Y/His_Holiness_Radhanath_Swami/Lectures/03_-_From_devotees/RNS_SB_03-24-44_-_03-12-01_Los_Angeles.mp3", "RNS_SB_03-24-44_-_03-12-01_Los_Angeles.mp3")</f>
        <v>RNS_SB_03-24-44_-_03-12-01_Los_Angeles.mp3</v>
      </c>
      <c r="D5395" s="11"/>
      <c r="E5395" s="11"/>
    </row>
    <row r="5396" spans="1:5">
      <c r="A5396" s="12" t="s">
        <v>12465</v>
      </c>
      <c r="B5396" s="12" t="s">
        <v>12515</v>
      </c>
      <c r="C5396" s="13" t="str">
        <f>HYPERLINK("https://audio.iskcondesiretree.com/02_-_ISKCON_Swamis/ISKCON_Swamis_-_R_to_Y/His_Holiness_Radhanath_Swami/Lectures/03_-_From_devotees/RNS_SB_03-29-15_-_04-07-17_Los_Angeles.mp3", "RNS_SB_03-29-15_-_04-07-17_Los_Angeles.mp3")</f>
        <v>RNS_SB_03-29-15_-_04-07-17_Los_Angeles.mp3</v>
      </c>
      <c r="D5396" s="11"/>
      <c r="E5396" s="11"/>
    </row>
    <row r="5397" spans="1:5">
      <c r="A5397" s="12" t="s">
        <v>12465</v>
      </c>
      <c r="B5397" s="12" t="s">
        <v>12516</v>
      </c>
      <c r="C5397" s="13" t="str">
        <f>HYPERLINK("https://audio.iskcondesiretree.com/02_-_ISKCON_Swamis/ISKCON_Swamis_-_R_to_Y/His_Holiness_Radhanath_Swami/Lectures/03_-_From_devotees/RNS_SB_04-06-37_-_05-07-14_Los_Angeles.mp3", "RNS_SB_04-06-37_-_05-07-14_Los_Angeles.mp3")</f>
        <v>RNS_SB_04-06-37_-_05-07-14_Los_Angeles.mp3</v>
      </c>
      <c r="D5397" s="11"/>
      <c r="E5397" s="11"/>
    </row>
    <row r="5398" spans="1:5">
      <c r="A5398" s="12" t="s">
        <v>12465</v>
      </c>
      <c r="B5398" s="12" t="s">
        <v>12517</v>
      </c>
      <c r="C5398" s="13" t="str">
        <f>HYPERLINK("https://audio.iskcondesiretree.com/02_-_ISKCON_Swamis/ISKCON_Swamis_-_R_to_Y/His_Holiness_Radhanath_Swami/Lectures/03_-_From_devotees/RNS_SB_04-06-41_-_05-07-17_Los_Angeles.mp3", "RNS_SB_04-06-41_-_05-07-17_Los_Angeles.mp3")</f>
        <v>RNS_SB_04-06-41_-_05-07-17_Los_Angeles.mp3</v>
      </c>
      <c r="D5398" s="11"/>
      <c r="E5398" s="11"/>
    </row>
    <row r="5399" spans="1:5">
      <c r="A5399" s="12" t="s">
        <v>12465</v>
      </c>
      <c r="B5399" s="12" t="s">
        <v>12518</v>
      </c>
      <c r="C5399" s="13" t="str">
        <f>HYPERLINK("https://audio.iskcondesiretree.com/02_-_ISKCON_Swamis/ISKCON_Swamis_-_R_to_Y/His_Holiness_Radhanath_Swami/Lectures/03_-_From_devotees/RNS_SB_04-06-42_-_05-07-20_Los_Angeles.mp3", "RNS_SB_04-06-42_-_05-07-20_Los_Angeles.mp3")</f>
        <v>RNS_SB_04-06-42_-_05-07-20_Los_Angeles.mp3</v>
      </c>
      <c r="D5399" s="11"/>
      <c r="E5399" s="11"/>
    </row>
    <row r="5400" spans="1:5">
      <c r="A5400" s="12" t="s">
        <v>12465</v>
      </c>
      <c r="B5400" s="12" t="s">
        <v>12519</v>
      </c>
      <c r="C5400" s="13" t="str">
        <f>HYPERLINK("https://audio.iskcondesiretree.com/02_-_ISKCON_Swamis/ISKCON_Swamis_-_R_to_Y/His_Holiness_Radhanath_Swami/Lectures/03_-_From_devotees/RNS_SB_04-06-44_-_05-07-22_Los_Angeles.mp3", "RNS_SB_04-06-44_-_05-07-22_Los_Angeles.mp3")</f>
        <v>RNS_SB_04-06-44_-_05-07-22_Los_Angeles.mp3</v>
      </c>
      <c r="D5400" s="11"/>
      <c r="E5400" s="11"/>
    </row>
    <row r="5401" spans="1:5">
      <c r="A5401" s="12" t="s">
        <v>12465</v>
      </c>
      <c r="B5401" s="12" t="s">
        <v>12520</v>
      </c>
      <c r="C5401" s="13" t="str">
        <f>HYPERLINK("https://audio.iskcondesiretree.com/02_-_ISKCON_Swamis/ISKCON_Swamis_-_R_to_Y/His_Holiness_Radhanath_Swami/Lectures/03_-_From_devotees/RNS_SB_04-18-03_-_06-11-14_Los_Angeles.mp3", "RNS_SB_04-18-03_-_06-11-14_Los_Angeles.mp3")</f>
        <v>RNS_SB_04-18-03_-_06-11-14_Los_Angeles.mp3</v>
      </c>
      <c r="D5401" s="11"/>
      <c r="E5401" s="11"/>
    </row>
    <row r="5402" spans="1:5">
      <c r="A5402" s="12" t="s">
        <v>12465</v>
      </c>
      <c r="B5402" s="12" t="s">
        <v>12521</v>
      </c>
      <c r="C5402" s="13" t="str">
        <f>HYPERLINK("https://audio.iskcondesiretree.com/02_-_ISKCON_Swamis/ISKCON_Swamis_-_R_to_Y/His_Holiness_Radhanath_Swami/Lectures/03_-_From_devotees/RNS_SB_04-18-04_-_06-11-15_Los_Angeles.mp3", "RNS_SB_04-18-04_-_06-11-15_Los_Angeles.mp3")</f>
        <v>RNS_SB_04-18-04_-_06-11-15_Los_Angeles.mp3</v>
      </c>
      <c r="D5402" s="11"/>
      <c r="E5402" s="11"/>
    </row>
    <row r="5403" spans="1:5">
      <c r="A5403" s="12" t="s">
        <v>12465</v>
      </c>
      <c r="B5403" s="12" t="s">
        <v>12522</v>
      </c>
      <c r="C5403" s="13" t="str">
        <f>HYPERLINK("https://audio.iskcondesiretree.com/02_-_ISKCON_Swamis/ISKCON_Swamis_-_R_to_Y/His_Holiness_Radhanath_Swami/Lectures/03_-_From_devotees/RNS_SB_06-19-18_Sincere_Husband_And_Chaste_Wife_Advance_Together_-_07-10-13.mp3", "RNS_SB_06-19-18_Sincere_Husband_And_Chaste_Wife_Advance_Together_-_07-10-13.mp3")</f>
        <v>RNS_SB_06-19-18_Sincere_Husband_And_Chaste_Wife_Advance_Together_-_07-10-13.mp3</v>
      </c>
      <c r="D5403" s="11"/>
      <c r="E5403" s="11"/>
    </row>
    <row r="5404" spans="1:5">
      <c r="A5404" s="12" t="s">
        <v>12465</v>
      </c>
      <c r="B5404" s="12" t="s">
        <v>12523</v>
      </c>
      <c r="C5404" s="13" t="str">
        <f>HYPERLINK("https://audio.iskcondesiretree.com/02_-_ISKCON_Swamis/ISKCON_Swamis_-_R_to_Y/His_Holiness_Radhanath_Swami/Lectures/03_-_From_devotees/RNS_SB_07-01-44-46_Hate_The_Sin_But_Love_The_Sinner_-_07-11-25.mp3", "RNS_SB_07-01-44-46_Hate_The_Sin_But_Love_The_Sinner_-_07-11-25.mp3")</f>
        <v>RNS_SB_07-01-44-46_Hate_The_Sin_But_Love_The_Sinner_-_07-11-25.mp3</v>
      </c>
      <c r="D5404" s="11"/>
      <c r="E5404" s="11"/>
    </row>
    <row r="5405" spans="1:5">
      <c r="A5405" s="12" t="s">
        <v>12465</v>
      </c>
      <c r="B5405" s="12" t="s">
        <v>12524</v>
      </c>
      <c r="C5405" s="13" t="str">
        <f>HYPERLINK("https://audio.iskcondesiretree.com/02_-_ISKCON_Swamis/ISKCON_Swamis_-_R_to_Y/His_Holiness_Radhanath_Swami/Lectures/03_-_From_devotees/RNS_SB_07-02-14_Taking_Care_Of_Details_-_07-12-09.mp3", "RNS_SB_07-02-14_Taking_Care_Of_Details_-_07-12-09.mp3")</f>
        <v>RNS_SB_07-02-14_Taking_Care_Of_Details_-_07-12-09.mp3</v>
      </c>
      <c r="D5405" s="11"/>
      <c r="E5405" s="11"/>
    </row>
    <row r="5406" spans="1:5">
      <c r="A5406" s="12" t="s">
        <v>12465</v>
      </c>
      <c r="B5406" s="12" t="s">
        <v>12525</v>
      </c>
      <c r="C5406" s="13" t="str">
        <f>HYPERLINK("https://audio.iskcondesiretree.com/02_-_ISKCON_Swamis/ISKCON_Swamis_-_R_to_Y/His_Holiness_Radhanath_Swami/Lectures/03_-_From_devotees/RNS_SB_07-02-23_Krishna_sees_the_purpose_-_07-12-14.mp3", "RNS_SB_07-02-23_Krishna_sees_the_purpose_-_07-12-14.mp3")</f>
        <v>RNS_SB_07-02-23_Krishna_sees_the_purpose_-_07-12-14.mp3</v>
      </c>
      <c r="D5406" s="11"/>
      <c r="E5406" s="11"/>
    </row>
    <row r="5407" spans="1:5">
      <c r="A5407" s="12" t="s">
        <v>12465</v>
      </c>
      <c r="B5407" s="12" t="s">
        <v>12526</v>
      </c>
      <c r="C5407" s="13" t="str">
        <f>HYPERLINK("https://audio.iskcondesiretree.com/02_-_ISKCON_Swamis/ISKCON_Swamis_-_R_to_Y/His_Holiness_Radhanath_Swami/Lectures/03_-_From_devotees/RNS_SB_07-04-33_Who_Is_A_Vaisnava_-_08-03-08.mp3", "RNS_SB_07-04-33_Who_Is_A_Vaisnava_-_08-03-08.mp3")</f>
        <v>RNS_SB_07-04-33_Who_Is_A_Vaisnava_-_08-03-08.mp3</v>
      </c>
      <c r="D5407" s="11"/>
      <c r="E5407" s="11"/>
    </row>
    <row r="5408" spans="1:5">
      <c r="A5408" s="12" t="s">
        <v>12465</v>
      </c>
      <c r="B5408" s="12" t="s">
        <v>12527</v>
      </c>
      <c r="C5408" s="13" t="str">
        <f>HYPERLINK("https://audio.iskcondesiretree.com/02_-_ISKCON_Swamis/ISKCON_Swamis_-_R_to_Y/His_Holiness_Radhanath_Swami/Lectures/03_-_From_devotees/RNS_SB_07-04-34_Antidote_Of_Envy_Is_Appreciation_-_08-03-09.mp3", "RNS_SB_07-04-34_Antidote_Of_Envy_Is_Appreciation_-_08-03-09.mp3")</f>
        <v>RNS_SB_07-04-34_Antidote_Of_Envy_Is_Appreciation_-_08-03-09.mp3</v>
      </c>
      <c r="D5408" s="11"/>
      <c r="E5408" s="11"/>
    </row>
    <row r="5409" spans="1:5">
      <c r="A5409" s="12" t="s">
        <v>12465</v>
      </c>
      <c r="B5409" s="12" t="s">
        <v>12528</v>
      </c>
      <c r="C5409" s="13" t="str">
        <f>HYPERLINK("https://audio.iskcondesiretree.com/02_-_ISKCON_Swamis/ISKCON_Swamis_-_R_to_Y/His_Holiness_Radhanath_Swami/Lectures/03_-_From_devotees/RNS_SB_07-05-03_Devotees_Do_not_Create_Enemies_-_08-03-26.mp3", "RNS_SB_07-05-03_Devotees_Do_not_Create_Enemies_-_08-03-26.mp3")</f>
        <v>RNS_SB_07-05-03_Devotees_Do_not_Create_Enemies_-_08-03-26.mp3</v>
      </c>
      <c r="D5409" s="11"/>
      <c r="E5409" s="11"/>
    </row>
    <row r="5410" spans="1:5">
      <c r="A5410" s="12" t="s">
        <v>12465</v>
      </c>
      <c r="B5410" s="12" t="s">
        <v>12529</v>
      </c>
      <c r="C5410" s="13" t="str">
        <f>HYPERLINK("https://audio.iskcondesiretree.com/02_-_ISKCON_Swamis/ISKCON_Swamis_-_R_to_Y/His_Holiness_Radhanath_Swami/Lectures/03_-_From_devotees/RNS_SB_07-06-11-13_-_07-08-27_Alachua_Temple.mp3", "RNS_SB_07-06-11-13_-_07-08-27_Alachua_Temple.mp3")</f>
        <v>RNS_SB_07-06-11-13_-_07-08-27_Alachua_Temple.mp3</v>
      </c>
      <c r="D5410" s="11"/>
      <c r="E5410" s="11"/>
    </row>
    <row r="5411" spans="1:5">
      <c r="A5411" s="12" t="s">
        <v>12465</v>
      </c>
      <c r="B5411" s="12" t="s">
        <v>12530</v>
      </c>
      <c r="C5411" s="13" t="str">
        <f>HYPERLINK("https://audio.iskcondesiretree.com/02_-_ISKCON_Swamis/ISKCON_Swamis_-_R_to_Y/His_Holiness_Radhanath_Swami/Lectures/03_-_From_devotees/RNS_SB_07-06-14_-_07-08-29_Alachua_Temple.mp3", "RNS_SB_07-06-14_-_07-08-29_Alachua_Temple.mp3")</f>
        <v>RNS_SB_07-06-14_-_07-08-29_Alachua_Temple.mp3</v>
      </c>
      <c r="D5411" s="11"/>
      <c r="E5411" s="11"/>
    </row>
    <row r="5412" spans="1:5">
      <c r="A5412" s="12" t="s">
        <v>12465</v>
      </c>
      <c r="B5412" s="12" t="s">
        <v>12531</v>
      </c>
      <c r="C5412" s="13" t="str">
        <f>HYPERLINK("https://audio.iskcondesiretree.com/02_-_ISKCON_Swamis/ISKCON_Swamis_-_R_to_Y/His_Holiness_Radhanath_Swami/Lectures/03_-_From_devotees/RNS_SB_08-08-12-14_-_09-06-09_Alachua_Temple.mp3", "RNS_SB_08-08-12-14_-_09-06-09_Alachua_Temple.mp3")</f>
        <v>RNS_SB_08-08-12-14_-_09-06-09_Alachua_Temple.mp3</v>
      </c>
      <c r="D5412" s="11"/>
      <c r="E5412" s="11"/>
    </row>
    <row r="5413" spans="1:5">
      <c r="A5413" s="12" t="s">
        <v>12465</v>
      </c>
      <c r="B5413" s="12" t="s">
        <v>12532</v>
      </c>
      <c r="C5413" s="13" t="str">
        <f>HYPERLINK("https://audio.iskcondesiretree.com/02_-_ISKCON_Swamis/ISKCON_Swamis_-_R_to_Y/His_Holiness_Radhanath_Swami/Lectures/03_-_From_devotees/RNS_SB_08-08-15-19_-_09-06-10_Alachua_Temple.mp3", "RNS_SB_08-08-15-19_-_09-06-10_Alachua_Temple.mp3")</f>
        <v>RNS_SB_08-08-15-19_-_09-06-10_Alachua_Temple.mp3</v>
      </c>
      <c r="D5413" s="11"/>
      <c r="E5413" s="11"/>
    </row>
    <row r="5414" spans="1:5">
      <c r="A5414" s="12" t="s">
        <v>12465</v>
      </c>
      <c r="B5414" s="12" t="s">
        <v>12533</v>
      </c>
      <c r="C5414" s="13" t="str">
        <f>HYPERLINK("https://audio.iskcondesiretree.com/02_-_ISKCON_Swamis/ISKCON_Swamis_-_R_to_Y/His_Holiness_Radhanath_Swami/Lectures/03_-_From_devotees/RNS_SB_09-04-47_-_07-05-18_London.mp3", "RNS_SB_09-04-47_-_07-05-18_London.mp3")</f>
        <v>RNS_SB_09-04-47_-_07-05-18_London.mp3</v>
      </c>
      <c r="D5414" s="11"/>
      <c r="E5414" s="11"/>
    </row>
    <row r="5415" spans="1:5">
      <c r="A5415" s="12" t="s">
        <v>12465</v>
      </c>
      <c r="B5415" s="12" t="s">
        <v>12534</v>
      </c>
      <c r="C5415" s="13" t="str">
        <f>HYPERLINK("https://audio.iskcondesiretree.com/02_-_ISKCON_Swamis/ISKCON_Swamis_-_R_to_Y/His_Holiness_Radhanath_Swami/Lectures/03_-_From_devotees/RNS_Shelter_of_Krsna%27s_Love_-_KK_Temple_-_08-12-21.mp3", "RNS_Shelter_of_Krsna%27s_Love_-_KK_Temple_-_08-12-21.mp3")</f>
        <v>RNS_Shelter_of_Krsna%27s_Love_-_KK_Temple_-_08-12-21.mp3</v>
      </c>
      <c r="D5415" s="11"/>
      <c r="E5415" s="11"/>
    </row>
    <row r="5416" spans="1:5">
      <c r="A5416" s="12" t="s">
        <v>12465</v>
      </c>
      <c r="B5416" s="12" t="s">
        <v>12535</v>
      </c>
      <c r="C5416" s="13" t="str">
        <f>HYPERLINK("https://audio.iskcondesiretree.com/02_-_ISKCON_Swamis/ISKCON_Swamis_-_R_to_Y/His_Holiness_Radhanath_Swami/Lectures/03_-_From_devotees/RNS_Sunday_Feast_-_03-11-30_Los_Angeles.mp3", "RNS_Sunday_Feast_-_03-11-30_Los_Angeles.mp3")</f>
        <v>RNS_Sunday_Feast_-_03-11-30_Los_Angeles.mp3</v>
      </c>
      <c r="D5416" s="11"/>
      <c r="E5416" s="11"/>
    </row>
    <row r="5417" spans="1:5">
      <c r="A5417" s="12" t="s">
        <v>12465</v>
      </c>
      <c r="B5417" s="12" t="s">
        <v>12536</v>
      </c>
      <c r="C5417" s="13" t="str">
        <f>HYPERLINK("https://audio.iskcondesiretree.com/02_-_ISKCON_Swamis/ISKCON_Swamis_-_R_to_Y/His_Holiness_Radhanath_Swami/Lectures/03_-_From_devotees/RNS_Sunday_Feast_-_04-07-18_Los_Angeles.mp3", "RNS_Sunday_Feast_-_04-07-18_Los_Angeles.mp3")</f>
        <v>RNS_Sunday_Feast_-_04-07-18_Los_Angeles.mp3</v>
      </c>
      <c r="D5417" s="11"/>
      <c r="E5417" s="11"/>
    </row>
    <row r="5418" spans="1:5">
      <c r="A5418" s="12" t="s">
        <v>12465</v>
      </c>
      <c r="B5418" s="12" t="s">
        <v>12537</v>
      </c>
      <c r="C5418" s="13" t="str">
        <f>HYPERLINK("https://audio.iskcondesiretree.com/02_-_ISKCON_Swamis/ISKCON_Swamis_-_R_to_Y/His_Holiness_Radhanath_Swami/Lectures/03_-_From_devotees/RNS_Sunday_Feast_-_Fortune_Of_A_Genuine_Beggar_-_08-03-23.mp3", "RNS_Sunday_Feast_-_Fortune_Of_A_Genuine_Beggar_-_08-03-23.mp3")</f>
        <v>RNS_Sunday_Feast_-_Fortune_Of_A_Genuine_Beggar_-_08-03-23.mp3</v>
      </c>
      <c r="D5418" s="11"/>
      <c r="E5418" s="11"/>
    </row>
    <row r="5419" spans="1:5">
      <c r="A5419" s="12" t="s">
        <v>12465</v>
      </c>
      <c r="B5419" s="12" t="s">
        <v>12538</v>
      </c>
      <c r="C5419" s="13" t="str">
        <f>HYPERLINK("https://audio.iskcondesiretree.com/02_-_ISKCON_Swamis/ISKCON_Swamis_-_R_to_Y/His_Holiness_Radhanath_Swami/Lectures/03_-_From_devotees/RNS_Sunday_Feast_Lecture_-_07-08-26_Alachua_Temple.mp3", "RNS_Sunday_Feast_Lecture_-_07-08-26_Alachua_Temple.mp3")</f>
        <v>RNS_Sunday_Feast_Lecture_-_07-08-26_Alachua_Temple.mp3</v>
      </c>
      <c r="D5419" s="11"/>
      <c r="E5419" s="11"/>
    </row>
    <row r="5420" spans="1:5">
      <c r="A5420" s="12" t="s">
        <v>12465</v>
      </c>
      <c r="B5420" s="12" t="s">
        <v>12539</v>
      </c>
      <c r="C5420" s="13" t="str">
        <f>HYPERLINK("https://audio.iskcondesiretree.com/02_-_ISKCON_Swamis/ISKCON_Swamis_-_R_to_Y/His_Holiness_Radhanath_Swami/Lectures/03_-_From_devotees/RNS_Various_-_Black_Lotus_Affair_SB_Class_-_05-24-2009.mp3", "RNS_Various_-_Black_Lotus_Affair_SB_Class_-_05-24-2009.mp3")</f>
        <v>RNS_Various_-_Black_Lotus_Affair_SB_Class_-_05-24-2009.mp3</v>
      </c>
      <c r="D5420" s="11"/>
      <c r="E5420" s="11"/>
    </row>
    <row r="5421" spans="1:5">
      <c r="A5421" s="12" t="s">
        <v>12465</v>
      </c>
      <c r="B5421" s="12" t="s">
        <v>12540</v>
      </c>
      <c r="C5421" s="13" t="str">
        <f>HYPERLINK("https://audio.iskcondesiretree.com/02_-_ISKCON_Swamis/ISKCON_Swamis_-_R_to_Y/His_Holiness_Radhanath_Swami/Lectures/03_-_From_devotees/RNS_Various_-_Christmas_Lecture_-_06-12-24_London.mp3", "RNS_Various_-_Christmas_Lecture_-_06-12-24_London.mp3")</f>
        <v>RNS_Various_-_Christmas_Lecture_-_06-12-24_London.mp3</v>
      </c>
      <c r="D5421" s="11"/>
      <c r="E5421" s="11"/>
    </row>
    <row r="5422" spans="1:5">
      <c r="A5422" s="12" t="s">
        <v>12465</v>
      </c>
      <c r="B5422" s="12" t="s">
        <v>12541</v>
      </c>
      <c r="C5422" s="13" t="str">
        <f>HYPERLINK("https://audio.iskcondesiretree.com/02_-_ISKCON_Swamis/ISKCON_Swamis_-_R_to_Y/His_Holiness_Radhanath_Swami/Lectures/03_-_From_devotees/RNS_Various_-_Evening_Class_-_09-06-08_Alachua_Temple.mp3", "RNS_Various_-_Evening_Class_-_09-06-08_Alachua_Temple.mp3")</f>
        <v>RNS_Various_-_Evening_Class_-_09-06-08_Alachua_Temple.mp3</v>
      </c>
      <c r="D5422" s="11"/>
      <c r="E5422" s="11"/>
    </row>
    <row r="5423" spans="1:5">
      <c r="A5423" s="12" t="s">
        <v>12465</v>
      </c>
      <c r="B5423" s="12" t="s">
        <v>12542</v>
      </c>
      <c r="C5423" s="13" t="str">
        <f>HYPERLINK("https://audio.iskcondesiretree.com/02_-_ISKCON_Swamis/ISKCON_Swamis_-_R_to_Y/His_Holiness_Radhanath_Swami/Lectures/03_-_From_devotees/RNS_Various_-_Love_Is_Fundemental_-_Sacred_Sounds_-_09-06-06.mp3", "RNS_Various_-_Love_Is_Fundemental_-_Sacred_Sounds_-_09-06-06.mp3")</f>
        <v>RNS_Various_-_Love_Is_Fundemental_-_Sacred_Sounds_-_09-06-06.mp3</v>
      </c>
      <c r="D5423" s="11"/>
      <c r="E5423" s="11"/>
    </row>
    <row r="5424" spans="1:5">
      <c r="A5424" s="12" t="s">
        <v>12465</v>
      </c>
      <c r="B5424" s="12" t="s">
        <v>12543</v>
      </c>
      <c r="C5424" s="13" t="str">
        <f>HYPERLINK("https://audio.iskcondesiretree.com/02_-_ISKCON_Swamis/ISKCON_Swamis_-_R_to_Y/His_Holiness_Radhanath_Swami/Lectures/03_-_From_devotees/RNS_Various_-_Malhotra_Home_-_09-06-05.mp3", "RNS_Various_-_Malhotra_Home_-_09-06-05.mp3")</f>
        <v>RNS_Various_-_Malhotra_Home_-_09-06-05.mp3</v>
      </c>
      <c r="D5424" s="11"/>
      <c r="E5424" s="11"/>
    </row>
    <row r="5425" spans="1:5">
      <c r="A5425" s="12" t="s">
        <v>12465</v>
      </c>
      <c r="B5425" s="12" t="s">
        <v>12544</v>
      </c>
      <c r="C5425" s="13" t="str">
        <f>HYPERLINK("https://audio.iskcondesiretree.com/02_-_ISKCON_Swamis/ISKCON_Swamis_-_R_to_Y/His_Holiness_Radhanath_Swami/Lectures/03_-_From_devotees/RNS_Various_-_Sanatan_Goswami_And_The_Touch_stone_-_09-06-04_Radha_Madan_Mohan_Mandir.mp3", "RNS_Various_-_Sanatan_Goswami_And_The_Touch_stone_-_09-06-04_Radha_Madan_Mohan_Mandir.mp3")</f>
        <v>RNS_Various_-_Sanatan_Goswami_And_The_Touch_stone_-_09-06-04_Radha_Madan_Mohan_Mandir.mp3</v>
      </c>
      <c r="D5425" s="11"/>
      <c r="E5425" s="11"/>
    </row>
    <row r="5426" spans="1:5">
      <c r="A5426" s="12" t="s">
        <v>12465</v>
      </c>
      <c r="B5426" s="12" t="s">
        <v>12545</v>
      </c>
      <c r="C5426" s="13" t="str">
        <f>HYPERLINK("https://audio.iskcondesiretree.com/02_-_ISKCON_Swamis/ISKCON_Swamis_-_R_to_Y/His_Holiness_Radhanath_Swami/Lectures/03_-_From_devotees/SB_-_Do_not_mistreat_anyone_-_2007-04-28_-_Radhanath_Swami.mp3", "SB_-_Do_not_mistreat_anyone_-_2007-04-28_-_Radhanath_Swami.mp3")</f>
        <v>SB_-_Do_not_mistreat_anyone_-_2007-04-28_-_Radhanath_Swami.mp3</v>
      </c>
      <c r="D5426" s="11"/>
      <c r="E5426" s="11"/>
    </row>
    <row r="5427" spans="1:5">
      <c r="A5427" s="12" t="s">
        <v>12546</v>
      </c>
      <c r="B5427" s="12" t="s">
        <v>12547</v>
      </c>
      <c r="C5427" s="13" t="str">
        <f>HYPERLINK("https://audio.iskcondesiretree.com/02_-_ISKCON_Swamis/ISKCON_Swamis_-_R_to_Y/His_Holiness_Radhanath_Swami/Lectures/04_-_Brihad_Bhagavatamrata/RNS_-_An_Introduction_to_Bhagavatamrit_-_1999-12-29.mp3", "RNS_-_An_Introduction_to_Bhagavatamrit_-_1999-12-29.mp3")</f>
        <v>RNS_-_An_Introduction_to_Bhagavatamrit_-_1999-12-29.mp3</v>
      </c>
      <c r="D5427" s="11"/>
      <c r="E5427" s="11"/>
    </row>
    <row r="5428" spans="1:5">
      <c r="A5428" s="12" t="s">
        <v>12546</v>
      </c>
      <c r="B5428" s="12" t="s">
        <v>12548</v>
      </c>
      <c r="C5428" s="13" t="str">
        <f>HYPERLINK("https://audio.iskcondesiretree.com/02_-_ISKCON_Swamis/ISKCON_Swamis_-_R_to_Y/His_Holiness_Radhanath_Swami/Lectures/04_-_Brihad_Bhagavatamrata/RNS_-_Narada_Muni%27s_Search_for_the_Greatest_Devotee_-_1999-12-29.mp3", "RNS_-_Narada_Muni%27s_Search_for_the_Greatest_Devotee_-_1999-12-29.mp3")</f>
        <v>RNS_-_Narada_Muni%27s_Search_for_the_Greatest_Devotee_-_1999-12-29.mp3</v>
      </c>
      <c r="D5428" s="11"/>
      <c r="E5428" s="11"/>
    </row>
    <row r="5429" spans="1:5">
      <c r="A5429" s="12" t="s">
        <v>12546</v>
      </c>
      <c r="B5429" s="12" t="s">
        <v>12549</v>
      </c>
      <c r="C5429" s="13" t="str">
        <f>HYPERLINK("https://audio.iskcondesiretree.com/02_-_ISKCON_Swamis/ISKCON_Swamis_-_R_to_Y/His_Holiness_Radhanath_Swami/Lectures/04_-_Brihad_Bhagavatamrata/RNS_-_Narada_Muni_Meets_Hanuman_-_1999-12-30.mp3", "RNS_-_Narada_Muni_Meets_Hanuman_-_1999-12-30.mp3")</f>
        <v>RNS_-_Narada_Muni_Meets_Hanuman_-_1999-12-30.mp3</v>
      </c>
      <c r="D5429" s="11"/>
      <c r="E5429" s="11"/>
    </row>
    <row r="5430" spans="1:5">
      <c r="A5430" s="12" t="s">
        <v>12546</v>
      </c>
      <c r="B5430" s="12" t="s">
        <v>12550</v>
      </c>
      <c r="C5430" s="13" t="str">
        <f>HYPERLINK("https://audio.iskcondesiretree.com/02_-_ISKCON_Swamis/ISKCON_Swamis_-_R_to_Y/His_Holiness_Radhanath_Swami/Lectures/04_-_Brihad_Bhagavatamrata/RNS_-_Narada_Muni_Meets_Prahlad_Maharaja_-_1999-12-30.mp3", "RNS_-_Narada_Muni_Meets_Prahlad_Maharaja_-_1999-12-30.mp3")</f>
        <v>RNS_-_Narada_Muni_Meets_Prahlad_Maharaja_-_1999-12-30.mp3</v>
      </c>
      <c r="D5430" s="11"/>
      <c r="E5430" s="11"/>
    </row>
    <row r="5431" spans="1:5">
      <c r="A5431" s="12" t="s">
        <v>12546</v>
      </c>
      <c r="B5431" s="12" t="s">
        <v>12551</v>
      </c>
      <c r="C5431" s="13" t="str">
        <f>HYPERLINK("https://audio.iskcondesiretree.com/02_-_ISKCON_Swamis/ISKCON_Swamis_-_R_to_Y/His_Holiness_Radhanath_Swami/Lectures/04_-_Brihad_Bhagavatamrata/RNS_-_Narada_Muni_Meets_the_King_and_Indra_-_1999-12-29.mp3", "RNS_-_Narada_Muni_Meets_the_King_and_Indra_-_1999-12-29.mp3")</f>
        <v>RNS_-_Narada_Muni_Meets_the_King_and_Indra_-_1999-12-29.mp3</v>
      </c>
      <c r="D5431" s="11"/>
      <c r="E5431" s="11"/>
    </row>
    <row r="5432" spans="1:5">
      <c r="A5432" s="12" t="s">
        <v>12546</v>
      </c>
      <c r="B5432" s="12" t="s">
        <v>12552</v>
      </c>
      <c r="C5432" s="13" t="str">
        <f>HYPERLINK("https://audio.iskcondesiretree.com/02_-_ISKCON_Swamis/ISKCON_Swamis_-_R_to_Y/His_Holiness_Radhanath_Swami/Lectures/04_-_Brihad_Bhagavatamrata/RNS_-_Narada_Muni_Meets_the_Yadus_Uddhava_and_the_Queens_of_Dwarka_-_1999-12-31.mp3", "RNS_-_Narada_Muni_Meets_the_Yadus_Uddhava_and_the_Queens_of_Dwarka_-_1999-12-31.mp3")</f>
        <v>RNS_-_Narada_Muni_Meets_the_Yadus_Uddhava_and_the_Queens_of_Dwarka_-_1999-12-31.mp3</v>
      </c>
      <c r="D5432" s="11"/>
      <c r="E5432" s="11"/>
    </row>
    <row r="5433" spans="1:5">
      <c r="A5433" s="12" t="s">
        <v>12546</v>
      </c>
      <c r="B5433" s="12" t="s">
        <v>12553</v>
      </c>
      <c r="C5433" s="13" t="str">
        <f>HYPERLINK("https://audio.iskcondesiretree.com/02_-_ISKCON_Swamis/ISKCON_Swamis_-_R_to_Y/His_Holiness_Radhanath_Swami/Lectures/04_-_Brihad_Bhagavatamrata/RNS_-_Narada_Muni_Travels_to_Brahmaloka_-_1999-12-30.mp3", "RNS_-_Narada_Muni_Travels_to_Brahmaloka_-_1999-12-30.mp3")</f>
        <v>RNS_-_Narada_Muni_Travels_to_Brahmaloka_-_1999-12-30.mp3</v>
      </c>
      <c r="D5433" s="11"/>
      <c r="E5433" s="11"/>
    </row>
    <row r="5434" spans="1:5">
      <c r="A5434" s="12" t="s">
        <v>12546</v>
      </c>
      <c r="B5434" s="12" t="s">
        <v>12554</v>
      </c>
      <c r="C5434" s="13" t="str">
        <f>HYPERLINK("https://audio.iskcondesiretree.com/02_-_ISKCON_Swamis/ISKCON_Swamis_-_R_to_Y/His_Holiness_Radhanath_Swami/Lectures/04_-_Brihad_Bhagavatamrata/RNS_-_Narada_Muni_Travels_to_Shivaloka_-_1999-12-30.mp3", "RNS_-_Narada_Muni_Travels_to_Shivaloka_-_1999-12-30.mp3")</f>
        <v>RNS_-_Narada_Muni_Travels_to_Shivaloka_-_1999-12-30.mp3</v>
      </c>
      <c r="D5434" s="11"/>
      <c r="E5434" s="11"/>
    </row>
    <row r="5435" spans="1:5">
      <c r="A5435" s="12" t="s">
        <v>12546</v>
      </c>
      <c r="B5435" s="12" t="s">
        <v>12555</v>
      </c>
      <c r="C5435" s="13" t="str">
        <f>HYPERLINK("https://audio.iskcondesiretree.com/02_-_ISKCON_Swamis/ISKCON_Swamis_-_R_to_Y/His_Holiness_Radhanath_Swami/Lectures/04_-_Brihad_Bhagavatamrata/RNS_-_Narada_Muni_Visits_the_Pandavas_-_1999-12-30.mp3", "RNS_-_Narada_Muni_Visits_the_Pandavas_-_1999-12-30.mp3")</f>
        <v>RNS_-_Narada_Muni_Visits_the_Pandavas_-_1999-12-30.mp3</v>
      </c>
      <c r="D5435" s="11"/>
      <c r="E5435" s="11"/>
    </row>
    <row r="5436" spans="1:5">
      <c r="A5436" s="12" t="s">
        <v>12546</v>
      </c>
      <c r="B5436" s="12" t="s">
        <v>12556</v>
      </c>
      <c r="C5436" s="13" t="str">
        <f>HYPERLINK("https://audio.iskcondesiretree.com/02_-_ISKCON_Swamis/ISKCON_Swamis_-_R_to_Y/His_Holiness_Radhanath_Swami/Lectures/04_-_Brihad_Bhagavatamrata/RNS_-_Sunday_Feast-Teachings_From_Sri_Brihat_Bhagvatamrta_-_2007-10-14.mp3", "RNS_-_Sunday_Feast-Teachings_From_Sri_Brihat_Bhagvatamrta_-_2007-10-14.mp3")</f>
        <v>RNS_-_Sunday_Feast-Teachings_From_Sri_Brihat_Bhagvatamrta_-_2007-10-14.mp3</v>
      </c>
      <c r="D5436" s="11"/>
      <c r="E5436" s="11"/>
    </row>
    <row r="5437" spans="1:5">
      <c r="A5437" s="12" t="s">
        <v>12557</v>
      </c>
      <c r="B5437" s="12" t="s">
        <v>12558</v>
      </c>
      <c r="C5437" s="13" t="str">
        <f>HYPERLINK("https://audio.iskcondesiretree.com/02_-_ISKCON_Swamis/ISKCON_Swamis_-_R_to_Y/His_Holiness_Radhanath_Swami/Lectures/04_-_Brihad_Bhagavatamrata_Hindi_translation/Hindi_-_01-Introduction_new_-_Radhanath_Swami.mp3", "Hindi_-_01-Introduction_new_-_Radhanath_Swami.mp3")</f>
        <v>Hindi_-_01-Introduction_new_-_Radhanath_Swami.mp3</v>
      </c>
      <c r="D5437" s="11"/>
      <c r="E5437" s="11"/>
    </row>
    <row r="5438" spans="1:5">
      <c r="A5438" s="12" t="s">
        <v>12557</v>
      </c>
      <c r="B5438" s="12" t="s">
        <v>12559</v>
      </c>
      <c r="C5438" s="13" t="str">
        <f>HYPERLINK("https://audio.iskcondesiretree.com/02_-_ISKCON_Swamis/ISKCON_Swamis_-_R_to_Y/His_Holiness_Radhanath_Swami/Lectures/04_-_Brihad_Bhagavatamrata_Hindi_translation/Hindi_-_02-Narada_Munis_search_for_the_greatest_devotee_-_Radhanath_Swami.mp3", "Hindi_-_02-Narada_Munis_search_for_the_greatest_devotee_-_Radhanath_Swami.mp3")</f>
        <v>Hindi_-_02-Narada_Munis_search_for_the_greatest_devotee_-_Radhanath_Swami.mp3</v>
      </c>
      <c r="D5438" s="11"/>
      <c r="E5438" s="11"/>
    </row>
    <row r="5439" spans="1:5">
      <c r="A5439" s="12" t="s">
        <v>12557</v>
      </c>
      <c r="B5439" s="12" t="s">
        <v>12560</v>
      </c>
      <c r="C5439" s="13" t="str">
        <f>HYPERLINK("https://audio.iskcondesiretree.com/02_-_ISKCON_Swamis/ISKCON_Swamis_-_R_to_Y/His_Holiness_Radhanath_Swami/Lectures/04_-_Brihad_Bhagavatamrata_Hindi_translation/Hindi_-_03-Naradamuni_meets_the_King_and_Indrav_-_Radhanath_Swami.mp3", "Hindi_-_03-Naradamuni_meets_the_King_and_Indrav_-_Radhanath_Swami.mp3")</f>
        <v>Hindi_-_03-Naradamuni_meets_the_King_and_Indrav_-_Radhanath_Swami.mp3</v>
      </c>
      <c r="D5439" s="11"/>
      <c r="E5439" s="11"/>
    </row>
    <row r="5440" spans="1:5">
      <c r="A5440" s="12" t="s">
        <v>12557</v>
      </c>
      <c r="B5440" s="12" t="s">
        <v>12561</v>
      </c>
      <c r="C5440" s="13" t="str">
        <f>HYPERLINK("https://audio.iskcondesiretree.com/02_-_ISKCON_Swamis/ISKCON_Swamis_-_R_to_Y/His_Holiness_Radhanath_Swami/Lectures/04_-_Brihad_Bhagavatamrata_Hindi_translation/Hindi_-_04-Naradamuni_travels_to_Brahmaloka_-_Radhanath_Swami.mp3", "Hindi_-_04-Naradamuni_travels_to_Brahmaloka_-_Radhanath_Swami.mp3")</f>
        <v>Hindi_-_04-Naradamuni_travels_to_Brahmaloka_-_Radhanath_Swami.mp3</v>
      </c>
      <c r="D5440" s="11"/>
      <c r="E5440" s="11"/>
    </row>
    <row r="5441" spans="1:5">
      <c r="A5441" s="12" t="s">
        <v>12557</v>
      </c>
      <c r="B5441" s="12" t="s">
        <v>12562</v>
      </c>
      <c r="C5441" s="13" t="str">
        <f>HYPERLINK("https://audio.iskcondesiretree.com/02_-_ISKCON_Swamis/ISKCON_Swamis_-_R_to_Y/His_Holiness_Radhanath_Swami/Lectures/04_-_Brihad_Bhagavatamrata_Hindi_translation/Hindi_-_05-Naradamuni_comes_to_Shiva_loka_-_Radhanath_Swami.mp3", "Hindi_-_05-Naradamuni_comes_to_Shiva_loka_-_Radhanath_Swami.mp3")</f>
        <v>Hindi_-_05-Naradamuni_comes_to_Shiva_loka_-_Radhanath_Swami.mp3</v>
      </c>
      <c r="D5441" s="11"/>
      <c r="E5441" s="11"/>
    </row>
    <row r="5442" spans="1:5">
      <c r="A5442" s="12" t="s">
        <v>12557</v>
      </c>
      <c r="B5442" s="12" t="s">
        <v>12563</v>
      </c>
      <c r="C5442" s="13" t="str">
        <f>HYPERLINK("https://audio.iskcondesiretree.com/02_-_ISKCON_Swamis/ISKCON_Swamis_-_R_to_Y/His_Holiness_Radhanath_Swami/Lectures/04_-_Brihad_Bhagavatamrata_Hindi_translation/Hindi_-_06-Naradamuni_meets_Prahalad_-_Radhanath_Swami.mp3", "Hindi_-_06-Naradamuni_meets_Prahalad_-_Radhanath_Swami.mp3")</f>
        <v>Hindi_-_06-Naradamuni_meets_Prahalad_-_Radhanath_Swami.mp3</v>
      </c>
      <c r="D5442" s="11"/>
      <c r="E5442" s="11"/>
    </row>
    <row r="5443" spans="1:5">
      <c r="A5443" s="12" t="s">
        <v>12557</v>
      </c>
      <c r="B5443" s="12" t="s">
        <v>12564</v>
      </c>
      <c r="C5443" s="13" t="str">
        <f>HYPERLINK("https://audio.iskcondesiretree.com/02_-_ISKCON_Swamis/ISKCON_Swamis_-_R_to_Y/His_Holiness_Radhanath_Swami/Lectures/04_-_Brihad_Bhagavatamrata_Hindi_translation/Hindi_-_07-Naradamuni_meets_Hanuman_-_Radhanath_Swami.mp3", "Hindi_-_07-Naradamuni_meets_Hanuman_-_Radhanath_Swami.mp3")</f>
        <v>Hindi_-_07-Naradamuni_meets_Hanuman_-_Radhanath_Swami.mp3</v>
      </c>
      <c r="D5443" s="11"/>
      <c r="E5443" s="11"/>
    </row>
    <row r="5444" spans="1:5">
      <c r="A5444" s="12" t="s">
        <v>12557</v>
      </c>
      <c r="B5444" s="12" t="s">
        <v>12565</v>
      </c>
      <c r="C5444" s="13" t="str">
        <f>HYPERLINK("https://audio.iskcondesiretree.com/02_-_ISKCON_Swamis/ISKCON_Swamis_-_R_to_Y/His_Holiness_Radhanath_Swami/Lectures/04_-_Brihad_Bhagavatamrata_Hindi_translation/Hindi_-_08-Naradamuni_visits_the_Pandavas_-_Radhanath_Swami.mp3", "Hindi_-_08-Naradamuni_visits_the_Pandavas_-_Radhanath_Swami.mp3")</f>
        <v>Hindi_-_08-Naradamuni_visits_the_Pandavas_-_Radhanath_Swami.mp3</v>
      </c>
      <c r="D5444" s="11"/>
      <c r="E5444" s="11"/>
    </row>
    <row r="5445" spans="1:5">
      <c r="A5445" s="12" t="s">
        <v>12557</v>
      </c>
      <c r="B5445" s="12" t="s">
        <v>12566</v>
      </c>
      <c r="C5445" s="13" t="str">
        <f>HYPERLINK("https://audio.iskcondesiretree.com/02_-_ISKCON_Swamis/ISKCON_Swamis_-_R_to_Y/His_Holiness_Radhanath_Swami/Lectures/04_-_Brihad_Bhagavatamrata_Hindi_translation/Hindi_-_09-Naradamuni_meets_Yadus%2C_Uddhav_and_the_queens_of_Dwarka_-_Radhanath_Swami.mp3", "Hindi_-_09-Naradamuni_meets_Yadus%2C_Uddhav_and_the_queens_of_Dwarka_-_Radhanath_Swami.mp3")</f>
        <v>Hindi_-_09-Naradamuni_meets_Yadus%2C_Uddhav_and_the_queens_of_Dwarka_-_Radhanath_Swami.mp3</v>
      </c>
      <c r="D5445" s="11"/>
      <c r="E5445" s="11"/>
    </row>
    <row r="5446" spans="1:5">
      <c r="A5446" s="12" t="s">
        <v>12567</v>
      </c>
      <c r="B5446" s="12" t="s">
        <v>12568</v>
      </c>
      <c r="C5446" s="13" t="str">
        <f>HYPERLINK("https://audio.iskcondesiretree.com/02_-_ISKCON_Swamis/ISKCON_Swamis_-_R_to_Y/His_Holiness_Radhanath_Swami/Lectures/05_-_Amrit_Droplets/Amrit_Droplets_-_0176_-_Q_n_A_-_How_to_test_whether_not_coming_to_temple_is_due_to_genuine_bodily_problem.mp3", "Amrit_Droplets_-_0176_-_Q_n_A_-_How_to_test_whether_not_coming_to_temple_is_due_to_genuine_bodily_problem.mp3")</f>
        <v>Amrit_Droplets_-_0176_-_Q_n_A_-_How_to_test_whether_not_coming_to_temple_is_due_to_genuine_bodily_problem.mp3</v>
      </c>
      <c r="D5446" s="11"/>
      <c r="E5446" s="11"/>
    </row>
    <row r="5447" spans="1:5">
      <c r="A5447" s="12" t="s">
        <v>12567</v>
      </c>
      <c r="B5447" s="12" t="s">
        <v>12569</v>
      </c>
      <c r="C5447" s="13" t="str">
        <f>HYPERLINK("https://audio.iskcondesiretree.com/02_-_ISKCON_Swamis/ISKCON_Swamis_-_R_to_Y/His_Holiness_Radhanath_Swami/Lectures/05_-_Amrit_Droplets/Amrit_Droplets_-_0183_-_Short_Stories_-_Abhiram_Thakur_decides_to_give_obeisances_to_Little_Gopal_Guru_-_IDesireTree.mp3", "Amrit_Droplets_-_0183_-_Short_Stories_-_Abhiram_Thakur_decides_to_give_obeisances_to_Little_Gopal_Guru_-_IDesireTree.mp3")</f>
        <v>Amrit_Droplets_-_0183_-_Short_Stories_-_Abhiram_Thakur_decides_to_give_obeisances_to_Little_Gopal_Guru_-_IDesireTree.mp3</v>
      </c>
      <c r="D5447" s="11"/>
      <c r="E5447" s="11"/>
    </row>
    <row r="5448" spans="1:5">
      <c r="A5448" s="12" t="s">
        <v>12567</v>
      </c>
      <c r="B5448" s="12" t="e">
        <v>#VALUE!</v>
      </c>
      <c r="C5448" s="13" t="e">
        <f>HYPERLINK("https://audio.iskcondesiretree.com/02_-_ISKCON_Swamis/ISKCON_Swamis_-_R_to_Y/His_Holiness_Radhanath_Swami/Lectures/05_-_Amrit_Droplets/Amrit_Droplets_-_0184_-_Short_Stories_-_How_Parikshit_Maharaj_was_cursed_%26_Srimad_Bhagavatam_was_spoken_-_IDesireTree."&amp;"mp3", "Amrit_Droplets_-_0184_-_Short_Stories_-_How_Parikshit_Maharaj_was_cursed_%26_Srimad_Bhagavatam_was_spoken_-_IDesireTree.mp3")</f>
        <v>#VALUE!</v>
      </c>
      <c r="D5448" s="11"/>
      <c r="E5448" s="11"/>
    </row>
    <row r="5449" spans="1:5">
      <c r="A5449" s="12" t="s">
        <v>12567</v>
      </c>
      <c r="B5449" s="12" t="s">
        <v>12570</v>
      </c>
      <c r="C5449" s="13" t="str">
        <f>HYPERLINK("https://audio.iskcondesiretree.com/02_-_ISKCON_Swamis/ISKCON_Swamis_-_R_to_Y/His_Holiness_Radhanath_Swami/Lectures/05_-_Amrit_Droplets/HHRNSM_-_Amrit_Droplets_-_0001_-_Request_to_all_of_us_-_IDesireTree.mp3", "HHRNSM_-_Amrit_Droplets_-_0001_-_Request_to_all_of_us_-_IDesireTree.mp3")</f>
        <v>HHRNSM_-_Amrit_Droplets_-_0001_-_Request_to_all_of_us_-_IDesireTree.mp3</v>
      </c>
      <c r="D5449" s="11"/>
      <c r="E5449" s="11"/>
    </row>
    <row r="5450" spans="1:5">
      <c r="A5450" s="12" t="s">
        <v>12567</v>
      </c>
      <c r="B5450" s="12" t="s">
        <v>12571</v>
      </c>
      <c r="C5450" s="13" t="str">
        <f>HYPERLINK("https://audio.iskcondesiretree.com/02_-_ISKCON_Swamis/ISKCON_Swamis_-_R_to_Y/His_Holiness_Radhanath_Swami/Lectures/05_-_Amrit_Droplets/HHRNSM_-_Amrit_Droplets_-_0002_-_Always_be_busy_in_positive_%26_don%27t_leave_time_for_negative_-_IDesireTree.mp3", "HHRNSM_-_Amrit_Droplets_-_0002_-_Always_be_busy_in_positive_%26_don%27t_leave_time_for_negative_-_IDesireTree.mp3")</f>
        <v>HHRNSM_-_Amrit_Droplets_-_0002_-_Always_be_busy_in_positive_%26_don%27t_leave_time_for_negative_-_IDesireTree.mp3</v>
      </c>
      <c r="D5450" s="11"/>
      <c r="E5450" s="11"/>
    </row>
    <row r="5451" spans="1:5">
      <c r="A5451" s="12" t="s">
        <v>12567</v>
      </c>
      <c r="B5451" s="12" t="s">
        <v>12572</v>
      </c>
      <c r="C5451" s="13" t="str">
        <f>HYPERLINK("https://audio.iskcondesiretree.com/02_-_ISKCON_Swamis/ISKCON_Swamis_-_R_to_Y/His_Holiness_Radhanath_Swami/Lectures/05_-_Amrit_Droplets/HHRNSM_-_Amrit_Droplets_-_0003_-_Charity_comes_from_Compassion_-_IDesireTree.mp3", "HHRNSM_-_Amrit_Droplets_-_0003_-_Charity_comes_from_Compassion_-_IDesireTree.mp3")</f>
        <v>HHRNSM_-_Amrit_Droplets_-_0003_-_Charity_comes_from_Compassion_-_IDesireTree.mp3</v>
      </c>
      <c r="D5451" s="11"/>
      <c r="E5451" s="11"/>
    </row>
    <row r="5452" spans="1:5">
      <c r="A5452" s="12" t="s">
        <v>12567</v>
      </c>
      <c r="B5452" s="12" t="s">
        <v>12573</v>
      </c>
      <c r="C5452" s="13" t="str">
        <f>HYPERLINK("https://audio.iskcondesiretree.com/02_-_ISKCON_Swamis/ISKCON_Swamis_-_R_to_Y/His_Holiness_Radhanath_Swami/Lectures/05_-_Amrit_Droplets/HHRNSM_-_Amrit_Droplets_-_0004_-_Definition_of_Goswami_-_IDesireTree.mp3", "HHRNSM_-_Amrit_Droplets_-_0004_-_Definition_of_Goswami_-_IDesireTree.mp3")</f>
        <v>HHRNSM_-_Amrit_Droplets_-_0004_-_Definition_of_Goswami_-_IDesireTree.mp3</v>
      </c>
      <c r="D5452" s="11"/>
      <c r="E5452" s="11"/>
    </row>
    <row r="5453" spans="1:5">
      <c r="A5453" s="12" t="s">
        <v>12567</v>
      </c>
      <c r="B5453" s="12" t="s">
        <v>12574</v>
      </c>
      <c r="C5453" s="13" t="str">
        <f>HYPERLINK("https://audio.iskcondesiretree.com/02_-_ISKCON_Swamis/ISKCON_Swamis_-_R_to_Y/His_Holiness_Radhanath_Swami/Lectures/05_-_Amrit_Droplets/HHRNSM_-_Amrit_Droplets_-_0005_-_Don%27t_be_surprised_of_envious_people_-_IDesireTree.mp3", "HHRNSM_-_Amrit_Droplets_-_0005_-_Don%27t_be_surprised_of_envious_people_-_IDesireTree.mp3")</f>
        <v>HHRNSM_-_Amrit_Droplets_-_0005_-_Don%27t_be_surprised_of_envious_people_-_IDesireTree.mp3</v>
      </c>
      <c r="D5453" s="11"/>
      <c r="E5453" s="11"/>
    </row>
    <row r="5454" spans="1:5">
      <c r="A5454" s="12" t="s">
        <v>12567</v>
      </c>
      <c r="B5454" s="12" t="s">
        <v>12575</v>
      </c>
      <c r="C5454" s="13" t="str">
        <f>HYPERLINK("https://audio.iskcondesiretree.com/02_-_ISKCON_Swamis/ISKCON_Swamis_-_R_to_Y/His_Holiness_Radhanath_Swami/Lectures/05_-_Amrit_Droplets/HHRNSM_-_Amrit_Droplets_-_0006_-_How_principle_of_Discipline_works_-_IDesireTree.mp3", "HHRNSM_-_Amrit_Droplets_-_0006_-_How_principle_of_Discipline_works_-_IDesireTree.mp3")</f>
        <v>HHRNSM_-_Amrit_Droplets_-_0006_-_How_principle_of_Discipline_works_-_IDesireTree.mp3</v>
      </c>
      <c r="D5454" s="11"/>
      <c r="E5454" s="11"/>
    </row>
    <row r="5455" spans="1:5">
      <c r="A5455" s="12" t="s">
        <v>12567</v>
      </c>
      <c r="B5455" s="12" t="s">
        <v>12576</v>
      </c>
      <c r="C5455" s="13" t="str">
        <f>HYPERLINK("https://audio.iskcondesiretree.com/02_-_ISKCON_Swamis/ISKCON_Swamis_-_R_to_Y/His_Holiness_Radhanath_Swami/Lectures/05_-_Amrit_Droplets/HHRNSM_-_Amrit_Droplets_-_0007_-_How_to_develop_taste_for_Srimad_Bhagavatam_-_IDesireTree.mp3", "HHRNSM_-_Amrit_Droplets_-_0007_-_How_to_develop_taste_for_Srimad_Bhagavatam_-_IDesireTree.mp3")</f>
        <v>HHRNSM_-_Amrit_Droplets_-_0007_-_How_to_develop_taste_for_Srimad_Bhagavatam_-_IDesireTree.mp3</v>
      </c>
      <c r="D5455" s="11"/>
      <c r="E5455" s="11"/>
    </row>
    <row r="5456" spans="1:5">
      <c r="A5456" s="12" t="s">
        <v>12567</v>
      </c>
      <c r="B5456" s="12" t="s">
        <v>12577</v>
      </c>
      <c r="C5456" s="13" t="str">
        <f>HYPERLINK("https://audio.iskcondesiretree.com/02_-_ISKCON_Swamis/ISKCON_Swamis_-_R_to_Y/His_Holiness_Radhanath_Swami/Lectures/05_-_Amrit_Droplets/HHRNSM_-_Amrit_Droplets_-_0008_-_No_Gain_Without_Pain_-_IDesireTree.mp3", "HHRNSM_-_Amrit_Droplets_-_0008_-_No_Gain_Without_Pain_-_IDesireTree.mp3")</f>
        <v>HHRNSM_-_Amrit_Droplets_-_0008_-_No_Gain_Without_Pain_-_IDesireTree.mp3</v>
      </c>
      <c r="D5456" s="11"/>
      <c r="E5456" s="11"/>
    </row>
    <row r="5457" spans="1:5">
      <c r="A5457" s="12" t="s">
        <v>12567</v>
      </c>
      <c r="B5457" s="12" t="s">
        <v>12578</v>
      </c>
      <c r="C5457" s="13" t="str">
        <f>HYPERLINK("https://audio.iskcondesiretree.com/02_-_ISKCON_Swamis/ISKCON_Swamis_-_R_to_Y/His_Holiness_Radhanath_Swami/Lectures/05_-_Amrit_Droplets/HHRNSM_-_Amrit_Droplets_-_0009_-_Pleasing_Krsna_by_Discipline_-_IDesireTree.mp3", "HHRNSM_-_Amrit_Droplets_-_0009_-_Pleasing_Krsna_by_Discipline_-_IDesireTree.mp3")</f>
        <v>HHRNSM_-_Amrit_Droplets_-_0009_-_Pleasing_Krsna_by_Discipline_-_IDesireTree.mp3</v>
      </c>
      <c r="D5457" s="11"/>
      <c r="E5457" s="11"/>
    </row>
    <row r="5458" spans="1:5">
      <c r="A5458" s="12" t="s">
        <v>12567</v>
      </c>
      <c r="B5458" s="12" t="s">
        <v>12579</v>
      </c>
      <c r="C5458" s="13" t="str">
        <f>HYPERLINK("https://audio.iskcondesiretree.com/02_-_ISKCON_Swamis/ISKCON_Swamis_-_R_to_Y/His_Holiness_Radhanath_Swami/Lectures/05_-_Amrit_Droplets/HHRNSM_-_Amrit_Droplets_-_0010_-_Spritual_Life_is_holistic_-_IDesireTree.mp3", "HHRNSM_-_Amrit_Droplets_-_0010_-_Spritual_Life_is_holistic_-_IDesireTree.mp3")</f>
        <v>HHRNSM_-_Amrit_Droplets_-_0010_-_Spritual_Life_is_holistic_-_IDesireTree.mp3</v>
      </c>
      <c r="D5458" s="11"/>
      <c r="E5458" s="11"/>
    </row>
    <row r="5459" spans="1:5">
      <c r="A5459" s="12" t="s">
        <v>12567</v>
      </c>
      <c r="B5459" s="12" t="s">
        <v>12580</v>
      </c>
      <c r="C5459" s="13" t="str">
        <f>HYPERLINK("https://audio.iskcondesiretree.com/02_-_ISKCON_Swamis/ISKCON_Swamis_-_R_to_Y/His_Holiness_Radhanath_Swami/Lectures/05_-_Amrit_Droplets/HHRNSM_-_Amrit_Droplets_-_0011_-_Taste_for_Bhagavatam_is_important_-_IDesireTree.mp3", "HHRNSM_-_Amrit_Droplets_-_0011_-_Taste_for_Bhagavatam_is_important_-_IDesireTree.mp3")</f>
        <v>HHRNSM_-_Amrit_Droplets_-_0011_-_Taste_for_Bhagavatam_is_important_-_IDesireTree.mp3</v>
      </c>
      <c r="D5459" s="11"/>
      <c r="E5459" s="11"/>
    </row>
    <row r="5460" spans="1:5">
      <c r="A5460" s="12" t="s">
        <v>12567</v>
      </c>
      <c r="B5460" s="12" t="s">
        <v>12581</v>
      </c>
      <c r="C5460" s="13" t="str">
        <f>HYPERLINK("https://audio.iskcondesiretree.com/02_-_ISKCON_Swamis/ISKCON_Swamis_-_R_to_Y/His_Holiness_Radhanath_Swami/Lectures/05_-_Amrit_Droplets/HHRNSM_-_Amrit_Droplets_-_0012_-_Eligibility_for_understanding_Srimad_Bhagavatam_-_IDesireTree.mp3", "HHRNSM_-_Amrit_Droplets_-_0012_-_Eligibility_for_understanding_Srimad_Bhagavatam_-_IDesireTree.mp3")</f>
        <v>HHRNSM_-_Amrit_Droplets_-_0012_-_Eligibility_for_understanding_Srimad_Bhagavatam_-_IDesireTree.mp3</v>
      </c>
      <c r="D5460" s="11"/>
      <c r="E5460" s="11"/>
    </row>
    <row r="5461" spans="1:5">
      <c r="A5461" s="12" t="s">
        <v>12567</v>
      </c>
      <c r="B5461" s="12" t="s">
        <v>12582</v>
      </c>
      <c r="C5461" s="13" t="str">
        <f>HYPERLINK("https://audio.iskcondesiretree.com/02_-_ISKCON_Swamis/ISKCON_Swamis_-_R_to_Y/His_Holiness_Radhanath_Swami/Lectures/05_-_Amrit_Droplets/HHRNSM_-_Amrit_Droplets_-_0013_-_Free_Will_comes_with_Responsibility_-_IDesireTree.mp3", "HHRNSM_-_Amrit_Droplets_-_0013_-_Free_Will_comes_with_Responsibility_-_IDesireTree.mp3")</f>
        <v>HHRNSM_-_Amrit_Droplets_-_0013_-_Free_Will_comes_with_Responsibility_-_IDesireTree.mp3</v>
      </c>
      <c r="D5461" s="11"/>
      <c r="E5461" s="11"/>
    </row>
    <row r="5462" spans="1:5">
      <c r="A5462" s="12" t="s">
        <v>12567</v>
      </c>
      <c r="B5462" s="12" t="s">
        <v>12583</v>
      </c>
      <c r="C5462" s="13" t="str">
        <f>HYPERLINK("https://audio.iskcondesiretree.com/02_-_ISKCON_Swamis/ISKCON_Swamis_-_R_to_Y/His_Holiness_Radhanath_Swami/Lectures/05_-_Amrit_Droplets/HHRNSM_-_Amrit_Droplets_-_0014_-_How_to_get_taste_in_Srimad_Bhagavatam_-_IDesireTree.mp3", "HHRNSM_-_Amrit_Droplets_-_0014_-_How_to_get_taste_in_Srimad_Bhagavatam_-_IDesireTree.mp3")</f>
        <v>HHRNSM_-_Amrit_Droplets_-_0014_-_How_to_get_taste_in_Srimad_Bhagavatam_-_IDesireTree.mp3</v>
      </c>
      <c r="D5462" s="11"/>
      <c r="E5462" s="11"/>
    </row>
    <row r="5463" spans="1:5">
      <c r="A5463" s="12" t="s">
        <v>12567</v>
      </c>
      <c r="B5463" s="12" t="s">
        <v>12584</v>
      </c>
      <c r="C5463" s="13" t="str">
        <f>HYPERLINK("https://audio.iskcondesiretree.com/02_-_ISKCON_Swamis/ISKCON_Swamis_-_R_to_Y/His_Holiness_Radhanath_Swami/Lectures/05_-_Amrit_Droplets/HHRNSM_-_Amrit_Droplets_-_0015_-_Nature_of_Material_Desire_-_IDesireTree.mp3", "HHRNSM_-_Amrit_Droplets_-_0015_-_Nature_of_Material_Desire_-_IDesireTree.mp3")</f>
        <v>HHRNSM_-_Amrit_Droplets_-_0015_-_Nature_of_Material_Desire_-_IDesireTree.mp3</v>
      </c>
      <c r="D5463" s="11"/>
      <c r="E5463" s="11"/>
    </row>
    <row r="5464" spans="1:5">
      <c r="A5464" s="12" t="s">
        <v>12567</v>
      </c>
      <c r="B5464" s="12" t="s">
        <v>12585</v>
      </c>
      <c r="C5464" s="13" t="str">
        <f>HYPERLINK("https://audio.iskcondesiretree.com/02_-_ISKCON_Swamis/ISKCON_Swamis_-_R_to_Y/His_Holiness_Radhanath_Swami/Lectures/05_-_Amrit_Droplets/HHRNSM_-_Amrit_Droplets_-_0016_-_Philosophy_without_character_has_no_meaning_-_IDesireTree.mp3", "HHRNSM_-_Amrit_Droplets_-_0016_-_Philosophy_without_character_has_no_meaning_-_IDesireTree.mp3")</f>
        <v>HHRNSM_-_Amrit_Droplets_-_0016_-_Philosophy_without_character_has_no_meaning_-_IDesireTree.mp3</v>
      </c>
      <c r="D5464" s="11"/>
      <c r="E5464" s="11"/>
    </row>
    <row r="5465" spans="1:5">
      <c r="A5465" s="12" t="s">
        <v>12567</v>
      </c>
      <c r="B5465" s="12" t="s">
        <v>12586</v>
      </c>
      <c r="C5465" s="13" t="str">
        <f>HYPERLINK("https://audio.iskcondesiretree.com/02_-_ISKCON_Swamis/ISKCON_Swamis_-_R_to_Y/His_Holiness_Radhanath_Swami/Lectures/05_-_Amrit_Droplets/HHRNSM_-_Amrit_Droplets_-_0017_-_Realisation_is_a_gift_of_Krsna_-_IDesireTree.mp3", "HHRNSM_-_Amrit_Droplets_-_0017_-_Realisation_is_a_gift_of_Krsna_-_IDesireTree.mp3")</f>
        <v>HHRNSM_-_Amrit_Droplets_-_0017_-_Realisation_is_a_gift_of_Krsna_-_IDesireTree.mp3</v>
      </c>
      <c r="D5465" s="11"/>
      <c r="E5465" s="11"/>
    </row>
    <row r="5466" spans="1:5">
      <c r="A5466" s="12" t="s">
        <v>12567</v>
      </c>
      <c r="B5466" s="12" t="s">
        <v>12587</v>
      </c>
      <c r="C5466" s="13" t="str">
        <f>HYPERLINK("https://audio.iskcondesiretree.com/02_-_ISKCON_Swamis/ISKCON_Swamis_-_R_to_Y/His_Holiness_Radhanath_Swami/Lectures/05_-_Amrit_Droplets/HHRNSM_-_Amrit_Droplets_-_0018_-_Srimad_Bhagavatam_is_an_incarnation_of_Krsna_-_IDesireTree.mp3", "HHRNSM_-_Amrit_Droplets_-_0018_-_Srimad_Bhagavatam_is_an_incarnation_of_Krsna_-_IDesireTree.mp3")</f>
        <v>HHRNSM_-_Amrit_Droplets_-_0018_-_Srimad_Bhagavatam_is_an_incarnation_of_Krsna_-_IDesireTree.mp3</v>
      </c>
      <c r="D5466" s="11"/>
      <c r="E5466" s="11"/>
    </row>
    <row r="5467" spans="1:5">
      <c r="A5467" s="12" t="s">
        <v>12567</v>
      </c>
      <c r="B5467" s="12" t="s">
        <v>12588</v>
      </c>
      <c r="C5467" s="13" t="str">
        <f>HYPERLINK("https://audio.iskcondesiretree.com/02_-_ISKCON_Swamis/ISKCON_Swamis_-_R_to_Y/His_Holiness_Radhanath_Swami/Lectures/05_-_Amrit_Droplets/HHRNSM_-_Amrit_Droplets_-_0019_-_Why_don%27t_animals_produce_karma_-_IDesireTree.mp3", "HHRNSM_-_Amrit_Droplets_-_0019_-_Why_don%27t_animals_produce_karma_-_IDesireTree.mp3")</f>
        <v>HHRNSM_-_Amrit_Droplets_-_0019_-_Why_don%27t_animals_produce_karma_-_IDesireTree.mp3</v>
      </c>
      <c r="D5467" s="11"/>
      <c r="E5467" s="11"/>
    </row>
    <row r="5468" spans="1:5">
      <c r="A5468" s="12" t="s">
        <v>12567</v>
      </c>
      <c r="B5468" s="12" t="s">
        <v>12589</v>
      </c>
      <c r="C5468" s="13" t="str">
        <f>HYPERLINK("https://audio.iskcondesiretree.com/02_-_ISKCON_Swamis/ISKCON_Swamis_-_R_to_Y/His_Holiness_Radhanath_Swami/Lectures/05_-_Amrit_Droplets/HHRNSM_-_Amrit_Droplets_-_0020_-_Purpose_of_temple_-_IDesireTree.mp3", "HHRNSM_-_Amrit_Droplets_-_0020_-_Purpose_of_temple_-_IDesireTree.mp3")</f>
        <v>HHRNSM_-_Amrit_Droplets_-_0020_-_Purpose_of_temple_-_IDesireTree.mp3</v>
      </c>
      <c r="D5468" s="11"/>
      <c r="E5468" s="11"/>
    </row>
    <row r="5469" spans="1:5">
      <c r="A5469" s="12" t="s">
        <v>12567</v>
      </c>
      <c r="B5469" s="12" t="s">
        <v>12590</v>
      </c>
      <c r="C5469" s="13" t="str">
        <f>HYPERLINK("https://audio.iskcondesiretree.com/02_-_ISKCON_Swamis/ISKCON_Swamis_-_R_to_Y/His_Holiness_Radhanath_Swami/Lectures/05_-_Amrit_Droplets/HHRNSM_-_Amrit_Droplets_-_0021_-_Whom_to_associate_with_-_IDesireTree.mp3", "HHRNSM_-_Amrit_Droplets_-_0021_-_Whom_to_associate_with_-_IDesireTree.mp3")</f>
        <v>HHRNSM_-_Amrit_Droplets_-_0021_-_Whom_to_associate_with_-_IDesireTree.mp3</v>
      </c>
      <c r="D5469" s="11"/>
      <c r="E5469" s="11"/>
    </row>
    <row r="5470" spans="1:5">
      <c r="A5470" s="12" t="s">
        <v>12567</v>
      </c>
      <c r="B5470" s="12" t="s">
        <v>12591</v>
      </c>
      <c r="C5470" s="13" t="str">
        <f>HYPERLINK("https://audio.iskcondesiretree.com/02_-_ISKCON_Swamis/ISKCON_Swamis_-_R_to_Y/His_Holiness_Radhanath_Swami/Lectures/05_-_Amrit_Droplets/HHRNSM_-_Amrit_Droplets_-_0022_-_How_to_attract_Lakshmi_-_IDesireTree.mp3", "HHRNSM_-_Amrit_Droplets_-_0022_-_How_to_attract_Lakshmi_-_IDesireTree.mp3")</f>
        <v>HHRNSM_-_Amrit_Droplets_-_0022_-_How_to_attract_Lakshmi_-_IDesireTree.mp3</v>
      </c>
      <c r="D5470" s="11"/>
      <c r="E5470" s="11"/>
    </row>
    <row r="5471" spans="1:5">
      <c r="A5471" s="12" t="s">
        <v>12567</v>
      </c>
      <c r="B5471" s="12" t="s">
        <v>12592</v>
      </c>
      <c r="C5471" s="13" t="str">
        <f>HYPERLINK("https://audio.iskcondesiretree.com/02_-_ISKCON_Swamis/ISKCON_Swamis_-_R_to_Y/His_Holiness_Radhanath_Swami/Lectures/05_-_Amrit_Droplets/HHRNSM_-_Amrit_Droplets_-_0023_-_Helping_our_Godbrothers_-_IDesireTree.mp3", "HHRNSM_-_Amrit_Droplets_-_0023_-_Helping_our_Godbrothers_-_IDesireTree.mp3")</f>
        <v>HHRNSM_-_Amrit_Droplets_-_0023_-_Helping_our_Godbrothers_-_IDesireTree.mp3</v>
      </c>
      <c r="D5471" s="11"/>
      <c r="E5471" s="11"/>
    </row>
    <row r="5472" spans="1:5">
      <c r="A5472" s="12" t="s">
        <v>12567</v>
      </c>
      <c r="B5472" s="12" t="s">
        <v>12593</v>
      </c>
      <c r="C5472" s="13" t="str">
        <f>HYPERLINK("https://audio.iskcondesiretree.com/02_-_ISKCON_Swamis/ISKCON_Swamis_-_R_to_Y/His_Holiness_Radhanath_Swami/Lectures/05_-_Amrit_Droplets/HHRNSM_-_Amrit_Droplets_-_0024_-_Honouring_great_souls_-_IDesireTree.mp3", "HHRNSM_-_Amrit_Droplets_-_0024_-_Honouring_great_souls_-_IDesireTree.mp3")</f>
        <v>HHRNSM_-_Amrit_Droplets_-_0024_-_Honouring_great_souls_-_IDesireTree.mp3</v>
      </c>
      <c r="D5472" s="11"/>
      <c r="E5472" s="11"/>
    </row>
    <row r="5473" spans="1:5">
      <c r="A5473" s="12" t="s">
        <v>12567</v>
      </c>
      <c r="B5473" s="12" t="s">
        <v>12594</v>
      </c>
      <c r="C5473" s="13" t="str">
        <f>HYPERLINK("https://audio.iskcondesiretree.com/02_-_ISKCON_Swamis/ISKCON_Swamis_-_R_to_Y/His_Holiness_Radhanath_Swami/Lectures/05_-_Amrit_Droplets/HHRNSM_-_Amrit_Droplets_-_0025_-_How_to_become_fearless_-_IDesireTree.mp3", "HHRNSM_-_Amrit_Droplets_-_0025_-_How_to_become_fearless_-_IDesireTree.mp3")</f>
        <v>HHRNSM_-_Amrit_Droplets_-_0025_-_How_to_become_fearless_-_IDesireTree.mp3</v>
      </c>
      <c r="D5473" s="11"/>
      <c r="E5473" s="11"/>
    </row>
    <row r="5474" spans="1:5">
      <c r="A5474" s="12" t="s">
        <v>12567</v>
      </c>
      <c r="B5474" s="12" t="s">
        <v>12595</v>
      </c>
      <c r="C5474" s="13" t="str">
        <f>HYPERLINK("https://audio.iskcondesiretree.com/02_-_ISKCON_Swamis/ISKCON_Swamis_-_R_to_Y/His_Holiness_Radhanath_Swami/Lectures/05_-_Amrit_Droplets/HHRNSM_-_Amrit_Droplets_-_0026_-_Reveal_power_of_soul_-_IDesireTree.mp3", "HHRNSM_-_Amrit_Droplets_-_0026_-_Reveal_power_of_soul_-_IDesireTree.mp3")</f>
        <v>HHRNSM_-_Amrit_Droplets_-_0026_-_Reveal_power_of_soul_-_IDesireTree.mp3</v>
      </c>
      <c r="D5474" s="11"/>
      <c r="E5474" s="11"/>
    </row>
    <row r="5475" spans="1:5">
      <c r="A5475" s="12" t="s">
        <v>12567</v>
      </c>
      <c r="B5475" s="12" t="s">
        <v>12596</v>
      </c>
      <c r="C5475" s="13" t="str">
        <f>HYPERLINK("https://audio.iskcondesiretree.com/02_-_ISKCON_Swamis/ISKCON_Swamis_-_R_to_Y/His_Holiness_Radhanath_Swami/Lectures/05_-_Amrit_Droplets/HHRNSM_-_Amrit_Droplets_-_0027_-_What_does_humility_mean_-_IDesireTree.mp3", "HHRNSM_-_Amrit_Droplets_-_0027_-_What_does_humility_mean_-_IDesireTree.mp3")</f>
        <v>HHRNSM_-_Amrit_Droplets_-_0027_-_What_does_humility_mean_-_IDesireTree.mp3</v>
      </c>
      <c r="D5475" s="11"/>
      <c r="E5475" s="11"/>
    </row>
    <row r="5476" spans="1:5">
      <c r="A5476" s="12" t="s">
        <v>12567</v>
      </c>
      <c r="B5476" s="12" t="s">
        <v>12597</v>
      </c>
      <c r="C5476" s="13" t="str">
        <f>HYPERLINK("https://audio.iskcondesiretree.com/02_-_ISKCON_Swamis/ISKCON_Swamis_-_R_to_Y/His_Holiness_Radhanath_Swami/Lectures/05_-_Amrit_Droplets/HHRNSM_-_Amrit_Droplets_-_0028_-_Acting_under_superior_guidance_-_IDesireTree.mp3", "HHRNSM_-_Amrit_Droplets_-_0028_-_Acting_under_superior_guidance_-_IDesireTree.mp3")</f>
        <v>HHRNSM_-_Amrit_Droplets_-_0028_-_Acting_under_superior_guidance_-_IDesireTree.mp3</v>
      </c>
      <c r="D5476" s="11"/>
      <c r="E5476" s="11"/>
    </row>
    <row r="5477" spans="1:5">
      <c r="A5477" s="12" t="s">
        <v>12567</v>
      </c>
      <c r="B5477" s="12" t="s">
        <v>12598</v>
      </c>
      <c r="C5477" s="13" t="str">
        <f>HYPERLINK("https://audio.iskcondesiretree.com/02_-_ISKCON_Swamis/ISKCON_Swamis_-_R_to_Y/His_Holiness_Radhanath_Swami/Lectures/05_-_Amrit_Droplets/HHRNSM_-_Amrit_Droplets_-_0029_-_Being_fearful_of_commiting_Vaisnava_offense_-_IDesireTree.mp3", "HHRNSM_-_Amrit_Droplets_-_0029_-_Being_fearful_of_commiting_Vaisnava_offense_-_IDesireTree.mp3")</f>
        <v>HHRNSM_-_Amrit_Droplets_-_0029_-_Being_fearful_of_commiting_Vaisnava_offense_-_IDesireTree.mp3</v>
      </c>
      <c r="D5477" s="11"/>
      <c r="E5477" s="11"/>
    </row>
    <row r="5478" spans="1:5">
      <c r="A5478" s="12" t="s">
        <v>12567</v>
      </c>
      <c r="B5478" s="12" t="s">
        <v>12599</v>
      </c>
      <c r="C5478" s="13" t="str">
        <f>HYPERLINK("https://audio.iskcondesiretree.com/02_-_ISKCON_Swamis/ISKCON_Swamis_-_R_to_Y/His_Holiness_Radhanath_Swami/Lectures/05_-_Amrit_Droplets/HHRNSM_-_Amrit_Droplets_-_0030_-_Parents%27_Responsibility_-_IDesireTree.mp3", "HHRNSM_-_Amrit_Droplets_-_0030_-_Parents%27_Responsibility_-_IDesireTree.mp3")</f>
        <v>HHRNSM_-_Amrit_Droplets_-_0030_-_Parents%27_Responsibility_-_IDesireTree.mp3</v>
      </c>
      <c r="D5478" s="11"/>
      <c r="E5478" s="11"/>
    </row>
    <row r="5479" spans="1:5">
      <c r="A5479" s="12" t="s">
        <v>12567</v>
      </c>
      <c r="B5479" s="12" t="s">
        <v>12600</v>
      </c>
      <c r="C5479" s="13" t="str">
        <f>HYPERLINK("https://audio.iskcondesiretree.com/02_-_ISKCON_Swamis/ISKCON_Swamis_-_R_to_Y/His_Holiness_Radhanath_Swami/Lectures/05_-_Amrit_Droplets/HHRNSM_-_Amrit_Droplets_-_0031_-_We_must_fight_-_IDesireTree.mp3", "HHRNSM_-_Amrit_Droplets_-_0031_-_We_must_fight_-_IDesireTree.mp3")</f>
        <v>HHRNSM_-_Amrit_Droplets_-_0031_-_We_must_fight_-_IDesireTree.mp3</v>
      </c>
      <c r="D5479" s="11"/>
      <c r="E5479" s="11"/>
    </row>
    <row r="5480" spans="1:5">
      <c r="A5480" s="12" t="s">
        <v>12567</v>
      </c>
      <c r="B5480" s="12" t="s">
        <v>12601</v>
      </c>
      <c r="C5480" s="13" t="str">
        <f>HYPERLINK("https://audio.iskcondesiretree.com/02_-_ISKCON_Swamis/ISKCON_Swamis_-_R_to_Y/His_Holiness_Radhanath_Swami/Lectures/05_-_Amrit_Droplets/HHRNSM_-_Amrit_Droplets_-_0032_-_How_parents_can_show_real_love_for_their_children_-_IDesireTree.mp3", "HHRNSM_-_Amrit_Droplets_-_0032_-_How_parents_can_show_real_love_for_their_children_-_IDesireTree.mp3")</f>
        <v>HHRNSM_-_Amrit_Droplets_-_0032_-_How_parents_can_show_real_love_for_their_children_-_IDesireTree.mp3</v>
      </c>
      <c r="D5480" s="11"/>
      <c r="E5480" s="11"/>
    </row>
    <row r="5481" spans="1:5">
      <c r="A5481" s="12" t="s">
        <v>12567</v>
      </c>
      <c r="B5481" s="12" t="s">
        <v>12602</v>
      </c>
      <c r="C5481" s="13" t="str">
        <f>HYPERLINK("https://audio.iskcondesiretree.com/02_-_ISKCON_Swamis/ISKCON_Swamis_-_R_to_Y/His_Holiness_Radhanath_Swami/Lectures/05_-_Amrit_Droplets/HHRNSM_-_Amrit_Droplets_-_0033_-_How_to_Progress_without_falling_victim_to_material_energy_-_IDesireTree.mp3", "HHRNSM_-_Amrit_Droplets_-_0033_-_How_to_Progress_without_falling_victim_to_material_energy_-_IDesireTree.mp3")</f>
        <v>HHRNSM_-_Amrit_Droplets_-_0033_-_How_to_Progress_without_falling_victim_to_material_energy_-_IDesireTree.mp3</v>
      </c>
      <c r="D5481" s="11"/>
      <c r="E5481" s="11"/>
    </row>
    <row r="5482" spans="1:5">
      <c r="A5482" s="12" t="s">
        <v>12567</v>
      </c>
      <c r="B5482" s="12" t="s">
        <v>12603</v>
      </c>
      <c r="C5482" s="13" t="str">
        <f>HYPERLINK("https://audio.iskcondesiretree.com/02_-_ISKCON_Swamis/ISKCON_Swamis_-_R_to_Y/His_Holiness_Radhanath_Swami/Lectures/05_-_Amrit_Droplets/HHRNSM_-_Amrit_Droplets_-_0035_-_Conclusion_of_scriptures_cannot_be_found_by_reading_scriptures_-_IDesireTree.mp3", "HHRNSM_-_Amrit_Droplets_-_0035_-_Conclusion_of_scriptures_cannot_be_found_by_reading_scriptures_-_IDesireTree.mp3")</f>
        <v>HHRNSM_-_Amrit_Droplets_-_0035_-_Conclusion_of_scriptures_cannot_be_found_by_reading_scriptures_-_IDesireTree.mp3</v>
      </c>
      <c r="D5482" s="11"/>
      <c r="E5482" s="11"/>
    </row>
    <row r="5483" spans="1:5">
      <c r="A5483" s="12" t="s">
        <v>12567</v>
      </c>
      <c r="B5483" s="12" t="s">
        <v>12604</v>
      </c>
      <c r="C5483" s="13" t="str">
        <f>HYPERLINK("https://audio.iskcondesiretree.com/02_-_ISKCON_Swamis/ISKCON_Swamis_-_R_to_Y/His_Holiness_Radhanath_Swami/Lectures/05_-_Amrit_Droplets/HHRNSM_-_Amrit_Droplets_-_0036_-_Problem_with_Material_progress_-_IDesireTree.mp3", "HHRNSM_-_Amrit_Droplets_-_0036_-_Problem_with_Material_progress_-_IDesireTree.mp3")</f>
        <v>HHRNSM_-_Amrit_Droplets_-_0036_-_Problem_with_Material_progress_-_IDesireTree.mp3</v>
      </c>
      <c r="D5483" s="11"/>
      <c r="E5483" s="11"/>
    </row>
    <row r="5484" spans="1:5">
      <c r="A5484" s="12" t="s">
        <v>12567</v>
      </c>
      <c r="B5484" s="12" t="s">
        <v>12605</v>
      </c>
      <c r="C5484" s="13" t="str">
        <f>HYPERLINK("https://audio.iskcondesiretree.com/02_-_ISKCON_Swamis/ISKCON_Swamis_-_R_to_Y/His_Holiness_Radhanath_Swami/Lectures/05_-_Amrit_Droplets/HHRNSM_-_Amrit_Droplets_-_0037_-_Safest_place_in_this_material_world_is_where_devotees_loudly_chant_-_IDesireTree.mp3", "HHRNSM_-_Amrit_Droplets_-_0037_-_Safest_place_in_this_material_world_is_where_devotees_loudly_chant_-_IDesireTree.mp3")</f>
        <v>HHRNSM_-_Amrit_Droplets_-_0037_-_Safest_place_in_this_material_world_is_where_devotees_loudly_chant_-_IDesireTree.mp3</v>
      </c>
      <c r="D5484" s="11"/>
      <c r="E5484" s="11"/>
    </row>
    <row r="5485" spans="1:5">
      <c r="A5485" s="12" t="s">
        <v>12567</v>
      </c>
      <c r="B5485" s="12" t="s">
        <v>12606</v>
      </c>
      <c r="C5485" s="13" t="str">
        <f>HYPERLINK("https://audio.iskcondesiretree.com/02_-_ISKCON_Swamis/ISKCON_Swamis_-_R_to_Y/His_Holiness_Radhanath_Swami/Lectures/05_-_Amrit_Droplets/HHRNSM_-_Amrit_Droplets_-_0038_-_Why_some_see_Krishna_in_the_Diety_while_others_see_it_as_stone_-_IDesireTree.mp3", "HHRNSM_-_Amrit_Droplets_-_0038_-_Why_some_see_Krishna_in_the_Diety_while_others_see_it_as_stone_-_IDesireTree.mp3")</f>
        <v>HHRNSM_-_Amrit_Droplets_-_0038_-_Why_some_see_Krishna_in_the_Diety_while_others_see_it_as_stone_-_IDesireTree.mp3</v>
      </c>
      <c r="D5485" s="11"/>
      <c r="E5485" s="11"/>
    </row>
    <row r="5486" spans="1:5">
      <c r="A5486" s="12" t="s">
        <v>12567</v>
      </c>
      <c r="B5486" s="12" t="s">
        <v>12607</v>
      </c>
      <c r="C5486" s="13" t="str">
        <f>HYPERLINK("https://audio.iskcondesiretree.com/02_-_ISKCON_Swamis/ISKCON_Swamis_-_R_to_Y/His_Holiness_Radhanath_Swami/Lectures/05_-_Amrit_Droplets/HHRNSM_-_Amrit_Droplets_-_0039_-_All_differences_end_at_death_-_IDesireTree.mp3", "HHRNSM_-_Amrit_Droplets_-_0039_-_All_differences_end_at_death_-_IDesireTree.mp3")</f>
        <v>HHRNSM_-_Amrit_Droplets_-_0039_-_All_differences_end_at_death_-_IDesireTree.mp3</v>
      </c>
      <c r="D5486" s="11"/>
      <c r="E5486" s="11"/>
    </row>
    <row r="5487" spans="1:5">
      <c r="A5487" s="12" t="s">
        <v>12567</v>
      </c>
      <c r="B5487" s="12" t="s">
        <v>12608</v>
      </c>
      <c r="C5487" s="13" t="str">
        <f>HYPERLINK("https://audio.iskcondesiretree.com/02_-_ISKCON_Swamis/ISKCON_Swamis_-_R_to_Y/His_Holiness_Radhanath_Swami/Lectures/05_-_Amrit_Droplets/HHRNSM_-_Amrit_Droplets_-_0040_-_Greatest_charity_-_IDesireTree.mp3", "HHRNSM_-_Amrit_Droplets_-_0040_-_Greatest_charity_-_IDesireTree.mp3")</f>
        <v>HHRNSM_-_Amrit_Droplets_-_0040_-_Greatest_charity_-_IDesireTree.mp3</v>
      </c>
      <c r="D5487" s="11"/>
      <c r="E5487" s="11"/>
    </row>
    <row r="5488" spans="1:5">
      <c r="A5488" s="12" t="s">
        <v>12567</v>
      </c>
      <c r="B5488" s="12" t="s">
        <v>12609</v>
      </c>
      <c r="C5488" s="13" t="str">
        <f>HYPERLINK("https://audio.iskcondesiretree.com/02_-_ISKCON_Swamis/ISKCON_Swamis_-_R_to_Y/His_Holiness_Radhanath_Swami/Lectures/05_-_Amrit_Droplets/HHRNSM_-_Amrit_Droplets_-_0041_-_Arjuna_is_representing_human_society_-_IDesireTree.mp3", "HHRNSM_-_Amrit_Droplets_-_0041_-_Arjuna_is_representing_human_society_-_IDesireTree.mp3")</f>
        <v>HHRNSM_-_Amrit_Droplets_-_0041_-_Arjuna_is_representing_human_society_-_IDesireTree.mp3</v>
      </c>
      <c r="D5488" s="11"/>
      <c r="E5488" s="11"/>
    </row>
    <row r="5489" spans="1:5">
      <c r="A5489" s="12" t="s">
        <v>12567</v>
      </c>
      <c r="B5489" s="12" t="s">
        <v>12610</v>
      </c>
      <c r="C5489" s="13" t="str">
        <f>HYPERLINK("https://audio.iskcondesiretree.com/02_-_ISKCON_Swamis/ISKCON_Swamis_-_R_to_Y/His_Holiness_Radhanath_Swami/Lectures/05_-_Amrit_Droplets/HHRNSM_-_Amrit_Droplets_-_0042_-_How_to_participate_in_congregational_chanting_-_IDesireTree.mp3", "HHRNSM_-_Amrit_Droplets_-_0042_-_How_to_participate_in_congregational_chanting_-_IDesireTree.mp3")</f>
        <v>HHRNSM_-_Amrit_Droplets_-_0042_-_How_to_participate_in_congregational_chanting_-_IDesireTree.mp3</v>
      </c>
      <c r="D5489" s="11"/>
      <c r="E5489" s="11"/>
    </row>
    <row r="5490" spans="1:5">
      <c r="A5490" s="12" t="s">
        <v>12567</v>
      </c>
      <c r="B5490" s="12" t="s">
        <v>12611</v>
      </c>
      <c r="C5490" s="13" t="str">
        <f>HYPERLINK("https://audio.iskcondesiretree.com/02_-_ISKCON_Swamis/ISKCON_Swamis_-_R_to_Y/His_Holiness_Radhanath_Swami/Lectures/05_-_Amrit_Droplets/HHRNSM_-_Amrit_Droplets_-_0043_-_How_to_surrender_unto_Krishna_-_IDesireTree.mp3", "HHRNSM_-_Amrit_Droplets_-_0043_-_How_to_surrender_unto_Krishna_-_IDesireTree.mp3")</f>
        <v>HHRNSM_-_Amrit_Droplets_-_0043_-_How_to_surrender_unto_Krishna_-_IDesireTree.mp3</v>
      </c>
      <c r="D5490" s="11"/>
      <c r="E5490" s="11"/>
    </row>
    <row r="5491" spans="1:5">
      <c r="A5491" s="12" t="s">
        <v>12567</v>
      </c>
      <c r="B5491" s="12" t="s">
        <v>12612</v>
      </c>
      <c r="C5491" s="13" t="str">
        <f>HYPERLINK("https://audio.iskcondesiretree.com/02_-_ISKCON_Swamis/ISKCON_Swamis_-_R_to_Y/His_Holiness_Radhanath_Swami/Lectures/05_-_Amrit_Droplets/HHRNSM_-_Amrit_Droplets_-_0044_-_The_most_valuable_thing_we_are_having_-_IDesireTree.mp3", "HHRNSM_-_Amrit_Droplets_-_0044_-_The_most_valuable_thing_we_are_having_-_IDesireTree.mp3")</f>
        <v>HHRNSM_-_Amrit_Droplets_-_0044_-_The_most_valuable_thing_we_are_having_-_IDesireTree.mp3</v>
      </c>
      <c r="D5491" s="11"/>
      <c r="E5491" s="11"/>
    </row>
    <row r="5492" spans="1:5">
      <c r="A5492" s="12" t="s">
        <v>12567</v>
      </c>
      <c r="B5492" s="12" t="s">
        <v>12613</v>
      </c>
      <c r="C5492" s="13" t="str">
        <f>HYPERLINK("https://audio.iskcondesiretree.com/02_-_ISKCON_Swamis/ISKCON_Swamis_-_R_to_Y/His_Holiness_Radhanath_Swami/Lectures/05_-_Amrit_Droplets/HHRNSM_-_Amrit_Droplets_-_0045_-_No_material_arrangement_can_give_real_happiness_-_IDesireTree.mp3", "HHRNSM_-_Amrit_Droplets_-_0045_-_No_material_arrangement_can_give_real_happiness_-_IDesireTree.mp3")</f>
        <v>HHRNSM_-_Amrit_Droplets_-_0045_-_No_material_arrangement_can_give_real_happiness_-_IDesireTree.mp3</v>
      </c>
      <c r="D5492" s="11"/>
      <c r="E5492" s="11"/>
    </row>
    <row r="5493" spans="1:5">
      <c r="A5493" s="12" t="s">
        <v>12567</v>
      </c>
      <c r="B5493" s="12" t="s">
        <v>12614</v>
      </c>
      <c r="C5493" s="13" t="str">
        <f>HYPERLINK("https://audio.iskcondesiretree.com/02_-_ISKCON_Swamis/ISKCON_Swamis_-_R_to_Y/His_Holiness_Radhanath_Swami/Lectures/05_-_Amrit_Droplets/HHRNSM_-_Amrit_Droplets_-_0046_-_Love_is_the_greatest_power_on_Earth_-_IDesireTree.mp3", "HHRNSM_-_Amrit_Droplets_-_0046_-_Love_is_the_greatest_power_on_Earth_-_IDesireTree.mp3")</f>
        <v>HHRNSM_-_Amrit_Droplets_-_0046_-_Love_is_the_greatest_power_on_Earth_-_IDesireTree.mp3</v>
      </c>
      <c r="D5493" s="11"/>
      <c r="E5493" s="11"/>
    </row>
    <row r="5494" spans="1:5">
      <c r="A5494" s="12" t="s">
        <v>12567</v>
      </c>
      <c r="B5494" s="12" t="s">
        <v>12615</v>
      </c>
      <c r="C5494" s="13" t="str">
        <f>HYPERLINK("https://audio.iskcondesiretree.com/02_-_ISKCON_Swamis/ISKCON_Swamis_-_R_to_Y/His_Holiness_Radhanath_Swami/Lectures/05_-_Amrit_Droplets/HHRNSM_-_Amrit_Droplets_-_0047_-_Two_ways_of_chanting_Hare_Krishna_Mahamantra_-_IDesireTree.mp3", "HHRNSM_-_Amrit_Droplets_-_0047_-_Two_ways_of_chanting_Hare_Krishna_Mahamantra_-_IDesireTree.mp3")</f>
        <v>HHRNSM_-_Amrit_Droplets_-_0047_-_Two_ways_of_chanting_Hare_Krishna_Mahamantra_-_IDesireTree.mp3</v>
      </c>
      <c r="D5494" s="11"/>
      <c r="E5494" s="11"/>
    </row>
    <row r="5495" spans="1:5">
      <c r="A5495" s="12" t="s">
        <v>12567</v>
      </c>
      <c r="B5495" s="12" t="s">
        <v>12616</v>
      </c>
      <c r="C5495" s="13" t="str">
        <f>HYPERLINK("https://audio.iskcondesiretree.com/02_-_ISKCON_Swamis/ISKCON_Swamis_-_R_to_Y/His_Holiness_Radhanath_Swami/Lectures/05_-_Amrit_Droplets/HHRNSM_-_Amrit_Droplets_-_0048_-_Chastisement_by_Spiritual_master_is_relishable_-_IDesireTree.mp3", "HHRNSM_-_Amrit_Droplets_-_0048_-_Chastisement_by_Spiritual_master_is_relishable_-_IDesireTree.mp3")</f>
        <v>HHRNSM_-_Amrit_Droplets_-_0048_-_Chastisement_by_Spiritual_master_is_relishable_-_IDesireTree.mp3</v>
      </c>
      <c r="D5495" s="11"/>
      <c r="E5495" s="11"/>
    </row>
    <row r="5496" spans="1:5">
      <c r="A5496" s="12" t="s">
        <v>12567</v>
      </c>
      <c r="B5496" s="12" t="s">
        <v>12617</v>
      </c>
      <c r="C5496" s="13" t="str">
        <f>HYPERLINK("https://audio.iskcondesiretree.com/02_-_ISKCON_Swamis/ISKCON_Swamis_-_R_to_Y/His_Holiness_Radhanath_Swami/Lectures/05_-_Amrit_Droplets/HHRNSM_-_Amrit_Droplets_-_0049_-_Grateful_for_being_chastised_-_IDesireTree.mp3", "HHRNSM_-_Amrit_Droplets_-_0049_-_Grateful_for_being_chastised_-_IDesireTree.mp3")</f>
        <v>HHRNSM_-_Amrit_Droplets_-_0049_-_Grateful_for_being_chastised_-_IDesireTree.mp3</v>
      </c>
      <c r="D5496" s="11"/>
      <c r="E5496" s="11"/>
    </row>
    <row r="5497" spans="1:5">
      <c r="A5497" s="12" t="s">
        <v>12567</v>
      </c>
      <c r="B5497" s="12" t="s">
        <v>12618</v>
      </c>
      <c r="C5497" s="13" t="str">
        <f>HYPERLINK("https://audio.iskcondesiretree.com/02_-_ISKCON_Swamis/ISKCON_Swamis_-_R_to_Y/His_Holiness_Radhanath_Swami/Lectures/05_-_Amrit_Droplets/HHRNSM_-_Amrit_Droplets_-_0050_-_Human_body_is_a_chariot_to_cross_the_battlefield_of_material_world_-_IDesireTree.mp3", "HHRNSM_-_Amrit_Droplets_-_0050_-_Human_body_is_a_chariot_to_cross_the_battlefield_of_material_world_-_IDesireTree.mp3")</f>
        <v>HHRNSM_-_Amrit_Droplets_-_0050_-_Human_body_is_a_chariot_to_cross_the_battlefield_of_material_world_-_IDesireTree.mp3</v>
      </c>
      <c r="D5497" s="11"/>
      <c r="E5497" s="11"/>
    </row>
    <row r="5498" spans="1:5">
      <c r="A5498" s="12" t="s">
        <v>12567</v>
      </c>
      <c r="B5498" s="12" t="s">
        <v>12619</v>
      </c>
      <c r="C5498" s="13" t="str">
        <f>HYPERLINK("https://audio.iskcondesiretree.com/02_-_ISKCON_Swamis/ISKCON_Swamis_-_R_to_Y/His_Holiness_Radhanath_Swami/Lectures/05_-_Amrit_Droplets/HHRNSM_-_Amrit_Droplets_-_0051_-_Offering_back_to_Krishna_with_Love_-_IDesireTree.mp3", "HHRNSM_-_Amrit_Droplets_-_0051_-_Offering_back_to_Krishna_with_Love_-_IDesireTree.mp3")</f>
        <v>HHRNSM_-_Amrit_Droplets_-_0051_-_Offering_back_to_Krishna_with_Love_-_IDesireTree.mp3</v>
      </c>
      <c r="D5498" s="11"/>
      <c r="E5498" s="11"/>
    </row>
    <row r="5499" spans="1:5">
      <c r="A5499" s="12" t="s">
        <v>12567</v>
      </c>
      <c r="B5499" s="12" t="s">
        <v>12620</v>
      </c>
      <c r="C5499" s="13" t="str">
        <f>HYPERLINK("https://audio.iskcondesiretree.com/02_-_ISKCON_Swamis/ISKCON_Swamis_-_R_to_Y/His_Holiness_Radhanath_Swami/Lectures/05_-_Amrit_Droplets/HHRNSM_-_Amrit_Droplets_-_0052_-_Supersoul_speaks_to_us_through_Guru_-_IDesireTree.mp3", "HHRNSM_-_Amrit_Droplets_-_0052_-_Supersoul_speaks_to_us_through_Guru_-_IDesireTree.mp3")</f>
        <v>HHRNSM_-_Amrit_Droplets_-_0052_-_Supersoul_speaks_to_us_through_Guru_-_IDesireTree.mp3</v>
      </c>
      <c r="D5499" s="11"/>
      <c r="E5499" s="11"/>
    </row>
    <row r="5500" spans="1:5">
      <c r="A5500" s="12" t="s">
        <v>12567</v>
      </c>
      <c r="B5500" s="12" t="s">
        <v>12621</v>
      </c>
      <c r="C5500" s="13" t="str">
        <f>HYPERLINK("https://audio.iskcondesiretree.com/02_-_ISKCON_Swamis/ISKCON_Swamis_-_R_to_Y/His_Holiness_Radhanath_Swami/Lectures/05_-_Amrit_Droplets/HHRNSM_-_Amrit_Droplets_-_0053_-_The_Lord%27s_Anger_is_not_like_our_anger_-_IDesireTree.mp3", "HHRNSM_-_Amrit_Droplets_-_0053_-_The_Lord%27s_Anger_is_not_like_our_anger_-_IDesireTree.mp3")</f>
        <v>HHRNSM_-_Amrit_Droplets_-_0053_-_The_Lord%27s_Anger_is_not_like_our_anger_-_IDesireTree.mp3</v>
      </c>
      <c r="D5500" s="11"/>
      <c r="E5500" s="11"/>
    </row>
    <row r="5501" spans="1:5">
      <c r="A5501" s="12" t="s">
        <v>12567</v>
      </c>
      <c r="B5501" s="12" t="s">
        <v>12622</v>
      </c>
      <c r="C5501" s="13" t="str">
        <f>HYPERLINK("https://audio.iskcondesiretree.com/02_-_ISKCON_Swamis/ISKCON_Swamis_-_R_to_Y/His_Holiness_Radhanath_Swami/Lectures/05_-_Amrit_Droplets/HHRNSM_-_Amrit_Droplets_-_0054_-_Spiritual_master_is_the_transparent_via-medium_-_IDesireTree.mp3", "HHRNSM_-_Amrit_Droplets_-_0054_-_Spiritual_master_is_the_transparent_via-medium_-_IDesireTree.mp3")</f>
        <v>HHRNSM_-_Amrit_Droplets_-_0054_-_Spiritual_master_is_the_transparent_via-medium_-_IDesireTree.mp3</v>
      </c>
      <c r="D5501" s="11"/>
      <c r="E5501" s="11"/>
    </row>
    <row r="5502" spans="1:5">
      <c r="A5502" s="12" t="s">
        <v>12567</v>
      </c>
      <c r="B5502" s="12" t="s">
        <v>12623</v>
      </c>
      <c r="C5502" s="13" t="str">
        <f>HYPERLINK("https://audio.iskcondesiretree.com/02_-_ISKCON_Swamis/ISKCON_Swamis_-_R_to_Y/His_Holiness_Radhanath_Swami/Lectures/05_-_Amrit_Droplets/HHRNSM_-_Amrit_Droplets_-_0055_-_Politics_are_always_changing_%26_will_keep_on_changing_-_IDesireTree.mp3", "HHRNSM_-_Amrit_Droplets_-_0055_-_Politics_are_always_changing_%26_will_keep_on_changing_-_IDesireTree.mp3")</f>
        <v>HHRNSM_-_Amrit_Droplets_-_0055_-_Politics_are_always_changing_%26_will_keep_on_changing_-_IDesireTree.mp3</v>
      </c>
      <c r="D5502" s="11"/>
      <c r="E5502" s="11"/>
    </row>
    <row r="5503" spans="1:5">
      <c r="A5503" s="12" t="s">
        <v>12567</v>
      </c>
      <c r="B5503" s="12" t="s">
        <v>12624</v>
      </c>
      <c r="C5503" s="13" t="str">
        <f>HYPERLINK("https://audio.iskcondesiretree.com/02_-_ISKCON_Swamis/ISKCON_Swamis_-_R_to_Y/His_Holiness_Radhanath_Swami/Lectures/05_-_Amrit_Droplets/HHRNSM_-_Amrit_Droplets_-_0056_-_Greatest_gift_of_God_-_IDesireTree.mp3", "HHRNSM_-_Amrit_Droplets_-_0056_-_Greatest_gift_of_God_-_IDesireTree.mp3")</f>
        <v>HHRNSM_-_Amrit_Droplets_-_0056_-_Greatest_gift_of_God_-_IDesireTree.mp3</v>
      </c>
      <c r="D5503" s="11"/>
      <c r="E5503" s="11"/>
    </row>
    <row r="5504" spans="1:5">
      <c r="A5504" s="12" t="s">
        <v>12567</v>
      </c>
      <c r="B5504" s="12" t="s">
        <v>12625</v>
      </c>
      <c r="C5504" s="13" t="str">
        <f>HYPERLINK("https://audio.iskcondesiretree.com/02_-_ISKCON_Swamis/ISKCON_Swamis_-_R_to_Y/His_Holiness_Radhanath_Swami/Lectures/05_-_Amrit_Droplets/HHRNSM_-_Amrit_Droplets_-_0057_-_Guru_Sadhu_Shastra_-_IDesireTree.mp3", "HHRNSM_-_Amrit_Droplets_-_0057_-_Guru_Sadhu_Shastra_-_IDesireTree.mp3")</f>
        <v>HHRNSM_-_Amrit_Droplets_-_0057_-_Guru_Sadhu_Shastra_-_IDesireTree.mp3</v>
      </c>
      <c r="D5504" s="11"/>
      <c r="E5504" s="11"/>
    </row>
    <row r="5505" spans="1:5">
      <c r="A5505" s="12" t="s">
        <v>12567</v>
      </c>
      <c r="B5505" s="12" t="s">
        <v>12626</v>
      </c>
      <c r="C5505" s="13" t="str">
        <f>HYPERLINK("https://audio.iskcondesiretree.com/02_-_ISKCON_Swamis/ISKCON_Swamis_-_R_to_Y/His_Holiness_Radhanath_Swami/Lectures/05_-_Amrit_Droplets/HHRNSM_-_Amrit_Droplets_-_0058_-_Human_life_is_more_valuable_than_most_precious_diamond_-_IDesireTree.mp3", "HHRNSM_-_Amrit_Droplets_-_0058_-_Human_life_is_more_valuable_than_most_precious_diamond_-_IDesireTree.mp3")</f>
        <v>HHRNSM_-_Amrit_Droplets_-_0058_-_Human_life_is_more_valuable_than_most_precious_diamond_-_IDesireTree.mp3</v>
      </c>
      <c r="D5505" s="11"/>
      <c r="E5505" s="11"/>
    </row>
    <row r="5506" spans="1:5">
      <c r="A5506" s="12" t="s">
        <v>12567</v>
      </c>
      <c r="B5506" s="12" t="s">
        <v>12627</v>
      </c>
      <c r="C5506" s="13" t="str">
        <f>HYPERLINK("https://audio.iskcondesiretree.com/02_-_ISKCON_Swamis/ISKCON_Swamis_-_R_to_Y/His_Holiness_Radhanath_Swami/Lectures/05_-_Amrit_Droplets/HHRNSM_-_Amrit_Droplets_-_0059_-_Our_opinion_is_worth_nothing_-_IDesireTree.mp3", "HHRNSM_-_Amrit_Droplets_-_0059_-_Our_opinion_is_worth_nothing_-_IDesireTree.mp3")</f>
        <v>HHRNSM_-_Amrit_Droplets_-_0059_-_Our_opinion_is_worth_nothing_-_IDesireTree.mp3</v>
      </c>
      <c r="D5506" s="11"/>
      <c r="E5506" s="11"/>
    </row>
    <row r="5507" spans="1:5">
      <c r="A5507" s="12" t="s">
        <v>12567</v>
      </c>
      <c r="B5507" s="12" t="s">
        <v>12628</v>
      </c>
      <c r="C5507" s="13" t="str">
        <f>HYPERLINK("https://audio.iskcondesiretree.com/02_-_ISKCON_Swamis/ISKCON_Swamis_-_R_to_Y/His_Holiness_Radhanath_Swami/Lectures/05_-_Amrit_Droplets/HHRNSM_-_Amrit_Droplets_-_0060_-_Secret_of_how_to_free_ourselves_from_anxiety_-_IDesireTree.mp3", "HHRNSM_-_Amrit_Droplets_-_0060_-_Secret_of_how_to_free_ourselves_from_anxiety_-_IDesireTree.mp3")</f>
        <v>HHRNSM_-_Amrit_Droplets_-_0060_-_Secret_of_how_to_free_ourselves_from_anxiety_-_IDesireTree.mp3</v>
      </c>
      <c r="D5507" s="11"/>
      <c r="E5507" s="11"/>
    </row>
    <row r="5508" spans="1:5">
      <c r="A5508" s="12" t="s">
        <v>12567</v>
      </c>
      <c r="B5508" s="12" t="s">
        <v>12629</v>
      </c>
      <c r="C5508" s="13" t="str">
        <f>HYPERLINK("https://audio.iskcondesiretree.com/02_-_ISKCON_Swamis/ISKCON_Swamis_-_R_to_Y/His_Holiness_Radhanath_Swami/Lectures/05_-_Amrit_Droplets/HHRNSM_-_Amrit_Droplets_-_0061_-_Spiritual_discourses_are_not_meant_for_entertainment_-_IDesireTree.mp3", "HHRNSM_-_Amrit_Droplets_-_0061_-_Spiritual_discourses_are_not_meant_for_entertainment_-_IDesireTree.mp3")</f>
        <v>HHRNSM_-_Amrit_Droplets_-_0061_-_Spiritual_discourses_are_not_meant_for_entertainment_-_IDesireTree.mp3</v>
      </c>
      <c r="D5508" s="11"/>
      <c r="E5508" s="11"/>
    </row>
    <row r="5509" spans="1:5">
      <c r="A5509" s="12" t="s">
        <v>12567</v>
      </c>
      <c r="B5509" s="12" t="s">
        <v>12630</v>
      </c>
      <c r="C5509" s="13" t="str">
        <f>HYPERLINK("https://audio.iskcondesiretree.com/02_-_ISKCON_Swamis/ISKCON_Swamis_-_R_to_Y/His_Holiness_Radhanath_Swami/Lectures/05_-_Amrit_Droplets/HHRNSM_-_Amrit_Droplets_-_0063_-_Transcending_happiness_and_distress_-_IDesireTree.mp3", "HHRNSM_-_Amrit_Droplets_-_0063_-_Transcending_happiness_and_distress_-_IDesireTree.mp3")</f>
        <v>HHRNSM_-_Amrit_Droplets_-_0063_-_Transcending_happiness_and_distress_-_IDesireTree.mp3</v>
      </c>
      <c r="D5509" s="11"/>
      <c r="E5509" s="11"/>
    </row>
    <row r="5510" spans="1:5">
      <c r="A5510" s="12" t="s">
        <v>12567</v>
      </c>
      <c r="B5510" s="12" t="s">
        <v>12631</v>
      </c>
      <c r="C5510" s="13" t="str">
        <f>HYPERLINK("https://audio.iskcondesiretree.com/02_-_ISKCON_Swamis/ISKCON_Swamis_-_R_to_Y/His_Holiness_Radhanath_Swami/Lectures/05_-_Amrit_Droplets/HHRNSM_-_Amrit_Droplets_-_0064_-_A_real_preacher_should_have_genuine_compassion_-_IDesireTree.mp3", "HHRNSM_-_Amrit_Droplets_-_0064_-_A_real_preacher_should_have_genuine_compassion_-_IDesireTree.mp3")</f>
        <v>HHRNSM_-_Amrit_Droplets_-_0064_-_A_real_preacher_should_have_genuine_compassion_-_IDesireTree.mp3</v>
      </c>
      <c r="D5510" s="11"/>
      <c r="E5510" s="11"/>
    </row>
    <row r="5511" spans="1:5">
      <c r="A5511" s="12" t="s">
        <v>12567</v>
      </c>
      <c r="B5511" s="12" t="s">
        <v>12632</v>
      </c>
      <c r="C5511" s="13" t="str">
        <f>HYPERLINK("https://audio.iskcondesiretree.com/02_-_ISKCON_Swamis/ISKCON_Swamis_-_R_to_Y/His_Holiness_Radhanath_Swami/Lectures/05_-_Amrit_Droplets/HHRNSM_-_Amrit_Droplets_-_0065_-_Silent_chanting_or_loud_chanting_-_IDesireTree.mp3", "HHRNSM_-_Amrit_Droplets_-_0065_-_Silent_chanting_or_loud_chanting_-_IDesireTree.mp3")</f>
        <v>HHRNSM_-_Amrit_Droplets_-_0065_-_Silent_chanting_or_loud_chanting_-_IDesireTree.mp3</v>
      </c>
      <c r="D5511" s="11"/>
      <c r="E5511" s="11"/>
    </row>
    <row r="5512" spans="1:5">
      <c r="A5512" s="12" t="s">
        <v>12567</v>
      </c>
      <c r="B5512" s="12" t="s">
        <v>12633</v>
      </c>
      <c r="C5512" s="13" t="str">
        <f>HYPERLINK("https://audio.iskcondesiretree.com/02_-_ISKCON_Swamis/ISKCON_Swamis_-_R_to_Y/His_Holiness_Radhanath_Swami/Lectures/05_-_Amrit_Droplets/HHRNSM_-_Amrit_Droplets_-_0066_-_The_Greatest_sacrifice_-_IDesireTree.mp3", "HHRNSM_-_Amrit_Droplets_-_0066_-_The_Greatest_sacrifice_-_IDesireTree.mp3")</f>
        <v>HHRNSM_-_Amrit_Droplets_-_0066_-_The_Greatest_sacrifice_-_IDesireTree.mp3</v>
      </c>
      <c r="D5512" s="11"/>
      <c r="E5512" s="11"/>
    </row>
    <row r="5513" spans="1:5">
      <c r="A5513" s="12" t="s">
        <v>12567</v>
      </c>
      <c r="B5513" s="12" t="s">
        <v>12634</v>
      </c>
      <c r="C5513" s="13" t="str">
        <f>HYPERLINK("https://audio.iskcondesiretree.com/02_-_ISKCON_Swamis/ISKCON_Swamis_-_R_to_Y/His_Holiness_Radhanath_Swami/Lectures/05_-_Amrit_Droplets/HHRNSM_-_Amrit_Droplets_-_0067_-_The_Supreme_Austerity_-_IDesireTree.mp3", "HHRNSM_-_Amrit_Droplets_-_0067_-_The_Supreme_Austerity_-_IDesireTree.mp3")</f>
        <v>HHRNSM_-_Amrit_Droplets_-_0067_-_The_Supreme_Austerity_-_IDesireTree.mp3</v>
      </c>
      <c r="D5513" s="11"/>
      <c r="E5513" s="11"/>
    </row>
    <row r="5514" spans="1:5">
      <c r="A5514" s="12" t="s">
        <v>12567</v>
      </c>
      <c r="B5514" s="12" t="s">
        <v>12635</v>
      </c>
      <c r="C5514" s="13" t="str">
        <f>HYPERLINK("https://audio.iskcondesiretree.com/02_-_ISKCON_Swamis/ISKCON_Swamis_-_R_to_Y/His_Holiness_Radhanath_Swami/Lectures/05_-_Amrit_Droplets/HHRNSM_-_Amrit_Droplets_-_0068_-_This_material_world_is_a_prison_-_IDesireTree.mp3", "HHRNSM_-_Amrit_Droplets_-_0068_-_This_material_world_is_a_prison_-_IDesireTree.mp3")</f>
        <v>HHRNSM_-_Amrit_Droplets_-_0068_-_This_material_world_is_a_prison_-_IDesireTree.mp3</v>
      </c>
      <c r="D5514" s="11"/>
      <c r="E5514" s="11"/>
    </row>
    <row r="5515" spans="1:5">
      <c r="A5515" s="12" t="s">
        <v>12567</v>
      </c>
      <c r="B5515" s="12" t="s">
        <v>12636</v>
      </c>
      <c r="C5515" s="13" t="str">
        <f>HYPERLINK("https://audio.iskcondesiretree.com/02_-_ISKCON_Swamis/ISKCON_Swamis_-_R_to_Y/His_Holiness_Radhanath_Swami/Lectures/05_-_Amrit_Droplets/HHRNSM_-_Amrit_Droplets_-_0069_-_What_does_it_mean_to_rise_above_dualities_-_IDesireTree.mp3", "HHRNSM_-_Amrit_Droplets_-_0069_-_What_does_it_mean_to_rise_above_dualities_-_IDesireTree.mp3")</f>
        <v>HHRNSM_-_Amrit_Droplets_-_0069_-_What_does_it_mean_to_rise_above_dualities_-_IDesireTree.mp3</v>
      </c>
      <c r="D5515" s="11"/>
      <c r="E5515" s="11"/>
    </row>
    <row r="5516" spans="1:5">
      <c r="A5516" s="12" t="s">
        <v>12567</v>
      </c>
      <c r="B5516" s="12" t="s">
        <v>12637</v>
      </c>
      <c r="C5516" s="13" t="str">
        <f>HYPERLINK("https://audio.iskcondesiretree.com/02_-_ISKCON_Swamis/ISKCON_Swamis_-_R_to_Y/His_Holiness_Radhanath_Swami/Lectures/05_-_Amrit_Droplets/HHRNSM_-_Amrit_Droplets_-_0070_-_Effect_of_Blaspheming_the_Holy_Names_-_IDesireTree.mp3", "HHRNSM_-_Amrit_Droplets_-_0070_-_Effect_of_Blaspheming_the_Holy_Names_-_IDesireTree.mp3")</f>
        <v>HHRNSM_-_Amrit_Droplets_-_0070_-_Effect_of_Blaspheming_the_Holy_Names_-_IDesireTree.mp3</v>
      </c>
      <c r="D5516" s="11"/>
      <c r="E5516" s="11"/>
    </row>
    <row r="5517" spans="1:5">
      <c r="A5517" s="12" t="s">
        <v>12567</v>
      </c>
      <c r="B5517" s="12" t="s">
        <v>12638</v>
      </c>
      <c r="C5517" s="13" t="str">
        <f>HYPERLINK("https://audio.iskcondesiretree.com/02_-_ISKCON_Swamis/ISKCON_Swamis_-_R_to_Y/His_Holiness_Radhanath_Swami/Lectures/05_-_Amrit_Droplets/HHRNSM_-_Amrit_Droplets_-_0071_-_Power_of_Mahamantra_-_IDesireTree.mp3", "HHRNSM_-_Amrit_Droplets_-_0071_-_Power_of_Mahamantra_-_IDesireTree.mp3")</f>
        <v>HHRNSM_-_Amrit_Droplets_-_0071_-_Power_of_Mahamantra_-_IDesireTree.mp3</v>
      </c>
      <c r="D5517" s="11"/>
      <c r="E5517" s="11"/>
    </row>
    <row r="5518" spans="1:5">
      <c r="A5518" s="12" t="s">
        <v>12567</v>
      </c>
      <c r="B5518" s="12" t="s">
        <v>12639</v>
      </c>
      <c r="C5518" s="13" t="str">
        <f>HYPERLINK("https://audio.iskcondesiretree.com/02_-_ISKCON_Swamis/ISKCON_Swamis_-_R_to_Y/His_Holiness_Radhanath_Swami/Lectures/05_-_Amrit_Droplets/HHRNSM_-_Amrit_Droplets_-_0072_-_Purpose_of_knowledge_IDesireTree.mp3", "HHRNSM_-_Amrit_Droplets_-_0072_-_Purpose_of_knowledge_IDesireTree.mp3")</f>
        <v>HHRNSM_-_Amrit_Droplets_-_0072_-_Purpose_of_knowledge_IDesireTree.mp3</v>
      </c>
      <c r="D5518" s="11"/>
      <c r="E5518" s="11"/>
    </row>
    <row r="5519" spans="1:5">
      <c r="A5519" s="12" t="s">
        <v>12567</v>
      </c>
      <c r="B5519" s="12" t="s">
        <v>12640</v>
      </c>
      <c r="C5519" s="13" t="str">
        <f>HYPERLINK("https://audio.iskcondesiretree.com/02_-_ISKCON_Swamis/ISKCON_Swamis_-_R_to_Y/His_Holiness_Radhanath_Swami/Lectures/05_-_Amrit_Droplets/HHRNSM_-_Amrit_Droplets_-_0073_-_How_can_we_expect_to_see_the_soul_-_IDesireTree.mp3", "HHRNSM_-_Amrit_Droplets_-_0073_-_How_can_we_expect_to_see_the_soul_-_IDesireTree.mp3")</f>
        <v>HHRNSM_-_Amrit_Droplets_-_0073_-_How_can_we_expect_to_see_the_soul_-_IDesireTree.mp3</v>
      </c>
      <c r="D5519" s="11"/>
      <c r="E5519" s="11"/>
    </row>
    <row r="5520" spans="1:5">
      <c r="A5520" s="12" t="s">
        <v>12567</v>
      </c>
      <c r="B5520" s="12" t="s">
        <v>12641</v>
      </c>
      <c r="C5520" s="13" t="str">
        <f>HYPERLINK("https://audio.iskcondesiretree.com/02_-_ISKCON_Swamis/ISKCON_Swamis_-_R_to_Y/His_Holiness_Radhanath_Swami/Lectures/05_-_Amrit_Droplets/HHRNSM_-_Amrit_Droplets_-_0074_-_Importance_of_Prabhupad_books_and_appeal_to_devotees_-_IDesireTree.mp3", "HHRNSM_-_Amrit_Droplets_-_0074_-_Importance_of_Prabhupad_books_and_appeal_to_devotees_-_IDesireTree.mp3")</f>
        <v>HHRNSM_-_Amrit_Droplets_-_0074_-_Importance_of_Prabhupad_books_and_appeal_to_devotees_-_IDesireTree.mp3</v>
      </c>
      <c r="D5520" s="11"/>
      <c r="E5520" s="11"/>
    </row>
    <row r="5521" spans="1:5">
      <c r="A5521" s="12" t="s">
        <v>12567</v>
      </c>
      <c r="B5521" s="12" t="s">
        <v>12642</v>
      </c>
      <c r="C5521" s="13" t="str">
        <f>HYPERLINK("https://audio.iskcondesiretree.com/02_-_ISKCON_Swamis/ISKCON_Swamis_-_R_to_Y/His_Holiness_Radhanath_Swami/Lectures/05_-_Amrit_Droplets/HHRNSM_-_Amrit_Droplets_-_0075_-_Proof_of_God%27s_Existence_-_IDesireTree.mp3", "HHRNSM_-_Amrit_Droplets_-_0075_-_Proof_of_God%27s_Existence_-_IDesireTree.mp3")</f>
        <v>HHRNSM_-_Amrit_Droplets_-_0075_-_Proof_of_God%27s_Existence_-_IDesireTree.mp3</v>
      </c>
      <c r="D5521" s="11"/>
      <c r="E5521" s="11"/>
    </row>
    <row r="5522" spans="1:5">
      <c r="A5522" s="12" t="s">
        <v>12567</v>
      </c>
      <c r="B5522" s="12" t="s">
        <v>12643</v>
      </c>
      <c r="C5522" s="13" t="str">
        <f>HYPERLINK("https://audio.iskcondesiretree.com/02_-_ISKCON_Swamis/ISKCON_Swamis_-_R_to_Y/His_Holiness_Radhanath_Swami/Lectures/05_-_Amrit_Droplets/HHRNSM_-_Amrit_Droplets_-_0076_-_Significance_of_raising_arms_while_chanting_-_IDesireTree.mp3", "HHRNSM_-_Amrit_Droplets_-_0076_-_Significance_of_raising_arms_while_chanting_-_IDesireTree.mp3")</f>
        <v>HHRNSM_-_Amrit_Droplets_-_0076_-_Significance_of_raising_arms_while_chanting_-_IDesireTree.mp3</v>
      </c>
      <c r="D5522" s="11"/>
      <c r="E5522" s="11"/>
    </row>
    <row r="5523" spans="1:5">
      <c r="A5523" s="12" t="s">
        <v>12567</v>
      </c>
      <c r="B5523" s="12" t="s">
        <v>12644</v>
      </c>
      <c r="C5523" s="13" t="str">
        <f>HYPERLINK("https://audio.iskcondesiretree.com/02_-_ISKCON_Swamis/ISKCON_Swamis_-_R_to_Y/His_Holiness_Radhanath_Swami/Lectures/05_-_Amrit_Droplets/HHRNSM_-_Amrit_Droplets_-_0077_-_We_are_building_sand_castles_-_IDesireTree.mp3", "HHRNSM_-_Amrit_Droplets_-_0077_-_We_are_building_sand_castles_-_IDesireTree.mp3")</f>
        <v>HHRNSM_-_Amrit_Droplets_-_0077_-_We_are_building_sand_castles_-_IDesireTree.mp3</v>
      </c>
      <c r="D5523" s="11"/>
      <c r="E5523" s="11"/>
    </row>
    <row r="5524" spans="1:5">
      <c r="A5524" s="12" t="s">
        <v>12567</v>
      </c>
      <c r="B5524" s="12" t="s">
        <v>12645</v>
      </c>
      <c r="C5524" s="13" t="str">
        <f>HYPERLINK("https://audio.iskcondesiretree.com/02_-_ISKCON_Swamis/ISKCON_Swamis_-_R_to_Y/His_Holiness_Radhanath_Swami/Lectures/05_-_Amrit_Droplets/HHRNSM_-_Amrit_Droplets_-_0078_-_We_are_so_dull_headed_-_IDesireTree.mp3", "HHRNSM_-_Amrit_Droplets_-_0078_-_We_are_so_dull_headed_-_IDesireTree.mp3")</f>
        <v>HHRNSM_-_Amrit_Droplets_-_0078_-_We_are_so_dull_headed_-_IDesireTree.mp3</v>
      </c>
      <c r="D5524" s="11"/>
      <c r="E5524" s="11"/>
    </row>
    <row r="5525" spans="1:5">
      <c r="A5525" s="12" t="s">
        <v>12567</v>
      </c>
      <c r="B5525" s="12" t="s">
        <v>12646</v>
      </c>
      <c r="C5525" s="13" t="str">
        <f>HYPERLINK("https://audio.iskcondesiretree.com/02_-_ISKCON_Swamis/ISKCON_Swamis_-_R_to_Y/His_Holiness_Radhanath_Swami/Lectures/05_-_Amrit_Droplets/HHRNSM_-_Amrit_Droplets_-_0079_-_What_is_the_prime_duty_of_a_person_who_is_about_to_die_-_IDesireTree.mp3", "HHRNSM_-_Amrit_Droplets_-_0079_-_What_is_the_prime_duty_of_a_person_who_is_about_to_die_-_IDesireTree.mp3")</f>
        <v>HHRNSM_-_Amrit_Droplets_-_0079_-_What_is_the_prime_duty_of_a_person_who_is_about_to_die_-_IDesireTree.mp3</v>
      </c>
      <c r="D5525" s="11"/>
      <c r="E5525" s="11"/>
    </row>
    <row r="5526" spans="1:5">
      <c r="A5526" s="12" t="s">
        <v>12567</v>
      </c>
      <c r="B5526" s="12" t="s">
        <v>12647</v>
      </c>
      <c r="C5526" s="13" t="str">
        <f>HYPERLINK("https://audio.iskcondesiretree.com/02_-_ISKCON_Swamis/ISKCON_Swamis_-_R_to_Y/His_Holiness_Radhanath_Swami/Lectures/05_-_Amrit_Droplets/HHRNSM_-_Amrit_Droplets_-_0080_-_All_we_do_is_chanting_dancing_and_feasting_-_IDesireTree.mp3", "HHRNSM_-_Amrit_Droplets_-_0080_-_All_we_do_is_chanting_dancing_and_feasting_-_IDesireTree.mp3")</f>
        <v>HHRNSM_-_Amrit_Droplets_-_0080_-_All_we_do_is_chanting_dancing_and_feasting_-_IDesireTree.mp3</v>
      </c>
      <c r="D5526" s="11"/>
      <c r="E5526" s="11"/>
    </row>
    <row r="5527" spans="1:5">
      <c r="A5527" s="12" t="s">
        <v>12567</v>
      </c>
      <c r="B5527" s="12" t="s">
        <v>12648</v>
      </c>
      <c r="C5527" s="13" t="str">
        <f>HYPERLINK("https://audio.iskcondesiretree.com/02_-_ISKCON_Swamis/ISKCON_Swamis_-_R_to_Y/His_Holiness_Radhanath_Swami/Lectures/05_-_Amrit_Droplets/HHRNSM_-_Amrit_Droplets_-_0081_-_Being_grateful_in_every_condition_-_IDesireTree.mp3", "HHRNSM_-_Amrit_Droplets_-_0081_-_Being_grateful_in_every_condition_-_IDesireTree.mp3")</f>
        <v>HHRNSM_-_Amrit_Droplets_-_0081_-_Being_grateful_in_every_condition_-_IDesireTree.mp3</v>
      </c>
      <c r="D5527" s="11"/>
      <c r="E5527" s="11"/>
    </row>
    <row r="5528" spans="1:5">
      <c r="A5528" s="12" t="s">
        <v>12567</v>
      </c>
      <c r="B5528" s="12" t="s">
        <v>12649</v>
      </c>
      <c r="C5528" s="13" t="str">
        <f>HYPERLINK("https://audio.iskcondesiretree.com/02_-_ISKCON_Swamis/ISKCON_Swamis_-_R_to_Y/His_Holiness_Radhanath_Swami/Lectures/05_-_Amrit_Droplets/HHRNSM_-_Amrit_Droplets_-_0082_-_How_to_become_resolute_in_purpose_-_IDesireTree.mp3", "HHRNSM_-_Amrit_Droplets_-_0082_-_How_to_become_resolute_in_purpose_-_IDesireTree.mp3")</f>
        <v>HHRNSM_-_Amrit_Droplets_-_0082_-_How_to_become_resolute_in_purpose_-_IDesireTree.mp3</v>
      </c>
      <c r="D5528" s="11"/>
      <c r="E5528" s="11"/>
    </row>
    <row r="5529" spans="1:5">
      <c r="A5529" s="12" t="s">
        <v>12567</v>
      </c>
      <c r="B5529" s="12" t="s">
        <v>12650</v>
      </c>
      <c r="C5529" s="13" t="str">
        <f>HYPERLINK("https://audio.iskcondesiretree.com/02_-_ISKCON_Swamis/ISKCON_Swamis_-_R_to_Y/His_Holiness_Radhanath_Swami/Lectures/05_-_Amrit_Droplets/HHRNSM_-_Amrit_Droplets_-_0083_-_Mad_Elephant_offense_-_IDesireTree.mp3", "HHRNSM_-_Amrit_Droplets_-_0083_-_Mad_Elephant_offense_-_IDesireTree.mp3")</f>
        <v>HHRNSM_-_Amrit_Droplets_-_0083_-_Mad_Elephant_offense_-_IDesireTree.mp3</v>
      </c>
      <c r="D5529" s="11"/>
      <c r="E5529" s="11"/>
    </row>
    <row r="5530" spans="1:5">
      <c r="A5530" s="12" t="s">
        <v>12567</v>
      </c>
      <c r="B5530" s="12" t="s">
        <v>12651</v>
      </c>
      <c r="C5530" s="13" t="str">
        <f>HYPERLINK("https://audio.iskcondesiretree.com/02_-_ISKCON_Swamis/ISKCON_Swamis_-_R_to_Y/His_Holiness_Radhanath_Swami/Lectures/05_-_Amrit_Droplets/HHRNSM_-_Amrit_Droplets_-_0084_-_Meaning_of_Krishna_consciousness_-_IDesireTree.mp3", "HHRNSM_-_Amrit_Droplets_-_0084_-_Meaning_of_Krishna_consciousness_-_IDesireTree.mp3")</f>
        <v>HHRNSM_-_Amrit_Droplets_-_0084_-_Meaning_of_Krishna_consciousness_-_IDesireTree.mp3</v>
      </c>
      <c r="D5530" s="11"/>
      <c r="E5530" s="11"/>
    </row>
    <row r="5531" spans="1:5">
      <c r="A5531" s="12" t="s">
        <v>12567</v>
      </c>
      <c r="B5531" s="12" t="s">
        <v>12652</v>
      </c>
      <c r="C5531" s="13" t="str">
        <f>HYPERLINK("https://audio.iskcondesiretree.com/02_-_ISKCON_Swamis/ISKCON_Swamis_-_R_to_Y/His_Holiness_Radhanath_Swami/Lectures/05_-_Amrit_Droplets/HHRNSM_-_Amrit_Droplets_-_0085_-_Not_necessary_to_give_up_occupational_duties_-_IDesireTree.mp3", "HHRNSM_-_Amrit_Droplets_-_0085_-_Not_necessary_to_give_up_occupational_duties_-_IDesireTree.mp3")</f>
        <v>HHRNSM_-_Amrit_Droplets_-_0085_-_Not_necessary_to_give_up_occupational_duties_-_IDesireTree.mp3</v>
      </c>
      <c r="D5531" s="11"/>
      <c r="E5531" s="11"/>
    </row>
    <row r="5532" spans="1:5">
      <c r="A5532" s="12" t="s">
        <v>12567</v>
      </c>
      <c r="B5532" s="12" t="s">
        <v>12653</v>
      </c>
      <c r="C5532" s="13" t="str">
        <f>HYPERLINK("https://audio.iskcondesiretree.com/02_-_ISKCON_Swamis/ISKCON_Swamis_-_R_to_Y/His_Holiness_Radhanath_Swami/Lectures/05_-_Amrit_Droplets/HHRNSM_-_Amrit_Droplets_-_0086_-_Price_for_getting_love_of_Krishna_-_IDesireTree.mp3", "HHRNSM_-_Amrit_Droplets_-_0086_-_Price_for_getting_love_of_Krishna_-_IDesireTree.mp3")</f>
        <v>HHRNSM_-_Amrit_Droplets_-_0086_-_Price_for_getting_love_of_Krishna_-_IDesireTree.mp3</v>
      </c>
      <c r="D5532" s="11"/>
      <c r="E5532" s="11"/>
    </row>
    <row r="5533" spans="1:5">
      <c r="A5533" s="12" t="s">
        <v>12567</v>
      </c>
      <c r="B5533" s="12" t="s">
        <v>12654</v>
      </c>
      <c r="C5533" s="13" t="str">
        <f>HYPERLINK("https://audio.iskcondesiretree.com/02_-_ISKCON_Swamis/ISKCON_Swamis_-_R_to_Y/His_Holiness_Radhanath_Swami/Lectures/05_-_Amrit_Droplets/HHRNSM_-_Amrit_Droplets_-_0087_-_Rejecting_what_is_unfavourable_-_IDesireTree.mp3", "HHRNSM_-_Amrit_Droplets_-_0087_-_Rejecting_what_is_unfavourable_-_IDesireTree.mp3")</f>
        <v>HHRNSM_-_Amrit_Droplets_-_0087_-_Rejecting_what_is_unfavourable_-_IDesireTree.mp3</v>
      </c>
      <c r="D5533" s="11"/>
      <c r="E5533" s="11"/>
    </row>
    <row r="5534" spans="1:5">
      <c r="A5534" s="12" t="s">
        <v>12567</v>
      </c>
      <c r="B5534" s="12" t="s">
        <v>12655</v>
      </c>
      <c r="C5534" s="13" t="str">
        <f>HYPERLINK("https://audio.iskcondesiretree.com/02_-_ISKCON_Swamis/ISKCON_Swamis_-_R_to_Y/His_Holiness_Radhanath_Swami/Lectures/05_-_Amrit_Droplets/HHRNSM_-_Amrit_Droplets_-_0088_-_The_way_we_should_approach_scriptures_-_IDesireTree.mp3", "HHRNSM_-_Amrit_Droplets_-_0088_-_The_way_we_should_approach_scriptures_-_IDesireTree.mp3")</f>
        <v>HHRNSM_-_Amrit_Droplets_-_0088_-_The_way_we_should_approach_scriptures_-_IDesireTree.mp3</v>
      </c>
      <c r="D5534" s="11"/>
      <c r="E5534" s="11"/>
    </row>
    <row r="5535" spans="1:5">
      <c r="A5535" s="12" t="s">
        <v>12567</v>
      </c>
      <c r="B5535" s="12" t="s">
        <v>12656</v>
      </c>
      <c r="C5535" s="13" t="str">
        <f>HYPERLINK("https://audio.iskcondesiretree.com/02_-_ISKCON_Swamis/ISKCON_Swamis_-_R_to_Y/His_Holiness_Radhanath_Swami/Lectures/05_-_Amrit_Droplets/HHRNSM_-_Amrit_Droplets_-_0089_-_Why_do_we_not_see_Krishna_everywhere_-_IDesireTree.mp3", "HHRNSM_-_Amrit_Droplets_-_0089_-_Why_do_we_not_see_Krishna_everywhere_-_IDesireTree.mp3")</f>
        <v>HHRNSM_-_Amrit_Droplets_-_0089_-_Why_do_we_not_see_Krishna_everywhere_-_IDesireTree.mp3</v>
      </c>
      <c r="D5535" s="11"/>
      <c r="E5535" s="11"/>
    </row>
    <row r="5536" spans="1:5">
      <c r="A5536" s="12" t="s">
        <v>12567</v>
      </c>
      <c r="B5536" s="12" t="s">
        <v>12657</v>
      </c>
      <c r="C5536" s="13" t="str">
        <f>HYPERLINK("https://audio.iskcondesiretree.com/02_-_ISKCON_Swamis/ISKCON_Swamis_-_R_to_Y/His_Holiness_Radhanath_Swami/Lectures/05_-_Amrit_Droplets/HHRNSM_-_Amrit_Droplets_-_0090_-_Chanting_with_enthusiasm_is_great_service_-_IDesireTree.mp3", "HHRNSM_-_Amrit_Droplets_-_0090_-_Chanting_with_enthusiasm_is_great_service_-_IDesireTree.mp3")</f>
        <v>HHRNSM_-_Amrit_Droplets_-_0090_-_Chanting_with_enthusiasm_is_great_service_-_IDesireTree.mp3</v>
      </c>
      <c r="D5536" s="11"/>
      <c r="E5536" s="11"/>
    </row>
    <row r="5537" spans="1:5">
      <c r="A5537" s="12" t="s">
        <v>12567</v>
      </c>
      <c r="B5537" s="12" t="s">
        <v>12658</v>
      </c>
      <c r="C5537" s="13" t="str">
        <f>HYPERLINK("https://audio.iskcondesiretree.com/02_-_ISKCON_Swamis/ISKCON_Swamis_-_R_to_Y/His_Holiness_Radhanath_Swami/Lectures/05_-_Amrit_Droplets/HHRNSM_-_Amrit_Droplets_-_0091_-_Following_in_the_footsteps_of_Bharat_Maharaj_-_IDesireTree.mp3", "HHRNSM_-_Amrit_Droplets_-_0091_-_Following_in_the_footsteps_of_Bharat_Maharaj_-_IDesireTree.mp3")</f>
        <v>HHRNSM_-_Amrit_Droplets_-_0091_-_Following_in_the_footsteps_of_Bharat_Maharaj_-_IDesireTree.mp3</v>
      </c>
      <c r="D5537" s="11"/>
      <c r="E5537" s="11"/>
    </row>
    <row r="5538" spans="1:5">
      <c r="A5538" s="12" t="s">
        <v>12567</v>
      </c>
      <c r="B5538" s="12" t="s">
        <v>12659</v>
      </c>
      <c r="C5538" s="13" t="str">
        <f>HYPERLINK("https://audio.iskcondesiretree.com/02_-_ISKCON_Swamis/ISKCON_Swamis_-_R_to_Y/His_Holiness_Radhanath_Swami/Lectures/05_-_Amrit_Droplets/HHRNSM_-_Amrit_Droplets_-_0092_-_Essence_of_scriptures_can_only_be_understood_from_Acharya_-_IDesireTree.mp3", "HHRNSM_-_Amrit_Droplets_-_0092_-_Essence_of_scriptures_can_only_be_understood_from_Acharya_-_IDesireTree.mp3")</f>
        <v>HHRNSM_-_Amrit_Droplets_-_0092_-_Essence_of_scriptures_can_only_be_understood_from_Acharya_-_IDesireTree.mp3</v>
      </c>
      <c r="D5538" s="11"/>
      <c r="E5538" s="11"/>
    </row>
    <row r="5539" spans="1:5">
      <c r="A5539" s="12" t="s">
        <v>12567</v>
      </c>
      <c r="B5539" s="12" t="s">
        <v>12660</v>
      </c>
      <c r="C5539" s="13" t="str">
        <f>HYPERLINK("https://audio.iskcondesiretree.com/02_-_ISKCON_Swamis/ISKCON_Swamis_-_R_to_Y/His_Holiness_Radhanath_Swami/Lectures/05_-_Amrit_Droplets/HHRNSM_-_Amrit_Droplets_-_0093_-_Die_to_live_-_IDesireTree.mp3", "HHRNSM_-_Amrit_Droplets_-_0093_-_Die_to_live_-_IDesireTree.mp3")</f>
        <v>HHRNSM_-_Amrit_Droplets_-_0093_-_Die_to_live_-_IDesireTree.mp3</v>
      </c>
      <c r="D5539" s="11"/>
      <c r="E5539" s="11"/>
    </row>
    <row r="5540" spans="1:5">
      <c r="A5540" s="12" t="s">
        <v>12567</v>
      </c>
      <c r="B5540" s="12" t="s">
        <v>12661</v>
      </c>
      <c r="C5540" s="13" t="str">
        <f>HYPERLINK("https://audio.iskcondesiretree.com/02_-_ISKCON_Swamis/ISKCON_Swamis_-_R_to_Y/His_Holiness_Radhanath_Swami/Lectures/05_-_Amrit_Droplets/HHRNSM_-_Amrit_Droplets_-_0094_-_Devotees_are_not_hard_hearted_-_IDesireTree.mp3", "HHRNSM_-_Amrit_Droplets_-_0094_-_Devotees_are_not_hard_hearted_-_IDesireTree.mp3")</f>
        <v>HHRNSM_-_Amrit_Droplets_-_0094_-_Devotees_are_not_hard_hearted_-_IDesireTree.mp3</v>
      </c>
      <c r="D5540" s="11"/>
      <c r="E5540" s="11"/>
    </row>
    <row r="5541" spans="1:5">
      <c r="A5541" s="12" t="s">
        <v>12567</v>
      </c>
      <c r="B5541" s="12" t="s">
        <v>12662</v>
      </c>
      <c r="C5541" s="13" t="str">
        <f>HYPERLINK("https://audio.iskcondesiretree.com/02_-_ISKCON_Swamis/ISKCON_Swamis_-_R_to_Y/His_Holiness_Radhanath_Swami/Lectures/05_-_Amrit_Droplets/HHRNSM_-_Amrit_Droplets_-_0095_-_You_can_feed_stomach_only_through_the_mouth_-_IDesireTree.mp3", "HHRNSM_-_Amrit_Droplets_-_0095_-_You_can_feed_stomach_only_through_the_mouth_-_IDesireTree.mp3")</f>
        <v>HHRNSM_-_Amrit_Droplets_-_0095_-_You_can_feed_stomach_only_through_the_mouth_-_IDesireTree.mp3</v>
      </c>
      <c r="D5541" s="11"/>
      <c r="E5541" s="11"/>
    </row>
    <row r="5542" spans="1:5">
      <c r="A5542" s="12" t="s">
        <v>12567</v>
      </c>
      <c r="B5542" s="12" t="s">
        <v>12663</v>
      </c>
      <c r="C5542" s="13" t="str">
        <f>HYPERLINK("https://audio.iskcondesiretree.com/02_-_ISKCON_Swamis/ISKCON_Swamis_-_R_to_Y/His_Holiness_Radhanath_Swami/Lectures/05_-_Amrit_Droplets/HHRNSM_-_Amrit_Droplets_-_0096_-_Only_criteria_for_making_decisions_in_life_-_IDesireTree.mp3", "HHRNSM_-_Amrit_Droplets_-_0096_-_Only_criteria_for_making_decisions_in_life_-_IDesireTree.mp3")</f>
        <v>HHRNSM_-_Amrit_Droplets_-_0096_-_Only_criteria_for_making_decisions_in_life_-_IDesireTree.mp3</v>
      </c>
      <c r="D5542" s="11"/>
      <c r="E5542" s="11"/>
    </row>
    <row r="5543" spans="1:5">
      <c r="A5543" s="12" t="s">
        <v>12567</v>
      </c>
      <c r="B5543" s="12" t="s">
        <v>12664</v>
      </c>
      <c r="C5543" s="13" t="str">
        <f>HYPERLINK("https://audio.iskcondesiretree.com/02_-_ISKCON_Swamis/ISKCON_Swamis_-_R_to_Y/His_Holiness_Radhanath_Swami/Lectures/05_-_Amrit_Droplets/HHRNSM_-_Amrit_Droplets_-_0097_-_Friction_in_the_automobile_of_material_existence_-_IDesireTree.mp3", "HHRNSM_-_Amrit_Droplets_-_0097_-_Friction_in_the_automobile_of_material_existence_-_IDesireTree.mp3")</f>
        <v>HHRNSM_-_Amrit_Droplets_-_0097_-_Friction_in_the_automobile_of_material_existence_-_IDesireTree.mp3</v>
      </c>
      <c r="D5543" s="11"/>
      <c r="E5543" s="11"/>
    </row>
    <row r="5544" spans="1:5">
      <c r="A5544" s="12" t="s">
        <v>12567</v>
      </c>
      <c r="B5544" s="12" t="s">
        <v>12665</v>
      </c>
      <c r="C5544" s="13" t="str">
        <f>HYPERLINK("https://audio.iskcondesiretree.com/02_-_ISKCON_Swamis/ISKCON_Swamis_-_R_to_Y/His_Holiness_Radhanath_Swami/Lectures/05_-_Amrit_Droplets/HHRNSM_-_Amrit_Droplets_-_0098_-_How_do_we_purify_our_hearts_-_IDesireTree.mp3", "HHRNSM_-_Amrit_Droplets_-_0098_-_How_do_we_purify_our_hearts_-_IDesireTree.mp3")</f>
        <v>HHRNSM_-_Amrit_Droplets_-_0098_-_How_do_we_purify_our_hearts_-_IDesireTree.mp3</v>
      </c>
      <c r="D5544" s="11"/>
      <c r="E5544" s="11"/>
    </row>
    <row r="5545" spans="1:5">
      <c r="A5545" s="12" t="s">
        <v>12567</v>
      </c>
      <c r="B5545" s="12" t="s">
        <v>12666</v>
      </c>
      <c r="C5545" s="13" t="str">
        <f>HYPERLINK("https://audio.iskcondesiretree.com/02_-_ISKCON_Swamis/ISKCON_Swamis_-_R_to_Y/His_Holiness_Radhanath_Swami/Lectures/05_-_Amrit_Droplets/HHRNSM_-_Amrit_Droplets_-_0099_-_Love_is_realisation_of_knowledge_-_IDesireTree.mp3", "HHRNSM_-_Amrit_Droplets_-_0099_-_Love_is_realisation_of_knowledge_-_IDesireTree.mp3")</f>
        <v>HHRNSM_-_Amrit_Droplets_-_0099_-_Love_is_realisation_of_knowledge_-_IDesireTree.mp3</v>
      </c>
      <c r="D5545" s="11"/>
      <c r="E5545" s="11"/>
    </row>
    <row r="5546" spans="1:5">
      <c r="A5546" s="12" t="s">
        <v>12567</v>
      </c>
      <c r="B5546" s="12" t="s">
        <v>12667</v>
      </c>
      <c r="C5546" s="13" t="str">
        <f>HYPERLINK("https://audio.iskcondesiretree.com/02_-_ISKCON_Swamis/ISKCON_Swamis_-_R_to_Y/His_Holiness_Radhanath_Swami/Lectures/05_-_Amrit_Droplets/HHRNSM_-_Amrit_Droplets_-_0100_-_Real_love_is_love_for_the_soul_-_IDesireTree.mp3", "HHRNSM_-_Amrit_Droplets_-_0100_-_Real_love_is_love_for_the_soul_-_IDesireTree.mp3")</f>
        <v>HHRNSM_-_Amrit_Droplets_-_0100_-_Real_love_is_love_for_the_soul_-_IDesireTree.mp3</v>
      </c>
      <c r="D5546" s="11"/>
      <c r="E5546" s="11"/>
    </row>
    <row r="5547" spans="1:5">
      <c r="A5547" s="12" t="s">
        <v>12567</v>
      </c>
      <c r="B5547" s="12" t="s">
        <v>12668</v>
      </c>
      <c r="C5547" s="13" t="str">
        <f>HYPERLINK("https://audio.iskcondesiretree.com/02_-_ISKCON_Swamis/ISKCON_Swamis_-_R_to_Y/His_Holiness_Radhanath_Swami/Lectures/05_-_Amrit_Droplets/HHRNSM_-_Amrit_Droplets_-_0101_-_Without_loving_God_one_cannot_love_anyone_else_-_IDesireTree.mp3", "HHRNSM_-_Amrit_Droplets_-_0101_-_Without_loving_God_one_cannot_love_anyone_else_-_IDesireTree.mp3")</f>
        <v>HHRNSM_-_Amrit_Droplets_-_0101_-_Without_loving_God_one_cannot_love_anyone_else_-_IDesireTree.mp3</v>
      </c>
      <c r="D5547" s="11"/>
      <c r="E5547" s="11"/>
    </row>
    <row r="5548" spans="1:5">
      <c r="A5548" s="12" t="s">
        <v>12567</v>
      </c>
      <c r="B5548" s="12" t="s">
        <v>12669</v>
      </c>
      <c r="C5548" s="13" t="str">
        <f>HYPERLINK("https://audio.iskcondesiretree.com/02_-_ISKCON_Swamis/ISKCON_Swamis_-_R_to_Y/His_Holiness_Radhanath_Swami/Lectures/05_-_Amrit_Droplets/HHRNSM_-_Amrit_Droplets_-_0102_-_Our_near_and_dear_ones_achieve_benefits_of_our_spiritual_wealth_-_IDesireTree.mp3", "HHRNSM_-_Amrit_Droplets_-_0102_-_Our_near_and_dear_ones_achieve_benefits_of_our_spiritual_wealth_-_IDesireTree.mp3")</f>
        <v>HHRNSM_-_Amrit_Droplets_-_0102_-_Our_near_and_dear_ones_achieve_benefits_of_our_spiritual_wealth_-_IDesireTree.mp3</v>
      </c>
      <c r="D5548" s="11"/>
      <c r="E5548" s="11"/>
    </row>
    <row r="5549" spans="1:5">
      <c r="A5549" s="12" t="s">
        <v>12567</v>
      </c>
      <c r="B5549" s="12" t="s">
        <v>12670</v>
      </c>
      <c r="C5549" s="13" t="str">
        <f>HYPERLINK("https://audio.iskcondesiretree.com/02_-_ISKCON_Swamis/ISKCON_Swamis_-_R_to_Y/His_Holiness_Radhanath_Swami/Lectures/05_-_Amrit_Droplets/HHRNSM_-_Amrit_Droplets_-_0103_-_Greatest_gift_we_can_give_anyone_-_IDesireTree.mp3", "HHRNSM_-_Amrit_Droplets_-_0103_-_Greatest_gift_we_can_give_anyone_-_IDesireTree.mp3")</f>
        <v>HHRNSM_-_Amrit_Droplets_-_0103_-_Greatest_gift_we_can_give_anyone_-_IDesireTree.mp3</v>
      </c>
      <c r="D5549" s="11"/>
      <c r="E5549" s="11"/>
    </row>
    <row r="5550" spans="1:5">
      <c r="A5550" s="12" t="s">
        <v>12567</v>
      </c>
      <c r="B5550" s="12" t="s">
        <v>12671</v>
      </c>
      <c r="C5550" s="13" t="str">
        <f>HYPERLINK("https://audio.iskcondesiretree.com/02_-_ISKCON_Swamis/ISKCON_Swamis_-_R_to_Y/His_Holiness_Radhanath_Swami/Lectures/05_-_Amrit_Droplets/HHRNSM_-_Amrit_Droplets_-_0104_-_Lubricant_to_avoid_friction_in_material_society_-_IDesireTree.mp3", "HHRNSM_-_Amrit_Droplets_-_0104_-_Lubricant_to_avoid_friction_in_material_society_-_IDesireTree.mp3")</f>
        <v>HHRNSM_-_Amrit_Droplets_-_0104_-_Lubricant_to_avoid_friction_in_material_society_-_IDesireTree.mp3</v>
      </c>
      <c r="D5550" s="11"/>
      <c r="E5550" s="11"/>
    </row>
    <row r="5551" spans="1:5">
      <c r="A5551" s="12" t="s">
        <v>12567</v>
      </c>
      <c r="B5551" s="12" t="s">
        <v>12672</v>
      </c>
      <c r="C5551" s="13" t="str">
        <f>HYPERLINK("https://audio.iskcondesiretree.com/02_-_ISKCON_Swamis/ISKCON_Swamis_-_R_to_Y/His_Holiness_Radhanath_Swami/Lectures/05_-_Amrit_Droplets/HHRNSM_-_Amrit_Droplets_-_0105_-_Don%27t_take_material_life_very_seriously_-_IDesireTree.mp3", "HHRNSM_-_Amrit_Droplets_-_0105_-_Don%27t_take_material_life_very_seriously_-_IDesireTree.mp3")</f>
        <v>HHRNSM_-_Amrit_Droplets_-_0105_-_Don%27t_take_material_life_very_seriously_-_IDesireTree.mp3</v>
      </c>
      <c r="D5551" s="11"/>
      <c r="E5551" s="11"/>
    </row>
    <row r="5552" spans="1:5">
      <c r="A5552" s="12" t="s">
        <v>12567</v>
      </c>
      <c r="B5552" s="12" t="s">
        <v>12673</v>
      </c>
      <c r="C5552" s="13" t="str">
        <f>HYPERLINK("https://audio.iskcondesiretree.com/02_-_ISKCON_Swamis/ISKCON_Swamis_-_R_to_Y/His_Holiness_Radhanath_Swami/Lectures/05_-_Amrit_Droplets/HHRNSM_-_Amrit_Droplets_-_0106_-_Why_do_devotees_put_Tilak_-_IDesireTree.mp3", "HHRNSM_-_Amrit_Droplets_-_0106_-_Why_do_devotees_put_Tilak_-_IDesireTree.mp3")</f>
        <v>HHRNSM_-_Amrit_Droplets_-_0106_-_Why_do_devotees_put_Tilak_-_IDesireTree.mp3</v>
      </c>
      <c r="D5552" s="11"/>
      <c r="E5552" s="11"/>
    </row>
    <row r="5553" spans="1:5">
      <c r="A5553" s="12" t="s">
        <v>12567</v>
      </c>
      <c r="B5553" s="12" t="s">
        <v>12674</v>
      </c>
      <c r="C5553" s="13" t="str">
        <f>HYPERLINK("https://audio.iskcondesiretree.com/02_-_ISKCON_Swamis/ISKCON_Swamis_-_R_to_Y/His_Holiness_Radhanath_Swami/Lectures/05_-_Amrit_Droplets/HHRNSM_-_Amrit_Droplets_-_0107_-_There_is_no_such_thing_as_death_-_IDesireTree.mp3", "HHRNSM_-_Amrit_Droplets_-_0107_-_There_is_no_such_thing_as_death_-_IDesireTree.mp3")</f>
        <v>HHRNSM_-_Amrit_Droplets_-_0107_-_There_is_no_such_thing_as_death_-_IDesireTree.mp3</v>
      </c>
      <c r="D5553" s="11"/>
      <c r="E5553" s="11"/>
    </row>
    <row r="5554" spans="1:5">
      <c r="A5554" s="12" t="s">
        <v>12567</v>
      </c>
      <c r="B5554" s="12" t="s">
        <v>12675</v>
      </c>
      <c r="C5554" s="13" t="str">
        <f>HYPERLINK("https://audio.iskcondesiretree.com/02_-_ISKCON_Swamis/ISKCON_Swamis_-_R_to_Y/His_Holiness_Radhanath_Swami/Lectures/05_-_Amrit_Droplets/HHRNSM_-_Amrit_Droplets_-_0108_-_Bombs_you_built_in_last_life_are_attacking_you_now_-_IDesireTree.mp3", "HHRNSM_-_Amrit_Droplets_-_0108_-_Bombs_you_built_in_last_life_are_attacking_you_now_-_IDesireTree.mp3")</f>
        <v>HHRNSM_-_Amrit_Droplets_-_0108_-_Bombs_you_built_in_last_life_are_attacking_you_now_-_IDesireTree.mp3</v>
      </c>
      <c r="D5554" s="11"/>
      <c r="E5554" s="11"/>
    </row>
    <row r="5555" spans="1:5">
      <c r="A5555" s="12" t="s">
        <v>12567</v>
      </c>
      <c r="B5555" s="12" t="s">
        <v>12676</v>
      </c>
      <c r="C5555" s="13" t="str">
        <f>HYPERLINK("https://audio.iskcondesiretree.com/02_-_ISKCON_Swamis/ISKCON_Swamis_-_R_to_Y/His_Holiness_Radhanath_Swami/Lectures/05_-_Amrit_Droplets/HHRNSM_-_Amrit_Droplets_-_0109_-_99_percent_spiritual_advancement_comes_from_chanting_-_IDesireTree.mp3", "HHRNSM_-_Amrit_Droplets_-_0109_-_99_percent_spiritual_advancement_comes_from_chanting_-_IDesireTree.mp3")</f>
        <v>HHRNSM_-_Amrit_Droplets_-_0109_-_99_percent_spiritual_advancement_comes_from_chanting_-_IDesireTree.mp3</v>
      </c>
      <c r="D5555" s="11"/>
      <c r="E5555" s="11"/>
    </row>
    <row r="5556" spans="1:5">
      <c r="A5556" s="12" t="s">
        <v>12567</v>
      </c>
      <c r="B5556" s="12" t="s">
        <v>12677</v>
      </c>
      <c r="C5556" s="13" t="str">
        <f>HYPERLINK("https://audio.iskcondesiretree.com/02_-_ISKCON_Swamis/ISKCON_Swamis_-_R_to_Y/His_Holiness_Radhanath_Swami/Lectures/05_-_Amrit_Droplets/HHRNSM_-_Amrit_Droplets_-_0110_-_A_Preacher_is_one_who_preaches_by_his_example_-_IDesireTree.mp3", "HHRNSM_-_Amrit_Droplets_-_0110_-_A_Preacher_is_one_who_preaches_by_his_example_-_IDesireTree.mp3")</f>
        <v>HHRNSM_-_Amrit_Droplets_-_0110_-_A_Preacher_is_one_who_preaches_by_his_example_-_IDesireTree.mp3</v>
      </c>
      <c r="D5556" s="11"/>
      <c r="E5556" s="11"/>
    </row>
    <row r="5557" spans="1:5">
      <c r="A5557" s="12" t="s">
        <v>12567</v>
      </c>
      <c r="B5557" s="12" t="s">
        <v>12678</v>
      </c>
      <c r="C5557" s="13" t="str">
        <f>HYPERLINK("https://audio.iskcondesiretree.com/02_-_ISKCON_Swamis/ISKCON_Swamis_-_R_to_Y/His_Holiness_Radhanath_Swami/Lectures/05_-_Amrit_Droplets/HHRNSM_-_Amrit_Droplets_-_0114_-_Bhagavatam_says_that_Mind_is_the_only_enemy_-_IDesireTree.mp3", "HHRNSM_-_Amrit_Droplets_-_0114_-_Bhagavatam_says_that_Mind_is_the_only_enemy_-_IDesireTree.mp3")</f>
        <v>HHRNSM_-_Amrit_Droplets_-_0114_-_Bhagavatam_says_that_Mind_is_the_only_enemy_-_IDesireTree.mp3</v>
      </c>
      <c r="D5557" s="11"/>
      <c r="E5557" s="11"/>
    </row>
    <row r="5558" spans="1:5">
      <c r="A5558" s="12" t="s">
        <v>12567</v>
      </c>
      <c r="B5558" s="12" t="s">
        <v>12679</v>
      </c>
      <c r="C5558" s="13" t="str">
        <f>HYPERLINK("https://audio.iskcondesiretree.com/02_-_ISKCON_Swamis/ISKCON_Swamis_-_R_to_Y/His_Holiness_Radhanath_Swami/Lectures/05_-_Amrit_Droplets/HHRNSM_-_Amrit_Droplets_-_0115_-_Chanting_is_our_first_responsibility_-_IDesireTree.mp3", "HHRNSM_-_Amrit_Droplets_-_0115_-_Chanting_is_our_first_responsibility_-_IDesireTree.mp3")</f>
        <v>HHRNSM_-_Amrit_Droplets_-_0115_-_Chanting_is_our_first_responsibility_-_IDesireTree.mp3</v>
      </c>
      <c r="D5558" s="11"/>
      <c r="E5558" s="11"/>
    </row>
    <row r="5559" spans="1:5">
      <c r="A5559" s="12" t="s">
        <v>12567</v>
      </c>
      <c r="B5559" s="12" t="s">
        <v>12680</v>
      </c>
      <c r="C5559" s="13" t="str">
        <f>HYPERLINK("https://audio.iskcondesiretree.com/02_-_ISKCON_Swamis/ISKCON_Swamis_-_R_to_Y/His_Holiness_Radhanath_Swami/Lectures/05_-_Amrit_Droplets/HHRNSM_-_Amrit_Droplets_-_0116_-_Description_of_Krishna%27s_form_-_IDesireTree.mp3", "HHRNSM_-_Amrit_Droplets_-_0116_-_Description_of_Krishna%27s_form_-_IDesireTree.mp3")</f>
        <v>HHRNSM_-_Amrit_Droplets_-_0116_-_Description_of_Krishna%27s_form_-_IDesireTree.mp3</v>
      </c>
      <c r="D5559" s="11"/>
      <c r="E5559" s="11"/>
    </row>
    <row r="5560" spans="1:5">
      <c r="A5560" s="12" t="s">
        <v>12567</v>
      </c>
      <c r="B5560" s="12" t="s">
        <v>12681</v>
      </c>
      <c r="C5560" s="13" t="str">
        <f>HYPERLINK("https://audio.iskcondesiretree.com/02_-_ISKCON_Swamis/ISKCON_Swamis_-_R_to_Y/His_Holiness_Radhanath_Swami/Lectures/05_-_Amrit_Droplets/HHRNSM_-_Amrit_Droplets_-_0117_-_Design_your_life_in_a_way_to_develop_more_faith_on_holy_name_-_IDesireTree.mp3", "HHRNSM_-_Amrit_Droplets_-_0117_-_Design_your_life_in_a_way_to_develop_more_faith_on_holy_name_-_IDesireTree.mp3")</f>
        <v>HHRNSM_-_Amrit_Droplets_-_0117_-_Design_your_life_in_a_way_to_develop_more_faith_on_holy_name_-_IDesireTree.mp3</v>
      </c>
      <c r="D5560" s="11"/>
      <c r="E5560" s="11"/>
    </row>
    <row r="5561" spans="1:5">
      <c r="A5561" s="12" t="s">
        <v>12567</v>
      </c>
      <c r="B5561" s="12" t="s">
        <v>12682</v>
      </c>
      <c r="C5561" s="13" t="str">
        <f>HYPERLINK("https://audio.iskcondesiretree.com/02_-_ISKCON_Swamis/ISKCON_Swamis_-_R_to_Y/His_Holiness_Radhanath_Swami/Lectures/05_-_Amrit_Droplets/HHRNSM_-_Amrit_Droplets_-_0118_-_Development_of_character_is_the_intrical_part_of_our_Sadhana_-_IDesireTree.mp3", "HHRNSM_-_Amrit_Droplets_-_0118_-_Development_of_character_is_the_intrical_part_of_our_Sadhana_-_IDesireTree.mp3")</f>
        <v>HHRNSM_-_Amrit_Droplets_-_0118_-_Development_of_character_is_the_intrical_part_of_our_Sadhana_-_IDesireTree.mp3</v>
      </c>
      <c r="D5561" s="11"/>
      <c r="E5561" s="11"/>
    </row>
    <row r="5562" spans="1:5">
      <c r="A5562" s="12" t="s">
        <v>12567</v>
      </c>
      <c r="B5562" s="12" t="s">
        <v>12683</v>
      </c>
      <c r="C5562" s="13" t="str">
        <f>HYPERLINK("https://audio.iskcondesiretree.com/02_-_ISKCON_Swamis/ISKCON_Swamis_-_R_to_Y/His_Holiness_Radhanath_Swami/Lectures/05_-_Amrit_Droplets/HHRNSM_-_Amrit_Droplets_-_0119_-_Devotional_Service_is_like_a_double_edged_sword_-_IDesireTree.mp3", "HHRNSM_-_Amrit_Droplets_-_0119_-_Devotional_Service_is_like_a_double_edged_sword_-_IDesireTree.mp3")</f>
        <v>HHRNSM_-_Amrit_Droplets_-_0119_-_Devotional_Service_is_like_a_double_edged_sword_-_IDesireTree.mp3</v>
      </c>
      <c r="D5562" s="11"/>
      <c r="E5562" s="11"/>
    </row>
    <row r="5563" spans="1:5">
      <c r="A5563" s="12" t="s">
        <v>12567</v>
      </c>
      <c r="B5563" s="12" t="s">
        <v>12684</v>
      </c>
      <c r="C5563" s="13" t="str">
        <f>HYPERLINK("https://audio.iskcondesiretree.com/02_-_ISKCON_Swamis/ISKCON_Swamis_-_R_to_Y/His_Holiness_Radhanath_Swami/Lectures/05_-_Amrit_Droplets/HHRNSM_-_Amrit_Droplets_-_0120_-_Devotional_service_is_not_a_burdensome_activity_-_IDesireTree.mp3", "HHRNSM_-_Amrit_Droplets_-_0120_-_Devotional_service_is_not_a_burdensome_activity_-_IDesireTree.mp3")</f>
        <v>HHRNSM_-_Amrit_Droplets_-_0120_-_Devotional_service_is_not_a_burdensome_activity_-_IDesireTree.mp3</v>
      </c>
      <c r="D5563" s="11"/>
      <c r="E5563" s="11"/>
    </row>
    <row r="5564" spans="1:5">
      <c r="A5564" s="12" t="s">
        <v>12567</v>
      </c>
      <c r="B5564" s="12" t="s">
        <v>12685</v>
      </c>
      <c r="C5564" s="13" t="str">
        <f>HYPERLINK("https://audio.iskcondesiretree.com/02_-_ISKCON_Swamis/ISKCON_Swamis_-_R_to_Y/His_Holiness_Radhanath_Swami/Lectures/05_-_Amrit_Droplets/HHRNSM_-_Amrit_Droplets_-_0122_-_Don%27t_jump_directly_on_tenth_canto_of_Srimad_Bhagavatam_-_IDesireTree.mp3", "HHRNSM_-_Amrit_Droplets_-_0122_-_Don%27t_jump_directly_on_tenth_canto_of_Srimad_Bhagavatam_-_IDesireTree.mp3")</f>
        <v>HHRNSM_-_Amrit_Droplets_-_0122_-_Don%27t_jump_directly_on_tenth_canto_of_Srimad_Bhagavatam_-_IDesireTree.mp3</v>
      </c>
      <c r="D5564" s="11"/>
      <c r="E5564" s="11"/>
    </row>
    <row r="5565" spans="1:5">
      <c r="A5565" s="12" t="s">
        <v>12567</v>
      </c>
      <c r="B5565" s="12" t="s">
        <v>12686</v>
      </c>
      <c r="C5565" s="13" t="str">
        <f>HYPERLINK("https://audio.iskcondesiretree.com/02_-_ISKCON_Swamis/ISKCON_Swamis_-_R_to_Y/His_Holiness_Radhanath_Swami/Lectures/05_-_Amrit_Droplets/HHRNSM_-_Amrit_Droplets_-_0123_-_Don%27t_make_False_Ego_as_your_worshippable_deity_-_IDesireTree.mp3", "HHRNSM_-_Amrit_Droplets_-_0123_-_Don%27t_make_False_Ego_as_your_worshippable_deity_-_IDesireTree.mp3")</f>
        <v>HHRNSM_-_Amrit_Droplets_-_0123_-_Don%27t_make_False_Ego_as_your_worshippable_deity_-_IDesireTree.mp3</v>
      </c>
      <c r="D5565" s="11"/>
      <c r="E5565" s="11"/>
    </row>
    <row r="5566" spans="1:5">
      <c r="A5566" s="12" t="s">
        <v>12567</v>
      </c>
      <c r="B5566" s="12" t="s">
        <v>12687</v>
      </c>
      <c r="C5566" s="13" t="str">
        <f>HYPERLINK("https://audio.iskcondesiretree.com/02_-_ISKCON_Swamis/ISKCON_Swamis_-_R_to_Y/His_Holiness_Radhanath_Swami/Lectures/05_-_Amrit_Droplets/HHRNSM_-_Amrit_Droplets_-_0124_-_Hearing_the_holy_name_while_chanting_is_very_important_-_IDesireTree.mp3", "HHRNSM_-_Amrit_Droplets_-_0124_-_Hearing_the_holy_name_while_chanting_is_very_important_-_IDesireTree.mp3")</f>
        <v>HHRNSM_-_Amrit_Droplets_-_0124_-_Hearing_the_holy_name_while_chanting_is_very_important_-_IDesireTree.mp3</v>
      </c>
      <c r="D5566" s="11"/>
      <c r="E5566" s="11"/>
    </row>
    <row r="5567" spans="1:5">
      <c r="A5567" s="12" t="s">
        <v>12567</v>
      </c>
      <c r="B5567" s="12" t="s">
        <v>12688</v>
      </c>
      <c r="C5567" s="13" t="str">
        <f>HYPERLINK("https://audio.iskcondesiretree.com/02_-_ISKCON_Swamis/ISKCON_Swamis_-_R_to_Y/His_Holiness_Radhanath_Swami/Lectures/05_-_Amrit_Droplets/HHRNSM_-_Amrit_Droplets_-_0125_-_Greatness_of_Prahalad_maharaj_-_IDesireTree.mp3", "HHRNSM_-_Amrit_Droplets_-_0125_-_Greatness_of_Prahalad_maharaj_-_IDesireTree.mp3")</f>
        <v>HHRNSM_-_Amrit_Droplets_-_0125_-_Greatness_of_Prahalad_maharaj_-_IDesireTree.mp3</v>
      </c>
      <c r="D5567" s="11"/>
      <c r="E5567" s="11"/>
    </row>
    <row r="5568" spans="1:5">
      <c r="A5568" s="12" t="s">
        <v>12567</v>
      </c>
      <c r="B5568" s="12" t="s">
        <v>12689</v>
      </c>
      <c r="C5568" s="13" t="str">
        <f>HYPERLINK("https://audio.iskcondesiretree.com/02_-_ISKCON_Swamis/ISKCON_Swamis_-_R_to_Y/His_Holiness_Radhanath_Swami/Lectures/05_-_Amrit_Droplets/HHRNSM_-_Amrit_Droplets_-_0126_-_Give_your_credits_to_other_devotees_-_IDesireTree.mp3", "HHRNSM_-_Amrit_Droplets_-_0126_-_Give_your_credits_to_other_devotees_-_IDesireTree.mp3")</f>
        <v>HHRNSM_-_Amrit_Droplets_-_0126_-_Give_your_credits_to_other_devotees_-_IDesireTree.mp3</v>
      </c>
      <c r="D5568" s="11"/>
      <c r="E5568" s="11"/>
    </row>
    <row r="5569" spans="1:5">
      <c r="A5569" s="12" t="s">
        <v>12567</v>
      </c>
      <c r="B5569" s="12" t="s">
        <v>12690</v>
      </c>
      <c r="C5569" s="13" t="str">
        <f>HYPERLINK("https://audio.iskcondesiretree.com/02_-_ISKCON_Swamis/ISKCON_Swamis_-_R_to_Y/His_Holiness_Radhanath_Swami/Lectures/05_-_Amrit_Droplets/HHRNSM_-_Amrit_Droplets_-_0127_-_Greatness_of_Haridas_Thakur_-_IDesireTree.mp3", "HHRNSM_-_Amrit_Droplets_-_0127_-_Greatness_of_Haridas_Thakur_-_IDesireTree.mp3")</f>
        <v>HHRNSM_-_Amrit_Droplets_-_0127_-_Greatness_of_Haridas_Thakur_-_IDesireTree.mp3</v>
      </c>
      <c r="D5569" s="11"/>
      <c r="E5569" s="11"/>
    </row>
    <row r="5570" spans="1:5">
      <c r="A5570" s="12" t="s">
        <v>12567</v>
      </c>
      <c r="B5570" s="12" t="s">
        <v>12691</v>
      </c>
      <c r="C5570" s="13" t="str">
        <f>HYPERLINK("https://audio.iskcondesiretree.com/02_-_ISKCON_Swamis/ISKCON_Swamis_-_R_to_Y/His_Holiness_Radhanath_Swami/Lectures/05_-_Amrit_Droplets/HHRNSM_-_Amrit_Droplets_-_0128_-_Even_little_sense_gratification_takes_away_our_determination_-_IDesireTree.mp3", "HHRNSM_-_Amrit_Droplets_-_0128_-_Even_little_sense_gratification_takes_away_our_determination_-_IDesireTree.mp3")</f>
        <v>HHRNSM_-_Amrit_Droplets_-_0128_-_Even_little_sense_gratification_takes_away_our_determination_-_IDesireTree.mp3</v>
      </c>
      <c r="D5570" s="11"/>
      <c r="E5570" s="11"/>
    </row>
    <row r="5571" spans="1:5">
      <c r="A5571" s="12" t="s">
        <v>12567</v>
      </c>
      <c r="B5571" s="12" t="s">
        <v>12692</v>
      </c>
      <c r="C5571" s="13" t="str">
        <f>HYPERLINK("https://audio.iskcondesiretree.com/02_-_ISKCON_Swamis/ISKCON_Swamis_-_R_to_Y/His_Holiness_Radhanath_Swami/Lectures/05_-_Amrit_Droplets/HHRNSM_-_Amrit_Droplets_-_0131_-_How_to_come_out_from_False_Pride_-_IDesireTree.mp3", "HHRNSM_-_Amrit_Droplets_-_0131_-_How_to_come_out_from_False_Pride_-_IDesireTree.mp3")</f>
        <v>HHRNSM_-_Amrit_Droplets_-_0131_-_How_to_come_out_from_False_Pride_-_IDesireTree.mp3</v>
      </c>
      <c r="D5571" s="11"/>
      <c r="E5571" s="11"/>
    </row>
    <row r="5572" spans="1:5">
      <c r="A5572" s="12" t="s">
        <v>12567</v>
      </c>
      <c r="B5572" s="12" t="s">
        <v>12693</v>
      </c>
      <c r="C5572" s="13" t="str">
        <f>HYPERLINK("https://audio.iskcondesiretree.com/02_-_ISKCON_Swamis/ISKCON_Swamis_-_R_to_Y/His_Holiness_Radhanath_Swami/Lectures/05_-_Amrit_Droplets/HHRNSM_-_Amrit_Droplets_-_0132_-_How_to_enjoy_a_devotional_activity_-_IDesireTree.mp3", "HHRNSM_-_Amrit_Droplets_-_0132_-_How_to_enjoy_a_devotional_activity_-_IDesireTree.mp3")</f>
        <v>HHRNSM_-_Amrit_Droplets_-_0132_-_How_to_enjoy_a_devotional_activity_-_IDesireTree.mp3</v>
      </c>
      <c r="D5572" s="11"/>
      <c r="E5572" s="11"/>
    </row>
    <row r="5573" spans="1:5">
      <c r="A5573" s="12" t="s">
        <v>12567</v>
      </c>
      <c r="B5573" s="12" t="s">
        <v>12694</v>
      </c>
      <c r="C5573" s="13" t="str">
        <f>HYPERLINK("https://audio.iskcondesiretree.com/02_-_ISKCON_Swamis/ISKCON_Swamis_-_R_to_Y/His_Holiness_Radhanath_Swami/Lectures/05_-_Amrit_Droplets/HHRNSM_-_Amrit_Droplets_-_0133_-_How_to_maintain_harmonious_association_with_other_devotees_-_IDesireTree.mp3", "HHRNSM_-_Amrit_Droplets_-_0133_-_How_to_maintain_harmonious_association_with_other_devotees_-_IDesireTree.mp3")</f>
        <v>HHRNSM_-_Amrit_Droplets_-_0133_-_How_to_maintain_harmonious_association_with_other_devotees_-_IDesireTree.mp3</v>
      </c>
      <c r="D5573" s="11"/>
      <c r="E5573" s="11"/>
    </row>
    <row r="5574" spans="1:5">
      <c r="A5574" s="12" t="s">
        <v>12567</v>
      </c>
      <c r="B5574" s="12" t="s">
        <v>12695</v>
      </c>
      <c r="C5574" s="13" t="str">
        <f>HYPERLINK("https://audio.iskcondesiretree.com/02_-_ISKCON_Swamis/ISKCON_Swamis_-_R_to_Y/His_Holiness_Radhanath_Swami/Lectures/05_-_Amrit_Droplets/HHRNSM_-_Amrit_Droplets_-_0134_-_How_to_take_darshan_of_deities_in_the_temple_-_IDesireTree.mp3", "HHRNSM_-_Amrit_Droplets_-_0134_-_How_to_take_darshan_of_deities_in_the_temple_-_IDesireTree.mp3")</f>
        <v>HHRNSM_-_Amrit_Droplets_-_0134_-_How_to_take_darshan_of_deities_in_the_temple_-_IDesireTree.mp3</v>
      </c>
      <c r="D5574" s="11"/>
      <c r="E5574" s="11"/>
    </row>
    <row r="5575" spans="1:5">
      <c r="A5575" s="12" t="s">
        <v>12567</v>
      </c>
      <c r="B5575" s="12" t="s">
        <v>12696</v>
      </c>
      <c r="C5575" s="13" t="str">
        <f>HYPERLINK("https://audio.iskcondesiretree.com/02_-_ISKCON_Swamis/ISKCON_Swamis_-_R_to_Y/His_Holiness_Radhanath_Swami/Lectures/05_-_Amrit_Droplets/HHRNSM_-_Amrit_Droplets_-_0136_-_It_is_our_choice_whether_to_see_Krishna_as_Shyamsunder_or_as_Death_-_IDesireTree.mp3", "HHRNSM_-_Amrit_Droplets_-_0136_-_It_is_our_choice_whether_to_see_Krishna_as_Shyamsunder_or_as_Death_-_IDesireTree.mp3")</f>
        <v>HHRNSM_-_Amrit_Droplets_-_0136_-_It_is_our_choice_whether_to_see_Krishna_as_Shyamsunder_or_as_Death_-_IDesireTree.mp3</v>
      </c>
      <c r="D5575" s="11"/>
      <c r="E5575" s="11"/>
    </row>
    <row r="5576" spans="1:5">
      <c r="A5576" s="12" t="s">
        <v>12567</v>
      </c>
      <c r="B5576" s="12" t="s">
        <v>12697</v>
      </c>
      <c r="C5576" s="13" t="str">
        <f>HYPERLINK("https://audio.iskcondesiretree.com/02_-_ISKCON_Swamis/ISKCON_Swamis_-_R_to_Y/His_Holiness_Radhanath_Swami/Lectures/05_-_Amrit_Droplets/HHRNSM_-_Amrit_Droplets_-_0140_-_Living_in_such_a_way_that_people_trust_us_-_IDesireTree.mp3", "HHRNSM_-_Amrit_Droplets_-_0140_-_Living_in_such_a_way_that_people_trust_us_-_IDesireTree.mp3")</f>
        <v>HHRNSM_-_Amrit_Droplets_-_0140_-_Living_in_such_a_way_that_people_trust_us_-_IDesireTree.mp3</v>
      </c>
      <c r="D5576" s="11"/>
      <c r="E5576" s="11"/>
    </row>
    <row r="5577" spans="1:5">
      <c r="A5577" s="12" t="s">
        <v>12567</v>
      </c>
      <c r="B5577" s="12" t="s">
        <v>12698</v>
      </c>
      <c r="C5577" s="13" t="str">
        <f>HYPERLINK("https://audio.iskcondesiretree.com/02_-_ISKCON_Swamis/ISKCON_Swamis_-_R_to_Y/His_Holiness_Radhanath_Swami/Lectures/05_-_Amrit_Droplets/HHRNSM_-_Amrit_Droplets_-_0141_-_Love_among_devotees_is_actually_Krishna%27s_love_-_IDesireTree.mp3", "HHRNSM_-_Amrit_Droplets_-_0141_-_Love_among_devotees_is_actually_Krishna%27s_love_-_IDesireTree.mp3")</f>
        <v>HHRNSM_-_Amrit_Droplets_-_0141_-_Love_among_devotees_is_actually_Krishna%27s_love_-_IDesireTree.mp3</v>
      </c>
      <c r="D5577" s="11"/>
      <c r="E5577" s="11"/>
    </row>
    <row r="5578" spans="1:5">
      <c r="A5578" s="12" t="s">
        <v>12567</v>
      </c>
      <c r="B5578" s="12" t="s">
        <v>12699</v>
      </c>
      <c r="C5578" s="13" t="str">
        <f>HYPERLINK("https://audio.iskcondesiretree.com/02_-_ISKCON_Swamis/ISKCON_Swamis_-_R_to_Y/His_Holiness_Radhanath_Swami/Lectures/05_-_Amrit_Droplets/HHRNSM_-_Amrit_Droplets_-_0142_-_Making_spiritual_progress_is_like_fighting_a_battle_against_maya-_IDesireTree.mp3", "HHRNSM_-_Amrit_Droplets_-_0142_-_Making_spiritual_progress_is_like_fighting_a_battle_against_maya-_IDesireTree.mp3")</f>
        <v>HHRNSM_-_Amrit_Droplets_-_0142_-_Making_spiritual_progress_is_like_fighting_a_battle_against_maya-_IDesireTree.mp3</v>
      </c>
      <c r="D5578" s="11"/>
      <c r="E5578" s="11"/>
    </row>
    <row r="5579" spans="1:5">
      <c r="A5579" s="12" t="s">
        <v>12567</v>
      </c>
      <c r="B5579" s="12" t="s">
        <v>12700</v>
      </c>
      <c r="C5579" s="13" t="str">
        <f>HYPERLINK("https://audio.iskcondesiretree.com/02_-_ISKCON_Swamis/ISKCON_Swamis_-_R_to_Y/His_Holiness_Radhanath_Swami/Lectures/05_-_Amrit_Droplets/HHRNSM_-_Amrit_Droplets_-_0143_-_Maya%27s_strategy_against_us_-_IDesireTree.mp3", "HHRNSM_-_Amrit_Droplets_-_0143_-_Maya%27s_strategy_against_us_-_IDesireTree.mp3")</f>
        <v>HHRNSM_-_Amrit_Droplets_-_0143_-_Maya%27s_strategy_against_us_-_IDesireTree.mp3</v>
      </c>
      <c r="D5579" s="11"/>
      <c r="E5579" s="11"/>
    </row>
    <row r="5580" spans="1:5">
      <c r="A5580" s="12" t="s">
        <v>12567</v>
      </c>
      <c r="B5580" s="12" t="s">
        <v>12701</v>
      </c>
      <c r="C5580" s="13" t="str">
        <f>HYPERLINK("https://audio.iskcondesiretree.com/02_-_ISKCON_Swamis/ISKCON_Swamis_-_R_to_Y/His_Holiness_Radhanath_Swami/Lectures/05_-_Amrit_Droplets/HHRNSM_-_Amrit_Droplets_-_0144_-_Meaning_of_taking_Shelter_-_IDesireTree.mp3", "HHRNSM_-_Amrit_Droplets_-_0144_-_Meaning_of_taking_Shelter_-_IDesireTree.mp3")</f>
        <v>HHRNSM_-_Amrit_Droplets_-_0144_-_Meaning_of_taking_Shelter_-_IDesireTree.mp3</v>
      </c>
      <c r="D5580" s="11"/>
      <c r="E5580" s="11"/>
    </row>
    <row r="5581" spans="1:5">
      <c r="A5581" s="12" t="s">
        <v>12567</v>
      </c>
      <c r="B5581" s="12" t="s">
        <v>12702</v>
      </c>
      <c r="C5581" s="13" t="str">
        <f>HYPERLINK("https://audio.iskcondesiretree.com/02_-_ISKCON_Swamis/ISKCON_Swamis_-_R_to_Y/His_Holiness_Radhanath_Swami/Lectures/05_-_Amrit_Droplets/HHRNSM_-_Amrit_Droplets_-_0145_-_Money_must_be_used_in_harmony_with_the_will_of_God_-_IDesireTree.mp3", "HHRNSM_-_Amrit_Droplets_-_0145_-_Money_must_be_used_in_harmony_with_the_will_of_God_-_IDesireTree.mp3")</f>
        <v>HHRNSM_-_Amrit_Droplets_-_0145_-_Money_must_be_used_in_harmony_with_the_will_of_God_-_IDesireTree.mp3</v>
      </c>
      <c r="D5581" s="11"/>
      <c r="E5581" s="11"/>
    </row>
    <row r="5582" spans="1:5">
      <c r="A5582" s="12" t="s">
        <v>12567</v>
      </c>
      <c r="B5582" s="12" t="s">
        <v>12703</v>
      </c>
      <c r="C5582" s="13" t="str">
        <f>HYPERLINK("https://audio.iskcondesiretree.com/02_-_ISKCON_Swamis/ISKCON_Swamis_-_R_to_Y/His_Holiness_Radhanath_Swami/Lectures/05_-_Amrit_Droplets/HHRNSM_-_Amrit_Droplets_-_0146_-_Moral_activities_alone_will_not_make_us_humble_-_IDesireTree.mp3", "HHRNSM_-_Amrit_Droplets_-_0146_-_Moral_activities_alone_will_not_make_us_humble_-_IDesireTree.mp3")</f>
        <v>HHRNSM_-_Amrit_Droplets_-_0146_-_Moral_activities_alone_will_not_make_us_humble_-_IDesireTree.mp3</v>
      </c>
      <c r="D5582" s="11"/>
      <c r="E5582" s="11"/>
    </row>
    <row r="5583" spans="1:5">
      <c r="A5583" s="12" t="s">
        <v>12567</v>
      </c>
      <c r="B5583" s="12" t="s">
        <v>12704</v>
      </c>
      <c r="C5583" s="13" t="str">
        <f>HYPERLINK("https://audio.iskcondesiretree.com/02_-_ISKCON_Swamis/ISKCON_Swamis_-_R_to_Y/His_Holiness_Radhanath_Swami/Lectures/05_-_Amrit_Droplets/HHRNSM_-_Amrit_Droplets_-_0147_-_No_rules_in_chanting_Hare_Krishna_-_IDesireTree.mp3", "HHRNSM_-_Amrit_Droplets_-_0147_-_No_rules_in_chanting_Hare_Krishna_-_IDesireTree.mp3")</f>
        <v>HHRNSM_-_Amrit_Droplets_-_0147_-_No_rules_in_chanting_Hare_Krishna_-_IDesireTree.mp3</v>
      </c>
      <c r="D5583" s="11"/>
      <c r="E5583" s="11"/>
    </row>
    <row r="5584" spans="1:5">
      <c r="A5584" s="12" t="s">
        <v>12567</v>
      </c>
      <c r="B5584" s="12" t="s">
        <v>12705</v>
      </c>
      <c r="C5584" s="13" t="str">
        <f>HYPERLINK("https://audio.iskcondesiretree.com/02_-_ISKCON_Swamis/ISKCON_Swamis_-_R_to_Y/His_Holiness_Radhanath_Swami/Lectures/05_-_Amrit_Droplets/HHRNSM_-_Amrit_Droplets_-_0149_-_One_common_defect_in_Kamsa_%26_in_Hiranyakashipu_-_IDesireTree.mp3", "HHRNSM_-_Amrit_Droplets_-_0149_-_One_common_defect_in_Kamsa_%26_in_Hiranyakashipu_-_IDesireTree.mp3")</f>
        <v>HHRNSM_-_Amrit_Droplets_-_0149_-_One_common_defect_in_Kamsa_%26_in_Hiranyakashipu_-_IDesireTree.mp3</v>
      </c>
      <c r="D5584" s="11"/>
      <c r="E5584" s="11"/>
    </row>
    <row r="5585" spans="1:5">
      <c r="A5585" s="12" t="s">
        <v>12567</v>
      </c>
      <c r="B5585" s="12" t="s">
        <v>12706</v>
      </c>
      <c r="C5585" s="13" t="str">
        <f>HYPERLINK("https://audio.iskcondesiretree.com/02_-_ISKCON_Swamis/ISKCON_Swamis_-_R_to_Y/His_Holiness_Radhanath_Swami/Lectures/05_-_Amrit_Droplets/HHRNSM_-_Amrit_Droplets_-_0150_-_Our_intention_behind_asking_a_question_-_IDesireTree.mp3", "HHRNSM_-_Amrit_Droplets_-_0150_-_Our_intention_behind_asking_a_question_-_IDesireTree.mp3")</f>
        <v>HHRNSM_-_Amrit_Droplets_-_0150_-_Our_intention_behind_asking_a_question_-_IDesireTree.mp3</v>
      </c>
      <c r="D5585" s="11"/>
      <c r="E5585" s="11"/>
    </row>
    <row r="5586" spans="1:5">
      <c r="A5586" s="12" t="s">
        <v>12567</v>
      </c>
      <c r="B5586" s="12" t="s">
        <v>12707</v>
      </c>
      <c r="C5586" s="13" t="str">
        <f>HYPERLINK("https://audio.iskcondesiretree.com/02_-_ISKCON_Swamis/ISKCON_Swamis_-_R_to_Y/His_Holiness_Radhanath_Swami/Lectures/05_-_Amrit_Droplets/HHRNSM_-_Amrit_Droplets_-_0151_-_Our_loving_cheaters_are_cheating_us_-_IDesireTree.mp3", "HHRNSM_-_Amrit_Droplets_-_0151_-_Our_loving_cheaters_are_cheating_us_-_IDesireTree.mp3")</f>
        <v>HHRNSM_-_Amrit_Droplets_-_0151_-_Our_loving_cheaters_are_cheating_us_-_IDesireTree.mp3</v>
      </c>
      <c r="D5586" s="11"/>
      <c r="E5586" s="11"/>
    </row>
    <row r="5587" spans="1:5">
      <c r="A5587" s="12" t="s">
        <v>12567</v>
      </c>
      <c r="B5587" s="12" t="s">
        <v>12708</v>
      </c>
      <c r="C5587" s="13" t="str">
        <f>HYPERLINK("https://audio.iskcondesiretree.com/02_-_ISKCON_Swamis/ISKCON_Swamis_-_R_to_Y/His_Holiness_Radhanath_Swami/Lectures/05_-_Amrit_Droplets/HHRNSM_-_Amrit_Droplets_-_0152_-_Oversleeping_Overeating_causes_spiritual_lethargy_-_IDesireTree.mp3", "HHRNSM_-_Amrit_Droplets_-_0152_-_Oversleeping_Overeating_causes_spiritual_lethargy_-_IDesireTree.mp3")</f>
        <v>HHRNSM_-_Amrit_Droplets_-_0152_-_Oversleeping_Overeating_causes_spiritual_lethargy_-_IDesireTree.mp3</v>
      </c>
      <c r="D5587" s="11"/>
      <c r="E5587" s="11"/>
    </row>
    <row r="5588" spans="1:5">
      <c r="A5588" s="12" t="s">
        <v>12567</v>
      </c>
      <c r="B5588" s="12" t="s">
        <v>12709</v>
      </c>
      <c r="C5588" s="13" t="str">
        <f>HYPERLINK("https://audio.iskcondesiretree.com/02_-_ISKCON_Swamis/ISKCON_Swamis_-_R_to_Y/His_Holiness_Radhanath_Swami/Lectures/05_-_Amrit_Droplets/HHRNSM_-_Amrit_Droplets_-_0153_-_Path_of_Bhakti_is_to_seek_pleasure_in_pleasing_Krishna_-_IDesireTree.mp3", "HHRNSM_-_Amrit_Droplets_-_0153_-_Path_of_Bhakti_is_to_seek_pleasure_in_pleasing_Krishna_-_IDesireTree.mp3")</f>
        <v>HHRNSM_-_Amrit_Droplets_-_0153_-_Path_of_Bhakti_is_to_seek_pleasure_in_pleasing_Krishna_-_IDesireTree.mp3</v>
      </c>
      <c r="D5588" s="11"/>
      <c r="E5588" s="11"/>
    </row>
    <row r="5589" spans="1:5">
      <c r="A5589" s="12" t="s">
        <v>12567</v>
      </c>
      <c r="B5589" s="12" t="s">
        <v>12710</v>
      </c>
      <c r="C5589" s="13" t="str">
        <f>HYPERLINK("https://audio.iskcondesiretree.com/02_-_ISKCON_Swamis/ISKCON_Swamis_-_R_to_Y/His_Holiness_Radhanath_Swami/Lectures/05_-_Amrit_Droplets/HHRNSM_-_Amrit_Droplets_-_0154_-_Peace_Formula_-_IDesireTree.mp3", "HHRNSM_-_Amrit_Droplets_-_0154_-_Peace_Formula_-_IDesireTree.mp3")</f>
        <v>HHRNSM_-_Amrit_Droplets_-_0154_-_Peace_Formula_-_IDesireTree.mp3</v>
      </c>
      <c r="D5589" s="11"/>
      <c r="E5589" s="11"/>
    </row>
    <row r="5590" spans="1:5">
      <c r="A5590" s="12" t="s">
        <v>12567</v>
      </c>
      <c r="B5590" s="12" t="s">
        <v>12711</v>
      </c>
      <c r="C5590" s="13" t="str">
        <f>HYPERLINK("https://audio.iskcondesiretree.com/02_-_ISKCON_Swamis/ISKCON_Swamis_-_R_to_Y/His_Holiness_Radhanath_Swami/Lectures/05_-_Amrit_Droplets/HHRNSM_-_Amrit_Droplets_-_0155_-_Philosophy_contained_in_a_fascinating_factual_story_is_liked_by_all_-_IDesireTree.mp3", "HHRNSM_-_Amrit_Droplets_-_0155_-_Philosophy_contained_in_a_fascinating_factual_story_is_liked_by_all_-_IDesireTree.mp3")</f>
        <v>HHRNSM_-_Amrit_Droplets_-_0155_-_Philosophy_contained_in_a_fascinating_factual_story_is_liked_by_all_-_IDesireTree.mp3</v>
      </c>
      <c r="D5590" s="11"/>
      <c r="E5590" s="11"/>
    </row>
    <row r="5591" spans="1:5">
      <c r="A5591" s="12" t="s">
        <v>12567</v>
      </c>
      <c r="B5591" s="12" t="s">
        <v>12712</v>
      </c>
      <c r="C5591" s="13" t="str">
        <f>HYPERLINK("https://audio.iskcondesiretree.com/02_-_ISKCON_Swamis/ISKCON_Swamis_-_R_to_Y/His_Holiness_Radhanath_Swami/Lectures/05_-_Amrit_Droplets/HHRNSM_-_Amrit_Droplets_-_0156_-_Please_repeat_after_me_this_important_statement_-_IDesireTree.mp3", "HHRNSM_-_Amrit_Droplets_-_0156_-_Please_repeat_after_me_this_important_statement_-_IDesireTree.mp3")</f>
        <v>HHRNSM_-_Amrit_Droplets_-_0156_-_Please_repeat_after_me_this_important_statement_-_IDesireTree.mp3</v>
      </c>
      <c r="D5591" s="11"/>
      <c r="E5591" s="11"/>
    </row>
    <row r="5592" spans="1:5">
      <c r="A5592" s="12" t="s">
        <v>12567</v>
      </c>
      <c r="B5592" s="12" t="s">
        <v>12713</v>
      </c>
      <c r="C5592" s="13" t="str">
        <f>HYPERLINK("https://audio.iskcondesiretree.com/02_-_ISKCON_Swamis/ISKCON_Swamis_-_R_to_Y/His_Holiness_Radhanath_Swami/Lectures/05_-_Amrit_Droplets/HHRNSM_-_Amrit_Droplets_-_0157_-_Prabhupad_had_faith_in_his_spiritual_master_%26_the_holy_name_-_IDesireTree.mp3", "HHRNSM_-_Amrit_Droplets_-_0157_-_Prabhupad_had_faith_in_his_spiritual_master_%26_the_holy_name_-_IDesireTree.mp3")</f>
        <v>HHRNSM_-_Amrit_Droplets_-_0157_-_Prabhupad_had_faith_in_his_spiritual_master_%26_the_holy_name_-_IDesireTree.mp3</v>
      </c>
      <c r="D5592" s="11"/>
      <c r="E5592" s="11"/>
    </row>
    <row r="5593" spans="1:5">
      <c r="A5593" s="12" t="s">
        <v>12567</v>
      </c>
      <c r="B5593" s="12" t="s">
        <v>12714</v>
      </c>
      <c r="C5593" s="13" t="str">
        <f>HYPERLINK("https://audio.iskcondesiretree.com/02_-_ISKCON_Swamis/ISKCON_Swamis_-_R_to_Y/His_Holiness_Radhanath_Swami/Lectures/05_-_Amrit_Droplets/HHRNSM_-_Amrit_Droplets_-_0158_-_Practical_test_to_know_whether_we_are_neophytes_-_IDesireTree.mp3", "HHRNSM_-_Amrit_Droplets_-_0158_-_Practical_test_to_know_whether_we_are_neophytes_-_IDesireTree.mp3")</f>
        <v>HHRNSM_-_Amrit_Droplets_-_0158_-_Practical_test_to_know_whether_we_are_neophytes_-_IDesireTree.mp3</v>
      </c>
      <c r="D5593" s="11"/>
      <c r="E5593" s="11"/>
    </row>
    <row r="5594" spans="1:5">
      <c r="A5594" s="12" t="s">
        <v>12567</v>
      </c>
      <c r="B5594" s="12" t="s">
        <v>12715</v>
      </c>
      <c r="C5594" s="13" t="str">
        <f>HYPERLINK("https://audio.iskcondesiretree.com/02_-_ISKCON_Swamis/ISKCON_Swamis_-_R_to_Y/His_Holiness_Radhanath_Swami/Lectures/05_-_Amrit_Droplets/HHRNSM_-_Amrit_Droplets_-_0159_-_Principle_of_Gundicha_Marjanam_-_IDesireTree.mp3", "HHRNSM_-_Amrit_Droplets_-_0159_-_Principle_of_Gundicha_Marjanam_-_IDesireTree.mp3")</f>
        <v>HHRNSM_-_Amrit_Droplets_-_0159_-_Principle_of_Gundicha_Marjanam_-_IDesireTree.mp3</v>
      </c>
      <c r="D5594" s="11"/>
      <c r="E5594" s="11"/>
    </row>
    <row r="5595" spans="1:5">
      <c r="A5595" s="12" t="s">
        <v>12567</v>
      </c>
      <c r="B5595" s="12" t="s">
        <v>12716</v>
      </c>
      <c r="C5595" s="13" t="str">
        <f>HYPERLINK("https://audio.iskcondesiretree.com/02_-_ISKCON_Swamis/ISKCON_Swamis_-_R_to_Y/His_Holiness_Radhanath_Swami/Lectures/05_-_Amrit_Droplets/HHRNSM_-_Amrit_Droplets_-_0160_-_Provoking_situations_give_us_opportunity_to_become_great_-_IDesireTree.mp3", "HHRNSM_-_Amrit_Droplets_-_0160_-_Provoking_situations_give_us_opportunity_to_become_great_-_IDesireTree.mp3")</f>
        <v>HHRNSM_-_Amrit_Droplets_-_0160_-_Provoking_situations_give_us_opportunity_to_become_great_-_IDesireTree.mp3</v>
      </c>
      <c r="D5595" s="11"/>
      <c r="E5595" s="11"/>
    </row>
    <row r="5596" spans="1:5">
      <c r="A5596" s="12" t="s">
        <v>12567</v>
      </c>
      <c r="B5596" s="12" t="s">
        <v>12717</v>
      </c>
      <c r="C5596" s="13" t="str">
        <f>HYPERLINK("https://audio.iskcondesiretree.com/02_-_ISKCON_Swamis/ISKCON_Swamis_-_R_to_Y/His_Holiness_Radhanath_Swami/Lectures/05_-_Amrit_Droplets/HHRNSM_-_Amrit_Droplets_-_0162_-_Realization%2C_not_intellectualization_is_impressive_to_a_sadhu_-_IDesireTree.mp3", "HHRNSM_-_Amrit_Droplets_-_0162_-_Realization%2C_not_intellectualization_is_impressive_to_a_sadhu_-_IDesireTree.mp3")</f>
        <v>HHRNSM_-_Amrit_Droplets_-_0162_-_Realization%2C_not_intellectualization_is_impressive_to_a_sadhu_-_IDesireTree.mp3</v>
      </c>
      <c r="D5596" s="11"/>
      <c r="E5596" s="11"/>
    </row>
    <row r="5597" spans="1:5">
      <c r="A5597" s="12" t="s">
        <v>12567</v>
      </c>
      <c r="B5597" s="12" t="s">
        <v>12718</v>
      </c>
      <c r="C5597" s="13" t="str">
        <f>HYPERLINK("https://audio.iskcondesiretree.com/02_-_ISKCON_Swamis/ISKCON_Swamis_-_R_to_Y/His_Holiness_Radhanath_Swami/Lectures/05_-_Amrit_Droplets/HHRNSM_-_Amrit_Droplets_-_0163_-_Root_cause_of_all_disharmony_-_IDesireTree.mp3", "HHRNSM_-_Amrit_Droplets_-_0163_-_Root_cause_of_all_disharmony_-_IDesireTree.mp3")</f>
        <v>HHRNSM_-_Amrit_Droplets_-_0163_-_Root_cause_of_all_disharmony_-_IDesireTree.mp3</v>
      </c>
      <c r="D5597" s="11"/>
      <c r="E5597" s="11"/>
    </row>
    <row r="5598" spans="1:5">
      <c r="A5598" s="12" t="s">
        <v>12567</v>
      </c>
      <c r="B5598" s="12" t="s">
        <v>12719</v>
      </c>
      <c r="C5598" s="13" t="str">
        <f>HYPERLINK("https://audio.iskcondesiretree.com/02_-_ISKCON_Swamis/ISKCON_Swamis_-_R_to_Y/His_Holiness_Radhanath_Swami/Lectures/05_-_Amrit_Droplets/HHRNSM_-_Amrit_Droplets_-_0164_-_Sense_gratification_%26_Krsna_Consciousness_go_ill_together_-_IDesireTree.mp3", "HHRNSM_-_Amrit_Droplets_-_0164_-_Sense_gratification_%26_Krsna_Consciousness_go_ill_together_-_IDesireTree.mp3")</f>
        <v>HHRNSM_-_Amrit_Droplets_-_0164_-_Sense_gratification_%26_Krsna_Consciousness_go_ill_together_-_IDesireTree.mp3</v>
      </c>
      <c r="D5598" s="11"/>
      <c r="E5598" s="11"/>
    </row>
    <row r="5599" spans="1:5">
      <c r="A5599" s="12" t="s">
        <v>12567</v>
      </c>
      <c r="B5599" s="12" t="s">
        <v>12720</v>
      </c>
      <c r="C5599" s="13" t="str">
        <f>HYPERLINK("https://audio.iskcondesiretree.com/02_-_ISKCON_Swamis/ISKCON_Swamis_-_R_to_Y/His_Holiness_Radhanath_Swami/Lectures/05_-_Amrit_Droplets/HHRNSM_-_Amrit_Droplets_-_0165_-_Serpent_with_a_jewel_is_more_dangerous_than_a_normal_serpent_-_IDesireTree.mp3", "HHRNSM_-_Amrit_Droplets_-_0165_-_Serpent_with_a_jewel_is_more_dangerous_than_a_normal_serpent_-_IDesireTree.mp3")</f>
        <v>HHRNSM_-_Amrit_Droplets_-_0165_-_Serpent_with_a_jewel_is_more_dangerous_than_a_normal_serpent_-_IDesireTree.mp3</v>
      </c>
      <c r="D5599" s="11"/>
      <c r="E5599" s="11"/>
    </row>
    <row r="5600" spans="1:5">
      <c r="A5600" s="12" t="s">
        <v>12567</v>
      </c>
      <c r="B5600" s="12" t="s">
        <v>12721</v>
      </c>
      <c r="C5600" s="13" t="str">
        <f>HYPERLINK("https://audio.iskcondesiretree.com/02_-_ISKCON_Swamis/ISKCON_Swamis_-_R_to_Y/His_Holiness_Radhanath_Swami/Lectures/05_-_Amrit_Droplets/HHRNSM_-_Amrit_Droplets_-_0167_-_Simplicity_is_the_first_principle_of_spiritual_life_-_IDesireTree.mp3", "HHRNSM_-_Amrit_Droplets_-_0167_-_Simplicity_is_the_first_principle_of_spiritual_life_-_IDesireTree.mp3")</f>
        <v>HHRNSM_-_Amrit_Droplets_-_0167_-_Simplicity_is_the_first_principle_of_spiritual_life_-_IDesireTree.mp3</v>
      </c>
      <c r="D5600" s="11"/>
      <c r="E5600" s="11"/>
    </row>
    <row r="5601" spans="1:5">
      <c r="A5601" s="12" t="s">
        <v>12567</v>
      </c>
      <c r="B5601" s="12" t="s">
        <v>12722</v>
      </c>
      <c r="C5601" s="13" t="str">
        <f>HYPERLINK("https://audio.iskcondesiretree.com/02_-_ISKCON_Swamis/ISKCON_Swamis_-_R_to_Y/His_Holiness_Radhanath_Swami/Lectures/05_-_Amrit_Droplets/HHRNSM_-_Amrit_Droplets_-_0168_-_Srila_Prabhupad_defining_tolerance_-_IDesireTree.mp3", "HHRNSM_-_Amrit_Droplets_-_0168_-_Srila_Prabhupad_defining_tolerance_-_IDesireTree.mp3")</f>
        <v>HHRNSM_-_Amrit_Droplets_-_0168_-_Srila_Prabhupad_defining_tolerance_-_IDesireTree.mp3</v>
      </c>
      <c r="D5601" s="11"/>
      <c r="E5601" s="11"/>
    </row>
    <row r="5602" spans="1:5">
      <c r="A5602" s="12" t="s">
        <v>12567</v>
      </c>
      <c r="B5602" s="12" t="s">
        <v>12723</v>
      </c>
      <c r="C5602" s="13" t="str">
        <f>HYPERLINK("https://audio.iskcondesiretree.com/02_-_ISKCON_Swamis/ISKCON_Swamis_-_R_to_Y/His_Holiness_Radhanath_Swami/Lectures/05_-_Amrit_Droplets/HHRNSM_-_Amrit_Droplets_-_0170_-_Srimad_Bhagavatam_is_a_deity_of_Krishna_-_IDesireTree.mp3", "HHRNSM_-_Amrit_Droplets_-_0170_-_Srimad_Bhagavatam_is_a_deity_of_Krishna_-_IDesireTree.mp3")</f>
        <v>HHRNSM_-_Amrit_Droplets_-_0170_-_Srimad_Bhagavatam_is_a_deity_of_Krishna_-_IDesireTree.mp3</v>
      </c>
      <c r="D5602" s="11"/>
      <c r="E5602" s="11"/>
    </row>
    <row r="5603" spans="1:5">
      <c r="A5603" s="12" t="s">
        <v>12567</v>
      </c>
      <c r="B5603" s="12" t="s">
        <v>12724</v>
      </c>
      <c r="C5603" s="13" t="str">
        <f>HYPERLINK("https://audio.iskcondesiretree.com/02_-_ISKCON_Swamis/ISKCON_Swamis_-_R_to_Y/His_Holiness_Radhanath_Swami/Lectures/05_-_Amrit_Droplets/HHRNSM_-_Amrit_Droplets_-_0171_-_Systematic_understanding_of_Maya_-_IDesireTree.mp3", "HHRNSM_-_Amrit_Droplets_-_0171_-_Systematic_understanding_of_Maya_-_IDesireTree.mp3")</f>
        <v>HHRNSM_-_Amrit_Droplets_-_0171_-_Systematic_understanding_of_Maya_-_IDesireTree.mp3</v>
      </c>
      <c r="D5603" s="11"/>
      <c r="E5603" s="11"/>
    </row>
    <row r="5604" spans="1:5">
      <c r="A5604" s="12" t="s">
        <v>12567</v>
      </c>
      <c r="B5604" s="12" t="s">
        <v>12725</v>
      </c>
      <c r="C5604" s="13" t="str">
        <f>HYPERLINK("https://audio.iskcondesiretree.com/02_-_ISKCON_Swamis/ISKCON_Swamis_-_R_to_Y/His_Holiness_Radhanath_Swami/Lectures/05_-_Amrit_Droplets/HHRNSM_-_Amrit_Droplets_-_0173_-_Tolerate_the_provoking_situation_of_Lust_-_IDesireTree.mp3", "HHRNSM_-_Amrit_Droplets_-_0173_-_Tolerate_the_provoking_situation_of_Lust_-_IDesireTree.mp3")</f>
        <v>HHRNSM_-_Amrit_Droplets_-_0173_-_Tolerate_the_provoking_situation_of_Lust_-_IDesireTree.mp3</v>
      </c>
      <c r="D5604" s="11"/>
      <c r="E5604" s="11"/>
    </row>
    <row r="5605" spans="1:5">
      <c r="A5605" s="12" t="s">
        <v>12567</v>
      </c>
      <c r="B5605" s="12" t="s">
        <v>12726</v>
      </c>
      <c r="C5605" s="13" t="str">
        <f>HYPERLINK("https://audio.iskcondesiretree.com/02_-_ISKCON_Swamis/ISKCON_Swamis_-_R_to_Y/His_Holiness_Radhanath_Swami/Lectures/05_-_Amrit_Droplets/HHRNSM_-_Amrit_Droplets_-_0174_-_Tolerate_the_provoking_situations_of_marriage_-_IDesireTree.mp3", "HHRNSM_-_Amrit_Droplets_-_0174_-_Tolerate_the_provoking_situations_of_marriage_-_IDesireTree.mp3")</f>
        <v>HHRNSM_-_Amrit_Droplets_-_0174_-_Tolerate_the_provoking_situations_of_marriage_-_IDesireTree.mp3</v>
      </c>
      <c r="D5605" s="11"/>
      <c r="E5605" s="11"/>
    </row>
    <row r="5606" spans="1:5">
      <c r="A5606" s="12" t="s">
        <v>12567</v>
      </c>
      <c r="B5606" s="12" t="s">
        <v>12727</v>
      </c>
      <c r="C5606" s="13" t="str">
        <f>HYPERLINK("https://audio.iskcondesiretree.com/02_-_ISKCON_Swamis/ISKCON_Swamis_-_R_to_Y/His_Holiness_Radhanath_Swami/Lectures/05_-_Amrit_Droplets/HHRNSM_-_Amrit_Droplets_-_0175_-_Two_types_of_glorious_deaths_-_IDesireTree.mp3", "HHRNSM_-_Amrit_Droplets_-_0175_-_Two_types_of_glorious_deaths_-_IDesireTree.mp3")</f>
        <v>HHRNSM_-_Amrit_Droplets_-_0175_-_Two_types_of_glorious_deaths_-_IDesireTree.mp3</v>
      </c>
      <c r="D5606" s="11"/>
      <c r="E5606" s="11"/>
    </row>
    <row r="5607" spans="1:5">
      <c r="A5607" s="12" t="s">
        <v>12567</v>
      </c>
      <c r="B5607" s="12" t="s">
        <v>12728</v>
      </c>
      <c r="C5607" s="13" t="str">
        <f>HYPERLINK("https://audio.iskcondesiretree.com/02_-_ISKCON_Swamis/ISKCON_Swamis_-_R_to_Y/His_Holiness_Radhanath_Swami/Lectures/05_-_Amrit_Droplets/HHRNSM_-_Amrit_Droplets_-_0180_-_Q_n_A_-_What_is_a_most_popular_belief_in_West_-_IDesireTree.mp3", "HHRNSM_-_Amrit_Droplets_-_0180_-_Q_n_A_-_What_is_a_most_popular_belief_in_West_-_IDesireTree.mp3")</f>
        <v>HHRNSM_-_Amrit_Droplets_-_0180_-_Q_n_A_-_What_is_a_most_popular_belief_in_West_-_IDesireTree.mp3</v>
      </c>
      <c r="D5607" s="11"/>
      <c r="E5607" s="11"/>
    </row>
    <row r="5608" spans="1:5">
      <c r="A5608" s="12" t="s">
        <v>12567</v>
      </c>
      <c r="B5608" s="12" t="s">
        <v>12729</v>
      </c>
      <c r="C5608" s="13" t="str">
        <f>HYPERLINK("https://audio.iskcondesiretree.com/02_-_ISKCON_Swamis/ISKCON_Swamis_-_R_to_Y/His_Holiness_Radhanath_Swami/Lectures/05_-_Amrit_Droplets/HHRNSM_-_Amrit_Droplets_-_0182_-_Short_Stories_-_Durvasa_Muni_becoming_angry_on_Ambrish_maharaj_-_IDesireTree.mp3", "HHRNSM_-_Amrit_Droplets_-_0182_-_Short_Stories_-_Durvasa_Muni_becoming_angry_on_Ambrish_maharaj_-_IDesireTree.mp3")</f>
        <v>HHRNSM_-_Amrit_Droplets_-_0182_-_Short_Stories_-_Durvasa_Muni_becoming_angry_on_Ambrish_maharaj_-_IDesireTree.mp3</v>
      </c>
      <c r="D5608" s="11"/>
      <c r="E5608" s="11"/>
    </row>
    <row r="5609" spans="1:5">
      <c r="A5609" s="12" t="s">
        <v>12567</v>
      </c>
      <c r="B5609" s="12" t="s">
        <v>12730</v>
      </c>
      <c r="C5609" s="13" t="str">
        <f>HYPERLINK("https://audio.iskcondesiretree.com/02_-_ISKCON_Swamis/ISKCON_Swamis_-_R_to_Y/His_Holiness_Radhanath_Swami/Lectures/05_-_Amrit_Droplets/HHRNSM_-_Amrit_Droplets_-_0185_-_Short_Stories_-_Gopal_Guru_explaining_the_glory_of_Holy_Name_-_IDesireTree.mp3", "HHRNSM_-_Amrit_Droplets_-_0185_-_Short_Stories_-_Gopal_Guru_explaining_the_glory_of_Holy_Name_-_IDesireTree.mp3")</f>
        <v>HHRNSM_-_Amrit_Droplets_-_0185_-_Short_Stories_-_Gopal_Guru_explaining_the_glory_of_Holy_Name_-_IDesireTree.mp3</v>
      </c>
      <c r="D5609" s="11"/>
      <c r="E5609" s="11"/>
    </row>
    <row r="5610" spans="1:5">
      <c r="A5610" s="12" t="s">
        <v>12567</v>
      </c>
      <c r="B5610" s="12" t="s">
        <v>12731</v>
      </c>
      <c r="C5610" s="13" t="str">
        <f>HYPERLINK("https://audio.iskcondesiretree.com/02_-_ISKCON_Swamis/ISKCON_Swamis_-_R_to_Y/His_Holiness_Radhanath_Swami/Lectures/05_-_Amrit_Droplets/HHRNSM_-_Amrit_Droplets_-_0186_-_Short_Stories_-_Gopal_Chapal_trying_to_defame_Srivas_Thakur_-_IDesireTree.mp3", "HHRNSM_-_Amrit_Droplets_-_0186_-_Short_Stories_-_Gopal_Chapal_trying_to_defame_Srivas_Thakur_-_IDesireTree.mp3")</f>
        <v>HHRNSM_-_Amrit_Droplets_-_0186_-_Short_Stories_-_Gopal_Chapal_trying_to_defame_Srivas_Thakur_-_IDesireTree.mp3</v>
      </c>
      <c r="D5610" s="11"/>
      <c r="E5610" s="11"/>
    </row>
    <row r="5611" spans="1:5">
      <c r="A5611" s="12" t="s">
        <v>12567</v>
      </c>
      <c r="B5611" s="12" t="s">
        <v>12732</v>
      </c>
      <c r="C5611" s="13" t="str">
        <f>HYPERLINK("https://audio.iskcondesiretree.com/02_-_ISKCON_Swamis/ISKCON_Swamis_-_R_to_Y/His_Holiness_Radhanath_Swami/Lectures/05_-_Amrit_Droplets/HHRNSM_-_Amrit_Droplets_-_0187_-_Short_Stories_-_Gajendra_story_in_short_-_IDesireTree.mp3", "HHRNSM_-_Amrit_Droplets_-_0187_-_Short_Stories_-_Gajendra_story_in_short_-_IDesireTree.mp3")</f>
        <v>HHRNSM_-_Amrit_Droplets_-_0187_-_Short_Stories_-_Gajendra_story_in_short_-_IDesireTree.mp3</v>
      </c>
      <c r="D5611" s="11"/>
      <c r="E5611" s="11"/>
    </row>
    <row r="5612" spans="1:5">
      <c r="A5612" s="12" t="s">
        <v>12567</v>
      </c>
      <c r="B5612" s="12" t="s">
        <v>12733</v>
      </c>
      <c r="C5612" s="13" t="str">
        <f>HYPERLINK("https://audio.iskcondesiretree.com/02_-_ISKCON_Swamis/ISKCON_Swamis_-_R_to_Y/His_Holiness_Radhanath_Swami/Lectures/05_-_Amrit_Droplets/HHRNSM_-_Amrit_Droplets_-_0188_-_Short_Stories_-_Bhrigu_Muni_testing_Brahma_Vishnu_Mahesh_-_IDesireTree.mp3", "HHRNSM_-_Amrit_Droplets_-_0188_-_Short_Stories_-_Bhrigu_Muni_testing_Brahma_Vishnu_Mahesh_-_IDesireTree.mp3")</f>
        <v>HHRNSM_-_Amrit_Droplets_-_0188_-_Short_Stories_-_Bhrigu_Muni_testing_Brahma_Vishnu_Mahesh_-_IDesireTree.mp3</v>
      </c>
      <c r="D5612" s="11"/>
      <c r="E5612" s="11"/>
    </row>
    <row r="5613" spans="1:5">
      <c r="A5613" s="12" t="s">
        <v>12567</v>
      </c>
      <c r="B5613" s="12" t="s">
        <v>12734</v>
      </c>
      <c r="C5613" s="13" t="str">
        <f>HYPERLINK("https://audio.iskcondesiretree.com/02_-_ISKCON_Swamis/ISKCON_Swamis_-_R_to_Y/His_Holiness_Radhanath_Swami/Lectures/05_-_Amrit_Droplets/HHRNSM_-_Amrit_Droplets_-_0190_-_We_are_accessing_Krishna_because_great_saints_have_prayed_for_us_-_IDesireTree.mp3", "HHRNSM_-_Amrit_Droplets_-_0190_-_We_are_accessing_Krishna_because_great_saints_have_prayed_for_us_-_IDesireTree.mp3")</f>
        <v>HHRNSM_-_Amrit_Droplets_-_0190_-_We_are_accessing_Krishna_because_great_saints_have_prayed_for_us_-_IDesireTree.mp3</v>
      </c>
      <c r="D5613" s="11"/>
      <c r="E5613" s="11"/>
    </row>
    <row r="5614" spans="1:5">
      <c r="A5614" s="12" t="s">
        <v>12567</v>
      </c>
      <c r="B5614" s="12" t="s">
        <v>12735</v>
      </c>
      <c r="C5614" s="13" t="str">
        <f>HYPERLINK("https://audio.iskcondesiretree.com/02_-_ISKCON_Swamis/ISKCON_Swamis_-_R_to_Y/His_Holiness_Radhanath_Swami/Lectures/05_-_Amrit_Droplets/HHRNSM_-_Amrit_Droplets_-_0191_-_We_should_know_the_difference_between_Pure_%26_Mixed_Bhakti_-_IDesireTree.mp3", "HHRNSM_-_Amrit_Droplets_-_0191_-_We_should_know_the_difference_between_Pure_%26_Mixed_Bhakti_-_IDesireTree.mp3")</f>
        <v>HHRNSM_-_Amrit_Droplets_-_0191_-_We_should_know_the_difference_between_Pure_%26_Mixed_Bhakti_-_IDesireTree.mp3</v>
      </c>
      <c r="D5614" s="11"/>
      <c r="E5614" s="11"/>
    </row>
    <row r="5615" spans="1:5">
      <c r="A5615" s="12" t="s">
        <v>12567</v>
      </c>
      <c r="B5615" s="12" t="s">
        <v>12736</v>
      </c>
      <c r="C5615" s="13" t="str">
        <f>HYPERLINK("https://audio.iskcondesiretree.com/02_-_ISKCON_Swamis/ISKCON_Swamis_-_R_to_Y/His_Holiness_Radhanath_Swami/Lectures/05_-_Amrit_Droplets/HHRNSM_-_Amrit_Droplets_-_0192_-_We_will_fall_down_if_we_are_not_doing_chanting_with_priority_-_IDesireTree.mp3", "HHRNSM_-_Amrit_Droplets_-_0192_-_We_will_fall_down_if_we_are_not_doing_chanting_with_priority_-_IDesireTree.mp3")</f>
        <v>HHRNSM_-_Amrit_Droplets_-_0192_-_We_will_fall_down_if_we_are_not_doing_chanting_with_priority_-_IDesireTree.mp3</v>
      </c>
      <c r="D5615" s="11"/>
      <c r="E5615" s="11"/>
    </row>
    <row r="5616" spans="1:5">
      <c r="A5616" s="12" t="s">
        <v>12567</v>
      </c>
      <c r="B5616" s="12" t="s">
        <v>12737</v>
      </c>
      <c r="C5616" s="13" t="str">
        <f>HYPERLINK("https://audio.iskcondesiretree.com/02_-_ISKCON_Swamis/ISKCON_Swamis_-_R_to_Y/His_Holiness_Radhanath_Swami/Lectures/05_-_Amrit_Droplets/HHRNSM_-_Amrit_Droplets_-_0193_-_What_does_speaking_truth_mean_-_IDesireTree.mp3", "HHRNSM_-_Amrit_Droplets_-_0193_-_What_does_speaking_truth_mean_-_IDesireTree.mp3")</f>
        <v>HHRNSM_-_Amrit_Droplets_-_0193_-_What_does_speaking_truth_mean_-_IDesireTree.mp3</v>
      </c>
      <c r="D5616" s="11"/>
      <c r="E5616" s="11"/>
    </row>
    <row r="5617" spans="1:5">
      <c r="A5617" s="12" t="s">
        <v>12567</v>
      </c>
      <c r="B5617" s="12" t="s">
        <v>12738</v>
      </c>
      <c r="C5617" s="13" t="str">
        <f>HYPERLINK("https://audio.iskcondesiretree.com/02_-_ISKCON_Swamis/ISKCON_Swamis_-_R_to_Y/His_Holiness_Radhanath_Swami/Lectures/05_-_Amrit_Droplets/HHRNSM_-_Amrit_Droplets_-_0194_-_What_does_it_mean_to_control_the_mind_-_IDesireTree.mp3", "HHRNSM_-_Amrit_Droplets_-_0194_-_What_does_it_mean_to_control_the_mind_-_IDesireTree.mp3")</f>
        <v>HHRNSM_-_Amrit_Droplets_-_0194_-_What_does_it_mean_to_control_the_mind_-_IDesireTree.mp3</v>
      </c>
      <c r="D5617" s="11"/>
      <c r="E5617" s="11"/>
    </row>
    <row r="5618" spans="1:5">
      <c r="A5618" s="12" t="s">
        <v>12567</v>
      </c>
      <c r="B5618" s="12" t="s">
        <v>12739</v>
      </c>
      <c r="C5618" s="13" t="str">
        <f>HYPERLINK("https://audio.iskcondesiretree.com/02_-_ISKCON_Swamis/ISKCON_Swamis_-_R_to_Y/His_Holiness_Radhanath_Swami/Lectures/05_-_Amrit_Droplets/HHRNSM_-_Amrit_Droplets_-_0195_-_What_does_tolerance_mean_-_IDesireTree.mp3", "HHRNSM_-_Amrit_Droplets_-_0195_-_What_does_tolerance_mean_-_IDesireTree.mp3")</f>
        <v>HHRNSM_-_Amrit_Droplets_-_0195_-_What_does_tolerance_mean_-_IDesireTree.mp3</v>
      </c>
      <c r="D5618" s="11"/>
      <c r="E5618" s="11"/>
    </row>
    <row r="5619" spans="1:5">
      <c r="A5619" s="12" t="s">
        <v>12567</v>
      </c>
      <c r="B5619" s="12" t="s">
        <v>12740</v>
      </c>
      <c r="C5619" s="13" t="str">
        <f>HYPERLINK("https://audio.iskcondesiretree.com/02_-_ISKCON_Swamis/ISKCON_Swamis_-_R_to_Y/His_Holiness_Radhanath_Swami/Lectures/05_-_Amrit_Droplets/HHRNSM_-_Amrit_Droplets_-_0196_-_What_is_Victory_for_a_devotee_-_IDesireTree.mp3", "HHRNSM_-_Amrit_Droplets_-_0196_-_What_is_Victory_for_a_devotee_-_IDesireTree.mp3")</f>
        <v>HHRNSM_-_Amrit_Droplets_-_0196_-_What_is_Victory_for_a_devotee_-_IDesireTree.mp3</v>
      </c>
      <c r="D5619" s="11"/>
      <c r="E5619" s="11"/>
    </row>
    <row r="5620" spans="1:5">
      <c r="A5620" s="12" t="s">
        <v>12567</v>
      </c>
      <c r="B5620" s="12" t="s">
        <v>12741</v>
      </c>
      <c r="C5620" s="13" t="str">
        <f>HYPERLINK("https://audio.iskcondesiretree.com/02_-_ISKCON_Swamis/ISKCON_Swamis_-_R_to_Y/His_Holiness_Radhanath_Swami/Lectures/05_-_Amrit_Droplets/HHRNSM_-_Amrit_Droplets_-_0197_-_What_it_means_to_experience_Higher_taste_-_IDesireTree.mp3", "HHRNSM_-_Amrit_Droplets_-_0197_-_What_it_means_to_experience_Higher_taste_-_IDesireTree.mp3")</f>
        <v>HHRNSM_-_Amrit_Droplets_-_0197_-_What_it_means_to_experience_Higher_taste_-_IDesireTree.mp3</v>
      </c>
      <c r="D5620" s="11"/>
      <c r="E5620" s="11"/>
    </row>
    <row r="5621" spans="1:5">
      <c r="A5621" s="12" t="s">
        <v>12567</v>
      </c>
      <c r="B5621" s="12" t="s">
        <v>12742</v>
      </c>
      <c r="C5621" s="13" t="str">
        <f>HYPERLINK("https://audio.iskcondesiretree.com/02_-_ISKCON_Swamis/ISKCON_Swamis_-_R_to_Y/His_Holiness_Radhanath_Swami/Lectures/05_-_Amrit_Droplets/HHRNSM_-_Amrit_Droplets_-_0198_-_When_we_are_talking_about_mind%2C_we_are_actually_talking_about_heart_-_IDesireTree.mp3", "HHRNSM_-_Amrit_Droplets_-_0198_-_When_we_are_talking_about_mind%2C_we_are_actually_talking_about_heart_-_IDesireTree.mp3")</f>
        <v>HHRNSM_-_Amrit_Droplets_-_0198_-_When_we_are_talking_about_mind%2C_we_are_actually_talking_about_heart_-_IDesireTree.mp3</v>
      </c>
      <c r="D5621" s="11"/>
      <c r="E5621" s="11"/>
    </row>
    <row r="5622" spans="1:5">
      <c r="A5622" s="12" t="s">
        <v>12567</v>
      </c>
      <c r="B5622" s="12" t="s">
        <v>12743</v>
      </c>
      <c r="C5622" s="13" t="str">
        <f>HYPERLINK("https://audio.iskcondesiretree.com/02_-_ISKCON_Swamis/ISKCON_Swamis_-_R_to_Y/His_Holiness_Radhanath_Swami/Lectures/05_-_Amrit_Droplets/HHRNSM_-_Amrit_Droplets_-_0199_-_Why_conflicts_among_vaishnavas_arise_-_IDesireTree.mp3", "HHRNSM_-_Amrit_Droplets_-_0199_-_Why_conflicts_among_vaishnavas_arise_-_IDesireTree.mp3")</f>
        <v>HHRNSM_-_Amrit_Droplets_-_0199_-_Why_conflicts_among_vaishnavas_arise_-_IDesireTree.mp3</v>
      </c>
      <c r="D5622" s="11"/>
      <c r="E5622" s="11"/>
    </row>
    <row r="5623" spans="1:5">
      <c r="A5623" s="12" t="s">
        <v>12567</v>
      </c>
      <c r="B5623" s="12" t="s">
        <v>12744</v>
      </c>
      <c r="C5623" s="13" t="str">
        <f>HYPERLINK("https://audio.iskcondesiretree.com/02_-_ISKCON_Swamis/ISKCON_Swamis_-_R_to_Y/His_Holiness_Radhanath_Swami/Lectures/05_-_Amrit_Droplets/HHRNSM_-_Amrit_Droplets_-_0200_-_What_should_we_pray_while_doing_any_devotional_activity_-_IDesireTree.mp3", "HHRNSM_-_Amrit_Droplets_-_0200_-_What_should_we_pray_while_doing_any_devotional_activity_-_IDesireTree.mp3")</f>
        <v>HHRNSM_-_Amrit_Droplets_-_0200_-_What_should_we_pray_while_doing_any_devotional_activity_-_IDesireTree.mp3</v>
      </c>
      <c r="D5623" s="11"/>
      <c r="E5623" s="11"/>
    </row>
    <row r="5624" spans="1:5">
      <c r="A5624" s="12" t="s">
        <v>12745</v>
      </c>
      <c r="B5624" s="12" t="s">
        <v>12746</v>
      </c>
      <c r="C5624" s="13" t="str">
        <f>HYPERLINK("https://audio.iskcondesiretree.com/02_-_ISKCON_Swamis/ISKCON_Swamis_-_R_to_Y/His_Holiness_Radhanath_Swami/Lectures/Disciples_Meeting/Disciples_Meeting_-_Radhanath_Swami_2009-05-23_UK.mp3", "Disciples_Meeting_-_Radhanath_Swami_2009-05-23_UK.mp3")</f>
        <v>Disciples_Meeting_-_Radhanath_Swami_2009-05-23_UK.mp3</v>
      </c>
      <c r="D5624" s="11"/>
      <c r="E5624" s="11"/>
    </row>
    <row r="5625" spans="1:5">
      <c r="A5625" s="12" t="s">
        <v>12745</v>
      </c>
      <c r="B5625" s="12" t="s">
        <v>12747</v>
      </c>
      <c r="C5625" s="13" t="str">
        <f>HYPERLINK("https://audio.iskcondesiretree.com/02_-_ISKCON_Swamis/ISKCON_Swamis_-_R_to_Y/His_Holiness_Radhanath_Swami/Lectures/Disciples_Meeting/Disciples_Meeting_-_Radhanath_Swami_2009-07-10_UK.mp3", "Disciples_Meeting_-_Radhanath_Swami_2009-07-10_UK.mp3")</f>
        <v>Disciples_Meeting_-_Radhanath_Swami_2009-07-10_UK.mp3</v>
      </c>
      <c r="D5625" s="11"/>
      <c r="E5625" s="11"/>
    </row>
    <row r="5626" spans="1:5">
      <c r="A5626" s="12" t="s">
        <v>12745</v>
      </c>
      <c r="B5626" s="12" t="s">
        <v>12748</v>
      </c>
      <c r="C5626" s="13" t="str">
        <f>HYPERLINK("https://audio.iskcondesiretree.com/02_-_ISKCON_Swamis/ISKCON_Swamis_-_R_to_Y/His_Holiness_Radhanath_Swami/Lectures/Disciples_Meeting/Disciples_Meeting_at_Sanjeev_Agarwal%27s_With_HH_GRS_-_Radhanath_Swami_2010-01-03_UK.mp3", "Disciples_Meeting_at_Sanjeev_Agarwal%27s_With_HH_GRS_-_Radhanath_Swami_2010-01-03_UK.mp3")</f>
        <v>Disciples_Meeting_at_Sanjeev_Agarwal%27s_With_HH_GRS_-_Radhanath_Swami_2010-01-03_UK.mp3</v>
      </c>
      <c r="D5626" s="11"/>
      <c r="E5626" s="11"/>
    </row>
    <row r="5627" spans="1:5">
      <c r="A5627" s="12" t="s">
        <v>12749</v>
      </c>
      <c r="B5627" s="12" t="s">
        <v>17844</v>
      </c>
      <c r="C5627" s="13" t="str">
        <f>HYPERLINK("https://audio.iskcondesiretree.com/02_-_ISKCON_Swamis/ISKCON_Swamis_-_R_to_Y/His_Holiness_Radhanath_Swami/Lectures/Gaura_Lila/Gaura_Lila_01/Gaura_Lila_01_-_Lord_Caitanya%27s_Mercy_On_Various_Devotees_-_Radhanath_Swami.mp3", "Gaura_Lila_01_-_Lord_Caitanya%27s_Mercy_On_Various_Devotees_-_Radhanath_Swami.mp3")</f>
        <v>Gaura_Lila_01_-_Lord_Caitanya%27s_Mercy_On_Various_Devotees_-_Radhanath_Swami.mp3</v>
      </c>
      <c r="D5627" s="11"/>
      <c r="E5627" s="11"/>
    </row>
    <row r="5628" spans="1:5">
      <c r="A5628" s="12" t="s">
        <v>12749</v>
      </c>
      <c r="B5628" s="12" t="s">
        <v>17845</v>
      </c>
      <c r="C5628" s="13" t="str">
        <f>HYPERLINK("https://audio.iskcondesiretree.com/02_-_ISKCON_Swamis/ISKCON_Swamis_-_R_to_Y/His_Holiness_Radhanath_Swami/Lectures/Gaura_Lila/Gaura_Lila_01/Gaura_Lila_01_-_Lord_Caitanya_taking_Sannyas_-_Radhanath_Swami.mp3", "Gaura_Lila_01_-_Lord_Caitanya_taking_Sannyas_-_Radhanath_Swami.mp3")</f>
        <v>Gaura_Lila_01_-_Lord_Caitanya_taking_Sannyas_-_Radhanath_Swami.mp3</v>
      </c>
      <c r="D5628" s="11"/>
      <c r="E5628" s="11"/>
    </row>
    <row r="5629" spans="1:5">
      <c r="A5629" s="12" t="s">
        <v>12749</v>
      </c>
      <c r="B5629" s="12" t="s">
        <v>17846</v>
      </c>
      <c r="C5629" s="13" t="str">
        <f>HYPERLINK("https://audio.iskcondesiretree.com/02_-_ISKCON_Swamis/ISKCON_Swamis_-_R_to_Y/His_Holiness_Radhanath_Swami/Lectures/Gaura_Lila/Gaura_Lila_01/Gaura_Lila_01_-_Lord_Nityananda_Delivers_Jagai_and_Madhai_-_Radhanath_Swami.mp3", "Gaura_Lila_01_-_Lord_Nityananda_Delivers_Jagai_and_Madhai_-_Radhanath_Swami.mp3")</f>
        <v>Gaura_Lila_01_-_Lord_Nityananda_Delivers_Jagai_and_Madhai_-_Radhanath_Swami.mp3</v>
      </c>
      <c r="D5629" s="11"/>
      <c r="E5629" s="11"/>
    </row>
    <row r="5630" spans="1:5">
      <c r="A5630" s="12" t="s">
        <v>12749</v>
      </c>
      <c r="B5630" s="12" t="s">
        <v>17847</v>
      </c>
      <c r="C5630" s="13" t="str">
        <f>HYPERLINK("https://audio.iskcondesiretree.com/02_-_ISKCON_Swamis/ISKCON_Swamis_-_R_to_Y/His_Holiness_Radhanath_Swami/Lectures/Gaura_Lila/Gaura_Lila_01/Gaura_Lila_01_-_Nimai%27s_Appearance_and_Early_Childhood_Pastimes_-_Radhanath_Swami.mp3", "Gaura_Lila_01_-_Nimai%27s_Appearance_and_Early_Childhood_Pastimes_-_Radhanath_Swami.mp3")</f>
        <v>Gaura_Lila_01_-_Nimai%27s_Appearance_and_Early_Childhood_Pastimes_-_Radhanath_Swami.mp3</v>
      </c>
      <c r="D5630" s="11"/>
      <c r="E5630" s="11"/>
    </row>
    <row r="5631" spans="1:5">
      <c r="A5631" s="12" t="s">
        <v>12749</v>
      </c>
      <c r="B5631" s="12" t="s">
        <v>17848</v>
      </c>
      <c r="C5631" s="13" t="str">
        <f>HYPERLINK("https://audio.iskcondesiretree.com/02_-_ISKCON_Swamis/ISKCON_Swamis_-_R_to_Y/His_Holiness_Radhanath_Swami/Lectures/Gaura_Lila/Gaura_Lila_01/Gaura_Lila_01_-_Nimai_Pandit_Becomes_a_Devotee-01_-_Radhanath_Swami.mp3", "Gaura_Lila_01_-_Nimai_Pandit_Becomes_a_Devotee-01_-_Radhanath_Swami.mp3")</f>
        <v>Gaura_Lila_01_-_Nimai_Pandit_Becomes_a_Devotee-01_-_Radhanath_Swami.mp3</v>
      </c>
      <c r="D5631" s="11"/>
      <c r="E5631" s="11"/>
    </row>
    <row r="5632" spans="1:5">
      <c r="A5632" s="12" t="s">
        <v>12749</v>
      </c>
      <c r="B5632" s="12" t="s">
        <v>17849</v>
      </c>
      <c r="C5632" s="13" t="str">
        <f>HYPERLINK("https://audio.iskcondesiretree.com/02_-_ISKCON_Swamis/ISKCON_Swamis_-_R_to_Y/His_Holiness_Radhanath_Swami/Lectures/Gaura_Lila/Gaura_Lila_01/Gaura_Lila_01_-_Nimai_Pandit_Becomes_a_Devotee-02_-_Radhanath_Swami.mp3", "Gaura_Lila_01_-_Nimai_Pandit_Becomes_a_Devotee-02_-_Radhanath_Swami.mp3")</f>
        <v>Gaura_Lila_01_-_Nimai_Pandit_Becomes_a_Devotee-02_-_Radhanath_Swami.mp3</v>
      </c>
      <c r="D5632" s="11"/>
      <c r="E5632" s="11"/>
    </row>
    <row r="5633" spans="1:5">
      <c r="A5633" s="12" t="s">
        <v>12749</v>
      </c>
      <c r="B5633" s="12" t="s">
        <v>17850</v>
      </c>
      <c r="C5633" s="13" t="str">
        <f>HYPERLINK("https://audio.iskcondesiretree.com/02_-_ISKCON_Swamis/ISKCON_Swamis_-_R_to_Y/His_Holiness_Radhanath_Swami/Lectures/Gaura_Lila/Gaura_Lila_01/Gaura_Lila_01_-_Nimai_Pandit_the_Expert_Logician_-_Radhanath_Swami.mp3", "Gaura_Lila_01_-_Nimai_Pandit_the_Expert_Logician_-_Radhanath_Swami.mp3")</f>
        <v>Gaura_Lila_01_-_Nimai_Pandit_the_Expert_Logician_-_Radhanath_Swami.mp3</v>
      </c>
      <c r="D5633" s="11"/>
      <c r="E5633" s="11"/>
    </row>
    <row r="5634" spans="1:5">
      <c r="A5634" s="12" t="s">
        <v>12749</v>
      </c>
      <c r="B5634" s="12" t="s">
        <v>17851</v>
      </c>
      <c r="C5634" s="13" t="str">
        <f>HYPERLINK("https://audio.iskcondesiretree.com/02_-_ISKCON_Swamis/ISKCON_Swamis_-_R_to_Y/His_Holiness_Radhanath_Swami/Lectures/Gaura_Lila/Gaura_Lila_01/Gaura_Lila_01_-_Story_of_Chand_Kazi_and_Sridhar_Kolavecha_-_Radhanath_Swami.mp3", "Gaura_Lila_01_-_Story_of_Chand_Kazi_and_Sridhar_Kolavecha_-_Radhanath_Swami.mp3")</f>
        <v>Gaura_Lila_01_-_Story_of_Chand_Kazi_and_Sridhar_Kolavecha_-_Radhanath_Swami.mp3</v>
      </c>
      <c r="D5634" s="11"/>
      <c r="E5634" s="11"/>
    </row>
    <row r="5635" spans="1:5">
      <c r="A5635" s="12" t="s">
        <v>12749</v>
      </c>
      <c r="B5635" s="12" t="s">
        <v>17852</v>
      </c>
      <c r="C5635" s="13" t="str">
        <f>HYPERLINK("https://audio.iskcondesiretree.com/02_-_ISKCON_Swamis/ISKCON_Swamis_-_R_to_Y/His_Holiness_Radhanath_Swami/Lectures/Gaura_Lila/Gaura_Lila_01/Gaura_Lila_01_-_The_Beginning_of_the_Sankirtan_Movement_-_Radhanath_Swami.mp3", "Gaura_Lila_01_-_The_Beginning_of_the_Sankirtan_Movement_-_Radhanath_Swami.mp3")</f>
        <v>Gaura_Lila_01_-_The_Beginning_of_the_Sankirtan_Movement_-_Radhanath_Swami.mp3</v>
      </c>
      <c r="D5635" s="11"/>
      <c r="E5635" s="11"/>
    </row>
    <row r="5636" spans="1:5">
      <c r="A5636" s="12" t="s">
        <v>12749</v>
      </c>
      <c r="B5636" s="12" t="s">
        <v>17853</v>
      </c>
      <c r="C5636" s="13" t="str">
        <f>HYPERLINK("https://audio.iskcondesiretree.com/02_-_ISKCON_Swamis/ISKCON_Swamis_-_R_to_Y/His_Holiness_Radhanath_Swami/Lectures/Gaura_Lila/Gaura_Lila_01/Gaura_Lila_01_-_The_Mahaprakash_Lila-01_-_Radhanath_Swami.mp3", "Gaura_Lila_01_-_The_Mahaprakash_Lila-01_-_Radhanath_Swami.mp3")</f>
        <v>Gaura_Lila_01_-_The_Mahaprakash_Lila-01_-_Radhanath_Swami.mp3</v>
      </c>
      <c r="D5636" s="11"/>
      <c r="E5636" s="11"/>
    </row>
    <row r="5637" spans="1:5">
      <c r="A5637" s="12" t="s">
        <v>12749</v>
      </c>
      <c r="B5637" s="12" t="s">
        <v>17854</v>
      </c>
      <c r="C5637" s="13" t="str">
        <f>HYPERLINK("https://audio.iskcondesiretree.com/02_-_ISKCON_Swamis/ISKCON_Swamis_-_R_to_Y/His_Holiness_Radhanath_Swami/Lectures/Gaura_Lila/Gaura_Lila_01/Gaura_Lila_01_-_The_Mahaprakash_Lila-02_-_Radhanath_Swami.mp3", "Gaura_Lila_01_-_The_Mahaprakash_Lila-02_-_Radhanath_Swami.mp3")</f>
        <v>Gaura_Lila_01_-_The_Mahaprakash_Lila-02_-_Radhanath_Swami.mp3</v>
      </c>
      <c r="D5637" s="11"/>
      <c r="E5637" s="11"/>
    </row>
    <row r="5638" spans="1:5">
      <c r="A5638" s="12" t="s">
        <v>12749</v>
      </c>
      <c r="B5638" s="12" t="s">
        <v>17855</v>
      </c>
      <c r="C5638" s="13" t="str">
        <f>HYPERLINK("https://audio.iskcondesiretree.com/02_-_ISKCON_Swamis/ISKCON_Swamis_-_R_to_Y/His_Holiness_Radhanath_Swami/Lectures/Gaura_Lila/Gaura_Lila_02/Gaura_Lila-02_-_Deliverance_of_Sarvabhauma_Bhattacarya_-_Radhanath_Swami.mp3", "Gaura_Lila-02_-_Deliverance_of_Sarvabhauma_Bhattacarya_-_Radhanath_Swami.mp3")</f>
        <v>Gaura_Lila-02_-_Deliverance_of_Sarvabhauma_Bhattacarya_-_Radhanath_Swami.mp3</v>
      </c>
      <c r="D5638" s="11"/>
      <c r="E5638" s="11"/>
    </row>
    <row r="5639" spans="1:5">
      <c r="A5639" s="12" t="s">
        <v>12749</v>
      </c>
      <c r="B5639" s="12" t="s">
        <v>17856</v>
      </c>
      <c r="C5639" s="13" t="str">
        <f>HYPERLINK("https://audio.iskcondesiretree.com/02_-_ISKCON_Swamis/ISKCON_Swamis_-_R_to_Y/His_Holiness_Radhanath_Swami/Lectures/Gaura_Lila/Gaura_Lila_02/Gaura_Lila-02_-_Lord_Caitanya%27s_Meeting_with_Ramananda_Raya_-_Radhanath_Swami.mp3", "Gaura_Lila-02_-_Lord_Caitanya%27s_Meeting_with_Ramananda_Raya_-_Radhanath_Swami.mp3")</f>
        <v>Gaura_Lila-02_-_Lord_Caitanya%27s_Meeting_with_Ramananda_Raya_-_Radhanath_Swami.mp3</v>
      </c>
      <c r="D5639" s="11"/>
      <c r="E5639" s="11"/>
    </row>
    <row r="5640" spans="1:5">
      <c r="A5640" s="12" t="s">
        <v>12749</v>
      </c>
      <c r="B5640" s="12" t="s">
        <v>17857</v>
      </c>
      <c r="C5640" s="13" t="str">
        <f>HYPERLINK("https://audio.iskcondesiretree.com/02_-_ISKCON_Swamis/ISKCON_Swamis_-_R_to_Y/His_Holiness_Radhanath_Swami/Lectures/Gaura_Lila/Gaura_Lila_02/Gaura_Lila-02_-_Lord_Caitanya_on_His_Way_to_Jagannath_Puri_-_Radhanath_Swami.mp3", "Gaura_Lila-02_-_Lord_Caitanya_on_His_Way_to_Jagannath_Puri_-_Radhanath_Swami.mp3")</f>
        <v>Gaura_Lila-02_-_Lord_Caitanya_on_His_Way_to_Jagannath_Puri_-_Radhanath_Swami.mp3</v>
      </c>
      <c r="D5640" s="11"/>
      <c r="E5640" s="11"/>
    </row>
    <row r="5641" spans="1:5">
      <c r="A5641" s="12" t="s">
        <v>12749</v>
      </c>
      <c r="B5641" s="12" t="s">
        <v>17858</v>
      </c>
      <c r="C5641" s="13" t="str">
        <f>HYPERLINK("https://audio.iskcondesiretree.com/02_-_ISKCON_Swamis/ISKCON_Swamis_-_R_to_Y/His_Holiness_Radhanath_Swami/Lectures/Gaura_Lila/Gaura_Lila_02/Gaura_Lila-02_-_Lord_Caitanya_travels_to_Various_Places_-_Radhanath_Swami.mp3", "Gaura_Lila-02_-_Lord_Caitanya_travels_to_Various_Places_-_Radhanath_Swami.mp3")</f>
        <v>Gaura_Lila-02_-_Lord_Caitanya_travels_to_Various_Places_-_Radhanath_Swami.mp3</v>
      </c>
      <c r="D5641" s="11"/>
      <c r="E5641" s="11"/>
    </row>
    <row r="5642" spans="1:5">
      <c r="A5642" s="12" t="s">
        <v>12749</v>
      </c>
      <c r="B5642" s="12" t="s">
        <v>17859</v>
      </c>
      <c r="C5642" s="13" t="str">
        <f>HYPERLINK("https://audio.iskcondesiretree.com/02_-_ISKCON_Swamis/ISKCON_Swamis_-_R_to_Y/His_Holiness_Radhanath_Swami/Lectures/Gaura_Lila/Gaura_Lila_02/Gaura_Lila-02_-_Lord_Caitanya_Visits_Kurmakshetra_and_Simhachalam_-_Radhanath_Swami.mp3", "Gaura_Lila-02_-_Lord_Caitanya_Visits_Kurmakshetra_and_Simhachalam_-_Radhanath_Swami.mp3")</f>
        <v>Gaura_Lila-02_-_Lord_Caitanya_Visits_Kurmakshetra_and_Simhachalam_-_Radhanath_Swami.mp3</v>
      </c>
      <c r="D5642" s="11"/>
      <c r="E5642" s="11"/>
    </row>
    <row r="5643" spans="1:5">
      <c r="A5643" s="12" t="s">
        <v>12749</v>
      </c>
      <c r="B5643" s="12" t="s">
        <v>17860</v>
      </c>
      <c r="C5643" s="13" t="str">
        <f>HYPERLINK("https://audio.iskcondesiretree.com/02_-_ISKCON_Swamis/ISKCON_Swamis_-_R_to_Y/His_Holiness_Radhanath_Swami/Lectures/Gaura_Lila/Gaura_Lila_02/Gaura_Lila-02_-_Story_of_Ksira_Cora_Gopinatha_and_Sakshi_Gopal_-_Radhanath_Swami.mp3", "Gaura_Lila-02_-_Story_of_Ksira_Cora_Gopinatha_and_Sakshi_Gopal_-_Radhanath_Swami.mp3")</f>
        <v>Gaura_Lila-02_-_Story_of_Ksira_Cora_Gopinatha_and_Sakshi_Gopal_-_Radhanath_Swami.mp3</v>
      </c>
      <c r="D5643" s="11"/>
      <c r="E5643" s="11"/>
    </row>
    <row r="5644" spans="1:5">
      <c r="A5644" s="12" t="s">
        <v>12749</v>
      </c>
      <c r="B5644" s="12" t="s">
        <v>17861</v>
      </c>
      <c r="C5644" s="13" t="str">
        <f>HYPERLINK("https://audio.iskcondesiretree.com/02_-_ISKCON_Swamis/ISKCON_Swamis_-_R_to_Y/His_Holiness_Radhanath_Swami/Lectures/Gaura_Lila/Gaura_Lila_03/Gaura_Lila-03_-_Glories_of_Haridas_Thakur_and_Sanatana_Goswami_-_Radhanath_Swami.mp3", "Gaura_Lila-03_-_Glories_of_Haridas_Thakur_and_Sanatana_Goswami_-_Radhanath_Swami.mp3")</f>
        <v>Gaura_Lila-03_-_Glories_of_Haridas_Thakur_and_Sanatana_Goswami_-_Radhanath_Swami.mp3</v>
      </c>
      <c r="D5644" s="11"/>
      <c r="E5644" s="11"/>
    </row>
    <row r="5645" spans="1:5">
      <c r="A5645" s="12" t="s">
        <v>12749</v>
      </c>
      <c r="B5645" s="12" t="s">
        <v>17862</v>
      </c>
      <c r="C5645" s="13" t="str">
        <f>HYPERLINK("https://audio.iskcondesiretree.com/02_-_ISKCON_Swamis/ISKCON_Swamis_-_R_to_Y/His_Holiness_Radhanath_Swami/Lectures/Gaura_Lila/Gaura_Lila_03/Gaura_Lila-03_-_Glorification_of_Rupa_Goswami_-_Radhanath_Swami.mp3", "Gaura_Lila-03_-_Glorification_of_Rupa_Goswami_-_Radhanath_Swami.mp3")</f>
        <v>Gaura_Lila-03_-_Glorification_of_Rupa_Goswami_-_Radhanath_Swami.mp3</v>
      </c>
      <c r="D5645" s="11"/>
      <c r="E5645" s="11"/>
    </row>
    <row r="5646" spans="1:5">
      <c r="A5646" s="12" t="s">
        <v>12749</v>
      </c>
      <c r="B5646" s="12" t="s">
        <v>17863</v>
      </c>
      <c r="C5646" s="13" t="str">
        <f>HYPERLINK("https://audio.iskcondesiretree.com/02_-_ISKCON_Swamis/ISKCON_Swamis_-_R_to_Y/His_Holiness_Radhanath_Swami/Lectures/Gaura_Lila/Gaura_Lila_03/Gaura_Lila-03_-_Lord_Caitanya%27s_Pastimes_at_Jagannath_Puri_l_-_Radhanath_Swami.mp3", "Gaura_Lila-03_-_Lord_Caitanya%27s_Pastimes_at_Jagannath_Puri_l_-_Radhanath_Swami.mp3")</f>
        <v>Gaura_Lila-03_-_Lord_Caitanya%27s_Pastimes_at_Jagannath_Puri_l_-_Radhanath_Swami.mp3</v>
      </c>
      <c r="D5646" s="11"/>
      <c r="E5646" s="11"/>
    </row>
    <row r="5647" spans="1:5">
      <c r="A5647" s="12" t="s">
        <v>12749</v>
      </c>
      <c r="B5647" s="12" t="s">
        <v>17864</v>
      </c>
      <c r="C5647" s="13" t="str">
        <f>HYPERLINK("https://audio.iskcondesiretree.com/02_-_ISKCON_Swamis/ISKCON_Swamis_-_R_to_Y/His_Holiness_Radhanath_Swami/Lectures/Gaura_Lila/Gaura_Lila_03/Gaura_Lila-03_-_Lord_Caitanya%27s_Pastimes_at_Jagannath_Puri_ll_-_Radhanath_Swami.mp3", "Gaura_Lila-03_-_Lord_Caitanya%27s_Pastimes_at_Jagannath_Puri_ll_-_Radhanath_Swami.mp3")</f>
        <v>Gaura_Lila-03_-_Lord_Caitanya%27s_Pastimes_at_Jagannath_Puri_ll_-_Radhanath_Swami.mp3</v>
      </c>
      <c r="D5647" s="11"/>
      <c r="E5647" s="11"/>
    </row>
    <row r="5648" spans="1:5">
      <c r="A5648" s="12" t="s">
        <v>12749</v>
      </c>
      <c r="B5648" s="12" t="s">
        <v>17865</v>
      </c>
      <c r="C5648" s="13" t="str">
        <f>HYPERLINK("https://audio.iskcondesiretree.com/02_-_ISKCON_Swamis/ISKCON_Swamis_-_R_to_Y/His_Holiness_Radhanath_Swami/Lectures/Gaura_Lila/Gaura_Lila_03/Gaura_Lila-03_-_Lord_Caitanya_Empowers_Sanatana_Goswami_-_Radhanath_Swami.mp3", "Gaura_Lila-03_-_Lord_Caitanya_Empowers_Sanatana_Goswami_-_Radhanath_Swami.mp3")</f>
        <v>Gaura_Lila-03_-_Lord_Caitanya_Empowers_Sanatana_Goswami_-_Radhanath_Swami.mp3</v>
      </c>
      <c r="D5648" s="11"/>
      <c r="E5648" s="11"/>
    </row>
    <row r="5649" spans="1:5">
      <c r="A5649" s="12" t="s">
        <v>12749</v>
      </c>
      <c r="B5649" s="12" t="s">
        <v>17866</v>
      </c>
      <c r="C5649" s="13" t="str">
        <f>HYPERLINK("https://audio.iskcondesiretree.com/02_-_ISKCON_Swamis/ISKCON_Swamis_-_R_to_Y/His_Holiness_Radhanath_Swami/Lectures/Gaura_Lila/Gaura_Lila_03/Gaura_Lila-03_-_Lord_Caitanya_Performing_Pastimes_with_Various_Devotees_-_Radhanath_Swami.mp3", "Gaura_Lila-03_-_Lord_Caitanya_Performing_Pastimes_with_Various_Devotees_-_Radhanath_Swami.mp3")</f>
        <v>Gaura_Lila-03_-_Lord_Caitanya_Performing_Pastimes_with_Various_Devotees_-_Radhanath_Swami.mp3</v>
      </c>
      <c r="D5649" s="11"/>
      <c r="E5649" s="11"/>
    </row>
    <row r="5650" spans="1:5">
      <c r="A5650" s="12" t="s">
        <v>12749</v>
      </c>
      <c r="B5650" s="12" t="s">
        <v>17867</v>
      </c>
      <c r="C5650" s="13" t="str">
        <f>HYPERLINK("https://audio.iskcondesiretree.com/02_-_ISKCON_Swamis/ISKCON_Swamis_-_R_to_Y/His_Holiness_Radhanath_Swami/Lectures/Gaura_Lila/Gaura_Lila_03/Gaura_Lila-03_-_The_Lord%27s_Pastimes_on_His_Way_back_to_Puri_-_Radhanath_Swami.mp3", "Gaura_Lila-03_-_The_Lord%27s_Pastimes_on_His_Way_back_to_Puri_-_Radhanath_Swami.mp3")</f>
        <v>Gaura_Lila-03_-_The_Lord%27s_Pastimes_on_His_Way_back_to_Puri_-_Radhanath_Swami.mp3</v>
      </c>
      <c r="D5650" s="11"/>
      <c r="E5650" s="11"/>
    </row>
    <row r="5651" spans="1:5">
      <c r="A5651" s="12" t="s">
        <v>12749</v>
      </c>
      <c r="B5651" s="12" t="s">
        <v>17868</v>
      </c>
      <c r="C5651" s="13" t="str">
        <f>HYPERLINK("https://audio.iskcondesiretree.com/02_-_ISKCON_Swamis/ISKCON_Swamis_-_R_to_Y/His_Holiness_Radhanath_Swami/Lectures/Gaura_Lila/Gaura_Lila_03/Gaura_Lila-03_-_The_Lord_Showers_His_Mercy_on_Various_Devotees_-_Radhanath_Swami.mp3", "Gaura_Lila-03_-_The_Lord_Showers_His_Mercy_on_Various_Devotees_-_Radhanath_Swami.mp3")</f>
        <v>Gaura_Lila-03_-_The_Lord_Showers_His_Mercy_on_Various_Devotees_-_Radhanath_Swami.mp3</v>
      </c>
      <c r="D5651" s="11"/>
      <c r="E5651" s="11"/>
    </row>
    <row r="5652" spans="1:5">
      <c r="A5652" s="12" t="s">
        <v>12750</v>
      </c>
      <c r="B5652" s="12" t="s">
        <v>17869</v>
      </c>
      <c r="C5652" s="13" t="str">
        <f>HYPERLINK("https://audio.iskcondesiretree.com/02_-_ISKCON_Swamis/ISKCON_Swamis_-_R_to_Y/His_Holiness_Radhanath_Swami/Lectures/Hindi_Translation/Bhagavad_Gita/Chapter-02/Hindi_BG_02-47_-_Jivan_ka_lakshya_-_1989-02-17_Mumbai_-_Radhanath_Swami.mp3", "Hindi_BG_02-47_-_Jivan_ka_lakshya_-_1989-02-17_Mumbai_-_Radhanath_Swami.mp3")</f>
        <v>Hindi_BG_02-47_-_Jivan_ka_lakshya_-_1989-02-17_Mumbai_-_Radhanath_Swami.mp3</v>
      </c>
      <c r="D5652" s="11"/>
      <c r="E5652" s="11"/>
    </row>
    <row r="5653" spans="1:5">
      <c r="A5653" s="12" t="s">
        <v>12750</v>
      </c>
      <c r="B5653" s="12" t="s">
        <v>17870</v>
      </c>
      <c r="C5653" s="13" t="str">
        <f>HYPERLINK("https://audio.iskcondesiretree.com/02_-_ISKCON_Swamis/ISKCON_Swamis_-_R_to_Y/His_Holiness_Radhanath_Swami/Lectures/Hindi_Translation/Bhagavad_Gita/Chapter-09/Hindi_BG_09-33_-_Rachnatmak_Karya_-_1989-01-20_-_Radhanath_Swami_Mumbai.mp3", "Hindi_BG_09-33_-_Rachnatmak_Karya_-_1989-01-20_-_Radhanath_Swami_Mumbai.mp3")</f>
        <v>Hindi_BG_09-33_-_Rachnatmak_Karya_-_1989-01-20_-_Radhanath_Swami_Mumbai.mp3</v>
      </c>
      <c r="D5653" s="11"/>
      <c r="E5653" s="11"/>
    </row>
    <row r="5654" spans="1:5">
      <c r="A5654" s="12" t="s">
        <v>12750</v>
      </c>
      <c r="B5654" s="12" t="s">
        <v>17871</v>
      </c>
      <c r="C5654" s="13" t="str">
        <f>HYPERLINK("https://audio.iskcondesiretree.com/02_-_ISKCON_Swamis/ISKCON_Swamis_-_R_to_Y/His_Holiness_Radhanath_Swami/Lectures/Hindi_Translation/Srimad_Bhagavatam/2013-02-06_SB_01-02-06_Hindi_Translation_-_Radhanath_Swami_Barsana.mp3", "2013-02-06_SB_01-02-06_Hindi_Translation_-_Radhanath_Swami_Barsana.mp3")</f>
        <v>2013-02-06_SB_01-02-06_Hindi_Translation_-_Radhanath_Swami_Barsana.mp3</v>
      </c>
      <c r="D5654" s="11"/>
      <c r="E5654" s="11"/>
    </row>
    <row r="5655" spans="1:5">
      <c r="A5655" s="12" t="s">
        <v>12750</v>
      </c>
      <c r="B5655" s="12" t="s">
        <v>17872</v>
      </c>
      <c r="C5655" s="13" t="str">
        <f>HYPERLINK("https://audio.iskcondesiretree.com/02_-_ISKCON_Swamis/ISKCON_Swamis_-_R_to_Y/His_Holiness_Radhanath_Swami/Lectures/Hindi_Translation/Srimad_Bhagavatam/Hindi_SB_07-15-68_-_Durbhagyashali_bhagyashali_hain_-_Radhanath_Swami_1989-03-29_Mumbai.mp3", "Hindi_SB_07-15-68_-_Durbhagyashali_bhagyashali_hain_-_Radhanath_Swami_1989-03-29_Mumbai.mp3")</f>
        <v>Hindi_SB_07-15-68_-_Durbhagyashali_bhagyashali_hain_-_Radhanath_Swami_1989-03-29_Mumbai.mp3</v>
      </c>
      <c r="D5655" s="11"/>
      <c r="E5655" s="11"/>
    </row>
    <row r="5656" spans="1:5">
      <c r="A5656" s="12" t="s">
        <v>12750</v>
      </c>
      <c r="B5656" s="12" t="s">
        <v>17873</v>
      </c>
      <c r="C5656" s="13" t="str">
        <f>HYPERLINK("https://audio.iskcondesiretree.com/02_-_ISKCON_Swamis/ISKCON_Swamis_-_R_to_Y/His_Holiness_Radhanath_Swami/Lectures/Hindi_Translation/Srimad_Bhagavatam/Hindi_SB_08-01-01-02_-_Bhakta_jadugar_se_prabhavit_nahi_hote_89-04-18_Mumbai.mp3", "Hindi_SB_08-01-01-02_-_Bhakta_jadugar_se_prabhavit_nahi_hote_89-04-18_Mumbai.mp3")</f>
        <v>Hindi_SB_08-01-01-02_-_Bhakta_jadugar_se_prabhavit_nahi_hote_89-04-18_Mumbai.mp3</v>
      </c>
      <c r="D5656" s="11"/>
      <c r="E5656" s="11"/>
    </row>
    <row r="5657" spans="1:5">
      <c r="A5657" s="12" t="s">
        <v>12750</v>
      </c>
      <c r="B5657" s="12" t="s">
        <v>17874</v>
      </c>
      <c r="C5657" s="13" t="str">
        <f>HYPERLINK("https://audio.iskcondesiretree.com/02_-_ISKCON_Swamis/ISKCON_Swamis_-_R_to_Y/His_Holiness_Radhanath_Swami/Lectures/Hindi_Translation/Yatra/South_India_Yatra_2010/2010_South_India_Yatra_Lecture_Hindi_Translation_01_-_By_Krishnananda_Prabhu.mp3", "2010_South_India_Yatra_Lecture_Hindi_Translation_01_-_By_Krishnananda_Prabhu.mp3")</f>
        <v>2010_South_India_Yatra_Lecture_Hindi_Translation_01_-_By_Krishnananda_Prabhu.mp3</v>
      </c>
      <c r="D5657" s="11"/>
      <c r="E5657" s="11"/>
    </row>
    <row r="5658" spans="1:5">
      <c r="A5658" s="12" t="s">
        <v>12750</v>
      </c>
      <c r="B5658" s="12" t="s">
        <v>17875</v>
      </c>
      <c r="C5658" s="13" t="str">
        <f>HYPERLINK("https://audio.iskcondesiretree.com/02_-_ISKCON_Swamis/ISKCON_Swamis_-_R_to_Y/His_Holiness_Radhanath_Swami/Lectures/Hindi_Translation/Yatra/South_India_Yatra_2010/2010_South_India_Yatra_Lecture_Hindi_Translation_02_-_By_Krishnananda_Prabhu.mp3", "2010_South_India_Yatra_Lecture_Hindi_Translation_02_-_By_Krishnananda_Prabhu.mp3")</f>
        <v>2010_South_India_Yatra_Lecture_Hindi_Translation_02_-_By_Krishnananda_Prabhu.mp3</v>
      </c>
      <c r="D5658" s="11"/>
      <c r="E5658" s="11"/>
    </row>
    <row r="5659" spans="1:5">
      <c r="A5659" s="12" t="s">
        <v>12750</v>
      </c>
      <c r="B5659" s="12" t="s">
        <v>17876</v>
      </c>
      <c r="C5659" s="13" t="str">
        <f>HYPERLINK("https://audio.iskcondesiretree.com/02_-_ISKCON_Swamis/ISKCON_Swamis_-_R_to_Y/His_Holiness_Radhanath_Swami/Lectures/Hindi_Translation/Yatra/South_India_Yatra_2010/2010_South_India_Yatra_Lecture_Hindi_Translation_03_-_By_Krishnananda_Prabhu.mp3", "2010_South_India_Yatra_Lecture_Hindi_Translation_03_-_By_Krishnananda_Prabhu.mp3")</f>
        <v>2010_South_India_Yatra_Lecture_Hindi_Translation_03_-_By_Krishnananda_Prabhu.mp3</v>
      </c>
      <c r="D5659" s="11"/>
      <c r="E5659" s="11"/>
    </row>
    <row r="5660" spans="1:5">
      <c r="A5660" s="12" t="s">
        <v>12750</v>
      </c>
      <c r="B5660" s="12" t="s">
        <v>17877</v>
      </c>
      <c r="C5660" s="13" t="str">
        <f>HYPERLINK("https://audio.iskcondesiretree.com/02_-_ISKCON_Swamis/ISKCON_Swamis_-_R_to_Y/His_Holiness_Radhanath_Swami/Lectures/Hindi_Translation/Yatra/South_India_Yatra_2010/2010_South_India_Yatra_Lecture_Hindi_Translation_04_-_By_Krishnananda_Prabhu.mp3", "2010_South_India_Yatra_Lecture_Hindi_Translation_04_-_By_Krishnananda_Prabhu.mp3")</f>
        <v>2010_South_India_Yatra_Lecture_Hindi_Translation_04_-_By_Krishnananda_Prabhu.mp3</v>
      </c>
      <c r="D5660" s="11"/>
      <c r="E5660" s="11"/>
    </row>
    <row r="5661" spans="1:5">
      <c r="A5661" s="12" t="s">
        <v>12750</v>
      </c>
      <c r="B5661" s="12" t="s">
        <v>17878</v>
      </c>
      <c r="C5661" s="13" t="str">
        <f>HYPERLINK("https://audio.iskcondesiretree.com/02_-_ISKCON_Swamis/ISKCON_Swamis_-_R_to_Y/His_Holiness_Radhanath_Swami/Lectures/Hindi_Translation/Yatra/South_India_Yatra_2010/2010_South_India_Yatra_Lecture_Hindi_Translation_05_-_By_Krishnananda_Prabhu.mp3", "2010_South_India_Yatra_Lecture_Hindi_Translation_05_-_By_Krishnananda_Prabhu.mp3")</f>
        <v>2010_South_India_Yatra_Lecture_Hindi_Translation_05_-_By_Krishnananda_Prabhu.mp3</v>
      </c>
      <c r="D5661" s="11"/>
      <c r="E5661" s="11"/>
    </row>
    <row r="5662" spans="1:5">
      <c r="A5662" s="12" t="s">
        <v>12750</v>
      </c>
      <c r="B5662" s="12" t="s">
        <v>17879</v>
      </c>
      <c r="C5662" s="13" t="str">
        <f>HYPERLINK("https://audio.iskcondesiretree.com/02_-_ISKCON_Swamis/ISKCON_Swamis_-_R_to_Y/His_Holiness_Radhanath_Swami/Lectures/Hindi_Translation/Yatra/South_India_Yatra_2010/2010_South_India_Yatra_Lecture_Hindi_Translation_06_-_By_Krishnananda_Prabhu.mp3", "2010_South_India_Yatra_Lecture_Hindi_Translation_06_-_By_Krishnananda_Prabhu.mp3")</f>
        <v>2010_South_India_Yatra_Lecture_Hindi_Translation_06_-_By_Krishnananda_Prabhu.mp3</v>
      </c>
      <c r="D5662" s="11"/>
      <c r="E5662" s="11"/>
    </row>
    <row r="5663" spans="1:5">
      <c r="A5663" s="12" t="s">
        <v>12750</v>
      </c>
      <c r="B5663" s="12" t="s">
        <v>17880</v>
      </c>
      <c r="C5663" s="13" t="str">
        <f>HYPERLINK("https://audio.iskcondesiretree.com/02_-_ISKCON_Swamis/ISKCON_Swamis_-_R_to_Y/His_Holiness_Radhanath_Swami/Lectures/Hindi_Translation/Yatra/South_India_Yatra_2010/2010_South_India_Yatra_Lecture_Hindi_Translation_07_-_By_Krishnananda_Prabhu.mp3", "2010_South_India_Yatra_Lecture_Hindi_Translation_07_-_By_Krishnananda_Prabhu.mp3")</f>
        <v>2010_South_India_Yatra_Lecture_Hindi_Translation_07_-_By_Krishnananda_Prabhu.mp3</v>
      </c>
      <c r="D5663" s="11"/>
      <c r="E5663" s="11"/>
    </row>
    <row r="5664" spans="1:5">
      <c r="A5664" s="12" t="s">
        <v>12750</v>
      </c>
      <c r="B5664" s="12" t="s">
        <v>17881</v>
      </c>
      <c r="C5664" s="13" t="str">
        <f>HYPERLINK("https://audio.iskcondesiretree.com/02_-_ISKCON_Swamis/ISKCON_Swamis_-_R_to_Y/His_Holiness_Radhanath_Swami/Lectures/Hindi_Translation/Yatra/South_India_Yatra_2010/2010_South_India_Yatra_Lecture_Hindi_Translation_08_-_By_Krishnananda_Prabhu.mp3", "2010_South_India_Yatra_Lecture_Hindi_Translation_08_-_By_Krishnananda_Prabhu.mp3")</f>
        <v>2010_South_India_Yatra_Lecture_Hindi_Translation_08_-_By_Krishnananda_Prabhu.mp3</v>
      </c>
      <c r="D5664" s="11"/>
      <c r="E5664" s="11"/>
    </row>
    <row r="5665" spans="1:5">
      <c r="A5665" s="12" t="s">
        <v>12750</v>
      </c>
      <c r="B5665" s="12" t="s">
        <v>17882</v>
      </c>
      <c r="C5665" s="13" t="str">
        <f>HYPERLINK("https://audio.iskcondesiretree.com/02_-_ISKCON_Swamis/ISKCON_Swamis_-_R_to_Y/His_Holiness_Radhanath_Swami/Lectures/Hindi_Translation/Yatra/South_India_Yatra_2010/2010_South_India_Yatra_Lecture_Hindi_Translation_09_-_By_Krishnananda_Prabhu.mp3", "2010_South_India_Yatra_Lecture_Hindi_Translation_09_-_By_Krishnananda_Prabhu.mp3")</f>
        <v>2010_South_India_Yatra_Lecture_Hindi_Translation_09_-_By_Krishnananda_Prabhu.mp3</v>
      </c>
      <c r="D5665" s="11"/>
      <c r="E5665" s="11"/>
    </row>
    <row r="5666" spans="1:5">
      <c r="A5666" s="12" t="s">
        <v>12750</v>
      </c>
      <c r="B5666" s="12" t="s">
        <v>17883</v>
      </c>
      <c r="C5666" s="13" t="str">
        <f>HYPERLINK("https://audio.iskcondesiretree.com/02_-_ISKCON_Swamis/ISKCON_Swamis_-_R_to_Y/His_Holiness_Radhanath_Swami/Lectures/Hindi_Translation/Yatra/South_India_Yatra_2010/2010_South_India_Yatra_Lecture_Hindi_Translation_10_-_By_Krishnananda_Prabhu.mp3", "2010_South_India_Yatra_Lecture_Hindi_Translation_10_-_By_Krishnananda_Prabhu.mp3")</f>
        <v>2010_South_India_Yatra_Lecture_Hindi_Translation_10_-_By_Krishnananda_Prabhu.mp3</v>
      </c>
      <c r="D5666" s="11"/>
      <c r="E5666" s="11"/>
    </row>
    <row r="5667" spans="1:5">
      <c r="A5667" s="12" t="s">
        <v>12750</v>
      </c>
      <c r="B5667" s="12" t="s">
        <v>17884</v>
      </c>
      <c r="C5667" s="13" t="str">
        <f>HYPERLINK("https://audio.iskcondesiretree.com/02_-_ISKCON_Swamis/ISKCON_Swamis_-_R_to_Y/His_Holiness_Radhanath_Swami/Lectures/Hindi_Translation/Yatra/Vrindavan_Yatra/Vrindavan_Yatra_2011_-_Hare_Krishna_Kirtan_-_2011-10-27_Radhanath_Swami.mp3", "Vrindavan_Yatra_2011_-_Hare_Krishna_Kirtan_-_2011-10-27_Radhanath_Swami.mp3")</f>
        <v>Vrindavan_Yatra_2011_-_Hare_Krishna_Kirtan_-_2011-10-27_Radhanath_Swami.mp3</v>
      </c>
      <c r="D5667" s="11"/>
      <c r="E5667" s="11"/>
    </row>
    <row r="5668" spans="1:5">
      <c r="A5668" s="12" t="s">
        <v>12750</v>
      </c>
      <c r="B5668" s="12" t="s">
        <v>17885</v>
      </c>
      <c r="C5668" s="13" t="str">
        <f>HYPERLINK("https://audio.iskcondesiretree.com/02_-_ISKCON_Swamis/ISKCON_Swamis_-_R_to_Y/His_Holiness_Radhanath_Swami/Lectures/Hindi_Translation/Yatra/Vrindavan_Yatra/Vrindavan_Yatra_2011_-_Hare_Krishna_Kirtan_-_2011-10-28_Radhanath_Swami.mp3", "Vrindavan_Yatra_2011_-_Hare_Krishna_Kirtan_-_2011-10-28_Radhanath_Swami.mp3")</f>
        <v>Vrindavan_Yatra_2011_-_Hare_Krishna_Kirtan_-_2011-10-28_Radhanath_Swami.mp3</v>
      </c>
      <c r="D5668" s="11"/>
      <c r="E5668" s="11"/>
    </row>
    <row r="5669" spans="1:5">
      <c r="A5669" s="12" t="s">
        <v>12750</v>
      </c>
      <c r="B5669" s="12" t="s">
        <v>17886</v>
      </c>
      <c r="C5669" s="13" t="str">
        <f>HYPERLINK("https://audio.iskcondesiretree.com/02_-_ISKCON_Swamis/ISKCON_Swamis_-_R_to_Y/His_Holiness_Radhanath_Swami/Lectures/Hindi_Translation/Yatra/Vrindavan_Yatra/Vrindavan_Yatra_2011_-_Jaya_Yashoda_Jaya_Gopa_Gana_-_Gaur_Gopal_Pr_-_2011-10-26.mp3", "Vrindavan_Yatra_2011_-_Jaya_Yashoda_Jaya_Gopa_Gana_-_Gaur_Gopal_Pr_-_2011-10-26.mp3")</f>
        <v>Vrindavan_Yatra_2011_-_Jaya_Yashoda_Jaya_Gopa_Gana_-_Gaur_Gopal_Pr_-_2011-10-26.mp3</v>
      </c>
      <c r="D5669" s="11"/>
      <c r="E5669" s="11"/>
    </row>
    <row r="5670" spans="1:5">
      <c r="A5670" s="12" t="s">
        <v>12750</v>
      </c>
      <c r="B5670" s="12" t="s">
        <v>17887</v>
      </c>
      <c r="C5670" s="13" t="str">
        <f>HYPERLINK("https://audio.iskcondesiretree.com/02_-_ISKCON_Swamis/ISKCON_Swamis_-_R_to_Y/His_Holiness_Radhanath_Swami/Lectures/Hindi_Translation/Yatra/Vrindavan_Yatra/Vrindavan_Yatra_2011_-_Je_Anilo_Prema_Dhana_-_2011-10-30_Radhanath_Swami.mp3", "Vrindavan_Yatra_2011_-_Je_Anilo_Prema_Dhana_-_2011-10-30_Radhanath_Swami.mp3")</f>
        <v>Vrindavan_Yatra_2011_-_Je_Anilo_Prema_Dhana_-_2011-10-30_Radhanath_Swami.mp3</v>
      </c>
      <c r="D5670" s="11"/>
      <c r="E5670" s="11"/>
    </row>
    <row r="5671" spans="1:5">
      <c r="A5671" s="12" t="s">
        <v>12750</v>
      </c>
      <c r="B5671" s="12" t="s">
        <v>17888</v>
      </c>
      <c r="C5671" s="13" t="str">
        <f>HYPERLINK("https://audio.iskcondesiretree.com/02_-_ISKCON_Swamis/ISKCON_Swamis_-_R_to_Y/His_Holiness_Radhanath_Swami/Lectures/Hindi_Translation/Yatra/Vrindavan_Yatra/Vrindavan_Yatra_2011_Hindi_Translation_-_Brajvasisyo_ne_Govardhan_puja_kiya_-_2011-10-27_RNS.mp3", "Vrindavan_Yatra_2011_Hindi_Translation_-_Brajvasisyo_ne_Govardhan_puja_kiya_-_2011-10-27_RNS.mp3")</f>
        <v>Vrindavan_Yatra_2011_Hindi_Translation_-_Brajvasisyo_ne_Govardhan_puja_kiya_-_2011-10-27_RNS.mp3</v>
      </c>
      <c r="D5671" s="11"/>
      <c r="E5671" s="11"/>
    </row>
    <row r="5672" spans="1:5">
      <c r="A5672" s="12" t="s">
        <v>12750</v>
      </c>
      <c r="B5672" s="12" t="s">
        <v>17889</v>
      </c>
      <c r="C5672" s="13" t="str">
        <f>HYPERLINK("https://audio.iskcondesiretree.com/02_-_ISKCON_Swamis/ISKCON_Swamis_-_R_to_Y/His_Holiness_Radhanath_Swami/Lectures/Hindi_Translation/Yatra/Vrindavan_Yatra/Vrindavan_Yatra_2011_Hindi_Translation_-_Gokul_Mahavan_me_Krishna_ki_Bal_Lilaye_-_2011-10-26_RNS.mp3", "Vrindavan_Yatra_2011_Hindi_Translation_-_Gokul_Mahavan_me_Krishna_ki_Bal_Lilaye_-_2011-10-26_RNS.mp3")</f>
        <v>Vrindavan_Yatra_2011_Hindi_Translation_-_Gokul_Mahavan_me_Krishna_ki_Bal_Lilaye_-_2011-10-26_RNS.mp3</v>
      </c>
      <c r="D5672" s="11"/>
      <c r="E5672" s="11"/>
    </row>
    <row r="5673" spans="1:5">
      <c r="A5673" s="12" t="s">
        <v>12750</v>
      </c>
      <c r="B5673" s="12" t="s">
        <v>17890</v>
      </c>
      <c r="C5673" s="13" t="str">
        <f>HYPERLINK("https://audio.iskcondesiretree.com/02_-_ISKCON_Swamis/ISKCON_Swamis_-_R_to_Y/His_Holiness_Radhanath_Swami/Lectures/Hindi_Translation/Yatra/Vrindavan_Yatra/Vrindavan_Yatra_2011_Hindi_Translation_-_Govardhan_ka_Gungan_-_2011-11-03_Giriraj_Swami.mp3", "Vrindavan_Yatra_2011_Hindi_Translation_-_Govardhan_ka_Gungan_-_2011-11-03_Giriraj_Swami.mp3")</f>
        <v>Vrindavan_Yatra_2011_Hindi_Translation_-_Govardhan_ka_Gungan_-_2011-11-03_Giriraj_Swami.mp3</v>
      </c>
      <c r="D5673" s="11"/>
      <c r="E5673" s="11"/>
    </row>
    <row r="5674" spans="1:5">
      <c r="A5674" s="12" t="s">
        <v>12750</v>
      </c>
      <c r="B5674" s="12" t="s">
        <v>17891</v>
      </c>
      <c r="C5674" s="13" t="str">
        <f>HYPERLINK("https://audio.iskcondesiretree.com/02_-_ISKCON_Swamis/ISKCON_Swamis_-_R_to_Y/His_Holiness_Radhanath_Swami/Lectures/Hindi_Translation/Yatra/Vrindavan_Yatra/Vrindavan_Yatra_2011_Hindi_Translation_-_Govardhan_Parikrama_ka_Mahtava_-_2011-11-02_RNS.mp3", "Vrindavan_Yatra_2011_Hindi_Translation_-_Govardhan_Parikrama_ka_Mahtava_-_2011-11-02_RNS.mp3")</f>
        <v>Vrindavan_Yatra_2011_Hindi_Translation_-_Govardhan_Parikrama_ka_Mahtava_-_2011-11-02_RNS.mp3</v>
      </c>
      <c r="D5674" s="11"/>
      <c r="E5674" s="11"/>
    </row>
    <row r="5675" spans="1:5">
      <c r="A5675" s="12" t="s">
        <v>12750</v>
      </c>
      <c r="B5675" s="12" t="s">
        <v>17892</v>
      </c>
      <c r="C5675" s="13" t="str">
        <f>HYPERLINK("https://audio.iskcondesiretree.com/02_-_ISKCON_Swamis/ISKCON_Swamis_-_R_to_Y/His_Holiness_Radhanath_Swami/Lectures/Hindi_Translation/Yatra/Vrindavan_Yatra/Vrindavan_Yatra_2011_Hindi_Translation_-_Govardhan_Parikrama_ka_Mahtava_Part-01_-_2011-11-03_RNS.mp3", "Vrindavan_Yatra_2011_Hindi_Translation_-_Govardhan_Parikrama_ka_Mahtava_Part-01_-_2011-11-03_RNS.mp3")</f>
        <v>Vrindavan_Yatra_2011_Hindi_Translation_-_Govardhan_Parikrama_ka_Mahtava_Part-01_-_2011-11-03_RNS.mp3</v>
      </c>
      <c r="D5675" s="11"/>
      <c r="E5675" s="11"/>
    </row>
    <row r="5676" spans="1:5">
      <c r="A5676" s="12" t="s">
        <v>12750</v>
      </c>
      <c r="B5676" s="12" t="s">
        <v>17893</v>
      </c>
      <c r="C5676" s="13" t="str">
        <f>HYPERLINK("https://audio.iskcondesiretree.com/02_-_ISKCON_Swamis/ISKCON_Swamis_-_R_to_Y/His_Holiness_Radhanath_Swami/Lectures/Hindi_Translation/Yatra/Vrindavan_Yatra/Vrndavan_Yatra_2011_Hindi_Translation_-_Sri_Vrindavan_Dham_ki_Kripa_Prapt_karna_-_2011-10-22_RNS.mp3", "Vrndavan_Yatra_2011_Hindi_Translation_-_Sri_Vrindavan_Dham_ki_Kripa_Prapt_karna_-_2011-10-22_RNS.mp3")</f>
        <v>Vrndavan_Yatra_2011_Hindi_Translation_-_Sri_Vrindavan_Dham_ki_Kripa_Prapt_karna_-_2011-10-22_RNS.mp3</v>
      </c>
      <c r="D5676" s="11"/>
      <c r="E5676" s="11"/>
    </row>
    <row r="5677" spans="1:5">
      <c r="A5677" s="12" t="s">
        <v>12750</v>
      </c>
      <c r="B5677" s="12" t="s">
        <v>17894</v>
      </c>
      <c r="C5677" s="13" t="str">
        <f>HYPERLINK("https://audio.iskcondesiretree.com/02_-_ISKCON_Swamis/ISKCON_Swamis_-_R_to_Y/His_Holiness_Radhanath_Swami/Lectures/Hindi_Translation/Yatra/Vrindavan_Yatra/VY_2011_Hindi_Translation_-_Aghasura_ka_vadh_aur_Brahma_Vimohan_Lila_-_2011-10-28_RNS.mp3", "VY_2011_Hindi_Translation_-_Aghasura_ka_vadh_aur_Brahma_Vimohan_Lila_-_2011-10-28_RNS.mp3")</f>
        <v>VY_2011_Hindi_Translation_-_Aghasura_ka_vadh_aur_Brahma_Vimohan_Lila_-_2011-10-28_RNS.mp3</v>
      </c>
      <c r="D5677" s="11"/>
      <c r="E5677" s="11"/>
    </row>
    <row r="5678" spans="1:5">
      <c r="A5678" s="12" t="s">
        <v>12750</v>
      </c>
      <c r="B5678" s="12" t="s">
        <v>17895</v>
      </c>
      <c r="C5678" s="13" t="str">
        <f>HYPERLINK("https://audio.iskcondesiretree.com/02_-_ISKCON_Swamis/ISKCON_Swamis_-_R_to_Y/His_Holiness_Radhanath_Swami/Lectures/Hindi_Translation/Yatra/Vrindavan_Yatra/VY_2011_Hindi_Translation_-_Evening_Offerings_to_Srila_Prabhupada_-_2011-10-30_Devotees.mp3", "VY_2011_Hindi_Translation_-_Evening_Offerings_to_Srila_Prabhupada_-_2011-10-30_Devotees.mp3")</f>
        <v>VY_2011_Hindi_Translation_-_Evening_Offerings_to_Srila_Prabhupada_-_2011-10-30_Devotees.mp3</v>
      </c>
      <c r="D5678" s="11"/>
      <c r="E5678" s="11"/>
    </row>
    <row r="5679" spans="1:5">
      <c r="A5679" s="12" t="s">
        <v>12750</v>
      </c>
      <c r="B5679" s="12" t="s">
        <v>17896</v>
      </c>
      <c r="C5679" s="13" t="str">
        <f>HYPERLINK("https://audio.iskcondesiretree.com/02_-_ISKCON_Swamis/ISKCON_Swamis_-_R_to_Y/His_Holiness_Radhanath_Swami/Lectures/Hindi_Translation/Yatra/Vrindavan_Yatra/VY_2011_Hindi_Translation_-_Morning_Offerings_to_Srila_Prabhupada_-_2011-10-30_Devotees.mp3", "VY_2011_Hindi_Translation_-_Morning_Offerings_to_Srila_Prabhupada_-_2011-10-30_Devotees.mp3")</f>
        <v>VY_2011_Hindi_Translation_-_Morning_Offerings_to_Srila_Prabhupada_-_2011-10-30_Devotees.mp3</v>
      </c>
      <c r="D5679" s="11"/>
      <c r="E5679" s="11"/>
    </row>
    <row r="5680" spans="1:5">
      <c r="A5680" s="12" t="s">
        <v>12750</v>
      </c>
      <c r="B5680" s="12" t="s">
        <v>17897</v>
      </c>
      <c r="C5680" s="13" t="str">
        <f>HYPERLINK("https://audio.iskcondesiretree.com/02_-_ISKCON_Swamis/ISKCON_Swamis_-_R_to_Y/His_Holiness_Radhanath_Swami/Lectures/Hindi_Translation/Yatra/Vrindavan_Yatra/VY_2011_Hindi_Translation_-_Sri_Giriraj-Haridas_Varya_Sarvottam_Sevak_-_2011-10-27_Giriraj_Sw.mp3", "VY_2011_Hindi_Translation_-_Sri_Giriraj-Haridas_Varya_Sarvottam_Sevak_-_2011-10-27_Giriraj_Sw.mp3")</f>
        <v>VY_2011_Hindi_Translation_-_Sri_Giriraj-Haridas_Varya_Sarvottam_Sevak_-_2011-10-27_Giriraj_Sw.mp3</v>
      </c>
      <c r="D5680" s="11"/>
      <c r="E5680" s="11"/>
    </row>
    <row r="5681" spans="1:5">
      <c r="A5681" s="12" t="s">
        <v>12750</v>
      </c>
      <c r="B5681" s="12" t="s">
        <v>17898</v>
      </c>
      <c r="C5681" s="13" t="str">
        <f>HYPERLINK("https://audio.iskcondesiretree.com/02_-_ISKCON_Swamis/ISKCON_Swamis_-_R_to_Y/His_Holiness_Radhanath_Swami/Lectures/Hindi_Translation/Yatra/Vrindavan_Yatra/VY_2011_HT_-_Bhakto_ko_Prasanna_karne_se_Krsna_prasanna_hote_hai_-_11-10-29_RNS_and_Vaisesika_Pr.mp3", "VY_2011_HT_-_Bhakto_ko_Prasanna_karne_se_Krsna_prasanna_hote_hai_-_11-10-29_RNS_and_Vaisesika_Pr.mp3")</f>
        <v>VY_2011_HT_-_Bhakto_ko_Prasanna_karne_se_Krsna_prasanna_hote_hai_-_11-10-29_RNS_and_Vaisesika_Pr.mp3</v>
      </c>
      <c r="D5681" s="11"/>
      <c r="E5681" s="11"/>
    </row>
    <row r="5682" spans="1:5">
      <c r="A5682" s="12" t="s">
        <v>12750</v>
      </c>
      <c r="B5682" s="12" t="s">
        <v>17899</v>
      </c>
      <c r="C5682" s="13" t="str">
        <f>HYPERLINK("https://audio.iskcondesiretree.com/02_-_ISKCON_Swamis/ISKCON_Swamis_-_R_to_Y/His_Holiness_Radhanath_Swami/Lectures/Hindi_Translation/Yatra/Vrindavan_Yatra/VY_2011_HT_-_Sri_Sri_Radha_Govindadji_and_Sri_Sri_Madanmohanji_ki_Punarsthapna_-_2011-10-23_RNS.mp3", "VY_2011_HT_-_Sri_Sri_Radha_Govindadji_and_Sri_Sri_Madanmohanji_ki_Punarsthapna_-_2011-10-23_RNS.mp3")</f>
        <v>VY_2011_HT_-_Sri_Sri_Radha_Govindadji_and_Sri_Sri_Madanmohanji_ki_Punarsthapna_-_2011-10-23_RNS.mp3</v>
      </c>
      <c r="D5682" s="11"/>
      <c r="E5682" s="11"/>
    </row>
    <row r="5683" spans="1:5">
      <c r="A5683" s="12" t="s">
        <v>12750</v>
      </c>
      <c r="B5683" s="12" t="s">
        <v>17900</v>
      </c>
      <c r="C5683" s="13" t="str">
        <f>HYPERLINK("https://audio.iskcondesiretree.com/02_-_ISKCON_Swamis/ISKCON_Swamis_-_R_to_Y/His_Holiness_Radhanath_Swami/Lectures/Hindi_Translation/Yatra/Vrindavan_Yatra/VY_2011_HT_-_Srila_Jiva_Goswami_ne_Srila_Rupa_and_Sanatana_ka_sharan_liya_-_2011-10-25_RNS.mp3", "VY_2011_HT_-_Srila_Jiva_Goswami_ne_Srila_Rupa_and_Sanatana_ka_sharan_liya_-_2011-10-25_RNS.mp3")</f>
        <v>VY_2011_HT_-_Srila_Jiva_Goswami_ne_Srila_Rupa_and_Sanatana_ka_sharan_liya_-_2011-10-25_RNS.mp3</v>
      </c>
      <c r="D5683" s="11"/>
      <c r="E5683" s="11"/>
    </row>
    <row r="5684" spans="1:5">
      <c r="A5684" s="12" t="s">
        <v>12750</v>
      </c>
      <c r="B5684" s="12" t="s">
        <v>17901</v>
      </c>
      <c r="C5684" s="13" t="str">
        <f>HYPERLINK("https://audio.iskcondesiretree.com/02_-_ISKCON_Swamis/ISKCON_Swamis_-_R_to_Y/His_Holiness_Radhanath_Swami/Lectures/Hindi_Translation/Yatra/Vrindavan_Yatra/VY_2011_HT_-_Yatra_ka_Sahi_Bhav_aur_Vraja_ke_Pashu_vishesh_atma_hai_-_2011-11-01_MM.mp3", "VY_2011_HT_-_Yatra_ka_Sahi_Bhav_aur_Vraja_ke_Pashu_vishesh_atma_hai_-_2011-11-01_MM.mp3")</f>
        <v>VY_2011_HT_-_Yatra_ka_Sahi_Bhav_aur_Vraja_ke_Pashu_vishesh_atma_hai_-_2011-11-01_MM.mp3</v>
      </c>
      <c r="D5684" s="11"/>
      <c r="E5684" s="11"/>
    </row>
    <row r="5685" spans="1:5">
      <c r="A5685" s="12" t="s">
        <v>12750</v>
      </c>
      <c r="B5685" s="12" t="s">
        <v>17902</v>
      </c>
      <c r="C5685" s="13" t="str">
        <f>HYPERLINK("https://audio.iskcondesiretree.com/02_-_ISKCON_Swamis/ISKCON_Swamis_-_R_to_Y/His_Holiness_Radhanath_Swami/Lectures/Hindi_Translation/Yatra/Vrindavan_Yatra/VY_2011_HT_-_Yatra_ka_Sahi_Bhav_aur_Vraja_ke_Pashu_vishesh_atma_hai_-_2011-11-01_RNS.mp3", "VY_2011_HT_-_Yatra_ka_Sahi_Bhav_aur_Vraja_ke_Pashu_vishesh_atma_hai_-_2011-11-01_RNS.mp3")</f>
        <v>VY_2011_HT_-_Yatra_ka_Sahi_Bhav_aur_Vraja_ke_Pashu_vishesh_atma_hai_-_2011-11-01_RNS.mp3</v>
      </c>
      <c r="D5685" s="11"/>
      <c r="E5685" s="11"/>
    </row>
    <row r="5686" spans="1:5">
      <c r="A5686" s="12" t="s">
        <v>12750</v>
      </c>
      <c r="B5686" s="12" t="s">
        <v>17871</v>
      </c>
      <c r="C5686" s="13" t="str">
        <f>HYPERLINK("https://audio.iskcondesiretree.com/02_-_ISKCON_Swamis/ISKCON_Swamis_-_R_to_Y/His_Holiness_Radhanath_Swami/Lectures/Hindi_Translation/Yearwise/2013/2013-02-06_SB_01-02-06_Hindi_Translation_-_Radhanath_Swami_Barsana.mp3", "2013-02-06_SB_01-02-06_Hindi_Translation_-_Radhanath_Swami_Barsana.mp3")</f>
        <v>2013-02-06_SB_01-02-06_Hindi_Translation_-_Radhanath_Swami_Barsana.mp3</v>
      </c>
      <c r="D5686" s="11"/>
      <c r="E5686" s="11"/>
    </row>
    <row r="5687" spans="1:5">
      <c r="A5687" s="12" t="s">
        <v>12750</v>
      </c>
      <c r="B5687" s="12" t="s">
        <v>17903</v>
      </c>
      <c r="C5687" s="13" t="str">
        <f>HYPERLINK("https://audio.iskcondesiretree.com/02_-_ISKCON_Swamis/ISKCON_Swamis_-_R_to_Y/His_Holiness_Radhanath_Swami/Lectures/Hindi_Translation/Yearwise/2014/2014-02-04_Various_Hindi_Translation_-_Sacred_Path_of_Grhastha_Ashram_-_Radhanath_Swami_Mumbai.mp3", "2014-02-04_Various_Hindi_Translation_-_Sacred_Path_of_Grhastha_Ashram_-_Radhanath_Swami_Mumbai.mp3")</f>
        <v>2014-02-04_Various_Hindi_Translation_-_Sacred_Path_of_Grhastha_Ashram_-_Radhanath_Swami_Mumbai.mp3</v>
      </c>
      <c r="D5687" s="11"/>
      <c r="E5687" s="11"/>
    </row>
    <row r="5688" spans="1:5">
      <c r="A5688" s="12" t="s">
        <v>12750</v>
      </c>
      <c r="B5688" s="12" t="s">
        <v>17904</v>
      </c>
      <c r="C5688" s="13" t="str">
        <f>HYPERLINK("https://audio.iskcondesiretree.com/02_-_ISKCON_Swamis/ISKCON_Swamis_-_R_to_Y/His_Holiness_Radhanath_Swami/Lectures/Hindi_Translation/Yearwise/2014/2014-03-08_SB_10-40-04-05_Hindi_Translation_-_Separation_From_Krishna_-_Radhanath_Swami_ISKCON_Chowpatty.mp3", "2014-03-08_SB_10-40-04-05_Hindi_Translation_-_Separation_From_Krishna_-_Radhanath_Swami_ISKCON_Chowpatty.mp3")</f>
        <v>2014-03-08_SB_10-40-04-05_Hindi_Translation_-_Separation_From_Krishna_-_Radhanath_Swami_ISKCON_Chowpatty.mp3</v>
      </c>
      <c r="D5688" s="11"/>
      <c r="E5688" s="11"/>
    </row>
    <row r="5689" spans="1:5">
      <c r="A5689" s="12" t="s">
        <v>12751</v>
      </c>
      <c r="B5689" s="12" t="s">
        <v>12752</v>
      </c>
      <c r="C5689" s="13" t="str">
        <f>HYPERLINK("https://audio.iskcondesiretree.com/02_-_ISKCON_Swamis/ISKCON_Swamis_-_R_to_Y/His_Holiness_Radhanath_Swami/Lectures/Ramayana/Ramayana_-_01_The_Great_Demon_Ravana_-_Radhanath_Swami.mp3", "Ramayana_-_01_The_Great_Demon_Ravana_-_Radhanath_Swami.mp3")</f>
        <v>Ramayana_-_01_The_Great_Demon_Ravana_-_Radhanath_Swami.mp3</v>
      </c>
      <c r="D5689" s="11"/>
      <c r="E5689" s="11"/>
    </row>
    <row r="5690" spans="1:5">
      <c r="A5690" s="12" t="s">
        <v>12751</v>
      </c>
      <c r="B5690" s="12" t="s">
        <v>12753</v>
      </c>
      <c r="C5690" s="13" t="str">
        <f>HYPERLINK("https://audio.iskcondesiretree.com/02_-_ISKCON_Swamis/ISKCON_Swamis_-_R_to_Y/His_Holiness_Radhanath_Swami/Lectures/Ramayana/Ramayana_-_02_The_Glorious_Kingdom_of_Ayodhya_-_Radhanath_Swami.mp3", "Ramayana_-_02_The_Glorious_Kingdom_of_Ayodhya_-_Radhanath_Swami.mp3")</f>
        <v>Ramayana_-_02_The_Glorious_Kingdom_of_Ayodhya_-_Radhanath_Swami.mp3</v>
      </c>
      <c r="D5690" s="11"/>
      <c r="E5690" s="11"/>
    </row>
    <row r="5691" spans="1:5">
      <c r="A5691" s="12" t="s">
        <v>12751</v>
      </c>
      <c r="B5691" s="12" t="s">
        <v>12754</v>
      </c>
      <c r="C5691" s="13" t="str">
        <f>HYPERLINK("https://audio.iskcondesiretree.com/02_-_ISKCON_Swamis/ISKCON_Swamis_-_R_to_Y/His_Holiness_Radhanath_Swami/Lectures/Ramayana/Ramayana_-_03_The_Descent_of_Lord_Rama_-_Radhanath_Swami.mp3", "Ramayana_-_03_The_Descent_of_Lord_Rama_-_Radhanath_Swami.mp3")</f>
        <v>Ramayana_-_03_The_Descent_of_Lord_Rama_-_Radhanath_Swami.mp3</v>
      </c>
      <c r="D5691" s="11"/>
      <c r="E5691" s="11"/>
    </row>
    <row r="5692" spans="1:5">
      <c r="A5692" s="12" t="s">
        <v>12751</v>
      </c>
      <c r="B5692" s="12" t="s">
        <v>12755</v>
      </c>
      <c r="C5692" s="13" t="str">
        <f>HYPERLINK("https://audio.iskcondesiretree.com/02_-_ISKCON_Swamis/ISKCON_Swamis_-_R_to_Y/His_Holiness_Radhanath_Swami/Lectures/Ramayana/Ramayana_-_04_Lord_Ramachandra_Assists_Visvamitra_Muni_-_Radhanath_Swami.mp3", "Ramayana_-_04_Lord_Ramachandra_Assists_Visvamitra_Muni_-_Radhanath_Swami.mp3")</f>
        <v>Ramayana_-_04_Lord_Ramachandra_Assists_Visvamitra_Muni_-_Radhanath_Swami.mp3</v>
      </c>
      <c r="D5692" s="11"/>
      <c r="E5692" s="11"/>
    </row>
    <row r="5693" spans="1:5">
      <c r="A5693" s="12" t="s">
        <v>12751</v>
      </c>
      <c r="B5693" s="12" t="s">
        <v>12756</v>
      </c>
      <c r="C5693" s="13" t="str">
        <f>HYPERLINK("https://audio.iskcondesiretree.com/02_-_ISKCON_Swamis/ISKCON_Swamis_-_R_to_Y/His_Holiness_Radhanath_Swami/Lectures/Ramayana/Ramayana_-_05_The_Deliverance_of_Ahalya_-_Radhanath_Swami.mp3", "Ramayana_-_05_The_Deliverance_of_Ahalya_-_Radhanath_Swami.mp3")</f>
        <v>Ramayana_-_05_The_Deliverance_of_Ahalya_-_Radhanath_Swami.mp3</v>
      </c>
      <c r="D5693" s="11"/>
      <c r="E5693" s="11"/>
    </row>
    <row r="5694" spans="1:5">
      <c r="A5694" s="12" t="s">
        <v>12751</v>
      </c>
      <c r="B5694" s="12" t="s">
        <v>12757</v>
      </c>
      <c r="C5694" s="13" t="str">
        <f>HYPERLINK("https://audio.iskcondesiretree.com/02_-_ISKCON_Swamis/ISKCON_Swamis_-_R_to_Y/His_Holiness_Radhanath_Swami/Lectures/Ramayana/Ramayana_-_06_The_Marriage_of_Sita_and_Rama_-_Radhanath_Swami.mp3", "Ramayana_-_06_The_Marriage_of_Sita_and_Rama_-_Radhanath_Swami.mp3")</f>
        <v>Ramayana_-_06_The_Marriage_of_Sita_and_Rama_-_Radhanath_Swami.mp3</v>
      </c>
      <c r="D5694" s="11"/>
      <c r="E5694" s="11"/>
    </row>
    <row r="5695" spans="1:5">
      <c r="A5695" s="12" t="s">
        <v>12751</v>
      </c>
      <c r="B5695" s="12" t="s">
        <v>12758</v>
      </c>
      <c r="C5695" s="13" t="str">
        <f>HYPERLINK("https://audio.iskcondesiretree.com/02_-_ISKCON_Swamis/ISKCON_Swamis_-_R_to_Y/His_Holiness_Radhanath_Swami/Lectures/Ramayana/Ramayana_-_07_The_Conspiracy_-_Radhanath_Swami.mp3", "Ramayana_-_07_The_Conspiracy_-_Radhanath_Swami.mp3")</f>
        <v>Ramayana_-_07_The_Conspiracy_-_Radhanath_Swami.mp3</v>
      </c>
      <c r="D5695" s="11"/>
      <c r="E5695" s="11"/>
    </row>
    <row r="5696" spans="1:5">
      <c r="A5696" s="12" t="s">
        <v>12751</v>
      </c>
      <c r="B5696" s="12" t="s">
        <v>12759</v>
      </c>
      <c r="C5696" s="13" t="str">
        <f>HYPERLINK("https://audio.iskcondesiretree.com/02_-_ISKCON_Swamis/ISKCON_Swamis_-_R_to_Y/His_Holiness_Radhanath_Swami/Lectures/Ramayana/Ramayana_-_08_Sri_Rama%27s_Banishment_to_the_Forest_-_Radhanath_Swami.mp3", "Ramayana_-_08_Sri_Rama%27s_Banishment_to_the_Forest_-_Radhanath_Swami.mp3")</f>
        <v>Ramayana_-_08_Sri_Rama%27s_Banishment_to_the_Forest_-_Radhanath_Swami.mp3</v>
      </c>
      <c r="D5696" s="11"/>
      <c r="E5696" s="11"/>
    </row>
    <row r="5697" spans="1:5">
      <c r="A5697" s="12" t="s">
        <v>12751</v>
      </c>
      <c r="B5697" s="12" t="s">
        <v>12760</v>
      </c>
      <c r="C5697" s="13" t="str">
        <f>HYPERLINK("https://audio.iskcondesiretree.com/02_-_ISKCON_Swamis/ISKCON_Swamis_-_R_to_Y/His_Holiness_Radhanath_Swami/Lectures/Ramayana/Ramayana_-_09_A_Simple_Life_in_the_Forest_-_Radhanath_Swami.mp3", "Ramayana_-_09_A_Simple_Life_in_the_Forest_-_Radhanath_Swami.mp3")</f>
        <v>Ramayana_-_09_A_Simple_Life_in_the_Forest_-_Radhanath_Swami.mp3</v>
      </c>
      <c r="D5697" s="11"/>
      <c r="E5697" s="11"/>
    </row>
    <row r="5698" spans="1:5">
      <c r="A5698" s="12" t="s">
        <v>12751</v>
      </c>
      <c r="B5698" s="12" t="s">
        <v>12761</v>
      </c>
      <c r="C5698" s="13" t="str">
        <f>HYPERLINK("https://audio.iskcondesiretree.com/02_-_ISKCON_Swamis/ISKCON_Swamis_-_R_to_Y/His_Holiness_Radhanath_Swami/Lectures/Ramayana/Ramayana_-_10_Killing_Demons_in_the_Dandakaranya_Forest_-_Radhanath_Swami.mp3", "Ramayana_-_10_Killing_Demons_in_the_Dandakaranya_Forest_-_Radhanath_Swami.mp3")</f>
        <v>Ramayana_-_10_Killing_Demons_in_the_Dandakaranya_Forest_-_Radhanath_Swami.mp3</v>
      </c>
      <c r="D5698" s="11"/>
      <c r="E5698" s="11"/>
    </row>
    <row r="5699" spans="1:5">
      <c r="A5699" s="12" t="s">
        <v>12751</v>
      </c>
      <c r="B5699" s="12" t="s">
        <v>12762</v>
      </c>
      <c r="C5699" s="13" t="str">
        <f>HYPERLINK("https://audio.iskcondesiretree.com/02_-_ISKCON_Swamis/ISKCON_Swamis_-_R_to_Y/His_Holiness_Radhanath_Swami/Lectures/Ramayana/Ramayana_-_11_Encounter_with_the_Demoness_Surpanakha_-_Radhanath_Swami.mp3", "Ramayana_-_11_Encounter_with_the_Demoness_Surpanakha_-_Radhanath_Swami.mp3")</f>
        <v>Ramayana_-_11_Encounter_with_the_Demoness_Surpanakha_-_Radhanath_Swami.mp3</v>
      </c>
      <c r="D5699" s="11"/>
      <c r="E5699" s="11"/>
    </row>
    <row r="5700" spans="1:5">
      <c r="A5700" s="12" t="s">
        <v>12751</v>
      </c>
      <c r="B5700" s="12" t="s">
        <v>12763</v>
      </c>
      <c r="C5700" s="13" t="str">
        <f>HYPERLINK("https://audio.iskcondesiretree.com/02_-_ISKCON_Swamis/ISKCON_Swamis_-_R_to_Y/His_Holiness_Radhanath_Swami/Lectures/Ramayana/Ramayana_-_12_The_Kidnapping_of_Sita_-_Radhanath_Swami.mp3", "Ramayana_-_12_The_Kidnapping_of_Sita_-_Radhanath_Swami.mp3")</f>
        <v>Ramayana_-_12_The_Kidnapping_of_Sita_-_Radhanath_Swami.mp3</v>
      </c>
      <c r="D5700" s="11"/>
      <c r="E5700" s="11"/>
    </row>
    <row r="5701" spans="1:5">
      <c r="A5701" s="12" t="s">
        <v>12751</v>
      </c>
      <c r="B5701" s="12" t="s">
        <v>12764</v>
      </c>
      <c r="C5701" s="13" t="str">
        <f>HYPERLINK("https://audio.iskcondesiretree.com/02_-_ISKCON_Swamis/ISKCON_Swamis_-_R_to_Y/His_Holiness_Radhanath_Swami/Lectures/Ramayana/Ramayana_-_13_Jatayu%27s_Great_Sacrifice_-_Radhanath_Swami.mp3", "Ramayana_-_13_Jatayu%27s_Great_Sacrifice_-_Radhanath_Swami.mp3")</f>
        <v>Ramayana_-_13_Jatayu%27s_Great_Sacrifice_-_Radhanath_Swami.mp3</v>
      </c>
      <c r="D5701" s="11"/>
      <c r="E5701" s="11"/>
    </row>
    <row r="5702" spans="1:5">
      <c r="A5702" s="12" t="s">
        <v>12751</v>
      </c>
      <c r="B5702" s="12" t="s">
        <v>12765</v>
      </c>
      <c r="C5702" s="13" t="str">
        <f>HYPERLINK("https://audio.iskcondesiretree.com/02_-_ISKCON_Swamis/ISKCON_Swamis_-_R_to_Y/His_Holiness_Radhanath_Swami/Lectures/Ramayana/Ramayana_-_14_Pastimes_of_Sri_Hanuman_-_Radhanath_Swami.mp3", "Ramayana_-_14_Pastimes_of_Sri_Hanuman_-_Radhanath_Swami.mp3")</f>
        <v>Ramayana_-_14_Pastimes_of_Sri_Hanuman_-_Radhanath_Swami.mp3</v>
      </c>
      <c r="D5702" s="11"/>
      <c r="E5702" s="11"/>
    </row>
    <row r="5703" spans="1:5">
      <c r="A5703" s="12" t="s">
        <v>12751</v>
      </c>
      <c r="B5703" s="12" t="s">
        <v>12766</v>
      </c>
      <c r="C5703" s="13" t="str">
        <f>HYPERLINK("https://audio.iskcondesiretree.com/02_-_ISKCON_Swamis/ISKCON_Swamis_-_R_to_Y/His_Holiness_Radhanath_Swami/Lectures/Ramayana/Ramayana_-_15_Lord_Rama_Makes_Allies_with_Sugriva_-_Radhanath_Swami.mp3", "Ramayana_-_15_Lord_Rama_Makes_Allies_with_Sugriva_-_Radhanath_Swami.mp3")</f>
        <v>Ramayana_-_15_Lord_Rama_Makes_Allies_with_Sugriva_-_Radhanath_Swami.mp3</v>
      </c>
      <c r="D5703" s="11"/>
      <c r="E5703" s="11"/>
    </row>
    <row r="5704" spans="1:5">
      <c r="A5704" s="12" t="s">
        <v>12751</v>
      </c>
      <c r="B5704" s="12" t="s">
        <v>12767</v>
      </c>
      <c r="C5704" s="13" t="str">
        <f>HYPERLINK("https://audio.iskcondesiretree.com/02_-_ISKCON_Swamis/ISKCON_Swamis_-_R_to_Y/His_Holiness_Radhanath_Swami/Lectures/Ramayana/Ramayana_-_16_The_Search_for_Sitadevi_-_Radhanath_Swami.mp3", "Ramayana_-_16_The_Search_for_Sitadevi_-_Radhanath_Swami.mp3")</f>
        <v>Ramayana_-_16_The_Search_for_Sitadevi_-_Radhanath_Swami.mp3</v>
      </c>
      <c r="D5704" s="11"/>
      <c r="E5704" s="11"/>
    </row>
    <row r="5705" spans="1:5">
      <c r="A5705" s="12" t="s">
        <v>12751</v>
      </c>
      <c r="B5705" s="12" t="s">
        <v>12768</v>
      </c>
      <c r="C5705" s="13" t="str">
        <f>HYPERLINK("https://audio.iskcondesiretree.com/02_-_ISKCON_Swamis/ISKCON_Swamis_-_R_to_Y/His_Holiness_Radhanath_Swami/Lectures/Ramayana/Ramayana_-_17_The_Rescue_of_Sitadevi_-_Radhanath_Swami.mp3", "Ramayana_-_17_The_Rescue_of_Sitadevi_-_Radhanath_Swami.mp3")</f>
        <v>Ramayana_-_17_The_Rescue_of_Sitadevi_-_Radhanath_Swami.mp3</v>
      </c>
      <c r="D5705" s="11"/>
      <c r="E5705" s="11"/>
    </row>
    <row r="5706" spans="1:5">
      <c r="A5706" s="12" t="s">
        <v>12751</v>
      </c>
      <c r="B5706" s="12" t="s">
        <v>12769</v>
      </c>
      <c r="C5706" s="13" t="str">
        <f>HYPERLINK("https://audio.iskcondesiretree.com/02_-_ISKCON_Swamis/ISKCON_Swamis_-_R_to_Y/His_Holiness_Radhanath_Swami/Lectures/Ramayana/Ramayana_-_18_Hanuman_Finds_Sitadevi_-_Radhanath_Swami.mp3", "Ramayana_-_18_Hanuman_Finds_Sitadevi_-_Radhanath_Swami.mp3")</f>
        <v>Ramayana_-_18_Hanuman_Finds_Sitadevi_-_Radhanath_Swami.mp3</v>
      </c>
      <c r="D5706" s="11"/>
      <c r="E5706" s="11"/>
    </row>
    <row r="5707" spans="1:5">
      <c r="A5707" s="12" t="s">
        <v>12751</v>
      </c>
      <c r="B5707" s="12" t="s">
        <v>12770</v>
      </c>
      <c r="C5707" s="13" t="str">
        <f>HYPERLINK("https://audio.iskcondesiretree.com/02_-_ISKCON_Swamis/ISKCON_Swamis_-_R_to_Y/His_Holiness_Radhanath_Swami/Lectures/Ramayana/Ramayana_-_19_The_Battle_of_Sri_Lanka_-_Radhanath_Swami.mp3", "Ramayana_-_19_The_Battle_of_Sri_Lanka_-_Radhanath_Swami.mp3")</f>
        <v>Ramayana_-_19_The_Battle_of_Sri_Lanka_-_Radhanath_Swami.mp3</v>
      </c>
      <c r="D5707" s="11"/>
      <c r="E5707" s="11"/>
    </row>
    <row r="5708" spans="1:5">
      <c r="A5708" s="12" t="s">
        <v>12751</v>
      </c>
      <c r="B5708" s="12" t="s">
        <v>12771</v>
      </c>
      <c r="C5708" s="13" t="str">
        <f>HYPERLINK("https://audio.iskcondesiretree.com/02_-_ISKCON_Swamis/ISKCON_Swamis_-_R_to_Y/His_Holiness_Radhanath_Swami/Lectures/Ramayana/Ramayana_-_20_Lord_Rama_Returns_to_Ayodhya_-_Radhanath_Swami.mp3", "Ramayana_-_20_Lord_Rama_Returns_to_Ayodhya_-_Radhanath_Swami.mp3")</f>
        <v>Ramayana_-_20_Lord_Rama_Returns_to_Ayodhya_-_Radhanath_Swami.mp3</v>
      </c>
      <c r="D5708" s="11"/>
      <c r="E5708" s="11"/>
    </row>
    <row r="5709" spans="1:5">
      <c r="A5709" s="12" t="s">
        <v>12751</v>
      </c>
      <c r="B5709" s="12" t="s">
        <v>12772</v>
      </c>
      <c r="C5709" s="13" t="str">
        <f>HYPERLINK("https://audio.iskcondesiretree.com/02_-_ISKCON_Swamis/ISKCON_Swamis_-_R_to_Y/His_Holiness_Radhanath_Swami/Lectures/Ramayana/Ramayana_-_21_Sri_Rama%2C_the_Eternal_King_of_Ayodhya_-_Radhanath_Swami.mp3", "Ramayana_-_21_Sri_Rama%2C_the_Eternal_King_of_Ayodhya_-_Radhanath_Swami.mp3")</f>
        <v>Ramayana_-_21_Sri_Rama%2C_the_Eternal_King_of_Ayodhya_-_Radhanath_Swami.mp3</v>
      </c>
      <c r="D5709" s="11"/>
      <c r="E5709" s="11"/>
    </row>
    <row r="5710" spans="1:5">
      <c r="A5710" s="12" t="s">
        <v>12773</v>
      </c>
      <c r="B5710" s="12" t="s">
        <v>17905</v>
      </c>
      <c r="C5710" s="13" t="str">
        <f>HYPERLINK("https://audio.iskcondesiretree.com/02_-_ISKCON_Swamis/ISKCON_Swamis_-_R_to_Y/His_Holiness_Radhanath_Swami/Lectures/Russian_Translation/Brihad_Bhagvatmrita/1999_Day-01_Part-01_-_Brihad_Bhagvatmrita_Introduction_-_Radhanath_Swami.mp3", "1999_Day-01_Part-01_-_Brihad_Bhagvatmrita_Introduction_-_Radhanath_Swami.mp3")</f>
        <v>1999_Day-01_Part-01_-_Brihad_Bhagvatmrita_Introduction_-_Radhanath_Swami.mp3</v>
      </c>
      <c r="D5710" s="11"/>
      <c r="E5710" s="11"/>
    </row>
    <row r="5711" spans="1:5">
      <c r="A5711" s="12" t="s">
        <v>12773</v>
      </c>
      <c r="B5711" s="12" t="s">
        <v>17906</v>
      </c>
      <c r="C5711" s="13" t="str">
        <f>HYPERLINK("https://audio.iskcondesiretree.com/02_-_ISKCON_Swamis/ISKCON_Swamis_-_R_to_Y/His_Holiness_Radhanath_Swami/Lectures/Russian_Translation/Brihad_Bhagvatmrita/1999_Day-01_Part-02_-_Brihad_Bhagvatmrita_Narada_Muni_is_looking_great_bhakta_-_Radhanath_Swami.mp3", "1999_Day-01_Part-02_-_Brihad_Bhagvatmrita_Narada_Muni_is_looking_great_bhakta_-_Radhanath_Swami.mp3")</f>
        <v>1999_Day-01_Part-02_-_Brihad_Bhagvatmrita_Narada_Muni_is_looking_great_bhakta_-_Radhanath_Swami.mp3</v>
      </c>
      <c r="D5711" s="11"/>
      <c r="E5711" s="11"/>
    </row>
    <row r="5712" spans="1:5">
      <c r="A5712" s="12" t="s">
        <v>12773</v>
      </c>
      <c r="B5712" s="12" t="e">
        <v>#VALUE!</v>
      </c>
      <c r="C5712" s="13" t="e">
        <f>HYPERLINK("https://audio.iskcondesiretree.com/02_-_ISKCON_Swamis/ISKCON_Swamis_-_R_to_Y/His_Holiness_Radhanath_Swami/Lectures/Russian_Translation/Brihad_Bhagvatmrita/1999_Day-01_Part-03_-_Brihad_Bhagvatmrita_King_on_earth_and_King_Indra_in_heaven_-_Radhanath_swami.m"&amp;"p3", "1999_Day-01_Part-03_-_Brihad_Bhagvatmrita_King_on_earth_and_King_Indra_in_heaven_-_Radhanath_swami.mp3")</f>
        <v>#VALUE!</v>
      </c>
      <c r="D5712" s="11"/>
      <c r="E5712" s="11"/>
    </row>
    <row r="5713" spans="1:5">
      <c r="A5713" s="12" t="s">
        <v>12773</v>
      </c>
      <c r="B5713" s="12" t="s">
        <v>17907</v>
      </c>
      <c r="C5713" s="13" t="str">
        <f>HYPERLINK("https://audio.iskcondesiretree.com/02_-_ISKCON_Swamis/ISKCON_Swamis_-_R_to_Y/His_Holiness_Radhanath_Swami/Lectures/Russian_Translation/Brihad_Bhagvatmrita/1999_Day-02_Part-01_-_Brihad_Bhagvatmrita_Brahmaloka_-_Radhanath_Swami.mp3", "1999_Day-02_Part-01_-_Brihad_Bhagvatmrita_Brahmaloka_-_Radhanath_Swami.mp3")</f>
        <v>1999_Day-02_Part-01_-_Brihad_Bhagvatmrita_Brahmaloka_-_Radhanath_Swami.mp3</v>
      </c>
      <c r="D5713" s="11"/>
      <c r="E5713" s="11"/>
    </row>
    <row r="5714" spans="1:5">
      <c r="A5714" s="12" t="s">
        <v>12773</v>
      </c>
      <c r="B5714" s="12" t="s">
        <v>17908</v>
      </c>
      <c r="C5714" s="13" t="str">
        <f>HYPERLINK("https://audio.iskcondesiretree.com/02_-_ISKCON_Swamis/ISKCON_Swamis_-_R_to_Y/His_Holiness_Radhanath_Swami/Lectures/Russian_Translation/Brihad_Bhagvatmrita/1999_Day-02_Part-02_-_Brihad_Bhagvatmrita_Shivaloka_-_Radhanath_Swami.mp3", "1999_Day-02_Part-02_-_Brihad_Bhagvatmrita_Shivaloka_-_Radhanath_Swami.mp3")</f>
        <v>1999_Day-02_Part-02_-_Brihad_Bhagvatmrita_Shivaloka_-_Radhanath_Swami.mp3</v>
      </c>
      <c r="D5714" s="11"/>
      <c r="E5714" s="11"/>
    </row>
    <row r="5715" spans="1:5">
      <c r="A5715" s="12" t="s">
        <v>12773</v>
      </c>
      <c r="B5715" s="12" t="s">
        <v>17909</v>
      </c>
      <c r="C5715" s="13" t="str">
        <f>HYPERLINK("https://audio.iskcondesiretree.com/02_-_ISKCON_Swamis/ISKCON_Swamis_-_R_to_Y/His_Holiness_Radhanath_Swami/Lectures/Russian_Translation/Brihad_Bhagvatmrita/1999_Day-03_Part-01_-_Brihad_Bhagvatmrita_Meeting_with_Prahlada_-_Radhanath_Swami.mp3", "1999_Day-03_Part-01_-_Brihad_Bhagvatmrita_Meeting_with_Prahlada_-_Radhanath_Swami.mp3")</f>
        <v>1999_Day-03_Part-01_-_Brihad_Bhagvatmrita_Meeting_with_Prahlada_-_Radhanath_Swami.mp3</v>
      </c>
      <c r="D5715" s="11"/>
      <c r="E5715" s="11"/>
    </row>
    <row r="5716" spans="1:5">
      <c r="A5716" s="12" t="s">
        <v>12773</v>
      </c>
      <c r="B5716" s="12" t="s">
        <v>17910</v>
      </c>
      <c r="C5716" s="13" t="str">
        <f>HYPERLINK("https://audio.iskcondesiretree.com/02_-_ISKCON_Swamis/ISKCON_Swamis_-_R_to_Y/His_Holiness_Radhanath_Swami/Lectures/Russian_Translation/Brihad_Bhagvatmrita/1999_Day-03_Part-02_-_Brihad_Bhagvatmrita_History_of_Hanuman_-_Radhanath_Swami.mp3", "1999_Day-03_Part-02_-_Brihad_Bhagvatmrita_History_of_Hanuman_-_Radhanath_Swami.mp3")</f>
        <v>1999_Day-03_Part-02_-_Brihad_Bhagvatmrita_History_of_Hanuman_-_Radhanath_Swami.mp3</v>
      </c>
      <c r="D5716" s="11"/>
      <c r="E5716" s="11"/>
    </row>
    <row r="5717" spans="1:5">
      <c r="A5717" s="12" t="s">
        <v>12773</v>
      </c>
      <c r="B5717" s="12" t="s">
        <v>17911</v>
      </c>
      <c r="C5717" s="13" t="str">
        <f>HYPERLINK("https://audio.iskcondesiretree.com/02_-_ISKCON_Swamis/ISKCON_Swamis_-_R_to_Y/His_Holiness_Radhanath_Swami/Lectures/Russian_Translation/Brihad_Bhagvatmrita/1999_Day-04_Part-01_-_Brihad_Bhagvatmrita_The_importance_of_hearing_-_Radhanath_Swami.mp3", "1999_Day-04_Part-01_-_Brihad_Bhagvatmrita_The_importance_of_hearing_-_Radhanath_Swami.mp3")</f>
        <v>1999_Day-04_Part-01_-_Brihad_Bhagvatmrita_The_importance_of_hearing_-_Radhanath_Swami.mp3</v>
      </c>
      <c r="D5717" s="11"/>
      <c r="E5717" s="11"/>
    </row>
    <row r="5718" spans="1:5">
      <c r="A5718" s="12" t="s">
        <v>12773</v>
      </c>
      <c r="B5718" s="12" t="s">
        <v>17912</v>
      </c>
      <c r="C5718" s="13" t="str">
        <f>HYPERLINK("https://audio.iskcondesiretree.com/02_-_ISKCON_Swamis/ISKCON_Swamis_-_R_to_Y/His_Holiness_Radhanath_Swami/Lectures/Russian_Translation/Brihad_Bhagvatmrita/1999_Day-04_Part-02_-_Brihad_Bhagvatmrita_Meeting_with_Hanuman_-_Radhanath_Swami.mp3", "1999_Day-04_Part-02_-_Brihad_Bhagvatmrita_Meeting_with_Hanuman_-_Radhanath_Swami.mp3")</f>
        <v>1999_Day-04_Part-02_-_Brihad_Bhagvatmrita_Meeting_with_Hanuman_-_Radhanath_Swami.mp3</v>
      </c>
      <c r="D5718" s="11"/>
      <c r="E5718" s="11"/>
    </row>
    <row r="5719" spans="1:5">
      <c r="A5719" s="12" t="s">
        <v>12773</v>
      </c>
      <c r="B5719" s="12" t="s">
        <v>17913</v>
      </c>
      <c r="C5719" s="13" t="str">
        <f>HYPERLINK("https://audio.iskcondesiretree.com/02_-_ISKCON_Swamis/ISKCON_Swamis_-_R_to_Y/His_Holiness_Radhanath_Swami/Lectures/Russian_Translation/Brihad_Bhagvatmrita/1999_Day-04_Part-03_-_Brihad_Bhagvatmrita_Hanuman_glorifies_the_Pandavas_-_Radhanath_Swami.mp3", "1999_Day-04_Part-03_-_Brihad_Bhagvatmrita_Hanuman_glorifies_the_Pandavas_-_Radhanath_Swami.mp3")</f>
        <v>1999_Day-04_Part-03_-_Brihad_Bhagvatmrita_Hanuman_glorifies_the_Pandavas_-_Radhanath_Swami.mp3</v>
      </c>
      <c r="D5719" s="11"/>
      <c r="E5719" s="11"/>
    </row>
    <row r="5720" spans="1:5">
      <c r="A5720" s="12" t="s">
        <v>12773</v>
      </c>
      <c r="B5720" s="12" t="s">
        <v>17914</v>
      </c>
      <c r="C5720" s="13" t="str">
        <f>HYPERLINK("https://audio.iskcondesiretree.com/02_-_ISKCON_Swamis/ISKCON_Swamis_-_R_to_Y/His_Holiness_Radhanath_Swami/Lectures/Russian_Translation/Brihad_Bhagvatmrita/1999_Day-05_Part-01_-_Brihad_Bhagvatmrita_Description_of_Fame_Pandavas_-_Radhanath_Swami.mp3", "1999_Day-05_Part-01_-_Brihad_Bhagvatmrita_Description_of_Fame_Pandavas_-_Radhanath_Swami.mp3")</f>
        <v>1999_Day-05_Part-01_-_Brihad_Bhagvatmrita_Description_of_Fame_Pandavas_-_Radhanath_Swami.mp3</v>
      </c>
      <c r="D5720" s="11"/>
      <c r="E5720" s="11"/>
    </row>
    <row r="5721" spans="1:5">
      <c r="A5721" s="12" t="s">
        <v>12773</v>
      </c>
      <c r="B5721" s="12" t="s">
        <v>17915</v>
      </c>
      <c r="C5721" s="13" t="str">
        <f>HYPERLINK("https://audio.iskcondesiretree.com/02_-_ISKCON_Swamis/ISKCON_Swamis_-_R_to_Y/His_Holiness_Radhanath_Swami/Lectures/Russian_Translation/Brihad_Bhagvatmrita/1999_Day-06_Part-01_-_Brihad_Bhagvatmrita_About_Sanatana_Goswami_-_Radhanath_Swami.mp3", "1999_Day-06_Part-01_-_Brihad_Bhagvatmrita_About_Sanatana_Goswami_-_Radhanath_Swami.mp3")</f>
        <v>1999_Day-06_Part-01_-_Brihad_Bhagvatmrita_About_Sanatana_Goswami_-_Radhanath_Swami.mp3</v>
      </c>
      <c r="D5721" s="11"/>
      <c r="E5721" s="11"/>
    </row>
    <row r="5722" spans="1:5">
      <c r="A5722" s="12" t="s">
        <v>12773</v>
      </c>
      <c r="B5722" s="12" t="s">
        <v>17916</v>
      </c>
      <c r="C5722" s="13" t="str">
        <f>HYPERLINK("https://audio.iskcondesiretree.com/02_-_ISKCON_Swamis/ISKCON_Swamis_-_R_to_Y/His_Holiness_Radhanath_Swami/Lectures/Russian_Translation/Brihad_Bhagvatmrita/1999_Day-06_Part-02_-_Brihad_Bhagvatmrita_Message_from_the_audience_-_Radhanath_Swami.mp3", "1999_Day-06_Part-02_-_Brihad_Bhagvatmrita_Message_from_the_audience_-_Radhanath_Swami.mp3")</f>
        <v>1999_Day-06_Part-02_-_Brihad_Bhagvatmrita_Message_from_the_audience_-_Radhanath_Swami.mp3</v>
      </c>
      <c r="D5722" s="11"/>
      <c r="E5722" s="11"/>
    </row>
    <row r="5723" spans="1:5">
      <c r="A5723" s="12" t="s">
        <v>12773</v>
      </c>
      <c r="B5723" s="12" t="s">
        <v>17917</v>
      </c>
      <c r="C5723" s="13" t="str">
        <f>HYPERLINK("https://audio.iskcondesiretree.com/02_-_ISKCON_Swamis/ISKCON_Swamis_-_R_to_Y/His_Holiness_Radhanath_Swami/Lectures/Russian_Translation/Brihad_Bhagvatmrita/1999_Day-06_Part-03_-_Brihad_Bhagvatmrita_Fame_and_fortune_Yadavov_-_Radhanath_Swami.mp3", "1999_Day-06_Part-03_-_Brihad_Bhagvatmrita_Fame_and_fortune_Yadavov_-_Radhanath_Swami.mp3")</f>
        <v>1999_Day-06_Part-03_-_Brihad_Bhagvatmrita_Fame_and_fortune_Yadavov_-_Radhanath_Swami.mp3</v>
      </c>
      <c r="D5723" s="11"/>
      <c r="E5723" s="11"/>
    </row>
    <row r="5724" spans="1:5">
      <c r="A5724" s="12" t="s">
        <v>12773</v>
      </c>
      <c r="B5724" s="12" t="s">
        <v>17918</v>
      </c>
      <c r="C5724" s="13" t="str">
        <f>HYPERLINK("https://audio.iskcondesiretree.com/02_-_ISKCON_Swamis/ISKCON_Swamis_-_R_to_Y/His_Holiness_Radhanath_Swami/Lectures/Russian_Translation/Brihad_Bhagvatmrita/1999_Day-06_Part-04_-_Brihad_Bhagvatmrita_Glory_Vrad%C5%BEa_yours_-_Radhanath_Swami.mp3", "1999_Day-06_Part-04_-_Brihad_Bhagvatmrita_Glory_Vrad%C5%BEa_yours_-_Radhanath_Swami.mp3")</f>
        <v>1999_Day-06_Part-04_-_Brihad_Bhagvatmrita_Glory_Vrad%C5%BEa_yours_-_Radhanath_Swami.mp3</v>
      </c>
      <c r="D5724" s="11"/>
      <c r="E5724" s="11"/>
    </row>
    <row r="5725" spans="1:5">
      <c r="A5725" s="12" t="s">
        <v>12773</v>
      </c>
      <c r="B5725" s="12" t="s">
        <v>17919</v>
      </c>
      <c r="C5725" s="13" t="str">
        <f>HYPERLINK("https://audio.iskcondesiretree.com/02_-_ISKCON_Swamis/ISKCON_Swamis_-_R_to_Y/His_Holiness_Radhanath_Swami/Lectures/Russian_Translation/Brihad_Bhagvatmrita/1999_Day-06_Part-05_-_Brihad_Bhagvatmrita_Glory_Uddhava_-_Radhanath_Swami.mp3", "1999_Day-06_Part-05_-_Brihad_Bhagvatmrita_Glory_Uddhava_-_Radhanath_Swami.mp3")</f>
        <v>1999_Day-06_Part-05_-_Brihad_Bhagvatmrita_Glory_Uddhava_-_Radhanath_Swami.mp3</v>
      </c>
      <c r="D5725" s="11"/>
      <c r="E5725" s="11"/>
    </row>
    <row r="5726" spans="1:5">
      <c r="A5726" s="12" t="s">
        <v>12773</v>
      </c>
      <c r="B5726" s="12" t="e">
        <v>#VALUE!</v>
      </c>
      <c r="C5726" s="13" t="e">
        <f>HYPERLINK("https://audio.iskcondesiretree.com/02_-_ISKCON_Swamis/ISKCON_Swamis_-_R_to_Y/His_Holiness_Radhanath_Swami/Lectures/Russian_Translation/Brihad_Bhagvatmrita/1999_Day-06_Part-06_-_Brihad_Bhagvatmrita_Glory_Vraja_Vashi_from_the_perspective_of_Dwaraka_-_RNS.mp"&amp;"3", "1999_Day-06_Part-06_-_Brihad_Bhagvatmrita_Glory_Vraja_Vashi_from_the_perspective_of_Dwaraka_-_RNS.mp3")</f>
        <v>#VALUE!</v>
      </c>
      <c r="D5726" s="11"/>
      <c r="E5726" s="11"/>
    </row>
    <row r="5727" spans="1:5">
      <c r="A5727" s="12" t="s">
        <v>12773</v>
      </c>
      <c r="B5727" s="12" t="e">
        <v>#VALUE!</v>
      </c>
      <c r="C5727" s="13" t="e">
        <f>HYPERLINK("https://audio.iskcondesiretree.com/02_-_ISKCON_Swamis/ISKCON_Swamis_-_R_to_Y/His_Holiness_Radhanath_Swami/Lectures/Russian_Translation/Brihad_Bhagvatmrita/1999_Day-06_Part-07_-_Brihad_Bhagvatmrita_Vraja_pastimes_of_Krishna_and_Dvaraka_-_Radhanath_swami.mp"&amp;"3", "1999_Day-06_Part-07_-_Brihad_Bhagvatmrita_Vraja_pastimes_of_Krishna_and_Dvaraka_-_Radhanath_swami.mp3")</f>
        <v>#VALUE!</v>
      </c>
      <c r="D5727" s="11"/>
      <c r="E5727" s="11"/>
    </row>
    <row r="5728" spans="1:5">
      <c r="A5728" s="12" t="s">
        <v>12773</v>
      </c>
      <c r="B5728" s="12" t="s">
        <v>17920</v>
      </c>
      <c r="C5728" s="13" t="str">
        <f>HYPERLINK("https://audio.iskcondesiretree.com/02_-_ISKCON_Swamis/ISKCON_Swamis_-_R_to_Y/His_Holiness_Radhanath_Swami/Lectures/Russian_Translation/Goswamis/Srila_Gopala_Bhatta_Goswami_%26_Ramachandra_Kaviraj_-_Radhanath_Swami_Vrindavan.mp3", "Srila_Gopala_Bhatta_Goswami_%26_Ramachandra_Kaviraj_-_Radhanath_Swami_Vrindavan.mp3")</f>
        <v>Srila_Gopala_Bhatta_Goswami_%26_Ramachandra_Kaviraj_-_Radhanath_Swami_Vrindavan.mp3</v>
      </c>
      <c r="D5728" s="11"/>
      <c r="E5728" s="11"/>
    </row>
    <row r="5729" spans="1:5">
      <c r="A5729" s="12" t="s">
        <v>12773</v>
      </c>
      <c r="B5729" s="12" t="s">
        <v>17921</v>
      </c>
      <c r="C5729" s="13" t="str">
        <f>HYPERLINK("https://audio.iskcondesiretree.com/02_-_ISKCON_Swamis/ISKCON_Swamis_-_R_to_Y/His_Holiness_Radhanath_Swami/Lectures/Russian_Translation/Goswamis/Srila_Jiva_Goswami_-_Radhanath_Swami_Vrindavan.mp3", "Srila_Jiva_Goswami_-_Radhanath_Swami_Vrindavan.mp3")</f>
        <v>Srila_Jiva_Goswami_-_Radhanath_Swami_Vrindavan.mp3</v>
      </c>
      <c r="D5729" s="11"/>
      <c r="E5729" s="11"/>
    </row>
    <row r="5730" spans="1:5">
      <c r="A5730" s="12" t="s">
        <v>12773</v>
      </c>
      <c r="B5730" s="12" t="s">
        <v>17922</v>
      </c>
      <c r="C5730" s="13" t="str">
        <f>HYPERLINK("https://audio.iskcondesiretree.com/02_-_ISKCON_Swamis/ISKCON_Swamis_-_R_to_Y/His_Holiness_Radhanath_Swami/Lectures/Russian_Translation/Goswamis/Srila_Raghunatha_Bhatta_Goswami_-_Radhanath_Swami_Vrindavan.mp3", "Srila_Raghunatha_Bhatta_Goswami_-_Radhanath_Swami_Vrindavan.mp3")</f>
        <v>Srila_Raghunatha_Bhatta_Goswami_-_Radhanath_Swami_Vrindavan.mp3</v>
      </c>
      <c r="D5730" s="11"/>
      <c r="E5730" s="11"/>
    </row>
    <row r="5731" spans="1:5">
      <c r="A5731" s="12" t="s">
        <v>12773</v>
      </c>
      <c r="B5731" s="12" t="s">
        <v>17923</v>
      </c>
      <c r="C5731" s="13" t="str">
        <f>HYPERLINK("https://audio.iskcondesiretree.com/02_-_ISKCON_Swamis/ISKCON_Swamis_-_R_to_Y/His_Holiness_Radhanath_Swami/Lectures/Russian_Translation/Goswamis/Srila_Raghunatha_das_Goswami_-_Radhanath_Swami_Vrindavan.mp3", "Srila_Raghunatha_das_Goswami_-_Radhanath_Swami_Vrindavan.mp3")</f>
        <v>Srila_Raghunatha_das_Goswami_-_Radhanath_Swami_Vrindavan.mp3</v>
      </c>
      <c r="D5731" s="11"/>
      <c r="E5731" s="11"/>
    </row>
    <row r="5732" spans="1:5">
      <c r="A5732" s="12" t="s">
        <v>12773</v>
      </c>
      <c r="B5732" s="12" t="s">
        <v>17924</v>
      </c>
      <c r="C5732" s="13" t="str">
        <f>HYPERLINK("https://audio.iskcondesiretree.com/02_-_ISKCON_Swamis/ISKCON_Swamis_-_R_to_Y/His_Holiness_Radhanath_Swami/Lectures/Russian_Translation/Goswamis/Srila_Rupa_Goswami_Part-01_-_Radhanath_Swami_Vrindavan.mp3", "Srila_Rupa_Goswami_Part-01_-_Radhanath_Swami_Vrindavan.mp3")</f>
        <v>Srila_Rupa_Goswami_Part-01_-_Radhanath_Swami_Vrindavan.mp3</v>
      </c>
      <c r="D5732" s="11"/>
      <c r="E5732" s="11"/>
    </row>
    <row r="5733" spans="1:5">
      <c r="A5733" s="12" t="s">
        <v>12773</v>
      </c>
      <c r="B5733" s="12" t="s">
        <v>17925</v>
      </c>
      <c r="C5733" s="13" t="str">
        <f>HYPERLINK("https://audio.iskcondesiretree.com/02_-_ISKCON_Swamis/ISKCON_Swamis_-_R_to_Y/His_Holiness_Radhanath_Swami/Lectures/Russian_Translation/Goswamis/Srila_Rupa_Goswami_Part-02_-_Radhanath_Swami.mp3", "Srila_Rupa_Goswami_Part-02_-_Radhanath_Swami.mp3")</f>
        <v>Srila_Rupa_Goswami_Part-02_-_Radhanath_Swami.mp3</v>
      </c>
      <c r="D5733" s="11"/>
      <c r="E5733" s="11"/>
    </row>
    <row r="5734" spans="1:5">
      <c r="A5734" s="12" t="s">
        <v>12773</v>
      </c>
      <c r="B5734" s="12" t="s">
        <v>17926</v>
      </c>
      <c r="C5734" s="13" t="str">
        <f>HYPERLINK("https://audio.iskcondesiretree.com/02_-_ISKCON_Swamis/ISKCON_Swamis_-_R_to_Y/His_Holiness_Radhanath_Swami/Lectures/Russian_Translation/Goswamis/Srila_Sanatana_das_Goswami_-_Radhanath_Swami.mp3", "Srila_Sanatana_das_Goswami_-_Radhanath_Swami.mp3")</f>
        <v>Srila_Sanatana_das_Goswami_-_Radhanath_Swami.mp3</v>
      </c>
      <c r="D5734" s="11"/>
      <c r="E5734" s="11"/>
    </row>
    <row r="5735" spans="1:5">
      <c r="A5735" s="12" t="s">
        <v>12773</v>
      </c>
      <c r="B5735" s="12" t="s">
        <v>17927</v>
      </c>
      <c r="C5735" s="13" t="str">
        <f>HYPERLINK("https://audio.iskcondesiretree.com/02_-_ISKCON_Swamis/ISKCON_Swamis_-_R_to_Y/His_Holiness_Radhanath_Swami/Lectures/Russian_Translation/Parikramas/2009_Mayapur_Yatra/2009-10-17_Glory_Navadwip_Dham_-_Radhanath_Sw.mp3", "2009-10-17_Glory_Navadwip_Dham_-_Radhanath_Sw.mp3")</f>
        <v>2009-10-17_Glory_Navadwip_Dham_-_Radhanath_Sw.mp3</v>
      </c>
      <c r="D5735" s="11"/>
      <c r="E5735" s="11"/>
    </row>
    <row r="5736" spans="1:5">
      <c r="A5736" s="12" t="s">
        <v>12773</v>
      </c>
      <c r="B5736" s="12" t="s">
        <v>17928</v>
      </c>
      <c r="C5736" s="13" t="str">
        <f>HYPERLINK("https://audio.iskcondesiretree.com/02_-_ISKCON_Swamis/ISKCON_Swamis_-_R_to_Y/His_Holiness_Radhanath_Swami/Lectures/Russian_Translation/Parikramas/2009_Mayapur_Yatra/2009-10-17_Glory_Navadwip_Dham_-_Radhanath_Swami.mp3", "2009-10-17_Glory_Navadwip_Dham_-_Radhanath_Swami.mp3")</f>
        <v>2009-10-17_Glory_Navadwip_Dham_-_Radhanath_Swami.mp3</v>
      </c>
      <c r="D5736" s="11"/>
      <c r="E5736" s="11"/>
    </row>
    <row r="5737" spans="1:5">
      <c r="A5737" s="12" t="s">
        <v>12773</v>
      </c>
      <c r="B5737" s="12" t="s">
        <v>17929</v>
      </c>
      <c r="C5737" s="13" t="str">
        <f>HYPERLINK("https://audio.iskcondesiretree.com/02_-_ISKCON_Swamis/ISKCON_Swamis_-_R_to_Y/His_Holiness_Radhanath_Swami/Lectures/Russian_Translation/Parikramas/2009_Mayapur_Yatra/2009-10-17_Introductory_lecture_-_Radhanath_Sw.mp3", "2009-10-17_Introductory_lecture_-_Radhanath_Sw.mp3")</f>
        <v>2009-10-17_Introductory_lecture_-_Radhanath_Sw.mp3</v>
      </c>
      <c r="D5737" s="11"/>
      <c r="E5737" s="11"/>
    </row>
    <row r="5738" spans="1:5">
      <c r="A5738" s="12" t="s">
        <v>12773</v>
      </c>
      <c r="B5738" s="12" t="s">
        <v>17930</v>
      </c>
      <c r="C5738" s="13" t="str">
        <f>HYPERLINK("https://audio.iskcondesiretree.com/02_-_ISKCON_Swamis/ISKCON_Swamis_-_R_to_Y/His_Holiness_Radhanath_Swami/Lectures/Russian_Translation/Parikramas/2009_Mayapur_Yatra/2009-10-17_Introductory_lecture_-_Radhanath_Swami.mp3", "2009-10-17_Introductory_lecture_-_Radhanath_Swami.mp3")</f>
        <v>2009-10-17_Introductory_lecture_-_Radhanath_Swami.mp3</v>
      </c>
      <c r="D5738" s="11"/>
      <c r="E5738" s="11"/>
    </row>
    <row r="5739" spans="1:5">
      <c r="A5739" s="12" t="s">
        <v>12773</v>
      </c>
      <c r="B5739" s="12" t="s">
        <v>17931</v>
      </c>
      <c r="C5739" s="13" t="str">
        <f>HYPERLINK("https://audio.iskcondesiretree.com/02_-_ISKCON_Swamis/ISKCON_Swamis_-_R_to_Y/His_Holiness_Radhanath_Swami/Lectures/Russian_Translation/Parikramas/2009_Mayapur_Yatra/2009-10-17_Invite_EU_-_Jayapataka_Sw.mp3", "2009-10-17_Invite_EU_-_Jayapataka_Sw.mp3")</f>
        <v>2009-10-17_Invite_EU_-_Jayapataka_Sw.mp3</v>
      </c>
      <c r="D5739" s="11"/>
      <c r="E5739" s="11"/>
    </row>
    <row r="5740" spans="1:5">
      <c r="A5740" s="12" t="s">
        <v>12773</v>
      </c>
      <c r="B5740" s="12" t="s">
        <v>17932</v>
      </c>
      <c r="C5740" s="13" t="str">
        <f>HYPERLINK("https://audio.iskcondesiretree.com/02_-_ISKCON_Swamis/ISKCON_Swamis_-_R_to_Y/His_Holiness_Radhanath_Swami/Lectures/Russian_Translation/Parikramas/2009_Mayapur_Yatra/2009-10-17_Invite_EU_-_Jayapataka_Swami.mp3", "2009-10-17_Invite_EU_-_Jayapataka_Swami.mp3")</f>
        <v>2009-10-17_Invite_EU_-_Jayapataka_Swami.mp3</v>
      </c>
      <c r="D5740" s="11"/>
      <c r="E5740" s="11"/>
    </row>
    <row r="5741" spans="1:5">
      <c r="A5741" s="12" t="s">
        <v>12773</v>
      </c>
      <c r="B5741" s="12" t="s">
        <v>17933</v>
      </c>
      <c r="C5741" s="13" t="str">
        <f>HYPERLINK("https://audio.iskcondesiretree.com/02_-_ISKCON_Swamis/ISKCON_Swamis_-_R_to_Y/His_Holiness_Radhanath_Swami/Lectures/Russian_Translation/Parikramas/2009_Mayapur_Yatra/2009-10-17_Significance_of_Diwali_-_Radhanath_Sw.mp3", "2009-10-17_Significance_of_Diwali_-_Radhanath_Sw.mp3")</f>
        <v>2009-10-17_Significance_of_Diwali_-_Radhanath_Sw.mp3</v>
      </c>
      <c r="D5741" s="11"/>
      <c r="E5741" s="11"/>
    </row>
    <row r="5742" spans="1:5">
      <c r="A5742" s="12" t="s">
        <v>12773</v>
      </c>
      <c r="B5742" s="12" t="s">
        <v>17934</v>
      </c>
      <c r="C5742" s="13" t="str">
        <f>HYPERLINK("https://audio.iskcondesiretree.com/02_-_ISKCON_Swamis/ISKCON_Swamis_-_R_to_Y/His_Holiness_Radhanath_Swami/Lectures/Russian_Translation/Parikramas/2009_Mayapur_Yatra/2009-10-17_Significance_of_Diwali_-_Radhanath_Swami.mp3", "2009-10-17_Significance_of_Diwali_-_Radhanath_Swami.mp3")</f>
        <v>2009-10-17_Significance_of_Diwali_-_Radhanath_Swami.mp3</v>
      </c>
      <c r="D5742" s="11"/>
      <c r="E5742" s="11"/>
    </row>
    <row r="5743" spans="1:5">
      <c r="A5743" s="12" t="s">
        <v>12773</v>
      </c>
      <c r="B5743" s="12" t="s">
        <v>17935</v>
      </c>
      <c r="C5743" s="13" t="str">
        <f>HYPERLINK("https://audio.iskcondesiretree.com/02_-_ISKCON_Swamis/ISKCON_Swamis_-_R_to_Y/His_Holiness_Radhanath_Swami/Lectures/Russian_Translation/Parikramas/2009_Mayapur_Yatra/2009-10-18_Gaura_Lila_-_Radhanath_Sw.mp3", "2009-10-18_Gaura_Lila_-_Radhanath_Sw.mp3")</f>
        <v>2009-10-18_Gaura_Lila_-_Radhanath_Sw.mp3</v>
      </c>
      <c r="D5743" s="11"/>
      <c r="E5743" s="11"/>
    </row>
    <row r="5744" spans="1:5">
      <c r="A5744" s="12" t="s">
        <v>12773</v>
      </c>
      <c r="B5744" s="12" t="s">
        <v>17936</v>
      </c>
      <c r="C5744" s="13" t="str">
        <f>HYPERLINK("https://audio.iskcondesiretree.com/02_-_ISKCON_Swamis/ISKCON_Swamis_-_R_to_Y/His_Holiness_Radhanath_Swami/Lectures/Russian_Translation/Parikramas/2009_Mayapur_Yatra/2009-10-18_Gaura_Lila_-_Radhanath_Swami.mp3", "2009-10-18_Gaura_Lila_-_Radhanath_Swami.mp3")</f>
        <v>2009-10-18_Gaura_Lila_-_Radhanath_Swami.mp3</v>
      </c>
      <c r="D5744" s="11"/>
      <c r="E5744" s="11"/>
    </row>
    <row r="5745" spans="1:5">
      <c r="A5745" s="12" t="s">
        <v>12773</v>
      </c>
      <c r="B5745" s="12" t="s">
        <v>17937</v>
      </c>
      <c r="C5745" s="13" t="str">
        <f>HYPERLINK("https://audio.iskcondesiretree.com/02_-_ISKCON_Swamis/ISKCON_Swamis_-_R_to_Y/His_Holiness_Radhanath_Swami/Lectures/Russian_Translation/Parikramas/2009_Mayapur_Yatra/2009-10-19_SB_10-24-35_Sri_Krishna_worships_Govardhana_-_Radhanath_Sw.mp3", "2009-10-19_SB_10-24-35_Sri_Krishna_worships_Govardhana_-_Radhanath_Sw.mp3")</f>
        <v>2009-10-19_SB_10-24-35_Sri_Krishna_worships_Govardhana_-_Radhanath_Sw.mp3</v>
      </c>
      <c r="D5745" s="11"/>
      <c r="E5745" s="11"/>
    </row>
    <row r="5746" spans="1:5">
      <c r="A5746" s="12" t="s">
        <v>12773</v>
      </c>
      <c r="B5746" s="12" t="s">
        <v>17938</v>
      </c>
      <c r="C5746" s="13" t="str">
        <f>HYPERLINK("https://audio.iskcondesiretree.com/02_-_ISKCON_Swamis/ISKCON_Swamis_-_R_to_Y/His_Holiness_Radhanath_Swami/Lectures/Russian_Translation/Parikramas/2009_Mayapur_Yatra/2009-10-19_SB_10-24-35_Sri_Krishna_worships_Govardhana_-_Radhanath_Swami.mp3", "2009-10-19_SB_10-24-35_Sri_Krishna_worships_Govardhana_-_Radhanath_Swami.mp3")</f>
        <v>2009-10-19_SB_10-24-35_Sri_Krishna_worships_Govardhana_-_Radhanath_Swami.mp3</v>
      </c>
      <c r="D5746" s="11"/>
      <c r="E5746" s="11"/>
    </row>
    <row r="5747" spans="1:5">
      <c r="A5747" s="12" t="s">
        <v>12773</v>
      </c>
      <c r="B5747" s="12" t="s">
        <v>17939</v>
      </c>
      <c r="C5747" s="13" t="str">
        <f>HYPERLINK("https://audio.iskcondesiretree.com/02_-_ISKCON_Swamis/ISKCON_Swamis_-_R_to_Y/His_Holiness_Radhanath_Swami/Lectures/Russian_Translation/Parikramas/2009_Mayapur_Yatra/2009-10-19_The_reaction_of_Indra_on_Govardhan_Puja_-_Radhanath_Sw.mp3", "2009-10-19_The_reaction_of_Indra_on_Govardhan_Puja_-_Radhanath_Sw.mp3")</f>
        <v>2009-10-19_The_reaction_of_Indra_on_Govardhan_Puja_-_Radhanath_Sw.mp3</v>
      </c>
      <c r="D5747" s="11"/>
      <c r="E5747" s="11"/>
    </row>
    <row r="5748" spans="1:5">
      <c r="A5748" s="12" t="s">
        <v>12773</v>
      </c>
      <c r="B5748" s="12" t="s">
        <v>17940</v>
      </c>
      <c r="C5748" s="13" t="str">
        <f>HYPERLINK("https://audio.iskcondesiretree.com/02_-_ISKCON_Swamis/ISKCON_Swamis_-_R_to_Y/His_Holiness_Radhanath_Swami/Lectures/Russian_Translation/Parikramas/2009_Mayapur_Yatra/2009-10-19_The_reaction_of_Indra_on_Govardhan_Puja_-_Radhanath_Swami.mp3", "2009-10-19_The_reaction_of_Indra_on_Govardhan_Puja_-_Radhanath_Swami.mp3")</f>
        <v>2009-10-19_The_reaction_of_Indra_on_Govardhan_Puja_-_Radhanath_Swami.mp3</v>
      </c>
      <c r="D5748" s="11"/>
      <c r="E5748" s="11"/>
    </row>
    <row r="5749" spans="1:5">
      <c r="A5749" s="12" t="s">
        <v>12773</v>
      </c>
      <c r="B5749" s="12" t="s">
        <v>17941</v>
      </c>
      <c r="C5749" s="13" t="str">
        <f>HYPERLINK("https://audio.iskcondesiretree.com/02_-_ISKCON_Swamis/ISKCON_Swamis_-_R_to_Y/His_Holiness_Radhanath_Swami/Lectures/Russian_Translation/Parikramas/2009_Mayapur_Yatra/2009-10-20_Kids_Games_Nimai_-_Radhanath_Sw.mp3", "2009-10-20_Kids_Games_Nimai_-_Radhanath_Sw.mp3")</f>
        <v>2009-10-20_Kids_Games_Nimai_-_Radhanath_Sw.mp3</v>
      </c>
      <c r="D5749" s="11"/>
      <c r="E5749" s="11"/>
    </row>
    <row r="5750" spans="1:5">
      <c r="A5750" s="12" t="s">
        <v>12773</v>
      </c>
      <c r="B5750" s="12" t="s">
        <v>17942</v>
      </c>
      <c r="C5750" s="13" t="str">
        <f>HYPERLINK("https://audio.iskcondesiretree.com/02_-_ISKCON_Swamis/ISKCON_Swamis_-_R_to_Y/His_Holiness_Radhanath_Swami/Lectures/Russian_Translation/Parikramas/2009_Mayapur_Yatra/2009-10-20_Kids_Games_Nimai_-_Radhanath_Swami.mp3", "2009-10-20_Kids_Games_Nimai_-_Radhanath_Swami.mp3")</f>
        <v>2009-10-20_Kids_Games_Nimai_-_Radhanath_Swami.mp3</v>
      </c>
      <c r="D5750" s="11"/>
      <c r="E5750" s="11"/>
    </row>
    <row r="5751" spans="1:5">
      <c r="A5751" s="12" t="s">
        <v>12773</v>
      </c>
      <c r="B5751" s="12" t="s">
        <v>17943</v>
      </c>
      <c r="C5751" s="13" t="str">
        <f>HYPERLINK("https://audio.iskcondesiretree.com/02_-_ISKCON_Swamis/ISKCON_Swamis_-_R_to_Y/His_Holiness_Radhanath_Swami/Lectures/Russian_Translation/Parikramas/2009_Mayapur_Yatra/2009-10-21_Preparing_to_take_sannyasa_-_Radhanath_Sw.mp3", "2009-10-21_Preparing_to_take_sannyasa_-_Radhanath_Sw.mp3")</f>
        <v>2009-10-21_Preparing_to_take_sannyasa_-_Radhanath_Sw.mp3</v>
      </c>
      <c r="D5751" s="11"/>
      <c r="E5751" s="11"/>
    </row>
    <row r="5752" spans="1:5">
      <c r="A5752" s="12" t="s">
        <v>12773</v>
      </c>
      <c r="B5752" s="12" t="s">
        <v>17944</v>
      </c>
      <c r="C5752" s="13" t="str">
        <f>HYPERLINK("https://audio.iskcondesiretree.com/02_-_ISKCON_Swamis/ISKCON_Swamis_-_R_to_Y/His_Holiness_Radhanath_Swami/Lectures/Russian_Translation/Parikramas/2009_Mayapur_Yatra/2009-10-21_Preparing_to_take_sannyasa_-_Radhanath_Swami.mp3", "2009-10-21_Preparing_to_take_sannyasa_-_Radhanath_Swami.mp3")</f>
        <v>2009-10-21_Preparing_to_take_sannyasa_-_Radhanath_Swami.mp3</v>
      </c>
      <c r="D5752" s="11"/>
      <c r="E5752" s="11"/>
    </row>
    <row r="5753" spans="1:5">
      <c r="A5753" s="12" t="s">
        <v>12773</v>
      </c>
      <c r="B5753" s="12" t="s">
        <v>17945</v>
      </c>
      <c r="C5753" s="13" t="str">
        <f>HYPERLINK("https://audio.iskcondesiretree.com/02_-_ISKCON_Swamis/ISKCON_Swamis_-_R_to_Y/His_Holiness_Radhanath_Swami/Lectures/Russian_Translation/Parikramas/2009_Mayapur_Yatra/2009-10-22_Offering_to_Srila_Prabhupada_EU_-_Bodhayan_Maharaj.mp3", "2009-10-22_Offering_to_Srila_Prabhupada_EU_-_Bodhayan_Maharaj.mp3")</f>
        <v>2009-10-22_Offering_to_Srila_Prabhupada_EU_-_Bodhayan_Maharaj.mp3</v>
      </c>
      <c r="D5753" s="11"/>
      <c r="E5753" s="11"/>
    </row>
    <row r="5754" spans="1:5">
      <c r="A5754" s="12" t="s">
        <v>12773</v>
      </c>
      <c r="B5754" s="12" t="s">
        <v>17946</v>
      </c>
      <c r="C5754" s="13" t="str">
        <f>HYPERLINK("https://audio.iskcondesiretree.com/02_-_ISKCON_Swamis/ISKCON_Swamis_-_R_to_Y/His_Holiness_Radhanath_Swami/Lectures/Russian_Translation/Parikramas/2009_Mayapur_Yatra/2009-10-22_Offering_to_Srila_Prabhupada_EU_-_Radhanath_Sw.mp3", "2009-10-22_Offering_to_Srila_Prabhupada_EU_-_Radhanath_Sw.mp3")</f>
        <v>2009-10-22_Offering_to_Srila_Prabhupada_EU_-_Radhanath_Sw.mp3</v>
      </c>
      <c r="D5754" s="11"/>
      <c r="E5754" s="11"/>
    </row>
    <row r="5755" spans="1:5">
      <c r="A5755" s="12" t="s">
        <v>12773</v>
      </c>
      <c r="B5755" s="12" t="s">
        <v>17947</v>
      </c>
      <c r="C5755" s="13" t="str">
        <f>HYPERLINK("https://audio.iskcondesiretree.com/02_-_ISKCON_Swamis/ISKCON_Swamis_-_R_to_Y/His_Holiness_Radhanath_Swami/Lectures/Russian_Translation/Parikramas/2009_Mayapur_Yatra/2009-10-22_Offering_to_Srila_Prabhupada_EU_-_Radhanath_Swami.mp3", "2009-10-22_Offering_to_Srila_Prabhupada_EU_-_Radhanath_Swami.mp3")</f>
        <v>2009-10-22_Offering_to_Srila_Prabhupada_EU_-_Radhanath_Swami.mp3</v>
      </c>
      <c r="D5755" s="11"/>
      <c r="E5755" s="11"/>
    </row>
    <row r="5756" spans="1:5">
      <c r="A5756" s="12" t="s">
        <v>12773</v>
      </c>
      <c r="B5756" s="12" t="s">
        <v>17948</v>
      </c>
      <c r="C5756" s="13" t="str">
        <f>HYPERLINK("https://audio.iskcondesiretree.com/02_-_ISKCON_Swamis/ISKCON_Swamis_-_R_to_Y/His_Holiness_Radhanath_Swami/Lectures/Russian_Translation/Parikramas/2009_Mayapur_Yatra/2009-10-23_Sannyasa_ceremony_Mahaprabhu_-_Radhanath_Sw.mp3", "2009-10-23_Sannyasa_ceremony_Mahaprabhu_-_Radhanath_Sw.mp3")</f>
        <v>2009-10-23_Sannyasa_ceremony_Mahaprabhu_-_Radhanath_Sw.mp3</v>
      </c>
      <c r="D5756" s="11"/>
      <c r="E5756" s="11"/>
    </row>
    <row r="5757" spans="1:5">
      <c r="A5757" s="12" t="s">
        <v>12773</v>
      </c>
      <c r="B5757" s="12" t="s">
        <v>17949</v>
      </c>
      <c r="C5757" s="13" t="str">
        <f>HYPERLINK("https://audio.iskcondesiretree.com/02_-_ISKCON_Swamis/ISKCON_Swamis_-_R_to_Y/His_Holiness_Radhanath_Swami/Lectures/Russian_Translation/Parikramas/2009_Mayapur_Yatra/2009-10-23_Sannyasa_ceremony_Mahaprabhu_-_Radhanath_Swami.mp3", "2009-10-23_Sannyasa_ceremony_Mahaprabhu_-_Radhanath_Swami.mp3")</f>
        <v>2009-10-23_Sannyasa_ceremony_Mahaprabhu_-_Radhanath_Swami.mp3</v>
      </c>
      <c r="D5757" s="11"/>
      <c r="E5757" s="11"/>
    </row>
    <row r="5758" spans="1:5">
      <c r="A5758" s="12" t="s">
        <v>12773</v>
      </c>
      <c r="B5758" s="12" t="s">
        <v>17950</v>
      </c>
      <c r="C5758" s="13" t="str">
        <f>HYPERLINK("https://audio.iskcondesiretree.com/02_-_ISKCON_Swamis/ISKCON_Swamis_-_R_to_Y/His_Holiness_Radhanath_Swami/Lectures/Russian_Translation/Parikramas/2009_Mayapur_Yatra/2009-10-24_The_Reunification_of_the_devotees_with_Lord_Caitanya_-_Radhanath_Sw.mp3", "2009-10-24_The_Reunification_of_the_devotees_with_Lord_Caitanya_-_Radhanath_Sw.mp3")</f>
        <v>2009-10-24_The_Reunification_of_the_devotees_with_Lord_Caitanya_-_Radhanath_Sw.mp3</v>
      </c>
      <c r="D5758" s="11"/>
      <c r="E5758" s="11"/>
    </row>
    <row r="5759" spans="1:5">
      <c r="A5759" s="12" t="s">
        <v>12773</v>
      </c>
      <c r="B5759" s="12" t="s">
        <v>17951</v>
      </c>
      <c r="C5759" s="13" t="str">
        <f>HYPERLINK("https://audio.iskcondesiretree.com/02_-_ISKCON_Swamis/ISKCON_Swamis_-_R_to_Y/His_Holiness_Radhanath_Swami/Lectures/Russian_Translation/Parikramas/2009_Mayapur_Yatra/2009-10-24_The_Reunification_of_the_devotees_with_Lord_Caitanya_-_Radhanath_Swami.mp3", "2009-10-24_The_Reunification_of_the_devotees_with_Lord_Caitanya_-_Radhanath_Swami.mp3")</f>
        <v>2009-10-24_The_Reunification_of_the_devotees_with_Lord_Caitanya_-_Radhanath_Swami.mp3</v>
      </c>
      <c r="D5759" s="11"/>
      <c r="E5759" s="11"/>
    </row>
    <row r="5760" spans="1:5">
      <c r="A5760" s="12" t="s">
        <v>12773</v>
      </c>
      <c r="B5760" s="12" t="s">
        <v>17952</v>
      </c>
      <c r="C5760" s="13" t="str">
        <f>HYPERLINK("https://audio.iskcondesiretree.com/02_-_ISKCON_Swamis/ISKCON_Swamis_-_R_to_Y/His_Holiness_Radhanath_Swami/Lectures/Russian_Translation/Parikramas/2009_Mayapur_Yatra/2009-10-25_Lord_Caitanya_returned_to_Navadwipa_-_Radhanath_Sw.mp3", "2009-10-25_Lord_Caitanya_returned_to_Navadwipa_-_Radhanath_Sw.mp3")</f>
        <v>2009-10-25_Lord_Caitanya_returned_to_Navadwipa_-_Radhanath_Sw.mp3</v>
      </c>
      <c r="D5760" s="11"/>
      <c r="E5760" s="11"/>
    </row>
    <row r="5761" spans="1:5">
      <c r="A5761" s="12" t="s">
        <v>12773</v>
      </c>
      <c r="B5761" s="12" t="s">
        <v>17953</v>
      </c>
      <c r="C5761" s="13" t="str">
        <f>HYPERLINK("https://audio.iskcondesiretree.com/02_-_ISKCON_Swamis/ISKCON_Swamis_-_R_to_Y/His_Holiness_Radhanath_Swami/Lectures/Russian_Translation/Parikramas/2009_Mayapur_Yatra/2009-10-25_Lord_Caitanya_returned_to_Navadwipa_-_Radhanath_Swami.mp3", "2009-10-25_Lord_Caitanya_returned_to_Navadwipa_-_Radhanath_Swami.mp3")</f>
        <v>2009-10-25_Lord_Caitanya_returned_to_Navadwipa_-_Radhanath_Swami.mp3</v>
      </c>
      <c r="D5761" s="11"/>
      <c r="E5761" s="11"/>
    </row>
    <row r="5762" spans="1:5">
      <c r="A5762" s="12" t="s">
        <v>12773</v>
      </c>
      <c r="B5762" s="12" t="s">
        <v>17954</v>
      </c>
      <c r="C5762" s="13" t="str">
        <f>HYPERLINK("https://audio.iskcondesiretree.com/02_-_ISKCON_Swamis/ISKCON_Swamis_-_R_to_Y/His_Holiness_Radhanath_Swami/Lectures/Russian_Translation/Parikramas/2009_Mayapur_Yatra/2009-10-26_Adoption_of_Mercy_of_Lord_Chaitanya_by_Lord_Nityananda_-_Radhanath_Sw.mp3", "2009-10-26_Adoption_of_Mercy_of_Lord_Chaitanya_by_Lord_Nityananda_-_Radhanath_Sw.mp3")</f>
        <v>2009-10-26_Adoption_of_Mercy_of_Lord_Chaitanya_by_Lord_Nityananda_-_Radhanath_Sw.mp3</v>
      </c>
      <c r="D5762" s="11"/>
      <c r="E5762" s="11"/>
    </row>
    <row r="5763" spans="1:5">
      <c r="A5763" s="12" t="s">
        <v>12773</v>
      </c>
      <c r="B5763" s="12" t="s">
        <v>17955</v>
      </c>
      <c r="C5763" s="13" t="str">
        <f>HYPERLINK("https://audio.iskcondesiretree.com/02_-_ISKCON_Swamis/ISKCON_Swamis_-_R_to_Y/His_Holiness_Radhanath_Swami/Lectures/Russian_Translation/Parikramas/2009_Mayapur_Yatra/2009-10-26_Adoption_of_Mercy_of_Lord_Chaitanya_by_Lord_Nityananda_-_Radhanath_Swami.mp3", "2009-10-26_Adoption_of_Mercy_of_Lord_Chaitanya_by_Lord_Nityananda_-_Radhanath_Swami.mp3")</f>
        <v>2009-10-26_Adoption_of_Mercy_of_Lord_Chaitanya_by_Lord_Nityananda_-_Radhanath_Swami.mp3</v>
      </c>
      <c r="D5763" s="11"/>
      <c r="E5763" s="11"/>
    </row>
    <row r="5764" spans="1:5">
      <c r="A5764" s="12" t="s">
        <v>12773</v>
      </c>
      <c r="B5764" s="12" t="s">
        <v>17956</v>
      </c>
      <c r="C5764" s="13" t="str">
        <f>HYPERLINK("https://audio.iskcondesiretree.com/02_-_ISKCON_Swamis/ISKCON_Swamis_-_R_to_Y/His_Holiness_Radhanath_Swami/Lectures/Russian_Translation/Parikramas/2009_Mayapur_Yatra/2009-10-27_Closing_Yatra_-_Radhanath_Sw.mp3", "2009-10-27_Closing_Yatra_-_Radhanath_Sw.mp3")</f>
        <v>2009-10-27_Closing_Yatra_-_Radhanath_Sw.mp3</v>
      </c>
      <c r="D5764" s="11"/>
      <c r="E5764" s="11"/>
    </row>
    <row r="5765" spans="1:5">
      <c r="A5765" s="12" t="s">
        <v>12773</v>
      </c>
      <c r="B5765" s="12" t="s">
        <v>17957</v>
      </c>
      <c r="C5765" s="13" t="str">
        <f>HYPERLINK("https://audio.iskcondesiretree.com/02_-_ISKCON_Swamis/ISKCON_Swamis_-_R_to_Y/His_Holiness_Radhanath_Swami/Lectures/Russian_Translation/Parikramas/2009_Mayapur_Yatra/2009-10-27_Closing_Yatra_-_Radhanath_Swami.mp3", "2009-10-27_Closing_Yatra_-_Radhanath_Swami.mp3")</f>
        <v>2009-10-27_Closing_Yatra_-_Radhanath_Swami.mp3</v>
      </c>
      <c r="D5765" s="11"/>
      <c r="E5765" s="11"/>
    </row>
    <row r="5766" spans="1:5">
      <c r="A5766" s="12" t="s">
        <v>12773</v>
      </c>
      <c r="B5766" s="12" t="s">
        <v>17958</v>
      </c>
      <c r="C5766" s="13" t="str">
        <f>HYPERLINK("https://audio.iskcondesiretree.com/02_-_ISKCON_Swamis/ISKCON_Swamis_-_R_to_Y/His_Holiness_Radhanath_Swami/Lectures/Russian_Translation/Parikramas/Gaur_mandal_parikrama-01/1997_Day-01_Part-01_Start_of_Yatra_-_Radhanath_Swami_Mayapur.mp3", "1997_Day-01_Part-01_Start_of_Yatra_-_Radhanath_Swami_Mayapur.mp3")</f>
        <v>1997_Day-01_Part-01_Start_of_Yatra_-_Radhanath_Swami_Mayapur.mp3</v>
      </c>
      <c r="D5766" s="11"/>
      <c r="E5766" s="11"/>
    </row>
    <row r="5767" spans="1:5">
      <c r="A5767" s="12" t="s">
        <v>12773</v>
      </c>
      <c r="B5767" s="12" t="s">
        <v>17959</v>
      </c>
      <c r="C5767" s="13" t="str">
        <f>HYPERLINK("https://audio.iskcondesiretree.com/02_-_ISKCON_Swamis/ISKCON_Swamis_-_R_to_Y/His_Holiness_Radhanath_Swami/Lectures/Russian_Translation/Parikramas/Gaur_mandal_parikrama-01/1997_Day-01_Part-02_Appearence_of_Lord_Gauranga_-_Radhanath_Swami_Mayapur.mp3", "1997_Day-01_Part-02_Appearence_of_Lord_Gauranga_-_Radhanath_Swami_Mayapur.mp3")</f>
        <v>1997_Day-01_Part-02_Appearence_of_Lord_Gauranga_-_Radhanath_Swami_Mayapur.mp3</v>
      </c>
      <c r="D5767" s="11"/>
      <c r="E5767" s="11"/>
    </row>
    <row r="5768" spans="1:5">
      <c r="A5768" s="12" t="s">
        <v>12773</v>
      </c>
      <c r="B5768" s="12" t="s">
        <v>17960</v>
      </c>
      <c r="C5768" s="13" t="str">
        <f>HYPERLINK("https://audio.iskcondesiretree.com/02_-_ISKCON_Swamis/ISKCON_Swamis_-_R_to_Y/His_Holiness_Radhanath_Swami/Lectures/Russian_Translation/Parikramas/Gaur_mandal_parikrama-01/1997_Day-01_Part-03_%20Lilas_of_Nimai_-_Sacinandana_Swami_Mayapur.mp3", "1997_Day-01_Part-03_%20Lilas_of_Nimai_-_Sacinandana_Swami_Mayapur.mp3")</f>
        <v>1997_Day-01_Part-03_%20Lilas_of_Nimai_-_Sacinandana_Swami_Mayapur.mp3</v>
      </c>
      <c r="D5768" s="11"/>
      <c r="E5768" s="11"/>
    </row>
    <row r="5769" spans="1:5">
      <c r="A5769" s="12" t="s">
        <v>12773</v>
      </c>
      <c r="B5769" s="12" t="s">
        <v>17961</v>
      </c>
      <c r="C5769" s="13" t="str">
        <f>HYPERLINK("https://audio.iskcondesiretree.com/02_-_ISKCON_Swamis/ISKCON_Swamis_-_R_to_Y/His_Holiness_Radhanath_Swami/Lectures/Russian_Translation/Parikramas/Gaur_mandal_parikrama-01/1997_Day-01_Part-04_Lilas_-_Gopiparanadhana_Prabhu_Mayapur.mp3", "1997_Day-01_Part-04_Lilas_-_Gopiparanadhana_Prabhu_Mayapur.mp3")</f>
        <v>1997_Day-01_Part-04_Lilas_-_Gopiparanadhana_Prabhu_Mayapur.mp3</v>
      </c>
      <c r="D5769" s="11"/>
      <c r="E5769" s="11"/>
    </row>
    <row r="5770" spans="1:5">
      <c r="A5770" s="12" t="s">
        <v>12773</v>
      </c>
      <c r="B5770" s="12" t="s">
        <v>17962</v>
      </c>
      <c r="C5770" s="13" t="str">
        <f>HYPERLINK("https://audio.iskcondesiretree.com/02_-_ISKCON_Swamis/ISKCON_Swamis_-_R_to_Y/His_Holiness_Radhanath_Swami/Lectures/Russian_Translation/Parikramas/Gaur_mandal_parikrama-01/1997_Day-01_Part-05_Lilas_in_Yogapith_-_Radhanath_Swami_Mayapur.mp3", "1997_Day-01_Part-05_Lilas_in_Yogapith_-_Radhanath_Swami_Mayapur.mp3")</f>
        <v>1997_Day-01_Part-05_Lilas_in_Yogapith_-_Radhanath_Swami_Mayapur.mp3</v>
      </c>
      <c r="D5770" s="11"/>
      <c r="E5770" s="11"/>
    </row>
    <row r="5771" spans="1:5">
      <c r="A5771" s="12" t="s">
        <v>12773</v>
      </c>
      <c r="B5771" s="12" t="s">
        <v>17963</v>
      </c>
      <c r="C5771" s="13" t="str">
        <f>HYPERLINK("https://audio.iskcondesiretree.com/02_-_ISKCON_Swamis/ISKCON_Swamis_-_R_to_Y/His_Holiness_Radhanath_Swami/Lectures/Russian_Translation/Parikramas/Gaur_mandal_parikrama-01/1997_Day-02_Part-01_Kirtans_in_Srivas_Angam_-_Radhanath_Swami_Mayapur.mp3", "1997_Day-02_Part-01_Kirtans_in_Srivas_Angam_-_Radhanath_Swami_Mayapur.mp3")</f>
        <v>1997_Day-02_Part-01_Kirtans_in_Srivas_Angam_-_Radhanath_Swami_Mayapur.mp3</v>
      </c>
      <c r="D5771" s="11"/>
      <c r="E5771" s="11"/>
    </row>
    <row r="5772" spans="1:5">
      <c r="A5772" s="12" t="s">
        <v>12773</v>
      </c>
      <c r="B5772" s="12" t="s">
        <v>17964</v>
      </c>
      <c r="C5772" s="13" t="str">
        <f>HYPERLINK("https://audio.iskcondesiretree.com/02_-_ISKCON_Swamis/ISKCON_Swamis_-_R_to_Y/His_Holiness_Radhanath_Swami/Lectures/Russian_Translation/Parikramas/Gaur_mandal_parikrama-01/1997_Day-02_Part-02_Mahaprakas_01_-_Radhanath_Swami_Mayapur.mp3", "1997_Day-02_Part-02_Mahaprakas_01_-_Radhanath_Swami_Mayapur.mp3")</f>
        <v>1997_Day-02_Part-02_Mahaprakas_01_-_Radhanath_Swami_Mayapur.mp3</v>
      </c>
      <c r="D5772" s="11"/>
      <c r="E5772" s="11"/>
    </row>
    <row r="5773" spans="1:5">
      <c r="A5773" s="12" t="s">
        <v>12773</v>
      </c>
      <c r="B5773" s="12" t="s">
        <v>17965</v>
      </c>
      <c r="C5773" s="13" t="str">
        <f>HYPERLINK("https://audio.iskcondesiretree.com/02_-_ISKCON_Swamis/ISKCON_Swamis_-_R_to_Y/His_Holiness_Radhanath_Swami/Lectures/Russian_Translation/Parikramas/Gaur_mandal_parikrama-01/1997_Day-02_Part-02_Mahaprakas_01_Radhanath_swami_Mayapur.mp3", "1997_Day-02_Part-02_Mahaprakas_01_Radhanath_swami_Mayapur.mp3")</f>
        <v>1997_Day-02_Part-02_Mahaprakas_01_Radhanath_swami_Mayapur.mp3</v>
      </c>
      <c r="D5773" s="11"/>
      <c r="E5773" s="11"/>
    </row>
    <row r="5774" spans="1:5">
      <c r="A5774" s="12" t="s">
        <v>12773</v>
      </c>
      <c r="B5774" s="12" t="s">
        <v>17966</v>
      </c>
      <c r="C5774" s="13" t="str">
        <f>HYPERLINK("https://audio.iskcondesiretree.com/02_-_ISKCON_Swamis/ISKCON_Swamis_-_R_to_Y/His_Holiness_Radhanath_Swami/Lectures/Russian_Translation/Parikramas/Gaur_mandal_parikrama-01/1997_Day-02_Part-03_Mahaprakas_02_-_Radhanath_Swami_Mayapur.mp3", "1997_Day-02_Part-03_Mahaprakas_02_-_Radhanath_Swami_Mayapur.mp3")</f>
        <v>1997_Day-02_Part-03_Mahaprakas_02_-_Radhanath_Swami_Mayapur.mp3</v>
      </c>
      <c r="D5774" s="11"/>
      <c r="E5774" s="11"/>
    </row>
    <row r="5775" spans="1:5">
      <c r="A5775" s="12" t="s">
        <v>12773</v>
      </c>
      <c r="B5775" s="12" t="s">
        <v>17967</v>
      </c>
      <c r="C5775" s="13" t="str">
        <f>HYPERLINK("https://audio.iskcondesiretree.com/02_-_ISKCON_Swamis/ISKCON_Swamis_-_R_to_Y/His_Holiness_Radhanath_Swami/Lectures/Russian_Translation/Parikramas/Gaur_mandal_parikrama-01/1997_Day-02_Part-03_Mahaprakas_02_Radhanath_swami_Mayapur.mp3", "1997_Day-02_Part-03_Mahaprakas_02_Radhanath_swami_Mayapur.mp3")</f>
        <v>1997_Day-02_Part-03_Mahaprakas_02_Radhanath_swami_Mayapur.mp3</v>
      </c>
      <c r="D5775" s="11"/>
      <c r="E5775" s="11"/>
    </row>
    <row r="5776" spans="1:5">
      <c r="A5776" s="12" t="s">
        <v>12773</v>
      </c>
      <c r="B5776" s="12" t="s">
        <v>17968</v>
      </c>
      <c r="C5776" s="13" t="str">
        <f>HYPERLINK("https://audio.iskcondesiretree.com/02_-_ISKCON_Swamis/ISKCON_Swamis_-_R_to_Y/His_Holiness_Radhanath_Swami/Lectures/Russian_Translation/Parikramas/Gaur_mandal_parikrama-01/1997_Day-03_Part-01_Nandana_acarya_-_Radhanath_Swami_Mayapur.mp3", "1997_Day-03_Part-01_Nandana_acarya_-_Radhanath_Swami_Mayapur.mp3")</f>
        <v>1997_Day-03_Part-01_Nandana_acarya_-_Radhanath_Swami_Mayapur.mp3</v>
      </c>
      <c r="D5776" s="11"/>
      <c r="E5776" s="11"/>
    </row>
    <row r="5777" spans="1:5">
      <c r="A5777" s="12" t="s">
        <v>12773</v>
      </c>
      <c r="B5777" s="12" t="s">
        <v>17969</v>
      </c>
      <c r="C5777" s="13" t="str">
        <f>HYPERLINK("https://audio.iskcondesiretree.com/02_-_ISKCON_Swamis/ISKCON_Swamis_-_R_to_Y/His_Holiness_Radhanath_Swami/Lectures/Russian_Translation/Parikramas/Gaur_mandal_parikrama-01/1997_Day-03Part-01_Nandana_acarya_Radhanath_swami_Mayapur.mp3", "1997_Day-03Part-01_Nandana_acarya_Radhanath_swami_Mayapur.mp3")</f>
        <v>1997_Day-03Part-01_Nandana_acarya_Radhanath_swami_Mayapur.mp3</v>
      </c>
      <c r="D5777" s="11"/>
      <c r="E5777" s="11"/>
    </row>
    <row r="5778" spans="1:5">
      <c r="A5778" s="12" t="s">
        <v>12773</v>
      </c>
      <c r="B5778" s="12" t="s">
        <v>17970</v>
      </c>
      <c r="C5778" s="13" t="str">
        <f>HYPERLINK("https://audio.iskcondesiretree.com/02_-_ISKCON_Swamis/ISKCON_Swamis_-_R_to_Y/His_Holiness_Radhanath_Swami/Lectures/Russian_Translation/Parikramas/Gaur_mandal_parikrama-01/1997_Day-04_Part-01_Murari_gupta_-_Radhanath_Swami_Mayapur.mp3", "1997_Day-04_Part-01_Murari_gupta_-_Radhanath_Swami_Mayapur.mp3")</f>
        <v>1997_Day-04_Part-01_Murari_gupta_-_Radhanath_Swami_Mayapur.mp3</v>
      </c>
      <c r="D5778" s="11"/>
      <c r="E5778" s="11"/>
    </row>
    <row r="5779" spans="1:5">
      <c r="A5779" s="12" t="s">
        <v>12773</v>
      </c>
      <c r="B5779" s="12" t="s">
        <v>17971</v>
      </c>
      <c r="C5779" s="13" t="str">
        <f>HYPERLINK("https://audio.iskcondesiretree.com/02_-_ISKCON_Swamis/ISKCON_Swamis_-_R_to_Y/His_Holiness_Radhanath_Swami/Lectures/Russian_Translation/Parikramas/Gaur_mandal_parikrama-01/1997_Day-04_Part-01_Murari_gupta_Radhanath_swami_Mayapur.mp3", "1997_Day-04_Part-01_Murari_gupta_Radhanath_swami_Mayapur.mp3")</f>
        <v>1997_Day-04_Part-01_Murari_gupta_Radhanath_swami_Mayapur.mp3</v>
      </c>
      <c r="D5779" s="11"/>
      <c r="E5779" s="11"/>
    </row>
    <row r="5780" spans="1:5">
      <c r="A5780" s="12" t="s">
        <v>12773</v>
      </c>
      <c r="B5780" s="12" t="s">
        <v>17972</v>
      </c>
      <c r="C5780" s="13" t="str">
        <f>HYPERLINK("https://audio.iskcondesiretree.com/02_-_ISKCON_Swamis/ISKCON_Swamis_-_R_to_Y/His_Holiness_Radhanath_Swami/Lectures/Russian_Translation/Parikramas/Gaur_mandal_parikrama-01/1997_Day-04_Part-02_Glory_of_Mayapur_dhamas_Sacinandana_Radhanath_swami_Mayapur.mp3", "1997_Day-04_Part-02_Glory_of_Mayapur_dhamas_Sacinandana_Radhanath_swami_Mayapur.mp3")</f>
        <v>1997_Day-04_Part-02_Glory_of_Mayapur_dhamas_Sacinandana_Radhanath_swami_Mayapur.mp3</v>
      </c>
      <c r="D5780" s="11"/>
      <c r="E5780" s="11"/>
    </row>
    <row r="5781" spans="1:5">
      <c r="A5781" s="12" t="s">
        <v>12773</v>
      </c>
      <c r="B5781" s="12" t="s">
        <v>17973</v>
      </c>
      <c r="C5781" s="13" t="str">
        <f>HYPERLINK("https://audio.iskcondesiretree.com/02_-_ISKCON_Swamis/ISKCON_Swamis_-_R_to_Y/His_Holiness_Radhanath_Swami/Lectures/Russian_Translation/Parikramas/Gaur_mandal_parikrama-01/1997_Day-04_Part-03_Murari_Gupta_-_Radhanath_Swami_Mayapur.mp3", "1997_Day-04_Part-03_Murari_Gupta_-_Radhanath_Swami_Mayapur.mp3")</f>
        <v>1997_Day-04_Part-03_Murari_Gupta_-_Radhanath_Swami_Mayapur.mp3</v>
      </c>
      <c r="D5781" s="11"/>
      <c r="E5781" s="11"/>
    </row>
    <row r="5782" spans="1:5">
      <c r="A5782" s="12" t="s">
        <v>12773</v>
      </c>
      <c r="B5782" s="12" t="s">
        <v>17974</v>
      </c>
      <c r="C5782" s="13" t="str">
        <f>HYPERLINK("https://audio.iskcondesiretree.com/02_-_ISKCON_Swamis/ISKCON_Swamis_-_R_to_Y/His_Holiness_Radhanath_Swami/Lectures/Russian_Translation/Parikramas/Gaur_mandal_parikrama-01/1997_Day-04_Part-03_Murari_Gupta_Radhanath_swami_Mayapur.mp3", "1997_Day-04_Part-03_Murari_Gupta_Radhanath_swami_Mayapur.mp3")</f>
        <v>1997_Day-04_Part-03_Murari_Gupta_Radhanath_swami_Mayapur.mp3</v>
      </c>
      <c r="D5782" s="11"/>
      <c r="E5782" s="11"/>
    </row>
    <row r="5783" spans="1:5">
      <c r="A5783" s="12" t="s">
        <v>12773</v>
      </c>
      <c r="B5783" s="12" t="s">
        <v>17975</v>
      </c>
      <c r="C5783" s="13" t="str">
        <f>HYPERLINK("https://audio.iskcondesiretree.com/02_-_ISKCON_Swamis/ISKCON_Swamis_-_R_to_Y/His_Holiness_Radhanath_Swami/Lectures/Russian_Translation/Parikramas/Gaur_mandal_parikrama-01/1997_Day-06_Part-01_Samadhi_mandir_of_BSST_Sacinandana_swami_Mayapur.mp3", "1997_Day-06_Part-01_Samadhi_mandir_of_BSST_Sacinandana_swami_Mayapur.mp3")</f>
        <v>1997_Day-06_Part-01_Samadhi_mandir_of_BSST_Sacinandana_swami_Mayapur.mp3</v>
      </c>
      <c r="D5783" s="11"/>
      <c r="E5783" s="11"/>
    </row>
    <row r="5784" spans="1:5">
      <c r="A5784" s="12" t="s">
        <v>12773</v>
      </c>
      <c r="B5784" s="12" t="s">
        <v>17976</v>
      </c>
      <c r="C5784" s="13" t="str">
        <f>HYPERLINK("https://audio.iskcondesiretree.com/02_-_ISKCON_Swamis/ISKCON_Swamis_-_R_to_Y/His_Holiness_Radhanath_Swami/Lectures/Russian_Translation/Parikramas/Gaur_mandal_parikrama-01/1997_Day-07_Part-01_Simantadvip_-_Radhanath_Swami_Mayapur.mp3", "1997_Day-07_Part-01_Simantadvip_-_Radhanath_Swami_Mayapur.mp3")</f>
        <v>1997_Day-07_Part-01_Simantadvip_-_Radhanath_Swami_Mayapur.mp3</v>
      </c>
      <c r="D5784" s="11"/>
      <c r="E5784" s="11"/>
    </row>
    <row r="5785" spans="1:5">
      <c r="A5785" s="12" t="s">
        <v>12773</v>
      </c>
      <c r="B5785" s="12" t="s">
        <v>17977</v>
      </c>
      <c r="C5785" s="13" t="str">
        <f>HYPERLINK("https://audio.iskcondesiretree.com/02_-_ISKCON_Swamis/ISKCON_Swamis_-_R_to_Y/His_Holiness_Radhanath_Swami/Lectures/Russian_Translation/Parikramas/Gaur_mandal_parikrama-01/1997_Day-07_Part-02_Kolaveca_Sridhara_-_Radhanath_Swami_Mayapur.mp3", "1997_Day-07_Part-02_Kolaveca_Sridhara_-_Radhanath_Swami_Mayapur.mp3")</f>
        <v>1997_Day-07_Part-02_Kolaveca_Sridhara_-_Radhanath_Swami_Mayapur.mp3</v>
      </c>
      <c r="D5785" s="11"/>
      <c r="E5785" s="11"/>
    </row>
    <row r="5786" spans="1:5">
      <c r="A5786" s="12" t="s">
        <v>12773</v>
      </c>
      <c r="B5786" s="12" t="s">
        <v>17978</v>
      </c>
      <c r="C5786" s="13" t="str">
        <f>HYPERLINK("https://audio.iskcondesiretree.com/02_-_ISKCON_Swamis/ISKCON_Swamis_-_R_to_Y/His_Holiness_Radhanath_Swami/Lectures/Russian_Translation/Parikramas/Gaur_mandal_parikrama-01/1997_Day-07_Part-03_Kolaveca_Sridhara_-_Jananivas_Prabhu_Mayapur.mp3", "1997_Day-07_Part-03_Kolaveca_Sridhara_-_Jananivas_Prabhu_Mayapur.mp3")</f>
        <v>1997_Day-07_Part-03_Kolaveca_Sridhara_-_Jananivas_Prabhu_Mayapur.mp3</v>
      </c>
      <c r="D5786" s="11"/>
      <c r="E5786" s="11"/>
    </row>
    <row r="5787" spans="1:5">
      <c r="A5787" s="12" t="s">
        <v>12773</v>
      </c>
      <c r="B5787" s="12" t="s">
        <v>17979</v>
      </c>
      <c r="C5787" s="13" t="str">
        <f>HYPERLINK("https://audio.iskcondesiretree.com/02_-_ISKCON_Swamis/ISKCON_Swamis_-_R_to_Y/His_Holiness_Radhanath_Swami/Lectures/Russian_Translation/Parikramas/Gaur_mandal_parikrama-01/1997_Day-08_Part-01_Jagannatha_Appearence_-_Jananivas_Prabhu_Mayapur.mp3", "1997_Day-08_Part-01_Jagannatha_Appearence_-_Jananivas_Prabhu_Mayapur.mp3")</f>
        <v>1997_Day-08_Part-01_Jagannatha_Appearence_-_Jananivas_Prabhu_Mayapur.mp3</v>
      </c>
      <c r="D5787" s="11"/>
      <c r="E5787" s="11"/>
    </row>
    <row r="5788" spans="1:5">
      <c r="A5788" s="12" t="s">
        <v>12773</v>
      </c>
      <c r="B5788" s="12" t="s">
        <v>17980</v>
      </c>
      <c r="C5788" s="13" t="str">
        <f>HYPERLINK("https://audio.iskcondesiretree.com/02_-_ISKCON_Swamis/ISKCON_Swamis_-_R_to_Y/His_Holiness_Radhanath_Swami/Lectures/Russian_Translation/Parikramas/Gaur_mandal_parikrama-01/1997_Day-08_Part-01_Jagannatha_appearence_Jana_Nivas_Pr_Mayapur.mp3", "1997_Day-08_Part-01_Jagannatha_appearence_Jana_Nivas_Pr_Mayapur.mp3")</f>
        <v>1997_Day-08_Part-01_Jagannatha_appearence_Jana_Nivas_Pr_Mayapur.mp3</v>
      </c>
      <c r="D5788" s="11"/>
      <c r="E5788" s="11"/>
    </row>
    <row r="5789" spans="1:5">
      <c r="A5789" s="12" t="s">
        <v>12773</v>
      </c>
      <c r="B5789" s="12" t="s">
        <v>17981</v>
      </c>
      <c r="C5789" s="13" t="str">
        <f>HYPERLINK("https://audio.iskcondesiretree.com/02_-_ISKCON_Swamis/ISKCON_Swamis_-_R_to_Y/His_Holiness_Radhanath_Swami/Lectures/Russian_Translation/Parikramas/Gaur_mandal_parikrama-01/1997_Day-09_Part-01_Cand_Kazi_Radhanath_swami_Mayapur.mp3", "1997_Day-09_Part-01_Cand_Kazi_Radhanath_swami_Mayapur.mp3")</f>
        <v>1997_Day-09_Part-01_Cand_Kazi_Radhanath_swami_Mayapur.mp3</v>
      </c>
      <c r="D5789" s="11"/>
      <c r="E5789" s="11"/>
    </row>
    <row r="5790" spans="1:5">
      <c r="A5790" s="12" t="s">
        <v>12773</v>
      </c>
      <c r="B5790" s="12" t="s">
        <v>17982</v>
      </c>
      <c r="C5790" s="13" t="str">
        <f>HYPERLINK("https://audio.iskcondesiretree.com/02_-_ISKCON_Swamis/ISKCON_Swamis_-_R_to_Y/His_Holiness_Radhanath_Swami/Lectures/Russian_Translation/Parikramas/Gaur_mandal_parikrama-01/1997_Day-09_Part-01_Chand_Kazi_-_Radhanath_Swami_Mayapur.mp3", "1997_Day-09_Part-01_Chand_Kazi_-_Radhanath_Swami_Mayapur.mp3")</f>
        <v>1997_Day-09_Part-01_Chand_Kazi_-_Radhanath_Swami_Mayapur.mp3</v>
      </c>
      <c r="D5790" s="11"/>
      <c r="E5790" s="11"/>
    </row>
    <row r="5791" spans="1:5">
      <c r="A5791" s="12" t="s">
        <v>12773</v>
      </c>
      <c r="B5791" s="12" t="s">
        <v>17983</v>
      </c>
      <c r="C5791" s="13" t="str">
        <f>HYPERLINK("https://audio.iskcondesiretree.com/02_-_ISKCON_Swamis/ISKCON_Swamis_-_R_to_Y/His_Holiness_Radhanath_Swami/Lectures/Russian_Translation/Parikramas/Gaur_mandal_parikrama-01/1997_Day-10_Part-01_Surabhi_kunda_-_Radhanath_Swami_Mayapur.mp3", "1997_Day-10_Part-01_Surabhi_kunda_-_Radhanath_Swami_Mayapur.mp3")</f>
        <v>1997_Day-10_Part-01_Surabhi_kunda_-_Radhanath_Swami_Mayapur.mp3</v>
      </c>
      <c r="D5791" s="11"/>
      <c r="E5791" s="11"/>
    </row>
    <row r="5792" spans="1:5">
      <c r="A5792" s="12" t="s">
        <v>12773</v>
      </c>
      <c r="B5792" s="12" t="s">
        <v>17984</v>
      </c>
      <c r="C5792" s="13" t="str">
        <f>HYPERLINK("https://audio.iskcondesiretree.com/02_-_ISKCON_Swamis/ISKCON_Swamis_-_R_to_Y/His_Holiness_Radhanath_Swami/Lectures/Russian_Translation/Parikramas/Gaur_mandal_parikrama-01/1997_Day-10_Part-01_Surabhi_kunj_Radhanath_swami_Mayapur.mp3", "1997_Day-10_Part-01_Surabhi_kunj_Radhanath_swami_Mayapur.mp3")</f>
        <v>1997_Day-10_Part-01_Surabhi_kunj_Radhanath_swami_Mayapur.mp3</v>
      </c>
      <c r="D5792" s="11"/>
      <c r="E5792" s="11"/>
    </row>
    <row r="5793" spans="1:5">
      <c r="A5793" s="12" t="s">
        <v>12773</v>
      </c>
      <c r="B5793" s="12" t="s">
        <v>17985</v>
      </c>
      <c r="C5793" s="13" t="str">
        <f>HYPERLINK("https://audio.iskcondesiretree.com/02_-_ISKCON_Swamis/ISKCON_Swamis_-_R_to_Y/His_Holiness_Radhanath_Swami/Lectures/Russian_Translation/Parikramas/Gaur_mandal_parikrama-01/1997_Day-11_Part-01_Bhaktivinoda_Thakur%27s_House_-_Sacinandana_Swami_Mayapur.mp3", "1997_Day-11_Part-01_Bhaktivinoda_Thakur%27s_House_-_Sacinandana_Swami_Mayapur.mp3")</f>
        <v>1997_Day-11_Part-01_Bhaktivinoda_Thakur%27s_House_-_Sacinandana_Swami_Mayapur.mp3</v>
      </c>
      <c r="D5793" s="11"/>
      <c r="E5793" s="11"/>
    </row>
    <row r="5794" spans="1:5">
      <c r="A5794" s="12" t="s">
        <v>12773</v>
      </c>
      <c r="B5794" s="12" t="s">
        <v>17986</v>
      </c>
      <c r="C5794" s="13" t="str">
        <f>HYPERLINK("https://audio.iskcondesiretree.com/02_-_ISKCON_Swamis/ISKCON_Swamis_-_R_to_Y/His_Holiness_Radhanath_Swami/Lectures/Russian_Translation/Parikramas/Gaur_mandal_parikrama-01/1997_Day-11_Part-01_Bhaktivinoda_Thakur_House_Sacinandana_swami_Mayapur.mp3", "1997_Day-11_Part-01_Bhaktivinoda_Thakur_House_Sacinandana_swami_Mayapur.mp3")</f>
        <v>1997_Day-11_Part-01_Bhaktivinoda_Thakur_House_Sacinandana_swami_Mayapur.mp3</v>
      </c>
      <c r="D5794" s="11"/>
      <c r="E5794" s="11"/>
    </row>
    <row r="5795" spans="1:5">
      <c r="A5795" s="12" t="s">
        <v>12773</v>
      </c>
      <c r="B5795" s="12" t="s">
        <v>17987</v>
      </c>
      <c r="C5795" s="13" t="str">
        <f>HYPERLINK("https://audio.iskcondesiretree.com/02_-_ISKCON_Swamis/ISKCON_Swamis_-_R_to_Y/His_Holiness_Radhanath_Swami/Lectures/Russian_Translation/Parikramas/Gaur_mandal_parikrama-01/1997_Day-11_Part-02_Bhaktivinoda_Thakur%27s_House_-_Radhanath_Swami_Mayapur.mp3", "1997_Day-11_Part-02_Bhaktivinoda_Thakur%27s_House_-_Radhanath_Swami_Mayapur.mp3")</f>
        <v>1997_Day-11_Part-02_Bhaktivinoda_Thakur%27s_House_-_Radhanath_Swami_Mayapur.mp3</v>
      </c>
      <c r="D5795" s="11"/>
      <c r="E5795" s="11"/>
    </row>
    <row r="5796" spans="1:5">
      <c r="A5796" s="12" t="s">
        <v>12773</v>
      </c>
      <c r="B5796" s="12" t="s">
        <v>17988</v>
      </c>
      <c r="C5796" s="13" t="str">
        <f>HYPERLINK("https://audio.iskcondesiretree.com/02_-_ISKCON_Swamis/ISKCON_Swamis_-_R_to_Y/His_Holiness_Radhanath_Swami/Lectures/Russian_Translation/Parikramas/Gaur_mandal_parikrama-01/1997_Day-11_Part-02_Bhaktivinoda_Thakur_House_Radhanath_swami_Mayapur.mp3", "1997_Day-11_Part-02_Bhaktivinoda_Thakur_House_Radhanath_swami_Mayapur.mp3")</f>
        <v>1997_Day-11_Part-02_Bhaktivinoda_Thakur_House_Radhanath_swami_Mayapur.mp3</v>
      </c>
      <c r="D5796" s="11"/>
      <c r="E5796" s="11"/>
    </row>
    <row r="5797" spans="1:5">
      <c r="A5797" s="12" t="s">
        <v>12773</v>
      </c>
      <c r="B5797" s="12" t="s">
        <v>17989</v>
      </c>
      <c r="C5797" s="13" t="str">
        <f>HYPERLINK("https://audio.iskcondesiretree.com/02_-_ISKCON_Swamis/ISKCON_Swamis_-_R_to_Y/His_Holiness_Radhanath_Swami/Lectures/Russian_Translation/Parikramas/Gaur_mandal_parikrama-01/1997_Day-12_Part-01_Suvarna_vihar_-_Sacinandana_Swami_Mayapur.mp3", "1997_Day-12_Part-01_Suvarna_vihar_-_Sacinandana_Swami_Mayapur.mp3")</f>
        <v>1997_Day-12_Part-01_Suvarna_vihar_-_Sacinandana_Swami_Mayapur.mp3</v>
      </c>
      <c r="D5797" s="11"/>
      <c r="E5797" s="11"/>
    </row>
    <row r="5798" spans="1:5">
      <c r="A5798" s="12" t="s">
        <v>12773</v>
      </c>
      <c r="B5798" s="12" t="s">
        <v>17990</v>
      </c>
      <c r="C5798" s="13" t="str">
        <f>HYPERLINK("https://audio.iskcondesiretree.com/02_-_ISKCON_Swamis/ISKCON_Swamis_-_R_to_Y/His_Holiness_Radhanath_Swami/Lectures/Russian_Translation/Parikramas/Gaur_mandal_parikrama-01/1997_Day-12_Part-01_Suvarna_vihar_Sacinandana_swami_Mayapur.mp3", "1997_Day-12_Part-01_Suvarna_vihar_Sacinandana_swami_Mayapur.mp3")</f>
        <v>1997_Day-12_Part-01_Suvarna_vihar_Sacinandana_swami_Mayapur.mp3</v>
      </c>
      <c r="D5798" s="11"/>
      <c r="E5798" s="11"/>
    </row>
    <row r="5799" spans="1:5">
      <c r="A5799" s="12" t="s">
        <v>12773</v>
      </c>
      <c r="B5799" s="12" t="s">
        <v>17991</v>
      </c>
      <c r="C5799" s="13" t="str">
        <f>HYPERLINK("https://audio.iskcondesiretree.com/02_-_ISKCON_Swamis/ISKCON_Swamis_-_R_to_Y/His_Holiness_Radhanath_Swami/Lectures/Russian_Translation/Parikramas/Gaur_mandal_parikrama-01/1997_Day-12_Part-02_Amghat_-_Radhanath_Swami_Mayapur.mp3", "1997_Day-12_Part-02_Amghat_-_Radhanath_Swami_Mayapur.mp3")</f>
        <v>1997_Day-12_Part-02_Amghat_-_Radhanath_Swami_Mayapur.mp3</v>
      </c>
      <c r="D5799" s="11"/>
      <c r="E5799" s="11"/>
    </row>
    <row r="5800" spans="1:5">
      <c r="A5800" s="12" t="s">
        <v>12773</v>
      </c>
      <c r="B5800" s="12" t="s">
        <v>17992</v>
      </c>
      <c r="C5800" s="13" t="str">
        <f>HYPERLINK("https://audio.iskcondesiretree.com/02_-_ISKCON_Swamis/ISKCON_Swamis_-_R_to_Y/His_Holiness_Radhanath_Swami/Lectures/Russian_Translation/Parikramas/Gaur_mandal_parikrama-01/1997_Day-12_Part-02_Amghat_Radhanath_swami_Mayapur.mp3", "1997_Day-12_Part-02_Amghat_Radhanath_swami_Mayapur.mp3")</f>
        <v>1997_Day-12_Part-02_Amghat_Radhanath_swami_Mayapur.mp3</v>
      </c>
      <c r="D5800" s="11"/>
      <c r="E5800" s="11"/>
    </row>
    <row r="5801" spans="1:5">
      <c r="A5801" s="12" t="s">
        <v>12773</v>
      </c>
      <c r="B5801" s="12" t="s">
        <v>17993</v>
      </c>
      <c r="C5801" s="13" t="str">
        <f>HYPERLINK("https://audio.iskcondesiretree.com/02_-_ISKCON_Swamis/ISKCON_Swamis_-_R_to_Y/His_Holiness_Radhanath_Swami/Lectures/Russian_Translation/Parikramas/Gaur_mandal_parikrama-01/1997_Day-12_Part-03_Harihara_Ksetra_-_Radhanath_Swami_Mayapur.mp3", "1997_Day-12_Part-03_Harihara_Ksetra_-_Radhanath_Swami_Mayapur.mp3")</f>
        <v>1997_Day-12_Part-03_Harihara_Ksetra_-_Radhanath_Swami_Mayapur.mp3</v>
      </c>
      <c r="D5801" s="11"/>
      <c r="E5801" s="11"/>
    </row>
    <row r="5802" spans="1:5">
      <c r="A5802" s="12" t="s">
        <v>12773</v>
      </c>
      <c r="B5802" s="12" t="s">
        <v>17994</v>
      </c>
      <c r="C5802" s="13" t="str">
        <f>HYPERLINK("https://audio.iskcondesiretree.com/02_-_ISKCON_Swamis/ISKCON_Swamis_-_R_to_Y/His_Holiness_Radhanath_Swami/Lectures/Russian_Translation/Parikramas/Gaur_mandal_parikrama-01/1997_Day-12_Part-03_Harihara_ksetra_Radhanath_swami_Mayapur.mp3", "1997_Day-12_Part-03_Harihara_ksetra_Radhanath_swami_Mayapur.mp3")</f>
        <v>1997_Day-12_Part-03_Harihara_ksetra_Radhanath_swami_Mayapur.mp3</v>
      </c>
      <c r="D5802" s="11"/>
      <c r="E5802" s="11"/>
    </row>
    <row r="5803" spans="1:5">
      <c r="A5803" s="12" t="s">
        <v>12773</v>
      </c>
      <c r="B5803" s="12" t="s">
        <v>17995</v>
      </c>
      <c r="C5803" s="13" t="str">
        <f>HYPERLINK("https://audio.iskcondesiretree.com/02_-_ISKCON_Swamis/ISKCON_Swamis_-_R_to_Y/His_Holiness_Radhanath_Swami/Lectures/Russian_Translation/Parikramas/Gaur_mandal_parikrama-01/1997_Day-12_Part-04_Bhaja_Gauranga_-_Radhanaath_Swami_Mayapur.mp3", "1997_Day-12_Part-04_Bhaja_Gauranga_-_Radhanaath_Swami_Mayapur.mp3")</f>
        <v>1997_Day-12_Part-04_Bhaja_Gauranga_-_Radhanaath_Swami_Mayapur.mp3</v>
      </c>
      <c r="D5803" s="11"/>
      <c r="E5803" s="11"/>
    </row>
    <row r="5804" spans="1:5">
      <c r="A5804" s="12" t="s">
        <v>12773</v>
      </c>
      <c r="B5804" s="12" t="s">
        <v>17996</v>
      </c>
      <c r="C5804" s="13" t="str">
        <f>HYPERLINK("https://audio.iskcondesiretree.com/02_-_ISKCON_Swamis/ISKCON_Swamis_-_R_to_Y/His_Holiness_Radhanath_Swami/Lectures/Russian_Translation/Parikramas/Gaur_mandal_parikrama-01/1997_Day-12_Part-04_Bhaja_Gauranga_Radhanaath_swami_Mayapur.mp3", "1997_Day-12_Part-04_Bhaja_Gauranga_Radhanaath_swami_Mayapur.mp3")</f>
        <v>1997_Day-12_Part-04_Bhaja_Gauranga_Radhanaath_swami_Mayapur.mp3</v>
      </c>
      <c r="D5804" s="11"/>
      <c r="E5804" s="11"/>
    </row>
    <row r="5805" spans="1:5">
      <c r="A5805" s="12" t="s">
        <v>12773</v>
      </c>
      <c r="B5805" s="12" t="s">
        <v>17997</v>
      </c>
      <c r="C5805" s="13" t="str">
        <f>HYPERLINK("https://audio.iskcondesiretree.com/02_-_ISKCON_Swamis/ISKCON_Swamis_-_R_to_Y/His_Holiness_Radhanath_Swami/Lectures/Russian_Translation/Parikramas/Gaur_mandal_parikrama-01/1997_Day-13_Part-01_Mamgaci_-_Radhanath_Swami_Mayapur.mp3", "1997_Day-13_Part-01_Mamgaci_-_Radhanath_Swami_Mayapur.mp3")</f>
        <v>1997_Day-13_Part-01_Mamgaci_-_Radhanath_Swami_Mayapur.mp3</v>
      </c>
      <c r="D5805" s="11"/>
      <c r="E5805" s="11"/>
    </row>
    <row r="5806" spans="1:5">
      <c r="A5806" s="12" t="s">
        <v>12773</v>
      </c>
      <c r="B5806" s="12" t="s">
        <v>17998</v>
      </c>
      <c r="C5806" s="13" t="str">
        <f>HYPERLINK("https://audio.iskcondesiretree.com/02_-_ISKCON_Swamis/ISKCON_Swamis_-_R_to_Y/His_Holiness_Radhanath_Swami/Lectures/Russian_Translation/Parikramas/Gaur_mandal_parikrama-01/1997_Day-13_Part-01_Mamgaci_Radhanath_swami_Mayapur.mp3", "1997_Day-13_Part-01_Mamgaci_Radhanath_swami_Mayapur.mp3")</f>
        <v>1997_Day-13_Part-01_Mamgaci_Radhanath_swami_Mayapur.mp3</v>
      </c>
      <c r="D5806" s="11"/>
      <c r="E5806" s="11"/>
    </row>
    <row r="5807" spans="1:5">
      <c r="A5807" s="12" t="s">
        <v>12773</v>
      </c>
      <c r="B5807" s="12" t="s">
        <v>17999</v>
      </c>
      <c r="C5807" s="13" t="str">
        <f>HYPERLINK("https://audio.iskcondesiretree.com/02_-_ISKCON_Swamis/ISKCON_Swamis_-_R_to_Y/His_Holiness_Radhanath_Swami/Lectures/Russian_Translation/Parikramas/Gaur_mandal_parikrama-01/1997_Day-13_Part-02_Vasudeva_0datta_-_Radhanath_Swami_Mayapur.mp3", "1997_Day-13_Part-02_Vasudeva_0datta_-_Radhanath_Swami_Mayapur.mp3")</f>
        <v>1997_Day-13_Part-02_Vasudeva_0datta_-_Radhanath_Swami_Mayapur.mp3</v>
      </c>
      <c r="D5807" s="11"/>
      <c r="E5807" s="11"/>
    </row>
    <row r="5808" spans="1:5">
      <c r="A5808" s="12" t="s">
        <v>12773</v>
      </c>
      <c r="B5808" s="12" t="s">
        <v>18000</v>
      </c>
      <c r="C5808" s="13" t="str">
        <f>HYPERLINK("https://audio.iskcondesiretree.com/02_-_ISKCON_Swamis/ISKCON_Swamis_-_R_to_Y/His_Holiness_Radhanath_Swami/Lectures/Russian_Translation/Parikramas/Gaur_mandal_parikrama-01/1997_Day-13_Part-03_Destroy_of_Ego_-_Sacinandana_Swami_Mayapur.mp3", "1997_Day-13_Part-03_Destroy_of_Ego_-_Sacinandana_Swami_Mayapur.mp3")</f>
        <v>1997_Day-13_Part-03_Destroy_of_Ego_-_Sacinandana_Swami_Mayapur.mp3</v>
      </c>
      <c r="D5808" s="11"/>
      <c r="E5808" s="11"/>
    </row>
    <row r="5809" spans="1:5">
      <c r="A5809" s="12" t="s">
        <v>12773</v>
      </c>
      <c r="B5809" s="12" t="s">
        <v>18001</v>
      </c>
      <c r="C5809" s="13" t="str">
        <f>HYPERLINK("https://audio.iskcondesiretree.com/02_-_ISKCON_Swamis/ISKCON_Swamis_-_R_to_Y/His_Holiness_Radhanath_Swami/Lectures/Russian_Translation/Parikramas/Gaur_mandal_parikrama-01/1997_Day-14_Part-01_Saranga_Murari_-_Radhanath_Swami_Mayapur.mp3", "1997_Day-14_Part-01_Saranga_Murari_-_Radhanath_Swami_Mayapur.mp3")</f>
        <v>1997_Day-14_Part-01_Saranga_Murari_-_Radhanath_Swami_Mayapur.mp3</v>
      </c>
      <c r="D5809" s="11"/>
      <c r="E5809" s="11"/>
    </row>
    <row r="5810" spans="1:5">
      <c r="A5810" s="12" t="s">
        <v>12773</v>
      </c>
      <c r="B5810" s="12" t="s">
        <v>18002</v>
      </c>
      <c r="C5810" s="13" t="str">
        <f>HYPERLINK("https://audio.iskcondesiretree.com/02_-_ISKCON_Swamis/ISKCON_Swamis_-_R_to_Y/His_Holiness_Radhanath_Swami/Lectures/Russian_Translation/Parikramas/Gaur_mandal_parikrama-01/1997_Day-14_Part-01_Saranga_Murari_radhanath_swami_Mayapur.mp3", "1997_Day-14_Part-01_Saranga_Murari_radhanath_swami_Mayapur.mp3")</f>
        <v>1997_Day-14_Part-01_Saranga_Murari_radhanath_swami_Mayapur.mp3</v>
      </c>
      <c r="D5810" s="11"/>
      <c r="E5810" s="11"/>
    </row>
    <row r="5811" spans="1:5">
      <c r="A5811" s="12" t="s">
        <v>12773</v>
      </c>
      <c r="B5811" s="12" t="s">
        <v>18003</v>
      </c>
      <c r="C5811" s="13" t="str">
        <f>HYPERLINK("https://audio.iskcondesiretree.com/02_-_ISKCON_Swamis/ISKCON_Swamis_-_R_to_Y/His_Holiness_Radhanath_Swami/Lectures/Russian_Translation/Parikramas/Gaur_mandal_parikrama-01/1997_Day-14_Part-02_Vidyanagar_-_Radhanath_Swami_Mayapur.mp3", "1997_Day-14_Part-02_Vidyanagar_-_Radhanath_Swami_Mayapur.mp3")</f>
        <v>1997_Day-14_Part-02_Vidyanagar_-_Radhanath_Swami_Mayapur.mp3</v>
      </c>
      <c r="D5811" s="11"/>
      <c r="E5811" s="11"/>
    </row>
    <row r="5812" spans="1:5">
      <c r="A5812" s="12" t="s">
        <v>12773</v>
      </c>
      <c r="B5812" s="12" t="s">
        <v>18004</v>
      </c>
      <c r="C5812" s="13" t="str">
        <f>HYPERLINK("https://audio.iskcondesiretree.com/02_-_ISKCON_Swamis/ISKCON_Swamis_-_R_to_Y/His_Holiness_Radhanath_Swami/Lectures/Russian_Translation/Parikramas/Gaur_mandal_parikrama-01/1997_Day-14_Part-02_Vidyanagar_Radhanath_swami_Mayapur.mp3", "1997_Day-14_Part-02_Vidyanagar_Radhanath_swami_Mayapur.mp3")</f>
        <v>1997_Day-14_Part-02_Vidyanagar_Radhanath_swami_Mayapur.mp3</v>
      </c>
      <c r="D5812" s="11"/>
      <c r="E5812" s="11"/>
    </row>
    <row r="5813" spans="1:5">
      <c r="A5813" s="12" t="s">
        <v>12773</v>
      </c>
      <c r="B5813" s="12" t="s">
        <v>18005</v>
      </c>
      <c r="C5813" s="13" t="str">
        <f>HYPERLINK("https://audio.iskcondesiretree.com/02_-_ISKCON_Swamis/ISKCON_Swamis_-_R_to_Y/His_Holiness_Radhanath_Swami/Lectures/Russian_Translation/Parikramas/Gaur_mandal_parikrama-01/1997_Day-14_Part-03_Glories_of_Sri_Caitanya_Mahaprabhu_-_Mayapur.mp3", "1997_Day-14_Part-03_Glories_of_Sri_Caitanya_Mahaprabhu_-_Mayapur.mp3")</f>
        <v>1997_Day-14_Part-03_Glories_of_Sri_Caitanya_Mahaprabhu_-_Mayapur.mp3</v>
      </c>
      <c r="D5813" s="11"/>
      <c r="E5813" s="11"/>
    </row>
    <row r="5814" spans="1:5">
      <c r="A5814" s="12" t="s">
        <v>12773</v>
      </c>
      <c r="B5814" s="12" t="s">
        <v>18006</v>
      </c>
      <c r="C5814" s="13" t="str">
        <f>HYPERLINK("https://audio.iskcondesiretree.com/02_-_ISKCON_Swamis/ISKCON_Swamis_-_R_to_Y/His_Holiness_Radhanath_Swami/Lectures/Russian_Translation/Parikramas/Gaur_mandal_parikrama-01/1997_Day-14_Part-03_Prabhu_Glories_of_Sri_Caitanya_Mayapur.mp3", "1997_Day-14_Part-03_Prabhu_Glories_of_Sri_Caitanya_Mayapur.mp3")</f>
        <v>1997_Day-14_Part-03_Prabhu_Glories_of_Sri_Caitanya_Mayapur.mp3</v>
      </c>
      <c r="D5814" s="11"/>
      <c r="E5814" s="11"/>
    </row>
    <row r="5815" spans="1:5">
      <c r="A5815" s="12" t="s">
        <v>12773</v>
      </c>
      <c r="B5815" s="12" t="s">
        <v>18007</v>
      </c>
      <c r="C5815" s="13" t="str">
        <f>HYPERLINK("https://audio.iskcondesiretree.com/02_-_ISKCON_Swamis/ISKCON_Swamis_-_R_to_Y/His_Holiness_Radhanath_Swami/Lectures/Russian_Translation/Parikramas/Gaur_mandal_parikrama-01/1997_Day-14_Part-04_Campahati_-_Radhanath_Swami_Mayapur.mp3", "1997_Day-14_Part-04_Campahati_-_Radhanath_Swami_Mayapur.mp3")</f>
        <v>1997_Day-14_Part-04_Campahati_-_Radhanath_Swami_Mayapur.mp3</v>
      </c>
      <c r="D5815" s="11"/>
      <c r="E5815" s="11"/>
    </row>
    <row r="5816" spans="1:5">
      <c r="A5816" s="12" t="s">
        <v>12773</v>
      </c>
      <c r="B5816" s="12" t="s">
        <v>18008</v>
      </c>
      <c r="C5816" s="13" t="str">
        <f>HYPERLINK("https://audio.iskcondesiretree.com/02_-_ISKCON_Swamis/ISKCON_Swamis_-_R_to_Y/His_Holiness_Radhanath_Swami/Lectures/Russian_Translation/Parikramas/Gaur_mandal_parikrama-01/1997_Day-14_Part-04_Campahati_Radhanath_swami_Mayapur.mp3", "1997_Day-14_Part-04_Campahati_Radhanath_swami_Mayapur.mp3")</f>
        <v>1997_Day-14_Part-04_Campahati_Radhanath_swami_Mayapur.mp3</v>
      </c>
      <c r="D5816" s="11"/>
      <c r="E5816" s="11"/>
    </row>
    <row r="5817" spans="1:5">
      <c r="A5817" s="12" t="s">
        <v>12773</v>
      </c>
      <c r="B5817" s="12" t="s">
        <v>18009</v>
      </c>
      <c r="C5817" s="13" t="str">
        <f>HYPERLINK("https://audio.iskcondesiretree.com/02_-_ISKCON_Swamis/ISKCON_Swamis_-_R_to_Y/His_Holiness_Radhanath_Swami/Lectures/Russian_Translation/Parikramas/Gaur_mandal_parikrama-01/1997_Day-15_Part-01_Vishnupriya_Devi_-_Radhanath_Swami_Mayapur.mp3", "1997_Day-15_Part-01_Vishnupriya_Devi_-_Radhanath_Swami_Mayapur.mp3")</f>
        <v>1997_Day-15_Part-01_Vishnupriya_Devi_-_Radhanath_Swami_Mayapur.mp3</v>
      </c>
      <c r="D5817" s="11"/>
      <c r="E5817" s="11"/>
    </row>
    <row r="5818" spans="1:5">
      <c r="A5818" s="12" t="s">
        <v>12773</v>
      </c>
      <c r="B5818" s="12" t="s">
        <v>18010</v>
      </c>
      <c r="C5818" s="13" t="str">
        <f>HYPERLINK("https://audio.iskcondesiretree.com/02_-_ISKCON_Swamis/ISKCON_Swamis_-_R_to_Y/His_Holiness_Radhanath_Swami/Lectures/Russian_Translation/Parikramas/Gaur_mandal_parikrama-01/1997_Day-15_Part-01_Visnupriya_devi_Radhanath_swami_Mayapur.mp3", "1997_Day-15_Part-01_Visnupriya_devi_Radhanath_swami_Mayapur.mp3")</f>
        <v>1997_Day-15_Part-01_Visnupriya_devi_Radhanath_swami_Mayapur.mp3</v>
      </c>
      <c r="D5818" s="11"/>
      <c r="E5818" s="11"/>
    </row>
    <row r="5819" spans="1:5">
      <c r="A5819" s="12" t="s">
        <v>12773</v>
      </c>
      <c r="B5819" s="12" t="s">
        <v>18011</v>
      </c>
      <c r="C5819" s="13" t="str">
        <f>HYPERLINK("https://audio.iskcondesiretree.com/02_-_ISKCON_Swamis/ISKCON_Swamis_-_R_to_Y/His_Holiness_Radhanath_Swami/Lectures/Russian_Translation/Parikramas/Gaur_mandal_parikrama-01/1997_Day-15_Part-02_Praudha_Maya_-_Sacinandana_Swami_Mayapur.mp3", "1997_Day-15_Part-02_Praudha_Maya_-_Sacinandana_Swami_Mayapur.mp3")</f>
        <v>1997_Day-15_Part-02_Praudha_Maya_-_Sacinandana_Swami_Mayapur.mp3</v>
      </c>
      <c r="D5819" s="11"/>
      <c r="E5819" s="11"/>
    </row>
    <row r="5820" spans="1:5">
      <c r="A5820" s="12" t="s">
        <v>12773</v>
      </c>
      <c r="B5820" s="12" t="s">
        <v>18012</v>
      </c>
      <c r="C5820" s="13" t="str">
        <f>HYPERLINK("https://audio.iskcondesiretree.com/02_-_ISKCON_Swamis/ISKCON_Swamis_-_R_to_Y/His_Holiness_Radhanath_Swami/Lectures/Russian_Translation/Parikramas/Gaur_mandal_parikrama-01/1997_Day-15_Part-02_Praudha_maya_Sacinandana_swami_Mayapur.mp3", "1997_Day-15_Part-02_Praudha_maya_Sacinandana_swami_Mayapur.mp3")</f>
        <v>1997_Day-15_Part-02_Praudha_maya_Sacinandana_swami_Mayapur.mp3</v>
      </c>
      <c r="D5820" s="11"/>
      <c r="E5820" s="11"/>
    </row>
    <row r="5821" spans="1:5">
      <c r="A5821" s="12" t="s">
        <v>12773</v>
      </c>
      <c r="B5821" s="12" t="s">
        <v>18013</v>
      </c>
      <c r="C5821" s="13" t="str">
        <f>HYPERLINK("https://audio.iskcondesiretree.com/02_-_ISKCON_Swamis/ISKCON_Swamis_-_R_to_Y/His_Holiness_Radhanath_Swami/Lectures/Russian_Translation/Parikramas/Gaur_mandal_parikrama-01/1997_Day-15_Part-03_Govinda_Jaya_Jaya_-_Radhanath_Swami_Mayapur.mp3", "1997_Day-15_Part-03_Govinda_Jaya_Jaya_-_Radhanath_Swami_Mayapur.mp3")</f>
        <v>1997_Day-15_Part-03_Govinda_Jaya_Jaya_-_Radhanath_Swami_Mayapur.mp3</v>
      </c>
      <c r="D5821" s="11"/>
      <c r="E5821" s="11"/>
    </row>
    <row r="5822" spans="1:5">
      <c r="A5822" s="12" t="s">
        <v>12773</v>
      </c>
      <c r="B5822" s="12" t="s">
        <v>18014</v>
      </c>
      <c r="C5822" s="13" t="str">
        <f>HYPERLINK("https://audio.iskcondesiretree.com/02_-_ISKCON_Swamis/ISKCON_Swamis_-_R_to_Y/His_Holiness_Radhanath_Swami/Lectures/Russian_Translation/Parikramas/Gaur_mandal_parikrama-01/1997_Day-15_Part-03_Govinda_Jaya_Jaya_Radhanath_swami_Mayapur.mp3", "1997_Day-15_Part-03_Govinda_Jaya_Jaya_Radhanath_swami_Mayapur.mp3")</f>
        <v>1997_Day-15_Part-03_Govinda_Jaya_Jaya_Radhanath_swami_Mayapur.mp3</v>
      </c>
      <c r="D5822" s="11"/>
      <c r="E5822" s="11"/>
    </row>
    <row r="5823" spans="1:5">
      <c r="A5823" s="12" t="s">
        <v>12773</v>
      </c>
      <c r="B5823" s="12" t="s">
        <v>18015</v>
      </c>
      <c r="C5823" s="13" t="str">
        <f>HYPERLINK("https://audio.iskcondesiretree.com/02_-_ISKCON_Swamis/ISKCON_Swamis_-_R_to_Y/His_Holiness_Radhanath_Swami/Lectures/Russian_Translation/Parikramas/Gaur_mandal_parikrama-02/1997_Day-01_Part-01_Ramakeli_-_Radhanath_Swami_Mayapur.mp3", "1997_Day-01_Part-01_Ramakeli_-_Radhanath_Swami_Mayapur.mp3")</f>
        <v>1997_Day-01_Part-01_Ramakeli_-_Radhanath_Swami_Mayapur.mp3</v>
      </c>
      <c r="D5823" s="11"/>
      <c r="E5823" s="11"/>
    </row>
    <row r="5824" spans="1:5">
      <c r="A5824" s="12" t="s">
        <v>12773</v>
      </c>
      <c r="B5824" s="12" t="s">
        <v>18016</v>
      </c>
      <c r="C5824" s="13" t="str">
        <f>HYPERLINK("https://audio.iskcondesiretree.com/02_-_ISKCON_Swamis/ISKCON_Swamis_-_R_to_Y/His_Holiness_Radhanath_Swami/Lectures/Russian_Translation/Parikramas/Gaur_mandal_parikrama-02/1997_Day-01_Part-02_Bhajans_-_Radhanath_Swami_Mayapur.mp3", "1997_Day-01_Part-02_Bhajans_-_Radhanath_Swami_Mayapur.mp3")</f>
        <v>1997_Day-01_Part-02_Bhajans_-_Radhanath_Swami_Mayapur.mp3</v>
      </c>
      <c r="D5824" s="11"/>
      <c r="E5824" s="11"/>
    </row>
    <row r="5825" spans="1:5">
      <c r="A5825" s="12" t="s">
        <v>12773</v>
      </c>
      <c r="B5825" s="12" t="s">
        <v>18017</v>
      </c>
      <c r="C5825" s="13" t="str">
        <f>HYPERLINK("https://audio.iskcondesiretree.com/02_-_ISKCON_Swamis/ISKCON_Swamis_-_R_to_Y/His_Holiness_Radhanath_Swami/Lectures/Russian_Translation/Parikramas/Gaur_mandal_parikrama-02/1997_Day-01_Part-02_Bhajans_Radhanath_swami_Mayapur.mp3", "1997_Day-01_Part-02_Bhajans_Radhanath_swami_Mayapur.mp3")</f>
        <v>1997_Day-01_Part-02_Bhajans_Radhanath_swami_Mayapur.mp3</v>
      </c>
      <c r="D5825" s="11"/>
      <c r="E5825" s="11"/>
    </row>
    <row r="5826" spans="1:5">
      <c r="A5826" s="12" t="s">
        <v>12773</v>
      </c>
      <c r="B5826" s="12" t="s">
        <v>18018</v>
      </c>
      <c r="C5826" s="13" t="str">
        <f>HYPERLINK("https://audio.iskcondesiretree.com/02_-_ISKCON_Swamis/ISKCON_Swamis_-_R_to_Y/His_Holiness_Radhanath_Swami/Lectures/Russian_Translation/Parikramas/Gaur_mandal_parikrama-02/1997_Day-01_Part-03_Prabhu_Sanatana_Goswami_Mayapur.mp3", "1997_Day-01_Part-03_Prabhu_Sanatana_Goswami_Mayapur.mp3")</f>
        <v>1997_Day-01_Part-03_Prabhu_Sanatana_Goswami_Mayapur.mp3</v>
      </c>
      <c r="D5826" s="11"/>
      <c r="E5826" s="11"/>
    </row>
    <row r="5827" spans="1:5">
      <c r="A5827" s="12" t="s">
        <v>12773</v>
      </c>
      <c r="B5827" s="12" t="s">
        <v>18019</v>
      </c>
      <c r="C5827" s="13" t="str">
        <f>HYPERLINK("https://audio.iskcondesiretree.com/02_-_ISKCON_Swamis/ISKCON_Swamis_-_R_to_Y/His_Holiness_Radhanath_Swami/Lectures/Russian_Translation/Parikramas/Gaur_mandal_parikrama-02/1997_Day-01_Part-03_Sanatana_Goswami_-_Radhanath_Swami_Mayapur.mp3", "1997_Day-01_Part-03_Sanatana_Goswami_-_Radhanath_Swami_Mayapur.mp3")</f>
        <v>1997_Day-01_Part-03_Sanatana_Goswami_-_Radhanath_Swami_Mayapur.mp3</v>
      </c>
      <c r="D5827" s="11"/>
      <c r="E5827" s="11"/>
    </row>
    <row r="5828" spans="1:5">
      <c r="A5828" s="12" t="s">
        <v>12773</v>
      </c>
      <c r="B5828" s="12" t="s">
        <v>18020</v>
      </c>
      <c r="C5828" s="13" t="str">
        <f>HYPERLINK("https://audio.iskcondesiretree.com/02_-_ISKCON_Swamis/ISKCON_Swamis_-_R_to_Y/His_Holiness_Radhanath_Swami/Lectures/Russian_Translation/Parikramas/Gaur_mandal_parikrama-02/1997_Day-02_Part-01_Govardhana_kirtan_-_Radhanath_Swami_Mayapur.mp3", "1997_Day-02_Part-01_Govardhana_kirtan_-_Radhanath_Swami_Mayapur.mp3")</f>
        <v>1997_Day-02_Part-01_Govardhana_kirtan_-_Radhanath_Swami_Mayapur.mp3</v>
      </c>
      <c r="D5828" s="11"/>
      <c r="E5828" s="11"/>
    </row>
    <row r="5829" spans="1:5">
      <c r="A5829" s="12" t="s">
        <v>12773</v>
      </c>
      <c r="B5829" s="12" t="s">
        <v>18021</v>
      </c>
      <c r="C5829" s="13" t="str">
        <f>HYPERLINK("https://audio.iskcondesiretree.com/02_-_ISKCON_Swamis/ISKCON_Swamis_-_R_to_Y/His_Holiness_Radhanath_Swami/Lectures/Russian_Translation/Parikramas/Gaur_mandal_parikrama-02/1997_Day-02_Part-01_Govardhana_kirtan_Radhanath_swami_Mayapur.mp3", "1997_Day-02_Part-01_Govardhana_kirtan_Radhanath_swami_Mayapur.mp3")</f>
        <v>1997_Day-02_Part-01_Govardhana_kirtan_Radhanath_swami_Mayapur.mp3</v>
      </c>
      <c r="D5829" s="11"/>
      <c r="E5829" s="11"/>
    </row>
    <row r="5830" spans="1:5">
      <c r="A5830" s="12" t="s">
        <v>12773</v>
      </c>
      <c r="B5830" s="12" t="s">
        <v>18022</v>
      </c>
      <c r="C5830" s="13" t="str">
        <f>HYPERLINK("https://audio.iskcondesiretree.com/02_-_ISKCON_Swamis/ISKCON_Swamis_-_R_to_Y/His_Holiness_Radhanath_Swami/Lectures/Russian_Translation/Parikramas/Gaur_mandal_parikrama-02/1997_Day-02_Part-01_Govardhana_lila_-_Radhanath_Swami_Mayapur.mp3", "1997_Day-02_Part-01_Govardhana_lila_-_Radhanath_Swami_Mayapur.mp3")</f>
        <v>1997_Day-02_Part-01_Govardhana_lila_-_Radhanath_Swami_Mayapur.mp3</v>
      </c>
      <c r="D5830" s="11"/>
      <c r="E5830" s="11"/>
    </row>
    <row r="5831" spans="1:5">
      <c r="A5831" s="12" t="s">
        <v>12773</v>
      </c>
      <c r="B5831" s="12" t="s">
        <v>18023</v>
      </c>
      <c r="C5831" s="13" t="str">
        <f>HYPERLINK("https://audio.iskcondesiretree.com/02_-_ISKCON_Swamis/ISKCON_Swamis_-_R_to_Y/His_Holiness_Radhanath_Swami/Lectures/Russian_Translation/Parikramas/Gaur_mandal_parikrama-02/1997_Day-02_Part-01_Govardhana_lila_Radhanath_swami_Mayapur.mp3", "1997_Day-02_Part-01_Govardhana_lila_Radhanath_swami_Mayapur.mp3")</f>
        <v>1997_Day-02_Part-01_Govardhana_lila_Radhanath_swami_Mayapur.mp3</v>
      </c>
      <c r="D5831" s="11"/>
      <c r="E5831" s="11"/>
    </row>
    <row r="5832" spans="1:5">
      <c r="A5832" s="12" t="s">
        <v>12773</v>
      </c>
      <c r="B5832" s="12" t="s">
        <v>18024</v>
      </c>
      <c r="C5832" s="13" t="str">
        <f>HYPERLINK("https://audio.iskcondesiretree.com/02_-_ISKCON_Swamis/ISKCON_Swamis_-_R_to_Y/His_Holiness_Radhanath_Swami/Lectures/Russian_Translation/Parikramas/Gaur_mandal_parikrama-02/1997_Day-02_Part-02_Govardhana_lila_-_Radhanath_Swami_Mayapur.mp3", "1997_Day-02_Part-02_Govardhana_lila_-_Radhanath_Swami_Mayapur.mp3")</f>
        <v>1997_Day-02_Part-02_Govardhana_lila_-_Radhanath_Swami_Mayapur.mp3</v>
      </c>
      <c r="D5832" s="11"/>
      <c r="E5832" s="11"/>
    </row>
    <row r="5833" spans="1:5">
      <c r="A5833" s="12" t="s">
        <v>12773</v>
      </c>
      <c r="B5833" s="12" t="s">
        <v>18025</v>
      </c>
      <c r="C5833" s="13" t="str">
        <f>HYPERLINK("https://audio.iskcondesiretree.com/02_-_ISKCON_Swamis/ISKCON_Swamis_-_R_to_Y/His_Holiness_Radhanath_Swami/Lectures/Russian_Translation/Parikramas/Gaur_mandal_parikrama-02/1997_Day-02_Part-02_Govardhana_lila_Radhanath_swami_Mayapur.mp3", "1997_Day-02_Part-02_Govardhana_lila_Radhanath_swami_Mayapur.mp3")</f>
        <v>1997_Day-02_Part-02_Govardhana_lila_Radhanath_swami_Mayapur.mp3</v>
      </c>
      <c r="D5833" s="11"/>
      <c r="E5833" s="11"/>
    </row>
    <row r="5834" spans="1:5">
      <c r="A5834" s="12" t="s">
        <v>12773</v>
      </c>
      <c r="B5834" s="12" t="s">
        <v>18026</v>
      </c>
      <c r="C5834" s="13" t="str">
        <f>HYPERLINK("https://audio.iskcondesiretree.com/02_-_ISKCON_Swamis/ISKCON_Swamis_-_R_to_Y/His_Holiness_Radhanath_Swami/Lectures/Russian_Translation/Parikramas/Gaur_mandal_parikrama-02/1997_Day-03_Part-01_kirtan_in_Kanainatshala_-_Sacinandana_Swami_Mayapur.mp3", "1997_Day-03_Part-01_kirtan_in_Kanainatshala_-_Sacinandana_Swami_Mayapur.mp3")</f>
        <v>1997_Day-03_Part-01_kirtan_in_Kanainatshala_-_Sacinandana_Swami_Mayapur.mp3</v>
      </c>
      <c r="D5834" s="11"/>
      <c r="E5834" s="11"/>
    </row>
    <row r="5835" spans="1:5">
      <c r="A5835" s="12" t="s">
        <v>12773</v>
      </c>
      <c r="B5835" s="12" t="s">
        <v>18027</v>
      </c>
      <c r="C5835" s="13" t="str">
        <f>HYPERLINK("https://audio.iskcondesiretree.com/02_-_ISKCON_Swamis/ISKCON_Swamis_-_R_to_Y/His_Holiness_Radhanath_Swami/Lectures/Russian_Translation/Parikramas/Gaur_mandal_parikrama-02/1997_Day-03_Part-01_kirtan_in_Kanainatshala_Sacinandana_swami_Mayapur.mp3", "1997_Day-03_Part-01_kirtan_in_Kanainatshala_Sacinandana_swami_Mayapur.mp3")</f>
        <v>1997_Day-03_Part-01_kirtan_in_Kanainatshala_Sacinandana_swami_Mayapur.mp3</v>
      </c>
      <c r="D5835" s="11"/>
      <c r="E5835" s="11"/>
    </row>
    <row r="5836" spans="1:5">
      <c r="A5836" s="12" t="s">
        <v>12773</v>
      </c>
      <c r="B5836" s="12" t="s">
        <v>18028</v>
      </c>
      <c r="C5836" s="13" t="str">
        <f>HYPERLINK("https://audio.iskcondesiretree.com/02_-_ISKCON_Swamis/ISKCON_Swamis_-_R_to_Y/His_Holiness_Radhanath_Swami/Lectures/Russian_Translation/Parikramas/Gaur_mandal_parikrama-02/1997_Day-03_Part-02_Kanainatshala_-_Radhanath_Swami_Mayapur.mp3", "1997_Day-03_Part-02_Kanainatshala_-_Radhanath_Swami_Mayapur.mp3")</f>
        <v>1997_Day-03_Part-02_Kanainatshala_-_Radhanath_Swami_Mayapur.mp3</v>
      </c>
      <c r="D5836" s="11"/>
      <c r="E5836" s="11"/>
    </row>
    <row r="5837" spans="1:5">
      <c r="A5837" s="12" t="s">
        <v>12773</v>
      </c>
      <c r="B5837" s="12" t="s">
        <v>18029</v>
      </c>
      <c r="C5837" s="13" t="str">
        <f>HYPERLINK("https://audio.iskcondesiretree.com/02_-_ISKCON_Swamis/ISKCON_Swamis_-_R_to_Y/His_Holiness_Radhanath_Swami/Lectures/Russian_Translation/Parikramas/Gaur_mandal_parikrama-02/1997_Day-03_Part-02_Kanainatshala_Radhanath_swami_Mayapur.mp3", "1997_Day-03_Part-02_Kanainatshala_Radhanath_swami_Mayapur.mp3")</f>
        <v>1997_Day-03_Part-02_Kanainatshala_Radhanath_swami_Mayapur.mp3</v>
      </c>
      <c r="D5837" s="11"/>
      <c r="E5837" s="11"/>
    </row>
    <row r="5838" spans="1:5">
      <c r="A5838" s="12" t="s">
        <v>12773</v>
      </c>
      <c r="B5838" s="12" t="s">
        <v>18030</v>
      </c>
      <c r="C5838" s="13" t="str">
        <f>HYPERLINK("https://audio.iskcondesiretree.com/02_-_ISKCON_Swamis/ISKCON_Swamis_-_R_to_Y/His_Holiness_Radhanath_Swami/Lectures/Russian_Translation/Parikramas/Gaur_mandal_parikrama-02/1997_Day-04_Part-02_Govardhan_-_Radhanath_Swami_Mayapur.mp3", "1997_Day-04_Part-02_Govardhan_-_Radhanath_Swami_Mayapur.mp3")</f>
        <v>1997_Day-04_Part-02_Govardhan_-_Radhanath_Swami_Mayapur.mp3</v>
      </c>
      <c r="D5838" s="11"/>
      <c r="E5838" s="11"/>
    </row>
    <row r="5839" spans="1:5">
      <c r="A5839" s="12" t="s">
        <v>12773</v>
      </c>
      <c r="B5839" s="12" t="s">
        <v>18031</v>
      </c>
      <c r="C5839" s="13" t="str">
        <f>HYPERLINK("https://audio.iskcondesiretree.com/02_-_ISKCON_Swamis/ISKCON_Swamis_-_R_to_Y/His_Holiness_Radhanath_Swami/Lectures/Russian_Translation/Parikramas/Gaur_mandal_parikrama-02/1997_Day-04_Part-02_Govardhan_Radhanath_swami_Mayapur.mp3", "1997_Day-04_Part-02_Govardhan_Radhanath_swami_Mayapur.mp3")</f>
        <v>1997_Day-04_Part-02_Govardhan_Radhanath_swami_Mayapur.mp3</v>
      </c>
      <c r="D5839" s="11"/>
      <c r="E5839" s="11"/>
    </row>
    <row r="5840" spans="1:5">
      <c r="A5840" s="12" t="s">
        <v>12773</v>
      </c>
      <c r="B5840" s="12" t="s">
        <v>18032</v>
      </c>
      <c r="C5840" s="13" t="str">
        <f>HYPERLINK("https://audio.iskcondesiretree.com/02_-_ISKCON_Swamis/ISKCON_Swamis_-_R_to_Y/His_Holiness_Radhanath_Swami/Lectures/Russian_Translation/Parikramas/Gaur_mandal_parikrama-02/1997_Day-05_Part-01_Games_Nitai_-_Radhanath_Swami_Mayapur.mp3", "1997_Day-05_Part-01_Games_Nitai_-_Radhanath_Swami_Mayapur.mp3")</f>
        <v>1997_Day-05_Part-01_Games_Nitai_-_Radhanath_Swami_Mayapur.mp3</v>
      </c>
      <c r="D5840" s="11"/>
      <c r="E5840" s="11"/>
    </row>
    <row r="5841" spans="1:5">
      <c r="A5841" s="12" t="s">
        <v>12773</v>
      </c>
      <c r="B5841" s="12" t="s">
        <v>18033</v>
      </c>
      <c r="C5841" s="13" t="str">
        <f>HYPERLINK("https://audio.iskcondesiretree.com/02_-_ISKCON_Swamis/ISKCON_Swamis_-_R_to_Y/His_Holiness_Radhanath_Swami/Lectures/Russian_Translation/Parikramas/Gaur_mandal_parikrama-02/1997_Day-05_Part-01_Games_Nitai_Radhanath_swami_Mayapur.mp3", "1997_Day-05_Part-01_Games_Nitai_Radhanath_swami_Mayapur.mp3")</f>
        <v>1997_Day-05_Part-01_Games_Nitai_Radhanath_swami_Mayapur.mp3</v>
      </c>
      <c r="D5841" s="11"/>
      <c r="E5841" s="11"/>
    </row>
    <row r="5842" spans="1:5">
      <c r="A5842" s="12" t="s">
        <v>12773</v>
      </c>
      <c r="B5842" s="12" t="s">
        <v>18034</v>
      </c>
      <c r="C5842" s="13" t="str">
        <f>HYPERLINK("https://audio.iskcondesiretree.com/02_-_ISKCON_Swamis/ISKCON_Swamis_-_R_to_Y/His_Holiness_Radhanath_Swami/Lectures/Russian_Translation/Parikramas/Gaur_mandal_parikrama-02/1997_Day-05_Part-02_Games_Nitai_-_Radhanath_Swami_Mayapur.mp3", "1997_Day-05_Part-02_Games_Nitai_-_Radhanath_Swami_Mayapur.mp3")</f>
        <v>1997_Day-05_Part-02_Games_Nitai_-_Radhanath_Swami_Mayapur.mp3</v>
      </c>
      <c r="D5842" s="11"/>
      <c r="E5842" s="11"/>
    </row>
    <row r="5843" spans="1:5">
      <c r="A5843" s="12" t="s">
        <v>12773</v>
      </c>
      <c r="B5843" s="12" t="s">
        <v>18035</v>
      </c>
      <c r="C5843" s="13" t="str">
        <f>HYPERLINK("https://audio.iskcondesiretree.com/02_-_ISKCON_Swamis/ISKCON_Swamis_-_R_to_Y/His_Holiness_Radhanath_Swami/Lectures/Russian_Translation/Parikramas/Gaur_mandal_parikrama-02/1997_Day-05_Part-02_Games_Nitai_Radhanath_swami_Mayapur.mp3", "1997_Day-05_Part-02_Games_Nitai_Radhanath_swami_Mayapur.mp3")</f>
        <v>1997_Day-05_Part-02_Games_Nitai_Radhanath_swami_Mayapur.mp3</v>
      </c>
      <c r="D5843" s="11"/>
      <c r="E5843" s="11"/>
    </row>
    <row r="5844" spans="1:5">
      <c r="A5844" s="12" t="s">
        <v>12773</v>
      </c>
      <c r="B5844" s="12" t="s">
        <v>18036</v>
      </c>
      <c r="C5844" s="13" t="str">
        <f>HYPERLINK("https://audio.iskcondesiretree.com/02_-_ISKCON_Swamis/ISKCON_Swamis_-_R_to_Y/His_Holiness_Radhanath_Swami/Lectures/Russian_Translation/Parikramas/Gaur_mandal_parikrama-02/1997_Day-06_Part-01_Life_Nityananda_-_Radhanath_Swami_Mayapur.mp3", "1997_Day-06_Part-01_Life_Nityananda_-_Radhanath_Swami_Mayapur.mp3")</f>
        <v>1997_Day-06_Part-01_Life_Nityananda_-_Radhanath_Swami_Mayapur.mp3</v>
      </c>
      <c r="D5844" s="11"/>
      <c r="E5844" s="11"/>
    </row>
    <row r="5845" spans="1:5">
      <c r="A5845" s="12" t="s">
        <v>12773</v>
      </c>
      <c r="B5845" s="12" t="s">
        <v>18037</v>
      </c>
      <c r="C5845" s="13" t="str">
        <f>HYPERLINK("https://audio.iskcondesiretree.com/02_-_ISKCON_Swamis/ISKCON_Swamis_-_R_to_Y/His_Holiness_Radhanath_Swami/Lectures/Russian_Translation/Parikramas/Gaur_mandal_parikrama-02/1997_Day-06_Part-01_Life_Nityananda_Radhanath_swami_Mayapur.mp3", "1997_Day-06_Part-01_Life_Nityananda_Radhanath_swami_Mayapur.mp3")</f>
        <v>1997_Day-06_Part-01_Life_Nityananda_Radhanath_swami_Mayapur.mp3</v>
      </c>
      <c r="D5845" s="11"/>
      <c r="E5845" s="11"/>
    </row>
    <row r="5846" spans="1:5">
      <c r="A5846" s="12" t="s">
        <v>12773</v>
      </c>
      <c r="B5846" s="12" t="s">
        <v>18038</v>
      </c>
      <c r="C5846" s="13" t="str">
        <f>HYPERLINK("https://audio.iskcondesiretree.com/02_-_ISKCON_Swamis/ISKCON_Swamis_-_R_to_Y/His_Holiness_Radhanath_Swami/Lectures/Russian_Translation/Parikramas/Gaur_mandal_parikrama-02/1997_Day-06_Part-02_Exemption_Dzhagaya_and_Madhaya_Sacinandana_swami_Mayapur.mp3", "1997_Day-06_Part-02_Exemption_Dzhagaya_and_Madhaya_Sacinandana_swami_Mayapur.mp3")</f>
        <v>1997_Day-06_Part-02_Exemption_Dzhagaya_and_Madhaya_Sacinandana_swami_Mayapur.mp3</v>
      </c>
      <c r="D5846" s="11"/>
      <c r="E5846" s="11"/>
    </row>
    <row r="5847" spans="1:5">
      <c r="A5847" s="12" t="s">
        <v>12773</v>
      </c>
      <c r="B5847" s="12" t="s">
        <v>18039</v>
      </c>
      <c r="C5847" s="13" t="str">
        <f>HYPERLINK("https://audio.iskcondesiretree.com/02_-_ISKCON_Swamis/ISKCON_Swamis_-_R_to_Y/His_Holiness_Radhanath_Swami/Lectures/Russian_Translation/Parikramas/Gaur_mandal_parikrama-02/1997_Day-06_Part-02_Exemption_Jaghai_and_Madhai_-_Sacinandana_Swami_Mayapur.mp3", "1997_Day-06_Part-02_Exemption_Jaghai_and_Madhai_-_Sacinandana_Swami_Mayapur.mp3")</f>
        <v>1997_Day-06_Part-02_Exemption_Jaghai_and_Madhai_-_Sacinandana_Swami_Mayapur.mp3</v>
      </c>
      <c r="D5847" s="11"/>
      <c r="E5847" s="11"/>
    </row>
    <row r="5848" spans="1:5">
      <c r="A5848" s="12" t="s">
        <v>12773</v>
      </c>
      <c r="B5848" s="12" t="s">
        <v>18040</v>
      </c>
      <c r="C5848" s="13" t="str">
        <f>HYPERLINK("https://audio.iskcondesiretree.com/02_-_ISKCON_Swamis/ISKCON_Swamis_-_R_to_Y/His_Holiness_Radhanath_Swami/Lectures/Russian_Translation/Parikramas/Gaur_mandal_parikrama-02/1997_Day-06_Part-03_Nityananda_Rama_kirtan_-_Sacinandana_Swami_Mayapur.mp3", "1997_Day-06_Part-03_Nityananda_Rama_kirtan_-_Sacinandana_Swami_Mayapur.mp3")</f>
        <v>1997_Day-06_Part-03_Nityananda_Rama_kirtan_-_Sacinandana_Swami_Mayapur.mp3</v>
      </c>
      <c r="D5848" s="11"/>
      <c r="E5848" s="11"/>
    </row>
    <row r="5849" spans="1:5">
      <c r="A5849" s="12" t="s">
        <v>12773</v>
      </c>
      <c r="B5849" s="12" t="s">
        <v>18041</v>
      </c>
      <c r="C5849" s="13" t="str">
        <f>HYPERLINK("https://audio.iskcondesiretree.com/02_-_ISKCON_Swamis/ISKCON_Swamis_-_R_to_Y/His_Holiness_Radhanath_Swami/Lectures/Russian_Translation/Parikramas/Gaur_mandal_parikrama-02/1997_Day-06_Part-03_Nityananda_Rama_kirtan_Sacinandana_swami_Mayapur.mp3", "1997_Day-06_Part-03_Nityananda_Rama_kirtan_Sacinandana_swami_Mayapur.mp3")</f>
        <v>1997_Day-06_Part-03_Nityananda_Rama_kirtan_Sacinandana_swami_Mayapur.mp3</v>
      </c>
      <c r="D5849" s="11"/>
      <c r="E5849" s="11"/>
    </row>
    <row r="5850" spans="1:5">
      <c r="A5850" s="12" t="s">
        <v>12773</v>
      </c>
      <c r="B5850" s="12" t="s">
        <v>18042</v>
      </c>
      <c r="C5850" s="13" t="str">
        <f>HYPERLINK("https://audio.iskcondesiretree.com/02_-_ISKCON_Swamis/ISKCON_Swamis_-_R_to_Y/His_Holiness_Radhanath_Swami/Lectures/Russian_Translation/Parikramas/Gaur_mandal_parikrama-02/1997_Day-06_Part-04_The_Mercy_of_Nityananda_-_Sacinandana_Swami_Mayapur.mp3", "1997_Day-06_Part-04_The_Mercy_of_Nityananda_-_Sacinandana_Swami_Mayapur.mp3")</f>
        <v>1997_Day-06_Part-04_The_Mercy_of_Nityananda_-_Sacinandana_Swami_Mayapur.mp3</v>
      </c>
      <c r="D5850" s="11"/>
      <c r="E5850" s="11"/>
    </row>
    <row r="5851" spans="1:5">
      <c r="A5851" s="12" t="s">
        <v>12773</v>
      </c>
      <c r="B5851" s="12" t="s">
        <v>18043</v>
      </c>
      <c r="C5851" s="13" t="str">
        <f>HYPERLINK("https://audio.iskcondesiretree.com/02_-_ISKCON_Swamis/ISKCON_Swamis_-_R_to_Y/His_Holiness_Radhanath_Swami/Lectures/Russian_Translation/Parikramas/Gaur_mandal_parikrama-02/1997_Day-06_Part-04_The_mercy_of_Nityananda_Sacinandana_swami_Mayapur.mp3", "1997_Day-06_Part-04_The_mercy_of_Nityananda_Sacinandana_swami_Mayapur.mp3")</f>
        <v>1997_Day-06_Part-04_The_mercy_of_Nityananda_Sacinandana_swami_Mayapur.mp3</v>
      </c>
      <c r="D5851" s="11"/>
      <c r="E5851" s="11"/>
    </row>
    <row r="5852" spans="1:5">
      <c r="A5852" s="12" t="s">
        <v>12773</v>
      </c>
      <c r="B5852" s="12" t="s">
        <v>18044</v>
      </c>
      <c r="C5852" s="13" t="str">
        <f>HYPERLINK("https://audio.iskcondesiretree.com/02_-_ISKCON_Swamis/ISKCON_Swamis_-_R_to_Y/His_Holiness_Radhanath_Swami/Lectures/Russian_Translation/Parikramas/Gaur_mandal_parikrama-02/1997_Day-06_Part-05_Games_Nityananda_Radhanath_swami_Mayapur.mp3", "1997_Day-06_Part-05_Games_Nityananda_Radhanath_swami_Mayapur.mp3")</f>
        <v>1997_Day-06_Part-05_Games_Nityananda_Radhanath_swami_Mayapur.mp3</v>
      </c>
      <c r="D5852" s="11"/>
      <c r="E5852" s="11"/>
    </row>
    <row r="5853" spans="1:5">
      <c r="A5853" s="12" t="s">
        <v>12773</v>
      </c>
      <c r="B5853" s="12" t="s">
        <v>18045</v>
      </c>
      <c r="C5853" s="13" t="str">
        <f>HYPERLINK("https://audio.iskcondesiretree.com/02_-_ISKCON_Swamis/ISKCON_Swamis_-_R_to_Y/His_Holiness_Radhanath_Swami/Lectures/Russian_Translation/Parikramas/Gaur_mandal_parikrama-02/1997_Day-06_Part-05_Games_of_Nityananda_-_Radhanath_Swami_Mayapur.mp3", "1997_Day-06_Part-05_Games_of_Nityananda_-_Radhanath_Swami_Mayapur.mp3")</f>
        <v>1997_Day-06_Part-05_Games_of_Nityananda_-_Radhanath_Swami_Mayapur.mp3</v>
      </c>
      <c r="D5853" s="11"/>
      <c r="E5853" s="11"/>
    </row>
    <row r="5854" spans="1:5">
      <c r="A5854" s="12" t="s">
        <v>12773</v>
      </c>
      <c r="B5854" s="12" t="s">
        <v>18046</v>
      </c>
      <c r="C5854" s="13" t="str">
        <f>HYPERLINK("https://audio.iskcondesiretree.com/02_-_ISKCON_Swamis/ISKCON_Swamis_-_R_to_Y/His_Holiness_Radhanath_Swami/Lectures/Russian_Translation/Parikramas/Gaur_mandal_parikrama-02/1997_Day-06_Part-06_Nitai_Pada_Kamala_kirtan_-_Radhanath_Swami_Mayapur.mp3", "1997_Day-06_Part-06_Nitai_Pada_Kamala_kirtan_-_Radhanath_Swami_Mayapur.mp3")</f>
        <v>1997_Day-06_Part-06_Nitai_Pada_Kamala_kirtan_-_Radhanath_Swami_Mayapur.mp3</v>
      </c>
      <c r="D5854" s="11"/>
      <c r="E5854" s="11"/>
    </row>
    <row r="5855" spans="1:5">
      <c r="A5855" s="12" t="s">
        <v>12773</v>
      </c>
      <c r="B5855" s="12" t="s">
        <v>18047</v>
      </c>
      <c r="C5855" s="13" t="str">
        <f>HYPERLINK("https://audio.iskcondesiretree.com/02_-_ISKCON_Swamis/ISKCON_Swamis_-_R_to_Y/His_Holiness_Radhanath_Swami/Lectures/Russian_Translation/Parikramas/Gaur_mandal_parikrama-02/1997_Day-06_Part-06_Nitay_Pada_kamala_kirtan_Radhanath_swami_Mayapur.mp3", "1997_Day-06_Part-06_Nitay_Pada_kamala_kirtan_Radhanath_swami_Mayapur.mp3")</f>
        <v>1997_Day-06_Part-06_Nitay_Pada_kamala_kirtan_Radhanath_swami_Mayapur.mp3</v>
      </c>
      <c r="D5855" s="11"/>
      <c r="E5855" s="11"/>
    </row>
    <row r="5856" spans="1:5">
      <c r="A5856" s="12" t="s">
        <v>12773</v>
      </c>
      <c r="B5856" s="12" t="s">
        <v>18048</v>
      </c>
      <c r="C5856" s="13" t="str">
        <f>HYPERLINK("https://audio.iskcondesiretree.com/02_-_ISKCON_Swamis/ISKCON_Swamis_-_R_to_Y/His_Holiness_Radhanath_Swami/Lectures/Russian_Translation/Parikramas/Gaur_mandal_parikrama-02/1997_Day-07_Part-01_Jajigram_-_Radhanath_Swami_Mayapur.mp3", "1997_Day-07_Part-01_Jajigram_-_Radhanath_Swami_Mayapur.mp3")</f>
        <v>1997_Day-07_Part-01_Jajigram_-_Radhanath_Swami_Mayapur.mp3</v>
      </c>
      <c r="D5856" s="11"/>
      <c r="E5856" s="11"/>
    </row>
    <row r="5857" spans="1:5">
      <c r="A5857" s="12" t="s">
        <v>12773</v>
      </c>
      <c r="B5857" s="12" t="s">
        <v>18049</v>
      </c>
      <c r="C5857" s="13" t="str">
        <f>HYPERLINK("https://audio.iskcondesiretree.com/02_-_ISKCON_Swamis/ISKCON_Swamis_-_R_to_Y/His_Holiness_Radhanath_Swami/Lectures/Russian_Translation/Parikramas/Gaur_mandal_parikrama-02/1997_Day-07_Part-01_Jajigram_Radhanath_swami_Mayapur.mp3", "1997_Day-07_Part-01_Jajigram_Radhanath_swami_Mayapur.mp3")</f>
        <v>1997_Day-07_Part-01_Jajigram_Radhanath_swami_Mayapur.mp3</v>
      </c>
      <c r="D5857" s="11"/>
      <c r="E5857" s="11"/>
    </row>
    <row r="5858" spans="1:5">
      <c r="A5858" s="12" t="s">
        <v>12773</v>
      </c>
      <c r="B5858" s="12" t="s">
        <v>18050</v>
      </c>
      <c r="C5858" s="13" t="str">
        <f>HYPERLINK("https://audio.iskcondesiretree.com/02_-_ISKCON_Swamis/ISKCON_Swamis_-_R_to_Y/His_Holiness_Radhanath_Swami/Lectures/Russian_Translation/Parikramas/Gaur_mandal_parikrama-02/1997_Day-08_Part-01_Srikhanta_-_Radhanath_Swami_Mayapur.mp3", "1997_Day-08_Part-01_Srikhanta_-_Radhanath_Swami_Mayapur.mp3")</f>
        <v>1997_Day-08_Part-01_Srikhanta_-_Radhanath_Swami_Mayapur.mp3</v>
      </c>
      <c r="D5858" s="11"/>
      <c r="E5858" s="11"/>
    </row>
    <row r="5859" spans="1:5">
      <c r="A5859" s="12" t="s">
        <v>12773</v>
      </c>
      <c r="B5859" s="12" t="s">
        <v>18051</v>
      </c>
      <c r="C5859" s="13" t="str">
        <f>HYPERLINK("https://audio.iskcondesiretree.com/02_-_ISKCON_Swamis/ISKCON_Swamis_-_R_to_Y/His_Holiness_Radhanath_Swami/Lectures/Russian_Translation/Parikramas/Gaur_mandal_parikrama-02/1997_Day-08_Part-01_Srikhanta_Radhanath_swami_Mayapur.mp3", "1997_Day-08_Part-01_Srikhanta_Radhanath_swami_Mayapur.mp3")</f>
        <v>1997_Day-08_Part-01_Srikhanta_Radhanath_swami_Mayapur.mp3</v>
      </c>
      <c r="D5859" s="11"/>
      <c r="E5859" s="11"/>
    </row>
    <row r="5860" spans="1:5">
      <c r="A5860" s="12" t="s">
        <v>12773</v>
      </c>
      <c r="B5860" s="12" t="s">
        <v>18052</v>
      </c>
      <c r="C5860" s="13" t="str">
        <f>HYPERLINK("https://audio.iskcondesiretree.com/02_-_ISKCON_Swamis/ISKCON_Swamis_-_R_to_Y/His_Holiness_Radhanath_Swami/Lectures/Russian_Translation/Parikramas/Gaur_mandal_parikrama-02/1997_Day-09_Part-01_Raghava_Pandit_-_Radhanath_Swami_Mayapur.mp3", "1997_Day-09_Part-01_Raghava_Pandit_-_Radhanath_Swami_Mayapur.mp3")</f>
        <v>1997_Day-09_Part-01_Raghava_Pandit_-_Radhanath_Swami_Mayapur.mp3</v>
      </c>
      <c r="D5860" s="11"/>
      <c r="E5860" s="11"/>
    </row>
    <row r="5861" spans="1:5">
      <c r="A5861" s="12" t="s">
        <v>12773</v>
      </c>
      <c r="B5861" s="12" t="s">
        <v>18053</v>
      </c>
      <c r="C5861" s="13" t="str">
        <f>HYPERLINK("https://audio.iskcondesiretree.com/02_-_ISKCON_Swamis/ISKCON_Swamis_-_R_to_Y/His_Holiness_Radhanath_Swami/Lectures/Russian_Translation/Parikramas/Gaur_mandal_parikrama-02/1997_Day-09_Part-01_Raghava_Pandit_Radhanath_swami_Mayapur.mp3", "1997_Day-09_Part-01_Raghava_Pandit_Radhanath_swami_Mayapur.mp3")</f>
        <v>1997_Day-09_Part-01_Raghava_Pandit_Radhanath_swami_Mayapur.mp3</v>
      </c>
      <c r="D5861" s="11"/>
      <c r="E5861" s="11"/>
    </row>
    <row r="5862" spans="1:5">
      <c r="A5862" s="12" t="s">
        <v>12773</v>
      </c>
      <c r="B5862" s="12" t="s">
        <v>18054</v>
      </c>
      <c r="C5862" s="13" t="str">
        <f>HYPERLINK("https://audio.iskcondesiretree.com/02_-_ISKCON_Swamis/ISKCON_Swamis_-_R_to_Y/His_Holiness_Radhanath_Swami/Lectures/Russian_Translation/Parikramas/Gaur_mandal_parikrama-02/1997_Day-09_Part-02_Kirtan_-_Radhanath_Swami_Mayapur.mp3", "1997_Day-09_Part-02_Kirtan_-_Radhanath_Swami_Mayapur.mp3")</f>
        <v>1997_Day-09_Part-02_Kirtan_-_Radhanath_Swami_Mayapur.mp3</v>
      </c>
      <c r="D5862" s="11"/>
      <c r="E5862" s="11"/>
    </row>
    <row r="5863" spans="1:5">
      <c r="A5863" s="12" t="s">
        <v>12773</v>
      </c>
      <c r="B5863" s="12" t="s">
        <v>18055</v>
      </c>
      <c r="C5863" s="13" t="str">
        <f>HYPERLINK("https://audio.iskcondesiretree.com/02_-_ISKCON_Swamis/ISKCON_Swamis_-_R_to_Y/His_Holiness_Radhanath_Swami/Lectures/Russian_Translation/Parikramas/Gaur_mandal_parikrama-02/1997_Day-09_Part-02_kirtan_Radhanath_swami_Mayapur.mp3", "1997_Day-09_Part-02_kirtan_Radhanath_swami_Mayapur.mp3")</f>
        <v>1997_Day-09_Part-02_kirtan_Radhanath_swami_Mayapur.mp3</v>
      </c>
      <c r="D5863" s="11"/>
      <c r="E5863" s="11"/>
    </row>
    <row r="5864" spans="1:5">
      <c r="A5864" s="12" t="s">
        <v>12773</v>
      </c>
      <c r="B5864" s="12" t="s">
        <v>18056</v>
      </c>
      <c r="C5864" s="13" t="str">
        <f>HYPERLINK("https://audio.iskcondesiretree.com/02_-_ISKCON_Swamis/ISKCON_Swamis_-_R_to_Y/His_Holiness_Radhanath_Swami/Lectures/Russian_Translation/Parikramas/Gaur_mandal_parikrama-02/1997_Day-09_Part-03_Panihati_Gram_-_Radhanath_Swami_Mayapur.mp3", "1997_Day-09_Part-03_Panihati_Gram_-_Radhanath_Swami_Mayapur.mp3")</f>
        <v>1997_Day-09_Part-03_Panihati_Gram_-_Radhanath_Swami_Mayapur.mp3</v>
      </c>
      <c r="D5864" s="11"/>
      <c r="E5864" s="11"/>
    </row>
    <row r="5865" spans="1:5">
      <c r="A5865" s="12" t="s">
        <v>12773</v>
      </c>
      <c r="B5865" s="12" t="s">
        <v>18057</v>
      </c>
      <c r="C5865" s="13" t="str">
        <f>HYPERLINK("https://audio.iskcondesiretree.com/02_-_ISKCON_Swamis/ISKCON_Swamis_-_R_to_Y/His_Holiness_Radhanath_Swami/Lectures/Russian_Translation/Parikramas/Gaur_mandal_parikrama-02/1997_Day-09_Part-03_Panihati_Gram_Radhanath_swami_Mayapur.mp3", "1997_Day-09_Part-03_Panihati_Gram_Radhanath_swami_Mayapur.mp3")</f>
        <v>1997_Day-09_Part-03_Panihati_Gram_Radhanath_swami_Mayapur.mp3</v>
      </c>
      <c r="D5865" s="11"/>
      <c r="E5865" s="11"/>
    </row>
    <row r="5866" spans="1:5">
      <c r="A5866" s="12" t="s">
        <v>12773</v>
      </c>
      <c r="B5866" s="12" t="s">
        <v>18058</v>
      </c>
      <c r="C5866" s="13" t="str">
        <f>HYPERLINK("https://audio.iskcondesiretree.com/02_-_ISKCON_Swamis/ISKCON_Swamis_-_R_to_Y/His_Holiness_Radhanath_Swami/Lectures/Russian_Translation/Parikramas/Gaur_mandal_parikrama-02/1997_Day-10_Part-01_Kardaha_-_Radhanath_Swami_Mayapur.mp3", "1997_Day-10_Part-01_Kardaha_-_Radhanath_Swami_Mayapur.mp3")</f>
        <v>1997_Day-10_Part-01_Kardaha_-_Radhanath_Swami_Mayapur.mp3</v>
      </c>
      <c r="D5866" s="11"/>
      <c r="E5866" s="11"/>
    </row>
    <row r="5867" spans="1:5">
      <c r="A5867" s="12" t="s">
        <v>12773</v>
      </c>
      <c r="B5867" s="12" t="s">
        <v>18059</v>
      </c>
      <c r="C5867" s="13" t="str">
        <f>HYPERLINK("https://audio.iskcondesiretree.com/02_-_ISKCON_Swamis/ISKCON_Swamis_-_R_to_Y/His_Holiness_Radhanath_Swami/Lectures/Russian_Translation/Parikramas/Gaur_mandal_parikrama-02/1997_Day-10_Part-01_Kardaha_Radhanath_swami_Mayapur.mp3", "1997_Day-10_Part-01_Kardaha_Radhanath_swami_Mayapur.mp3")</f>
        <v>1997_Day-10_Part-01_Kardaha_Radhanath_swami_Mayapur.mp3</v>
      </c>
      <c r="D5867" s="11"/>
      <c r="E5867" s="11"/>
    </row>
    <row r="5868" spans="1:5">
      <c r="A5868" s="12" t="s">
        <v>12773</v>
      </c>
      <c r="B5868" s="12" t="s">
        <v>18060</v>
      </c>
      <c r="C5868" s="13" t="str">
        <f>HYPERLINK("https://audio.iskcondesiretree.com/02_-_ISKCON_Swamis/ISKCON_Swamis_-_R_to_Y/His_Holiness_Radhanath_Swami/Lectures/Russian_Translation/Parikramas/Gaur_mandal_parikrama-02/1997_Day-10_Part-02_Radhanath_Swami_Mayapur.mp3", "1997_Day-10_Part-02_Radhanath_Swami_Mayapur.mp3")</f>
        <v>1997_Day-10_Part-02_Radhanath_Swami_Mayapur.mp3</v>
      </c>
      <c r="D5868" s="11"/>
      <c r="E5868" s="11"/>
    </row>
    <row r="5869" spans="1:5">
      <c r="A5869" s="12" t="s">
        <v>12773</v>
      </c>
      <c r="B5869" s="12" t="s">
        <v>18061</v>
      </c>
      <c r="C5869" s="13" t="str">
        <f>HYPERLINK("https://audio.iskcondesiretree.com/02_-_ISKCON_Swamis/ISKCON_Swamis_-_R_to_Y/His_Holiness_Radhanath_Swami/Lectures/Russian_Translation/Parikramas/Jagannath_Puri/1998_Day-01_Instructions_before_Parikrama_-_Radhanath_Swami_Jagannath_Puri.mp3", "1998_Day-01_Instructions_before_Parikrama_-_Radhanath_Swami_Jagannath_Puri.mp3")</f>
        <v>1998_Day-01_Instructions_before_Parikrama_-_Radhanath_Swami_Jagannath_Puri.mp3</v>
      </c>
      <c r="D5869" s="11"/>
      <c r="E5869" s="11"/>
    </row>
    <row r="5870" spans="1:5">
      <c r="A5870" s="12" t="s">
        <v>12773</v>
      </c>
      <c r="B5870" s="12" t="s">
        <v>18062</v>
      </c>
      <c r="C5870" s="13" t="str">
        <f>HYPERLINK("https://audio.iskcondesiretree.com/02_-_ISKCON_Swamis/ISKCON_Swamis_-_R_to_Y/His_Holiness_Radhanath_Swami/Lectures/Russian_Translation/Parikramas/Jagannath_Puri/1998_Day-02_History_Bhuvaneshvara_-_Radhanath_Swami_Jagannath_Puri.mp3", "1998_Day-02_History_Bhuvaneshvara_-_Radhanath_Swami_Jagannath_Puri.mp3")</f>
        <v>1998_Day-02_History_Bhuvaneshvara_-_Radhanath_Swami_Jagannath_Puri.mp3</v>
      </c>
      <c r="D5870" s="11"/>
      <c r="E5870" s="11"/>
    </row>
    <row r="5871" spans="1:5">
      <c r="A5871" s="12" t="s">
        <v>12773</v>
      </c>
      <c r="B5871" s="12" t="s">
        <v>18063</v>
      </c>
      <c r="C5871" s="13" t="str">
        <f>HYPERLINK("https://audio.iskcondesiretree.com/02_-_ISKCON_Swamis/ISKCON_Swamis_-_R_to_Y/His_Holiness_Radhanath_Swami/Lectures/Russian_Translation/Parikramas/Jagannath_Puri/1998_Day-03_Game_of_the_Lord_in_Kamalpure_and_Attaranale_-_Radhanath_Swami_Jagannath_Puri.mp3", "1998_Day-03_Game_of_the_Lord_in_Kamalpure_and_Attaranale_-_Radhanath_Swami_Jagannath_Puri.mp3")</f>
        <v>1998_Day-03_Game_of_the_Lord_in_Kamalpure_and_Attaranale_-_Radhanath_Swami_Jagannath_Puri.mp3</v>
      </c>
      <c r="D5871" s="11"/>
      <c r="E5871" s="11"/>
    </row>
    <row r="5872" spans="1:5">
      <c r="A5872" s="12" t="s">
        <v>12773</v>
      </c>
      <c r="B5872" s="12" t="s">
        <v>18064</v>
      </c>
      <c r="C5872" s="13" t="str">
        <f>HYPERLINK("https://audio.iskcondesiretree.com/02_-_ISKCON_Swamis/ISKCON_Swamis_-_R_to_Y/His_Holiness_Radhanath_Swami/Lectures/Russian_Translation/Parikramas/Jagannath_Puri/1998_Day-04_Game_of_the_Lord_in_Attaranale_continued_-_Radhanath_Swami_Jagannath_Puri.mp3", "1998_Day-04_Game_of_the_Lord_in_Attaranale_continued_-_Radhanath_Swami_Jagannath_Puri.mp3")</f>
        <v>1998_Day-04_Game_of_the_Lord_in_Attaranale_continued_-_Radhanath_Swami_Jagannath_Puri.mp3</v>
      </c>
      <c r="D5872" s="11"/>
      <c r="E5872" s="11"/>
    </row>
    <row r="5873" spans="1:5">
      <c r="A5873" s="12" t="s">
        <v>12773</v>
      </c>
      <c r="B5873" s="12" t="s">
        <v>18065</v>
      </c>
      <c r="C5873" s="13" t="str">
        <f>HYPERLINK("https://audio.iskcondesiretree.com/02_-_ISKCON_Swamis/ISKCON_Swamis_-_R_to_Y/His_Holiness_Radhanath_Swami/Lectures/Russian_Translation/Parikramas/Jagannath_Puri/1998_Day-05_The_Path_of_Lord_Caitanya_in_Jagannath_Puri_-_Radhanath_Swami_Jagannath_Puri.mp3", "1998_Day-05_The_Path_of_Lord_Caitanya_in_Jagannath_Puri_-_Radhanath_Swami_Jagannath_Puri.mp3")</f>
        <v>1998_Day-05_The_Path_of_Lord_Caitanya_in_Jagannath_Puri_-_Radhanath_Swami_Jagannath_Puri.mp3</v>
      </c>
      <c r="D5873" s="11"/>
      <c r="E5873" s="11"/>
    </row>
    <row r="5874" spans="1:5">
      <c r="A5874" s="12" t="s">
        <v>12773</v>
      </c>
      <c r="B5874" s="12" t="s">
        <v>18066</v>
      </c>
      <c r="C5874" s="13" t="str">
        <f>HYPERLINK("https://audio.iskcondesiretree.com/02_-_ISKCON_Swamis/ISKCON_Swamis_-_R_to_Y/His_Holiness_Radhanath_Swami/Lectures/Russian_Translation/Parikramas/Jagannath_Puri/1998_Day-06_Lord_Chaitanya_and_Sarvabhauma_Bhattacharya_-_Radhanath_Swami_Jagannath_Puri.mp3", "1998_Day-06_Lord_Chaitanya_and_Sarvabhauma_Bhattacharya_-_Radhanath_Swami_Jagannath_Puri.mp3")</f>
        <v>1998_Day-06_Lord_Chaitanya_and_Sarvabhauma_Bhattacharya_-_Radhanath_Swami_Jagannath_Puri.mp3</v>
      </c>
      <c r="D5874" s="11"/>
      <c r="E5874" s="11"/>
    </row>
    <row r="5875" spans="1:5">
      <c r="A5875" s="12" t="s">
        <v>12773</v>
      </c>
      <c r="B5875" s="12" t="s">
        <v>18067</v>
      </c>
      <c r="C5875" s="13" t="str">
        <f>HYPERLINK("https://audio.iskcondesiretree.com/02_-_ISKCON_Swamis/ISKCON_Swamis_-_R_to_Y/His_Holiness_Radhanath_Swami/Lectures/Russian_Translation/Parikramas/Jagannath_Puri/1998_Day-07_Game_of_the_Lord_on_Narendra_Sarovar_-_Radhanath_Swami_Jagannath_Puri.mp3", "1998_Day-07_Game_of_the_Lord_on_Narendra_Sarovar_-_Radhanath_Swami_Jagannath_Puri.mp3")</f>
        <v>1998_Day-07_Game_of_the_Lord_on_Narendra_Sarovar_-_Radhanath_Swami_Jagannath_Puri.mp3</v>
      </c>
      <c r="D5875" s="11"/>
      <c r="E5875" s="11"/>
    </row>
    <row r="5876" spans="1:5">
      <c r="A5876" s="12" t="s">
        <v>12773</v>
      </c>
      <c r="B5876" s="12" t="s">
        <v>18068</v>
      </c>
      <c r="C5876" s="13" t="str">
        <f>HYPERLINK("https://audio.iskcondesiretree.com/02_-_ISKCON_Swamis/ISKCON_Swamis_-_R_to_Y/His_Holiness_Radhanath_Swami/Lectures/Russian_Translation/Parikramas/Jagannath_Puri/1998_Day-08_Glory_Raghunatha_dasa_Goswami_-_Radhanath_Swami_Jagannath_Puri.mp3", "1998_Day-08_Glory_Raghunatha_dasa_Goswami_-_Radhanath_Swami_Jagannath_Puri.mp3")</f>
        <v>1998_Day-08_Glory_Raghunatha_dasa_Goswami_-_Radhanath_Swami_Jagannath_Puri.mp3</v>
      </c>
      <c r="D5876" s="11"/>
      <c r="E5876" s="11"/>
    </row>
    <row r="5877" spans="1:5">
      <c r="A5877" s="12" t="s">
        <v>12773</v>
      </c>
      <c r="B5877" s="12" t="s">
        <v>18069</v>
      </c>
      <c r="C5877" s="13" t="str">
        <f>HYPERLINK("https://audio.iskcondesiretree.com/02_-_ISKCON_Swamis/ISKCON_Swamis_-_R_to_Y/His_Holiness_Radhanath_Swami/Lectures/Russian_Translation/Parikramas/Jagannath_Puri/1998_Day-09_Part-01_Sri_Chaitanya_in_Gambier_-_Radhanath_Swami_Jagannath_Puri.mp3", "1998_Day-09_Part-01_Sri_Chaitanya_in_Gambier_-_Radhanath_Swami_Jagannath_Puri.mp3")</f>
        <v>1998_Day-09_Part-01_Sri_Chaitanya_in_Gambier_-_Radhanath_Swami_Jagannath_Puri.mp3</v>
      </c>
      <c r="D5877" s="11"/>
      <c r="E5877" s="11"/>
    </row>
    <row r="5878" spans="1:5">
      <c r="A5878" s="12" t="s">
        <v>12773</v>
      </c>
      <c r="B5878" s="12" t="s">
        <v>18070</v>
      </c>
      <c r="C5878" s="13" t="str">
        <f>HYPERLINK("https://audio.iskcondesiretree.com/02_-_ISKCON_Swamis/ISKCON_Swamis_-_R_to_Y/His_Holiness_Radhanath_Swami/Lectures/Russian_Translation/Parikramas/Jagannath_Puri/1998_Day-09_Part-02_Sri_Chaitanya_in_Gambier_-_Radhanath_Swami_Jagannath_Puri.mp3", "1998_Day-09_Part-02_Sri_Chaitanya_in_Gambier_-_Radhanath_Swami_Jagannath_Puri.mp3")</f>
        <v>1998_Day-09_Part-02_Sri_Chaitanya_in_Gambier_-_Radhanath_Swami_Jagannath_Puri.mp3</v>
      </c>
      <c r="D5878" s="11"/>
      <c r="E5878" s="11"/>
    </row>
    <row r="5879" spans="1:5">
      <c r="A5879" s="12" t="s">
        <v>12773</v>
      </c>
      <c r="B5879" s="12" t="s">
        <v>18071</v>
      </c>
      <c r="C5879" s="13" t="str">
        <f>HYPERLINK("https://audio.iskcondesiretree.com/02_-_ISKCON_Swamis/ISKCON_Swamis_-_R_to_Y/His_Holiness_Radhanath_Swami/Lectures/Russian_Translation/Parikramas/Jagannath_Puri/1998_Day-10_Pit_Paramananda_Puri_-_Radhanath_Swami_Jagannath_Puri.mp3", "1998_Day-10_Pit_Paramananda_Puri_-_Radhanath_Swami_Jagannath_Puri.mp3")</f>
        <v>1998_Day-10_Pit_Paramananda_Puri_-_Radhanath_Swami_Jagannath_Puri.mp3</v>
      </c>
      <c r="D5879" s="11"/>
      <c r="E5879" s="11"/>
    </row>
    <row r="5880" spans="1:5">
      <c r="A5880" s="12" t="s">
        <v>12773</v>
      </c>
      <c r="B5880" s="12" t="s">
        <v>18072</v>
      </c>
      <c r="C5880" s="13" t="str">
        <f>HYPERLINK("https://audio.iskcondesiretree.com/02_-_ISKCON_Swamis/ISKCON_Swamis_-_R_to_Y/His_Holiness_Radhanath_Swami/Lectures/Russian_Translation/Parikramas/Jagannath_Puri/1998_Day-11_Chatak_Parvati_-_Radhanath_Swami_Jagannath_Puri.mp3", "1998_Day-11_Chatak_Parvati_-_Radhanath_Swami_Jagannath_Puri.mp3")</f>
        <v>1998_Day-11_Chatak_Parvati_-_Radhanath_Swami_Jagannath_Puri.mp3</v>
      </c>
      <c r="D5880" s="11"/>
      <c r="E5880" s="11"/>
    </row>
    <row r="5881" spans="1:5">
      <c r="A5881" s="12" t="s">
        <v>12773</v>
      </c>
      <c r="B5881" s="12" t="s">
        <v>18073</v>
      </c>
      <c r="C5881" s="13" t="str">
        <f>HYPERLINK("https://audio.iskcondesiretree.com/02_-_ISKCON_Swamis/ISKCON_Swamis_-_R_to_Y/His_Holiness_Radhanath_Swami/Lectures/Russian_Translation/Parikramas/Jagannath_Puri/1998_Day-12_Part-01_Tota_Gopinath_Mandir_-_Radhanath_Swami_Jagannath_Puri.mp3", "1998_Day-12_Part-01_Tota_Gopinath_Mandir_-_Radhanath_Swami_Jagannath_Puri.mp3")</f>
        <v>1998_Day-12_Part-01_Tota_Gopinath_Mandir_-_Radhanath_Swami_Jagannath_Puri.mp3</v>
      </c>
      <c r="D5881" s="11"/>
      <c r="E5881" s="11"/>
    </row>
    <row r="5882" spans="1:5">
      <c r="A5882" s="12" t="s">
        <v>12773</v>
      </c>
      <c r="B5882" s="12" t="s">
        <v>18074</v>
      </c>
      <c r="C5882" s="13" t="str">
        <f>HYPERLINK("https://audio.iskcondesiretree.com/02_-_ISKCON_Swamis/ISKCON_Swamis_-_R_to_Y/His_Holiness_Radhanath_Swami/Lectures/Russian_Translation/Parikramas/Jagannath_Puri/1998_Day-12_Part-02_Tota_Gopinath_Mandir_-_Radhanath_Swami_Jagannath_Puri.mp3", "1998_Day-12_Part-02_Tota_Gopinath_Mandir_-_Radhanath_Swami_Jagannath_Puri.mp3")</f>
        <v>1998_Day-12_Part-02_Tota_Gopinath_Mandir_-_Radhanath_Swami_Jagannath_Puri.mp3</v>
      </c>
      <c r="D5882" s="11"/>
      <c r="E5882" s="11"/>
    </row>
    <row r="5883" spans="1:5">
      <c r="A5883" s="12" t="s">
        <v>12773</v>
      </c>
      <c r="B5883" s="12" t="s">
        <v>18075</v>
      </c>
      <c r="C5883" s="13" t="str">
        <f>HYPERLINK("https://audio.iskcondesiretree.com/02_-_ISKCON_Swamis/ISKCON_Swamis_-_R_to_Y/His_Holiness_Radhanath_Swami/Lectures/Russian_Translation/Parikramas/Jagannath_Puri/1998_Day-12_Part-03_Nimai_takes_sannyasi_-_Radhanath_Swami_Jagannath_Puri.mp3", "1998_Day-12_Part-03_Nimai_takes_sannyasi_-_Radhanath_Swami_Jagannath_Puri.mp3")</f>
        <v>1998_Day-12_Part-03_Nimai_takes_sannyasi_-_Radhanath_Swami_Jagannath_Puri.mp3</v>
      </c>
      <c r="D5883" s="11"/>
      <c r="E5883" s="11"/>
    </row>
    <row r="5884" spans="1:5">
      <c r="A5884" s="12" t="s">
        <v>12773</v>
      </c>
      <c r="B5884" s="12" t="s">
        <v>18076</v>
      </c>
      <c r="C5884" s="13" t="str">
        <f>HYPERLINK("https://audio.iskcondesiretree.com/02_-_ISKCON_Swamis/ISKCON_Swamis_-_R_to_Y/His_Holiness_Radhanath_Swami/Lectures/Russian_Translation/Parikramas/Jagannath_Puri/1998_Day-13_Part-01_Glory_to_Srila_Haridas_Thakur_-_Radhanath_Swami_Jagannath_Puri.mp3", "1998_Day-13_Part-01_Glory_to_Srila_Haridas_Thakur_-_Radhanath_Swami_Jagannath_Puri.mp3")</f>
        <v>1998_Day-13_Part-01_Glory_to_Srila_Haridas_Thakur_-_Radhanath_Swami_Jagannath_Puri.mp3</v>
      </c>
      <c r="D5884" s="11"/>
      <c r="E5884" s="11"/>
    </row>
    <row r="5885" spans="1:5">
      <c r="A5885" s="12" t="s">
        <v>12773</v>
      </c>
      <c r="B5885" s="12" t="s">
        <v>18077</v>
      </c>
      <c r="C5885" s="13" t="str">
        <f>HYPERLINK("https://audio.iskcondesiretree.com/02_-_ISKCON_Swamis/ISKCON_Swamis_-_R_to_Y/His_Holiness_Radhanath_Swami/Lectures/Russian_Translation/Parikramas/Jagannath_Puri/1998_Day-13_Part-02_Glory_to_Srila_Haridas_Thakur_-_Radhanath_Swami_Jagannath_Puri.mp3", "1998_Day-13_Part-02_Glory_to_Srila_Haridas_Thakur_-_Radhanath_Swami_Jagannath_Puri.mp3")</f>
        <v>1998_Day-13_Part-02_Glory_to_Srila_Haridas_Thakur_-_Radhanath_Swami_Jagannath_Puri.mp3</v>
      </c>
      <c r="D5885" s="11"/>
      <c r="E5885" s="11"/>
    </row>
    <row r="5886" spans="1:5">
      <c r="A5886" s="12" t="s">
        <v>12773</v>
      </c>
      <c r="B5886" s="12" t="s">
        <v>18078</v>
      </c>
      <c r="C5886" s="13" t="str">
        <f>HYPERLINK("https://audio.iskcondesiretree.com/02_-_ISKCON_Swamis/ISKCON_Swamis_-_R_to_Y/His_Holiness_Radhanath_Swami/Lectures/Russian_Translation/Parikramas/Jagannath_Puri/1998_Day-13_Part-03_Haridas_Thakur_-_Radhanath_Swami_Jagannath_Puri.mp3", "1998_Day-13_Part-03_Haridas_Thakur_-_Radhanath_Swami_Jagannath_Puri.mp3")</f>
        <v>1998_Day-13_Part-03_Haridas_Thakur_-_Radhanath_Swami_Jagannath_Puri.mp3</v>
      </c>
      <c r="D5886" s="11"/>
      <c r="E5886" s="11"/>
    </row>
    <row r="5887" spans="1:5">
      <c r="A5887" s="12" t="s">
        <v>12773</v>
      </c>
      <c r="B5887" s="12" t="s">
        <v>18079</v>
      </c>
      <c r="C5887" s="13" t="str">
        <f>HYPERLINK("https://audio.iskcondesiretree.com/02_-_ISKCON_Swamis/ISKCON_Swamis_-_R_to_Y/His_Holiness_Radhanath_Swami/Lectures/Russian_Translation/Parikramas/Jagannath_Puri/1998_Day-14_Proslvlenie_Bhaktisiddhanta_Saraswati_-_Radhanath_Swami_Jagannath_Puri.mp3", "1998_Day-14_Proslvlenie_Bhaktisiddhanta_Saraswati_-_Radhanath_Swami_Jagannath_Puri.mp3")</f>
        <v>1998_Day-14_Proslvlenie_Bhaktisiddhanta_Saraswati_-_Radhanath_Swami_Jagannath_Puri.mp3</v>
      </c>
      <c r="D5887" s="11"/>
      <c r="E5887" s="11"/>
    </row>
    <row r="5888" spans="1:5">
      <c r="A5888" s="12" t="s">
        <v>12773</v>
      </c>
      <c r="B5888" s="12" t="s">
        <v>18080</v>
      </c>
      <c r="C5888" s="13" t="str">
        <f>HYPERLINK("https://audio.iskcondesiretree.com/02_-_ISKCON_Swamis/ISKCON_Swamis_-_R_to_Y/His_Holiness_Radhanath_Swami/Lectures/Russian_Translation/Parikramas/Jagannath_Puri/1998_Day-15_Lord_Chaitanya_in_ecstasy_-_Radhanath_Swami_Jagannath_Puri.mp3", "1998_Day-15_Lord_Chaitanya_in_ecstasy_-_Radhanath_Swami_Jagannath_Puri.mp3")</f>
        <v>1998_Day-15_Lord_Chaitanya_in_ecstasy_-_Radhanath_Swami_Jagannath_Puri.mp3</v>
      </c>
      <c r="D5888" s="11"/>
      <c r="E5888" s="11"/>
    </row>
    <row r="5889" spans="1:5">
      <c r="A5889" s="12" t="s">
        <v>12773</v>
      </c>
      <c r="B5889" s="12" t="s">
        <v>18081</v>
      </c>
      <c r="C5889" s="13" t="str">
        <f>HYPERLINK("https://audio.iskcondesiretree.com/02_-_ISKCON_Swamis/ISKCON_Swamis_-_R_to_Y/His_Holiness_Radhanath_Swami/Lectures/Russian_Translation/Parikramas/Jagannath_Puri/1998_Day-16_History_of_Lord_Jagannath_-_Radhanath_Swami_Jagannath_Puri.mp3", "1998_Day-16_History_of_Lord_Jagannath_-_Radhanath_Swami_Jagannath_Puri.mp3")</f>
        <v>1998_Day-16_History_of_Lord_Jagannath_-_Radhanath_Swami_Jagannath_Puri.mp3</v>
      </c>
      <c r="D5889" s="11"/>
      <c r="E5889" s="11"/>
    </row>
    <row r="5890" spans="1:5">
      <c r="A5890" s="12" t="s">
        <v>12773</v>
      </c>
      <c r="B5890" s="12" t="s">
        <v>18082</v>
      </c>
      <c r="C5890" s="13" t="str">
        <f>HYPERLINK("https://audio.iskcondesiretree.com/02_-_ISKCON_Swamis/ISKCON_Swamis_-_R_to_Y/His_Holiness_Radhanath_Swami/Lectures/Russian_Translation/Parikramas/Jagannath_Puri/1998_Day-17_History_Indradumn_Maharaj_-_Radhanath_Swami_Jagannath_Puri.mp3", "1998_Day-17_History_Indradumn_Maharaj_-_Radhanath_Swami_Jagannath_Puri.mp3")</f>
        <v>1998_Day-17_History_Indradumn_Maharaj_-_Radhanath_Swami_Jagannath_Puri.mp3</v>
      </c>
      <c r="D5890" s="11"/>
      <c r="E5890" s="11"/>
    </row>
    <row r="5891" spans="1:5">
      <c r="A5891" s="12" t="s">
        <v>12773</v>
      </c>
      <c r="B5891" s="12" t="s">
        <v>18083</v>
      </c>
      <c r="C5891" s="13" t="str">
        <f>HYPERLINK("https://audio.iskcondesiretree.com/02_-_ISKCON_Swamis/ISKCON_Swamis_-_R_to_Y/His_Holiness_Radhanath_Swami/Lectures/Russian_Translation/Parikramas/Jagannath_Puri/1998_Day-18_Games_of_Lord_Jagannath_-_Radhanath_Swami_Jagannath_Puri.mp3", "1998_Day-18_Games_of_Lord_Jagannath_-_Radhanath_Swami_Jagannath_Puri.mp3")</f>
        <v>1998_Day-18_Games_of_Lord_Jagannath_-_Radhanath_Swami_Jagannath_Puri.mp3</v>
      </c>
      <c r="D5891" s="11"/>
      <c r="E5891" s="11"/>
    </row>
    <row r="5892" spans="1:5">
      <c r="A5892" s="12" t="s">
        <v>12773</v>
      </c>
      <c r="B5892" s="12" t="s">
        <v>18084</v>
      </c>
      <c r="C5892" s="13" t="str">
        <f>HYPERLINK("https://audio.iskcondesiretree.com/02_-_ISKCON_Swamis/ISKCON_Swamis_-_R_to_Y/His_Holiness_Radhanath_Swami/Lectures/Russian_Translation/Parikramas/Jagannath_Puri/1998_Day-19_Jagannatha_Vallabha_Garden_-_Radhanath_Swami_Jagannath_Puri.mp3", "1998_Day-19_Jagannatha_Vallabha_Garden_-_Radhanath_Swami_Jagannath_Puri.mp3")</f>
        <v>1998_Day-19_Jagannatha_Vallabha_Garden_-_Radhanath_Swami_Jagannath_Puri.mp3</v>
      </c>
      <c r="D5892" s="11"/>
      <c r="E5892" s="11"/>
    </row>
    <row r="5893" spans="1:5">
      <c r="A5893" s="12" t="s">
        <v>12773</v>
      </c>
      <c r="B5893" s="12" t="s">
        <v>18085</v>
      </c>
      <c r="C5893" s="13" t="str">
        <f>HYPERLINK("https://audio.iskcondesiretree.com/02_-_ISKCON_Swamis/ISKCON_Swamis_-_R_to_Y/His_Holiness_Radhanath_Swami/Lectures/Russian_Translation/Parikramas/Jagannath_Puri/1998_Day-20_Games_at_Jagannath_Rath_Yatra_-_Radhanath_Swami_Jagannath_Puri.mp3", "1998_Day-20_Games_at_Jagannath_Rath_Yatra_-_Radhanath_Swami_Jagannath_Puri.mp3")</f>
        <v>1998_Day-20_Games_at_Jagannath_Rath_Yatra_-_Radhanath_Swami_Jagannath_Puri.mp3</v>
      </c>
      <c r="D5893" s="11"/>
      <c r="E5893" s="11"/>
    </row>
    <row r="5894" spans="1:5">
      <c r="A5894" s="12" t="s">
        <v>12773</v>
      </c>
      <c r="B5894" s="12" t="s">
        <v>18086</v>
      </c>
      <c r="C5894" s="13" t="str">
        <f>HYPERLINK("https://audio.iskcondesiretree.com/02_-_ISKCON_Swamis/ISKCON_Swamis_-_R_to_Y/His_Holiness_Radhanath_Swami/Lectures/Russian_Translation/Parikramas/Jagannath_Puri/1998_Day-21_Purification_Gundicha_Radhanath_swami_Jagannath_Puri.mp3", "1998_Day-21_Purification_Gundicha_Radhanath_swami_Jagannath_Puri.mp3")</f>
        <v>1998_Day-21_Purification_Gundicha_Radhanath_swami_Jagannath_Puri.mp3</v>
      </c>
      <c r="D5894" s="11"/>
      <c r="E5894" s="11"/>
    </row>
    <row r="5895" spans="1:5">
      <c r="A5895" s="12" t="s">
        <v>12773</v>
      </c>
      <c r="B5895" s="12" t="s">
        <v>18087</v>
      </c>
      <c r="C5895" s="13" t="str">
        <f>HYPERLINK("https://audio.iskcondesiretree.com/02_-_ISKCON_Swamis/ISKCON_Swamis_-_R_to_Y/His_Holiness_Radhanath_Swami/Lectures/Russian_Translation/Parikramas/Jagannath_Puri/1998_Day-22_Games_at_Lake_Indradyumna_Sarovar_-_Radhanath_Swami_Jagannath_Puri.mp3", "1998_Day-22_Games_at_Lake_Indradyumna_Sarovar_-_Radhanath_Swami_Jagannath_Puri.mp3")</f>
        <v>1998_Day-22_Games_at_Lake_Indradyumna_Sarovar_-_Radhanath_Swami_Jagannath_Puri.mp3</v>
      </c>
      <c r="D5895" s="11"/>
      <c r="E5895" s="11"/>
    </row>
    <row r="5896" spans="1:5">
      <c r="A5896" s="12" t="s">
        <v>12773</v>
      </c>
      <c r="B5896" s="12" t="s">
        <v>18088</v>
      </c>
      <c r="C5896" s="13" t="str">
        <f>HYPERLINK("https://audio.iskcondesiretree.com/02_-_ISKCON_Swamis/ISKCON_Swamis_-_R_to_Y/His_Holiness_Radhanath_Swami/Lectures/Russian_Translation/Parikramas/Jagannath_Puri/1998_Day-23_Background_to_the_Deity_in_Remune_-_Radhanath_Swami_Jagannath_Puri.mp3", "1998_Day-23_Background_to_the_Deity_in_Remune_-_Radhanath_Swami_Jagannath_Puri.mp3")</f>
        <v>1998_Day-23_Background_to_the_Deity_in_Remune_-_Radhanath_Swami_Jagannath_Puri.mp3</v>
      </c>
      <c r="D5896" s="11"/>
      <c r="E5896" s="11"/>
    </row>
    <row r="5897" spans="1:5">
      <c r="A5897" s="12" t="s">
        <v>12773</v>
      </c>
      <c r="B5897" s="12" t="s">
        <v>18089</v>
      </c>
      <c r="C5897" s="13" t="str">
        <f>HYPERLINK("https://audio.iskcondesiretree.com/02_-_ISKCON_Swamis/ISKCON_Swamis_-_R_to_Y/His_Holiness_Radhanath_Swami/Lectures/Russian_Translation/Parikramas/Jagannath_Puri/1998_Day-24_History_Kshira_Chor_Gopinath_-_Radhanath_Swami_Jagannath_Puri.mp3", "1998_Day-24_History_Kshira_Chor_Gopinath_-_Radhanath_Swami_Jagannath_Puri.mp3")</f>
        <v>1998_Day-24_History_Kshira_Chor_Gopinath_-_Radhanath_Swami_Jagannath_Puri.mp3</v>
      </c>
      <c r="D5897" s="11"/>
      <c r="E5897" s="11"/>
    </row>
    <row r="5898" spans="1:5">
      <c r="A5898" s="12" t="s">
        <v>12773</v>
      </c>
      <c r="B5898" s="12" t="s">
        <v>18090</v>
      </c>
      <c r="C5898" s="13" t="str">
        <f>HYPERLINK("https://audio.iskcondesiretree.com/02_-_ISKCON_Swamis/ISKCON_Swamis_-_R_to_Y/His_Holiness_Radhanath_Swami/Lectures/Russian_Translation/Parikramas/Jagannath_Puri/1998_Day-25_The_story_of_the_deities%20Gopinath_-_Radhanath_Swami_Jagannath_Puri.mp3", "1998_Day-25_The_story_of_the_deities%20Gopinath_-_Radhanath_Swami_Jagannath_Puri.mp3")</f>
        <v>1998_Day-25_The_story_of_the_deities%20Gopinath_-_Radhanath_Swami_Jagannath_Puri.mp3</v>
      </c>
      <c r="D5898" s="11"/>
      <c r="E5898" s="11"/>
    </row>
    <row r="5899" spans="1:5">
      <c r="A5899" s="12" t="s">
        <v>12773</v>
      </c>
      <c r="B5899" s="12" t="s">
        <v>18091</v>
      </c>
      <c r="C5899" s="13" t="str">
        <f>HYPERLINK("https://audio.iskcondesiretree.com/02_-_ISKCON_Swamis/ISKCON_Swamis_-_R_to_Y/His_Holiness_Radhanath_Swami/Lectures/Russian_Translation/Parikramas/Jaipur/1995_Day-01_Part-01_Govinda_ji_Radhanath_Swami_Jaipur.mp3", "1995_Day-01_Part-01_Govinda_ji_Radhanath_Swami_Jaipur.mp3")</f>
        <v>1995_Day-01_Part-01_Govinda_ji_Radhanath_Swami_Jaipur.mp3</v>
      </c>
      <c r="D5899" s="11"/>
      <c r="E5899" s="11"/>
    </row>
    <row r="5900" spans="1:5">
      <c r="A5900" s="12" t="s">
        <v>12773</v>
      </c>
      <c r="B5900" s="12" t="s">
        <v>18092</v>
      </c>
      <c r="C5900" s="13" t="str">
        <f>HYPERLINK("https://audio.iskcondesiretree.com/02_-_ISKCON_Swamis/ISKCON_Swamis_-_R_to_Y/His_Holiness_Radhanath_Swami/Lectures/Russian_Translation/Parikramas/Jaipur/1995_Day-01_Part-02_Govinda_ji_Giriraj_Swami_Jaipur.mp3", "1995_Day-01_Part-02_Govinda_ji_Giriraj_Swami_Jaipur.mp3")</f>
        <v>1995_Day-01_Part-02_Govinda_ji_Giriraj_Swami_Jaipur.mp3</v>
      </c>
      <c r="D5900" s="11"/>
      <c r="E5900" s="11"/>
    </row>
    <row r="5901" spans="1:5">
      <c r="A5901" s="12" t="s">
        <v>12773</v>
      </c>
      <c r="B5901" s="12" t="s">
        <v>18093</v>
      </c>
      <c r="C5901" s="13" t="str">
        <f>HYPERLINK("https://audio.iskcondesiretree.com/02_-_ISKCON_Swamis/ISKCON_Swamis_-_R_to_Y/His_Holiness_Radhanath_Swami/Lectures/Russian_Translation/Parikramas/Jaipur/1995_Day-02_Part-01_Jaya_Radhe_Jaya_Krishna_Radhanath_Swami_Jaipur.mp3", "1995_Day-02_Part-01_Jaya_Radhe_Jaya_Krishna_Radhanath_Swami_Jaipur.mp3")</f>
        <v>1995_Day-02_Part-01_Jaya_Radhe_Jaya_Krishna_Radhanath_Swami_Jaipur.mp3</v>
      </c>
      <c r="D5901" s="11"/>
      <c r="E5901" s="11"/>
    </row>
    <row r="5902" spans="1:5">
      <c r="A5902" s="12" t="s">
        <v>12773</v>
      </c>
      <c r="B5902" s="12" t="s">
        <v>18094</v>
      </c>
      <c r="C5902" s="13" t="str">
        <f>HYPERLINK("https://audio.iskcondesiretree.com/02_-_ISKCON_Swamis/ISKCON_Swamis_-_R_to_Y/His_Holiness_Radhanath_Swami/Lectures/Russian_Translation/Parikramas/Jaipur/1995_Day-02_Part-02_Gopinatha_Radhanath_Swami_Jaipur.mp3", "1995_Day-02_Part-02_Gopinatha_Radhanath_Swami_Jaipur.mp3")</f>
        <v>1995_Day-02_Part-02_Gopinatha_Radhanath_Swami_Jaipur.mp3</v>
      </c>
      <c r="D5902" s="11"/>
      <c r="E5902" s="11"/>
    </row>
    <row r="5903" spans="1:5">
      <c r="A5903" s="12" t="s">
        <v>12773</v>
      </c>
      <c r="B5903" s="12" t="s">
        <v>18095</v>
      </c>
      <c r="C5903" s="13" t="str">
        <f>HYPERLINK("https://audio.iskcondesiretree.com/02_-_ISKCON_Swamis/ISKCON_Swamis_-_R_to_Y/His_Holiness_Radhanath_Swami/Lectures/Russian_Translation/Parikramas/Jaipur/1995_Day-02_Part-03_Madhu_Pandit%27s_Darsan_Jayadvaita_Swami_Jaipur.mp3", "1995_Day-02_Part-03_Madhu_Pandit%27s_Darsan_Jayadvaita_Swami_Jaipur.mp3")</f>
        <v>1995_Day-02_Part-03_Madhu_Pandit%27s_Darsan_Jayadvaita_Swami_Jaipur.mp3</v>
      </c>
      <c r="D5903" s="11"/>
      <c r="E5903" s="11"/>
    </row>
    <row r="5904" spans="1:5">
      <c r="A5904" s="12" t="s">
        <v>12773</v>
      </c>
      <c r="B5904" s="12" t="s">
        <v>18096</v>
      </c>
      <c r="C5904" s="13" t="str">
        <f>HYPERLINK("https://audio.iskcondesiretree.com/02_-_ISKCON_Swamis/ISKCON_Swamis_-_R_to_Y/His_Holiness_Radhanath_Swami/Lectures/Russian_Translation/Parikramas/Jaipur/1995_Day-02_Part-04_Vaisnava_aparadha_Giriraj_Swami_Jaipur.mp3", "1995_Day-02_Part-04_Vaisnava_aparadha_Giriraj_Swami_Jaipur.mp3")</f>
        <v>1995_Day-02_Part-04_Vaisnava_aparadha_Giriraj_Swami_Jaipur.mp3</v>
      </c>
      <c r="D5904" s="11"/>
      <c r="E5904" s="11"/>
    </row>
    <row r="5905" spans="1:5">
      <c r="A5905" s="12" t="s">
        <v>12773</v>
      </c>
      <c r="B5905" s="12" t="s">
        <v>18097</v>
      </c>
      <c r="C5905" s="13" t="str">
        <f>HYPERLINK("https://audio.iskcondesiretree.com/02_-_ISKCON_Swamis/ISKCON_Swamis_-_R_to_Y/His_Holiness_Radhanath_Swami/Lectures/Russian_Translation/Parikramas/Jaipur/1995_Day-03_Part-01_Jaya_Radha_Vinoda_kirtan_Radhanath_Swami_Jaipur.mp3", "1995_Day-03_Part-01_Jaya_Radha_Vinoda_kirtan_Radhanath_Swami_Jaipur.mp3")</f>
        <v>1995_Day-03_Part-01_Jaya_Radha_Vinoda_kirtan_Radhanath_Swami_Jaipur.mp3</v>
      </c>
      <c r="D5905" s="11"/>
      <c r="E5905" s="11"/>
    </row>
    <row r="5906" spans="1:5">
      <c r="A5906" s="12" t="s">
        <v>12773</v>
      </c>
      <c r="B5906" s="12" t="s">
        <v>18098</v>
      </c>
      <c r="C5906" s="13" t="str">
        <f>HYPERLINK("https://audio.iskcondesiretree.com/02_-_ISKCON_Swamis/ISKCON_Swamis_-_R_to_Y/His_Holiness_Radhanath_Swami/Lectures/Russian_Translation/Parikramas/Jaipur/1995_Day-03_Part-02_Sri_Sri_Radha_Vinoda_Radhanath_Swami_Jaipur.mp3", "1995_Day-03_Part-02_Sri_Sri_Radha_Vinoda_Radhanath_Swami_Jaipur.mp3")</f>
        <v>1995_Day-03_Part-02_Sri_Sri_Radha_Vinoda_Radhanath_Swami_Jaipur.mp3</v>
      </c>
      <c r="D5906" s="11"/>
      <c r="E5906" s="11"/>
    </row>
    <row r="5907" spans="1:5">
      <c r="A5907" s="12" t="s">
        <v>12773</v>
      </c>
      <c r="B5907" s="12" t="s">
        <v>18099</v>
      </c>
      <c r="C5907" s="13" t="str">
        <f>HYPERLINK("https://audio.iskcondesiretree.com/02_-_ISKCON_Swamis/ISKCON_Swamis_-_R_to_Y/His_Holiness_Radhanath_Swami/Lectures/Russian_Translation/Parikramas/Jaipur/1995_Day-04_Part-01_Jaya_Radha_Damodar_kirtan_Radhanath_Swami_Jaipur.mp3", "1995_Day-04_Part-01_Jaya_Radha_Damodar_kirtan_Radhanath_Swami_Jaipur.mp3")</f>
        <v>1995_Day-04_Part-01_Jaya_Radha_Damodar_kirtan_Radhanath_Swami_Jaipur.mp3</v>
      </c>
      <c r="D5907" s="11"/>
      <c r="E5907" s="11"/>
    </row>
    <row r="5908" spans="1:5">
      <c r="A5908" s="12" t="s">
        <v>12773</v>
      </c>
      <c r="B5908" s="12" t="s">
        <v>18100</v>
      </c>
      <c r="C5908" s="13" t="str">
        <f>HYPERLINK("https://audio.iskcondesiretree.com/02_-_ISKCON_Swamis/ISKCON_Swamis_-_R_to_Y/His_Holiness_Radhanath_Swami/Lectures/Russian_Translation/Parikramas/Jaipur/1995_Day-04_Part-02_Pastimes_of_Radha_Damodar_Radhanath_Swami_jaipur.mp3", "1995_Day-04_Part-02_Pastimes_of_Radha_Damodar_Radhanath_Swami_jaipur.mp3")</f>
        <v>1995_Day-04_Part-02_Pastimes_of_Radha_Damodar_Radhanath_Swami_jaipur.mp3</v>
      </c>
      <c r="D5908" s="11"/>
      <c r="E5908" s="11"/>
    </row>
    <row r="5909" spans="1:5">
      <c r="A5909" s="12" t="s">
        <v>12773</v>
      </c>
      <c r="B5909" s="12" t="s">
        <v>18101</v>
      </c>
      <c r="C5909" s="13" t="str">
        <f>HYPERLINK("https://audio.iskcondesiretree.com/02_-_ISKCON_Swamis/ISKCON_Swamis_-_R_to_Y/His_Holiness_Radhanath_Swami/Lectures/Russian_Translation/Parikramas/Jaipur/1995_Day-04_Part-03_Pastimes_of_Radha_Damodar_Giriraj_Swami_Jaipur.mp3", "1995_Day-04_Part-03_Pastimes_of_Radha_Damodar_Giriraj_Swami_Jaipur.mp3")</f>
        <v>1995_Day-04_Part-03_Pastimes_of_Radha_Damodar_Giriraj_Swami_Jaipur.mp3</v>
      </c>
      <c r="D5909" s="11"/>
      <c r="E5909" s="11"/>
    </row>
    <row r="5910" spans="1:5">
      <c r="A5910" s="12" t="s">
        <v>12773</v>
      </c>
      <c r="B5910" s="12" t="s">
        <v>18102</v>
      </c>
      <c r="C5910" s="13" t="str">
        <f>HYPERLINK("https://audio.iskcondesiretree.com/02_-_ISKCON_Swamis/ISKCON_Swamis_-_R_to_Y/His_Holiness_Radhanath_Swami/Lectures/Russian_Translation/Parikramas/Jaipur/1995_Day-04_Part-04_Damodarastaka_Kirtan_Radhanath_Swami%20.mp3", "1995_Day-04_Part-04_Damodarastaka_Kirtan_Radhanath_Swami%20.mp3")</f>
        <v>1995_Day-04_Part-04_Damodarastaka_Kirtan_Radhanath_Swami%20.mp3</v>
      </c>
      <c r="D5910" s="11"/>
      <c r="E5910" s="11"/>
    </row>
    <row r="5911" spans="1:5">
      <c r="A5911" s="12" t="s">
        <v>12773</v>
      </c>
      <c r="B5911" s="12" t="s">
        <v>18103</v>
      </c>
      <c r="C5911" s="13" t="str">
        <f>HYPERLINK("https://audio.iskcondesiretree.com/02_-_ISKCON_Swamis/ISKCON_Swamis_-_R_to_Y/His_Holiness_Radhanath_Swami/Lectures/Russian_Translation/Parikramas/Jaipur/1995_Day-05_Part-01_Madana_Mohanji_radhanath_Swami_Jaipur.mp3", "1995_Day-05_Part-01_Madana_Mohanji_radhanath_Swami_Jaipur.mp3")</f>
        <v>1995_Day-05_Part-01_Madana_Mohanji_radhanath_Swami_Jaipur.mp3</v>
      </c>
      <c r="D5911" s="11"/>
      <c r="E5911" s="11"/>
    </row>
    <row r="5912" spans="1:5">
      <c r="A5912" s="12" t="s">
        <v>12773</v>
      </c>
      <c r="B5912" s="12" t="s">
        <v>18104</v>
      </c>
      <c r="C5912" s="13" t="str">
        <f>HYPERLINK("https://audio.iskcondesiretree.com/02_-_ISKCON_Swamis/ISKCON_Swamis_-_R_to_Y/His_Holiness_Radhanath_Swami/Lectures/Russian_Translation/Parikramas/Jaipur/1995_Day-06_Part-01_Jaya_Radha_Madhava_Radhanath_Swami_Jaipur.mp3", "1995_Day-06_Part-01_Jaya_Radha_Madhava_Radhanath_Swami_Jaipur.mp3")</f>
        <v>1995_Day-06_Part-01_Jaya_Radha_Madhava_Radhanath_Swami_Jaipur.mp3</v>
      </c>
      <c r="D5912" s="11"/>
      <c r="E5912" s="11"/>
    </row>
    <row r="5913" spans="1:5">
      <c r="A5913" s="12" t="s">
        <v>12773</v>
      </c>
      <c r="B5913" s="12" t="s">
        <v>18105</v>
      </c>
      <c r="C5913" s="13" t="str">
        <f>HYPERLINK("https://audio.iskcondesiretree.com/02_-_ISKCON_Swamis/ISKCON_Swamis_-_R_to_Y/His_Holiness_Radhanath_Swami/Lectures/Russian_Translation/Parikramas/Jaipur/1995_Day-06_Part-02_Jayadeva_Gosvami_Radhanath_Swami_Jaipur.mp3", "1995_Day-06_Part-02_Jayadeva_Gosvami_Radhanath_Swami_Jaipur.mp3")</f>
        <v>1995_Day-06_Part-02_Jayadeva_Gosvami_Radhanath_Swami_Jaipur.mp3</v>
      </c>
      <c r="D5913" s="11"/>
      <c r="E5913" s="11"/>
    </row>
    <row r="5914" spans="1:5">
      <c r="A5914" s="12" t="s">
        <v>12773</v>
      </c>
      <c r="B5914" s="12" t="s">
        <v>18106</v>
      </c>
      <c r="C5914" s="13" t="str">
        <f>HYPERLINK("https://audio.iskcondesiretree.com/02_-_ISKCON_Swamis/ISKCON_Swamis_-_R_to_Y/His_Holiness_Radhanath_Swami/Lectures/Russian_Translation/Parikramas/Jaipur/1995_Day-06_Part-03_Jayadeva_Gosvami_Giriraj_Swami_Jaipur.mp3", "1995_Day-06_Part-03_Jayadeva_Gosvami_Giriraj_Swami_Jaipur.mp3")</f>
        <v>1995_Day-06_Part-03_Jayadeva_Gosvami_Giriraj_Swami_Jaipur.mp3</v>
      </c>
      <c r="D5914" s="11"/>
      <c r="E5914" s="11"/>
    </row>
    <row r="5915" spans="1:5">
      <c r="A5915" s="12" t="s">
        <v>12773</v>
      </c>
      <c r="B5915" s="12" t="s">
        <v>18107</v>
      </c>
      <c r="C5915" s="13" t="str">
        <f>HYPERLINK("https://audio.iskcondesiretree.com/02_-_ISKCON_Swamis/ISKCON_Swamis_-_R_to_Y/His_Holiness_Radhanath_Swami/Lectures/Russian_Translation/Parikramas/Jaipur/1995_Day-07_Part-01_Baladeva_Vidyabhusana_Radhanath_Swami_Jaipur.mp3", "1995_Day-07_Part-01_Baladeva_Vidyabhusana_Radhanath_Swami_Jaipur.mp3")</f>
        <v>1995_Day-07_Part-01_Baladeva_Vidyabhusana_Radhanath_Swami_Jaipur.mp3</v>
      </c>
      <c r="D5915" s="11"/>
      <c r="E5915" s="11"/>
    </row>
    <row r="5916" spans="1:5">
      <c r="A5916" s="12" t="s">
        <v>12773</v>
      </c>
      <c r="B5916" s="12" t="s">
        <v>18108</v>
      </c>
      <c r="C5916" s="13" t="str">
        <f>HYPERLINK("https://audio.iskcondesiretree.com/02_-_ISKCON_Swamis/ISKCON_Swamis_-_R_to_Y/His_Holiness_Radhanath_Swami/Lectures/Russian_Translation/Parikramas/Jaipur/1995_Day-08_Part-01_Jaya_Radha_Krishna_Giti_Radhanath_Swami_Jaipur.mp3", "1995_Day-08_Part-01_Jaya_Radha_Krishna_Giti_Radhanath_Swami_Jaipur.mp3")</f>
        <v>1995_Day-08_Part-01_Jaya_Radha_Krishna_Giti_Radhanath_Swami_Jaipur.mp3</v>
      </c>
      <c r="D5916" s="11"/>
      <c r="E5916" s="11"/>
    </row>
    <row r="5917" spans="1:5">
      <c r="A5917" s="12" t="s">
        <v>12773</v>
      </c>
      <c r="B5917" s="12" t="s">
        <v>18109</v>
      </c>
      <c r="C5917" s="13" t="str">
        <f>HYPERLINK("https://audio.iskcondesiretree.com/02_-_ISKCON_Swamis/ISKCON_Swamis_-_R_to_Y/His_Holiness_Radhanath_Swami/Lectures/Russian_Translation/Parikramas/Jaipur/1995_Day-8_Part-2_Jaya_Radha_Krishna_Giti_cont_Radhanath_Swami_Jaipur.mp3", "1995_Day-8_Part-2_Jaya_Radha_Krishna_Giti_cont_Radhanath_Swami_Jaipur.mp3")</f>
        <v>1995_Day-8_Part-2_Jaya_Radha_Krishna_Giti_cont_Radhanath_Swami_Jaipur.mp3</v>
      </c>
      <c r="D5917" s="11"/>
      <c r="E5917" s="11"/>
    </row>
    <row r="5918" spans="1:5">
      <c r="A5918" s="12" t="s">
        <v>12773</v>
      </c>
      <c r="B5918" s="12" t="s">
        <v>18110</v>
      </c>
      <c r="C5918" s="13" t="str">
        <f>HYPERLINK("https://audio.iskcondesiretree.com/02_-_ISKCON_Swamis/ISKCON_Swamis_-_R_to_Y/His_Holiness_Radhanath_Swami/Lectures/Russian_Translation/Parikramas/South_India/1999_Day-01_Part-01_Kurma_ksetra_Radhanath_Swami_1999-06-02_South_India.mp3", "1999_Day-01_Part-01_Kurma_ksetra_Radhanath_Swami_1999-06-02_South_India.mp3")</f>
        <v>1999_Day-01_Part-01_Kurma_ksetra_Radhanath_Swami_1999-06-02_South_India.mp3</v>
      </c>
      <c r="D5918" s="11"/>
      <c r="E5918" s="11"/>
    </row>
    <row r="5919" spans="1:5">
      <c r="A5919" s="12" t="s">
        <v>12773</v>
      </c>
      <c r="B5919" s="12" t="s">
        <v>18111</v>
      </c>
      <c r="C5919" s="13" t="str">
        <f>HYPERLINK("https://audio.iskcondesiretree.com/02_-_ISKCON_Swamis/ISKCON_Swamis_-_R_to_Y/His_Holiness_Radhanath_Swami/Lectures/Russian_Translation/Parikramas/South_India/1999_Day-02_Part-01_Simhacalam_Radhanath_Swami_1999-06-03_South_India.mp3", "1999_Day-02_Part-01_Simhacalam_Radhanath_Swami_1999-06-03_South_India.mp3")</f>
        <v>1999_Day-02_Part-01_Simhacalam_Radhanath_Swami_1999-06-03_South_India.mp3</v>
      </c>
      <c r="D5919" s="11"/>
      <c r="E5919" s="11"/>
    </row>
    <row r="5920" spans="1:5">
      <c r="A5920" s="12" t="s">
        <v>12773</v>
      </c>
      <c r="B5920" s="12" t="s">
        <v>18112</v>
      </c>
      <c r="C5920" s="13" t="str">
        <f>HYPERLINK("https://audio.iskcondesiretree.com/02_-_ISKCON_Swamis/ISKCON_Swamis_-_R_to_Y/His_Holiness_Radhanath_Swami/Lectures/Russian_Translation/Parikramas/South_India/1999_Day-03_part-01_Kabur_Radhanath_Swami_1999-06-04_South_India.mp3", "1999_Day-03_part-01_Kabur_Radhanath_Swami_1999-06-04_South_India.mp3")</f>
        <v>1999_Day-03_part-01_Kabur_Radhanath_Swami_1999-06-04_South_India.mp3</v>
      </c>
      <c r="D5920" s="11"/>
      <c r="E5920" s="11"/>
    </row>
    <row r="5921" spans="1:5">
      <c r="A5921" s="12" t="s">
        <v>12773</v>
      </c>
      <c r="B5921" s="12" t="s">
        <v>18113</v>
      </c>
      <c r="C5921" s="13" t="str">
        <f>HYPERLINK("https://audio.iskcondesiretree.com/02_-_ISKCON_Swamis/ISKCON_Swamis_-_R_to_Y/His_Holiness_Radhanath_Swami/Lectures/Russian_Translation/Parikramas/South_India/1999_Day-03_Part-02_Kabur_Radhanath_Swami_1999-06-04_South_India.mp3", "1999_Day-03_Part-02_Kabur_Radhanath_Swami_1999-06-04_South_India.mp3")</f>
        <v>1999_Day-03_Part-02_Kabur_Radhanath_Swami_1999-06-04_South_India.mp3</v>
      </c>
      <c r="D5921" s="11"/>
      <c r="E5921" s="11"/>
    </row>
    <row r="5922" spans="1:5">
      <c r="A5922" s="12" t="s">
        <v>12773</v>
      </c>
      <c r="B5922" s="12" t="s">
        <v>18114</v>
      </c>
      <c r="C5922" s="13" t="str">
        <f>HYPERLINK("https://audio.iskcondesiretree.com/02_-_ISKCON_Swamis/ISKCON_Swamis_-_R_to_Y/His_Holiness_Radhanath_Swami/Lectures/Russian_Translation/Parikramas/South_India/1999_Day-04_Part-01_Mangalagiri_Radhanath_Swami_1999-06-05_South_India.mp3", "1999_Day-04_Part-01_Mangalagiri_Radhanath_Swami_1999-06-05_South_India.mp3")</f>
        <v>1999_Day-04_Part-01_Mangalagiri_Radhanath_Swami_1999-06-05_South_India.mp3</v>
      </c>
      <c r="D5922" s="11"/>
      <c r="E5922" s="11"/>
    </row>
    <row r="5923" spans="1:5">
      <c r="A5923" s="12" t="s">
        <v>12773</v>
      </c>
      <c r="B5923" s="12" t="s">
        <v>18115</v>
      </c>
      <c r="C5923" s="13" t="str">
        <f>HYPERLINK("https://audio.iskcondesiretree.com/02_-_ISKCON_Swamis/ISKCON_Swamis_-_R_to_Y/His_Holiness_Radhanath_Swami/Lectures/Russian_Translation/Parikramas/South_India/1999_Day-05_Part-01_Ahovalam_Glories_of_Prahlada_Radhanath_Swami_1999-06-07_South_India.mp3", "1999_Day-05_Part-01_Ahovalam_Glories_of_Prahlada_Radhanath_Swami_1999-06-07_South_India.mp3")</f>
        <v>1999_Day-05_Part-01_Ahovalam_Glories_of_Prahlada_Radhanath_Swami_1999-06-07_South_India.mp3</v>
      </c>
      <c r="D5923" s="11"/>
      <c r="E5923" s="11"/>
    </row>
    <row r="5924" spans="1:5">
      <c r="A5924" s="12" t="s">
        <v>12773</v>
      </c>
      <c r="B5924" s="12" t="s">
        <v>18116</v>
      </c>
      <c r="C5924" s="13" t="str">
        <f>HYPERLINK("https://audio.iskcondesiretree.com/02_-_ISKCON_Swamis/ISKCON_Swamis_-_R_to_Y/His_Holiness_Radhanath_Swami/Lectures/Russian_Translation/Parikramas/South_India/1999_Day-06_Part-01_Ahovalam_Radhanath_Swami_1999-06-09_South_India.mp3", "1999_Day-06_Part-01_Ahovalam_Radhanath_Swami_1999-06-09_South_India.mp3")</f>
        <v>1999_Day-06_Part-01_Ahovalam_Radhanath_Swami_1999-06-09_South_India.mp3</v>
      </c>
      <c r="D5924" s="11"/>
      <c r="E5924" s="11"/>
    </row>
    <row r="5925" spans="1:5">
      <c r="A5925" s="12" t="s">
        <v>12773</v>
      </c>
      <c r="B5925" s="12" t="s">
        <v>18117</v>
      </c>
      <c r="C5925" s="13" t="str">
        <f>HYPERLINK("https://audio.iskcondesiretree.com/02_-_ISKCON_Swamis/ISKCON_Swamis_-_R_to_Y/His_Holiness_Radhanath_Swami/Lectures/Russian_Translation/Parikramas/South_India/1999_Day-07_Part-01_Ahovalam_Radhanath_Swami_1999-06-09_South_India.mp3", "1999_Day-07_Part-01_Ahovalam_Radhanath_Swami_1999-06-09_South_India.mp3")</f>
        <v>1999_Day-07_Part-01_Ahovalam_Radhanath_Swami_1999-06-09_South_India.mp3</v>
      </c>
      <c r="D5925" s="11"/>
      <c r="E5925" s="11"/>
    </row>
    <row r="5926" spans="1:5">
      <c r="A5926" s="12" t="s">
        <v>12773</v>
      </c>
      <c r="B5926" s="12" t="s">
        <v>18118</v>
      </c>
      <c r="C5926" s="13" t="str">
        <f>HYPERLINK("https://audio.iskcondesiretree.com/02_-_ISKCON_Swamis/ISKCON_Swamis_-_R_to_Y/His_Holiness_Radhanath_Swami/Lectures/Russian_Translation/Parikramas/South_India/1999_Day-08_Part-01_Tirupati_Radhanath_Swami_1999-06-11_South_India.mp3", "1999_Day-08_Part-01_Tirupati_Radhanath_Swami_1999-06-11_South_India.mp3")</f>
        <v>1999_Day-08_Part-01_Tirupati_Radhanath_Swami_1999-06-11_South_India.mp3</v>
      </c>
      <c r="D5926" s="11"/>
      <c r="E5926" s="11"/>
    </row>
    <row r="5927" spans="1:5">
      <c r="A5927" s="12" t="s">
        <v>12773</v>
      </c>
      <c r="B5927" s="12" t="s">
        <v>18119</v>
      </c>
      <c r="C5927" s="13" t="str">
        <f>HYPERLINK("https://audio.iskcondesiretree.com/02_-_ISKCON_Swamis/ISKCON_Swamis_-_R_to_Y/His_Holiness_Radhanath_Swami/Lectures/Russian_Translation/Parikramas/South_India/1999_Day-08_Part-02_Tirupati_Radhanath_Swami_1999-06-11_South_India.mp3", "1999_Day-08_Part-02_Tirupati_Radhanath_Swami_1999-06-11_South_India.mp3")</f>
        <v>1999_Day-08_Part-02_Tirupati_Radhanath_Swami_1999-06-11_South_India.mp3</v>
      </c>
      <c r="D5927" s="11"/>
      <c r="E5927" s="11"/>
    </row>
    <row r="5928" spans="1:5">
      <c r="A5928" s="12" t="s">
        <v>12773</v>
      </c>
      <c r="B5928" s="12" t="s">
        <v>18120</v>
      </c>
      <c r="C5928" s="13" t="str">
        <f>HYPERLINK("https://audio.iskcondesiretree.com/02_-_ISKCON_Swamis/ISKCON_Swamis_-_R_to_Y/His_Holiness_Radhanath_Swami/Lectures/Russian_Translation/Parikramas/Vrindavan/1999_01_Nandagram_Radhanath_Swami_-_1999-11-10.mp3", "1999_01_Nandagram_Radhanath_Swami_-_1999-11-10.mp3")</f>
        <v>1999_01_Nandagram_Radhanath_Swami_-_1999-11-10.mp3</v>
      </c>
      <c r="D5928" s="11"/>
      <c r="E5928" s="11"/>
    </row>
    <row r="5929" spans="1:5">
      <c r="A5929" s="12" t="s">
        <v>12773</v>
      </c>
      <c r="B5929" s="12" t="s">
        <v>18121</v>
      </c>
      <c r="C5929" s="13" t="str">
        <f>HYPERLINK("https://audio.iskcondesiretree.com/02_-_ISKCON_Swamis/ISKCON_Swamis_-_R_to_Y/His_Holiness_Radhanath_Swami/Lectures/Russian_Translation/Parikramas/Vrindavan/1999_01_Varshana_Radhanath_Swami_-_1999-11-07.mp3", "1999_01_Varshana_Radhanath_Swami_-_1999-11-07.mp3")</f>
        <v>1999_01_Varshana_Radhanath_Swami_-_1999-11-07.mp3</v>
      </c>
      <c r="D5929" s="11"/>
      <c r="E5929" s="11"/>
    </row>
    <row r="5930" spans="1:5">
      <c r="A5930" s="12" t="s">
        <v>12773</v>
      </c>
      <c r="B5930" s="12" t="s">
        <v>18122</v>
      </c>
      <c r="C5930" s="13" t="str">
        <f>HYPERLINK("https://audio.iskcondesiretree.com/02_-_ISKCON_Swamis/ISKCON_Swamis_-_R_to_Y/His_Holiness_Radhanath_Swami/Lectures/Russian_Translation/Parikramas/Vrindavan/1999_01_Vrindavan_Radhanath_Swami_1999-11-06.mp3", "1999_01_Vrindavan_Radhanath_Swami_1999-11-06.mp3")</f>
        <v>1999_01_Vrindavan_Radhanath_Swami_1999-11-06.mp3</v>
      </c>
      <c r="D5930" s="11"/>
      <c r="E5930" s="11"/>
    </row>
    <row r="5931" spans="1:5">
      <c r="A5931" s="12" t="s">
        <v>12773</v>
      </c>
      <c r="B5931" s="12" t="s">
        <v>18123</v>
      </c>
      <c r="C5931" s="13" t="str">
        <f>HYPERLINK("https://audio.iskcondesiretree.com/02_-_ISKCON_Swamis/ISKCON_Swamis_-_R_to_Y/His_Holiness_Radhanath_Swami/Lectures/Russian_Translation/Parikramas/Vrindavan/1999_02_Nandagram_Talavan_Radhanath_Swami_-_1999-11-10.mp3", "1999_02_Nandagram_Talavan_Radhanath_Swami_-_1999-11-10.mp3")</f>
        <v>1999_02_Nandagram_Talavan_Radhanath_Swami_-_1999-11-10.mp3</v>
      </c>
      <c r="D5931" s="11"/>
      <c r="E5931" s="11"/>
    </row>
    <row r="5932" spans="1:5">
      <c r="A5932" s="12" t="s">
        <v>12773</v>
      </c>
      <c r="B5932" s="12" t="s">
        <v>18124</v>
      </c>
      <c r="C5932" s="13" t="str">
        <f>HYPERLINK("https://audio.iskcondesiretree.com/02_-_ISKCON_Swamis/ISKCON_Swamis_-_R_to_Y/His_Holiness_Radhanath_Swami/Lectures/Russian_Translation/Parikramas/Vrindavan/1999_02_Varshana_Radhanath_Swami_-_1999-11-07.mp3", "1999_02_Varshana_Radhanath_Swami_-_1999-11-07.mp3")</f>
        <v>1999_02_Varshana_Radhanath_Swami_-_1999-11-07.mp3</v>
      </c>
      <c r="D5932" s="11"/>
      <c r="E5932" s="11"/>
    </row>
    <row r="5933" spans="1:5">
      <c r="A5933" s="12" t="s">
        <v>12773</v>
      </c>
      <c r="B5933" s="12" t="s">
        <v>18125</v>
      </c>
      <c r="C5933" s="13" t="str">
        <f>HYPERLINK("https://audio.iskcondesiretree.com/02_-_ISKCON_Swamis/ISKCON_Swamis_-_R_to_Y/His_Holiness_Radhanath_Swami/Lectures/Russian_Translation/Parikramas/Vrindavan/1999_02_Vrindavan_Radhanath_Swami_-_1999-11-06.mp3", "1999_02_Vrindavan_Radhanath_Swami_-_1999-11-06.mp3")</f>
        <v>1999_02_Vrindavan_Radhanath_Swami_-_1999-11-06.mp3</v>
      </c>
      <c r="D5933" s="11"/>
      <c r="E5933" s="11"/>
    </row>
    <row r="5934" spans="1:5">
      <c r="A5934" s="12" t="s">
        <v>12773</v>
      </c>
      <c r="B5934" s="12" t="s">
        <v>18126</v>
      </c>
      <c r="C5934" s="13" t="str">
        <f>HYPERLINK("https://audio.iskcondesiretree.com/02_-_ISKCON_Swamis/ISKCON_Swamis_-_R_to_Y/His_Holiness_Radhanath_Swami/Lectures/Russian_Translation/Parikramas/Vrindavan/1999_03_Varshana_Radhanath_Swami_-_1999-11-07.mp3", "1999_03_Varshana_Radhanath_Swami_-_1999-11-07.mp3")</f>
        <v>1999_03_Varshana_Radhanath_Swami_-_1999-11-07.mp3</v>
      </c>
      <c r="D5934" s="11"/>
      <c r="E5934" s="11"/>
    </row>
    <row r="5935" spans="1:5">
      <c r="A5935" s="12" t="s">
        <v>12773</v>
      </c>
      <c r="B5935" s="12" t="s">
        <v>18127</v>
      </c>
      <c r="C5935" s="13" t="str">
        <f>HYPERLINK("https://audio.iskcondesiretree.com/02_-_ISKCON_Swamis/ISKCON_Swamis_-_R_to_Y/His_Holiness_Radhanath_Swami/Lectures/Russian_Translation/Parikramas/Vrindavan/1999_03_Vrindavan_Radhanath_Swami_-_1999-11-06.mp3", "1999_03_Vrindavan_Radhanath_Swami_-_1999-11-06.mp3")</f>
        <v>1999_03_Vrindavan_Radhanath_Swami_-_1999-11-06.mp3</v>
      </c>
      <c r="D5935" s="11"/>
      <c r="E5935" s="11"/>
    </row>
    <row r="5936" spans="1:5">
      <c r="A5936" s="12" t="s">
        <v>12773</v>
      </c>
      <c r="B5936" s="12" t="s">
        <v>18128</v>
      </c>
      <c r="C5936" s="13" t="str">
        <f>HYPERLINK("https://audio.iskcondesiretree.com/02_-_ISKCON_Swamis/ISKCON_Swamis_-_R_to_Y/His_Holiness_Radhanath_Swami/Lectures/Russian_Translation/Parikramas/Vrindavan/1999_Brahma_lila_vimohana_Radhanath_swami_-_1999.11.xx.mp3", "1999_Brahma_lila_vimohana_Radhanath_swami_-_1999.11.xx.mp3")</f>
        <v>1999_Brahma_lila_vimohana_Radhanath_swami_-_1999.11.xx.mp3</v>
      </c>
      <c r="D5936" s="11"/>
      <c r="E5936" s="11"/>
    </row>
    <row r="5937" spans="1:5">
      <c r="A5937" s="12" t="s">
        <v>12773</v>
      </c>
      <c r="B5937" s="12" t="s">
        <v>18129</v>
      </c>
      <c r="C5937" s="13" t="str">
        <f>HYPERLINK("https://audio.iskcondesiretree.com/02_-_ISKCON_Swamis/ISKCON_Swamis_-_R_to_Y/His_Holiness_Radhanath_Swami/Lectures/Russian_Translation/Parikramas/Vrindavan/1999_Govardhana_Radhanath_Swami_-_1999-11-08.mp3", "1999_Govardhana_Radhanath_Swami_-_1999-11-08.mp3")</f>
        <v>1999_Govardhana_Radhanath_Swami_-_1999-11-08.mp3</v>
      </c>
      <c r="D5937" s="11"/>
      <c r="E5937" s="11"/>
    </row>
    <row r="5938" spans="1:5">
      <c r="A5938" s="12" t="s">
        <v>12773</v>
      </c>
      <c r="B5938" s="12" t="s">
        <v>18130</v>
      </c>
      <c r="C5938" s="13" t="str">
        <f>HYPERLINK("https://audio.iskcondesiretree.com/02_-_ISKCON_Swamis/ISKCON_Swamis_-_R_to_Y/His_Holiness_Radhanath_Swami/Lectures/Russian_Translation/Parikramas/Vrindavan/1999_Radha_Kunda_Radhanath_Swami_-_1999-11-11.mp3", "1999_Radha_Kunda_Radhanath_Swami_-_1999-11-11.mp3")</f>
        <v>1999_Radha_Kunda_Radhanath_Swami_-_1999-11-11.mp3</v>
      </c>
      <c r="D5938" s="11"/>
      <c r="E5938" s="11"/>
    </row>
    <row r="5939" spans="1:5">
      <c r="A5939" s="12" t="s">
        <v>12773</v>
      </c>
      <c r="B5939" s="12" t="s">
        <v>18131</v>
      </c>
      <c r="C5939" s="13" t="str">
        <f>HYPERLINK("https://audio.iskcondesiretree.com/02_-_ISKCON_Swamis/ISKCON_Swamis_-_R_to_Y/His_Holiness_Radhanath_Swami/Lectures/Russian_Translation/Parikramas/Vrindavan_Jaipur_Yatra/2002_%26_2004_Day-02_Part-01_Kaliya_ghat_continue_-_Radhanath_Swami.mp3", "2002_%26_2004_Day-02_Part-01_Kaliya_ghat_continue_-_Radhanath_Swami.mp3")</f>
        <v>2002_%26_2004_Day-02_Part-01_Kaliya_ghat_continue_-_Radhanath_Swami.mp3</v>
      </c>
      <c r="D5939" s="11"/>
      <c r="E5939" s="11"/>
    </row>
    <row r="5940" spans="1:5">
      <c r="A5940" s="12" t="s">
        <v>12773</v>
      </c>
      <c r="B5940" s="12" t="s">
        <v>18132</v>
      </c>
      <c r="C5940" s="13" t="str">
        <f>HYPERLINK("https://audio.iskcondesiretree.com/02_-_ISKCON_Swamis/ISKCON_Swamis_-_R_to_Y/His_Holiness_Radhanath_Swami/Lectures/Russian_Translation/Parikramas/Vrindavan_Jaipur_Yatra/2002_%26_2004_Day-02_Part-02_Madana_Mohan_deity_-_Radhanath_Swami.mp3", "2002_%26_2004_Day-02_Part-02_Madana_Mohan_deity_-_Radhanath_Swami.mp3")</f>
        <v>2002_%26_2004_Day-02_Part-02_Madana_Mohan_deity_-_Radhanath_Swami.mp3</v>
      </c>
      <c r="D5940" s="11"/>
      <c r="E5940" s="11"/>
    </row>
    <row r="5941" spans="1:5">
      <c r="A5941" s="12" t="s">
        <v>12773</v>
      </c>
      <c r="B5941" s="12" t="s">
        <v>18133</v>
      </c>
      <c r="C5941" s="13" t="str">
        <f>HYPERLINK("https://audio.iskcondesiretree.com/02_-_ISKCON_Swamis/ISKCON_Swamis_-_R_to_Y/His_Holiness_Radhanath_Swami/Lectures/Russian_Translation/Parikramas/Vrindavan_Jaipur_Yatra/2002_%26_2004_Day-02_Part-03_Akrura_ghat_Imli_tal_-_Radhanath_Swami.mp3", "2002_%26_2004_Day-02_Part-03_Akrura_ghat_Imli_tal_-_Radhanath_Swami.mp3")</f>
        <v>2002_%26_2004_Day-02_Part-03_Akrura_ghat_Imli_tal_-_Radhanath_Swami.mp3</v>
      </c>
      <c r="D5941" s="11"/>
      <c r="E5941" s="11"/>
    </row>
    <row r="5942" spans="1:5">
      <c r="A5942" s="12" t="s">
        <v>12773</v>
      </c>
      <c r="B5942" s="12" t="s">
        <v>18134</v>
      </c>
      <c r="C5942" s="13" t="str">
        <f>HYPERLINK("https://audio.iskcondesiretree.com/02_-_ISKCON_Swamis/ISKCON_Swamis_-_R_to_Y/His_Holiness_Radhanath_Swami/Lectures/Russian_Translation/Parikramas/Vrindavan_Jaipur_Yatra/2002_%26_2004_Day-02_Part-04_Nityananda_Shringara_vat_Chir_ghat_-_Radhanath_Swami.mp3", "2002_%26_2004_Day-02_Part-04_Nityananda_Shringara_vat_Chir_ghat_-_Radhanath_Swami.mp3")</f>
        <v>2002_%26_2004_Day-02_Part-04_Nityananda_Shringara_vat_Chir_ghat_-_Radhanath_Swami.mp3</v>
      </c>
      <c r="D5942" s="11"/>
      <c r="E5942" s="11"/>
    </row>
    <row r="5943" spans="1:5">
      <c r="A5943" s="12" t="s">
        <v>12773</v>
      </c>
      <c r="B5943" s="12" t="s">
        <v>18135</v>
      </c>
      <c r="C5943" s="13" t="str">
        <f>HYPERLINK("https://audio.iskcondesiretree.com/02_-_ISKCON_Swamis/ISKCON_Swamis_-_R_to_Y/His_Holiness_Radhanath_Swami/Lectures/Russian_Translation/Parikramas/Vrindavan_Jaipur_Yatra/2002_%26_2004_Day-02_Part-07_Kaliya_in_Heart_-_Jana_Nivas_Prabhu.mp3", "2002_%26_2004_Day-02_Part-07_Kaliya_in_Heart_-_Jana_Nivas_Prabhu.mp3")</f>
        <v>2002_%26_2004_Day-02_Part-07_Kaliya_in_Heart_-_Jana_Nivas_Prabhu.mp3</v>
      </c>
      <c r="D5943" s="11"/>
      <c r="E5943" s="11"/>
    </row>
    <row r="5944" spans="1:5">
      <c r="A5944" s="12" t="s">
        <v>12773</v>
      </c>
      <c r="B5944" s="12" t="s">
        <v>18136</v>
      </c>
      <c r="C5944" s="13" t="str">
        <f>HYPERLINK("https://audio.iskcondesiretree.com/02_-_ISKCON_Swamis/ISKCON_Swamis_-_R_to_Y/His_Holiness_Radhanath_Swami/Lectures/Russian_Translation/Parikramas/Vrindavan_Jaipur_Yatra/2002_%26_2004_Day-03_Part-01_Srila_Prabhupada_in_Radha_Domodara_-_Radhanath_Swami.mp3", "2002_%26_2004_Day-03_Part-01_Srila_Prabhupada_in_Radha_Domodara_-_Radhanath_Swami.mp3")</f>
        <v>2002_%26_2004_Day-03_Part-01_Srila_Prabhupada_in_Radha_Domodara_-_Radhanath_Swami.mp3</v>
      </c>
      <c r="D5944" s="11"/>
      <c r="E5944" s="11"/>
    </row>
    <row r="5945" spans="1:5">
      <c r="A5945" s="12" t="s">
        <v>12773</v>
      </c>
      <c r="B5945" s="12" t="e">
        <v>#VALUE!</v>
      </c>
      <c r="C5945" s="13" t="e">
        <f>HYPERLINK("https://audio.iskcondesiretree.com/02_-_ISKCON_Swamis/ISKCON_Swamis_-_R_to_Y/His_Holiness_Radhanath_Swami/Lectures/Russian_Translation/Parikramas/Vrindavan_Jaipur_Yatra/2002_%26_2004_Day-03_Part-02%20_Srila_Prabhupada_in_Radha_Domodara_-_Malati_Devi_Dasi."&amp;"mp3", "2002_%26_2004_Day-03_Part-02%20_Srila_Prabhupada_in_Radha_Domodara_-_Malati_Devi_Dasi.mp3")</f>
        <v>#VALUE!</v>
      </c>
      <c r="D5945" s="11"/>
      <c r="E5945" s="11"/>
    </row>
    <row r="5946" spans="1:5">
      <c r="A5946" s="12" t="s">
        <v>12773</v>
      </c>
      <c r="B5946" s="12" t="s">
        <v>18137</v>
      </c>
      <c r="C5946" s="13" t="str">
        <f>HYPERLINK("https://audio.iskcondesiretree.com/02_-_ISKCON_Swamis/ISKCON_Swamis_-_R_to_Y/His_Holiness_Radhanath_Swami/Lectures/Russian_Translation/Parikramas/Vrindavan_Jaipur_Yatra/2002_%26_2004_Day-04_Part-01_Varsana_-_Prabhu.mp3", "2002_%26_2004_Day-04_Part-01_Varsana_-_Prabhu.mp3")</f>
        <v>2002_%26_2004_Day-04_Part-01_Varsana_-_Prabhu.mp3</v>
      </c>
      <c r="D5946" s="11"/>
      <c r="E5946" s="11"/>
    </row>
    <row r="5947" spans="1:5">
      <c r="A5947" s="12" t="s">
        <v>12773</v>
      </c>
      <c r="B5947" s="12" t="s">
        <v>18138</v>
      </c>
      <c r="C5947" s="13" t="str">
        <f>HYPERLINK("https://audio.iskcondesiretree.com/02_-_ISKCON_Swamis/ISKCON_Swamis_-_R_to_Y/His_Holiness_Radhanath_Swami/Lectures/Russian_Translation/Parikramas/Vrindavan_Jaipur_Yatra/2002_%26_2004_Day-04_Part-02_Krishna_Lila_-_Radhanath_Swami_Varsana.mp3", "2002_%26_2004_Day-04_Part-02_Krishna_Lila_-_Radhanath_Swami_Varsana.mp3")</f>
        <v>2002_%26_2004_Day-04_Part-02_Krishna_Lila_-_Radhanath_Swami_Varsana.mp3</v>
      </c>
      <c r="D5947" s="11"/>
      <c r="E5947" s="11"/>
    </row>
    <row r="5948" spans="1:5">
      <c r="A5948" s="12" t="s">
        <v>12773</v>
      </c>
      <c r="B5948" s="12" t="s">
        <v>18139</v>
      </c>
      <c r="C5948" s="13" t="str">
        <f>HYPERLINK("https://audio.iskcondesiretree.com/02_-_ISKCON_Swamis/ISKCON_Swamis_-_R_to_Y/His_Holiness_Radhanath_Swami/Lectures/Russian_Translation/Parikramas/Vrindavan_Jaipur_Yatra/2002_%26_2004_Day-07_Part-01_Brahma_Vimohan_Lila_-_Radhanath_Swami.mp3", "2002_%26_2004_Day-07_Part-01_Brahma_Vimohan_Lila_-_Radhanath_Swami.mp3")</f>
        <v>2002_%26_2004_Day-07_Part-01_Brahma_Vimohan_Lila_-_Radhanath_Swami.mp3</v>
      </c>
      <c r="D5948" s="11"/>
      <c r="E5948" s="11"/>
    </row>
    <row r="5949" spans="1:5">
      <c r="A5949" s="12" t="s">
        <v>12773</v>
      </c>
      <c r="B5949" s="12" t="s">
        <v>18140</v>
      </c>
      <c r="C5949" s="13" t="str">
        <f>HYPERLINK("https://audio.iskcondesiretree.com/02_-_ISKCON_Swamis/ISKCON_Swamis_-_R_to_Y/His_Holiness_Radhanath_Swami/Lectures/Russian_Translation/Parikramas/Vrindavan_Jaipur_Yatra/2002_%26_2004_Day-07_Part-02_Brahma_became_Haridas_-_Radhanath_Swami.mp3", "2002_%26_2004_Day-07_Part-02_Brahma_became_Haridas_-_Radhanath_Swami.mp3")</f>
        <v>2002_%26_2004_Day-07_Part-02_Brahma_became_Haridas_-_Radhanath_Swami.mp3</v>
      </c>
      <c r="D5949" s="11"/>
      <c r="E5949" s="11"/>
    </row>
    <row r="5950" spans="1:5">
      <c r="A5950" s="12" t="s">
        <v>12773</v>
      </c>
      <c r="B5950" s="12" t="s">
        <v>18141</v>
      </c>
      <c r="C5950" s="13" t="str">
        <f>HYPERLINK("https://audio.iskcondesiretree.com/02_-_ISKCON_Swamis/ISKCON_Swamis_-_R_to_Y/His_Holiness_Radhanath_Swami/Lectures/Russian_Translation/Parikramas/Vrindavan_Jaipur_Yatra/2002_%26_2004_Day-07_Part-03_Bhajan_from_Gitavali_Sri_Nama_05_-_Radhanath_Swami.mp3", "2002_%26_2004_Day-07_Part-03_Bhajan_from_Gitavali_Sri_Nama_05_-_Radhanath_Swami.mp3")</f>
        <v>2002_%26_2004_Day-07_Part-03_Bhajan_from_Gitavali_Sri_Nama_05_-_Radhanath_Swami.mp3</v>
      </c>
      <c r="D5950" s="11"/>
      <c r="E5950" s="11"/>
    </row>
    <row r="5951" spans="1:5">
      <c r="A5951" s="12" t="s">
        <v>12773</v>
      </c>
      <c r="B5951" s="12" t="s">
        <v>18142</v>
      </c>
      <c r="C5951" s="13" t="str">
        <f>HYPERLINK("https://audio.iskcondesiretree.com/02_-_ISKCON_Swamis/ISKCON_Swamis_-_R_to_Y/His_Holiness_Radhanath_Swami/Lectures/Russian_Translation/Parikramas/Vrindavan_Jaipur_Yatra/2002_%26_2004_Day-08_Part-01_Raval_-_Radhanath_Swami.mp3", "2002_%26_2004_Day-08_Part-01_Raval_-_Radhanath_Swami.mp3")</f>
        <v>2002_%26_2004_Day-08_Part-01_Raval_-_Radhanath_Swami.mp3</v>
      </c>
      <c r="D5951" s="11"/>
      <c r="E5951" s="11"/>
    </row>
    <row r="5952" spans="1:5">
      <c r="A5952" s="12" t="s">
        <v>12773</v>
      </c>
      <c r="B5952" s="12" t="s">
        <v>18143</v>
      </c>
      <c r="C5952" s="13" t="str">
        <f>HYPERLINK("https://audio.iskcondesiretree.com/02_-_ISKCON_Swamis/ISKCON_Swamis_-_R_to_Y/His_Holiness_Radhanath_Swami/Lectures/Russian_Translation/Parikramas/Vrindavan_Jaipur_Yatra/2002_%26_2004_Day-08_Part-02_-_Krishna_Kshetra_Prabhu_Raval.mp3", "2002_%26_2004_Day-08_Part-02_-_Krishna_Kshetra_Prabhu_Raval.mp3")</f>
        <v>2002_%26_2004_Day-08_Part-02_-_Krishna_Kshetra_Prabhu_Raval.mp3</v>
      </c>
      <c r="D5952" s="11"/>
      <c r="E5952" s="11"/>
    </row>
    <row r="5953" spans="1:5">
      <c r="A5953" s="12" t="s">
        <v>12773</v>
      </c>
      <c r="B5953" s="12" t="s">
        <v>18144</v>
      </c>
      <c r="C5953" s="13" t="str">
        <f>HYPERLINK("https://audio.iskcondesiretree.com/02_-_ISKCON_Swamis/ISKCON_Swamis_-_R_to_Y/His_Holiness_Radhanath_Swami/Lectures/Russian_Translation/Parikramas/Vrindavan_Jaipur_Yatra/2002_%26_2004_Day-08_Part-03_Raval_-_Jananivas_Prabhu.mp3", "2002_%26_2004_Day-08_Part-03_Raval_-_Jananivas_Prabhu.mp3")</f>
        <v>2002_%26_2004_Day-08_Part-03_Raval_-_Jananivas_Prabhu.mp3</v>
      </c>
      <c r="D5953" s="11"/>
      <c r="E5953" s="11"/>
    </row>
    <row r="5954" spans="1:5">
      <c r="A5954" s="12" t="s">
        <v>12773</v>
      </c>
      <c r="B5954" s="12" t="s">
        <v>18145</v>
      </c>
      <c r="C5954" s="13" t="str">
        <f>HYPERLINK("https://audio.iskcondesiretree.com/02_-_ISKCON_Swamis/ISKCON_Swamis_-_R_to_Y/His_Holiness_Radhanath_Swami/Lectures/Russian_Translation/Parikramas/Vrindavan_Jaipur_Yatra/2002_%26_2004_Day-08_Part-04_Raval_History_of_Radharani_-_Radhanath_Swami.mp3", "2002_%26_2004_Day-08_Part-04_Raval_History_of_Radharani_-_Radhanath_Swami.mp3")</f>
        <v>2002_%26_2004_Day-08_Part-04_Raval_History_of_Radharani_-_Radhanath_Swami.mp3</v>
      </c>
      <c r="D5954" s="11"/>
      <c r="E5954" s="11"/>
    </row>
    <row r="5955" spans="1:5">
      <c r="A5955" s="12" t="s">
        <v>12773</v>
      </c>
      <c r="B5955" s="12" t="s">
        <v>18146</v>
      </c>
      <c r="C5955" s="13" t="str">
        <f>HYPERLINK("https://audio.iskcondesiretree.com/02_-_ISKCON_Swamis/ISKCON_Swamis_-_R_to_Y/His_Holiness_Radhanath_Swami/Lectures/Russian_Translation/Parikramas/Vrindavan_Jaipur_Yatra/2002_%26_2004_Day-09_Part-01_Gokula_Damodara_Lila_-_Dina_Bandhu_Prabhu.mp3", "2002_%26_2004_Day-09_Part-01_Gokula_Damodara_Lila_-_Dina_Bandhu_Prabhu.mp3")</f>
        <v>2002_%26_2004_Day-09_Part-01_Gokula_Damodara_Lila_-_Dina_Bandhu_Prabhu.mp3</v>
      </c>
      <c r="D5955" s="11"/>
      <c r="E5955" s="11"/>
    </row>
    <row r="5956" spans="1:5">
      <c r="A5956" s="12" t="s">
        <v>12773</v>
      </c>
      <c r="B5956" s="12" t="s">
        <v>18147</v>
      </c>
      <c r="C5956" s="13" t="str">
        <f>HYPERLINK("https://audio.iskcondesiretree.com/02_-_ISKCON_Swamis/ISKCON_Swamis_-_R_to_Y/His_Holiness_Radhanath_Swami/Lectures/Russian_Translation/Parikramas/Vrindavan_Jaipur_Yatra/2002_%26_2004_Day-10_Part-01_Bhandiravan_Krishna_Lilas_-_Radhanath_Swami.mp3", "2002_%26_2004_Day-10_Part-01_Bhandiravan_Krishna_Lilas_-_Radhanath_Swami.mp3")</f>
        <v>2002_%26_2004_Day-10_Part-01_Bhandiravan_Krishna_Lilas_-_Radhanath_Swami.mp3</v>
      </c>
      <c r="D5956" s="11"/>
      <c r="E5956" s="11"/>
    </row>
    <row r="5957" spans="1:5">
      <c r="A5957" s="12" t="s">
        <v>12773</v>
      </c>
      <c r="B5957" s="12" t="s">
        <v>18148</v>
      </c>
      <c r="C5957" s="13" t="str">
        <f>HYPERLINK("https://audio.iskcondesiretree.com/02_-_ISKCON_Swamis/ISKCON_Swamis_-_R_to_Y/His_Holiness_Radhanath_Swami/Lectures/Russian_Translation/Parikramas/Vrindavan_Jaipur_Yatra/2002_%26_2004_Day-11_Part-01_PS_a_great_devotee_of_Radharani_-_Dina_Bandhu_Prabhu.mp3", "2002_%26_2004_Day-11_Part-01_PS_a_great_devotee_of_Radharani_-_Dina_Bandhu_Prabhu.mp3")</f>
        <v>2002_%26_2004_Day-11_Part-01_PS_a_great_devotee_of_Radharani_-_Dina_Bandhu_Prabhu.mp3</v>
      </c>
      <c r="D5957" s="11"/>
      <c r="E5957" s="11"/>
    </row>
    <row r="5958" spans="1:5">
      <c r="A5958" s="12" t="s">
        <v>12773</v>
      </c>
      <c r="B5958" s="12" t="s">
        <v>18149</v>
      </c>
      <c r="C5958" s="13" t="str">
        <f>HYPERLINK("https://audio.iskcondesiretree.com/02_-_ISKCON_Swamis/ISKCON_Swamis_-_R_to_Y/His_Holiness_Radhanath_Swami/Lectures/Russian_Translation/Parikramas/Vrindavan_Jaipur_Yatra/2002_%26_2004_Day-11_Part-02_Bhajans_-_Nanda_Ke_Ananda_Bhayo_-_Dina_Bandhu_Prabhu.mp3", "2002_%26_2004_Day-11_Part-02_Bhajans_-_Nanda_Ke_Ananda_Bhayo_-_Dina_Bandhu_Prabhu.mp3")</f>
        <v>2002_%26_2004_Day-11_Part-02_Bhajans_-_Nanda_Ke_Ananda_Bhayo_-_Dina_Bandhu_Prabhu.mp3</v>
      </c>
      <c r="D5958" s="11"/>
      <c r="E5958" s="11"/>
    </row>
    <row r="5959" spans="1:5">
      <c r="A5959" s="12" t="s">
        <v>12773</v>
      </c>
      <c r="B5959" s="12" t="s">
        <v>18150</v>
      </c>
      <c r="C5959" s="13" t="str">
        <f>HYPERLINK("https://audio.iskcondesiretree.com/02_-_ISKCON_Swamis/ISKCON_Swamis_-_R_to_Y/His_Holiness_Radhanath_Swami/Lectures/Russian_Translation/Parikramas/Vrindavan_Jaipur_Yatra/2002_%26_2004_Day-12_Part-01_History_of_Govardhan_-_Radhanath_Swami.mp3", "2002_%26_2004_Day-12_Part-01_History_of_Govardhan_-_Radhanath_Swami.mp3")</f>
        <v>2002_%26_2004_Day-12_Part-01_History_of_Govardhan_-_Radhanath_Swami.mp3</v>
      </c>
      <c r="D5959" s="11"/>
      <c r="E5959" s="11"/>
    </row>
    <row r="5960" spans="1:5">
      <c r="A5960" s="12" t="s">
        <v>12773</v>
      </c>
      <c r="B5960" s="12" t="e">
        <v>#VALUE!</v>
      </c>
      <c r="C5960" s="13" t="e">
        <f>HYPERLINK("https://audio.iskcondesiretree.com/02_-_ISKCON_Swamis/ISKCON_Swamis_-_R_to_Y/His_Holiness_Radhanath_Swami/Lectures/Russian_Translation/Parikramas/Vrindavan_Jaipur_Yatra/2002_%26_2004_Day-12_Part-02_Lord_Chaitanya_in_Yu_India_and_Vrindavan_-_Radhanath_Sw.m"&amp;"p3", "2002_%26_2004_Day-12_Part-02_Lord_Chaitanya_in_Yu_India_and_Vrindavan_-_Radhanath_Sw.mp3")</f>
        <v>#VALUE!</v>
      </c>
      <c r="D5960" s="11"/>
      <c r="E5960" s="11"/>
    </row>
    <row r="5961" spans="1:5">
      <c r="A5961" s="12" t="s">
        <v>12773</v>
      </c>
      <c r="B5961" s="12" t="s">
        <v>18151</v>
      </c>
      <c r="C5961" s="13" t="str">
        <f>HYPERLINK("https://audio.iskcondesiretree.com/02_-_ISKCON_Swamis/ISKCON_Swamis_-_R_to_Y/His_Holiness_Radhanath_Swami/Lectures/Russian_Translation/Parikramas/Vrindavan_Jaipur_Yatra/2002_%26_2004_Day-12_Part-03_From_Gokul_in_Vrindavan_-_Dina_Bandhu_Prabhu.mp3", "2002_%26_2004_Day-12_Part-03_From_Gokul_in_Vrindavan_-_Dina_Bandhu_Prabhu.mp3")</f>
        <v>2002_%26_2004_Day-12_Part-03_From_Gokul_in_Vrindavan_-_Dina_Bandhu_Prabhu.mp3</v>
      </c>
      <c r="D5961" s="11"/>
      <c r="E5961" s="11"/>
    </row>
    <row r="5962" spans="1:5">
      <c r="A5962" s="12" t="s">
        <v>12773</v>
      </c>
      <c r="B5962" s="12" t="s">
        <v>18152</v>
      </c>
      <c r="C5962" s="13" t="str">
        <f>HYPERLINK("https://audio.iskcondesiretree.com/02_-_ISKCON_Swamis/ISKCON_Swamis_-_R_to_Y/His_Holiness_Radhanath_Swami/Lectures/Russian_Translation/Parikramas/Vrindavan_Jaipur_Yatra/2002_%26_2004_Day-12_Part-04_Sanatana_GoSw_to_Manasi_Ganga_-_Radhanath_Swami.mp3", "2002_%26_2004_Day-12_Part-04_Sanatana_GoSw_to_Manasi_Ganga_-_Radhanath_Swami.mp3")</f>
        <v>2002_%26_2004_Day-12_Part-04_Sanatana_GoSw_to_Manasi_Ganga_-_Radhanath_Swami.mp3</v>
      </c>
      <c r="D5962" s="11"/>
      <c r="E5962" s="11"/>
    </row>
    <row r="5963" spans="1:5">
      <c r="A5963" s="12" t="s">
        <v>12773</v>
      </c>
      <c r="B5963" s="12" t="s">
        <v>18153</v>
      </c>
      <c r="C5963" s="13" t="str">
        <f>HYPERLINK("https://audio.iskcondesiretree.com/02_-_ISKCON_Swamis/ISKCON_Swamis_-_R_to_Y/His_Holiness_Radhanath_Swami/Lectures/Russian_Translation/Parikramas/Vrindavan_Jaipur_Yatra/2002_%26_2004_Day-12_Part-05_Dan_Ghat_Dana_Kelly_Lila_-_Radhanath_Swami.mp3", "2002_%26_2004_Day-12_Part-05_Dan_Ghat_Dana_Kelly_Lila_-_Radhanath_Swami.mp3")</f>
        <v>2002_%26_2004_Day-12_Part-05_Dan_Ghat_Dana_Kelly_Lila_-_Radhanath_Swami.mp3</v>
      </c>
      <c r="D5963" s="11"/>
      <c r="E5963" s="11"/>
    </row>
    <row r="5964" spans="1:5">
      <c r="A5964" s="12" t="s">
        <v>12773</v>
      </c>
      <c r="B5964" s="12" t="s">
        <v>18154</v>
      </c>
      <c r="C5964" s="13" t="str">
        <f>HYPERLINK("https://audio.iskcondesiretree.com/02_-_ISKCON_Swamis/ISKCON_Swamis_-_R_to_Y/His_Holiness_Radhanath_Swami/Lectures/Russian_Translation/Parikramas/Vrindavan_Jaipur_Yatra/2002_%26_2004_Day-12_Part-06_On_nivartna_Kund_Radha_Krishna_lila_-_Radhanath_Swami.mp3", "2002_%26_2004_Day-12_Part-06_On_nivartna_Kund_Radha_Krishna_lila_-_Radhanath_Swami.mp3")</f>
        <v>2002_%26_2004_Day-12_Part-06_On_nivartna_Kund_Radha_Krishna_lila_-_Radhanath_Swami.mp3</v>
      </c>
      <c r="D5964" s="11"/>
      <c r="E5964" s="11"/>
    </row>
    <row r="5965" spans="1:5">
      <c r="A5965" s="12" t="s">
        <v>12773</v>
      </c>
      <c r="B5965" s="12" t="e">
        <v>#VALUE!</v>
      </c>
      <c r="C5965" s="13" t="e">
        <f>HYPERLINK("https://audio.iskcondesiretree.com/02_-_ISKCON_Swamis/ISKCON_Swamis_-_R_to_Y/His_Holiness_Radhanath_Swami/Lectures/Russian_Translation/Parikramas/Vrindavan_Jaipur_Yatra/2002_%26_2004_Day-12_Part-07_Anakuta_k%C5%A1etra_Surabhi_Kunda_Govinda_Kunda_-_Radhana"&amp;"th_Sw%20.mp3", "2002_%26_2004_Day-12_Part-07_Anakuta_k%C5%A1etra_Surabhi_Kunda_Govinda_Kunda_-_Radhanath_Sw%20.mp3")</f>
        <v>#VALUE!</v>
      </c>
      <c r="D5965" s="11"/>
      <c r="E5965" s="11"/>
    </row>
    <row r="5966" spans="1:5">
      <c r="A5966" s="12" t="s">
        <v>12773</v>
      </c>
      <c r="B5966" s="12" t="s">
        <v>18155</v>
      </c>
      <c r="C5966" s="13" t="str">
        <f>HYPERLINK("https://audio.iskcondesiretree.com/02_-_ISKCON_Swamis/ISKCON_Swamis_-_R_to_Y/His_Holiness_Radhanath_Swami/Lectures/Russian_Translation/Parikramas/Vrindavan_Jaipur_Yatra/2002_%26_2004_Day-12_Part-07_Gour_Kunda_How_to_save_Abhimanyu_-_Radhanath_Swami.mp3", "2002_%26_2004_Day-12_Part-07_Gour_Kunda_How_to_save_Abhimanyu_-_Radhanath_Swami.mp3")</f>
        <v>2002_%26_2004_Day-12_Part-07_Gour_Kunda_How_to_save_Abhimanyu_-_Radhanath_Swami.mp3</v>
      </c>
      <c r="D5966" s="11"/>
      <c r="E5966" s="11"/>
    </row>
    <row r="5967" spans="1:5">
      <c r="A5967" s="12" t="s">
        <v>12773</v>
      </c>
      <c r="B5967" s="12" t="e">
        <v>#VALUE!</v>
      </c>
      <c r="C5967" s="13" t="e">
        <f>HYPERLINK("https://audio.iskcondesiretree.com/02_-_ISKCON_Swamis/ISKCON_Swamis_-_R_to_Y/His_Holiness_Radhanath_Swami/Lectures/Russian_Translation/Parikramas/Vrindavan_Jaipur_Yatra/2002_%26_2004_Day-12_Part-08_Nipa_kunda_Apsara_Kund%20_Lot_baba_Raghava_Pandit_-_Radha"&amp;"nath_Sw.mp3", "2002_%26_2004_Day-12_Part-08_Nipa_kunda_Apsara_Kund%20_Lot_baba_Raghava_Pandit_-_Radhanath_Sw.mp3")</f>
        <v>#VALUE!</v>
      </c>
      <c r="D5967" s="11"/>
      <c r="E5967" s="11"/>
    </row>
    <row r="5968" spans="1:5">
      <c r="A5968" s="12" t="s">
        <v>12773</v>
      </c>
      <c r="B5968" s="12" t="s">
        <v>18156</v>
      </c>
      <c r="C5968" s="13" t="str">
        <f>HYPERLINK("https://audio.iskcondesiretree.com/02_-_ISKCON_Swamis/ISKCON_Swamis_-_R_to_Y/His_Holiness_Radhanath_Swami/Lectures/Russian_Translation/Parikramas/Vrindavan_Jaipur_Yatra/2002_%26_2004_Day-12_Partr-09_Instructions_-_Radhanath_Swami.mp3", "2002_%26_2004_Day-12_Partr-09_Instructions_-_Radhanath_Swami.mp3")</f>
        <v>2002_%26_2004_Day-12_Partr-09_Instructions_-_Radhanath_Swami.mp3</v>
      </c>
      <c r="D5968" s="11"/>
      <c r="E5968" s="11"/>
    </row>
    <row r="5969" spans="1:5">
      <c r="A5969" s="12" t="s">
        <v>12773</v>
      </c>
      <c r="B5969" s="12" t="s">
        <v>18157</v>
      </c>
      <c r="C5969" s="13" t="str">
        <f>HYPERLINK("https://audio.iskcondesiretree.com/02_-_ISKCON_Swamis/ISKCON_Swamis_-_R_to_Y/His_Holiness_Radhanath_Swami/Lectures/Russian_Translation/Parikramas/Vrindavan_Jaipur_Yatra/2002_%26_2004_Day-13_Part-01_Nandagram_Eternal_home_of_Krishna_-_Radhanath_Swami.mp3", "2002_%26_2004_Day-13_Part-01_Nandagram_Eternal_home_of_Krishna_-_Radhanath_Swami.mp3")</f>
        <v>2002_%26_2004_Day-13_Part-01_Nandagram_Eternal_home_of_Krishna_-_Radhanath_Swami.mp3</v>
      </c>
      <c r="D5969" s="11"/>
      <c r="E5969" s="11"/>
    </row>
    <row r="5970" spans="1:5">
      <c r="A5970" s="12" t="s">
        <v>12773</v>
      </c>
      <c r="B5970" s="12" t="e">
        <v>#VALUE!</v>
      </c>
      <c r="C5970" s="13" t="e">
        <f>HYPERLINK("https://audio.iskcondesiretree.com/02_-_ISKCON_Swamis/ISKCON_Swamis_-_R_to_Y/His_Holiness_Radhanath_Swami/Lectures/Russian_Translation/Parikramas/Vrindavan_Jaipur_Yatra/2002_%26_2004_Day-13_Part-03_Slasa_Vrad%C5%BEavasi_lil_Kri%C5%A1ny_and_dhamy_-_Jana_Ni"&amp;"vas_Prabhu.mp3", "2002_%26_2004_Day-13_Part-03_Slasa_Vrad%C5%BEavasi_lil_Kri%C5%A1ny_and_dhamy_-_Jana_Nivas_Prabhu.mp3")</f>
        <v>#VALUE!</v>
      </c>
      <c r="D5970" s="11"/>
      <c r="E5970" s="11"/>
    </row>
    <row r="5971" spans="1:5">
      <c r="A5971" s="12" t="s">
        <v>12773</v>
      </c>
      <c r="B5971" s="12" t="s">
        <v>18158</v>
      </c>
      <c r="C5971" s="13" t="str">
        <f>HYPERLINK("https://audio.iskcondesiretree.com/02_-_ISKCON_Swamis/ISKCON_Swamis_-_R_to_Y/His_Holiness_Radhanath_Swami/Lectures/Russian_Translation/Parikramas/Vrindavan_Jaipur_Yatra/2002_%26_2004_Day-13_Part-04_Sing_and_dance_-_Radhanath_Swami.mp3", "2002_%26_2004_Day-13_Part-04_Sing_and_dance_-_Radhanath_Swami.mp3")</f>
        <v>2002_%26_2004_Day-13_Part-04_Sing_and_dance_-_Radhanath_Swami.mp3</v>
      </c>
      <c r="D5971" s="11"/>
      <c r="E5971" s="11"/>
    </row>
    <row r="5972" spans="1:5">
      <c r="A5972" s="12" t="s">
        <v>12773</v>
      </c>
      <c r="B5972" s="12" t="s">
        <v>18159</v>
      </c>
      <c r="C5972" s="13" t="str">
        <f>HYPERLINK("https://audio.iskcondesiretree.com/02_-_ISKCON_Swamis/ISKCON_Swamis_-_R_to_Y/His_Holiness_Radhanath_Swami/Lectures/Russian_Translation/Parikramas/Vrindavan_Jaipur_Yatra/2002_%26_2004_Day-14_Part-01_Gaura_Krishna_lila_-_Radhanath_Sw_Radha_Kunda.mp3", "2002_%26_2004_Day-14_Part-01_Gaura_Krishna_lila_-_Radhanath_Sw_Radha_Kunda.mp3")</f>
        <v>2002_%26_2004_Day-14_Part-01_Gaura_Krishna_lila_-_Radhanath_Sw_Radha_Kunda.mp3</v>
      </c>
      <c r="D5972" s="11"/>
      <c r="E5972" s="11"/>
    </row>
    <row r="5973" spans="1:5">
      <c r="A5973" s="12" t="s">
        <v>12773</v>
      </c>
      <c r="B5973" s="12" t="s">
        <v>18160</v>
      </c>
      <c r="C5973" s="13" t="str">
        <f>HYPERLINK("https://audio.iskcondesiretree.com/02_-_ISKCON_Swamis/ISKCON_Swamis_-_R_to_Y/His_Holiness_Radhanath_Swami/Lectures/Russian_Translation/Parikramas/Vrindavan_Jaipur_Yatra/2002_%26_2004_Day-14_Part-02_About_Dr_Raghunatha_GoSw_-_Radhanath_Sw_Radha_Kunda.mp3", "2002_%26_2004_Day-14_Part-02_About_Dr_Raghunatha_GoSw_-_Radhanath_Sw_Radha_Kunda.mp3")</f>
        <v>2002_%26_2004_Day-14_Part-02_About_Dr_Raghunatha_GoSw_-_Radhanath_Sw_Radha_Kunda.mp3</v>
      </c>
      <c r="D5973" s="11"/>
      <c r="E5973" s="11"/>
    </row>
    <row r="5974" spans="1:5">
      <c r="A5974" s="12" t="s">
        <v>12773</v>
      </c>
      <c r="B5974" s="12" t="e">
        <v>#VALUE!</v>
      </c>
      <c r="C5974" s="13" t="e">
        <f>HYPERLINK("https://audio.iskcondesiretree.com/02_-_ISKCON_Swamis/ISKCON_Swamis_-_R_to_Y/His_Holiness_Radhanath_Swami/Lectures/Russian_Translation/Parikramas/Vrindavan_Jaipur_Yatra/2002_%26_2004_Day-14_Part-03_Vishwanath_Cakravarti_Thakur_-_Radhanath_Sw_Radha_Kunda.m"&amp;"p3", "2002_%26_2004_Day-14_Part-03_Vishwanath_Cakravarti_Thakur_-_Radhanath_Sw_Radha_Kunda.mp3")</f>
        <v>#VALUE!</v>
      </c>
      <c r="D5974" s="11"/>
      <c r="E5974" s="11"/>
    </row>
    <row r="5975" spans="1:5">
      <c r="A5975" s="12" t="s">
        <v>12773</v>
      </c>
      <c r="B5975" s="12" t="s">
        <v>18161</v>
      </c>
      <c r="C5975" s="13" t="str">
        <f>HYPERLINK("https://audio.iskcondesiretree.com/02_-_ISKCON_Swamis/ISKCON_Swamis_-_R_to_Y/His_Holiness_Radhanath_Swami/Lectures/Russian_Translation/Parikramas/Vrindavan_Jaipur_Yatra/2002_%26_2004_Day-14_Part-04_ISKCON_at_Radha_Kunda_-_Radhanath_Sw.mp3", "2002_%26_2004_Day-14_Part-04_ISKCON_at_Radha_Kunda_-_Radhanath_Sw.mp3")</f>
        <v>2002_%26_2004_Day-14_Part-04_ISKCON_at_Radha_Kunda_-_Radhanath_Sw.mp3</v>
      </c>
      <c r="D5975" s="11"/>
      <c r="E5975" s="11"/>
    </row>
    <row r="5976" spans="1:5">
      <c r="A5976" s="12" t="s">
        <v>12773</v>
      </c>
      <c r="B5976" s="12" t="s">
        <v>18162</v>
      </c>
      <c r="C5976" s="13" t="str">
        <f>HYPERLINK("https://audio.iskcondesiretree.com/02_-_ISKCON_Swamis/ISKCON_Swamis_-_R_to_Y/His_Holiness_Radhanath_Swami/Lectures/Russian_Translation/Parikramas/Vrindavan_Jaipur_Yatra/2002_%26_2004_Day-14_Part-04_ISKCON_at_Radha_Kunda_-_Radhanath_Swami.mp3", "2002_%26_2004_Day-14_Part-04_ISKCON_at_Radha_Kunda_-_Radhanath_Swami.mp3")</f>
        <v>2002_%26_2004_Day-14_Part-04_ISKCON_at_Radha_Kunda_-_Radhanath_Swami.mp3</v>
      </c>
      <c r="D5976" s="11"/>
      <c r="E5976" s="11"/>
    </row>
    <row r="5977" spans="1:5">
      <c r="A5977" s="12" t="s">
        <v>12773</v>
      </c>
      <c r="B5977" s="12" t="e">
        <v>#VALUE!</v>
      </c>
      <c r="C5977" s="13" t="e">
        <f>HYPERLINK("https://audio.iskcondesiretree.com/02_-_ISKCON_Swamis/ISKCON_Swamis_-_R_to_Y/His_Holiness_Radhanath_Swami/Lectures/Russian_Translation/Parikramas/Vrindavan_Jaipur_Yatra/2002_%26_2004_Day-15_Part-01_On_the_fall_in_Mailloux_-_RNS_Karoli_Madana_Mohan_Mandir."&amp;"mp3", "2002_%26_2004_Day-15_Part-01_On_the_fall_in_Mailloux_-_RNS_Karoli_Madana_Mohan_Mandir.mp3")</f>
        <v>#VALUE!</v>
      </c>
      <c r="D5977" s="11"/>
      <c r="E5977" s="11"/>
    </row>
    <row r="5978" spans="1:5">
      <c r="A5978" s="12" t="s">
        <v>12773</v>
      </c>
      <c r="B5978" s="12" t="s">
        <v>18163</v>
      </c>
      <c r="C5978" s="13" t="str">
        <f>HYPERLINK("https://audio.iskcondesiretree.com/02_-_ISKCON_Swamis/ISKCON_Swamis_-_R_to_Y/His_Holiness_Radhanath_Swami/Lectures/Russian_Translation/Parikramas/Vrindavan_Jaipur_Yatra/2002_%26_2004_Day-15_Part-02_History_deities_Madan_Mohan_-_Radhanath_Swami_Karoli.mp3", "2002_%26_2004_Day-15_Part-02_History_deities_Madan_Mohan_-_Radhanath_Swami_Karoli.mp3")</f>
        <v>2002_%26_2004_Day-15_Part-02_History_deities_Madan_Mohan_-_Radhanath_Swami_Karoli.mp3</v>
      </c>
      <c r="D5978" s="11"/>
      <c r="E5978" s="11"/>
    </row>
    <row r="5979" spans="1:5">
      <c r="A5979" s="12" t="s">
        <v>12773</v>
      </c>
      <c r="B5979" s="12" t="s">
        <v>18164</v>
      </c>
      <c r="C5979" s="13" t="str">
        <f>HYPERLINK("https://audio.iskcondesiretree.com/02_-_ISKCON_Swamis/ISKCON_Swamis_-_R_to_Y/His_Holiness_Radhanath_Swami/Lectures/Russian_Translation/Parikramas/Vrindavan_Jaipur_Yatra/2002_%26_2004_Day-15_Part-02_Organizational_issues_please_-_Radhanath_Swami_Karoli.mp3", "2002_%26_2004_Day-15_Part-02_Organizational_issues_please_-_Radhanath_Swami_Karoli.mp3")</f>
        <v>2002_%26_2004_Day-15_Part-02_Organizational_issues_please_-_Radhanath_Swami_Karoli.mp3</v>
      </c>
      <c r="D5979" s="11"/>
      <c r="E5979" s="11"/>
    </row>
    <row r="5980" spans="1:5">
      <c r="A5980" s="12" t="s">
        <v>12773</v>
      </c>
      <c r="B5980" s="12" t="s">
        <v>18165</v>
      </c>
      <c r="C5980" s="13" t="str">
        <f>HYPERLINK("https://audio.iskcondesiretree.com/02_-_ISKCON_Swamis/ISKCON_Swamis_-_R_to_Y/His_Holiness_Radhanath_Swami/Lectures/Russian_Translation/Parikramas/Vrindavan_Jaipur_Yatra/2002_%26_2004_Day-16_Part-01_Kirtan_in_the_temple_of_Radha_Damodara_-_Radhanath_Sw.mp3", "2002_%26_2004_Day-16_Part-01_Kirtan_in_the_temple_of_Radha_Damodara_-_Radhanath_Sw.mp3")</f>
        <v>2002_%26_2004_Day-16_Part-01_Kirtan_in_the_temple_of_Radha_Damodara_-_Radhanath_Sw.mp3</v>
      </c>
      <c r="D5980" s="11"/>
      <c r="E5980" s="11"/>
    </row>
    <row r="5981" spans="1:5">
      <c r="A5981" s="12" t="s">
        <v>12773</v>
      </c>
      <c r="B5981" s="12" t="e">
        <v>#VALUE!</v>
      </c>
      <c r="C5981" s="13" t="e">
        <f>HYPERLINK("https://audio.iskcondesiretree.com/02_-_ISKCON_Swamis/ISKCON_Swamis_-_R_to_Y/His_Holiness_Radhanath_Swami/Lectures/Russian_Translation/Parikramas/Vrindavan_Jaipur_Yatra/2002_%26_2004_Day-17_Part-01_Radha_Govinda_Mandir_History_Deities_-_Radhanath_Sw_Jaipu"&amp;"r.mp3", "2002_%26_2004_Day-17_Part-01_Radha_Govinda_Mandir_History_Deities_-_Radhanath_Sw_Jaipur.mp3")</f>
        <v>#VALUE!</v>
      </c>
      <c r="D5981" s="11"/>
      <c r="E5981" s="11"/>
    </row>
    <row r="5982" spans="1:5">
      <c r="A5982" s="12" t="s">
        <v>12773</v>
      </c>
      <c r="B5982" s="12" t="s">
        <v>18166</v>
      </c>
      <c r="C5982" s="13" t="str">
        <f>HYPERLINK("https://audio.iskcondesiretree.com/02_-_ISKCON_Swamis/ISKCON_Swamis_-_R_to_Y/His_Holiness_Radhanath_Swami/Lectures/Russian_Translation/Parikramas/Vrindavan_Jaipur_Yatra/2002_%26_2004_Day-17_Part-02_History_deities_Gopinath_-_Radhanath_Swami_Jaipur.mp3", "2002_%26_2004_Day-17_Part-02_History_deities_Gopinath_-_Radhanath_Swami_Jaipur.mp3")</f>
        <v>2002_%26_2004_Day-17_Part-02_History_deities_Gopinath_-_Radhanath_Swami_Jaipur.mp3</v>
      </c>
      <c r="D5982" s="11"/>
      <c r="E5982" s="11"/>
    </row>
    <row r="5983" spans="1:5">
      <c r="A5983" s="12" t="s">
        <v>12773</v>
      </c>
      <c r="B5983" s="12" t="s">
        <v>18167</v>
      </c>
      <c r="C5983" s="13" t="str">
        <f>HYPERLINK("https://audio.iskcondesiretree.com/02_-_ISKCON_Swamis/ISKCON_Swamis_-_R_to_Y/His_Holiness_Radhanath_Swami/Lectures/Russian_Translation/Parikramas/Vrindavan_Jaipur_Yatra/2002_%26_2004_Day-17_Part-02_History_deities_Govindaji_-_Radhanath_Swami_Jaipur.mp3", "2002_%26_2004_Day-17_Part-02_History_deities_Govindaji_-_Radhanath_Swami_Jaipur.mp3")</f>
        <v>2002_%26_2004_Day-17_Part-02_History_deities_Govindaji_-_Radhanath_Swami_Jaipur.mp3</v>
      </c>
      <c r="D5983" s="11"/>
      <c r="E5983" s="11"/>
    </row>
    <row r="5984" spans="1:5">
      <c r="A5984" s="12" t="s">
        <v>12773</v>
      </c>
      <c r="B5984" s="12" t="e">
        <v>#VALUE!</v>
      </c>
      <c r="C5984" s="13" t="e">
        <f>HYPERLINK("https://audio.iskcondesiretree.com/02_-_ISKCON_Swamis/ISKCON_Swamis_-_R_to_Y/His_Holiness_Radhanath_Swami/Lectures/Russian_Translation/Parikramas/Vrindavan_Jaipur_Yatra/2002_%26_2004_Day-17_Part-03_History_of_the_deities_of_Radha_Damodara_-_Radhanath_Sw_J"&amp;"aipur.mp3", "2002_%26_2004_Day-17_Part-03_History_of_the_deities_of_Radha_Damodara_-_Radhanath_Sw_Jaipur.mp3")</f>
        <v>#VALUE!</v>
      </c>
      <c r="D5984" s="11"/>
      <c r="E5984" s="11"/>
    </row>
    <row r="5985" spans="1:5">
      <c r="A5985" s="12" t="s">
        <v>12773</v>
      </c>
      <c r="B5985" s="12" t="s">
        <v>18168</v>
      </c>
      <c r="C5985" s="13" t="str">
        <f>HYPERLINK("https://audio.iskcondesiretree.com/02_-_ISKCON_Swamis/ISKCON_Swamis_-_R_to_Y/His_Holiness_Radhanath_Swami/Lectures/Russian_Translation/Parikramas/Vrindavan_Jaipur_Yatra/2002_%26_2004_Day-17_Part-04_Deities_Radha_Vrindavan_Chandra_-_Radhanath_Sw_Jaipur.mp3", "2002_%26_2004_Day-17_Part-04_Deities_Radha_Vrindavan_Chandra_-_Radhanath_Sw_Jaipur.mp3")</f>
        <v>2002_%26_2004_Day-17_Part-04_Deities_Radha_Vrindavan_Chandra_-_Radhanath_Sw_Jaipur.mp3</v>
      </c>
      <c r="D5985" s="11"/>
      <c r="E5985" s="11"/>
    </row>
    <row r="5986" spans="1:5">
      <c r="A5986" s="12" t="s">
        <v>12773</v>
      </c>
      <c r="B5986" s="12" t="s">
        <v>18169</v>
      </c>
      <c r="C5986" s="13" t="str">
        <f>HYPERLINK("https://audio.iskcondesiretree.com/02_-_ISKCON_Swamis/ISKCON_Swamis_-_R_to_Y/His_Holiness_Radhanath_Swami/Lectures/Russian_Translation/Parikramas/Vrindavan_Jaipur_Yatra/2002_%26_2004_Day-17_Part-05_About_Lokanatha_GoSw_-_Radhanath_Swami_Jaipur.mp3", "2002_%26_2004_Day-17_Part-05_About_Lokanatha_GoSw_-_Radhanath_Swami_Jaipur.mp3")</f>
        <v>2002_%26_2004_Day-17_Part-05_About_Lokanatha_GoSw_-_Radhanath_Swami_Jaipur.mp3</v>
      </c>
      <c r="D5986" s="11"/>
      <c r="E5986" s="11"/>
    </row>
    <row r="5987" spans="1:5">
      <c r="A5987" s="12" t="s">
        <v>12773</v>
      </c>
      <c r="B5987" s="12" t="s">
        <v>18170</v>
      </c>
      <c r="C5987" s="13" t="str">
        <f>HYPERLINK("https://audio.iskcondesiretree.com/02_-_ISKCON_Swamis/ISKCON_Swamis_-_R_to_Y/His_Holiness_Radhanath_Swami/Lectures/Russian_Translation/Parikramas/Vrindavan_Jaipur_Yatra/2002_%26_2004_Day-17_Part-06_Srila_Prabhupada_in_Jaipur_-_Malati_Mataji_Jaipur.mp3", "2002_%26_2004_Day-17_Part-06_Srila_Prabhupada_in_Jaipur_-_Malati_Mataji_Jaipur.mp3")</f>
        <v>2002_%26_2004_Day-17_Part-06_Srila_Prabhupada_in_Jaipur_-_Malati_Mataji_Jaipur.mp3</v>
      </c>
      <c r="D5987" s="11"/>
      <c r="E5987" s="11"/>
    </row>
    <row r="5988" spans="1:5">
      <c r="A5988" s="12" t="s">
        <v>12773</v>
      </c>
      <c r="B5988" s="12" t="s">
        <v>18171</v>
      </c>
      <c r="C5988" s="13" t="str">
        <f>HYPERLINK("https://audio.iskcondesiretree.com/02_-_ISKCON_Swamis/ISKCON_Swamis_-_R_to_Y/His_Holiness_Radhanath_Swami/Lectures/Russian_Translation/Parikramas/Vrindavan_Jaipur_Yatra/2002_%26_2004_Day-17_Part-07_ISKCON_it_Abhideya_-_Jana_Nivas_Prabhu.mp3", "2002_%26_2004_Day-17_Part-07_ISKCON_it_Abhideya_-_Jana_Nivas_Prabhu.mp3")</f>
        <v>2002_%26_2004_Day-17_Part-07_ISKCON_it_Abhideya_-_Jana_Nivas_Prabhu.mp3</v>
      </c>
      <c r="D5988" s="11"/>
      <c r="E5988" s="11"/>
    </row>
    <row r="5989" spans="1:5">
      <c r="A5989" s="12" t="s">
        <v>12773</v>
      </c>
      <c r="B5989" s="12" t="s">
        <v>18172</v>
      </c>
      <c r="C5989" s="13" t="str">
        <f>HYPERLINK("https://audio.iskcondesiretree.com/02_-_ISKCON_Swamis/ISKCON_Swamis_-_R_to_Y/His_Holiness_Radhanath_Swami/Lectures/Russian_Translation/Parikramas/Vrindavan_Jaipur_Yatra/2002_%26_2004_Day-17_Part-08_Thanks_and_wishes_-_Radhanath_Swami.mp3", "2002_%26_2004_Day-17_Part-08_Thanks_and_wishes_-_Radhanath_Swami.mp3")</f>
        <v>2002_%26_2004_Day-17_Part-08_Thanks_and_wishes_-_Radhanath_Swami.mp3</v>
      </c>
      <c r="D5989" s="11"/>
      <c r="E5989" s="11"/>
    </row>
    <row r="5990" spans="1:5">
      <c r="A5990" s="12" t="s">
        <v>12773</v>
      </c>
      <c r="B5990" s="12" t="s">
        <v>18173</v>
      </c>
      <c r="C5990" s="13" t="str">
        <f>HYPERLINK("https://audio.iskcondesiretree.com/02_-_ISKCON_Swamis/ISKCON_Swamis_-_R_to_Y/His_Holiness_Radhanath_Swami/Lectures/Russian_Translation/Parikramas/Vrindavan_Jaipur_Yatra/2002_%26_2004_Day_Part-01-01_Raman_Reti_-_Prabhu.mp3", "2002_%26_2004_Day_Part-01-01_Raman_Reti_-_Prabhu.mp3")</f>
        <v>2002_%26_2004_Day_Part-01-01_Raman_Reti_-_Prabhu.mp3</v>
      </c>
      <c r="D5990" s="11"/>
      <c r="E5990" s="11"/>
    </row>
    <row r="5991" spans="1:5">
      <c r="A5991" s="12" t="s">
        <v>12773</v>
      </c>
      <c r="B5991" s="12" t="s">
        <v>18174</v>
      </c>
      <c r="C5991" s="13" t="str">
        <f>HYPERLINK("https://audio.iskcondesiretree.com/02_-_ISKCON_Swamis/ISKCON_Swamis_-_R_to_Y/His_Holiness_Radhanath_Swami/Lectures/Russian_Translation/Parikramas/Vrindavan_Jaipur_Yatra/2002_%26_2004_Day_Part-01-02_Sri_Caitanya_in_Vrindavan_-_Radhanath_Swami.mp3", "2002_%26_2004_Day_Part-01-02_Sri_Caitanya_in_Vrindavan_-_Radhanath_Swami.mp3")</f>
        <v>2002_%26_2004_Day_Part-01-02_Sri_Caitanya_in_Vrindavan_-_Radhanath_Swami.mp3</v>
      </c>
      <c r="D5991" s="11"/>
      <c r="E5991" s="11"/>
    </row>
    <row r="5992" spans="1:5">
      <c r="A5992" s="12" t="s">
        <v>12773</v>
      </c>
      <c r="B5992" s="12" t="s">
        <v>18175</v>
      </c>
      <c r="C5992" s="13" t="str">
        <f>HYPERLINK("https://audio.iskcondesiretree.com/02_-_ISKCON_Swamis/ISKCON_Swamis_-_R_to_Y/His_Holiness_Radhanath_Swami/Lectures/Russian_Translation/Yearwise/1997/1997-12-02_Seminars_-_Serves_Vaisnavas-01_-_Radhanath_Swami.mp3", "1997-12-02_Seminars_-_Serves_Vaisnavas-01_-_Radhanath_Swami.mp3")</f>
        <v>1997-12-02_Seminars_-_Serves_Vaisnavas-01_-_Radhanath_Swami.mp3</v>
      </c>
      <c r="D5992" s="11"/>
      <c r="E5992" s="11"/>
    </row>
    <row r="5993" spans="1:5">
      <c r="A5993" s="12" t="s">
        <v>12773</v>
      </c>
      <c r="B5993" s="12" t="s">
        <v>18176</v>
      </c>
      <c r="C5993" s="13" t="str">
        <f>HYPERLINK("https://audio.iskcondesiretree.com/02_-_ISKCON_Swamis/ISKCON_Swamis_-_R_to_Y/His_Holiness_Radhanath_Swami/Lectures/Russian_Translation/Yearwise/1997/1997-12-03_Seminars_-_Serves_Vaisnavas-02_-_Radhanath_Swami.mp3", "1997-12-03_Seminars_-_Serves_Vaisnavas-02_-_Radhanath_Swami.mp3")</f>
        <v>1997-12-03_Seminars_-_Serves_Vaisnavas-02_-_Radhanath_Swami.mp3</v>
      </c>
      <c r="D5993" s="11"/>
      <c r="E5993" s="11"/>
    </row>
    <row r="5994" spans="1:5">
      <c r="A5994" s="12" t="s">
        <v>12773</v>
      </c>
      <c r="B5994" s="12" t="s">
        <v>18177</v>
      </c>
      <c r="C5994" s="13" t="str">
        <f>HYPERLINK("https://audio.iskcondesiretree.com/02_-_ISKCON_Swamis/ISKCON_Swamis_-_R_to_Y/His_Holiness_Radhanath_Swami/Lectures/Russian_Translation/Yearwise/1997/1997-12-04_Seminars_-_Serves_Vaisnavas-03_-_Radhanath_Swami.mp3", "1997-12-04_Seminars_-_Serves_Vaisnavas-03_-_Radhanath_Swami.mp3")</f>
        <v>1997-12-04_Seminars_-_Serves_Vaisnavas-03_-_Radhanath_Swami.mp3</v>
      </c>
      <c r="D5994" s="11"/>
      <c r="E5994" s="11"/>
    </row>
    <row r="5995" spans="1:5">
      <c r="A5995" s="12" t="s">
        <v>12773</v>
      </c>
      <c r="B5995" s="12" t="s">
        <v>18178</v>
      </c>
      <c r="C5995" s="13" t="str">
        <f>HYPERLINK("https://audio.iskcondesiretree.com/02_-_ISKCON_Swamis/ISKCON_Swamis_-_R_to_Y/His_Holiness_Radhanath_Swami/Lectures/Russian_Translation/Yearwise/1997/1997_2_Evening_lecture_Radhanath_Swami_-_1997-09-13_Moscow.mp3", "1997_2_Evening_lecture_Radhanath_Swami_-_1997-09-13_Moscow.mp3")</f>
        <v>1997_2_Evening_lecture_Radhanath_Swami_-_1997-09-13_Moscow.mp3</v>
      </c>
      <c r="D5995" s="11"/>
      <c r="E5995" s="11"/>
    </row>
    <row r="5996" spans="1:5">
      <c r="A5996" s="12" t="s">
        <v>12773</v>
      </c>
      <c r="B5996" s="12" t="s">
        <v>18179</v>
      </c>
      <c r="C5996" s="13" t="str">
        <f>HYPERLINK("https://audio.iskcondesiretree.com/02_-_ISKCON_Swamis/ISKCON_Swamis_-_R_to_Y/His_Holiness_Radhanath_Swami/Lectures/Russian_Translation/Yearwise/1997/1997_BG_08-20_Radhanth_Swami_-_1997-09-19_Moscow.mp3", "1997_BG_08-20_Radhanth_Swami_-_1997-09-19_Moscow.mp3")</f>
        <v>1997_BG_08-20_Radhanth_Swami_-_1997-09-19_Moscow.mp3</v>
      </c>
      <c r="D5996" s="11"/>
      <c r="E5996" s="11"/>
    </row>
    <row r="5997" spans="1:5">
      <c r="A5997" s="12" t="s">
        <v>12773</v>
      </c>
      <c r="B5997" s="12" t="s">
        <v>18180</v>
      </c>
      <c r="C5997" s="13" t="str">
        <f>HYPERLINK("https://audio.iskcondesiretree.com/02_-_ISKCON_Swamis/ISKCON_Swamis_-_R_to_Y/His_Holiness_Radhanath_Swami/Lectures/Russian_Translation/Yearwise/1997/1997_BG_11-03_-_Radhanath_Swami_-_1997-09-12_Moscow.mp3", "1997_BG_11-03_-_Radhanath_Swami_-_1997-09-12_Moscow.mp3")</f>
        <v>1997_BG_11-03_-_Radhanath_Swami_-_1997-09-12_Moscow.mp3</v>
      </c>
      <c r="D5997" s="11"/>
      <c r="E5997" s="11"/>
    </row>
    <row r="5998" spans="1:5">
      <c r="A5998" s="12" t="s">
        <v>12773</v>
      </c>
      <c r="B5998" s="12" t="s">
        <v>18181</v>
      </c>
      <c r="C5998" s="13" t="str">
        <f>HYPERLINK("https://audio.iskcondesiretree.com/02_-_ISKCON_Swamis/ISKCON_Swamis_-_R_to_Y/His_Holiness_Radhanath_Swami/Lectures/Russian_Translation/Yearwise/1997/1997_BG_18-64_Radhanath_Swami_1997-12-03_Moscow.mp3", "1997_BG_18-64_Radhanath_Swami_1997-12-03_Moscow.mp3")</f>
        <v>1997_BG_18-64_Radhanath_Swami_1997-12-03_Moscow.mp3</v>
      </c>
      <c r="D5998" s="11"/>
      <c r="E5998" s="11"/>
    </row>
    <row r="5999" spans="1:5">
      <c r="A5999" s="12" t="s">
        <v>12773</v>
      </c>
      <c r="B5999" s="12" t="s">
        <v>18182</v>
      </c>
      <c r="C5999" s="13" t="str">
        <f>HYPERLINK("https://audio.iskcondesiretree.com/02_-_ISKCON_Swamis/ISKCON_Swamis_-_R_to_Y/His_Holiness_Radhanath_Swami/Lectures/Russian_Translation/Yearwise/1997/1997_BG_18-68_Radhanath_Swami_1997-12-04_Moscow.mp3", "1997_BG_18-68_Radhanath_Swami_1997-12-04_Moscow.mp3")</f>
        <v>1997_BG_18-68_Radhanath_Swami_1997-12-04_Moscow.mp3</v>
      </c>
      <c r="D5999" s="11"/>
      <c r="E5999" s="11"/>
    </row>
    <row r="6000" spans="1:5">
      <c r="A6000" s="12" t="s">
        <v>12773</v>
      </c>
      <c r="B6000" s="12" t="s">
        <v>18183</v>
      </c>
      <c r="C6000" s="13" t="str">
        <f>HYPERLINK("https://audio.iskcondesiretree.com/02_-_ISKCON_Swamis/ISKCON_Swamis_-_R_to_Y/His_Holiness_Radhanath_Swami/Lectures/Russian_Translation/Yearwise/1997/1997_Lecture_in_St._Petersburg_Radhanath_Swami_-_1997-09-17_Moscow.mp3", "1997_Lecture_in_St._Petersburg_Radhanath_Swami_-_1997-09-17_Moscow.mp3")</f>
        <v>1997_Lecture_in_St._Petersburg_Radhanath_Swami_-_1997-09-17_Moscow.mp3</v>
      </c>
      <c r="D6000" s="11"/>
      <c r="E6000" s="11"/>
    </row>
    <row r="6001" spans="1:5">
      <c r="A6001" s="12" t="s">
        <v>12773</v>
      </c>
      <c r="B6001" s="12" t="s">
        <v>18184</v>
      </c>
      <c r="C6001" s="13" t="str">
        <f>HYPERLINK("https://audio.iskcondesiretree.com/02_-_ISKCON_Swamis/ISKCON_Swamis_-_R_to_Y/His_Holiness_Radhanath_Swami/Lectures/Russian_Translation/Yearwise/1997/1997_SB-04-12-05_Radhanath_Swami_-_1997-09-13_Moscow.mp3", "1997_SB-04-12-05_Radhanath_Swami_-_1997-09-13_Moscow.mp3")</f>
        <v>1997_SB-04-12-05_Radhanath_Swami_-_1997-09-13_Moscow.mp3</v>
      </c>
      <c r="D6001" s="11"/>
      <c r="E6001" s="11"/>
    </row>
    <row r="6002" spans="1:5">
      <c r="A6002" s="12" t="s">
        <v>12773</v>
      </c>
      <c r="B6002" s="12" t="s">
        <v>18185</v>
      </c>
      <c r="C6002" s="13" t="str">
        <f>HYPERLINK("https://audio.iskcondesiretree.com/02_-_ISKCON_Swamis/ISKCON_Swamis_-_R_to_Y/His_Holiness_Radhanath_Swami/Lectures/Russian_Translation/Yearwise/1997/1997_SB_03-28-42_Radhanath_Swami_-_1997-09-18_%28St.Petersburg%29_Moscow.mp3", "1997_SB_03-28-42_Radhanath_Swami_-_1997-09-18_%28St.Petersburg%29_Moscow.mp3")</f>
        <v>1997_SB_03-28-42_Radhanath_Swami_-_1997-09-18_%28St.Petersburg%29_Moscow.mp3</v>
      </c>
      <c r="D6002" s="11"/>
      <c r="E6002" s="11"/>
    </row>
    <row r="6003" spans="1:5">
      <c r="A6003" s="12" t="s">
        <v>12773</v>
      </c>
      <c r="B6003" s="12" t="s">
        <v>18186</v>
      </c>
      <c r="C6003" s="13" t="str">
        <f>HYPERLINK("https://audio.iskcondesiretree.com/02_-_ISKCON_Swamis/ISKCON_Swamis_-_R_to_Y/His_Holiness_Radhanath_Swami/Lectures/Russian_Translation/Yearwise/1997/1997_SB_04-12-07_Radhanath_Swami_-_1997-09-15_Moscow.mp3", "1997_SB_04-12-07_Radhanath_Swami_-_1997-09-15_Moscow.mp3")</f>
        <v>1997_SB_04-12-07_Radhanath_Swami_-_1997-09-15_Moscow.mp3</v>
      </c>
      <c r="D6003" s="11"/>
      <c r="E6003" s="11"/>
    </row>
    <row r="6004" spans="1:5">
      <c r="A6004" s="12" t="s">
        <v>12773</v>
      </c>
      <c r="B6004" s="12" t="s">
        <v>18187</v>
      </c>
      <c r="C6004" s="13" t="str">
        <f>HYPERLINK("https://audio.iskcondesiretree.com/02_-_ISKCON_Swamis/ISKCON_Swamis_-_R_to_Y/His_Holiness_Radhanath_Swami/Lectures/Russian_Translation/Yearwise/1997/1997_SB_04-12-08_Radhanath_Swami_1997-09-16_Moscow.mp3", "1997_SB_04-12-08_Radhanath_Swami_1997-09-16_Moscow.mp3")</f>
        <v>1997_SB_04-12-08_Radhanath_Swami_1997-09-16_Moscow.mp3</v>
      </c>
      <c r="D6004" s="11"/>
      <c r="E6004" s="11"/>
    </row>
    <row r="6005" spans="1:5">
      <c r="A6005" s="12" t="s">
        <v>12773</v>
      </c>
      <c r="B6005" s="12" t="s">
        <v>18188</v>
      </c>
      <c r="C6005" s="13" t="str">
        <f>HYPERLINK("https://audio.iskcondesiretree.com/02_-_ISKCON_Swamis/ISKCON_Swamis_-_R_to_Y/His_Holiness_Radhanath_Swami/Lectures/Russian_Translation/Yearwise/1997/1997_SB_04-13-38_Radhanath_Swami_-_1997-12-02_Moscow.mp3", "1997_SB_04-13-38_Radhanath_Swami_-_1997-12-02_Moscow.mp3")</f>
        <v>1997_SB_04-13-38_Radhanath_Swami_-_1997-12-02_Moscow.mp3</v>
      </c>
      <c r="D6005" s="11"/>
      <c r="E6005" s="11"/>
    </row>
    <row r="6006" spans="1:5">
      <c r="A6006" s="12" t="s">
        <v>12773</v>
      </c>
      <c r="B6006" s="12" t="s">
        <v>18189</v>
      </c>
      <c r="C6006" s="13" t="str">
        <f>HYPERLINK("https://audio.iskcondesiretree.com/02_-_ISKCON_Swamis/ISKCON_Swamis_-_R_to_Y/His_Holiness_Radhanath_Swami/Lectures/Russian_Translation/Yearwise/1997/1997_SB_04-13-39_Radhanath_Swami_1997-12-03_Moscow.mp3", "1997_SB_04-13-39_Radhanath_Swami_1997-12-03_Moscow.mp3")</f>
        <v>1997_SB_04-13-39_Radhanath_Swami_1997-12-03_Moscow.mp3</v>
      </c>
      <c r="D6006" s="11"/>
      <c r="E6006" s="11"/>
    </row>
    <row r="6007" spans="1:5">
      <c r="A6007" s="12" t="s">
        <v>12773</v>
      </c>
      <c r="B6007" s="12" t="s">
        <v>18190</v>
      </c>
      <c r="C6007" s="13" t="str">
        <f>HYPERLINK("https://audio.iskcondesiretree.com/02_-_ISKCON_Swamis/ISKCON_Swamis_-_R_to_Y/His_Holiness_Radhanath_Swami/Lectures/Russian_Translation/Yearwise/1997/1997_SB_04-13-40_Radhanath_Swami_1997-12-04_Moscow.mp3", "1997_SB_04-13-40_Radhanath_Swami_1997-12-04_Moscow.mp3")</f>
        <v>1997_SB_04-13-40_Radhanath_Swami_1997-12-04_Moscow.mp3</v>
      </c>
      <c r="D6007" s="11"/>
      <c r="E6007" s="11"/>
    </row>
    <row r="6008" spans="1:5">
      <c r="A6008" s="12" t="s">
        <v>12773</v>
      </c>
      <c r="B6008" s="12" t="s">
        <v>18191</v>
      </c>
      <c r="C6008" s="13" t="str">
        <f>HYPERLINK("https://audio.iskcondesiretree.com/02_-_ISKCON_Swamis/ISKCON_Swamis_-_R_to_Y/His_Holiness_Radhanath_Swami/Lectures/Russian_Translation/Yearwise/1997/1997_SB_05-11-06_Radhanath_Swami_Kiev.mp3", "1997_SB_05-11-06_Radhanath_Swami_Kiev.mp3")</f>
        <v>1997_SB_05-11-06_Radhanath_Swami_Kiev.mp3</v>
      </c>
      <c r="D6008" s="11"/>
      <c r="E6008" s="11"/>
    </row>
    <row r="6009" spans="1:5">
      <c r="A6009" s="12" t="s">
        <v>12773</v>
      </c>
      <c r="B6009" s="12" t="s">
        <v>18192</v>
      </c>
      <c r="C6009" s="13" t="str">
        <f>HYPERLINK("https://audio.iskcondesiretree.com/02_-_ISKCON_Swamis/ISKCON_Swamis_-_R_to_Y/His_Holiness_Radhanath_Swami/Lectures/Russian_Translation/Yearwise/1997/1997_Seminars_-_Hari_Katha-01_-_Radhanath_Swami_Kiev.mp3", "1997_Seminars_-_Hari_Katha-01_-_Radhanath_Swami_Kiev.mp3")</f>
        <v>1997_Seminars_-_Hari_Katha-01_-_Radhanath_Swami_Kiev.mp3</v>
      </c>
      <c r="D6009" s="11"/>
      <c r="E6009" s="11"/>
    </row>
    <row r="6010" spans="1:5">
      <c r="A6010" s="12" t="s">
        <v>12773</v>
      </c>
      <c r="B6010" s="12" t="s">
        <v>18193</v>
      </c>
      <c r="C6010" s="13" t="str">
        <f>HYPERLINK("https://audio.iskcondesiretree.com/02_-_ISKCON_Swamis/ISKCON_Swamis_-_R_to_Y/His_Holiness_Radhanath_Swami/Lectures/Russian_Translation/Yearwise/1997/1997_Seminars_-_Hari_Katha-02_-_Radhanath_Swami_Kiev.mp3", "1997_Seminars_-_Hari_Katha-02_-_Radhanath_Swami_Kiev.mp3")</f>
        <v>1997_Seminars_-_Hari_Katha-02_-_Radhanath_Swami_Kiev.mp3</v>
      </c>
      <c r="D6010" s="11"/>
      <c r="E6010" s="11"/>
    </row>
    <row r="6011" spans="1:5">
      <c r="A6011" s="12" t="s">
        <v>12773</v>
      </c>
      <c r="B6011" s="12" t="s">
        <v>18194</v>
      </c>
      <c r="C6011" s="13" t="str">
        <f>HYPERLINK("https://audio.iskcondesiretree.com/02_-_ISKCON_Swamis/ISKCON_Swamis_-_R_to_Y/His_Holiness_Radhanath_Swami/Lectures/Russian_Translation/Yearwise/1997/1997_Seminars_-_Hari_Katha-03_-_Radhanath_Swami_Kiev.mp3", "1997_Seminars_-_Hari_Katha-03_-_Radhanath_Swami_Kiev.mp3")</f>
        <v>1997_Seminars_-_Hari_Katha-03_-_Radhanath_Swami_Kiev.mp3</v>
      </c>
      <c r="D6011" s="11"/>
      <c r="E6011" s="11"/>
    </row>
    <row r="6012" spans="1:5">
      <c r="A6012" s="12" t="s">
        <v>12773</v>
      </c>
      <c r="B6012" s="12" t="s">
        <v>18195</v>
      </c>
      <c r="C6012" s="13" t="str">
        <f>HYPERLINK("https://audio.iskcondesiretree.com/02_-_ISKCON_Swamis/ISKCON_Swamis_-_R_to_Y/His_Holiness_Radhanath_Swami/Lectures/Russian_Translation/Yearwise/1997/1997_Vamana_Dvadasi_%28Sukharevo%29_Radhanath_Swami_1997-09-14_Moscow.mp3", "1997_Vamana_Dvadasi_%28Sukharevo%29_Radhanath_Swami_1997-09-14_Moscow.mp3")</f>
        <v>1997_Vamana_Dvadasi_%28Sukharevo%29_Radhanath_Swami_1997-09-14_Moscow.mp3</v>
      </c>
      <c r="D6012" s="11"/>
      <c r="E6012" s="11"/>
    </row>
    <row r="6013" spans="1:5">
      <c r="A6013" s="12" t="s">
        <v>12773</v>
      </c>
      <c r="B6013" s="12" t="s">
        <v>18196</v>
      </c>
      <c r="C6013" s="13" t="str">
        <f>HYPERLINK("https://audio.iskcondesiretree.com/02_-_ISKCON_Swamis/ISKCON_Swamis_-_R_to_Y/His_Holiness_Radhanath_Swami/Lectures/Russian_Translation/Yearwise/1998/1998_%20Q_%26_A_Radhanath_Swami_-_1998-09-10_Kiev.mp3", "1998_%20Q_%26_A_Radhanath_Swami_-_1998-09-10_Kiev.mp3")</f>
        <v>1998_%20Q_%26_A_Radhanath_Swami_-_1998-09-10_Kiev.mp3</v>
      </c>
      <c r="D6013" s="11"/>
      <c r="E6013" s="11"/>
    </row>
    <row r="6014" spans="1:5">
      <c r="A6014" s="12" t="s">
        <v>12773</v>
      </c>
      <c r="B6014" s="12" t="s">
        <v>18197</v>
      </c>
      <c r="C6014" s="13" t="str">
        <f>HYPERLINK("https://audio.iskcondesiretree.com/02_-_ISKCON_Swamis/ISKCON_Swamis_-_R_to_Y/His_Holiness_Radhanath_Swami/Lectures/Russian_Translation/Yearwise/1998/1998_BG_08-07_Radhanath_Swami_-_1998-08-27_Moscow.mp3", "1998_BG_08-07_Radhanath_Swami_-_1998-08-27_Moscow.mp3")</f>
        <v>1998_BG_08-07_Radhanath_Swami_-_1998-08-27_Moscow.mp3</v>
      </c>
      <c r="D6014" s="11"/>
      <c r="E6014" s="11"/>
    </row>
    <row r="6015" spans="1:5">
      <c r="A6015" s="12" t="s">
        <v>12773</v>
      </c>
      <c r="B6015" s="12" t="s">
        <v>18198</v>
      </c>
      <c r="C6015" s="13" t="str">
        <f>HYPERLINK("https://audio.iskcondesiretree.com/02_-_ISKCON_Swamis/ISKCON_Swamis_-_R_to_Y/His_Holiness_Radhanath_Swami/Lectures/Russian_Translation/Yearwise/1998/1998_CC_Madhya_15-111_Radhanath_Swami_-_1998-08-29_%28St.Petersburg%29_Moscow.mp3", "1998_CC_Madhya_15-111_Radhanath_Swami_-_1998-08-29_%28St.Petersburg%29_Moscow.mp3")</f>
        <v>1998_CC_Madhya_15-111_Radhanath_Swami_-_1998-08-29_%28St.Petersburg%29_Moscow.mp3</v>
      </c>
      <c r="D6015" s="11"/>
      <c r="E6015" s="11"/>
    </row>
    <row r="6016" spans="1:5">
      <c r="A6016" s="12" t="s">
        <v>12773</v>
      </c>
      <c r="B6016" s="12" t="s">
        <v>18199</v>
      </c>
      <c r="C6016" s="13" t="str">
        <f>HYPERLINK("https://audio.iskcondesiretree.com/02_-_ISKCON_Swamis/ISKCON_Swamis_-_R_to_Y/His_Holiness_Radhanath_Swami/Lectures/Russian_Translation/Yearwise/1998/1998_Curator_lecture_Radhanath_Swami_-_1998-09-07_Kiev.mp3", "1998_Curator_lecture_Radhanath_Swami_-_1998-09-07_Kiev.mp3")</f>
        <v>1998_Curator_lecture_Radhanath_Swami_-_1998-09-07_Kiev.mp3</v>
      </c>
      <c r="D6016" s="11"/>
      <c r="E6016" s="11"/>
    </row>
    <row r="6017" spans="1:5">
      <c r="A6017" s="12" t="s">
        <v>12773</v>
      </c>
      <c r="B6017" s="12" t="s">
        <v>18200</v>
      </c>
      <c r="C6017" s="13" t="str">
        <f>HYPERLINK("https://audio.iskcondesiretree.com/02_-_ISKCON_Swamis/ISKCON_Swamis_-_R_to_Y/His_Holiness_Radhanath_Swami/Lectures/Russian_Translation/Yearwise/1998/1998_Evening_lecture_Radhanath_Swami_-_1998-09-11_Kiev.mp3", "1998_Evening_lecture_Radhanath_Swami_-_1998-09-11_Kiev.mp3")</f>
        <v>1998_Evening_lecture_Radhanath_Swami_-_1998-09-11_Kiev.mp3</v>
      </c>
      <c r="D6017" s="11"/>
      <c r="E6017" s="11"/>
    </row>
    <row r="6018" spans="1:5">
      <c r="A6018" s="12" t="s">
        <v>12773</v>
      </c>
      <c r="B6018" s="12" t="s">
        <v>18201</v>
      </c>
      <c r="C6018" s="13" t="str">
        <f>HYPERLINK("https://audio.iskcondesiretree.com/02_-_ISKCON_Swamis/ISKCON_Swamis_-_R_to_Y/His_Holiness_Radhanath_Swami/Lectures/Russian_Translation/Yearwise/1998/1998_First_meeting_Radhanath_Swami_-_1998-09-06_Kiev.mp3", "1998_First_meeting_Radhanath_Swami_-_1998-09-06_Kiev.mp3")</f>
        <v>1998_First_meeting_Radhanath_Swami_-_1998-09-06_Kiev.mp3</v>
      </c>
      <c r="D6018" s="11"/>
      <c r="E6018" s="11"/>
    </row>
    <row r="6019" spans="1:5">
      <c r="A6019" s="12" t="s">
        <v>12773</v>
      </c>
      <c r="B6019" s="12" t="s">
        <v>18202</v>
      </c>
      <c r="C6019" s="13" t="str">
        <f>HYPERLINK("https://audio.iskcondesiretree.com/02_-_ISKCON_Swamis/ISKCON_Swamis_-_R_to_Y/His_Holiness_Radhanath_Swami/Lectures/Russian_Translation/Yearwise/1998/1998_Haridasa_Thakura_Tirobhava_01_Radhaanath_Swami_-_1998-09-05_Moscow.mp3", "1998_Haridasa_Thakura_Tirobhava_01_Radhaanath_Swami_-_1998-09-05_Moscow.mp3")</f>
        <v>1998_Haridasa_Thakura_Tirobhava_01_Radhaanath_Swami_-_1998-09-05_Moscow.mp3</v>
      </c>
      <c r="D6019" s="11"/>
      <c r="E6019" s="11"/>
    </row>
    <row r="6020" spans="1:5">
      <c r="A6020" s="12" t="s">
        <v>12773</v>
      </c>
      <c r="B6020" s="12" t="s">
        <v>18203</v>
      </c>
      <c r="C6020" s="13" t="str">
        <f>HYPERLINK("https://audio.iskcondesiretree.com/02_-_ISKCON_Swamis/ISKCON_Swamis_-_R_to_Y/His_Holiness_Radhanath_Swami/Lectures/Russian_Translation/Yearwise/1998/1998_Haridasa_Thakura_Tirobhava_02_Radhanath_Swami_-_1998-09-05_Moscow.mp3", "1998_Haridasa_Thakura_Tirobhava_02_Radhanath_Swami_-_1998-09-05_Moscow.mp3")</f>
        <v>1998_Haridasa_Thakura_Tirobhava_02_Radhanath_Swami_-_1998-09-05_Moscow.mp3</v>
      </c>
      <c r="D6020" s="11"/>
      <c r="E6020" s="11"/>
    </row>
    <row r="6021" spans="1:5">
      <c r="A6021" s="12" t="s">
        <v>12773</v>
      </c>
      <c r="B6021" s="12" t="s">
        <v>18204</v>
      </c>
      <c r="C6021" s="13" t="str">
        <f>HYPERLINK("https://audio.iskcondesiretree.com/02_-_ISKCON_Swamis/ISKCON_Swamis_-_R_to_Y/His_Holiness_Radhanath_Swami/Lectures/Russian_Translation/Yearwise/1998/1998_Lecture_in_St._Petersburg_Radhanath_Swami_-_1998-08-28_Moscow.mp3", "1998_Lecture_in_St._Petersburg_Radhanath_Swami_-_1998-08-28_Moscow.mp3")</f>
        <v>1998_Lecture_in_St._Petersburg_Radhanath_Swami_-_1998-08-28_Moscow.mp3</v>
      </c>
      <c r="D6021" s="11"/>
      <c r="E6021" s="11"/>
    </row>
    <row r="6022" spans="1:5">
      <c r="A6022" s="12" t="s">
        <v>12773</v>
      </c>
      <c r="B6022" s="12" t="s">
        <v>18205</v>
      </c>
      <c r="C6022" s="13" t="str">
        <f>HYPERLINK("https://audio.iskcondesiretree.com/02_-_ISKCON_Swamis/ISKCON_Swamis_-_R_to_Y/His_Holiness_Radhanath_Swami/Lectures/Russian_Translation/Yearwise/1998/1998_Q_%26_A_with_%20temple_presidents_Radhanath_Swami_-_1998-09-11_Kiev.mp3", "1998_Q_%26_A_with_%20temple_presidents_Radhanath_Swami_-_1998-09-11_Kiev.mp3")</f>
        <v>1998_Q_%26_A_with_%20temple_presidents_Radhanath_Swami_-_1998-09-11_Kiev.mp3</v>
      </c>
      <c r="D6022" s="11"/>
      <c r="E6022" s="11"/>
    </row>
    <row r="6023" spans="1:5">
      <c r="A6023" s="12" t="s">
        <v>12773</v>
      </c>
      <c r="B6023" s="12" t="s">
        <v>18206</v>
      </c>
      <c r="C6023" s="13" t="str">
        <f>HYPERLINK("https://audio.iskcondesiretree.com/02_-_ISKCON_Swamis/ISKCON_Swamis_-_R_to_Y/His_Holiness_Radhanath_Swami/Lectures/Russian_Translation/Yearwise/1998/1998_Realisations_with_my_Parents_Radhanath_Swami_-_1998-12-02_Mumbai.mp3", "1998_Realisations_with_my_Parents_Radhanath_Swami_-_1998-12-02_Mumbai.mp3")</f>
        <v>1998_Realisations_with_my_Parents_Radhanath_Swami_-_1998-12-02_Mumbai.mp3</v>
      </c>
      <c r="D6023" s="11"/>
      <c r="E6023" s="11"/>
    </row>
    <row r="6024" spans="1:5">
      <c r="A6024" s="12" t="s">
        <v>12773</v>
      </c>
      <c r="B6024" s="12" t="s">
        <v>18207</v>
      </c>
      <c r="C6024" s="13" t="str">
        <f>HYPERLINK("https://audio.iskcondesiretree.com/02_-_ISKCON_Swamis/ISKCON_Swamis_-_R_to_Y/His_Holiness_Radhanath_Swami/Lectures/Russian_Translation/Yearwise/1998/1998_SB_03-13-01_Let_nothing_be_done_mechanically_-_1998-09-26_Radhanath_Swami_Mumbai.mp3", "1998_SB_03-13-01_Let_nothing_be_done_mechanically_-_1998-09-26_Radhanath_Swami_Mumbai.mp3")</f>
        <v>1998_SB_03-13-01_Let_nothing_be_done_mechanically_-_1998-09-26_Radhanath_Swami_Mumbai.mp3</v>
      </c>
      <c r="D6024" s="11"/>
      <c r="E6024" s="11"/>
    </row>
    <row r="6025" spans="1:5">
      <c r="A6025" s="12" t="s">
        <v>12773</v>
      </c>
      <c r="B6025" s="12" t="s">
        <v>18208</v>
      </c>
      <c r="C6025" s="13" t="str">
        <f>HYPERLINK("https://audio.iskcondesiretree.com/02_-_ISKCON_Swamis/ISKCON_Swamis_-_R_to_Y/His_Holiness_Radhanath_Swami/Lectures/Russian_Translation/Yearwise/1998/1998_SB_04-22-50_Radhanath_Swami_-_1998-09-01_Moscow.mp3", "1998_SB_04-22-50_Radhanath_Swami_-_1998-09-01_Moscow.mp3")</f>
        <v>1998_SB_04-22-50_Radhanath_Swami_-_1998-09-01_Moscow.mp3</v>
      </c>
      <c r="D6025" s="11"/>
      <c r="E6025" s="11"/>
    </row>
    <row r="6026" spans="1:5">
      <c r="A6026" s="12" t="s">
        <v>12773</v>
      </c>
      <c r="B6026" s="12" t="s">
        <v>18209</v>
      </c>
      <c r="C6026" s="13" t="str">
        <f>HYPERLINK("https://audio.iskcondesiretree.com/02_-_ISKCON_Swamis/ISKCON_Swamis_-_R_to_Y/His_Holiness_Radhanath_Swami/Lectures/Russian_Translation/Yearwise/1998/1998_SB_05-11-04_Radhanath_Swami_-_1998-09-07_Kiev.mp3", "1998_SB_05-11-04_Radhanath_Swami_-_1998-09-07_Kiev.mp3")</f>
        <v>1998_SB_05-11-04_Radhanath_Swami_-_1998-09-07_Kiev.mp3</v>
      </c>
      <c r="D6026" s="11"/>
      <c r="E6026" s="11"/>
    </row>
    <row r="6027" spans="1:5">
      <c r="A6027" s="12" t="s">
        <v>12773</v>
      </c>
      <c r="B6027" s="12" t="s">
        <v>18210</v>
      </c>
      <c r="C6027" s="13" t="str">
        <f>HYPERLINK("https://audio.iskcondesiretree.com/02_-_ISKCON_Swamis/ISKCON_Swamis_-_R_to_Y/His_Holiness_Radhanath_Swami/Lectures/Russian_Translation/Yearwise/1998/1998_SB_05-11-06_Radhanath_Swami_-_1998-09-09_Kiev.mp3", "1998_SB_05-11-06_Radhanath_Swami_-_1998-09-09_Kiev.mp3")</f>
        <v>1998_SB_05-11-06_Radhanath_Swami_-_1998-09-09_Kiev.mp3</v>
      </c>
      <c r="D6027" s="11"/>
      <c r="E6027" s="11"/>
    </row>
    <row r="6028" spans="1:5">
      <c r="A6028" s="12" t="s">
        <v>12773</v>
      </c>
      <c r="B6028" s="12" t="s">
        <v>18211</v>
      </c>
      <c r="C6028" s="13" t="str">
        <f>HYPERLINK("https://audio.iskcondesiretree.com/02_-_ISKCON_Swamis/ISKCON_Swamis_-_R_to_Y/His_Holiness_Radhanath_Swami/Lectures/Russian_Translation/Yearwise/1998/1998_SB_08-18-01_Vamana_%20Dvadasi_Radhanath_Swami_01_1998-09-03_Moscow.mp3", "1998_SB_08-18-01_Vamana_%20Dvadasi_Radhanath_Swami_01_1998-09-03_Moscow.mp3")</f>
        <v>1998_SB_08-18-01_Vamana_%20Dvadasi_Radhanath_Swami_01_1998-09-03_Moscow.mp3</v>
      </c>
      <c r="D6028" s="11"/>
      <c r="E6028" s="11"/>
    </row>
    <row r="6029" spans="1:5">
      <c r="A6029" s="12" t="s">
        <v>12773</v>
      </c>
      <c r="B6029" s="12" t="s">
        <v>18212</v>
      </c>
      <c r="C6029" s="13" t="str">
        <f>HYPERLINK("https://audio.iskcondesiretree.com/02_-_ISKCON_Swamis/ISKCON_Swamis_-_R_to_Y/His_Holiness_Radhanath_Swami/Lectures/Russian_Translation/Yearwise/1998/1998_SB_08-18-01_Vamana_Dvadasi_02_Radhanath-Swami_1998-09-03_Moscow.mp3", "1998_SB_08-18-01_Vamana_Dvadasi_02_Radhanath-Swami_1998-09-03_Moscow.mp3")</f>
        <v>1998_SB_08-18-01_Vamana_Dvadasi_02_Radhanath-Swami_1998-09-03_Moscow.mp3</v>
      </c>
      <c r="D6029" s="11"/>
      <c r="E6029" s="11"/>
    </row>
    <row r="6030" spans="1:5">
      <c r="A6030" s="12" t="s">
        <v>12773</v>
      </c>
      <c r="B6030" s="12" t="s">
        <v>18213</v>
      </c>
      <c r="C6030" s="13" t="str">
        <f>HYPERLINK("https://audio.iskcondesiretree.com/02_-_ISKCON_Swamis/ISKCON_Swamis_-_R_to_Y/His_Holiness_Radhanath_Swami/Lectures/Russian_Translation/Yearwise/1998/1998_Story_about_Himself_Part-02_Radhanath_Swami_-_1998-09-10_Kiev.mp3", "1998_Story_about_Himself_Part-02_Radhanath_Swami_-_1998-09-10_Kiev.mp3")</f>
        <v>1998_Story_about_Himself_Part-02_Radhanath_Swami_-_1998-09-10_Kiev.mp3</v>
      </c>
      <c r="D6030" s="11"/>
      <c r="E6030" s="11"/>
    </row>
    <row r="6031" spans="1:5">
      <c r="A6031" s="12" t="s">
        <v>12773</v>
      </c>
      <c r="B6031" s="12" t="s">
        <v>18214</v>
      </c>
      <c r="C6031" s="13" t="str">
        <f>HYPERLINK("https://audio.iskcondesiretree.com/02_-_ISKCON_Swamis/ISKCON_Swamis_-_R_to_Y/His_Holiness_Radhanath_Swami/Lectures/Russian_Translation/Yearwise/1999/1999_BG_12-02_Radhanath_Swami_-_1999-07-28_Moscow.mp3", "1999_BG_12-02_Radhanath_Swami_-_1999-07-28_Moscow.mp3")</f>
        <v>1999_BG_12-02_Radhanath_Swami_-_1999-07-28_Moscow.mp3</v>
      </c>
      <c r="D6031" s="11"/>
      <c r="E6031" s="11"/>
    </row>
    <row r="6032" spans="1:5">
      <c r="A6032" s="12" t="s">
        <v>12773</v>
      </c>
      <c r="B6032" s="12" t="s">
        <v>18215</v>
      </c>
      <c r="C6032" s="13" t="str">
        <f>HYPERLINK("https://audio.iskcondesiretree.com/02_-_ISKCON_Swamis/ISKCON_Swamis_-_R_to_Y/His_Holiness_Radhanath_Swami/Lectures/Russian_Translation/Yearwise/1999/1999_Darshan_Radhanath_Swami_-_1999-07-30_Moscow.mp3", "1999_Darshan_Radhanath_Swami_-_1999-07-30_Moscow.mp3")</f>
        <v>1999_Darshan_Radhanath_Swami_-_1999-07-30_Moscow.mp3</v>
      </c>
      <c r="D6032" s="11"/>
      <c r="E6032" s="11"/>
    </row>
    <row r="6033" spans="1:5">
      <c r="A6033" s="12" t="s">
        <v>12773</v>
      </c>
      <c r="B6033" s="12" t="s">
        <v>18216</v>
      </c>
      <c r="C6033" s="13" t="str">
        <f>HYPERLINK("https://audio.iskcondesiretree.com/02_-_ISKCON_Swamis/ISKCON_Swamis_-_R_to_Y/His_Holiness_Radhanath_Swami/Lectures/Russian_Translation/Yearwise/1999/1999_Darshan_Radhanath_Swami_-_1999-08-01_Moscow.mp3", "1999_Darshan_Radhanath_Swami_-_1999-08-01_Moscow.mp3")</f>
        <v>1999_Darshan_Radhanath_Swami_-_1999-08-01_Moscow.mp3</v>
      </c>
      <c r="D6033" s="11"/>
      <c r="E6033" s="11"/>
    </row>
    <row r="6034" spans="1:5">
      <c r="A6034" s="12" t="s">
        <v>12773</v>
      </c>
      <c r="B6034" s="12" t="s">
        <v>18217</v>
      </c>
      <c r="C6034" s="13" t="str">
        <f>HYPERLINK("https://audio.iskcondesiretree.com/02_-_ISKCON_Swamis/ISKCON_Swamis_-_R_to_Y/His_Holiness_Radhanath_Swami/Lectures/Russian_Translation/Yearwise/1999/1999_Moscow_Ratha_yatra_Radhanath_Swami_-_1999-07-31_Moscow.mp3", "1999_Moscow_Ratha_yatra_Radhanath_Swami_-_1999-07-31_Moscow.mp3")</f>
        <v>1999_Moscow_Ratha_yatra_Radhanath_Swami_-_1999-07-31_Moscow.mp3</v>
      </c>
      <c r="D6034" s="11"/>
      <c r="E6034" s="11"/>
    </row>
    <row r="6035" spans="1:5">
      <c r="A6035" s="12" t="s">
        <v>12773</v>
      </c>
      <c r="B6035" s="12" t="s">
        <v>18218</v>
      </c>
      <c r="C6035" s="13" t="str">
        <f>HYPERLINK("https://audio.iskcondesiretree.com/02_-_ISKCON_Swamis/ISKCON_Swamis_-_R_to_Y/His_Holiness_Radhanath_Swami/Lectures/Russian_Translation/Yearwise/1999/1999_Moscow_Sunday_Program_Radhanath_Swami_-_1999-08-01_Moscow.mp3", "1999_Moscow_Sunday_Program_Radhanath_Swami_-_1999-08-01_Moscow.mp3")</f>
        <v>1999_Moscow_Sunday_Program_Radhanath_Swami_-_1999-08-01_Moscow.mp3</v>
      </c>
      <c r="D6035" s="11"/>
      <c r="E6035" s="11"/>
    </row>
    <row r="6036" spans="1:5">
      <c r="A6036" s="12" t="s">
        <v>12773</v>
      </c>
      <c r="B6036" s="12" t="s">
        <v>18219</v>
      </c>
      <c r="C6036" s="13" t="str">
        <f>HYPERLINK("https://audio.iskcondesiretree.com/02_-_ISKCON_Swamis/ISKCON_Swamis_-_R_to_Y/His_Holiness_Radhanath_Swami/Lectures/Russian_Translation/Yearwise/1999/1999_Q%26A_01_Radhanath_Swami_-_1999-07-23_Odessa.mp3", "1999_Q%26A_01_Radhanath_Swami_-_1999-07-23_Odessa.mp3")</f>
        <v>1999_Q%26A_01_Radhanath_Swami_-_1999-07-23_Odessa.mp3</v>
      </c>
      <c r="D6036" s="11"/>
      <c r="E6036" s="11"/>
    </row>
    <row r="6037" spans="1:5">
      <c r="A6037" s="12" t="s">
        <v>12773</v>
      </c>
      <c r="B6037" s="12" t="s">
        <v>18220</v>
      </c>
      <c r="C6037" s="13" t="str">
        <f>HYPERLINK("https://audio.iskcondesiretree.com/02_-_ISKCON_Swamis/ISKCON_Swamis_-_R_to_Y/His_Holiness_Radhanath_Swami/Lectures/Russian_Translation/Yearwise/1999/1999_Q%26A_02_Radhanath_Swami_-_1999-07-24_Odessa.mp3", "1999_Q%26A_02_Radhanath_Swami_-_1999-07-24_Odessa.mp3")</f>
        <v>1999_Q%26A_02_Radhanath_Swami_-_1999-07-24_Odessa.mp3</v>
      </c>
      <c r="D6037" s="11"/>
      <c r="E6037" s="11"/>
    </row>
    <row r="6038" spans="1:5">
      <c r="A6038" s="12" t="s">
        <v>12773</v>
      </c>
      <c r="B6038" s="12" t="s">
        <v>18221</v>
      </c>
      <c r="C6038" s="13" t="str">
        <f>HYPERLINK("https://audio.iskcondesiretree.com/02_-_ISKCON_Swamis/ISKCON_Swamis_-_R_to_Y/His_Holiness_Radhanath_Swami/Lectures/Russian_Translation/Yearwise/1999/1999_Q%26A_03_Radhanath_Swami_-_1999-07-25_Odessa.mp3", "1999_Q%26A_03_Radhanath_Swami_-_1999-07-25_Odessa.mp3")</f>
        <v>1999_Q%26A_03_Radhanath_Swami_-_1999-07-25_Odessa.mp3</v>
      </c>
      <c r="D6038" s="11"/>
      <c r="E6038" s="11"/>
    </row>
    <row r="6039" spans="1:5">
      <c r="A6039" s="12" t="s">
        <v>12773</v>
      </c>
      <c r="B6039" s="12" t="s">
        <v>18222</v>
      </c>
      <c r="C6039" s="13" t="str">
        <f>HYPERLINK("https://audio.iskcondesiretree.com/02_-_ISKCON_Swamis/ISKCON_Swamis_-_R_to_Y/His_Holiness_Radhanath_Swami/Lectures/Russian_Translation/Yearwise/1999/1999_Q%26A_04_Radhanath_Swami_-_1999-07-26_Odessa.mp3", "1999_Q%26A_04_Radhanath_Swami_-_1999-07-26_Odessa.mp3")</f>
        <v>1999_Q%26A_04_Radhanath_Swami_-_1999-07-26_Odessa.mp3</v>
      </c>
      <c r="D6039" s="11"/>
      <c r="E6039" s="11"/>
    </row>
    <row r="6040" spans="1:5">
      <c r="A6040" s="12" t="s">
        <v>12773</v>
      </c>
      <c r="B6040" s="12" t="s">
        <v>18223</v>
      </c>
      <c r="C6040" s="13" t="str">
        <f>HYPERLINK("https://audio.iskcondesiretree.com/02_-_ISKCON_Swamis/ISKCON_Swamis_-_R_to_Y/His_Holiness_Radhanath_Swami/Lectures/Russian_Translation/Yearwise/1999/1999_Sanatana_Goswami_Radhanath_Swami_-_1999-07-30_Moscow.mp3", "1999_Sanatana_Goswami_Radhanath_Swami_-_1999-07-30_Moscow.mp3")</f>
        <v>1999_Sanatana_Goswami_Radhanath_Swami_-_1999-07-30_Moscow.mp3</v>
      </c>
      <c r="D6040" s="11"/>
      <c r="E6040" s="11"/>
    </row>
    <row r="6041" spans="1:5">
      <c r="A6041" s="12" t="s">
        <v>12773</v>
      </c>
      <c r="B6041" s="12" t="s">
        <v>18224</v>
      </c>
      <c r="C6041" s="13" t="str">
        <f>HYPERLINK("https://audio.iskcondesiretree.com/02_-_ISKCON_Swamis/ISKCON_Swamis_-_R_to_Y/His_Holiness_Radhanath_Swami/Lectures/Russian_Translation/Yearwise/1999/1999_SB_04-22-20_Radhanath_Swami_-_1999-07-22_Odessa.mp3", "1999_SB_04-22-20_Radhanath_Swami_-_1999-07-22_Odessa.mp3")</f>
        <v>1999_SB_04-22-20_Radhanath_Swami_-_1999-07-22_Odessa.mp3</v>
      </c>
      <c r="D6041" s="11"/>
      <c r="E6041" s="11"/>
    </row>
    <row r="6042" spans="1:5">
      <c r="A6042" s="12" t="s">
        <v>12773</v>
      </c>
      <c r="B6042" s="12" t="s">
        <v>18225</v>
      </c>
      <c r="C6042" s="13" t="str">
        <f>HYPERLINK("https://audio.iskcondesiretree.com/02_-_ISKCON_Swamis/ISKCON_Swamis_-_R_to_Y/His_Holiness_Radhanath_Swami/Lectures/Russian_Translation/Yearwise/1999/1999_SB_04-22-25_Radhanath_Swami_-_1999-07-27_Odessa.mp3", "1999_SB_04-22-25_Radhanath_Swami_-_1999-07-27_Odessa.mp3")</f>
        <v>1999_SB_04-22-25_Radhanath_Swami_-_1999-07-27_Odessa.mp3</v>
      </c>
      <c r="D6042" s="11"/>
      <c r="E6042" s="11"/>
    </row>
    <row r="6043" spans="1:5">
      <c r="A6043" s="12" t="s">
        <v>12773</v>
      </c>
      <c r="B6043" s="12" t="s">
        <v>18226</v>
      </c>
      <c r="C6043" s="13" t="str">
        <f>HYPERLINK("https://audio.iskcondesiretree.com/02_-_ISKCON_Swamis/ISKCON_Swamis_-_R_to_Y/His_Holiness_Radhanath_Swami/Lectures/Russian_Translation/Yearwise/1999/1999_SB_04-29-11_Radhanth_Swami_-_1999-07-28_Moscow.mp3", "1999_SB_04-29-11_Radhanth_Swami_-_1999-07-28_Moscow.mp3")</f>
        <v>1999_SB_04-29-11_Radhanth_Swami_-_1999-07-28_Moscow.mp3</v>
      </c>
      <c r="D6043" s="11"/>
      <c r="E6043" s="11"/>
    </row>
    <row r="6044" spans="1:5">
      <c r="A6044" s="12" t="s">
        <v>12773</v>
      </c>
      <c r="B6044" s="12" t="s">
        <v>18227</v>
      </c>
      <c r="C6044" s="13" t="str">
        <f>HYPERLINK("https://audio.iskcondesiretree.com/02_-_ISKCON_Swamis/ISKCON_Swamis_-_R_to_Y/His_Holiness_Radhanath_Swami/Lectures/Russian_Translation/Yearwise/1999/1999_SB_04-29-13_Radhanath_Swami_-_1999-07-29_Moscow.mp3", "1999_SB_04-29-13_Radhanath_Swami_-_1999-07-29_Moscow.mp3")</f>
        <v>1999_SB_04-29-13_Radhanath_Swami_-_1999-07-29_Moscow.mp3</v>
      </c>
      <c r="D6044" s="11"/>
      <c r="E6044" s="11"/>
    </row>
    <row r="6045" spans="1:5">
      <c r="A6045" s="12" t="s">
        <v>12773</v>
      </c>
      <c r="B6045" s="12" t="s">
        <v>18228</v>
      </c>
      <c r="C6045" s="13" t="str">
        <f>HYPERLINK("https://audio.iskcondesiretree.com/02_-_ISKCON_Swamis/ISKCON_Swamis_-_R_to_Y/His_Holiness_Radhanath_Swami/Lectures/Russian_Translation/Yearwise/1999/1999_SB_04-29-13_Radhanath_Swami_-_1999-07-30_Moscow.mp3", "1999_SB_04-29-13_Radhanath_Swami_-_1999-07-30_Moscow.mp3")</f>
        <v>1999_SB_04-29-13_Radhanath_Swami_-_1999-07-30_Moscow.mp3</v>
      </c>
      <c r="D6045" s="11"/>
      <c r="E6045" s="11"/>
    </row>
    <row r="6046" spans="1:5">
      <c r="A6046" s="12" t="s">
        <v>12773</v>
      </c>
      <c r="B6046" s="12" t="s">
        <v>18229</v>
      </c>
      <c r="C6046" s="13" t="str">
        <f>HYPERLINK("https://audio.iskcondesiretree.com/02_-_ISKCON_Swamis/ISKCON_Swamis_-_R_to_Y/His_Holiness_Radhanath_Swami/Lectures/Russian_Translation/Yearwise/1999/1999_SB_04-29-14_Radhanath_Swami_-_1999-07-31_Moscow.mp3", "1999_SB_04-29-14_Radhanath_Swami_-_1999-07-31_Moscow.mp3")</f>
        <v>1999_SB_04-29-14_Radhanath_Swami_-_1999-07-31_Moscow.mp3</v>
      </c>
      <c r="D6046" s="11"/>
      <c r="E6046" s="11"/>
    </row>
    <row r="6047" spans="1:5">
      <c r="A6047" s="12" t="s">
        <v>12773</v>
      </c>
      <c r="B6047" s="12" t="s">
        <v>18230</v>
      </c>
      <c r="C6047" s="13" t="str">
        <f>HYPERLINK("https://audio.iskcondesiretree.com/02_-_ISKCON_Swamis/ISKCON_Swamis_-_R_to_Y/His_Holiness_Radhanath_Swami/Lectures/Russian_Translation/Yearwise/1999/1999_SB_04-29-15_Radhanatn_Swami_-_1999-08-02_Moscow.mp3", "1999_SB_04-29-15_Radhanatn_Swami_-_1999-08-02_Moscow.mp3")</f>
        <v>1999_SB_04-29-15_Radhanatn_Swami_-_1999-08-02_Moscow.mp3</v>
      </c>
      <c r="D6047" s="11"/>
      <c r="E6047" s="11"/>
    </row>
    <row r="6048" spans="1:5">
      <c r="A6048" s="12" t="s">
        <v>12773</v>
      </c>
      <c r="B6048" s="12" t="s">
        <v>18231</v>
      </c>
      <c r="C6048" s="13" t="str">
        <f>HYPERLINK("https://audio.iskcondesiretree.com/02_-_ISKCON_Swamis/ISKCON_Swamis_-_R_to_Y/His_Holiness_Radhanath_Swami/Lectures/Russian_Translation/Yearwise/1999/1999_SB_05-04-06_Radhanath_Swami_-_1999-07-29_Moscow.mp3", "1999_SB_05-04-06_Radhanath_Swami_-_1999-07-29_Moscow.mp3")</f>
        <v>1999_SB_05-04-06_Radhanath_Swami_-_1999-07-29_Moscow.mp3</v>
      </c>
      <c r="D6048" s="11"/>
      <c r="E6048" s="11"/>
    </row>
    <row r="6049" spans="1:5">
      <c r="A6049" s="12" t="s">
        <v>12773</v>
      </c>
      <c r="B6049" s="12" t="s">
        <v>18232</v>
      </c>
      <c r="C6049" s="13" t="str">
        <f>HYPERLINK("https://audio.iskcondesiretree.com/02_-_ISKCON_Swamis/ISKCON_Swamis_-_R_to_Y/His_Holiness_Radhanath_Swami/Lectures/Russian_Translation/Yearwise/2000/2000_Beseda_Radhanath_Swami_-_2000-10-14_Moscow.mp3", "2000_Beseda_Radhanath_Swami_-_2000-10-14_Moscow.mp3")</f>
        <v>2000_Beseda_Radhanath_Swami_-_2000-10-14_Moscow.mp3</v>
      </c>
      <c r="D6049" s="11"/>
      <c r="E6049" s="11"/>
    </row>
    <row r="6050" spans="1:5">
      <c r="A6050" s="12" t="s">
        <v>12773</v>
      </c>
      <c r="B6050" s="12" t="s">
        <v>18233</v>
      </c>
      <c r="C6050" s="13" t="str">
        <f>HYPERLINK("https://audio.iskcondesiretree.com/02_-_ISKCON_Swamis/ISKCON_Swamis_-_R_to_Y/His_Holiness_Radhanath_Swami/Lectures/Russian_Translation/Yearwise/2000/2000_BG_03-13_Radhanath_Swami_-_2000-10-12_Moscow.mp3", "2000_BG_03-13_Radhanath_Swami_-_2000-10-12_Moscow.mp3")</f>
        <v>2000_BG_03-13_Radhanath_Swami_-_2000-10-12_Moscow.mp3</v>
      </c>
      <c r="D6050" s="11"/>
      <c r="E6050" s="11"/>
    </row>
    <row r="6051" spans="1:5">
      <c r="A6051" s="12" t="s">
        <v>12773</v>
      </c>
      <c r="B6051" s="12" t="s">
        <v>18234</v>
      </c>
      <c r="C6051" s="13" t="str">
        <f>HYPERLINK("https://audio.iskcondesiretree.com/02_-_ISKCON_Swamis/ISKCON_Swamis_-_R_to_Y/His_Holiness_Radhanath_Swami/Lectures/Russian_Translation/Yearwise/2000/2000_Darsan_Before_%20Iniciation_Radhanath_Swami_Ukraine_%28Kiev%29.mp3", "2000_Darsan_Before_%20Iniciation_Radhanath_Swami_Ukraine_%28Kiev%29.mp3")</f>
        <v>2000_Darsan_Before_%20Iniciation_Radhanath_Swami_Ukraine_%28Kiev%29.mp3</v>
      </c>
      <c r="D6051" s="11"/>
      <c r="E6051" s="11"/>
    </row>
    <row r="6052" spans="1:5">
      <c r="A6052" s="12" t="s">
        <v>12773</v>
      </c>
      <c r="B6052" s="12" t="s">
        <v>18235</v>
      </c>
      <c r="C6052" s="13" t="str">
        <f>HYPERLINK("https://audio.iskcondesiretree.com/02_-_ISKCON_Swamis/ISKCON_Swamis_-_R_to_Y/His_Holiness_Radhanath_Swami/Lectures/Russian_Translation/Yearwise/2000/2000_Darsan_Radhanath_Swami_-_2000-10-24_Ukraine_%28Kiev%29.mp3", "2000_Darsan_Radhanath_Swami_-_2000-10-24_Ukraine_%28Kiev%29.mp3")</f>
        <v>2000_Darsan_Radhanath_Swami_-_2000-10-24_Ukraine_%28Kiev%29.mp3</v>
      </c>
      <c r="D6052" s="11"/>
      <c r="E6052" s="11"/>
    </row>
    <row r="6053" spans="1:5">
      <c r="A6053" s="12" t="s">
        <v>12773</v>
      </c>
      <c r="B6053" s="12" t="s">
        <v>18236</v>
      </c>
      <c r="C6053" s="13" t="str">
        <f>HYPERLINK("https://audio.iskcondesiretree.com/02_-_ISKCON_Swamis/ISKCON_Swamis_-_R_to_Y/His_Holiness_Radhanath_Swami/Lectures/Russian_Translation/Yearwise/2000/2000_Darshan_Radhanath_Swami_-_2000-10-15_Moscow.mp3", "2000_Darshan_Radhanath_Swami_-_2000-10-15_Moscow.mp3")</f>
        <v>2000_Darshan_Radhanath_Swami_-_2000-10-15_Moscow.mp3</v>
      </c>
      <c r="D6053" s="11"/>
      <c r="E6053" s="11"/>
    </row>
    <row r="6054" spans="1:5">
      <c r="A6054" s="12" t="s">
        <v>12773</v>
      </c>
      <c r="B6054" s="12" t="s">
        <v>18237</v>
      </c>
      <c r="C6054" s="13" t="str">
        <f>HYPERLINK("https://audio.iskcondesiretree.com/02_-_ISKCON_Swamis/ISKCON_Swamis_-_R_to_Y/His_Holiness_Radhanath_Swami/Lectures/Russian_Translation/Yearwise/2000/2000_Initiation_%20Lecture-%28Dnepropetrovsk%29_Radhanath_Swami_-_2000-10-21_Ukraine.mp3", "2000_Initiation_%20Lecture-%28Dnepropetrovsk%29_Radhanath_Swami_-_2000-10-21_Ukraine.mp3")</f>
        <v>2000_Initiation_%20Lecture-%28Dnepropetrovsk%29_Radhanath_Swami_-_2000-10-21_Ukraine.mp3</v>
      </c>
      <c r="D6054" s="11"/>
      <c r="E6054" s="11"/>
    </row>
    <row r="6055" spans="1:5">
      <c r="A6055" s="12" t="s">
        <v>12773</v>
      </c>
      <c r="B6055" s="12" t="s">
        <v>18238</v>
      </c>
      <c r="C6055" s="13" t="str">
        <f>HYPERLINK("https://audio.iskcondesiretree.com/02_-_ISKCON_Swamis/ISKCON_Swamis_-_R_to_Y/His_Holiness_Radhanath_Swami/Lectures/Russian_Translation/Yearwise/2000/2000_Narottam_Das_Thakur_01_Radhanath_Swami_-_2000-10-17_Moscow.mp3", "2000_Narottam_Das_Thakur_01_Radhanath_Swami_-_2000-10-17_Moscow.mp3")</f>
        <v>2000_Narottam_Das_Thakur_01_Radhanath_Swami_-_2000-10-17_Moscow.mp3</v>
      </c>
      <c r="D6055" s="11"/>
      <c r="E6055" s="11"/>
    </row>
    <row r="6056" spans="1:5">
      <c r="A6056" s="12" t="s">
        <v>12773</v>
      </c>
      <c r="B6056" s="12" t="s">
        <v>18239</v>
      </c>
      <c r="C6056" s="13" t="str">
        <f>HYPERLINK("https://audio.iskcondesiretree.com/02_-_ISKCON_Swamis/ISKCON_Swamis_-_R_to_Y/His_Holiness_Radhanath_Swami/Lectures/Russian_Translation/Yearwise/2000/2000_Narottam_Das_Thakur_02_Radhanath_Swami_-_2000-10-17_Moscow.mp3", "2000_Narottam_Das_Thakur_02_Radhanath_Swami_-_2000-10-17_Moscow.mp3")</f>
        <v>2000_Narottam_Das_Thakur_02_Radhanath_Swami_-_2000-10-17_Moscow.mp3</v>
      </c>
      <c r="D6056" s="11"/>
      <c r="E6056" s="11"/>
    </row>
    <row r="6057" spans="1:5">
      <c r="A6057" s="12" t="s">
        <v>12773</v>
      </c>
      <c r="B6057" s="12" t="s">
        <v>18240</v>
      </c>
      <c r="C6057" s="13" t="str">
        <f>HYPERLINK("https://audio.iskcondesiretree.com/02_-_ISKCON_Swamis/ISKCON_Swamis_-_R_to_Y/His_Holiness_Radhanath_Swami/Lectures/Russian_Translation/Yearwise/2000/2000_NRS_%26_RNS_before_Iniciation_Radhanath_Swami_-_2000-10-18_Moscow.mp3", "2000_NRS_%26_RNS_before_Iniciation_Radhanath_Swami_-_2000-10-18_Moscow.mp3")</f>
        <v>2000_NRS_%26_RNS_before_Iniciation_Radhanath_Swami_-_2000-10-18_Moscow.mp3</v>
      </c>
      <c r="D6057" s="11"/>
      <c r="E6057" s="11"/>
    </row>
    <row r="6058" spans="1:5">
      <c r="A6058" s="12" t="s">
        <v>12773</v>
      </c>
      <c r="B6058" s="12" t="s">
        <v>18241</v>
      </c>
      <c r="C6058" s="13" t="str">
        <f>HYPERLINK("https://audio.iskcondesiretree.com/02_-_ISKCON_Swamis/ISKCON_Swamis_-_R_to_Y/His_Holiness_Radhanath_Swami/Lectures/Russian_Translation/Yearwise/2000/2000_Oskorblenie_Predannogo_Radhanath_Swami_2000-10-14_Moscow.mp3", "2000_Oskorblenie_Predannogo_Radhanath_Swami_2000-10-14_Moscow.mp3")</f>
        <v>2000_Oskorblenie_Predannogo_Radhanath_Swami_2000-10-14_Moscow.mp3</v>
      </c>
      <c r="D6058" s="11"/>
      <c r="E6058" s="11"/>
    </row>
    <row r="6059" spans="1:5">
      <c r="A6059" s="12" t="s">
        <v>12773</v>
      </c>
      <c r="B6059" s="12" t="s">
        <v>18242</v>
      </c>
      <c r="C6059" s="13" t="str">
        <f>HYPERLINK("https://audio.iskcondesiretree.com/02_-_ISKCON_Swamis/ISKCON_Swamis_-_R_to_Y/His_Holiness_Radhanath_Swami/Lectures/Russian_Translation/Yearwise/2000/2000_SB_05-14-01_Radhanath_Swami_-_2000-10-13_Moscow.mp3", "2000_SB_05-14-01_Radhanath_Swami_-_2000-10-13_Moscow.mp3")</f>
        <v>2000_SB_05-14-01_Radhanath_Swami_-_2000-10-13_Moscow.mp3</v>
      </c>
      <c r="D6059" s="11"/>
      <c r="E6059" s="11"/>
    </row>
    <row r="6060" spans="1:5">
      <c r="A6060" s="12" t="s">
        <v>12773</v>
      </c>
      <c r="B6060" s="12" t="s">
        <v>18243</v>
      </c>
      <c r="C6060" s="13" t="str">
        <f>HYPERLINK("https://audio.iskcondesiretree.com/02_-_ISKCON_Swamis/ISKCON_Swamis_-_R_to_Y/His_Holiness_Radhanath_Swami/Lectures/Russian_Translation/Yearwise/2000/2000_SB_05-14-02_Radhanath_Swami_-_2000-10-14_Moscow.mp3", "2000_SB_05-14-02_Radhanath_Swami_-_2000-10-14_Moscow.mp3")</f>
        <v>2000_SB_05-14-02_Radhanath_Swami_-_2000-10-14_Moscow.mp3</v>
      </c>
      <c r="D6060" s="11"/>
      <c r="E6060" s="11"/>
    </row>
    <row r="6061" spans="1:5">
      <c r="A6061" s="12" t="s">
        <v>12773</v>
      </c>
      <c r="B6061" s="12" t="s">
        <v>18244</v>
      </c>
      <c r="C6061" s="13" t="str">
        <f>HYPERLINK("https://audio.iskcondesiretree.com/02_-_ISKCON_Swamis/ISKCON_Swamis_-_R_to_Y/His_Holiness_Radhanath_Swami/Lectures/Russian_Translation/Yearwise/2000/2000_SB_05-14-04_Radhanath_Swami_-_2000-10-16_Moscow.mp3", "2000_SB_05-14-04_Radhanath_Swami_-_2000-10-16_Moscow.mp3")</f>
        <v>2000_SB_05-14-04_Radhanath_Swami_-_2000-10-16_Moscow.mp3</v>
      </c>
      <c r="D6061" s="11"/>
      <c r="E6061" s="11"/>
    </row>
    <row r="6062" spans="1:5">
      <c r="A6062" s="12" t="s">
        <v>12773</v>
      </c>
      <c r="B6062" s="12" t="s">
        <v>18245</v>
      </c>
      <c r="C6062" s="13" t="str">
        <f>HYPERLINK("https://audio.iskcondesiretree.com/02_-_ISKCON_Swamis/ISKCON_Swamis_-_R_to_Y/His_Holiness_Radhanath_Swami/Lectures/Russian_Translation/Yearwise/2000/2000_SB_Radhanath_Swami_-_2000-10-28_Ukraine_%28Kiev%29.mp3", "2000_SB_Radhanath_Swami_-_2000-10-28_Ukraine_%28Kiev%29.mp3")</f>
        <v>2000_SB_Radhanath_Swami_-_2000-10-28_Ukraine_%28Kiev%29.mp3</v>
      </c>
      <c r="D6062" s="11"/>
      <c r="E6062" s="11"/>
    </row>
    <row r="6063" spans="1:5">
      <c r="A6063" s="12" t="s">
        <v>12773</v>
      </c>
      <c r="B6063" s="12" t="s">
        <v>18246</v>
      </c>
      <c r="C6063" s="13" t="str">
        <f>HYPERLINK("https://audio.iskcondesiretree.com/02_-_ISKCON_Swamis/ISKCON_Swamis_-_R_to_Y/His_Holiness_Radhanath_Swami/Lectures/Russian_Translation/Yearwise/2000/2000_Sunday_Lecture_Radhanath_Swami_-_2000-10-15_Moscow.mp3", "2000_Sunday_Lecture_Radhanath_Swami_-_2000-10-15_Moscow.mp3")</f>
        <v>2000_Sunday_Lecture_Radhanath_Swami_-_2000-10-15_Moscow.mp3</v>
      </c>
      <c r="D6063" s="11"/>
      <c r="E6063" s="11"/>
    </row>
    <row r="6064" spans="1:5">
      <c r="A6064" s="12" t="s">
        <v>12773</v>
      </c>
      <c r="B6064" s="12" t="s">
        <v>18247</v>
      </c>
      <c r="C6064" s="13" t="str">
        <f>HYPERLINK("https://audio.iskcondesiretree.com/02_-_ISKCON_Swamis/ISKCON_Swamis_-_R_to_Y/His_Holiness_Radhanath_Swami/Lectures/Russian_Translation/Yearwise/2001/2001_01_Rupa_Goswami_Radhanath_Swami_-_2001-07-31_Moscow.mp3", "2001_01_Rupa_Goswami_Radhanath_Swami_-_2001-07-31_Moscow.mp3")</f>
        <v>2001_01_Rupa_Goswami_Radhanath_Swami_-_2001-07-31_Moscow.mp3</v>
      </c>
      <c r="D6064" s="11"/>
      <c r="E6064" s="11"/>
    </row>
    <row r="6065" spans="1:5">
      <c r="A6065" s="12" t="s">
        <v>12773</v>
      </c>
      <c r="B6065" s="12" t="s">
        <v>18248</v>
      </c>
      <c r="C6065" s="13" t="str">
        <f>HYPERLINK("https://audio.iskcondesiretree.com/02_-_ISKCON_Swamis/ISKCON_Swamis_-_R_to_Y/His_Holiness_Radhanath_Swami/Lectures/Russian_Translation/Yearwise/2001/2001_02_Rupa_Goswami_Radhanath_Swami_-_2001-07-31_Moscow.mp3", "2001_02_Rupa_Goswami_Radhanath_Swami_-_2001-07-31_Moscow.mp3")</f>
        <v>2001_02_Rupa_Goswami_Radhanath_Swami_-_2001-07-31_Moscow.mp3</v>
      </c>
      <c r="D6065" s="11"/>
      <c r="E6065" s="11"/>
    </row>
    <row r="6066" spans="1:5">
      <c r="A6066" s="12" t="s">
        <v>12773</v>
      </c>
      <c r="B6066" s="12" t="s">
        <v>18249</v>
      </c>
      <c r="C6066" s="13" t="str">
        <f>HYPERLINK("https://audio.iskcondesiretree.com/02_-_ISKCON_Swamis/ISKCON_Swamis_-_R_to_Y/His_Holiness_Radhanath_Swami/Lectures/Russian_Translation/Yearwise/2001/2001_03_Rupa_Goswami_Radhanath_Swami_-_2001-08-01_Moscow.mp3", "2001_03_Rupa_Goswami_Radhanath_Swami_-_2001-08-01_Moscow.mp3")</f>
        <v>2001_03_Rupa_Goswami_Radhanath_Swami_-_2001-08-01_Moscow.mp3</v>
      </c>
      <c r="D6066" s="11"/>
      <c r="E6066" s="11"/>
    </row>
    <row r="6067" spans="1:5">
      <c r="A6067" s="12" t="s">
        <v>12773</v>
      </c>
      <c r="B6067" s="12" t="s">
        <v>18250</v>
      </c>
      <c r="C6067" s="13" t="str">
        <f>HYPERLINK("https://audio.iskcondesiretree.com/02_-_ISKCON_Swamis/ISKCON_Swamis_-_R_to_Y/His_Holiness_Radhanath_Swami/Lectures/Russian_Translation/Yearwise/2001/2001_Badarik_ashram_Radhanath_Swami_-_2001-xx-xx_Moscow.mp3", "2001_Badarik_ashram_Radhanath_Swami_-_2001-xx-xx_Moscow.mp3")</f>
        <v>2001_Badarik_ashram_Radhanath_Swami_-_2001-xx-xx_Moscow.mp3</v>
      </c>
      <c r="D6067" s="11"/>
      <c r="E6067" s="11"/>
    </row>
    <row r="6068" spans="1:5">
      <c r="A6068" s="12" t="s">
        <v>12773</v>
      </c>
      <c r="B6068" s="12" t="s">
        <v>18251</v>
      </c>
      <c r="C6068" s="13" t="str">
        <f>HYPERLINK("https://audio.iskcondesiretree.com/02_-_ISKCON_Swamis/ISKCON_Swamis_-_R_to_Y/His_Holiness_Radhanath_Swami/Lectures/Russian_Translation/Yearwise/2001/2001_Darsan_%20Radhanath_Swami_-_2001-08-01_Moscow.mp3", "2001_Darsan_%20Radhanath_Swami_-_2001-08-01_Moscow.mp3")</f>
        <v>2001_Darsan_%20Radhanath_Swami_-_2001-08-01_Moscow.mp3</v>
      </c>
      <c r="D6068" s="11"/>
      <c r="E6068" s="11"/>
    </row>
    <row r="6069" spans="1:5">
      <c r="A6069" s="12" t="s">
        <v>12773</v>
      </c>
      <c r="B6069" s="12" t="s">
        <v>18252</v>
      </c>
      <c r="C6069" s="13" t="str">
        <f>HYPERLINK("https://audio.iskcondesiretree.com/02_-_ISKCON_Swamis/ISKCON_Swamis_-_R_to_Y/His_Holiness_Radhanath_Swami/Lectures/Russian_Translation/Yearwise/2001/2001_Darsan_%20Radhanath_Swami_-_2001-08-05_Moscow.mp3", "2001_Darsan_%20Radhanath_Swami_-_2001-08-05_Moscow.mp3")</f>
        <v>2001_Darsan_%20Radhanath_Swami_-_2001-08-05_Moscow.mp3</v>
      </c>
      <c r="D6069" s="11"/>
      <c r="E6069" s="11"/>
    </row>
    <row r="6070" spans="1:5">
      <c r="A6070" s="12" t="s">
        <v>12773</v>
      </c>
      <c r="B6070" s="12" t="s">
        <v>18253</v>
      </c>
      <c r="C6070" s="13" t="str">
        <f>HYPERLINK("https://audio.iskcondesiretree.com/02_-_ISKCON_Swamis/ISKCON_Swamis_-_R_to_Y/His_Holiness_Radhanath_Swami/Lectures/Russian_Translation/Yearwise/2001/2001_Evening_Lecture_Radhanath_Swami_-_2001-08-06_Kiev.mp3", "2001_Evening_Lecture_Radhanath_Swami_-_2001-08-06_Kiev.mp3")</f>
        <v>2001_Evening_Lecture_Radhanath_Swami_-_2001-08-06_Kiev.mp3</v>
      </c>
      <c r="D6070" s="11"/>
      <c r="E6070" s="11"/>
    </row>
    <row r="6071" spans="1:5">
      <c r="A6071" s="12" t="s">
        <v>12773</v>
      </c>
      <c r="B6071" s="12" t="s">
        <v>18254</v>
      </c>
      <c r="C6071" s="13" t="str">
        <f>HYPERLINK("https://audio.iskcondesiretree.com/02_-_ISKCON_Swamis/ISKCON_Swamis_-_R_to_Y/His_Holiness_Radhanath_Swami/Lectures/Russian_Translation/Yearwise/2001/2001_Evening_Lecture_Radhanath_Swami_-_2001-08-07_Kiev.mp3", "2001_Evening_Lecture_Radhanath_Swami_-_2001-08-07_Kiev.mp3")</f>
        <v>2001_Evening_Lecture_Radhanath_Swami_-_2001-08-07_Kiev.mp3</v>
      </c>
      <c r="D6071" s="11"/>
      <c r="E6071" s="11"/>
    </row>
    <row r="6072" spans="1:5">
      <c r="A6072" s="12" t="s">
        <v>12773</v>
      </c>
      <c r="B6072" s="12" t="s">
        <v>18255</v>
      </c>
      <c r="C6072" s="13" t="str">
        <f>HYPERLINK("https://audio.iskcondesiretree.com/02_-_ISKCON_Swamis/ISKCON_Swamis_-_R_to_Y/His_Holiness_Radhanath_Swami/Lectures/Russian_Translation/Yearwise/2001/2001_Evening_Lecture_Radhanath_Swami_-_2001-08-08_Kiev.mp3", "2001_Evening_Lecture_Radhanath_Swami_-_2001-08-08_Kiev.mp3")</f>
        <v>2001_Evening_Lecture_Radhanath_Swami_-_2001-08-08_Kiev.mp3</v>
      </c>
      <c r="D6072" s="11"/>
      <c r="E6072" s="11"/>
    </row>
    <row r="6073" spans="1:5">
      <c r="A6073" s="12" t="s">
        <v>12773</v>
      </c>
      <c r="B6073" s="12" t="s">
        <v>18256</v>
      </c>
      <c r="C6073" s="13" t="str">
        <f>HYPERLINK("https://audio.iskcondesiretree.com/02_-_ISKCON_Swamis/ISKCON_Swamis_-_R_to_Y/His_Holiness_Radhanath_Swami/Lectures/Russian_Translation/Yearwise/2001/2001_Introduction_Radhanath_Swami_-_2001-08-06_Kiev.mp3", "2001_Introduction_Radhanath_Swami_-_2001-08-06_Kiev.mp3")</f>
        <v>2001_Introduction_Radhanath_Swami_-_2001-08-06_Kiev.mp3</v>
      </c>
      <c r="D6073" s="11"/>
      <c r="E6073" s="11"/>
    </row>
    <row r="6074" spans="1:5">
      <c r="A6074" s="12" t="s">
        <v>12773</v>
      </c>
      <c r="B6074" s="12" t="s">
        <v>18257</v>
      </c>
      <c r="C6074" s="13" t="str">
        <f>HYPERLINK("https://audio.iskcondesiretree.com/02_-_ISKCON_Swamis/ISKCON_Swamis_-_R_to_Y/His_Holiness_Radhanath_Swami/Lectures/Russian_Translation/Yearwise/2001/2001_Recollections_of_New_Vrindavan_and_silk_Rasdhanath_Swami_New_Vrindavan.mp3", "2001_Recollections_of_New_Vrindavan_and_silk_Rasdhanath_Swami_New_Vrindavan.mp3")</f>
        <v>2001_Recollections_of_New_Vrindavan_and_silk_Rasdhanath_Swami_New_Vrindavan.mp3</v>
      </c>
      <c r="D6074" s="11"/>
      <c r="E6074" s="11"/>
    </row>
    <row r="6075" spans="1:5">
      <c r="A6075" s="12" t="s">
        <v>12773</v>
      </c>
      <c r="B6075" s="12" t="s">
        <v>18258</v>
      </c>
      <c r="C6075" s="13" t="str">
        <f>HYPERLINK("https://audio.iskcondesiretree.com/02_-_ISKCON_Swamis/ISKCON_Swamis_-_R_to_Y/His_Holiness_Radhanath_Swami/Lectures/Russian_Translation/Yearwise/2001/2001_Relief_fund_Garuda_Radhanath_Swami_-_2001-08-03_Moscow.mp3", "2001_Relief_fund_Garuda_Radhanath_Swami_-_2001-08-03_Moscow.mp3")</f>
        <v>2001_Relief_fund_Garuda_Radhanath_Swami_-_2001-08-03_Moscow.mp3</v>
      </c>
      <c r="D6075" s="11"/>
      <c r="E6075" s="11"/>
    </row>
    <row r="6076" spans="1:5">
      <c r="A6076" s="12" t="s">
        <v>12773</v>
      </c>
      <c r="B6076" s="12" t="s">
        <v>18259</v>
      </c>
      <c r="C6076" s="13" t="str">
        <f>HYPERLINK("https://audio.iskcondesiretree.com/02_-_ISKCON_Swamis/ISKCON_Swamis_-_R_to_Y/His_Holiness_Radhanath_Swami/Lectures/Russian_Translation/Yearwise/2001/2001_Rememberance_of_Srila_Prabhupada_Radhanath_Swami_-_2001-07-30_Moscow.mp3", "2001_Rememberance_of_Srila_Prabhupada_Radhanath_Swami_-_2001-07-30_Moscow.mp3")</f>
        <v>2001_Rememberance_of_Srila_Prabhupada_Radhanath_Swami_-_2001-07-30_Moscow.mp3</v>
      </c>
      <c r="D6076" s="11"/>
      <c r="E6076" s="11"/>
    </row>
    <row r="6077" spans="1:5">
      <c r="A6077" s="12" t="s">
        <v>12773</v>
      </c>
      <c r="B6077" s="12" t="s">
        <v>18260</v>
      </c>
      <c r="C6077" s="13" t="str">
        <f>HYPERLINK("https://audio.iskcondesiretree.com/02_-_ISKCON_Swamis/ISKCON_Swamis_-_R_to_Y/His_Holiness_Radhanath_Swami/Lectures/Russian_Translation/Yearwise/2001/2001_Sannyasa_Initiation_Radhanath_Swami_-_2001-08-04_Moscow.mp3", "2001_Sannyasa_Initiation_Radhanath_Swami_-_2001-08-04_Moscow.mp3")</f>
        <v>2001_Sannyasa_Initiation_Radhanath_Swami_-_2001-08-04_Moscow.mp3</v>
      </c>
      <c r="D6077" s="11"/>
      <c r="E6077" s="11"/>
    </row>
    <row r="6078" spans="1:5">
      <c r="A6078" s="12" t="s">
        <v>12773</v>
      </c>
      <c r="B6078" s="12" t="s">
        <v>18261</v>
      </c>
      <c r="C6078" s="13" t="str">
        <f>HYPERLINK("https://audio.iskcondesiretree.com/02_-_ISKCON_Swamis/ISKCON_Swamis_-_R_to_Y/His_Holiness_Radhanath_Swami/Lectures/Russian_Translation/Yearwise/2001/2001_SB_06-01-44_Radhanath_Swami_-_2001-07-30_Moscow.mp3", "2001_SB_06-01-44_Radhanath_Swami_-_2001-07-30_Moscow.mp3")</f>
        <v>2001_SB_06-01-44_Radhanath_Swami_-_2001-07-30_Moscow.mp3</v>
      </c>
      <c r="D6078" s="11"/>
      <c r="E6078" s="11"/>
    </row>
    <row r="6079" spans="1:5">
      <c r="A6079" s="12" t="s">
        <v>12773</v>
      </c>
      <c r="B6079" s="12" t="s">
        <v>18262</v>
      </c>
      <c r="C6079" s="13" t="str">
        <f>HYPERLINK("https://audio.iskcondesiretree.com/02_-_ISKCON_Swamis/ISKCON_Swamis_-_R_to_Y/His_Holiness_Radhanath_Swami/Lectures/Russian_Translation/Yearwise/2001/2001_SB_06-01-47_Radhanath_Swami_-_2001-08-05_Moscow.mp3", "2001_SB_06-01-47_Radhanath_Swami_-_2001-08-05_Moscow.mp3")</f>
        <v>2001_SB_06-01-47_Radhanath_Swami_-_2001-08-05_Moscow.mp3</v>
      </c>
      <c r="D6079" s="11"/>
      <c r="E6079" s="11"/>
    </row>
    <row r="6080" spans="1:5">
      <c r="A6080" s="12" t="s">
        <v>12773</v>
      </c>
      <c r="B6080" s="12" t="s">
        <v>18263</v>
      </c>
      <c r="C6080" s="13" t="str">
        <f>HYPERLINK("https://audio.iskcondesiretree.com/02_-_ISKCON_Swamis/ISKCON_Swamis_-_R_to_Y/His_Holiness_Radhanath_Swami/Lectures/Russian_Translation/Yearwise/2001/2001_SB_07-04-31_Narasimha_Caturdasi_Radhanath_Swami_-_2001-05-06_New_Vrindavan.mp3", "2001_SB_07-04-31_Narasimha_Caturdasi_Radhanath_Swami_-_2001-05-06_New_Vrindavan.mp3")</f>
        <v>2001_SB_07-04-31_Narasimha_Caturdasi_Radhanath_Swami_-_2001-05-06_New_Vrindavan.mp3</v>
      </c>
      <c r="D6080" s="11"/>
      <c r="E6080" s="11"/>
    </row>
    <row r="6081" spans="1:5">
      <c r="A6081" s="12" t="s">
        <v>12773</v>
      </c>
      <c r="B6081" s="12" t="s">
        <v>18264</v>
      </c>
      <c r="C6081" s="13" t="str">
        <f>HYPERLINK("https://audio.iskcondesiretree.com/02_-_ISKCON_Swamis/ISKCON_Swamis_-_R_to_Y/His_Holiness_Radhanath_Swami/Lectures/Russian_Translation/Yearwise/2001/2001_SB_07-09-19_Radhanath_Swami_-_2001-08-08_Kiev.mp3", "2001_SB_07-09-19_Radhanath_Swami_-_2001-08-08_Kiev.mp3")</f>
        <v>2001_SB_07-09-19_Radhanath_Swami_-_2001-08-08_Kiev.mp3</v>
      </c>
      <c r="D6081" s="11"/>
      <c r="E6081" s="11"/>
    </row>
    <row r="6082" spans="1:5">
      <c r="A6082" s="12" t="s">
        <v>12773</v>
      </c>
      <c r="B6082" s="12" t="s">
        <v>18265</v>
      </c>
      <c r="C6082" s="13" t="str">
        <f>HYPERLINK("https://audio.iskcondesiretree.com/02_-_ISKCON_Swamis/ISKCON_Swamis_-_R_to_Y/His_Holiness_Radhanath_Swami/Lectures/Russian_Translation/Yearwise/2001/2001_SB_07-09-20_Radhanath_Swami_-_2001-08-09_Kiev.mp3", "2001_SB_07-09-20_Radhanath_Swami_-_2001-08-09_Kiev.mp3")</f>
        <v>2001_SB_07-09-20_Radhanath_Swami_-_2001-08-09_Kiev.mp3</v>
      </c>
      <c r="D6082" s="11"/>
      <c r="E6082" s="11"/>
    </row>
    <row r="6083" spans="1:5">
      <c r="A6083" s="12" t="s">
        <v>12773</v>
      </c>
      <c r="B6083" s="12" t="s">
        <v>18266</v>
      </c>
      <c r="C6083" s="13" t="str">
        <f>HYPERLINK("https://audio.iskcondesiretree.com/02_-_ISKCON_Swamis/ISKCON_Swamis_-_R_to_Y/His_Holiness_Radhanath_Swami/Lectures/Russian_Translation/Yearwise/2002/2002-02-23_SB_01-13-10_Simplicity_-_Radhanth_Swami_Pune.mp3", "2002-02-23_SB_01-13-10_Simplicity_-_Radhanth_Swami_Pune.mp3")</f>
        <v>2002-02-23_SB_01-13-10_Simplicity_-_Radhanth_Swami_Pune.mp3</v>
      </c>
      <c r="D6083" s="11"/>
      <c r="E6083" s="11"/>
    </row>
    <row r="6084" spans="1:5">
      <c r="A6084" s="12" t="s">
        <v>12773</v>
      </c>
      <c r="B6084" s="12" t="s">
        <v>18267</v>
      </c>
      <c r="C6084" s="13" t="str">
        <f>HYPERLINK("https://audio.iskcondesiretree.com/02_-_ISKCON_Swamis/ISKCON_Swamis_-_R_to_Y/His_Holiness_Radhanath_Swami/Lectures/Russian_Translation/Yearwise/2002/2002-02-24_Various_-_Titiksha_Patience_-_Radhanath_Swami_Pune.mp3", "2002-02-24_Various_-_Titiksha_Patience_-_Radhanath_Swami_Pune.mp3")</f>
        <v>2002-02-24_Various_-_Titiksha_Patience_-_Radhanath_Swami_Pune.mp3</v>
      </c>
      <c r="D6084" s="11"/>
      <c r="E6084" s="11"/>
    </row>
    <row r="6085" spans="1:5">
      <c r="A6085" s="12" t="s">
        <v>12773</v>
      </c>
      <c r="B6085" s="12" t="s">
        <v>18268</v>
      </c>
      <c r="C6085" s="13" t="str">
        <f>HYPERLINK("https://audio.iskcondesiretree.com/02_-_ISKCON_Swamis/ISKCON_Swamis_-_R_to_Y/His_Holiness_Radhanath_Swami/Lectures/Russian_Translation/Yearwise/2002/2002-02-25_Various_-_Humility_-_Radhanath_Swami_Pune.mp3", "2002-02-25_Various_-_Humility_-_Radhanath_Swami_Pune.mp3")</f>
        <v>2002-02-25_Various_-_Humility_-_Radhanath_Swami_Pune.mp3</v>
      </c>
      <c r="D6085" s="11"/>
      <c r="E6085" s="11"/>
    </row>
    <row r="6086" spans="1:5">
      <c r="A6086" s="12" t="s">
        <v>12773</v>
      </c>
      <c r="B6086" s="12" t="s">
        <v>18269</v>
      </c>
      <c r="C6086" s="13" t="str">
        <f>HYPERLINK("https://audio.iskcondesiretree.com/02_-_ISKCON_Swamis/ISKCON_Swamis_-_R_to_Y/His_Holiness_Radhanath_Swami/Lectures/Russian_Translation/Yearwise/2002/2002_-_Meeting_in_Sridhars_house_Radhanath_Swami_Moscow.mp3", "2002_-_Meeting_in_Sridhars_house_Radhanath_Swami_Moscow.mp3")</f>
        <v>2002_-_Meeting_in_Sridhars_house_Radhanath_Swami_Moscow.mp3</v>
      </c>
      <c r="D6086" s="11"/>
      <c r="E6086" s="11"/>
    </row>
    <row r="6087" spans="1:5">
      <c r="A6087" s="12" t="s">
        <v>12773</v>
      </c>
      <c r="B6087" s="12" t="s">
        <v>18270</v>
      </c>
      <c r="C6087" s="13" t="str">
        <f>HYPERLINK("https://audio.iskcondesiretree.com/02_-_ISKCON_Swamis/ISKCON_Swamis_-_R_to_Y/His_Holiness_Radhanath_Swami/Lectures/Russian_Translation/Yearwise/2002/2002_Darsan_01_Radhanath_Swami_-_2002-09-26_Moscow.mp3", "2002_Darsan_01_Radhanath_Swami_-_2002-09-26_Moscow.mp3")</f>
        <v>2002_Darsan_01_Radhanath_Swami_-_2002-09-26_Moscow.mp3</v>
      </c>
      <c r="D6087" s="11"/>
      <c r="E6087" s="11"/>
    </row>
    <row r="6088" spans="1:5">
      <c r="A6088" s="12" t="s">
        <v>12773</v>
      </c>
      <c r="B6088" s="12" t="s">
        <v>18271</v>
      </c>
      <c r="C6088" s="13" t="str">
        <f>HYPERLINK("https://audio.iskcondesiretree.com/02_-_ISKCON_Swamis/ISKCON_Swamis_-_R_to_Y/His_Holiness_Radhanath_Swami/Lectures/Russian_Translation/Yearwise/2002/2002_Darsan_02_Radhanath_Swami_-_2002-09-27_Moscow.mp3", "2002_Darsan_02_Radhanath_Swami_-_2002-09-27_Moscow.mp3")</f>
        <v>2002_Darsan_02_Radhanath_Swami_-_2002-09-27_Moscow.mp3</v>
      </c>
      <c r="D6088" s="11"/>
      <c r="E6088" s="11"/>
    </row>
    <row r="6089" spans="1:5">
      <c r="A6089" s="12" t="s">
        <v>12773</v>
      </c>
      <c r="B6089" s="12" t="s">
        <v>18272</v>
      </c>
      <c r="C6089" s="13" t="str">
        <f>HYPERLINK("https://audio.iskcondesiretree.com/02_-_ISKCON_Swamis/ISKCON_Swamis_-_R_to_Y/His_Holiness_Radhanath_Swami/Lectures/Russian_Translation/Yearwise/2002/2002_Darsan_03_Radhanath_Swami_-_2002-09-28_Moscow.mp3", "2002_Darsan_03_Radhanath_Swami_-_2002-09-28_Moscow.mp3")</f>
        <v>2002_Darsan_03_Radhanath_Swami_-_2002-09-28_Moscow.mp3</v>
      </c>
      <c r="D6089" s="11"/>
      <c r="E6089" s="11"/>
    </row>
    <row r="6090" spans="1:5">
      <c r="A6090" s="12" t="s">
        <v>12773</v>
      </c>
      <c r="B6090" s="12" t="s">
        <v>18273</v>
      </c>
      <c r="C6090" s="13" t="str">
        <f>HYPERLINK("https://audio.iskcondesiretree.com/02_-_ISKCON_Swamis/ISKCON_Swamis_-_R_to_Y/His_Holiness_Radhanath_Swami/Lectures/Russian_Translation/Yearwise/2002/2002_Darsan_04_Radhanath_Swami_-_2002-09-30_Moscow.mp3", "2002_Darsan_04_Radhanath_Swami_-_2002-09-30_Moscow.mp3")</f>
        <v>2002_Darsan_04_Radhanath_Swami_-_2002-09-30_Moscow.mp3</v>
      </c>
      <c r="D6090" s="11"/>
      <c r="E6090" s="11"/>
    </row>
    <row r="6091" spans="1:5">
      <c r="A6091" s="12" t="s">
        <v>12773</v>
      </c>
      <c r="B6091" s="12" t="s">
        <v>18274</v>
      </c>
      <c r="C6091" s="13" t="str">
        <f>HYPERLINK("https://audio.iskcondesiretree.com/02_-_ISKCON_Swamis/ISKCON_Swamis_-_R_to_Y/His_Holiness_Radhanath_Swami/Lectures/Russian_Translation/Yearwise/2002/2002_Darsan_Radhanath_Swami_-_2002-10-02_Kiev.mp3", "2002_Darsan_Radhanath_Swami_-_2002-10-02_Kiev.mp3")</f>
        <v>2002_Darsan_Radhanath_Swami_-_2002-10-02_Kiev.mp3</v>
      </c>
      <c r="D6091" s="11"/>
      <c r="E6091" s="11"/>
    </row>
    <row r="6092" spans="1:5">
      <c r="A6092" s="12" t="s">
        <v>12773</v>
      </c>
      <c r="B6092" s="12" t="s">
        <v>18275</v>
      </c>
      <c r="C6092" s="13" t="str">
        <f>HYPERLINK("https://audio.iskcondesiretree.com/02_-_ISKCON_Swamis/ISKCON_Swamis_-_R_to_Y/His_Holiness_Radhanath_Swami/Lectures/Russian_Translation/Yearwise/2002/2002_Darsan_Radhanath_Swami_-_2002-10-03_Kiev.mp3", "2002_Darsan_Radhanath_Swami_-_2002-10-03_Kiev.mp3")</f>
        <v>2002_Darsan_Radhanath_Swami_-_2002-10-03_Kiev.mp3</v>
      </c>
      <c r="D6092" s="11"/>
      <c r="E6092" s="11"/>
    </row>
    <row r="6093" spans="1:5">
      <c r="A6093" s="12" t="s">
        <v>12773</v>
      </c>
      <c r="B6093" s="12" t="s">
        <v>18276</v>
      </c>
      <c r="C6093" s="13" t="str">
        <f>HYPERLINK("https://audio.iskcondesiretree.com/02_-_ISKCON_Swamis/ISKCON_Swamis_-_R_to_Y/His_Holiness_Radhanath_Swami/Lectures/Russian_Translation/Yearwise/2002/2002_Darsan_Radhanath_Swami_-_2002-10-04_Kiev.mp3", "2002_Darsan_Radhanath_Swami_-_2002-10-04_Kiev.mp3")</f>
        <v>2002_Darsan_Radhanath_Swami_-_2002-10-04_Kiev.mp3</v>
      </c>
      <c r="D6093" s="11"/>
      <c r="E6093" s="11"/>
    </row>
    <row r="6094" spans="1:5">
      <c r="A6094" s="12" t="s">
        <v>12773</v>
      </c>
      <c r="B6094" s="12" t="s">
        <v>18277</v>
      </c>
      <c r="C6094" s="13" t="str">
        <f>HYPERLINK("https://audio.iskcondesiretree.com/02_-_ISKCON_Swamis/ISKCON_Swamis_-_R_to_Y/His_Holiness_Radhanath_Swami/Lectures/Russian_Translation/Yearwise/2002/2002_Darshan_with_students_Radhanath_Swami_-_2002-10-08_Divnomorsk.mp3", "2002_Darshan_with_students_Radhanath_Swami_-_2002-10-08_Divnomorsk.mp3")</f>
        <v>2002_Darshan_with_students_Radhanath_Swami_-_2002-10-08_Divnomorsk.mp3</v>
      </c>
      <c r="D6094" s="11"/>
      <c r="E6094" s="11"/>
    </row>
    <row r="6095" spans="1:5">
      <c r="A6095" s="12" t="s">
        <v>12773</v>
      </c>
      <c r="B6095" s="12" t="s">
        <v>18278</v>
      </c>
      <c r="C6095" s="13" t="str">
        <f>HYPERLINK("https://audio.iskcondesiretree.com/02_-_ISKCON_Swamis/ISKCON_Swamis_-_R_to_Y/His_Holiness_Radhanath_Swami/Lectures/Russian_Translation/Yearwise/2002/2002_End_of_the_Lecture_Radhanath_Swami_-_2002-10-07_Divnomorsk.mp3", "2002_End_of_the_Lecture_Radhanath_Swami_-_2002-10-07_Divnomorsk.mp3")</f>
        <v>2002_End_of_the_Lecture_Radhanath_Swami_-_2002-10-07_Divnomorsk.mp3</v>
      </c>
      <c r="D6095" s="11"/>
      <c r="E6095" s="11"/>
    </row>
    <row r="6096" spans="1:5">
      <c r="A6096" s="12" t="s">
        <v>12773</v>
      </c>
      <c r="B6096" s="12" t="s">
        <v>18279</v>
      </c>
      <c r="C6096" s="13" t="str">
        <f>HYPERLINK("https://audio.iskcondesiretree.com/02_-_ISKCON_Swamis/ISKCON_Swamis_-_R_to_Y/His_Holiness_Radhanath_Swami/Lectures/Russian_Translation/Yearwise/2002/2002_Evening_Lecture_Radahanath_Swami_-_2002-09-28_Moscow.mp3", "2002_Evening_Lecture_Radahanath_Swami_-_2002-09-28_Moscow.mp3")</f>
        <v>2002_Evening_Lecture_Radahanath_Swami_-_2002-09-28_Moscow.mp3</v>
      </c>
      <c r="D6096" s="11"/>
      <c r="E6096" s="11"/>
    </row>
    <row r="6097" spans="1:5">
      <c r="A6097" s="12" t="s">
        <v>12773</v>
      </c>
      <c r="B6097" s="12" t="s">
        <v>18280</v>
      </c>
      <c r="C6097" s="13" t="str">
        <f>HYPERLINK("https://audio.iskcondesiretree.com/02_-_ISKCON_Swamis/ISKCON_Swamis_-_R_to_Y/His_Holiness_Radhanath_Swami/Lectures/Russian_Translation/Yearwise/2002/2002_Evening_Lecture_Radahanath_Swami_-_2002-09-30_Moscow.mp3", "2002_Evening_Lecture_Radahanath_Swami_-_2002-09-30_Moscow.mp3")</f>
        <v>2002_Evening_Lecture_Radahanath_Swami_-_2002-09-30_Moscow.mp3</v>
      </c>
      <c r="D6097" s="11"/>
      <c r="E6097" s="11"/>
    </row>
    <row r="6098" spans="1:5">
      <c r="A6098" s="12" t="s">
        <v>12773</v>
      </c>
      <c r="B6098" s="12" t="s">
        <v>18281</v>
      </c>
      <c r="C6098" s="13" t="str">
        <f>HYPERLINK("https://audio.iskcondesiretree.com/02_-_ISKCON_Swamis/ISKCON_Swamis_-_R_to_Y/His_Holiness_Radhanath_Swami/Lectures/Russian_Translation/Yearwise/2002/2002_Evening_Lecture_Radhanath_Swami_-_2002-10-01_Kiev.mp3", "2002_Evening_Lecture_Radhanath_Swami_-_2002-10-01_Kiev.mp3")</f>
        <v>2002_Evening_Lecture_Radhanath_Swami_-_2002-10-01_Kiev.mp3</v>
      </c>
      <c r="D6098" s="11"/>
      <c r="E6098" s="11"/>
    </row>
    <row r="6099" spans="1:5">
      <c r="A6099" s="12" t="s">
        <v>12773</v>
      </c>
      <c r="B6099" s="12" t="s">
        <v>18282</v>
      </c>
      <c r="C6099" s="13" t="str">
        <f>HYPERLINK("https://audio.iskcondesiretree.com/02_-_ISKCON_Swamis/ISKCON_Swamis_-_R_to_Y/His_Holiness_Radhanath_Swami/Lectures/Russian_Translation/Yearwise/2002/2002_Initiation_Radhanath_Swami_-_2002-09-30_Moscow.mp3", "2002_Initiation_Radhanath_Swami_-_2002-09-30_Moscow.mp3")</f>
        <v>2002_Initiation_Radhanath_Swami_-_2002-09-30_Moscow.mp3</v>
      </c>
      <c r="D6099" s="11"/>
      <c r="E6099" s="11"/>
    </row>
    <row r="6100" spans="1:5">
      <c r="A6100" s="12" t="s">
        <v>12773</v>
      </c>
      <c r="B6100" s="12" t="s">
        <v>18283</v>
      </c>
      <c r="C6100" s="13" t="str">
        <f>HYPERLINK("https://audio.iskcondesiretree.com/02_-_ISKCON_Swamis/ISKCON_Swamis_-_R_to_Y/His_Holiness_Radhanath_Swami/Lectures/Russian_Translation/Yearwise/2002/2002_Lecture_Radhanath_Swami_-_2002-10-05_Divnomorsk.mp3", "2002_Lecture_Radhanath_Swami_-_2002-10-05_Divnomorsk.mp3")</f>
        <v>2002_Lecture_Radhanath_Swami_-_2002-10-05_Divnomorsk.mp3</v>
      </c>
      <c r="D6100" s="11"/>
      <c r="E6100" s="11"/>
    </row>
    <row r="6101" spans="1:5">
      <c r="A6101" s="12" t="s">
        <v>12773</v>
      </c>
      <c r="B6101" s="12" t="s">
        <v>18284</v>
      </c>
      <c r="C6101" s="13" t="str">
        <f>HYPERLINK("https://audio.iskcondesiretree.com/02_-_ISKCON_Swamis/ISKCON_Swamis_-_R_to_Y/His_Holiness_Radhanath_Swami/Lectures/Russian_Translation/Yearwise/2002/2002_Lecture_Srila_Prabhupada_in_America_Radhanath_Swami_-_2002-10-06_Divnomorsk.mp3", "2002_Lecture_Srila_Prabhupada_in_America_Radhanath_Swami_-_2002-10-06_Divnomorsk.mp3")</f>
        <v>2002_Lecture_Srila_Prabhupada_in_America_Radhanath_Swami_-_2002-10-06_Divnomorsk.mp3</v>
      </c>
      <c r="D6101" s="11"/>
      <c r="E6101" s="11"/>
    </row>
    <row r="6102" spans="1:5">
      <c r="A6102" s="12" t="s">
        <v>12773</v>
      </c>
      <c r="B6102" s="12" t="s">
        <v>18285</v>
      </c>
      <c r="C6102" s="13" t="str">
        <f>HYPERLINK("https://audio.iskcondesiretree.com/02_-_ISKCON_Swamis/ISKCON_Swamis_-_R_to_Y/His_Holiness_Radhanath_Swami/Lectures/Russian_Translation/Yearwise/2002/2002_Lecture_Srila_Prabhupada_in_America_Radhanath_Swami_-_2002-10-07_Divnomorsk.mp3", "2002_Lecture_Srila_Prabhupada_in_America_Radhanath_Swami_-_2002-10-07_Divnomorsk.mp3")</f>
        <v>2002_Lecture_Srila_Prabhupada_in_America_Radhanath_Swami_-_2002-10-07_Divnomorsk.mp3</v>
      </c>
      <c r="D6102" s="11"/>
      <c r="E6102" s="11"/>
    </row>
    <row r="6103" spans="1:5">
      <c r="A6103" s="12" t="s">
        <v>12773</v>
      </c>
      <c r="B6103" s="12" t="s">
        <v>18286</v>
      </c>
      <c r="C6103" s="13" t="str">
        <f>HYPERLINK("https://audio.iskcondesiretree.com/02_-_ISKCON_Swamis/ISKCON_Swamis_-_R_to_Y/His_Holiness_Radhanath_Swami/Lectures/Russian_Translation/Yearwise/2002/2002_SB_03-25-20_Radhanath_Swami_-_2002-09-26_Moscow.mp3", "2002_SB_03-25-20_Radhanath_Swami_-_2002-09-26_Moscow.mp3")</f>
        <v>2002_SB_03-25-20_Radhanath_Swami_-_2002-09-26_Moscow.mp3</v>
      </c>
      <c r="D6103" s="11"/>
      <c r="E6103" s="11"/>
    </row>
    <row r="6104" spans="1:5">
      <c r="A6104" s="12" t="s">
        <v>12773</v>
      </c>
      <c r="B6104" s="12" t="s">
        <v>18287</v>
      </c>
      <c r="C6104" s="13" t="str">
        <f>HYPERLINK("https://audio.iskcondesiretree.com/02_-_ISKCON_Swamis/ISKCON_Swamis_-_R_to_Y/His_Holiness_Radhanath_Swami/Lectures/Russian_Translation/Yearwise/2002/2002_SB_03-25-21_Radhanath_Swami_-_2002-09-27_Moscow.mp3", "2002_SB_03-25-21_Radhanath_Swami_-_2002-09-27_Moscow.mp3")</f>
        <v>2002_SB_03-25-21_Radhanath_Swami_-_2002-09-27_Moscow.mp3</v>
      </c>
      <c r="D6104" s="11"/>
      <c r="E6104" s="11"/>
    </row>
    <row r="6105" spans="1:5">
      <c r="A6105" s="12" t="s">
        <v>12773</v>
      </c>
      <c r="B6105" s="12" t="s">
        <v>18288</v>
      </c>
      <c r="C6105" s="13" t="str">
        <f>HYPERLINK("https://audio.iskcondesiretree.com/02_-_ISKCON_Swamis/ISKCON_Swamis_-_R_to_Y/His_Holiness_Radhanath_Swami/Lectures/Russian_Translation/Yearwise/2002/2002_SB_03-25-22_Radhanath_Swami_-_2002-09-28_Moscow.mp3", "2002_SB_03-25-22_Radhanath_Swami_-_2002-09-28_Moscow.mp3")</f>
        <v>2002_SB_03-25-22_Radhanath_Swami_-_2002-09-28_Moscow.mp3</v>
      </c>
      <c r="D6105" s="11"/>
      <c r="E6105" s="11"/>
    </row>
    <row r="6106" spans="1:5">
      <c r="A6106" s="12" t="s">
        <v>12773</v>
      </c>
      <c r="B6106" s="12" t="s">
        <v>18289</v>
      </c>
      <c r="C6106" s="13" t="str">
        <f>HYPERLINK("https://audio.iskcondesiretree.com/02_-_ISKCON_Swamis/ISKCON_Swamis_-_R_to_Y/His_Holiness_Radhanath_Swami/Lectures/Russian_Translation/Yearwise/2002/2002_SB_03-25-23_Radhanath_Swami_-_2002-09-29_Moscow.mp3", "2002_SB_03-25-23_Radhanath_Swami_-_2002-09-29_Moscow.mp3")</f>
        <v>2002_SB_03-25-23_Radhanath_Swami_-_2002-09-29_Moscow.mp3</v>
      </c>
      <c r="D6106" s="11"/>
      <c r="E6106" s="11"/>
    </row>
    <row r="6107" spans="1:5">
      <c r="A6107" s="12" t="s">
        <v>12773</v>
      </c>
      <c r="B6107" s="12" t="s">
        <v>18290</v>
      </c>
      <c r="C6107" s="13" t="str">
        <f>HYPERLINK("https://audio.iskcondesiretree.com/02_-_ISKCON_Swamis/ISKCON_Swamis_-_R_to_Y/His_Holiness_Radhanath_Swami/Lectures/Russian_Translation/Yearwise/2002/2002_SB_03-25-24_Radhanath_Swami_-_2002-09-30_Moscow.mp3", "2002_SB_03-25-24_Radhanath_Swami_-_2002-09-30_Moscow.mp3")</f>
        <v>2002_SB_03-25-24_Radhanath_Swami_-_2002-09-30_Moscow.mp3</v>
      </c>
      <c r="D6107" s="11"/>
      <c r="E6107" s="11"/>
    </row>
    <row r="6108" spans="1:5">
      <c r="A6108" s="12" t="s">
        <v>12773</v>
      </c>
      <c r="B6108" s="12" t="s">
        <v>18291</v>
      </c>
      <c r="C6108" s="13" t="str">
        <f>HYPERLINK("https://audio.iskcondesiretree.com/02_-_ISKCON_Swamis/ISKCON_Swamis_-_R_to_Y/His_Holiness_Radhanath_Swami/Lectures/Russian_Translation/Yearwise/2002/2002_SB_03-25-25_Radhanath_Swami_-_2002-10-03_Kiev.mp3", "2002_SB_03-25-25_Radhanath_Swami_-_2002-10-03_Kiev.mp3")</f>
        <v>2002_SB_03-25-25_Radhanath_Swami_-_2002-10-03_Kiev.mp3</v>
      </c>
      <c r="D6108" s="11"/>
      <c r="E6108" s="11"/>
    </row>
    <row r="6109" spans="1:5">
      <c r="A6109" s="12" t="s">
        <v>12773</v>
      </c>
      <c r="B6109" s="12" t="s">
        <v>18292</v>
      </c>
      <c r="C6109" s="13" t="str">
        <f>HYPERLINK("https://audio.iskcondesiretree.com/02_-_ISKCON_Swamis/ISKCON_Swamis_-_R_to_Y/His_Holiness_Radhanath_Swami/Lectures/Russian_Translation/Yearwise/2002/2002_SB_03-25-26_Radhanath_Swami_-_2002-10-04_Kiev.mp3", "2002_SB_03-25-26_Radhanath_Swami_-_2002-10-04_Kiev.mp3")</f>
        <v>2002_SB_03-25-26_Radhanath_Swami_-_2002-10-04_Kiev.mp3</v>
      </c>
      <c r="D6109" s="11"/>
      <c r="E6109" s="11"/>
    </row>
    <row r="6110" spans="1:5">
      <c r="A6110" s="12" t="s">
        <v>12773</v>
      </c>
      <c r="B6110" s="12" t="s">
        <v>18293</v>
      </c>
      <c r="C6110" s="13" t="str">
        <f>HYPERLINK("https://audio.iskcondesiretree.com/02_-_ISKCON_Swamis/ISKCON_Swamis_-_R_to_Y/His_Holiness_Radhanath_Swami/Lectures/Russian_Translation/Yearwise/2002/2002_SB_08-07-24_Radhanath_Swami_-_2002-10-02_Kiev.mp3", "2002_SB_08-07-24_Radhanath_Swami_-_2002-10-02_Kiev.mp3")</f>
        <v>2002_SB_08-07-24_Radhanath_Swami_-_2002-10-02_Kiev.mp3</v>
      </c>
      <c r="D6110" s="11"/>
      <c r="E6110" s="11"/>
    </row>
    <row r="6111" spans="1:5">
      <c r="A6111" s="12" t="s">
        <v>12773</v>
      </c>
      <c r="B6111" s="12" t="s">
        <v>18294</v>
      </c>
      <c r="C6111" s="13" t="str">
        <f>HYPERLINK("https://audio.iskcondesiretree.com/02_-_ISKCON_Swamis/ISKCON_Swamis_-_R_to_Y/His_Holiness_Radhanath_Swami/Lectures/Russian_Translation/Yearwise/2003/2003-10-17_Various_-_About_the_temple_in_Moscow_-_Radhanath_Swami_Moscow.MP3", "2003-10-17_Various_-_About_the_temple_in_Moscow_-_Radhanath_Swami_Moscow.MP3")</f>
        <v>2003-10-17_Various_-_About_the_temple_in_Moscow_-_Radhanath_Swami_Moscow.MP3</v>
      </c>
      <c r="D6111" s="11"/>
      <c r="E6111" s="11"/>
    </row>
    <row r="6112" spans="1:5">
      <c r="A6112" s="12" t="s">
        <v>12773</v>
      </c>
      <c r="B6112" s="12" t="s">
        <v>18295</v>
      </c>
      <c r="C6112" s="13" t="str">
        <f>HYPERLINK("https://audio.iskcondesiretree.com/02_-_ISKCON_Swamis/ISKCON_Swamis_-_R_to_Y/His_Holiness_Radhanath_Swami/Lectures/Russian_Translation/Yearwise/2003/2003_BG_02-60_Radhanath_Swami_-_2003-10-14_Moscow.mp3", "2003_BG_02-60_Radhanath_Swami_-_2003-10-14_Moscow.mp3")</f>
        <v>2003_BG_02-60_Radhanath_Swami_-_2003-10-14_Moscow.mp3</v>
      </c>
      <c r="D6112" s="11"/>
      <c r="E6112" s="11"/>
    </row>
    <row r="6113" spans="1:5">
      <c r="A6113" s="12" t="s">
        <v>12773</v>
      </c>
      <c r="B6113" s="12" t="s">
        <v>18296</v>
      </c>
      <c r="C6113" s="13" t="str">
        <f>HYPERLINK("https://audio.iskcondesiretree.com/02_-_ISKCON_Swamis/ISKCON_Swamis_-_R_to_Y/His_Holiness_Radhanath_Swami/Lectures/Russian_Translation/Yearwise/2003/2003_Darsan_Damodara_lila_Radhanath_Swami_-_2003-10-13_Moscow.MP3", "2003_Darsan_Damodara_lila_Radhanath_Swami_-_2003-10-13_Moscow.MP3")</f>
        <v>2003_Darsan_Damodara_lila_Radhanath_Swami_-_2003-10-13_Moscow.MP3</v>
      </c>
      <c r="D6113" s="11"/>
      <c r="E6113" s="11"/>
    </row>
    <row r="6114" spans="1:5">
      <c r="A6114" s="12" t="s">
        <v>12773</v>
      </c>
      <c r="B6114" s="12" t="s">
        <v>18297</v>
      </c>
      <c r="C6114" s="13" t="str">
        <f>HYPERLINK("https://audio.iskcondesiretree.com/02_-_ISKCON_Swamis/ISKCON_Swamis_-_R_to_Y/His_Holiness_Radhanath_Swami/Lectures/Russian_Translation/Yearwise/2003/2003_Glorification_Ambarisa_prabhu_Radhanath_Swami_-_2003-10-17_Moscow.mp3", "2003_Glorification_Ambarisa_prabhu_Radhanath_Swami_-_2003-10-17_Moscow.mp3")</f>
        <v>2003_Glorification_Ambarisa_prabhu_Radhanath_Swami_-_2003-10-17_Moscow.mp3</v>
      </c>
      <c r="D6114" s="11"/>
      <c r="E6114" s="11"/>
    </row>
    <row r="6115" spans="1:5">
      <c r="A6115" s="12" t="s">
        <v>12773</v>
      </c>
      <c r="B6115" s="12" t="s">
        <v>18298</v>
      </c>
      <c r="C6115" s="13" t="str">
        <f>HYPERLINK("https://audio.iskcondesiretree.com/02_-_ISKCON_Swamis/ISKCON_Swamis_-_R_to_Y/His_Holiness_Radhanath_Swami/Lectures/Russian_Translation/Yearwise/2003/2003_Lecture_on_iniciation_Radhanath_Swami_-_2003-10-17_Moscow.mp3", "2003_Lecture_on_iniciation_Radhanath_Swami_-_2003-10-17_Moscow.mp3")</f>
        <v>2003_Lecture_on_iniciation_Radhanath_Swami_-_2003-10-17_Moscow.mp3</v>
      </c>
      <c r="D6115" s="11"/>
      <c r="E6115" s="11"/>
    </row>
    <row r="6116" spans="1:5">
      <c r="A6116" s="12" t="s">
        <v>12773</v>
      </c>
      <c r="B6116" s="12" t="s">
        <v>18299</v>
      </c>
      <c r="C6116" s="13" t="str">
        <f>HYPERLINK("https://audio.iskcondesiretree.com/02_-_ISKCON_Swamis/ISKCON_Swamis_-_R_to_Y/His_Holiness_Radhanath_Swami/Lectures/Russian_Translation/Yearwise/2003/2003_Narottama_das_Thakur_Radhanath_Swami_-_2003-10-15_Moscow.mp3", "2003_Narottama_das_Thakur_Radhanath_Swami_-_2003-10-15_Moscow.mp3")</f>
        <v>2003_Narottama_das_Thakur_Radhanath_Swami_-_2003-10-15_Moscow.mp3</v>
      </c>
      <c r="D6116" s="11"/>
      <c r="E6116" s="11"/>
    </row>
    <row r="6117" spans="1:5">
      <c r="A6117" s="12" t="s">
        <v>12773</v>
      </c>
      <c r="B6117" s="12" t="s">
        <v>18300</v>
      </c>
      <c r="C6117" s="13" t="str">
        <f>HYPERLINK("https://audio.iskcondesiretree.com/02_-_ISKCON_Swamis/ISKCON_Swamis_-_R_to_Y/His_Holiness_Radhanath_Swami/Lectures/Russian_Translation/Yearwise/2003/2003_NRS_%26_RNS_Q_%26_A_Radhanath_Swami_-_2003-10-16_Moscow.mp3", "2003_NRS_%26_RNS_Q_%26_A_Radhanath_Swami_-_2003-10-16_Moscow.mp3")</f>
        <v>2003_NRS_%26_RNS_Q_%26_A_Radhanath_Swami_-_2003-10-16_Moscow.mp3</v>
      </c>
      <c r="D6117" s="11"/>
      <c r="E6117" s="11"/>
    </row>
    <row r="6118" spans="1:5">
      <c r="A6118" s="12" t="s">
        <v>12773</v>
      </c>
      <c r="B6118" s="12" t="s">
        <v>18301</v>
      </c>
      <c r="C6118" s="13" t="str">
        <f>HYPERLINK("https://audio.iskcondesiretree.com/02_-_ISKCON_Swamis/ISKCON_Swamis_-_R_to_Y/His_Holiness_Radhanath_Swami/Lectures/Russian_Translation/Yearwise/2003/2003_SB_07-09-38_Predicting_the_arrival_of_Sri_Caitanya_Radhanath_Swami_-_2003-10-14_Moscow.mp3", "2003_SB_07-09-38_Predicting_the_arrival_of_Sri_Caitanya_Radhanath_Swami_-_2003-10-14_Moscow.mp3")</f>
        <v>2003_SB_07-09-38_Predicting_the_arrival_of_Sri_Caitanya_Radhanath_Swami_-_2003-10-14_Moscow.mp3</v>
      </c>
      <c r="D6118" s="11"/>
      <c r="E6118" s="11"/>
    </row>
    <row r="6119" spans="1:5">
      <c r="A6119" s="12" t="s">
        <v>12773</v>
      </c>
      <c r="B6119" s="12" t="s">
        <v>18302</v>
      </c>
      <c r="C6119" s="13" t="str">
        <f>HYPERLINK("https://audio.iskcondesiretree.com/02_-_ISKCON_Swamis/ISKCON_Swamis_-_R_to_Y/His_Holiness_Radhanath_Swami/Lectures/Russian_Translation/Yearwise/2003/2003_SB_07-09-39_Radhanath_Swami_-_2003-10-15_Moscow.mp3", "2003_SB_07-09-39_Radhanath_Swami_-_2003-10-15_Moscow.mp3")</f>
        <v>2003_SB_07-09-39_Radhanath_Swami_-_2003-10-15_Moscow.mp3</v>
      </c>
      <c r="D6119" s="11"/>
      <c r="E6119" s="11"/>
    </row>
    <row r="6120" spans="1:5">
      <c r="A6120" s="12" t="s">
        <v>12773</v>
      </c>
      <c r="B6120" s="12" t="s">
        <v>18303</v>
      </c>
      <c r="C6120" s="13" t="str">
        <f>HYPERLINK("https://audio.iskcondesiretree.com/02_-_ISKCON_Swamis/ISKCON_Swamis_-_R_to_Y/His_Holiness_Radhanath_Swami/Lectures/Russian_Translation/Yearwise/2003/2003_SB_07-09-40_Radhanath_Swami_-_2003-10-16_Moscow.MP3", "2003_SB_07-09-40_Radhanath_Swami_-_2003-10-16_Moscow.MP3")</f>
        <v>2003_SB_07-09-40_Radhanath_Swami_-_2003-10-16_Moscow.MP3</v>
      </c>
      <c r="D6120" s="11"/>
      <c r="E6120" s="11"/>
    </row>
    <row r="6121" spans="1:5">
      <c r="A6121" s="12" t="s">
        <v>12773</v>
      </c>
      <c r="B6121" s="12" t="s">
        <v>18304</v>
      </c>
      <c r="C6121" s="13" t="str">
        <f>HYPERLINK("https://audio.iskcondesiretree.com/02_-_ISKCON_Swamis/ISKCON_Swamis_-_R_to_Y/His_Holiness_Radhanath_Swami/Lectures/Russian_Translation/Yearwise/2003/2003_SB_07-09-41_Compassion_for_Prahlada_and_Sri_Chaitanya_Radhanath_swami_-_2003-10-17_Moscow.MP3", "2003_SB_07-09-41_Compassion_for_Prahlada_and_Sri_Chaitanya_Radhanath_swami_-_2003-10-17_Moscow.MP3")</f>
        <v>2003_SB_07-09-41_Compassion_for_Prahlada_and_Sri_Chaitanya_Radhanath_swami_-_2003-10-17_Moscow.MP3</v>
      </c>
      <c r="D6121" s="11"/>
      <c r="E6121" s="11"/>
    </row>
    <row r="6122" spans="1:5">
      <c r="A6122" s="12" t="s">
        <v>12773</v>
      </c>
      <c r="B6122" s="12" t="s">
        <v>18305</v>
      </c>
      <c r="C6122" s="13" t="str">
        <f>HYPERLINK("https://audio.iskcondesiretree.com/02_-_ISKCON_Swamis/ISKCON_Swamis_-_R_to_Y/His_Holiness_Radhanath_Swami/Lectures/Russian_Translation/Yearwise/2004/2004-11-22_-_Ghana_Shyam_Baba%27s_story_-_Radhanath_Swami.mp3", "2004-11-22_-_Ghana_Shyam_Baba%27s_story_-_Radhanath_Swami.mp3")</f>
        <v>2004-11-22_-_Ghana_Shyam_Baba%27s_story_-_Radhanath_Swami.mp3</v>
      </c>
      <c r="D6122" s="11"/>
      <c r="E6122" s="11"/>
    </row>
    <row r="6123" spans="1:5">
      <c r="A6123" s="12" t="s">
        <v>12773</v>
      </c>
      <c r="B6123" s="12" t="s">
        <v>18306</v>
      </c>
      <c r="C6123" s="13" t="str">
        <f>HYPERLINK("https://audio.iskcondesiretree.com/02_-_ISKCON_Swamis/ISKCON_Swamis_-_R_to_Y/His_Holiness_Radhanath_Swami/Lectures/Russian_Translation/Yearwise/2004/2004_-_Darshan_Radhanath_Swami_2004-10-03_Divnomorsk.mp3", "2004_-_Darshan_Radhanath_Swami_2004-10-03_Divnomorsk.mp3")</f>
        <v>2004_-_Darshan_Radhanath_Swami_2004-10-03_Divnomorsk.mp3</v>
      </c>
      <c r="D6123" s="11"/>
      <c r="E6123" s="11"/>
    </row>
    <row r="6124" spans="1:5">
      <c r="A6124" s="12" t="s">
        <v>12773</v>
      </c>
      <c r="B6124" s="12" t="s">
        <v>18307</v>
      </c>
      <c r="C6124" s="13" t="str">
        <f>HYPERLINK("https://audio.iskcondesiretree.com/02_-_ISKCON_Swamis/ISKCON_Swamis_-_R_to_Y/His_Holiness_Radhanath_Swami/Lectures/Russian_Translation/Yearwise/2004/2004_01_Lecture_in_Moscow_Radhanath_Swami_-_2004-10-07.mp3", "2004_01_Lecture_in_Moscow_Radhanath_Swami_-_2004-10-07.mp3")</f>
        <v>2004_01_Lecture_in_Moscow_Radhanath_Swami_-_2004-10-07.mp3</v>
      </c>
      <c r="D6124" s="11"/>
      <c r="E6124" s="11"/>
    </row>
    <row r="6125" spans="1:5">
      <c r="A6125" s="12" t="s">
        <v>12773</v>
      </c>
      <c r="B6125" s="12" t="s">
        <v>18308</v>
      </c>
      <c r="C6125" s="13" t="str">
        <f>HYPERLINK("https://audio.iskcondesiretree.com/02_-_ISKCON_Swamis/ISKCON_Swamis_-_R_to_Y/His_Holiness_Radhanath_Swami/Lectures/Russian_Translation/Yearwise/2004/2004_01_Leela_Krishna_in_Vrindavan_Radhanath_Swami_-_2004-10-05_Divnomorsk.mp3", "2004_01_Leela_Krishna_in_Vrindavan_Radhanath_Swami_-_2004-10-05_Divnomorsk.mp3")</f>
        <v>2004_01_Leela_Krishna_in_Vrindavan_Radhanath_Swami_-_2004-10-05_Divnomorsk.mp3</v>
      </c>
      <c r="D6125" s="11"/>
      <c r="E6125" s="11"/>
    </row>
    <row r="6126" spans="1:5">
      <c r="A6126" s="12" t="s">
        <v>12773</v>
      </c>
      <c r="B6126" s="12" t="s">
        <v>18309</v>
      </c>
      <c r="C6126" s="13" t="str">
        <f>HYPERLINK("https://audio.iskcondesiretree.com/02_-_ISKCON_Swamis/ISKCON_Swamis_-_R_to_Y/His_Holiness_Radhanath_Swami/Lectures/Russian_Translation/Yearwise/2004/2004_02_Lecture_about_the_importance_of_SK_Radhanath_Swami_-_2004-10-07_Moscow.mp3", "2004_02_Lecture_about_the_importance_of_SK_Radhanath_Swami_-_2004-10-07_Moscow.mp3")</f>
        <v>2004_02_Lecture_about_the_importance_of_SK_Radhanath_Swami_-_2004-10-07_Moscow.mp3</v>
      </c>
      <c r="D6126" s="11"/>
      <c r="E6126" s="11"/>
    </row>
    <row r="6127" spans="1:5">
      <c r="A6127" s="12" t="s">
        <v>12773</v>
      </c>
      <c r="B6127" s="12" t="s">
        <v>18310</v>
      </c>
      <c r="C6127" s="13" t="str">
        <f>HYPERLINK("https://audio.iskcondesiretree.com/02_-_ISKCON_Swamis/ISKCON_Swamis_-_R_to_Y/His_Holiness_Radhanath_Swami/Lectures/Russian_Translation/Yearwise/2004/2004_02_Story_of_a_meeting_with_Srila_Prabhupada_in_Vrindavan_Radhanath_Swami_-_2004-10-05_Divnomorsk.mp3", "2004_02_Story_of_a_meeting_with_Srila_Prabhupada_in_Vrindavan_Radhanath_Swami_-_2004-10-05_Divnomorsk.mp3")</f>
        <v>2004_02_Story_of_a_meeting_with_Srila_Prabhupada_in_Vrindavan_Radhanath_Swami_-_2004-10-05_Divnomorsk.mp3</v>
      </c>
      <c r="D6127" s="11"/>
      <c r="E6127" s="11"/>
    </row>
    <row r="6128" spans="1:5">
      <c r="A6128" s="12" t="s">
        <v>12773</v>
      </c>
      <c r="B6128" s="12" t="s">
        <v>18311</v>
      </c>
      <c r="C6128" s="13" t="str">
        <f>HYPERLINK("https://audio.iskcondesiretree.com/02_-_ISKCON_Swamis/ISKCON_Swamis_-_R_to_Y/His_Holiness_Radhanath_Swami/Lectures/Russian_Translation/Yearwise/2004/2004_Before_Nam_yagey_Radhanath_Swami_-_2004-10-05_Divnomorsk.mp3", "2004_Before_Nam_yagey_Radhanath_Swami_-_2004-10-05_Divnomorsk.mp3")</f>
        <v>2004_Before_Nam_yagey_Radhanath_Swami_-_2004-10-05_Divnomorsk.mp3</v>
      </c>
      <c r="D6128" s="11"/>
      <c r="E6128" s="11"/>
    </row>
    <row r="6129" spans="1:5">
      <c r="A6129" s="12" t="s">
        <v>12773</v>
      </c>
      <c r="B6129" s="12" t="s">
        <v>18312</v>
      </c>
      <c r="C6129" s="13" t="str">
        <f>HYPERLINK("https://audio.iskcondesiretree.com/02_-_ISKCON_Swamis/ISKCON_Swamis_-_R_to_Y/His_Holiness_Radhanath_Swami/Lectures/Russian_Translation/Yearwise/2004/2004_BG_03-31_The_history_of_the_airport_Radhanath_Swami_-_2004-10-08_Moscow.mp3", "2004_BG_03-31_The_history_of_the_airport_Radhanath_Swami_-_2004-10-08_Moscow.mp3")</f>
        <v>2004_BG_03-31_The_history_of_the_airport_Radhanath_Swami_-_2004-10-08_Moscow.mp3</v>
      </c>
      <c r="D6129" s="11"/>
      <c r="E6129" s="11"/>
    </row>
    <row r="6130" spans="1:5">
      <c r="A6130" s="12" t="s">
        <v>12773</v>
      </c>
      <c r="B6130" s="12" t="s">
        <v>18313</v>
      </c>
      <c r="C6130" s="13" t="str">
        <f>HYPERLINK("https://audio.iskcondesiretree.com/02_-_ISKCON_Swamis/ISKCON_Swamis_-_R_to_Y/His_Holiness_Radhanath_Swami/Lectures/Russian_Translation/Yearwise/2004/2004_Bhaktivinoda_Thakura_Radhanath_Swami_-_2004-09-26_Kiev.mp3", "2004_Bhaktivinoda_Thakura_Radhanath_Swami_-_2004-09-26_Kiev.mp3")</f>
        <v>2004_Bhaktivinoda_Thakura_Radhanath_Swami_-_2004-09-26_Kiev.mp3</v>
      </c>
      <c r="D6130" s="11"/>
      <c r="E6130" s="11"/>
    </row>
    <row r="6131" spans="1:5">
      <c r="A6131" s="12" t="s">
        <v>12773</v>
      </c>
      <c r="B6131" s="12" t="s">
        <v>18314</v>
      </c>
      <c r="C6131" s="13" t="str">
        <f>HYPERLINK("https://audio.iskcondesiretree.com/02_-_ISKCON_Swamis/ISKCON_Swamis_-_R_to_Y/His_Holiness_Radhanath_Swami/Lectures/Russian_Translation/Yearwise/2004/2004_Darshan_01_Appreciate_family_Vaishnava_Radhanath_Swami_-_2004-09-27_Kiev.mp3", "2004_Darshan_01_Appreciate_family_Vaishnava_Radhanath_Swami_-_2004-09-27_Kiev.mp3")</f>
        <v>2004_Darshan_01_Appreciate_family_Vaishnava_Radhanath_Swami_-_2004-09-27_Kiev.mp3</v>
      </c>
      <c r="D6131" s="11"/>
      <c r="E6131" s="11"/>
    </row>
    <row r="6132" spans="1:5">
      <c r="A6132" s="12" t="s">
        <v>12773</v>
      </c>
      <c r="B6132" s="12" t="s">
        <v>18315</v>
      </c>
      <c r="C6132" s="13" t="str">
        <f>HYPERLINK("https://audio.iskcondesiretree.com/02_-_ISKCON_Swamis/ISKCON_Swamis_-_R_to_Y/His_Holiness_Radhanath_Swami/Lectures/Russian_Translation/Yearwise/2004/2004_Darshan_01_History_and_Qureshi_and_Raghunatha_Radhanath_Swami_-_2004-10-04_Divnomorsk.mp3", "2004_Darshan_01_History_and_Qureshi_and_Raghunatha_Radhanath_Swami_-_2004-10-04_Divnomorsk.mp3")</f>
        <v>2004_Darshan_01_History_and_Qureshi_and_Raghunatha_Radhanath_Swami_-_2004-10-04_Divnomorsk.mp3</v>
      </c>
      <c r="D6132" s="11"/>
      <c r="E6132" s="11"/>
    </row>
    <row r="6133" spans="1:5">
      <c r="A6133" s="12" t="s">
        <v>12773</v>
      </c>
      <c r="B6133" s="12" t="s">
        <v>18316</v>
      </c>
      <c r="C6133" s="13" t="str">
        <f>HYPERLINK("https://audio.iskcondesiretree.com/02_-_ISKCON_Swamis/ISKCON_Swamis_-_R_to_Y/His_Holiness_Radhanath_Swami/Lectures/Russian_Translation/Yearwise/2004/2004_Darshan_02_Continuation_of_answers_Radhanath_Swami_-_2004-09-27_Kiev.mp3", "2004_Darshan_02_Continuation_of_answers_Radhanath_Swami_-_2004-09-27_Kiev.mp3")</f>
        <v>2004_Darshan_02_Continuation_of_answers_Radhanath_Swami_-_2004-09-27_Kiev.mp3</v>
      </c>
      <c r="D6133" s="11"/>
      <c r="E6133" s="11"/>
    </row>
    <row r="6134" spans="1:5">
      <c r="A6134" s="12" t="s">
        <v>12773</v>
      </c>
      <c r="B6134" s="12" t="s">
        <v>18317</v>
      </c>
      <c r="C6134" s="13" t="str">
        <f>HYPERLINK("https://audio.iskcondesiretree.com/02_-_ISKCON_Swamis/ISKCON_Swamis_-_R_to_Y/His_Holiness_Radhanath_Swami/Lectures/Russian_Translation/Yearwise/2004/2004_Darshan_02_The_answer_to_the_question_Navin_Ave_N_Radhanath_Swami_-_2004-10-04_Divnomorsk.mp3", "2004_Darshan_02_The_answer_to_the_question_Navin_Ave_N_Radhanath_Swami_-_2004-10-04_Divnomorsk.mp3")</f>
        <v>2004_Darshan_02_The_answer_to_the_question_Navin_Ave_N_Radhanath_Swami_-_2004-10-04_Divnomorsk.mp3</v>
      </c>
      <c r="D6134" s="11"/>
      <c r="E6134" s="11"/>
    </row>
    <row r="6135" spans="1:5">
      <c r="A6135" s="12" t="s">
        <v>12773</v>
      </c>
      <c r="B6135" s="12" t="s">
        <v>18318</v>
      </c>
      <c r="C6135" s="13" t="str">
        <f>HYPERLINK("https://audio.iskcondesiretree.com/02_-_ISKCON_Swamis/ISKCON_Swamis_-_R_to_Y/His_Holiness_Radhanath_Swami/Lectures/Russian_Translation/Yearwise/2004/2004_Darshan_Great_blind_Vaishnavas_Radhanath_Swami_-_2004-10-02_Divnomorsk.mp3", "2004_Darshan_Great_blind_Vaishnavas_Radhanath_Swami_-_2004-10-02_Divnomorsk.mp3")</f>
        <v>2004_Darshan_Great_blind_Vaishnavas_Radhanath_Swami_-_2004-10-02_Divnomorsk.mp3</v>
      </c>
      <c r="D6135" s="11"/>
      <c r="E6135" s="11"/>
    </row>
    <row r="6136" spans="1:5">
      <c r="A6136" s="12" t="s">
        <v>12773</v>
      </c>
      <c r="B6136" s="12" t="s">
        <v>18319</v>
      </c>
      <c r="C6136" s="13" t="str">
        <f>HYPERLINK("https://audio.iskcondesiretree.com/02_-_ISKCON_Swamis/ISKCON_Swamis_-_R_to_Y/His_Holiness_Radhanath_Swami/Lectures/Russian_Translation/Yearwise/2004/2004_Glory_to_Srila_Prabhupada_Radhanath_Swami_-_2004-10-04_Divnomorsk.mp3", "2004_Glory_to_Srila_Prabhupada_Radhanath_Swami_-_2004-10-04_Divnomorsk.mp3")</f>
        <v>2004_Glory_to_Srila_Prabhupada_Radhanath_Swami_-_2004-10-04_Divnomorsk.mp3</v>
      </c>
      <c r="D6136" s="11"/>
      <c r="E6136" s="11"/>
    </row>
    <row r="6137" spans="1:5">
      <c r="A6137" s="12" t="s">
        <v>12773</v>
      </c>
      <c r="B6137" s="12" t="s">
        <v>18320</v>
      </c>
      <c r="C6137" s="13" t="str">
        <f>HYPERLINK("https://audio.iskcondesiretree.com/02_-_ISKCON_Swamis/ISKCON_Swamis_-_R_to_Y/His_Holiness_Radhanath_Swami/Lectures/Russian_Translation/Yearwise/2004/2004_Krishna_lila_in_vrindavan_Radhanath_Swami_-_2004-10-01_Divnomorsk.mp3", "2004_Krishna_lila_in_vrindavan_Radhanath_Swami_-_2004-10-01_Divnomorsk.mp3")</f>
        <v>2004_Krishna_lila_in_vrindavan_Radhanath_Swami_-_2004-10-01_Divnomorsk.mp3</v>
      </c>
      <c r="D6137" s="11"/>
      <c r="E6137" s="11"/>
    </row>
    <row r="6138" spans="1:5">
      <c r="A6138" s="12" t="s">
        <v>12773</v>
      </c>
      <c r="B6138" s="12" t="s">
        <v>18321</v>
      </c>
      <c r="C6138" s="13" t="str">
        <f>HYPERLINK("https://audio.iskcondesiretree.com/02_-_ISKCON_Swamis/ISKCON_Swamis_-_R_to_Y/His_Holiness_Radhanath_Swami/Lectures/Russian_Translation/Yearwise/2004/2004_LDC_talks_about_the_qualities_of_PHC_Radhanath_Swami_-_2004-09-26_Kiev.mp3", "2004_LDC_talks_about_the_qualities_of_PHC_Radhanath_Swami_-_2004-09-26_Kiev.mp3")</f>
        <v>2004_LDC_talks_about_the_qualities_of_PHC_Radhanath_Swami_-_2004-09-26_Kiev.mp3</v>
      </c>
      <c r="D6138" s="11"/>
      <c r="E6138" s="11"/>
    </row>
    <row r="6139" spans="1:5">
      <c r="A6139" s="12" t="s">
        <v>12773</v>
      </c>
      <c r="B6139" s="12" t="s">
        <v>18322</v>
      </c>
      <c r="C6139" s="13" t="str">
        <f>HYPERLINK("https://audio.iskcondesiretree.com/02_-_ISKCON_Swamis/ISKCON_Swamis_-_R_to_Y/His_Holiness_Radhanath_Swami/Lectures/Russian_Translation/Yearwise/2004/2004_Lecture_at_the_initiation_Radhanath_Swami_-_2004-10-08_Moscow.mp3", "2004_Lecture_at_the_initiation_Radhanath_Swami_-_2004-10-08_Moscow.mp3")</f>
        <v>2004_Lecture_at_the_initiation_Radhanath_Swami_-_2004-10-08_Moscow.mp3</v>
      </c>
      <c r="D6139" s="11"/>
      <c r="E6139" s="11"/>
    </row>
    <row r="6140" spans="1:5">
      <c r="A6140" s="12" t="s">
        <v>12773</v>
      </c>
      <c r="B6140" s="12" t="s">
        <v>18323</v>
      </c>
      <c r="C6140" s="13" t="str">
        <f>HYPERLINK("https://audio.iskcondesiretree.com/02_-_ISKCON_Swamis/ISKCON_Swamis_-_R_to_Y/His_Holiness_Radhanath_Swami/Lectures/Russian_Translation/Yearwise/2004/2004_Lecture_before_initiating_Radhanath_Swami_-_2004-09-28_Kiev.mp3", "2004_Lecture_before_initiating_Radhanath_Swami_-_2004-09-28_Kiev.mp3")</f>
        <v>2004_Lecture_before_initiating_Radhanath_Swami_-_2004-09-28_Kiev.mp3</v>
      </c>
      <c r="D6140" s="11"/>
      <c r="E6140" s="11"/>
    </row>
    <row r="6141" spans="1:5">
      <c r="A6141" s="12" t="s">
        <v>12773</v>
      </c>
      <c r="B6141" s="12" t="s">
        <v>18324</v>
      </c>
      <c r="C6141" s="13" t="str">
        <f>HYPERLINK("https://audio.iskcondesiretree.com/02_-_ISKCON_Swamis/ISKCON_Swamis_-_R_to_Y/His_Holiness_Radhanath_Swami/Lectures/Russian_Translation/Yearwise/2004/2004_Leela_Krishna_and_Yashoda_Radhanath_Swami_-_2004-10-02_Divnomorsk.mp3", "2004_Leela_Krishna_and_Yashoda_Radhanath_Swami_-_2004-10-02_Divnomorsk.mp3")</f>
        <v>2004_Leela_Krishna_and_Yashoda_Radhanath_Swami_-_2004-10-02_Divnomorsk.mp3</v>
      </c>
      <c r="D6141" s="11"/>
      <c r="E6141" s="11"/>
    </row>
    <row r="6142" spans="1:5">
      <c r="A6142" s="12" t="s">
        <v>12773</v>
      </c>
      <c r="B6142" s="12" t="s">
        <v>18325</v>
      </c>
      <c r="C6142" s="13" t="str">
        <f>HYPERLINK("https://audio.iskcondesiretree.com/02_-_ISKCON_Swamis/ISKCON_Swamis_-_R_to_Y/His_Holiness_Radhanath_Swami/Lectures/Russian_Translation/Yearwise/2004/2004_Lila_of_Krishna_Gopi_and_Yashoda_Radhanath_Swami_-_2004-10-03_Divnomorsk.mp3", "2004_Lila_of_Krishna_Gopi_and_Yashoda_Radhanath_Swami_-_2004-10-03_Divnomorsk.mp3")</f>
        <v>2004_Lila_of_Krishna_Gopi_and_Yashoda_Radhanath_Swami_-_2004-10-03_Divnomorsk.mp3</v>
      </c>
      <c r="D6142" s="11"/>
      <c r="E6142" s="11"/>
    </row>
    <row r="6143" spans="1:5">
      <c r="A6143" s="12" t="s">
        <v>12773</v>
      </c>
      <c r="B6143" s="12" t="s">
        <v>18326</v>
      </c>
      <c r="C6143" s="13" t="str">
        <f>HYPERLINK("https://audio.iskcondesiretree.com/02_-_ISKCON_Swamis/ISKCON_Swamis_-_R_to_Y/His_Holiness_Radhanath_Swami/Lectures/Russian_Translation/Yearwise/2004/2004_O_Lord_Caitanya_Radhanath_Swami_-_2004-10-10_Moscow.mp3", "2004_O_Lord_Caitanya_Radhanath_Swami_-_2004-10-10_Moscow.mp3")</f>
        <v>2004_O_Lord_Caitanya_Radhanath_Swami_-_2004-10-10_Moscow.mp3</v>
      </c>
      <c r="D6143" s="11"/>
      <c r="E6143" s="11"/>
    </row>
    <row r="6144" spans="1:5">
      <c r="A6144" s="12" t="s">
        <v>12773</v>
      </c>
      <c r="B6144" s="12" t="s">
        <v>18327</v>
      </c>
      <c r="C6144" s="13" t="str">
        <f>HYPERLINK("https://audio.iskcondesiretree.com/02_-_ISKCON_Swamis/ISKCON_Swamis_-_R_to_Y/His_Holiness_Radhanath_Swami/Lectures/Russian_Translation/Yearwise/2004/2004_SB_01-04-06_History_Sukadeva_Goswami_Radhanath_Swami_-_2004-10-09_Moscow.mp3", "2004_SB_01-04-06_History_Sukadeva_Goswami_Radhanath_Swami_-_2004-10-09_Moscow.mp3")</f>
        <v>2004_SB_01-04-06_History_Sukadeva_Goswami_Radhanath_Swami_-_2004-10-09_Moscow.mp3</v>
      </c>
      <c r="D6144" s="11"/>
      <c r="E6144" s="11"/>
    </row>
    <row r="6145" spans="1:5">
      <c r="A6145" s="12" t="s">
        <v>12773</v>
      </c>
      <c r="B6145" s="12" t="s">
        <v>18328</v>
      </c>
      <c r="C6145" s="13" t="str">
        <f>HYPERLINK("https://audio.iskcondesiretree.com/02_-_ISKCON_Swamis/ISKCON_Swamis_-_R_to_Y/His_Holiness_Radhanath_Swami/Lectures/Russian_Translation/Yearwise/2004/2004_SB_01-04-07_Radhanath_Swami_-_2004-10-10_Moscow.mp3", "2004_SB_01-04-07_Radhanath_Swami_-_2004-10-10_Moscow.mp3")</f>
        <v>2004_SB_01-04-07_Radhanath_Swami_-_2004-10-10_Moscow.mp3</v>
      </c>
      <c r="D6145" s="11"/>
      <c r="E6145" s="11"/>
    </row>
    <row r="6146" spans="1:5">
      <c r="A6146" s="12" t="s">
        <v>12773</v>
      </c>
      <c r="B6146" s="12" t="s">
        <v>18329</v>
      </c>
      <c r="C6146" s="13" t="str">
        <f>HYPERLINK("https://audio.iskcondesiretree.com/02_-_ISKCON_Swamis/ISKCON_Swamis_-_R_to_Y/His_Holiness_Radhanath_Swami/Lectures/Russian_Translation/Yearwise/2004/2004_SB_10-03-13_KAMS_Vasudeva_and_Devaki_Radhanath_Swami_-_2004-09-25_Kiev.mp3", "2004_SB_10-03-13_KAMS_Vasudeva_and_Devaki_Radhanath_Swami_-_2004-09-25_Kiev.mp3")</f>
        <v>2004_SB_10-03-13_KAMS_Vasudeva_and_Devaki_Radhanath_Swami_-_2004-09-25_Kiev.mp3</v>
      </c>
      <c r="D6146" s="11"/>
      <c r="E6146" s="11"/>
    </row>
    <row r="6147" spans="1:5">
      <c r="A6147" s="12" t="s">
        <v>12773</v>
      </c>
      <c r="B6147" s="12" t="s">
        <v>18330</v>
      </c>
      <c r="C6147" s="13" t="str">
        <f>HYPERLINK("https://audio.iskcondesiretree.com/02_-_ISKCON_Swamis/ISKCON_Swamis_-_R_to_Y/His_Holiness_Radhanath_Swami/Lectures/Russian_Translation/Yearwise/2004/2004_SB_10-03-14_The_birth_of_Krishna_and_Vrindavan_Radhanath_Swami_-_2004-09-26_Kiev.mp3", "2004_SB_10-03-14_The_birth_of_Krishna_and_Vrindavan_Radhanath_Swami_-_2004-09-26_Kiev.mp3")</f>
        <v>2004_SB_10-03-14_The_birth_of_Krishna_and_Vrindavan_Radhanath_Swami_-_2004-09-26_Kiev.mp3</v>
      </c>
      <c r="D6147" s="11"/>
      <c r="E6147" s="11"/>
    </row>
    <row r="6148" spans="1:5">
      <c r="A6148" s="12" t="s">
        <v>12773</v>
      </c>
      <c r="B6148" s="12" t="s">
        <v>18331</v>
      </c>
      <c r="C6148" s="13" t="str">
        <f>HYPERLINK("https://audio.iskcondesiretree.com/02_-_ISKCON_Swamis/ISKCON_Swamis_-_R_to_Y/His_Holiness_Radhanath_Swami/Lectures/Russian_Translation/Yearwise/2004/2004_SB_10-03-15_Let_Krishna_notice_you_Radhanath_Swami_-_2004-09-27_Kiev.mp3", "2004_SB_10-03-15_Let_Krishna_notice_you_Radhanath_Swami_-_2004-09-27_Kiev.mp3")</f>
        <v>2004_SB_10-03-15_Let_Krishna_notice_you_Radhanath_Swami_-_2004-09-27_Kiev.mp3</v>
      </c>
      <c r="D6148" s="11"/>
      <c r="E6148" s="11"/>
    </row>
    <row r="6149" spans="1:5">
      <c r="A6149" s="12" t="s">
        <v>12773</v>
      </c>
      <c r="B6149" s="12" t="s">
        <v>18332</v>
      </c>
      <c r="C6149" s="13" t="str">
        <f>HYPERLINK("https://audio.iskcondesiretree.com/02_-_ISKCON_Swamis/ISKCON_Swamis_-_R_to_Y/His_Holiness_Radhanath_Swami/Lectures/Russian_Translation/Yearwise/2004/2004_SB_10-03-18_Radhanath_Swami_-_2004-09-28_Kiev.mp3", "2004_SB_10-03-18_Radhanath_Swami_-_2004-09-28_Kiev.mp3")</f>
        <v>2004_SB_10-03-18_Radhanath_Swami_-_2004-09-28_Kiev.mp3</v>
      </c>
      <c r="D6149" s="11"/>
      <c r="E6149" s="11"/>
    </row>
    <row r="6150" spans="1:5">
      <c r="A6150" s="12" t="s">
        <v>12773</v>
      </c>
      <c r="B6150" s="12" t="s">
        <v>18333</v>
      </c>
      <c r="C6150" s="13" t="str">
        <f>HYPERLINK("https://audio.iskcondesiretree.com/02_-_ISKCON_Swamis/ISKCON_Swamis_-_R_to_Y/His_Holiness_Radhanath_Swami/Lectures/Russian_Translation/Yearwise/2004/2004_Sivananda_of_the_Seine_Radhanath_Swami_-_2004-09-27_Kiev.mp3", "2004_Sivananda_of_the_Seine_Radhanath_Swami_-_2004-09-27_Kiev.mp3")</f>
        <v>2004_Sivananda_of_the_Seine_Radhanath_Swami_-_2004-09-27_Kiev.mp3</v>
      </c>
      <c r="D6150" s="11"/>
      <c r="E6150" s="11"/>
    </row>
    <row r="6151" spans="1:5">
      <c r="A6151" s="12" t="s">
        <v>12773</v>
      </c>
      <c r="B6151" s="12" t="s">
        <v>18334</v>
      </c>
      <c r="C6151" s="13" t="str">
        <f>HYPERLINK("https://audio.iskcondesiretree.com/02_-_ISKCON_Swamis/ISKCON_Swamis_-_R_to_Y/His_Holiness_Radhanath_Swami/Lectures/Russian_Translation/Yearwise/2004/2004_Sunday_feasts_Radhanath_Swami%20_-_2004-09-26_Kiev.mp3", "2004_Sunday_feasts_Radhanath_Swami%20_-_2004-09-26_Kiev.mp3")</f>
        <v>2004_Sunday_feasts_Radhanath_Swami%20_-_2004-09-26_Kiev.mp3</v>
      </c>
      <c r="D6151" s="11"/>
      <c r="E6151" s="11"/>
    </row>
    <row r="6152" spans="1:5">
      <c r="A6152" s="12" t="s">
        <v>12773</v>
      </c>
      <c r="B6152" s="12" t="s">
        <v>18335</v>
      </c>
      <c r="C6152" s="13" t="str">
        <f>HYPERLINK("https://audio.iskcondesiretree.com/02_-_ISKCON_Swamis/ISKCON_Swamis_-_R_to_Y/His_Holiness_Radhanath_Swami/Lectures/Russian_Translation/Yearwise/2004/2004_The_importance_of_forgiving_%20slushaniya_Radhanath_Swami_-_2004-09-30_Divnomorsk_Umenie.mp3", "2004_The_importance_of_forgiving_%20slushaniya_Radhanath_Swami_-_2004-09-30_Divnomorsk_Umenie.mp3")</f>
        <v>2004_The_importance_of_forgiving_%20slushaniya_Radhanath_Swami_-_2004-09-30_Divnomorsk_Umenie.mp3</v>
      </c>
      <c r="D6152" s="11"/>
      <c r="E6152" s="11"/>
    </row>
    <row r="6153" spans="1:5">
      <c r="A6153" s="12" t="s">
        <v>12773</v>
      </c>
      <c r="B6153" s="12" t="s">
        <v>18336</v>
      </c>
      <c r="C6153" s="13" t="str">
        <f>HYPERLINK("https://audio.iskcondesiretree.com/02_-_ISKCON_Swamis/ISKCON_Swamis_-_R_to_Y/His_Holiness_Radhanath_Swami/Lectures/Russian_Translation/Yearwise/2004/2004_Vamana_Dvadasi_Radhanath_Swami_-_2004-09-25_Kiev.mp3", "2004_Vamana_Dvadasi_Radhanath_Swami_-_2004-09-25_Kiev.mp3")</f>
        <v>2004_Vamana_Dvadasi_Radhanath_Swami_-_2004-09-25_Kiev.mp3</v>
      </c>
      <c r="D6153" s="11"/>
      <c r="E6153" s="11"/>
    </row>
    <row r="6154" spans="1:5">
      <c r="A6154" s="12" t="s">
        <v>12773</v>
      </c>
      <c r="B6154" s="12" t="s">
        <v>18337</v>
      </c>
      <c r="C6154" s="13" t="str">
        <f>HYPERLINK("https://audio.iskcondesiretree.com/02_-_ISKCON_Swamis/ISKCON_Swamis_-_R_to_Y/His_Holiness_Radhanath_Swami/Lectures/Russian_Translation/Yearwise/2005/2005_Appearance_Day_of_Lord_Balaram_Radhanath_Swami_-_2005-08-19_Kiev.mp3", "2005_Appearance_Day_of_Lord_Balaram_Radhanath_Swami_-_2005-08-19_Kiev.mp3")</f>
        <v>2005_Appearance_Day_of_Lord_Balaram_Radhanath_Swami_-_2005-08-19_Kiev.mp3</v>
      </c>
      <c r="D6154" s="11"/>
      <c r="E6154" s="11"/>
    </row>
    <row r="6155" spans="1:5">
      <c r="A6155" s="12" t="s">
        <v>12773</v>
      </c>
      <c r="B6155" s="12" t="s">
        <v>18338</v>
      </c>
      <c r="C6155" s="13" t="str">
        <f>HYPERLINK("https://audio.iskcondesiretree.com/02_-_ISKCON_Swamis/ISKCON_Swamis_-_R_to_Y/His_Holiness_Radhanath_Swami/Lectures/Russian_Translation/Yearwise/2005/2005_Appearance_of_Srila_Prabhupada_Radhanath_Swami_-_2005-08-28_Moscow.mp3", "2005_Appearance_of_Srila_Prabhupada_Radhanath_Swami_-_2005-08-28_Moscow.mp3")</f>
        <v>2005_Appearance_of_Srila_Prabhupada_Radhanath_Swami_-_2005-08-28_Moscow.mp3</v>
      </c>
      <c r="D6155" s="11"/>
      <c r="E6155" s="11"/>
    </row>
    <row r="6156" spans="1:5">
      <c r="A6156" s="12" t="s">
        <v>12773</v>
      </c>
      <c r="B6156" s="12" t="s">
        <v>18339</v>
      </c>
      <c r="C6156" s="13" t="str">
        <f>HYPERLINK("https://audio.iskcondesiretree.com/02_-_ISKCON_Swamis/ISKCON_Swamis_-_R_to_Y/His_Holiness_Radhanath_Swami/Lectures/Russian_Translation/Yearwise/2005/2005_Before_Janmashtami_Radhanath_Swami_-_2005-08-26_Moscow.mp3", "2005_Before_Janmashtami_Radhanath_Swami_-_2005-08-26_Moscow.mp3")</f>
        <v>2005_Before_Janmashtami_Radhanath_Swami_-_2005-08-26_Moscow.mp3</v>
      </c>
      <c r="D6156" s="11"/>
      <c r="E6156" s="11"/>
    </row>
    <row r="6157" spans="1:5">
      <c r="A6157" s="12" t="s">
        <v>12773</v>
      </c>
      <c r="B6157" s="12" t="s">
        <v>18340</v>
      </c>
      <c r="C6157" s="13" t="str">
        <f>HYPERLINK("https://audio.iskcondesiretree.com/02_-_ISKCON_Swamis/ISKCON_Swamis_-_R_to_Y/His_Holiness_Radhanath_Swami/Lectures/Russian_Translation/Yearwise/2005/2005_Darshan_Radhanath_Swami_-_2005-08-22_Kiev.mp3", "2005_Darshan_Radhanath_Swami_-_2005-08-22_Kiev.mp3")</f>
        <v>2005_Darshan_Radhanath_Swami_-_2005-08-22_Kiev.mp3</v>
      </c>
      <c r="D6157" s="11"/>
      <c r="E6157" s="11"/>
    </row>
    <row r="6158" spans="1:5">
      <c r="A6158" s="12" t="s">
        <v>12773</v>
      </c>
      <c r="B6158" s="12" t="s">
        <v>18341</v>
      </c>
      <c r="C6158" s="13" t="str">
        <f>HYPERLINK("https://audio.iskcondesiretree.com/02_-_ISKCON_Swamis/ISKCON_Swamis_-_R_to_Y/His_Holiness_Radhanath_Swami/Lectures/Russian_Translation/Yearwise/2005/2005_Devotees_gives_up_many_things_Radhanath_Swami_-_2005-08-29_Moscow.mp3", "2005_Devotees_gives_up_many_things_Radhanath_Swami_-_2005-08-29_Moscow.mp3")</f>
        <v>2005_Devotees_gives_up_many_things_Radhanath_Swami_-_2005-08-29_Moscow.mp3</v>
      </c>
      <c r="D6158" s="11"/>
      <c r="E6158" s="11"/>
    </row>
    <row r="6159" spans="1:5">
      <c r="A6159" s="12" t="s">
        <v>12773</v>
      </c>
      <c r="B6159" s="12" t="s">
        <v>18342</v>
      </c>
      <c r="C6159" s="13" t="str">
        <f>HYPERLINK("https://audio.iskcondesiretree.com/02_-_ISKCON_Swamis/ISKCON_Swamis_-_R_to_Y/His_Holiness_Radhanath_Swami/Lectures/Russian_Translation/Yearwise/2005/2005_Evening_Lecture_Radhanath_Swami_-_2005-08-17_Kiev.mp3", "2005_Evening_Lecture_Radhanath_Swami_-_2005-08-17_Kiev.mp3")</f>
        <v>2005_Evening_Lecture_Radhanath_Swami_-_2005-08-17_Kiev.mp3</v>
      </c>
      <c r="D6159" s="11"/>
      <c r="E6159" s="11"/>
    </row>
    <row r="6160" spans="1:5">
      <c r="A6160" s="12" t="s">
        <v>12773</v>
      </c>
      <c r="B6160" s="12" t="s">
        <v>18343</v>
      </c>
      <c r="C6160" s="13" t="str">
        <f>HYPERLINK("https://audio.iskcondesiretree.com/02_-_ISKCON_Swamis/ISKCON_Swamis_-_R_to_Y/His_Holiness_Radhanath_Swami/Lectures/Russian_Translation/Yearwise/2005/2005_Evening_Lecture_Radhanath_Swami_-_2005-08-25_Moscow.mp3", "2005_Evening_Lecture_Radhanath_Swami_-_2005-08-25_Moscow.mp3")</f>
        <v>2005_Evening_Lecture_Radhanath_Swami_-_2005-08-25_Moscow.mp3</v>
      </c>
      <c r="D6160" s="11"/>
      <c r="E6160" s="11"/>
    </row>
    <row r="6161" spans="1:5">
      <c r="A6161" s="12" t="s">
        <v>12773</v>
      </c>
      <c r="B6161" s="12" t="s">
        <v>18344</v>
      </c>
      <c r="C6161" s="13" t="str">
        <f>HYPERLINK("https://audio.iskcondesiretree.com/02_-_ISKCON_Swamis/ISKCON_Swamis_-_R_to_Y/His_Holiness_Radhanath_Swami/Lectures/Russian_Translation/Yearwise/2005/2005_Initiation_Lecture_Radhanath_Swami_-_2005-08-22_Kiev.mp3", "2005_Initiation_Lecture_Radhanath_Swami_-_2005-08-22_Kiev.mp3")</f>
        <v>2005_Initiation_Lecture_Radhanath_Swami_-_2005-08-22_Kiev.mp3</v>
      </c>
      <c r="D6161" s="11"/>
      <c r="E6161" s="11"/>
    </row>
    <row r="6162" spans="1:5">
      <c r="A6162" s="12" t="s">
        <v>12773</v>
      </c>
      <c r="B6162" s="12" t="s">
        <v>18345</v>
      </c>
      <c r="C6162" s="13" t="str">
        <f>HYPERLINK("https://audio.iskcondesiretree.com/02_-_ISKCON_Swamis/ISKCON_Swamis_-_R_to_Y/His_Holiness_Radhanath_Swami/Lectures/Russian_Translation/Yearwise/2005/2005_Janmashtami_Radhanath_Swami_-_2005-08-27_Moscow.mp3", "2005_Janmashtami_Radhanath_Swami_-_2005-08-27_Moscow.mp3")</f>
        <v>2005_Janmashtami_Radhanath_Swami_-_2005-08-27_Moscow.mp3</v>
      </c>
      <c r="D6162" s="11"/>
      <c r="E6162" s="11"/>
    </row>
    <row r="6163" spans="1:5">
      <c r="A6163" s="12" t="s">
        <v>12773</v>
      </c>
      <c r="B6163" s="12" t="s">
        <v>18346</v>
      </c>
      <c r="C6163" s="13" t="str">
        <f>HYPERLINK("https://audio.iskcondesiretree.com/02_-_ISKCON_Swamis/ISKCON_Swamis_-_R_to_Y/His_Holiness_Radhanath_Swami/Lectures/Russian_Translation/Yearwise/2005/2005_Lecture_%20before_%20Departure_Radhanath_Swami_-_2005-08-23_Kiev.mp3", "2005_Lecture_%20before_%20Departure_Radhanath_Swami_-_2005-08-23_Kiev.mp3")</f>
        <v>2005_Lecture_%20before_%20Departure_Radhanath_Swami_-_2005-08-23_Kiev.mp3</v>
      </c>
      <c r="D6163" s="11"/>
      <c r="E6163" s="11"/>
    </row>
    <row r="6164" spans="1:5">
      <c r="A6164" s="12" t="s">
        <v>12773</v>
      </c>
      <c r="B6164" s="12" t="s">
        <v>18347</v>
      </c>
      <c r="C6164" s="13" t="str">
        <f>HYPERLINK("https://audio.iskcondesiretree.com/02_-_ISKCON_Swamis/ISKCON_Swamis_-_R_to_Y/His_Holiness_Radhanath_Swami/Lectures/Russian_Translation/Yearwise/2005/2005_Recollection_of_Bhakti_Tirtha_Swami_Radhanth_Swami_-_2005-08-24_Moscow.mp3", "2005_Recollection_of_Bhakti_Tirtha_Swami_Radhanth_Swami_-_2005-08-24_Moscow.mp3")</f>
        <v>2005_Recollection_of_Bhakti_Tirtha_Swami_Radhanth_Swami_-_2005-08-24_Moscow.mp3</v>
      </c>
      <c r="D6164" s="11"/>
      <c r="E6164" s="11"/>
    </row>
    <row r="6165" spans="1:5">
      <c r="A6165" s="12" t="s">
        <v>12773</v>
      </c>
      <c r="B6165" s="12" t="s">
        <v>18348</v>
      </c>
      <c r="C6165" s="13" t="str">
        <f>HYPERLINK("https://audio.iskcondesiretree.com/02_-_ISKCON_Swamis/ISKCON_Swamis_-_R_to_Y/His_Holiness_Radhanath_Swami/Lectures/Russian_Translation/Yearwise/2005/2005_SB_10-13-50_Radhanath_Swami_-_2005-08-18_Kiev.mp3", "2005_SB_10-13-50_Radhanath_Swami_-_2005-08-18_Kiev.mp3")</f>
        <v>2005_SB_10-13-50_Radhanath_Swami_-_2005-08-18_Kiev.mp3</v>
      </c>
      <c r="D6165" s="11"/>
      <c r="E6165" s="11"/>
    </row>
    <row r="6166" spans="1:5">
      <c r="A6166" s="12" t="s">
        <v>12773</v>
      </c>
      <c r="B6166" s="12" t="s">
        <v>18349</v>
      </c>
      <c r="C6166" s="13" t="str">
        <f>HYPERLINK("https://audio.iskcondesiretree.com/02_-_ISKCON_Swamis/ISKCON_Swamis_-_R_to_Y/His_Holiness_Radhanath_Swami/Lectures/Russian_Translation/Yearwise/2005/2005_SB_10-13-51_Radhanath_Swami_-_2005-08-20_Kiev.mp3", "2005_SB_10-13-51_Radhanath_Swami_-_2005-08-20_Kiev.mp3")</f>
        <v>2005_SB_10-13-51_Radhanath_Swami_-_2005-08-20_Kiev.mp3</v>
      </c>
      <c r="D6166" s="11"/>
      <c r="E6166" s="11"/>
    </row>
    <row r="6167" spans="1:5">
      <c r="A6167" s="12" t="s">
        <v>12773</v>
      </c>
      <c r="B6167" s="12" t="s">
        <v>18350</v>
      </c>
      <c r="C6167" s="13" t="str">
        <f>HYPERLINK("https://audio.iskcondesiretree.com/02_-_ISKCON_Swamis/ISKCON_Swamis_-_R_to_Y/His_Holiness_Radhanath_Swami/Lectures/Russian_Translation/Yearwise/2005/2005_SB_10-13-52_Radhanath_Swami_-_2005-08-22_Kiev.mp3", "2005_SB_10-13-52_Radhanath_Swami_-_2005-08-22_Kiev.mp3")</f>
        <v>2005_SB_10-13-52_Radhanath_Swami_-_2005-08-22_Kiev.mp3</v>
      </c>
      <c r="D6167" s="11"/>
      <c r="E6167" s="11"/>
    </row>
    <row r="6168" spans="1:5">
      <c r="A6168" s="12" t="s">
        <v>12773</v>
      </c>
      <c r="B6168" s="12" t="s">
        <v>18351</v>
      </c>
      <c r="C6168" s="13" t="str">
        <f>HYPERLINK("https://audio.iskcondesiretree.com/02_-_ISKCON_Swamis/ISKCON_Swamis_-_R_to_Y/His_Holiness_Radhanath_Swami/Lectures/Russian_Translation/Yearwise/2005/2005_Speech_before_evening_Kirtan_Radhanath_Swami_-_2005-08-21_Kiev.mp3", "2005_Speech_before_evening_Kirtan_Radhanath_Swami_-_2005-08-21_Kiev.mp3")</f>
        <v>2005_Speech_before_evening_Kirtan_Radhanath_Swami_-_2005-08-21_Kiev.mp3</v>
      </c>
      <c r="D6168" s="11"/>
      <c r="E6168" s="11"/>
    </row>
    <row r="6169" spans="1:5">
      <c r="A6169" s="12" t="s">
        <v>12773</v>
      </c>
      <c r="B6169" s="12" t="s">
        <v>18352</v>
      </c>
      <c r="C6169" s="13" t="str">
        <f>HYPERLINK("https://audio.iskcondesiretree.com/02_-_ISKCON_Swamis/ISKCON_Swamis_-_R_to_Y/His_Holiness_Radhanath_Swami/Lectures/Russian_Translation/Yearwise/2005/2005_Sukharava_Radhanath_Swami_-_2005-08-30_Moscow.mp3", "2005_Sukharava_Radhanath_Swami_-_2005-08-30_Moscow.mp3")</f>
        <v>2005_Sukharava_Radhanath_Swami_-_2005-08-30_Moscow.mp3</v>
      </c>
      <c r="D6169" s="11"/>
      <c r="E6169" s="11"/>
    </row>
    <row r="6170" spans="1:5">
      <c r="A6170" s="12" t="s">
        <v>12773</v>
      </c>
      <c r="B6170" s="12" t="s">
        <v>18353</v>
      </c>
      <c r="C6170" s="13" t="str">
        <f>HYPERLINK("https://audio.iskcondesiretree.com/02_-_ISKCON_Swamis/ISKCON_Swamis_-_R_to_Y/His_Holiness_Radhanath_Swami/Lectures/Russian_Translation/Yearwise/2005/2005_Sunday_Feast_Program_after_Kirtan_Radhanath_Swami_-_2005-08-21_Kiev.mp3", "2005_Sunday_Feast_Program_after_Kirtan_Radhanath_Swami_-_2005-08-21_Kiev.mp3")</f>
        <v>2005_Sunday_Feast_Program_after_Kirtan_Radhanath_Swami_-_2005-08-21_Kiev.mp3</v>
      </c>
      <c r="D6170" s="11"/>
      <c r="E6170" s="11"/>
    </row>
    <row r="6171" spans="1:5">
      <c r="A6171" s="12" t="s">
        <v>12773</v>
      </c>
      <c r="B6171" s="12" t="s">
        <v>18354</v>
      </c>
      <c r="C6171" s="13" t="str">
        <f>HYPERLINK("https://audio.iskcondesiretree.com/02_-_ISKCON_Swamis/ISKCON_Swamis_-_R_to_Y/His_Holiness_Radhanath_Swami/Lectures/Russian_Translation/Yearwise/2005/2005_Sunday_Feast_Program_Radhanath_Swami_-_2005-08-21_Kiev.mp3", "2005_Sunday_Feast_Program_Radhanath_Swami_-_2005-08-21_Kiev.mp3")</f>
        <v>2005_Sunday_Feast_Program_Radhanath_Swami_-_2005-08-21_Kiev.mp3</v>
      </c>
      <c r="D6171" s="11"/>
      <c r="E6171" s="11"/>
    </row>
    <row r="6172" spans="1:5">
      <c r="A6172" s="12" t="s">
        <v>12773</v>
      </c>
      <c r="B6172" s="12" t="s">
        <v>18355</v>
      </c>
      <c r="C6172" s="13" t="str">
        <f>HYPERLINK("https://audio.iskcondesiretree.com/02_-_ISKCON_Swamis/ISKCON_Swamis_-_R_to_Y/His_Holiness_Radhanath_Swami/Lectures/Russian_Translation/Yearwise/2006/2006_Gaura_Poornima_evening_Radhanath_Swami_Chowpatty.MP3", "2006_Gaura_Poornima_evening_Radhanath_Swami_Chowpatty.MP3")</f>
        <v>2006_Gaura_Poornima_evening_Radhanath_Swami_Chowpatty.MP3</v>
      </c>
      <c r="D6172" s="11"/>
      <c r="E6172" s="11"/>
    </row>
    <row r="6173" spans="1:5">
      <c r="A6173" s="12" t="s">
        <v>12773</v>
      </c>
      <c r="B6173" s="12" t="s">
        <v>18356</v>
      </c>
      <c r="C6173" s="13" t="str">
        <f>HYPERLINK("https://audio.iskcondesiretree.com/02_-_ISKCON_Swamis/ISKCON_Swamis_-_R_to_Y/His_Holiness_Radhanath_Swami/Lectures/Russian_Translation/Yearwise/2006/2006_Gaura_Poornima_Radhanath_Swami_Chowpatty.MP3", "2006_Gaura_Poornima_Radhanath_Swami_Chowpatty.MP3")</f>
        <v>2006_Gaura_Poornima_Radhanath_Swami_Chowpatty.MP3</v>
      </c>
      <c r="D6173" s="11"/>
      <c r="E6173" s="11"/>
    </row>
    <row r="6174" spans="1:5">
      <c r="A6174" s="12" t="s">
        <v>12773</v>
      </c>
      <c r="B6174" s="12" t="s">
        <v>18357</v>
      </c>
      <c r="C6174" s="13" t="str">
        <f>HYPERLINK("https://audio.iskcondesiretree.com/02_-_ISKCON_Swamis/ISKCON_Swamis_-_R_to_Y/His_Holiness_Radhanath_Swami/Lectures/Russian_Translation/Yearwise/2006/2006_Gaura_purnima_evening_Radhanath_swami_Chowpatty.MP3", "2006_Gaura_purnima_evening_Radhanath_swami_Chowpatty.MP3")</f>
        <v>2006_Gaura_purnima_evening_Radhanath_swami_Chowpatty.MP3</v>
      </c>
      <c r="D6174" s="11"/>
      <c r="E6174" s="11"/>
    </row>
    <row r="6175" spans="1:5">
      <c r="A6175" s="12" t="s">
        <v>12773</v>
      </c>
      <c r="B6175" s="12" t="s">
        <v>18358</v>
      </c>
      <c r="C6175" s="13" t="str">
        <f>HYPERLINK("https://audio.iskcondesiretree.com/02_-_ISKCON_Swamis/ISKCON_Swamis_-_R_to_Y/His_Holiness_Radhanath_Swami/Lectures/Russian_Translation/Yearwise/2006/2006_Gaura_purnima_Radhanath_swami_Chowpatty.MP3", "2006_Gaura_purnima_Radhanath_swami_Chowpatty.MP3")</f>
        <v>2006_Gaura_purnima_Radhanath_swami_Chowpatty.MP3</v>
      </c>
      <c r="D6175" s="11"/>
      <c r="E6175" s="11"/>
    </row>
    <row r="6176" spans="1:5">
      <c r="A6176" s="12" t="s">
        <v>12773</v>
      </c>
      <c r="B6176" s="12" t="s">
        <v>18359</v>
      </c>
      <c r="C6176" s="13" t="str">
        <f>HYPERLINK("https://audio.iskcondesiretree.com/02_-_ISKCON_Swamis/ISKCON_Swamis_-_R_to_Y/His_Holiness_Radhanath_Swami/Lectures/Russian_Translation/Yearwise/2006/2006_March_Radhanath_Swami_Chowpatty.MP3", "2006_March_Radhanath_Swami_Chowpatty.MP3")</f>
        <v>2006_March_Radhanath_Swami_Chowpatty.MP3</v>
      </c>
      <c r="D6176" s="11"/>
      <c r="E6176" s="11"/>
    </row>
    <row r="6177" spans="1:5">
      <c r="A6177" s="12" t="s">
        <v>12773</v>
      </c>
      <c r="B6177" s="12" t="s">
        <v>18360</v>
      </c>
      <c r="C6177" s="13" t="str">
        <f>HYPERLINK("https://audio.iskcondesiretree.com/02_-_ISKCON_Swamis/ISKCON_Swamis_-_R_to_Y/His_Holiness_Radhanath_Swami/Lectures/Russian_Translation/Yearwise/2006/2006_SB_05-21_Radhanth_Swami_Chowpatty.MP3", "2006_SB_05-21_Radhanth_Swami_Chowpatty.MP3")</f>
        <v>2006_SB_05-21_Radhanth_Swami_Chowpatty.MP3</v>
      </c>
      <c r="D6177" s="11"/>
      <c r="E6177" s="11"/>
    </row>
    <row r="6178" spans="1:5">
      <c r="A6178" s="12" t="s">
        <v>12773</v>
      </c>
      <c r="B6178" s="12" t="s">
        <v>18361</v>
      </c>
      <c r="C6178" s="13" t="str">
        <f>HYPERLINK("https://audio.iskcondesiretree.com/02_-_ISKCON_Swamis/ISKCON_Swamis_-_R_to_Y/His_Holiness_Radhanath_Swami/Lectures/Russian_Translation/Yearwise/2006/2006_Sunday_Program_Radhanath_Swami_Chowpatty.MP3", "2006_Sunday_Program_Radhanath_Swami_Chowpatty.MP3")</f>
        <v>2006_Sunday_Program_Radhanath_Swami_Chowpatty.MP3</v>
      </c>
      <c r="D6178" s="11"/>
      <c r="E6178" s="11"/>
    </row>
    <row r="6179" spans="1:5">
      <c r="A6179" s="12" t="s">
        <v>12773</v>
      </c>
      <c r="B6179" s="12" t="s">
        <v>18362</v>
      </c>
      <c r="C6179" s="13" t="str">
        <f>HYPERLINK("https://audio.iskcondesiretree.com/02_-_ISKCON_Swamis/ISKCON_Swamis_-_R_to_Y/His_Holiness_Radhanath_Swami/Lectures/Russian_Translation/Yearwise/2008/2008_01_General_darshan_Radhanath_Swami_-_2008-05-01_Kiev.mp3", "2008_01_General_darshan_Radhanath_Swami_-_2008-05-01_Kiev.mp3")</f>
        <v>2008_01_General_darshan_Radhanath_Swami_-_2008-05-01_Kiev.mp3</v>
      </c>
      <c r="D6179" s="11"/>
      <c r="E6179" s="11"/>
    </row>
    <row r="6180" spans="1:5">
      <c r="A6180" s="12" t="s">
        <v>12773</v>
      </c>
      <c r="B6180" s="12" t="s">
        <v>18363</v>
      </c>
      <c r="C6180" s="13" t="str">
        <f>HYPERLINK("https://audio.iskcondesiretree.com/02_-_ISKCON_Swamis/ISKCON_Swamis_-_R_to_Y/His_Holiness_Radhanath_Swami/Lectures/Russian_Translation/Yearwise/2008/2008_01_Opening_Ceremony_Radhanath_Swami_-_2008-01-24_Pune_Yatra.mp3", "2008_01_Opening_Ceremony_Radhanath_Swami_-_2008-01-24_Pune_Yatra.mp3")</f>
        <v>2008_01_Opening_Ceremony_Radhanath_Swami_-_2008-01-24_Pune_Yatra.mp3</v>
      </c>
      <c r="D6180" s="11"/>
      <c r="E6180" s="11"/>
    </row>
    <row r="6181" spans="1:5">
      <c r="A6181" s="12" t="s">
        <v>12773</v>
      </c>
      <c r="B6181" s="12" t="s">
        <v>18364</v>
      </c>
      <c r="C6181" s="13" t="str">
        <f>HYPERLINK("https://audio.iskcondesiretree.com/02_-_ISKCON_Swamis/ISKCON_Swamis_-_R_to_Y/His_Holiness_Radhanath_Swami/Lectures/Russian_Translation/Yearwise/2008/2008_02_Lecture_LDC_-_Radhanath_Swami_-_2008-05-01_Kiev.mp3", "2008_02_Lecture_LDC_-_Radhanath_Swami_-_2008-05-01_Kiev.mp3")</f>
        <v>2008_02_Lecture_LDC_-_Radhanath_Swami_-_2008-05-01_Kiev.mp3</v>
      </c>
      <c r="D6181" s="11"/>
      <c r="E6181" s="11"/>
    </row>
    <row r="6182" spans="1:5">
      <c r="A6182" s="12" t="s">
        <v>12773</v>
      </c>
      <c r="B6182" s="12" t="s">
        <v>18365</v>
      </c>
      <c r="C6182" s="13" t="str">
        <f>HYPERLINK("https://audio.iskcondesiretree.com/02_-_ISKCON_Swamis/ISKCON_Swamis_-_R_to_Y/His_Holiness_Radhanath_Swami/Lectures/Russian_Translation/Yearwise/2008/2008_02_Opening_Ceremony_Radhanath_Swami_-_2008-01-24_Pune_Yatra.mp3", "2008_02_Opening_Ceremony_Radhanath_Swami_-_2008-01-24_Pune_Yatra.mp3")</f>
        <v>2008_02_Opening_Ceremony_Radhanath_Swami_-_2008-01-24_Pune_Yatra.mp3</v>
      </c>
      <c r="D6182" s="11"/>
      <c r="E6182" s="11"/>
    </row>
    <row r="6183" spans="1:5">
      <c r="A6183" s="12" t="s">
        <v>12773</v>
      </c>
      <c r="B6183" s="12" t="s">
        <v>18366</v>
      </c>
      <c r="C6183" s="13" t="str">
        <f>HYPERLINK("https://audio.iskcondesiretree.com/02_-_ISKCON_Swamis/ISKCON_Swamis_-_R_to_Y/His_Holiness_Radhanath_Swami/Lectures/Russian_Translation/Yearwise/2008/2008_Close_Radhanath_Swami_-_2008-01-26_Pune_Yatra.mp3", "2008_Close_Radhanath_Swami_-_2008-01-26_Pune_Yatra.mp3")</f>
        <v>2008_Close_Radhanath_Swami_-_2008-01-26_Pune_Yatra.mp3</v>
      </c>
      <c r="D6183" s="11"/>
      <c r="E6183" s="11"/>
    </row>
    <row r="6184" spans="1:5">
      <c r="A6184" s="12" t="s">
        <v>12773</v>
      </c>
      <c r="B6184" s="12" t="s">
        <v>18367</v>
      </c>
      <c r="C6184" s="13" t="str">
        <f>HYPERLINK("https://audio.iskcondesiretree.com/02_-_ISKCON_Swamis/ISKCON_Swamis_-_R_to_Y/His_Holiness_Radhanath_Swami/Lectures/Russian_Translation/Yearwise/2008/2008_Devotional_Service_Radhanath_Swami_-_2008-01-26_Pune_Yatra.mp3", "2008_Devotional_Service_Radhanath_Swami_-_2008-01-26_Pune_Yatra.mp3")</f>
        <v>2008_Devotional_Service_Radhanath_Swami_-_2008-01-26_Pune_Yatra.mp3</v>
      </c>
      <c r="D6184" s="11"/>
      <c r="E6184" s="11"/>
    </row>
    <row r="6185" spans="1:5">
      <c r="A6185" s="12" t="s">
        <v>12773</v>
      </c>
      <c r="B6185" s="12" t="s">
        <v>18368</v>
      </c>
      <c r="C6185" s="13" t="str">
        <f>HYPERLINK("https://audio.iskcondesiretree.com/02_-_ISKCON_Swamis/ISKCON_Swamis_-_R_to_Y/His_Holiness_Radhanath_Swami/Lectures/Russian_Translation/Yearwise/2008/2008_Evening_lecture_NRS_RNS_Radhanath_Swami_-_2008-04-25_Moscow.mp3", "2008_Evening_lecture_NRS_RNS_Radhanath_Swami_-_2008-04-25_Moscow.mp3")</f>
        <v>2008_Evening_lecture_NRS_RNS_Radhanath_Swami_-_2008-04-25_Moscow.mp3</v>
      </c>
      <c r="D6185" s="11"/>
      <c r="E6185" s="11"/>
    </row>
    <row r="6186" spans="1:5">
      <c r="A6186" s="12" t="s">
        <v>12773</v>
      </c>
      <c r="B6186" s="12" t="s">
        <v>18369</v>
      </c>
      <c r="C6186" s="13" t="str">
        <f>HYPERLINK("https://audio.iskcondesiretree.com/02_-_ISKCON_Swamis/ISKCON_Swamis_-_R_to_Y/His_Holiness_Radhanath_Swami/Lectures/Russian_Translation/Yearwise/2008/2008_Evening_Lecture_Radhanath_Swami_-_2008-04-24_Moscow.mp3", "2008_Evening_Lecture_Radhanath_Swami_-_2008-04-24_Moscow.mp3")</f>
        <v>2008_Evening_Lecture_Radhanath_Swami_-_2008-04-24_Moscow.mp3</v>
      </c>
      <c r="D6186" s="11"/>
      <c r="E6186" s="11"/>
    </row>
    <row r="6187" spans="1:5">
      <c r="A6187" s="12" t="s">
        <v>12773</v>
      </c>
      <c r="B6187" s="12" t="s">
        <v>18370</v>
      </c>
      <c r="C6187" s="13" t="str">
        <f>HYPERLINK("https://audio.iskcondesiretree.com/02_-_ISKCON_Swamis/ISKCON_Swamis_-_R_to_Y/His_Holiness_Radhanath_Swami/Lectures/Russian_Translation/Yearwise/2008/2008_Evening_Lecture_Radhanath_Swami_-_2008-04-30_Kiev.mp3", "2008_Evening_Lecture_Radhanath_Swami_-_2008-04-30_Kiev.mp3")</f>
        <v>2008_Evening_Lecture_Radhanath_Swami_-_2008-04-30_Kiev.mp3</v>
      </c>
      <c r="D6187" s="11"/>
      <c r="E6187" s="11"/>
    </row>
    <row r="6188" spans="1:5">
      <c r="A6188" s="12" t="s">
        <v>12773</v>
      </c>
      <c r="B6188" s="12" t="s">
        <v>18371</v>
      </c>
      <c r="C6188" s="13" t="str">
        <f>HYPERLINK("https://audio.iskcondesiretree.com/02_-_ISKCON_Swamis/ISKCON_Swamis_-_R_to_Y/His_Holiness_Radhanath_Swami/Lectures/Russian_Translation/Yearwise/2008/2008_Iniciation_Radhanath_Swami_-_2008-04-27_Moscow.MP3", "2008_Iniciation_Radhanath_Swami_-_2008-04-27_Moscow.MP3")</f>
        <v>2008_Iniciation_Radhanath_Swami_-_2008-04-27_Moscow.MP3</v>
      </c>
      <c r="D6188" s="11"/>
      <c r="E6188" s="11"/>
    </row>
    <row r="6189" spans="1:5">
      <c r="A6189" s="12" t="s">
        <v>12773</v>
      </c>
      <c r="B6189" s="12" t="s">
        <v>18372</v>
      </c>
      <c r="C6189" s="13" t="str">
        <f>HYPERLINK("https://audio.iskcondesiretree.com/02_-_ISKCON_Swamis/ISKCON_Swamis_-_R_to_Y/His_Holiness_Radhanath_Swami/Lectures/Russian_Translation/Yearwise/2008/2008_Initiation_Radhanath_Swami_-_2008-05-05_Kiev.mp3", "2008_Initiation_Radhanath_Swami_-_2008-05-05_Kiev.mp3")</f>
        <v>2008_Initiation_Radhanath_Swami_-_2008-05-05_Kiev.mp3</v>
      </c>
      <c r="D6189" s="11"/>
      <c r="E6189" s="11"/>
    </row>
    <row r="6190" spans="1:5">
      <c r="A6190" s="12" t="s">
        <v>12773</v>
      </c>
      <c r="B6190" s="12" t="s">
        <v>18373</v>
      </c>
      <c r="C6190" s="13" t="str">
        <f>HYPERLINK("https://audio.iskcondesiretree.com/02_-_ISKCON_Swamis/ISKCON_Swamis_-_R_to_Y/His_Holiness_Radhanath_Swami/Lectures/Russian_Translation/Yearwise/2008/2008_Lecture_%20NRS_-_Radhanath_Swami_-_2008-04-27_Moscow.mp3", "2008_Lecture_%20NRS_-_Radhanath_Swami_-_2008-04-27_Moscow.mp3")</f>
        <v>2008_Lecture_%20NRS_-_Radhanath_Swami_-_2008-04-27_Moscow.mp3</v>
      </c>
      <c r="D6190" s="11"/>
      <c r="E6190" s="11"/>
    </row>
    <row r="6191" spans="1:5">
      <c r="A6191" s="12" t="s">
        <v>12773</v>
      </c>
      <c r="B6191" s="12" t="s">
        <v>18374</v>
      </c>
      <c r="C6191" s="13" t="str">
        <f>HYPERLINK("https://audio.iskcondesiretree.com/02_-_ISKCON_Swamis/ISKCON_Swamis_-_R_to_Y/His_Holiness_Radhanath_Swami/Lectures/Russian_Translation/Yearwise/2008/2008_Lecture_LDC_-_Radhanath_Swami_-_2008-05-02_Kiev.mp3", "2008_Lecture_LDC_-_Radhanath_Swami_-_2008-05-02_Kiev.mp3")</f>
        <v>2008_Lecture_LDC_-_Radhanath_Swami_-_2008-05-02_Kiev.mp3</v>
      </c>
      <c r="D6191" s="11"/>
      <c r="E6191" s="11"/>
    </row>
    <row r="6192" spans="1:5">
      <c r="A6192" s="12" t="s">
        <v>12773</v>
      </c>
      <c r="B6192" s="12" t="s">
        <v>18375</v>
      </c>
      <c r="C6192" s="13" t="str">
        <f>HYPERLINK("https://audio.iskcondesiretree.com/02_-_ISKCON_Swamis/ISKCON_Swamis_-_R_to_Y/His_Holiness_Radhanath_Swami/Lectures/Russian_Translation/Yearwise/2008/2008_Lecture_Radhanath_Swami_-_2008-04-26_Moscow.mp3", "2008_Lecture_Radhanath_Swami_-_2008-04-26_Moscow.mp3")</f>
        <v>2008_Lecture_Radhanath_Swami_-_2008-04-26_Moscow.mp3</v>
      </c>
      <c r="D6192" s="11"/>
      <c r="E6192" s="11"/>
    </row>
    <row r="6193" spans="1:5">
      <c r="A6193" s="12" t="s">
        <v>12773</v>
      </c>
      <c r="B6193" s="12" t="s">
        <v>18376</v>
      </c>
      <c r="C6193" s="13" t="str">
        <f>HYPERLINK("https://audio.iskcondesiretree.com/02_-_ISKCON_Swamis/ISKCON_Swamis_-_R_to_Y/His_Holiness_Radhanath_Swami/Lectures/Russian_Translation/Yearwise/2008/2008_Lecture_Radhanath_Swami_-_2008-04-28_Moscow.mp3", "2008_Lecture_Radhanath_Swami_-_2008-04-28_Moscow.mp3")</f>
        <v>2008_Lecture_Radhanath_Swami_-_2008-04-28_Moscow.mp3</v>
      </c>
      <c r="D6193" s="11"/>
      <c r="E6193" s="11"/>
    </row>
    <row r="6194" spans="1:5">
      <c r="A6194" s="12" t="s">
        <v>12773</v>
      </c>
      <c r="B6194" s="12" t="s">
        <v>18377</v>
      </c>
      <c r="C6194" s="13" t="str">
        <f>HYPERLINK("https://audio.iskcondesiretree.com/02_-_ISKCON_Swamis/ISKCON_Swamis_-_R_to_Y/His_Holiness_Radhanath_Swami/Lectures/Russian_Translation/Yearwise/2008/2008_Lecture_Radhanath_Swami_-_2008-04-29_Moscow.mp3", "2008_Lecture_Radhanath_Swami_-_2008-04-29_Moscow.mp3")</f>
        <v>2008_Lecture_Radhanath_Swami_-_2008-04-29_Moscow.mp3</v>
      </c>
      <c r="D6194" s="11"/>
      <c r="E6194" s="11"/>
    </row>
    <row r="6195" spans="1:5">
      <c r="A6195" s="12" t="s">
        <v>12773</v>
      </c>
      <c r="B6195" s="12" t="s">
        <v>18378</v>
      </c>
      <c r="C6195" s="13" t="str">
        <f>HYPERLINK("https://audio.iskcondesiretree.com/02_-_ISKCON_Swamis/ISKCON_Swamis_-_R_to_Y/His_Holiness_Radhanath_Swami/Lectures/Russian_Translation/Yearwise/2008/2008_Radhanath_Swami_-_2008-04-25_Yurlovo.mp3", "2008_Radhanath_Swami_-_2008-04-25_Yurlovo.mp3")</f>
        <v>2008_Radhanath_Swami_-_2008-04-25_Yurlovo.mp3</v>
      </c>
      <c r="D6195" s="11"/>
      <c r="E6195" s="11"/>
    </row>
    <row r="6196" spans="1:5">
      <c r="A6196" s="12" t="s">
        <v>12773</v>
      </c>
      <c r="B6196" s="12" t="s">
        <v>18379</v>
      </c>
      <c r="C6196" s="13" t="str">
        <f>HYPERLINK("https://audio.iskcondesiretree.com/02_-_ISKCON_Swamis/ISKCON_Swamis_-_R_to_Y/His_Holiness_Radhanath_Swami/Lectures/Russian_Translation/Yearwise/2008/2008_SB_06-11-24-26_Do_not_become_a_prisoner_of_success_Radhanath_Swami%20_-_2008-01-25_Pune_Yatra.mp3", "2008_SB_06-11-24-26_Do_not_become_a_prisoner_of_success_Radhanath_Swami%20_-_2008-01-25_Pune_Yatra.mp3")</f>
        <v>2008_SB_06-11-24-26_Do_not_become_a_prisoner_of_success_Radhanath_Swami%20_-_2008-01-25_Pune_Yatra.mp3</v>
      </c>
      <c r="D6196" s="11"/>
      <c r="E6196" s="11"/>
    </row>
    <row r="6197" spans="1:5">
      <c r="A6197" s="12" t="s">
        <v>12773</v>
      </c>
      <c r="B6197" s="12" t="s">
        <v>18380</v>
      </c>
      <c r="C6197" s="13" t="str">
        <f>HYPERLINK("https://audio.iskcondesiretree.com/02_-_ISKCON_Swamis/ISKCON_Swamis_-_R_to_Y/His_Holiness_Radhanath_Swami/Lectures/Russian_Translation/Yearwise/2008/2008_SB_10-01-13_Radhanath_Swami%20_-_2008-01-26_.mp3", "2008_SB_10-01-13_Radhanath_Swami%20_-_2008-01-26_.mp3")</f>
        <v>2008_SB_10-01-13_Radhanath_Swami%20_-_2008-01-26_.mp3</v>
      </c>
      <c r="D6197" s="11"/>
      <c r="E6197" s="11"/>
    </row>
    <row r="6198" spans="1:5">
      <c r="A6198" s="12" t="s">
        <v>12773</v>
      </c>
      <c r="B6198" s="12" t="s">
        <v>18381</v>
      </c>
      <c r="C6198" s="13" t="str">
        <f>HYPERLINK("https://audio.iskcondesiretree.com/02_-_ISKCON_Swamis/ISKCON_Swamis_-_R_to_Y/His_Holiness_Radhanath_Swami/Lectures/Russian_Translation/Yearwise/2008/2008_Sunday_Lecture_Radhanath_Swami_-_2008-05-04_Kiev.mp3", "2008_Sunday_Lecture_Radhanath_Swami_-_2008-05-04_Kiev.mp3")</f>
        <v>2008_Sunday_Lecture_Radhanath_Swami_-_2008-05-04_Kiev.mp3</v>
      </c>
      <c r="D6198" s="11"/>
      <c r="E6198" s="11"/>
    </row>
    <row r="6199" spans="1:5">
      <c r="A6199" s="12" t="s">
        <v>12773</v>
      </c>
      <c r="B6199" s="12" t="s">
        <v>18382</v>
      </c>
      <c r="C6199" s="13" t="str">
        <f>HYPERLINK("https://audio.iskcondesiretree.com/02_-_ISKCON_Swamis/ISKCON_Swamis_-_R_to_Y/His_Holiness_Radhanath_Swami/Lectures/Russian_Translation/Yearwise/2013/2013-09-29_SB_01-18-13_Russian_Translation_-_Radhanath_Swami.mp3", "2013-09-29_SB_01-18-13_Russian_Translation_-_Radhanath_Swami.mp3")</f>
        <v>2013-09-29_SB_01-18-13_Russian_Translation_-_Radhanath_Swami.mp3</v>
      </c>
      <c r="D6199" s="11"/>
      <c r="E6199" s="11"/>
    </row>
    <row r="6200" spans="1:5">
      <c r="A6200" s="12" t="s">
        <v>12774</v>
      </c>
      <c r="B6200" s="12" t="s">
        <v>12775</v>
      </c>
      <c r="C6200" s="13" t="str">
        <f>HYPERLINK("https://audio.iskcondesiretree.com/02_-_ISKCON_Swamis/ISKCON_Swamis_-_R_to_Y/His_Holiness_Radhanath_Swami/Lectures/Short_Clips/A_Domestic_Quarrel_In_Gandhiji%27s_Household_-_Radhanath_Swami.mp3", "A_Domestic_Quarrel_In_Gandhiji%27s_Household_-_Radhanath_Swami.mp3")</f>
        <v>A_Domestic_Quarrel_In_Gandhiji%27s_Household_-_Radhanath_Swami.mp3</v>
      </c>
      <c r="D6200" s="11"/>
      <c r="E6200" s="11"/>
    </row>
    <row r="6201" spans="1:5">
      <c r="A6201" s="12" t="s">
        <v>12774</v>
      </c>
      <c r="B6201" s="12" t="s">
        <v>12776</v>
      </c>
      <c r="C6201" s="13" t="str">
        <f>HYPERLINK("https://audio.iskcondesiretree.com/02_-_ISKCON_Swamis/ISKCON_Swamis_-_R_to_Y/His_Holiness_Radhanath_Swami/Lectures/Short_Clips/A_Standard_Of_Compassion_We_Can_Strive_For_-_Radhanath_Swami.mp3", "A_Standard_Of_Compassion_We_Can_Strive_For_-_Radhanath_Swami.mp3")</f>
        <v>A_Standard_Of_Compassion_We_Can_Strive_For_-_Radhanath_Swami.mp3</v>
      </c>
      <c r="D6201" s="11"/>
      <c r="E6201" s="11"/>
    </row>
    <row r="6202" spans="1:5">
      <c r="A6202" s="12" t="s">
        <v>12774</v>
      </c>
      <c r="B6202" s="12" t="s">
        <v>12777</v>
      </c>
      <c r="C6202" s="13" t="str">
        <f>HYPERLINK("https://audio.iskcondesiretree.com/02_-_ISKCON_Swamis/ISKCON_Swamis_-_R_to_Y/His_Holiness_Radhanath_Swami/Lectures/Short_Clips/A_Very_Little_Old_Bengali_Widow_-_Radhanath_Swami.mp3", "A_Very_Little_Old_Bengali_Widow_-_Radhanath_Swami.mp3")</f>
        <v>A_Very_Little_Old_Bengali_Widow_-_Radhanath_Swami.mp3</v>
      </c>
      <c r="D6202" s="11"/>
      <c r="E6202" s="11"/>
    </row>
    <row r="6203" spans="1:5">
      <c r="A6203" s="12" t="s">
        <v>12774</v>
      </c>
      <c r="B6203" s="12" t="s">
        <v>12778</v>
      </c>
      <c r="C6203" s="13" t="str">
        <f>HYPERLINK("https://audio.iskcondesiretree.com/02_-_ISKCON_Swamis/ISKCON_Swamis_-_R_to_Y/His_Holiness_Radhanath_Swami/Lectures/Short_Clips/Adjust_And_Harmonize_Keeping_In_Mind_The_Higher_Principles_-_Radhanath_Swami.mp3", "Adjust_And_Harmonize_Keeping_In_Mind_The_Higher_Principles_-_Radhanath_Swami.mp3")</f>
        <v>Adjust_And_Harmonize_Keeping_In_Mind_The_Higher_Principles_-_Radhanath_Swami.mp3</v>
      </c>
      <c r="D6203" s="11"/>
      <c r="E6203" s="11"/>
    </row>
    <row r="6204" spans="1:5">
      <c r="A6204" s="12" t="s">
        <v>12774</v>
      </c>
      <c r="B6204" s="12" t="s">
        <v>12779</v>
      </c>
      <c r="C6204" s="13" t="str">
        <f>HYPERLINK("https://audio.iskcondesiretree.com/02_-_ISKCON_Swamis/ISKCON_Swamis_-_R_to_Y/His_Holiness_Radhanath_Swami/Lectures/Short_Clips/Are_we_Using_Technology_Or_Is_Technology_Using_Us_-_Radhanath_Swami.mp3", "Are_we_Using_Technology_Or_Is_Technology_Using_Us_-_Radhanath_Swami.mp3")</f>
        <v>Are_we_Using_Technology_Or_Is_Technology_Using_Us_-_Radhanath_Swami.mp3</v>
      </c>
      <c r="D6204" s="11"/>
      <c r="E6204" s="11"/>
    </row>
    <row r="6205" spans="1:5">
      <c r="A6205" s="12" t="s">
        <v>12774</v>
      </c>
      <c r="B6205" s="12" t="s">
        <v>12780</v>
      </c>
      <c r="C6205" s="13" t="str">
        <f>HYPERLINK("https://audio.iskcondesiretree.com/02_-_ISKCON_Swamis/ISKCON_Swamis_-_R_to_Y/His_Holiness_Radhanath_Swami/Lectures/Short_Clips/Are_you_reading_black_or_white_-_Radhanath_Swami.mp3", "Are_you_reading_black_or_white_-_Radhanath_Swami.mp3")</f>
        <v>Are_you_reading_black_or_white_-_Radhanath_Swami.mp3</v>
      </c>
      <c r="D6205" s="11"/>
      <c r="E6205" s="11"/>
    </row>
    <row r="6206" spans="1:5">
      <c r="A6206" s="12" t="s">
        <v>12774</v>
      </c>
      <c r="B6206" s="12" t="s">
        <v>12781</v>
      </c>
      <c r="C6206" s="13" t="str">
        <f>HYPERLINK("https://audio.iskcondesiretree.com/02_-_ISKCON_Swamis/ISKCON_Swamis_-_R_to_Y/His_Holiness_Radhanath_Swami/Lectures/Short_Clips/Art_Of_Tolerance_-_Radhanath_Swami.mp3", "Art_Of_Tolerance_-_Radhanath_Swami.mp3")</f>
        <v>Art_Of_Tolerance_-_Radhanath_Swami.mp3</v>
      </c>
      <c r="D6206" s="11"/>
      <c r="E6206" s="11"/>
    </row>
    <row r="6207" spans="1:5">
      <c r="A6207" s="12" t="s">
        <v>12774</v>
      </c>
      <c r="B6207" s="12" t="s">
        <v>12782</v>
      </c>
      <c r="C6207" s="13" t="str">
        <f>HYPERLINK("https://audio.iskcondesiretree.com/02_-_ISKCON_Swamis/ISKCON_Swamis_-_R_to_Y/His_Holiness_Radhanath_Swami/Lectures/Short_Clips/Association_Is_Contagious_-_Radhanath_Swami.mp3", "Association_Is_Contagious_-_Radhanath_Swami.mp3")</f>
        <v>Association_Is_Contagious_-_Radhanath_Swami.mp3</v>
      </c>
      <c r="D6207" s="11"/>
      <c r="E6207" s="11"/>
    </row>
    <row r="6208" spans="1:5">
      <c r="A6208" s="12" t="s">
        <v>12774</v>
      </c>
      <c r="B6208" s="12" t="s">
        <v>12783</v>
      </c>
      <c r="C6208" s="13" t="str">
        <f>HYPERLINK("https://audio.iskcondesiretree.com/02_-_ISKCON_Swamis/ISKCON_Swamis_-_R_to_Y/His_Holiness_Radhanath_Swami/Lectures/Short_Clips/Attachment_To_Devotees_Is_Attachment_To_Krishna_-_Radhanath_Swami.mp3", "Attachment_To_Devotees_Is_Attachment_To_Krishna_-_Radhanath_Swami.mp3")</f>
        <v>Attachment_To_Devotees_Is_Attachment_To_Krishna_-_Radhanath_Swami.mp3</v>
      </c>
      <c r="D6208" s="11"/>
      <c r="E6208" s="11"/>
    </row>
    <row r="6209" spans="1:5">
      <c r="A6209" s="12" t="s">
        <v>12774</v>
      </c>
      <c r="B6209" s="12" t="s">
        <v>12784</v>
      </c>
      <c r="C6209" s="13" t="str">
        <f>HYPERLINK("https://audio.iskcondesiretree.com/02_-_ISKCON_Swamis/ISKCON_Swamis_-_R_to_Y/His_Holiness_Radhanath_Swami/Lectures/Short_Clips/Balance_Is_The_Key_To_Success_-_Radhanath_Swami.mp3", "Balance_Is_The_Key_To_Success_-_Radhanath_Swami.mp3")</f>
        <v>Balance_Is_The_Key_To_Success_-_Radhanath_Swami.mp3</v>
      </c>
      <c r="D6209" s="11"/>
      <c r="E6209" s="11"/>
    </row>
    <row r="6210" spans="1:5">
      <c r="A6210" s="12" t="s">
        <v>12774</v>
      </c>
      <c r="B6210" s="12" t="s">
        <v>12785</v>
      </c>
      <c r="C6210" s="13" t="str">
        <f>HYPERLINK("https://audio.iskcondesiretree.com/02_-_ISKCON_Swamis/ISKCON_Swamis_-_R_to_Y/His_Holiness_Radhanath_Swami/Lectures/Short_Clips/Being_attracted_to_Krishna_-_Radhanath_Swami.mp3", "Being_attracted_to_Krishna_-_Radhanath_Swami.mp3")</f>
        <v>Being_attracted_to_Krishna_-_Radhanath_Swami.mp3</v>
      </c>
      <c r="D6210" s="11"/>
      <c r="E6210" s="11"/>
    </row>
    <row r="6211" spans="1:5">
      <c r="A6211" s="12" t="s">
        <v>12774</v>
      </c>
      <c r="B6211" s="12" t="s">
        <v>12786</v>
      </c>
      <c r="C6211" s="13" t="str">
        <f>HYPERLINK("https://audio.iskcondesiretree.com/02_-_ISKCON_Swamis/ISKCON_Swamis_-_R_to_Y/His_Holiness_Radhanath_Swami/Lectures/Short_Clips/Berries_Of_Affection_-_Radhanath_Swami.mp3", "Berries_Of_Affection_-_Radhanath_Swami.mp3")</f>
        <v>Berries_Of_Affection_-_Radhanath_Swami.mp3</v>
      </c>
      <c r="D6211" s="11"/>
      <c r="E6211" s="11"/>
    </row>
    <row r="6212" spans="1:5">
      <c r="A6212" s="12" t="s">
        <v>12774</v>
      </c>
      <c r="B6212" s="12" t="s">
        <v>12787</v>
      </c>
      <c r="C6212" s="13" t="str">
        <f>HYPERLINK("https://audio.iskcondesiretree.com/02_-_ISKCON_Swamis/ISKCON_Swamis_-_R_to_Y/His_Holiness_Radhanath_Swami/Lectures/Short_Clips/Bhakti_Is_To_Turn_Our_Attention_Back_To_The_Lord_-_Radhanath_Swami.mp3", "Bhakti_Is_To_Turn_Our_Attention_Back_To_The_Lord_-_Radhanath_Swami.mp3")</f>
        <v>Bhakti_Is_To_Turn_Our_Attention_Back_To_The_Lord_-_Radhanath_Swami.mp3</v>
      </c>
      <c r="D6212" s="11"/>
      <c r="E6212" s="11"/>
    </row>
    <row r="6213" spans="1:5">
      <c r="A6213" s="12" t="s">
        <v>12774</v>
      </c>
      <c r="B6213" s="12" t="s">
        <v>12788</v>
      </c>
      <c r="C6213" s="13" t="str">
        <f>HYPERLINK("https://audio.iskcondesiretree.com/02_-_ISKCON_Swamis/ISKCON_Swamis_-_R_to_Y/His_Holiness_Radhanath_Swami/Lectures/Short_Clips/Bhakti_The_Yoga_Of_Love_-_Radhanath_Swami.mp3", "Bhakti_The_Yoga_Of_Love_-_Radhanath_Swami.mp3")</f>
        <v>Bhakti_The_Yoga_Of_Love_-_Radhanath_Swami.mp3</v>
      </c>
      <c r="D6213" s="11"/>
      <c r="E6213" s="11"/>
    </row>
    <row r="6214" spans="1:5">
      <c r="A6214" s="12" t="s">
        <v>12774</v>
      </c>
      <c r="B6214" s="12" t="s">
        <v>12789</v>
      </c>
      <c r="C6214" s="13" t="str">
        <f>HYPERLINK("https://audio.iskcondesiretree.com/02_-_ISKCON_Swamis/ISKCON_Swamis_-_R_to_Y/His_Holiness_Radhanath_Swami/Lectures/Short_Clips/Bhakti_Yoga_Is_About_Tuning_Into_Grace_-_Radhanath_Swami.mp3", "Bhakti_Yoga_Is_About_Tuning_Into_Grace_-_Radhanath_Swami.mp3")</f>
        <v>Bhakti_Yoga_Is_About_Tuning_Into_Grace_-_Radhanath_Swami.mp3</v>
      </c>
      <c r="D6214" s="11"/>
      <c r="E6214" s="11"/>
    </row>
    <row r="6215" spans="1:5">
      <c r="A6215" s="12" t="s">
        <v>12774</v>
      </c>
      <c r="B6215" s="12" t="s">
        <v>12790</v>
      </c>
      <c r="C6215" s="13" t="str">
        <f>HYPERLINK("https://audio.iskcondesiretree.com/02_-_ISKCON_Swamis/ISKCON_Swamis_-_R_to_Y/His_Holiness_Radhanath_Swami/Lectures/Short_Clips/Bhakti_Yoga_Is_Beautiful_-_Radhanath_Swami.mp3", "Bhakti_Yoga_Is_Beautiful_-_Radhanath_Swami.mp3")</f>
        <v>Bhakti_Yoga_Is_Beautiful_-_Radhanath_Swami.mp3</v>
      </c>
      <c r="D6215" s="11"/>
      <c r="E6215" s="11"/>
    </row>
    <row r="6216" spans="1:5">
      <c r="A6216" s="12" t="s">
        <v>12774</v>
      </c>
      <c r="B6216" s="12" t="s">
        <v>12791</v>
      </c>
      <c r="C6216" s="13" t="str">
        <f>HYPERLINK("https://audio.iskcondesiretree.com/02_-_ISKCON_Swamis/ISKCON_Swamis_-_R_to_Y/His_Holiness_Radhanath_Swami/Lectures/Short_Clips/Breaking_Bad_Habits_-_Radhanath_Swami.mp3", "Breaking_Bad_Habits_-_Radhanath_Swami.mp3")</f>
        <v>Breaking_Bad_Habits_-_Radhanath_Swami.mp3</v>
      </c>
      <c r="D6216" s="11"/>
      <c r="E6216" s="11"/>
    </row>
    <row r="6217" spans="1:5">
      <c r="A6217" s="12" t="s">
        <v>12774</v>
      </c>
      <c r="B6217" s="12" t="s">
        <v>12792</v>
      </c>
      <c r="C6217" s="13" t="str">
        <f>HYPERLINK("https://audio.iskcondesiretree.com/02_-_ISKCON_Swamis/ISKCON_Swamis_-_R_to_Y/His_Holiness_Radhanath_Swami/Lectures/Short_Clips/Building_Self_Confidence_In_Children_-_Radhanath_Swami.mp3", "Building_Self_Confidence_In_Children_-_Radhanath_Swami.mp3")</f>
        <v>Building_Self_Confidence_In_Children_-_Radhanath_Swami.mp3</v>
      </c>
      <c r="D6217" s="11"/>
      <c r="E6217" s="11"/>
    </row>
    <row r="6218" spans="1:5">
      <c r="A6218" s="12" t="s">
        <v>12774</v>
      </c>
      <c r="B6218" s="12" t="s">
        <v>12793</v>
      </c>
      <c r="C6218" s="13" t="str">
        <f>HYPERLINK("https://audio.iskcondesiretree.com/02_-_ISKCON_Swamis/ISKCON_Swamis_-_R_to_Y/His_Holiness_Radhanath_Swami/Lectures/Short_Clips/Can%27t_we_make_the_connection_-_Radhanath_Swami.mp3", "Can%27t_we_make_the_connection_-_Radhanath_Swami.mp3")</f>
        <v>Can%27t_we_make_the_connection_-_Radhanath_Swami.mp3</v>
      </c>
      <c r="D6218" s="11"/>
      <c r="E6218" s="11"/>
    </row>
    <row r="6219" spans="1:5">
      <c r="A6219" s="12" t="s">
        <v>12774</v>
      </c>
      <c r="B6219" s="12" t="s">
        <v>12794</v>
      </c>
      <c r="C6219" s="13" t="str">
        <f>HYPERLINK("https://audio.iskcondesiretree.com/02_-_ISKCON_Swamis/ISKCON_Swamis_-_R_to_Y/His_Holiness_Radhanath_Swami/Lectures/Short_Clips/Choose_The_Hurricane_Or_The_Harinaam_-_Radhanath_Swami.mp3", "Choose_The_Hurricane_Or_The_Harinaam_-_Radhanath_Swami.mp3")</f>
        <v>Choose_The_Hurricane_Or_The_Harinaam_-_Radhanath_Swami.mp3</v>
      </c>
      <c r="D6219" s="11"/>
      <c r="E6219" s="11"/>
    </row>
    <row r="6220" spans="1:5">
      <c r="A6220" s="12" t="s">
        <v>12774</v>
      </c>
      <c r="B6220" s="12" t="s">
        <v>12795</v>
      </c>
      <c r="C6220" s="13" t="str">
        <f>HYPERLINK("https://audio.iskcondesiretree.com/02_-_ISKCON_Swamis/ISKCON_Swamis_-_R_to_Y/His_Holiness_Radhanath_Swami/Lectures/Short_Clips/Cleaning_The_Dust_On_Mirror_-_Radhanath_Swami.mp3", "Cleaning_The_Dust_On_Mirror_-_Radhanath_Swami.mp3")</f>
        <v>Cleaning_The_Dust_On_Mirror_-_Radhanath_Swami.mp3</v>
      </c>
      <c r="D6220" s="11"/>
      <c r="E6220" s="11"/>
    </row>
    <row r="6221" spans="1:5">
      <c r="A6221" s="12" t="s">
        <v>12774</v>
      </c>
      <c r="B6221" s="12" t="s">
        <v>12796</v>
      </c>
      <c r="C6221" s="13" t="str">
        <f>HYPERLINK("https://audio.iskcondesiretree.com/02_-_ISKCON_Swamis/ISKCON_Swamis_-_R_to_Y/His_Holiness_Radhanath_Swami/Lectures/Short_Clips/Consiousness_Really_Matters_-_Radhanath_Swami.mp3", "Consiousness_Really_Matters_-_Radhanath_Swami.mp3")</f>
        <v>Consiousness_Really_Matters_-_Radhanath_Swami.mp3</v>
      </c>
      <c r="D6221" s="11"/>
      <c r="E6221" s="11"/>
    </row>
    <row r="6222" spans="1:5">
      <c r="A6222" s="12" t="s">
        <v>12774</v>
      </c>
      <c r="B6222" s="12" t="s">
        <v>12797</v>
      </c>
      <c r="C6222" s="13" t="str">
        <f>HYPERLINK("https://audio.iskcondesiretree.com/02_-_ISKCON_Swamis/ISKCON_Swamis_-_R_to_Y/His_Holiness_Radhanath_Swami/Lectures/Short_Clips/Conviction_and_Inner_Realization_Brings_Satisfaction_-_Radhanath_Swami.mp3", "Conviction_and_Inner_Realization_Brings_Satisfaction_-_Radhanath_Swami.mp3")</f>
        <v>Conviction_and_Inner_Realization_Brings_Satisfaction_-_Radhanath_Swami.mp3</v>
      </c>
      <c r="D6222" s="11"/>
      <c r="E6222" s="11"/>
    </row>
    <row r="6223" spans="1:5">
      <c r="A6223" s="12" t="s">
        <v>12774</v>
      </c>
      <c r="B6223" s="12" t="s">
        <v>12798</v>
      </c>
      <c r="C6223" s="13" t="str">
        <f>HYPERLINK("https://audio.iskcondesiretree.com/02_-_ISKCON_Swamis/ISKCON_Swamis_-_R_to_Y/His_Holiness_Radhanath_Swami/Lectures/Short_Clips/Cows_Love_for_Krishna_in_Vrindavan_-_Radhanath_Swami.mp3", "Cows_Love_for_Krishna_in_Vrindavan_-_Radhanath_Swami.mp3")</f>
        <v>Cows_Love_for_Krishna_in_Vrindavan_-_Radhanath_Swami.mp3</v>
      </c>
      <c r="D6223" s="11"/>
      <c r="E6223" s="11"/>
    </row>
    <row r="6224" spans="1:5">
      <c r="A6224" s="12" t="s">
        <v>12774</v>
      </c>
      <c r="B6224" s="12" t="s">
        <v>12799</v>
      </c>
      <c r="C6224" s="13" t="str">
        <f>HYPERLINK("https://audio.iskcondesiretree.com/02_-_ISKCON_Swamis/ISKCON_Swamis_-_R_to_Y/His_Holiness_Radhanath_Swami/Lectures/Short_Clips/Creating_Foundation_In_Children_-_Radhanath_Swami.mp3", "Creating_Foundation_In_Children_-_Radhanath_Swami.mp3")</f>
        <v>Creating_Foundation_In_Children_-_Radhanath_Swami.mp3</v>
      </c>
      <c r="D6224" s="11"/>
      <c r="E6224" s="11"/>
    </row>
    <row r="6225" spans="1:5">
      <c r="A6225" s="12" t="s">
        <v>12774</v>
      </c>
      <c r="B6225" s="12" t="s">
        <v>12800</v>
      </c>
      <c r="C6225" s="13" t="str">
        <f>HYPERLINK("https://audio.iskcondesiretree.com/02_-_ISKCON_Swamis/ISKCON_Swamis_-_R_to_Y/His_Holiness_Radhanath_Swami/Lectures/Short_Clips/Cultivating_Strong_Intelligence_and_Conviction_-_Radhanath_Swami.mp3", "Cultivating_Strong_Intelligence_and_Conviction_-_Radhanath_Swami.mp3")</f>
        <v>Cultivating_Strong_Intelligence_and_Conviction_-_Radhanath_Swami.mp3</v>
      </c>
      <c r="D6225" s="11"/>
      <c r="E6225" s="11"/>
    </row>
    <row r="6226" spans="1:5">
      <c r="A6226" s="12" t="s">
        <v>12774</v>
      </c>
      <c r="B6226" s="12" t="s">
        <v>12801</v>
      </c>
      <c r="C6226" s="13" t="str">
        <f>HYPERLINK("https://audio.iskcondesiretree.com/02_-_ISKCON_Swamis/ISKCON_Swamis_-_R_to_Y/His_Holiness_Radhanath_Swami/Lectures/Short_Clips/Damodarashtakam_-_Radhanath_Swami.mp3", "Damodarashtakam_-_Radhanath_Swami.mp3")</f>
        <v>Damodarashtakam_-_Radhanath_Swami.mp3</v>
      </c>
      <c r="D6226" s="11"/>
      <c r="E6226" s="11"/>
    </row>
    <row r="6227" spans="1:5">
      <c r="A6227" s="12" t="s">
        <v>12774</v>
      </c>
      <c r="B6227" s="12" t="s">
        <v>12802</v>
      </c>
      <c r="C6227" s="13" t="str">
        <f>HYPERLINK("https://audio.iskcondesiretree.com/02_-_ISKCON_Swamis/ISKCON_Swamis_-_R_to_Y/His_Holiness_Radhanath_Swami/Lectures/Short_Clips/Deep_Inside_Everyone_Is_Beautiful_-_Radhanath_Swami.mp3", "Deep_Inside_Everyone_Is_Beautiful_-_Radhanath_Swami.mp3")</f>
        <v>Deep_Inside_Everyone_Is_Beautiful_-_Radhanath_Swami.mp3</v>
      </c>
      <c r="D6227" s="11"/>
      <c r="E6227" s="11"/>
    </row>
    <row r="6228" spans="1:5">
      <c r="A6228" s="12" t="s">
        <v>12774</v>
      </c>
      <c r="B6228" s="12" t="s">
        <v>12803</v>
      </c>
      <c r="C6228" s="13" t="str">
        <f>HYPERLINK("https://audio.iskcondesiretree.com/02_-_ISKCON_Swamis/ISKCON_Swamis_-_R_to_Y/His_Holiness_Radhanath_Swami/Lectures/Short_Clips/Defining_Yoga_From_Vedic_Perspective.mp3", "Defining_Yoga_From_Vedic_Perspective.mp3")</f>
        <v>Defining_Yoga_From_Vedic_Perspective.mp3</v>
      </c>
      <c r="D6228" s="11"/>
      <c r="E6228" s="11"/>
    </row>
    <row r="6229" spans="1:5">
      <c r="A6229" s="12" t="s">
        <v>12774</v>
      </c>
      <c r="B6229" s="12" t="s">
        <v>12804</v>
      </c>
      <c r="C6229" s="13" t="str">
        <f>HYPERLINK("https://audio.iskcondesiretree.com/02_-_ISKCON_Swamis/ISKCON_Swamis_-_R_to_Y/His_Holiness_Radhanath_Swami/Lectures/Short_Clips/Detachment_And_Compassion_-_Radhanath_Swami.mp3", "Detachment_And_Compassion_-_Radhanath_Swami.mp3")</f>
        <v>Detachment_And_Compassion_-_Radhanath_Swami.mp3</v>
      </c>
      <c r="D6229" s="11"/>
      <c r="E6229" s="11"/>
    </row>
    <row r="6230" spans="1:5">
      <c r="A6230" s="12" t="s">
        <v>12774</v>
      </c>
      <c r="B6230" s="12" t="s">
        <v>12805</v>
      </c>
      <c r="C6230" s="13" t="str">
        <f>HYPERLINK("https://audio.iskcondesiretree.com/02_-_ISKCON_Swamis/ISKCON_Swamis_-_R_to_Y/His_Holiness_Radhanath_Swami/Lectures/Short_Clips/Devoted_To_Each_Other_-_Radhanath_Swami.mp3", "Devoted_To_Each_Other_-_Radhanath_Swami.mp3")</f>
        <v>Devoted_To_Each_Other_-_Radhanath_Swami.mp3</v>
      </c>
      <c r="D6230" s="11"/>
      <c r="E6230" s="11"/>
    </row>
    <row r="6231" spans="1:5">
      <c r="A6231" s="12" t="s">
        <v>12774</v>
      </c>
      <c r="B6231" s="12" t="s">
        <v>12806</v>
      </c>
      <c r="C6231" s="13" t="str">
        <f>HYPERLINK("https://audio.iskcondesiretree.com/02_-_ISKCON_Swamis/ISKCON_Swamis_-_R_to_Y/His_Holiness_Radhanath_Swami/Lectures/Short_Clips/Different_Levels_Of_Perception_-_Radhanath_Swami%20%282%29.mp3", "Different_Levels_Of_Perception_-_Radhanath_Swami%20%282%29.mp3")</f>
        <v>Different_Levels_Of_Perception_-_Radhanath_Swami%20%282%29.mp3</v>
      </c>
      <c r="D6231" s="11"/>
      <c r="E6231" s="11"/>
    </row>
    <row r="6232" spans="1:5">
      <c r="A6232" s="12" t="s">
        <v>12774</v>
      </c>
      <c r="B6232" s="12" t="s">
        <v>12807</v>
      </c>
      <c r="C6232" s="13" t="str">
        <f>HYPERLINK("https://audio.iskcondesiretree.com/02_-_ISKCON_Swamis/ISKCON_Swamis_-_R_to_Y/His_Holiness_Radhanath_Swami/Lectures/Short_Clips/Different_Levels_Of_Perception_-_Radhanath_Swami.mp3", "Different_Levels_Of_Perception_-_Radhanath_Swami.mp3")</f>
        <v>Different_Levels_Of_Perception_-_Radhanath_Swami.mp3</v>
      </c>
      <c r="D6232" s="11"/>
      <c r="E6232" s="11"/>
    </row>
    <row r="6233" spans="1:5">
      <c r="A6233" s="12" t="s">
        <v>12774</v>
      </c>
      <c r="B6233" s="12" t="s">
        <v>12808</v>
      </c>
      <c r="C6233" s="13" t="str">
        <f>HYPERLINK("https://audio.iskcondesiretree.com/02_-_ISKCON_Swamis/ISKCON_Swamis_-_R_to_Y/His_Holiness_Radhanath_Swami/Lectures/Short_Clips/Dive_Deeper_Into_The_River_Of_Life_-_Radhanath_Swami.mp3", "Dive_Deeper_Into_The_River_Of_Life_-_Radhanath_Swami.mp3")</f>
        <v>Dive_Deeper_Into_The_River_Of_Life_-_Radhanath_Swami.mp3</v>
      </c>
      <c r="D6233" s="11"/>
      <c r="E6233" s="11"/>
    </row>
    <row r="6234" spans="1:5">
      <c r="A6234" s="12" t="s">
        <v>12774</v>
      </c>
      <c r="B6234" s="12" t="s">
        <v>12809</v>
      </c>
      <c r="C6234" s="13" t="str">
        <f>HYPERLINK("https://audio.iskcondesiretree.com/02_-_ISKCON_Swamis/ISKCON_Swamis_-_R_to_Y/His_Holiness_Radhanath_Swami/Lectures/Short_Clips/Don%E2%80%99t_Lose_Faith_If_You_Don%E2%80%99t_See_Immediate_Results_-_Radhanath_Swami.mp3", "Don%E2%80%99t_Lose_Faith_If_You_Don%E2%80%99t_See_Immediate_Results_-_Radhanath_Swami.mp3")</f>
        <v>Don%E2%80%99t_Lose_Faith_If_You_Don%E2%80%99t_See_Immediate_Results_-_Radhanath_Swami.mp3</v>
      </c>
      <c r="D6234" s="11"/>
      <c r="E6234" s="11"/>
    </row>
    <row r="6235" spans="1:5">
      <c r="A6235" s="12" t="s">
        <v>12774</v>
      </c>
      <c r="B6235" s="12" t="s">
        <v>12810</v>
      </c>
      <c r="C6235" s="13" t="str">
        <f>HYPERLINK("https://audio.iskcondesiretree.com/02_-_ISKCON_Swamis/ISKCON_Swamis_-_R_to_Y/His_Holiness_Radhanath_Swami/Lectures/Short_Clips/Dying_To_Live_-_Radhanath_Swami.mp3", "Dying_To_Live_-_Radhanath_Swami.mp3")</f>
        <v>Dying_To_Live_-_Radhanath_Swami.mp3</v>
      </c>
      <c r="D6235" s="11"/>
      <c r="E6235" s="11"/>
    </row>
    <row r="6236" spans="1:5">
      <c r="A6236" s="12" t="s">
        <v>12774</v>
      </c>
      <c r="B6236" s="12" t="s">
        <v>12811</v>
      </c>
      <c r="C6236" s="13" t="str">
        <f>HYPERLINK("https://audio.iskcondesiretree.com/02_-_ISKCON_Swamis/ISKCON_Swamis_-_R_to_Y/His_Holiness_Radhanath_Swami/Lectures/Short_Clips/Even_Good_Intentions_Should_Be_In_Harmony_With_Divine_Plan_-_Radhanath_Swami.mp3", "Even_Good_Intentions_Should_Be_In_Harmony_With_Divine_Plan_-_Radhanath_Swami.mp3")</f>
        <v>Even_Good_Intentions_Should_Be_In_Harmony_With_Divine_Plan_-_Radhanath_Swami.mp3</v>
      </c>
      <c r="D6236" s="11"/>
      <c r="E6236" s="11"/>
    </row>
    <row r="6237" spans="1:5">
      <c r="A6237" s="12" t="s">
        <v>12774</v>
      </c>
      <c r="B6237" s="12" t="s">
        <v>12812</v>
      </c>
      <c r="C6237" s="13" t="str">
        <f>HYPERLINK("https://audio.iskcondesiretree.com/02_-_ISKCON_Swamis/ISKCON_Swamis_-_R_to_Y/His_Holiness_Radhanath_Swami/Lectures/Short_Clips/Every_Living_Being_Is_Our_Neighbour_-_Radhanath_Swami.mp3", "Every_Living_Being_Is_Our_Neighbour_-_Radhanath_Swami.mp3")</f>
        <v>Every_Living_Being_Is_Our_Neighbour_-_Radhanath_Swami.mp3</v>
      </c>
      <c r="D6237" s="11"/>
      <c r="E6237" s="11"/>
    </row>
    <row r="6238" spans="1:5">
      <c r="A6238" s="12" t="s">
        <v>12774</v>
      </c>
      <c r="B6238" s="12" t="s">
        <v>12813</v>
      </c>
      <c r="C6238" s="13" t="str">
        <f>HYPERLINK("https://audio.iskcondesiretree.com/02_-_ISKCON_Swamis/ISKCON_Swamis_-_R_to_Y/His_Holiness_Radhanath_Swami/Lectures/Short_Clips/Every_Religious_Path_Is_To_Clean_Our_Heart_-_Radhanath_Swami.mp3", "Every_Religious_Path_Is_To_Clean_Our_Heart_-_Radhanath_Swami.mp3")</f>
        <v>Every_Religious_Path_Is_To_Clean_Our_Heart_-_Radhanath_Swami.mp3</v>
      </c>
      <c r="D6238" s="11"/>
      <c r="E6238" s="11"/>
    </row>
    <row r="6239" spans="1:5">
      <c r="A6239" s="12" t="s">
        <v>12774</v>
      </c>
      <c r="B6239" s="12" t="s">
        <v>12814</v>
      </c>
      <c r="C6239" s="13" t="str">
        <f>HYPERLINK("https://audio.iskcondesiretree.com/02_-_ISKCON_Swamis/ISKCON_Swamis_-_R_to_Y/His_Holiness_Radhanath_Swami/Lectures/Short_Clips/Every_Situation_Is_An_Opportunity_To_Express_Love_For_Krishna_-_Radhanath_Swami.mp3", "Every_Situation_Is_An_Opportunity_To_Express_Love_For_Krishna_-_Radhanath_Swami.mp3")</f>
        <v>Every_Situation_Is_An_Opportunity_To_Express_Love_For_Krishna_-_Radhanath_Swami.mp3</v>
      </c>
      <c r="D6239" s="11"/>
      <c r="E6239" s="11"/>
    </row>
    <row r="6240" spans="1:5">
      <c r="A6240" s="12" t="s">
        <v>12774</v>
      </c>
      <c r="B6240" s="12" t="s">
        <v>12815</v>
      </c>
      <c r="C6240" s="13" t="str">
        <f>HYPERLINK("https://audio.iskcondesiretree.com/02_-_ISKCON_Swamis/ISKCON_Swamis_-_R_to_Y/His_Holiness_Radhanath_Swami/Lectures/Short_Clips/Experience_the_Higher_Taste_-_Radhanath_Swami.mp3", "Experience_the_Higher_Taste_-_Radhanath_Swami.mp3")</f>
        <v>Experience_the_Higher_Taste_-_Radhanath_Swami.mp3</v>
      </c>
      <c r="D6240" s="11"/>
      <c r="E6240" s="11"/>
    </row>
    <row r="6241" spans="1:5">
      <c r="A6241" s="12" t="s">
        <v>12774</v>
      </c>
      <c r="B6241" s="12" t="s">
        <v>12816</v>
      </c>
      <c r="C6241" s="13" t="str">
        <f>HYPERLINK("https://audio.iskcondesiretree.com/02_-_ISKCON_Swamis/ISKCON_Swamis_-_R_to_Y/His_Holiness_Radhanath_Swami/Lectures/Short_Clips/Failures_Are_Stepping_Stones_To_Success_-_Radhanath_Swami.mp3", "Failures_Are_Stepping_Stones_To_Success_-_Radhanath_Swami.mp3")</f>
        <v>Failures_Are_Stepping_Stones_To_Success_-_Radhanath_Swami.mp3</v>
      </c>
      <c r="D6241" s="11"/>
      <c r="E6241" s="11"/>
    </row>
    <row r="6242" spans="1:5">
      <c r="A6242" s="12" t="s">
        <v>12774</v>
      </c>
      <c r="B6242" s="12" t="s">
        <v>12817</v>
      </c>
      <c r="C6242" s="13" t="str">
        <f>HYPERLINK("https://audio.iskcondesiretree.com/02_-_ISKCON_Swamis/ISKCON_Swamis_-_R_to_Y/His_Holiness_Radhanath_Swami/Lectures/Short_Clips/Fear_And_The_Way_Out_Of_It_-_Radhanath_Swami.mp3", "Fear_And_The_Way_Out_Of_It_-_Radhanath_Swami.mp3")</f>
        <v>Fear_And_The_Way_Out_Of_It_-_Radhanath_Swami.mp3</v>
      </c>
      <c r="D6242" s="11"/>
      <c r="E6242" s="11"/>
    </row>
    <row r="6243" spans="1:5">
      <c r="A6243" s="12" t="s">
        <v>12774</v>
      </c>
      <c r="B6243" s="12" t="s">
        <v>12818</v>
      </c>
      <c r="C6243" s="13" t="str">
        <f>HYPERLINK("https://audio.iskcondesiretree.com/02_-_ISKCON_Swamis/ISKCON_Swamis_-_R_to_Y/His_Holiness_Radhanath_Swami/Lectures/Short_Clips/For_Relationships_To_Have_Deep_Substance_Meaning_And_Fulfillment_-_Radhanath_Swami.mp3", "For_Relationships_To_Have_Deep_Substance_Meaning_And_Fulfillment_-_Radhanath_Swami.mp3")</f>
        <v>For_Relationships_To_Have_Deep_Substance_Meaning_And_Fulfillment_-_Radhanath_Swami.mp3</v>
      </c>
      <c r="D6243" s="11"/>
      <c r="E6243" s="11"/>
    </row>
    <row r="6244" spans="1:5">
      <c r="A6244" s="12" t="s">
        <v>12774</v>
      </c>
      <c r="B6244" s="12" t="s">
        <v>12819</v>
      </c>
      <c r="C6244" s="13" t="str">
        <f>HYPERLINK("https://audio.iskcondesiretree.com/02_-_ISKCON_Swamis/ISKCON_Swamis_-_R_to_Y/His_Holiness_Radhanath_Swami/Lectures/Short_Clips/Forgiveness-The_Basis_Of_All_Relatinoships_-_Radhanath_Swami.mp3", "Forgiveness-The_Basis_Of_All_Relatinoships_-_Radhanath_Swami.mp3")</f>
        <v>Forgiveness-The_Basis_Of_All_Relatinoships_-_Radhanath_Swami.mp3</v>
      </c>
      <c r="D6244" s="11"/>
      <c r="E6244" s="11"/>
    </row>
    <row r="6245" spans="1:5">
      <c r="A6245" s="12" t="s">
        <v>12774</v>
      </c>
      <c r="B6245" s="12" t="s">
        <v>12820</v>
      </c>
      <c r="C6245" s="13" t="str">
        <f>HYPERLINK("https://audio.iskcondesiretree.com/02_-_ISKCON_Swamis/ISKCON_Swamis_-_R_to_Y/His_Holiness_Radhanath_Swami/Lectures/Short_Clips/From_Low_Self_Esteem_To_Self_Confidence_-_Radhanath_Swami.mp3", "From_Low_Self_Esteem_To_Self_Confidence_-_Radhanath_Swami.mp3")</f>
        <v>From_Low_Self_Esteem_To_Self_Confidence_-_Radhanath_Swami.mp3</v>
      </c>
      <c r="D6245" s="11"/>
      <c r="E6245" s="11"/>
    </row>
    <row r="6246" spans="1:5">
      <c r="A6246" s="12" t="s">
        <v>12774</v>
      </c>
      <c r="B6246" s="12" t="s">
        <v>12821</v>
      </c>
      <c r="C6246" s="13" t="str">
        <f>HYPERLINK("https://audio.iskcondesiretree.com/02_-_ISKCON_Swamis/ISKCON_Swamis_-_R_to_Y/His_Holiness_Radhanath_Swami/Lectures/Short_Clips/From_Ritual_to_Spiritual_-_Radhanath_Swami.mp3", "From_Ritual_to_Spiritual_-_Radhanath_Swami.mp3")</f>
        <v>From_Ritual_to_Spiritual_-_Radhanath_Swami.mp3</v>
      </c>
      <c r="D6246" s="11"/>
      <c r="E6246" s="11"/>
    </row>
    <row r="6247" spans="1:5">
      <c r="A6247" s="12" t="s">
        <v>12774</v>
      </c>
      <c r="B6247" s="12" t="s">
        <v>12822</v>
      </c>
      <c r="C6247" s="13" t="str">
        <f>HYPERLINK("https://audio.iskcondesiretree.com/02_-_ISKCON_Swamis/ISKCON_Swamis_-_R_to_Y/His_Holiness_Radhanath_Swami/Lectures/Short_Clips/Fundamental_Need_Of_The_World_-_Radhanath_Swami.mp3", "Fundamental_Need_Of_The_World_-_Radhanath_Swami.mp3")</f>
        <v>Fundamental_Need_Of_The_World_-_Radhanath_Swami.mp3</v>
      </c>
      <c r="D6247" s="11"/>
      <c r="E6247" s="11"/>
    </row>
    <row r="6248" spans="1:5">
      <c r="A6248" s="12" t="s">
        <v>12774</v>
      </c>
      <c r="B6248" s="12" t="s">
        <v>12823</v>
      </c>
      <c r="C6248" s="13" t="str">
        <f>HYPERLINK("https://audio.iskcondesiretree.com/02_-_ISKCON_Swamis/ISKCON_Swamis_-_R_to_Y/His_Holiness_Radhanath_Swami/Lectures/Short_Clips/Glory_Of_The_Holy_Names_-_Radhanath_Swami.mp3", "Glory_Of_The_Holy_Names_-_Radhanath_Swami.mp3")</f>
        <v>Glory_Of_The_Holy_Names_-_Radhanath_Swami.mp3</v>
      </c>
      <c r="D6248" s="11"/>
      <c r="E6248" s="11"/>
    </row>
    <row r="6249" spans="1:5">
      <c r="A6249" s="12" t="s">
        <v>12774</v>
      </c>
      <c r="B6249" s="12" t="s">
        <v>12824</v>
      </c>
      <c r="C6249" s="13" t="str">
        <f>HYPERLINK("https://audio.iskcondesiretree.com/02_-_ISKCON_Swamis/ISKCON_Swamis_-_R_to_Y/His_Holiness_Radhanath_Swami/Lectures/Short_Clips/Go_Deep_Connect_To_Your_Real_Self_-_Radhanath_Swami.mp3", "Go_Deep_Connect_To_Your_Real_Self_-_Radhanath_Swami.mp3")</f>
        <v>Go_Deep_Connect_To_Your_Real_Self_-_Radhanath_Swami.mp3</v>
      </c>
      <c r="D6249" s="11"/>
      <c r="E6249" s="11"/>
    </row>
    <row r="6250" spans="1:5">
      <c r="A6250" s="12" t="s">
        <v>12774</v>
      </c>
      <c r="B6250" s="12" t="s">
        <v>12825</v>
      </c>
      <c r="C6250" s="13" t="str">
        <f>HYPERLINK("https://audio.iskcondesiretree.com/02_-_ISKCON_Swamis/ISKCON_Swamis_-_R_to_Y/His_Holiness_Radhanath_Swami/Lectures/Short_Clips/God%2C_The_Original_Power_House_-_Radhanath_Swami.mp3", "God%2C_The_Original_Power_House_-_Radhanath_Swami.mp3")</f>
        <v>God%2C_The_Original_Power_House_-_Radhanath_Swami.mp3</v>
      </c>
      <c r="D6250" s="11"/>
      <c r="E6250" s="11"/>
    </row>
    <row r="6251" spans="1:5">
      <c r="A6251" s="12" t="s">
        <v>12774</v>
      </c>
      <c r="B6251" s="12" t="s">
        <v>12826</v>
      </c>
      <c r="C6251" s="13" t="str">
        <f>HYPERLINK("https://audio.iskcondesiretree.com/02_-_ISKCON_Swamis/ISKCON_Swamis_-_R_to_Y/His_Holiness_Radhanath_Swami/Lectures/Short_Clips/God_And_Terrorism_-_Radhanath_Swami.mp3", "God_And_Terrorism_-_Radhanath_Swami.mp3")</f>
        <v>God_And_Terrorism_-_Radhanath_Swami.mp3</v>
      </c>
      <c r="D6251" s="11"/>
      <c r="E6251" s="11"/>
    </row>
    <row r="6252" spans="1:5">
      <c r="A6252" s="12" t="s">
        <v>12774</v>
      </c>
      <c r="B6252" s="12" t="s">
        <v>12827</v>
      </c>
      <c r="C6252" s="13" t="str">
        <f>HYPERLINK("https://audio.iskcondesiretree.com/02_-_ISKCON_Swamis/ISKCON_Swamis_-_R_to_Y/His_Holiness_Radhanath_Swami/Lectures/Short_Clips/Golden_rule_for_kirtan_-_Radhanath_Swami.mp3", "Golden_rule_for_kirtan_-_Radhanath_Swami.mp3")</f>
        <v>Golden_rule_for_kirtan_-_Radhanath_Swami.mp3</v>
      </c>
      <c r="D6252" s="11"/>
      <c r="E6252" s="11"/>
    </row>
    <row r="6253" spans="1:5">
      <c r="A6253" s="12" t="s">
        <v>12774</v>
      </c>
      <c r="B6253" s="12" t="s">
        <v>12828</v>
      </c>
      <c r="C6253" s="13" t="str">
        <f>HYPERLINK("https://audio.iskcondesiretree.com/02_-_ISKCON_Swamis/ISKCON_Swamis_-_R_to_Y/His_Holiness_Radhanath_Swami/Lectures/Short_Clips/Gratitude_And_Ingratitude_-_Radhanath_Swami.mp3", "Gratitude_And_Ingratitude_-_Radhanath_Swami.mp3")</f>
        <v>Gratitude_And_Ingratitude_-_Radhanath_Swami.mp3</v>
      </c>
      <c r="D6253" s="11"/>
      <c r="E6253" s="11"/>
    </row>
    <row r="6254" spans="1:5">
      <c r="A6254" s="12" t="s">
        <v>12774</v>
      </c>
      <c r="B6254" s="12" t="s">
        <v>12829</v>
      </c>
      <c r="C6254" s="13" t="str">
        <f>HYPERLINK("https://audio.iskcondesiretree.com/02_-_ISKCON_Swamis/ISKCON_Swamis_-_R_to_Y/His_Holiness_Radhanath_Swami/Lectures/Short_Clips/Greatest_Need_In_Today%E2%80%99s_Society_Is_People_Who_Live_By_A_Good_Example_-_Radhanath_Swami.mp3", "Greatest_Need_In_Today%E2%80%99s_Society_Is_People_Who_Live_By_A_Good_Example_-_Radhanath_Swami.mp3")</f>
        <v>Greatest_Need_In_Today%E2%80%99s_Society_Is_People_Who_Live_By_A_Good_Example_-_Radhanath_Swami.mp3</v>
      </c>
      <c r="D6254" s="11"/>
      <c r="E6254" s="11"/>
    </row>
    <row r="6255" spans="1:5">
      <c r="A6255" s="12" t="s">
        <v>12774</v>
      </c>
      <c r="B6255" s="12" t="s">
        <v>12830</v>
      </c>
      <c r="C6255" s="13" t="str">
        <f>HYPERLINK("https://audio.iskcondesiretree.com/02_-_ISKCON_Swamis/ISKCON_Swamis_-_R_to_Y/His_Holiness_Radhanath_Swami/Lectures/Short_Clips/Greatest_Need_Of_Today_is_to_Tolerate_Sectarianism_-_Radhanath_Swami.mp3", "Greatest_Need_Of_Today_is_to_Tolerate_Sectarianism_-_Radhanath_Swami.mp3")</f>
        <v>Greatest_Need_Of_Today_is_to_Tolerate_Sectarianism_-_Radhanath_Swami.mp3</v>
      </c>
      <c r="D6255" s="11"/>
      <c r="E6255" s="11"/>
    </row>
    <row r="6256" spans="1:5">
      <c r="A6256" s="12" t="s">
        <v>12774</v>
      </c>
      <c r="B6256" s="12" t="s">
        <v>12831</v>
      </c>
      <c r="C6256" s="13" t="str">
        <f>HYPERLINK("https://audio.iskcondesiretree.com/02_-_ISKCON_Swamis/ISKCON_Swamis_-_R_to_Y/His_Holiness_Radhanath_Swami/Lectures/Short_Clips/Greatness_is_Ability_To_Tolerate_Provoking_Situations_-_Radhanath_Swami.mp3", "Greatness_is_Ability_To_Tolerate_Provoking_Situations_-_Radhanath_Swami.mp3")</f>
        <v>Greatness_is_Ability_To_Tolerate_Provoking_Situations_-_Radhanath_Swami.mp3</v>
      </c>
      <c r="D6256" s="11"/>
      <c r="E6256" s="11"/>
    </row>
    <row r="6257" spans="1:5">
      <c r="A6257" s="12" t="s">
        <v>12774</v>
      </c>
      <c r="B6257" s="12" t="s">
        <v>12832</v>
      </c>
      <c r="C6257" s="13" t="str">
        <f>HYPERLINK("https://audio.iskcondesiretree.com/02_-_ISKCON_Swamis/ISKCON_Swamis_-_R_to_Y/His_Holiness_Radhanath_Swami/Lectures/Short_Clips/Habits_Cover_Our_Logic_And_Intelligence_-_Radhanath_Swami.mp3", "Habits_Cover_Our_Logic_And_Intelligence_-_Radhanath_Swami.mp3")</f>
        <v>Habits_Cover_Our_Logic_And_Intelligence_-_Radhanath_Swami.mp3</v>
      </c>
      <c r="D6257" s="11"/>
      <c r="E6257" s="11"/>
    </row>
    <row r="6258" spans="1:5">
      <c r="A6258" s="12" t="s">
        <v>12774</v>
      </c>
      <c r="B6258" s="12" t="s">
        <v>12833</v>
      </c>
      <c r="C6258" s="13" t="str">
        <f>HYPERLINK("https://audio.iskcondesiretree.com/02_-_ISKCON_Swamis/ISKCON_Swamis_-_R_to_Y/His_Holiness_Radhanath_Swami/Lectures/Short_Clips/Hanuman%27s_Yoga_-_Radhanath_Swami.mp3", "Hanuman%27s_Yoga_-_Radhanath_Swami.mp3")</f>
        <v>Hanuman%27s_Yoga_-_Radhanath_Swami.mp3</v>
      </c>
      <c r="D6258" s="11"/>
      <c r="E6258" s="11"/>
    </row>
    <row r="6259" spans="1:5">
      <c r="A6259" s="12" t="s">
        <v>12774</v>
      </c>
      <c r="B6259" s="12" t="s">
        <v>12834</v>
      </c>
      <c r="C6259" s="13" t="str">
        <f>HYPERLINK("https://audio.iskcondesiretree.com/02_-_ISKCON_Swamis/ISKCON_Swamis_-_R_to_Y/His_Holiness_Radhanath_Swami/Lectures/Short_Clips/Have_Faith_In_The_Power_Glory_And_Grace_Of_The_Supreme_-_Radhanath_Swami.mp3", "Have_Faith_In_The_Power_Glory_And_Grace_Of_The_Supreme_-_Radhanath_Swami.mp3")</f>
        <v>Have_Faith_In_The_Power_Glory_And_Grace_Of_The_Supreme_-_Radhanath_Swami.mp3</v>
      </c>
      <c r="D6259" s="11"/>
      <c r="E6259" s="11"/>
    </row>
    <row r="6260" spans="1:5">
      <c r="A6260" s="12" t="s">
        <v>12774</v>
      </c>
      <c r="B6260" s="12" t="s">
        <v>12835</v>
      </c>
      <c r="C6260" s="13" t="str">
        <f>HYPERLINK("https://audio.iskcondesiretree.com/02_-_ISKCON_Swamis/ISKCON_Swamis_-_R_to_Y/His_Holiness_Radhanath_Swami/Lectures/Short_Clips/Hell_into_Heaven_and_Heaven_into_Hell_-_Radhanath_Swami.mp3", "Hell_into_Heaven_and_Heaven_into_Hell_-_Radhanath_Swami.mp3")</f>
        <v>Hell_into_Heaven_and_Heaven_into_Hell_-_Radhanath_Swami.mp3</v>
      </c>
      <c r="D6260" s="11"/>
      <c r="E6260" s="11"/>
    </row>
    <row r="6261" spans="1:5">
      <c r="A6261" s="12" t="s">
        <v>12774</v>
      </c>
      <c r="B6261" s="12" t="s">
        <v>12836</v>
      </c>
      <c r="C6261" s="13" t="str">
        <f>HYPERLINK("https://audio.iskcondesiretree.com/02_-_ISKCON_Swamis/ISKCON_Swamis_-_R_to_Y/His_Holiness_Radhanath_Swami/Lectures/Short_Clips/Here_is_the_holy_name_-_Radhanath_Swami.mp3", "Here_is_the_holy_name_-_Radhanath_Swami.mp3")</f>
        <v>Here_is_the_holy_name_-_Radhanath_Swami.mp3</v>
      </c>
      <c r="D6261" s="11"/>
      <c r="E6261" s="11"/>
    </row>
    <row r="6262" spans="1:5">
      <c r="A6262" s="12" t="s">
        <v>12774</v>
      </c>
      <c r="B6262" s="12" t="s">
        <v>12837</v>
      </c>
      <c r="C6262" s="13" t="str">
        <f>HYPERLINK("https://audio.iskcondesiretree.com/02_-_ISKCON_Swamis/ISKCON_Swamis_-_R_to_Y/His_Holiness_Radhanath_Swami/Lectures/Short_Clips/How_Rich_Are_You_-_Radhanath_Swami.mp3", "How_Rich_Are_You_-_Radhanath_Swami.mp3")</f>
        <v>How_Rich_Are_You_-_Radhanath_Swami.mp3</v>
      </c>
      <c r="D6262" s="11"/>
      <c r="E6262" s="11"/>
    </row>
    <row r="6263" spans="1:5">
      <c r="A6263" s="12" t="s">
        <v>12774</v>
      </c>
      <c r="B6263" s="12" t="s">
        <v>12838</v>
      </c>
      <c r="C6263" s="13" t="str">
        <f>HYPERLINK("https://audio.iskcondesiretree.com/02_-_ISKCON_Swamis/ISKCON_Swamis_-_R_to_Y/His_Holiness_Radhanath_Swami/Lectures/Short_Clips/How_Spirituality_Can_Solve_All_World_Problems_-_Radhanath_Swami.mp3", "How_Spirituality_Can_Solve_All_World_Problems_-_Radhanath_Swami.mp3")</f>
        <v>How_Spirituality_Can_Solve_All_World_Problems_-_Radhanath_Swami.mp3</v>
      </c>
      <c r="D6263" s="11"/>
      <c r="E6263" s="11"/>
    </row>
    <row r="6264" spans="1:5">
      <c r="A6264" s="12" t="s">
        <v>12774</v>
      </c>
      <c r="B6264" s="12" t="s">
        <v>12839</v>
      </c>
      <c r="C6264" s="13" t="str">
        <f>HYPERLINK("https://audio.iskcondesiretree.com/02_-_ISKCON_Swamis/ISKCON_Swamis_-_R_to_Y/His_Holiness_Radhanath_Swami/Lectures/Short_Clips/How_To_Deal_With_Ecological_Disease_-_Radhanath_Swami.mp3", "How_To_Deal_With_Ecological_Disease_-_Radhanath_Swami.mp3")</f>
        <v>How_To_Deal_With_Ecological_Disease_-_Radhanath_Swami.mp3</v>
      </c>
      <c r="D6264" s="11"/>
      <c r="E6264" s="11"/>
    </row>
    <row r="6265" spans="1:5">
      <c r="A6265" s="12" t="s">
        <v>12774</v>
      </c>
      <c r="B6265" s="12" t="s">
        <v>12840</v>
      </c>
      <c r="C6265" s="13" t="str">
        <f>HYPERLINK("https://audio.iskcondesiretree.com/02_-_ISKCON_Swamis/ISKCON_Swamis_-_R_to_Y/His_Holiness_Radhanath_Swami/Lectures/Short_Clips/How_To_Deal_With_Frustrations_-_Radhanath_Swami.mp3", "How_To_Deal_With_Frustrations_-_Radhanath_Swami.mp3")</f>
        <v>How_To_Deal_With_Frustrations_-_Radhanath_Swami.mp3</v>
      </c>
      <c r="D6265" s="11"/>
      <c r="E6265" s="11"/>
    </row>
    <row r="6266" spans="1:5">
      <c r="A6266" s="12" t="s">
        <v>12774</v>
      </c>
      <c r="B6266" s="12" t="s">
        <v>12841</v>
      </c>
      <c r="C6266" s="13" t="str">
        <f>HYPERLINK("https://audio.iskcondesiretree.com/02_-_ISKCON_Swamis/ISKCON_Swamis_-_R_to_Y/His_Holiness_Radhanath_Swami/Lectures/Short_Clips/How_To_Transform_Every_Situation_Into_An_Opportunity_For_Devotional_Service_-_Radhanath_Swami.mp3", "How_To_Transform_Every_Situation_Into_An_Opportunity_For_Devotional_Service_-_Radhanath_Swami.mp3")</f>
        <v>How_To_Transform_Every_Situation_Into_An_Opportunity_For_Devotional_Service_-_Radhanath_Swami.mp3</v>
      </c>
      <c r="D6266" s="11"/>
      <c r="E6266" s="11"/>
    </row>
    <row r="6267" spans="1:5">
      <c r="A6267" s="12" t="s">
        <v>12774</v>
      </c>
      <c r="B6267" s="12" t="s">
        <v>12842</v>
      </c>
      <c r="C6267" s="13" t="str">
        <f>HYPERLINK("https://audio.iskcondesiretree.com/02_-_ISKCON_Swamis/ISKCON_Swamis_-_R_to_Y/His_Holiness_Radhanath_Swami/Lectures/Short_Clips/Humility_-_Radhanath_Swami.mp3", "Humility_-_Radhanath_Swami.mp3")</f>
        <v>Humility_-_Radhanath_Swami.mp3</v>
      </c>
      <c r="D6267" s="11"/>
      <c r="E6267" s="11"/>
    </row>
    <row r="6268" spans="1:5">
      <c r="A6268" s="12" t="s">
        <v>12774</v>
      </c>
      <c r="B6268" s="12" t="s">
        <v>12843</v>
      </c>
      <c r="C6268" s="13" t="str">
        <f>HYPERLINK("https://audio.iskcondesiretree.com/02_-_ISKCON_Swamis/ISKCON_Swamis_-_R_to_Y/His_Holiness_Radhanath_Swami/Lectures/Short_Clips/Humility_Of_Lord_Chaitanya_-_Radhanath_Swami.mp3", "Humility_Of_Lord_Chaitanya_-_Radhanath_Swami.mp3")</f>
        <v>Humility_Of_Lord_Chaitanya_-_Radhanath_Swami.mp3</v>
      </c>
      <c r="D6268" s="11"/>
      <c r="E6268" s="11"/>
    </row>
    <row r="6269" spans="1:5">
      <c r="A6269" s="12" t="s">
        <v>12774</v>
      </c>
      <c r="B6269" s="12" t="s">
        <v>12844</v>
      </c>
      <c r="C6269" s="13" t="str">
        <f>HYPERLINK("https://audio.iskcondesiretree.com/02_-_ISKCON_Swamis/ISKCON_Swamis_-_R_to_Y/His_Holiness_Radhanath_Swami/Lectures/Short_Clips/Hungry_Heart_Of_A_Child_-_Radhanath_Swami.mp3", "Hungry_Heart_Of_A_Child_-_Radhanath_Swami.mp3")</f>
        <v>Hungry_Heart_Of_A_Child_-_Radhanath_Swami.mp3</v>
      </c>
      <c r="D6269" s="11"/>
      <c r="E6269" s="11"/>
    </row>
    <row r="6270" spans="1:5">
      <c r="A6270" s="12" t="s">
        <v>12774</v>
      </c>
      <c r="B6270" s="12" t="s">
        <v>12845</v>
      </c>
      <c r="C6270" s="13" t="str">
        <f>HYPERLINK("https://audio.iskcondesiretree.com/02_-_ISKCON_Swamis/ISKCON_Swamis_-_R_to_Y/His_Holiness_Radhanath_Swami/Lectures/Short_Clips/Hurricanes_Of_The_Mind_-_Radhanath_Swami.mp3", "Hurricanes_Of_The_Mind_-_Radhanath_Swami.mp3")</f>
        <v>Hurricanes_Of_The_Mind_-_Radhanath_Swami.mp3</v>
      </c>
      <c r="D6270" s="11"/>
      <c r="E6270" s="11"/>
    </row>
    <row r="6271" spans="1:5">
      <c r="A6271" s="12" t="s">
        <v>12774</v>
      </c>
      <c r="B6271" s="12" t="s">
        <v>12846</v>
      </c>
      <c r="C6271" s="13" t="str">
        <f>HYPERLINK("https://audio.iskcondesiretree.com/02_-_ISKCON_Swamis/ISKCON_Swamis_-_R_to_Y/His_Holiness_Radhanath_Swami/Lectures/Short_Clips/Hurt_Yourself_By_Holding_Hatred_-_Radhanath_Swami.mp3", "Hurt_Yourself_By_Holding_Hatred_-_Radhanath_Swami.mp3")</f>
        <v>Hurt_Yourself_By_Holding_Hatred_-_Radhanath_Swami.mp3</v>
      </c>
      <c r="D6271" s="11"/>
      <c r="E6271" s="11"/>
    </row>
    <row r="6272" spans="1:5">
      <c r="A6272" s="12" t="s">
        <v>12774</v>
      </c>
      <c r="B6272" s="12" t="s">
        <v>12847</v>
      </c>
      <c r="C6272" s="13" t="str">
        <f>HYPERLINK("https://audio.iskcondesiretree.com/02_-_ISKCON_Swamis/ISKCON_Swamis_-_R_to_Y/His_Holiness_Radhanath_Swami/Lectures/Short_Clips/Impact_Of_Technology_And_A_Solution_-_Radhanath_Swami.mp3", "Impact_Of_Technology_And_A_Solution_-_Radhanath_Swami.mp3")</f>
        <v>Impact_Of_Technology_And_A_Solution_-_Radhanath_Swami.mp3</v>
      </c>
      <c r="D6272" s="11"/>
      <c r="E6272" s="11"/>
    </row>
    <row r="6273" spans="1:5">
      <c r="A6273" s="12" t="s">
        <v>12774</v>
      </c>
      <c r="B6273" s="12" t="s">
        <v>12848</v>
      </c>
      <c r="C6273" s="13" t="str">
        <f>HYPERLINK("https://audio.iskcondesiretree.com/02_-_ISKCON_Swamis/ISKCON_Swamis_-_R_to_Y/His_Holiness_Radhanath_Swami/Lectures/Short_Clips/Impossible_Is_A_Word_In_A_Fools_Dictionary_-_Radhanath_Swami.mp3", "Impossible_Is_A_Word_In_A_Fools_Dictionary_-_Radhanath_Swami.mp3")</f>
        <v>Impossible_Is_A_Word_In_A_Fools_Dictionary_-_Radhanath_Swami.mp3</v>
      </c>
      <c r="D6273" s="11"/>
      <c r="E6273" s="11"/>
    </row>
    <row r="6274" spans="1:5">
      <c r="A6274" s="12" t="s">
        <v>12774</v>
      </c>
      <c r="B6274" s="12" t="s">
        <v>12849</v>
      </c>
      <c r="C6274" s="13" t="str">
        <f>HYPERLINK("https://audio.iskcondesiretree.com/02_-_ISKCON_Swamis/ISKCON_Swamis_-_R_to_Y/His_Holiness_Radhanath_Swami/Lectures/Short_Clips/Inspiration_From_Baseball_Player_-_Radhanath_Swami.mp3", "Inspiration_From_Baseball_Player_-_Radhanath_Swami.mp3")</f>
        <v>Inspiration_From_Baseball_Player_-_Radhanath_Swami.mp3</v>
      </c>
      <c r="D6274" s="11"/>
      <c r="E6274" s="11"/>
    </row>
    <row r="6275" spans="1:5">
      <c r="A6275" s="12" t="s">
        <v>12774</v>
      </c>
      <c r="B6275" s="12" t="s">
        <v>12850</v>
      </c>
      <c r="C6275" s="13" t="str">
        <f>HYPERLINK("https://audio.iskcondesiretree.com/02_-_ISKCON_Swamis/ISKCON_Swamis_-_R_to_Y/His_Holiness_Radhanath_Swami/Lectures/Short_Clips/Integrity_Always_Wins_-_Radhanath_Swami.mp3", "Integrity_Always_Wins_-_Radhanath_Swami.mp3")</f>
        <v>Integrity_Always_Wins_-_Radhanath_Swami.mp3</v>
      </c>
      <c r="D6275" s="11"/>
      <c r="E6275" s="11"/>
    </row>
    <row r="6276" spans="1:5">
      <c r="A6276" s="12" t="s">
        <v>12774</v>
      </c>
      <c r="B6276" s="12" t="s">
        <v>12851</v>
      </c>
      <c r="C6276" s="13" t="str">
        <f>HYPERLINK("https://audio.iskcondesiretree.com/02_-_ISKCON_Swamis/ISKCON_Swamis_-_R_to_Y/His_Holiness_Radhanath_Swami/Lectures/Short_Clips/Is_Technology_Good_Or_Bad_-_Radhanath_Swami.mp3", "Is_Technology_Good_Or_Bad_-_Radhanath_Swami.mp3")</f>
        <v>Is_Technology_Good_Or_Bad_-_Radhanath_Swami.mp3</v>
      </c>
      <c r="D6276" s="11"/>
      <c r="E6276" s="11"/>
    </row>
    <row r="6277" spans="1:5">
      <c r="A6277" s="12" t="s">
        <v>12774</v>
      </c>
      <c r="B6277" s="12" t="s">
        <v>12852</v>
      </c>
      <c r="C6277" s="13" t="str">
        <f>HYPERLINK("https://audio.iskcondesiretree.com/02_-_ISKCON_Swamis/ISKCON_Swamis_-_R_to_Y/His_Holiness_Radhanath_Swami/Lectures/Short_Clips/Is_your_mind_your_friend_or_enemy_-_Radhanath_Swami.mp3", "Is_your_mind_your_friend_or_enemy_-_Radhanath_Swami.mp3")</f>
        <v>Is_your_mind_your_friend_or_enemy_-_Radhanath_Swami.mp3</v>
      </c>
      <c r="D6277" s="11"/>
      <c r="E6277" s="11"/>
    </row>
    <row r="6278" spans="1:5">
      <c r="A6278" s="12" t="s">
        <v>12774</v>
      </c>
      <c r="B6278" s="12" t="s">
        <v>12853</v>
      </c>
      <c r="C6278" s="13" t="str">
        <f>HYPERLINK("https://audio.iskcondesiretree.com/02_-_ISKCON_Swamis/ISKCON_Swamis_-_R_to_Y/His_Holiness_Radhanath_Swami/Lectures/Short_Clips/It%27s_Beautiful_How_Saintly_People_Think_-_Radhanath_Swami.mp3", "It%27s_Beautiful_How_Saintly_People_Think_-_Radhanath_Swami.mp3")</f>
        <v>It%27s_Beautiful_How_Saintly_People_Think_-_Radhanath_Swami.mp3</v>
      </c>
      <c r="D6278" s="11"/>
      <c r="E6278" s="11"/>
    </row>
    <row r="6279" spans="1:5">
      <c r="A6279" s="12" t="s">
        <v>12774</v>
      </c>
      <c r="B6279" s="12" t="s">
        <v>12854</v>
      </c>
      <c r="C6279" s="13" t="str">
        <f>HYPERLINK("https://audio.iskcondesiretree.com/02_-_ISKCON_Swamis/ISKCON_Swamis_-_R_to_Y/His_Holiness_Radhanath_Swami/Lectures/Short_Clips/It_doesnt_get_any_better_than_this_-_Radhanath_Swami.mp3", "It_doesnt_get_any_better_than_this_-_Radhanath_Swami.mp3")</f>
        <v>It_doesnt_get_any_better_than_this_-_Radhanath_Swami.mp3</v>
      </c>
      <c r="D6279" s="11"/>
      <c r="E6279" s="11"/>
    </row>
    <row r="6280" spans="1:5">
      <c r="A6280" s="12" t="s">
        <v>12774</v>
      </c>
      <c r="B6280" s="12" t="s">
        <v>12855</v>
      </c>
      <c r="C6280" s="13" t="str">
        <f>HYPERLINK("https://audio.iskcondesiretree.com/02_-_ISKCON_Swamis/ISKCON_Swamis_-_R_to_Y/His_Holiness_Radhanath_Swami/Lectures/Short_Clips/It_doesn%E2%80%99t_matter_where_you_stay_-_Radhanath_Swami.mp3", "It_doesn%E2%80%99t_matter_where_you_stay_-_Radhanath_Swami.mp3")</f>
        <v>It_doesn%E2%80%99t_matter_where_you_stay_-_Radhanath_Swami.mp3</v>
      </c>
      <c r="D6280" s="11"/>
      <c r="E6280" s="11"/>
    </row>
    <row r="6281" spans="1:5">
      <c r="A6281" s="12" t="s">
        <v>12774</v>
      </c>
      <c r="B6281" s="12" t="s">
        <v>12856</v>
      </c>
      <c r="C6281" s="13" t="str">
        <f>HYPERLINK("https://audio.iskcondesiretree.com/02_-_ISKCON_Swamis/ISKCON_Swamis_-_R_to_Y/His_Holiness_Radhanath_Swami/Lectures/Short_Clips/It%E2%80%99s_Crucial_To_Have_Spiritual_Foundation_-_Radhanath_Swami.mp3", "It%E2%80%99s_Crucial_To_Have_Spiritual_Foundation_-_Radhanath_Swami.mp3")</f>
        <v>It%E2%80%99s_Crucial_To_Have_Spiritual_Foundation_-_Radhanath_Swami.mp3</v>
      </c>
      <c r="D6281" s="11"/>
      <c r="E6281" s="11"/>
    </row>
    <row r="6282" spans="1:5">
      <c r="A6282" s="12" t="s">
        <v>12774</v>
      </c>
      <c r="B6282" s="12" t="s">
        <v>12857</v>
      </c>
      <c r="C6282" s="13" t="str">
        <f>HYPERLINK("https://audio.iskcondesiretree.com/02_-_ISKCON_Swamis/ISKCON_Swamis_-_R_to_Y/His_Holiness_Radhanath_Swami/Lectures/Short_Clips/I%E2%80%99ve_Come_To_Give_You_What_You_Forgot_To_Take_-_Radhanath_Swami.mp3", "I%E2%80%99ve_Come_To_Give_You_What_You_Forgot_To_Take_-_Radhanath_Swami.mp3")</f>
        <v>I%E2%80%99ve_Come_To_Give_You_What_You_Forgot_To_Take_-_Radhanath_Swami.mp3</v>
      </c>
      <c r="D6282" s="11"/>
      <c r="E6282" s="11"/>
    </row>
    <row r="6283" spans="1:5">
      <c r="A6283" s="12" t="s">
        <v>12774</v>
      </c>
      <c r="B6283" s="12" t="s">
        <v>12858</v>
      </c>
      <c r="C6283" s="13" t="str">
        <f>HYPERLINK("https://audio.iskcondesiretree.com/02_-_ISKCON_Swamis/ISKCON_Swamis_-_R_to_Y/His_Holiness_Radhanath_Swami/Lectures/Short_Clips/Key_To_Success_-_Radhanath_Swami.mp3", "Key_To_Success_-_Radhanath_Swami.mp3")</f>
        <v>Key_To_Success_-_Radhanath_Swami.mp3</v>
      </c>
      <c r="D6283" s="11"/>
      <c r="E6283" s="11"/>
    </row>
    <row r="6284" spans="1:5">
      <c r="A6284" s="12" t="s">
        <v>12774</v>
      </c>
      <c r="B6284" s="12" t="s">
        <v>12859</v>
      </c>
      <c r="C6284" s="13" t="str">
        <f>HYPERLINK("https://audio.iskcondesiretree.com/02_-_ISKCON_Swamis/ISKCON_Swamis_-_R_to_Y/His_Holiness_Radhanath_Swami/Lectures/Short_Clips/King_Rantidev_Exemplifies_How_to_Tolerate_Provoking_Situations_-_Radhanath_Swami.mp3", "King_Rantidev_Exemplifies_How_to_Tolerate_Provoking_Situations_-_Radhanath_Swami.mp3")</f>
        <v>King_Rantidev_Exemplifies_How_to_Tolerate_Provoking_Situations_-_Radhanath_Swami.mp3</v>
      </c>
      <c r="D6284" s="11"/>
      <c r="E6284" s="11"/>
    </row>
    <row r="6285" spans="1:5">
      <c r="A6285" s="12" t="s">
        <v>12774</v>
      </c>
      <c r="B6285" s="12" t="s">
        <v>12860</v>
      </c>
      <c r="C6285" s="13" t="str">
        <f>HYPERLINK("https://audio.iskcondesiretree.com/02_-_ISKCON_Swamis/ISKCON_Swamis_-_R_to_Y/His_Holiness_Radhanath_Swami/Lectures/Short_Clips/Knowledge_can_transform_the_way_we_live_-_Radhanath_Swami.mp3", "Knowledge_can_transform_the_way_we_live_-_Radhanath_Swami.mp3")</f>
        <v>Knowledge_can_transform_the_way_we_live_-_Radhanath_Swami.mp3</v>
      </c>
      <c r="D6285" s="11"/>
      <c r="E6285" s="11"/>
    </row>
    <row r="6286" spans="1:5">
      <c r="A6286" s="12" t="s">
        <v>12774</v>
      </c>
      <c r="B6286" s="12" t="s">
        <v>12861</v>
      </c>
      <c r="C6286" s="13" t="str">
        <f>HYPERLINK("https://audio.iskcondesiretree.com/02_-_ISKCON_Swamis/ISKCON_Swamis_-_R_to_Y/His_Holiness_Radhanath_Swami/Lectures/Short_Clips/Krishna_Bhakti_In_Vrindavan_-_Radhanath_Swami.mp3", "Krishna_Bhakti_In_Vrindavan_-_Radhanath_Swami.mp3")</f>
        <v>Krishna_Bhakti_In_Vrindavan_-_Radhanath_Swami.mp3</v>
      </c>
      <c r="D6286" s="11"/>
      <c r="E6286" s="11"/>
    </row>
    <row r="6287" spans="1:5">
      <c r="A6287" s="12" t="s">
        <v>12774</v>
      </c>
      <c r="B6287" s="12" t="s">
        <v>12862</v>
      </c>
      <c r="C6287" s="13" t="str">
        <f>HYPERLINK("https://audio.iskcondesiretree.com/02_-_ISKCON_Swamis/ISKCON_Swamis_-_R_to_Y/His_Holiness_Radhanath_Swami/Lectures/Short_Clips/Krishna_Comes_As_Bhagavatam_-_Radhanath_Swami.mp3", "Krishna_Comes_As_Bhagavatam_-_Radhanath_Swami.mp3")</f>
        <v>Krishna_Comes_As_Bhagavatam_-_Radhanath_Swami.mp3</v>
      </c>
      <c r="D6287" s="11"/>
      <c r="E6287" s="11"/>
    </row>
    <row r="6288" spans="1:5">
      <c r="A6288" s="12" t="s">
        <v>12774</v>
      </c>
      <c r="B6288" s="12" t="s">
        <v>12863</v>
      </c>
      <c r="C6288" s="13" t="str">
        <f>HYPERLINK("https://audio.iskcondesiretree.com/02_-_ISKCON_Swamis/ISKCON_Swamis_-_R_to_Y/His_Holiness_Radhanath_Swami/Lectures/Short_Clips/Krishna_is_everywhere_waiting_for_us_-_Radhanath_Swami.mp3", "Krishna_is_everywhere_waiting_for_us_-_Radhanath_Swami.mp3")</f>
        <v>Krishna_is_everywhere_waiting_for_us_-_Radhanath_Swami.mp3</v>
      </c>
      <c r="D6288" s="11"/>
      <c r="E6288" s="11"/>
    </row>
    <row r="6289" spans="1:5">
      <c r="A6289" s="12" t="s">
        <v>12774</v>
      </c>
      <c r="B6289" s="12" t="s">
        <v>12864</v>
      </c>
      <c r="C6289" s="13" t="str">
        <f>HYPERLINK("https://audio.iskcondesiretree.com/02_-_ISKCON_Swamis/ISKCON_Swamis_-_R_to_Y/His_Holiness_Radhanath_Swami/Lectures/Short_Clips/Krishna_Reciprocates_With_Everyone_-_Radhanath_Swami.mp3", "Krishna_Reciprocates_With_Everyone_-_Radhanath_Swami.mp3")</f>
        <v>Krishna_Reciprocates_With_Everyone_-_Radhanath_Swami.mp3</v>
      </c>
      <c r="D6289" s="11"/>
      <c r="E6289" s="11"/>
    </row>
    <row r="6290" spans="1:5">
      <c r="A6290" s="12" t="s">
        <v>12774</v>
      </c>
      <c r="B6290" s="12" t="s">
        <v>12865</v>
      </c>
      <c r="C6290" s="13" t="str">
        <f>HYPERLINK("https://audio.iskcondesiretree.com/02_-_ISKCON_Swamis/ISKCON_Swamis_-_R_to_Y/His_Holiness_Radhanath_Swami/Lectures/Short_Clips/Life_With_Foundation_Of_Principles_-_Radhanath_Swami.mp3", "Life_With_Foundation_Of_Principles_-_Radhanath_Swami.mp3")</f>
        <v>Life_With_Foundation_Of_Principles_-_Radhanath_Swami.mp3</v>
      </c>
      <c r="D6290" s="11"/>
      <c r="E6290" s="11"/>
    </row>
    <row r="6291" spans="1:5">
      <c r="A6291" s="12" t="s">
        <v>12774</v>
      </c>
      <c r="B6291" s="12" t="s">
        <v>12866</v>
      </c>
      <c r="C6291" s="13" t="str">
        <f>HYPERLINK("https://audio.iskcondesiretree.com/02_-_ISKCON_Swamis/ISKCON_Swamis_-_R_to_Y/His_Holiness_Radhanath_Swami/Lectures/Short_Clips/Like_A_Rolling_Stone_-_Radhanath_Swami.mp3", "Like_A_Rolling_Stone_-_Radhanath_Swami.mp3")</f>
        <v>Like_A_Rolling_Stone_-_Radhanath_Swami.mp3</v>
      </c>
      <c r="D6291" s="11"/>
      <c r="E6291" s="11"/>
    </row>
    <row r="6292" spans="1:5">
      <c r="A6292" s="12" t="s">
        <v>12774</v>
      </c>
      <c r="B6292" s="12" t="s">
        <v>12867</v>
      </c>
      <c r="C6292" s="13" t="str">
        <f>HYPERLINK("https://audio.iskcondesiretree.com/02_-_ISKCON_Swamis/ISKCON_Swamis_-_R_to_Y/His_Holiness_Radhanath_Swami/Lectures/Short_Clips/Lord_Sees_The_Sincerity_And_Integrity_In_Our_Efforts_-_Radhanath_Swami.mp3", "Lord_Sees_The_Sincerity_And_Integrity_In_Our_Efforts_-_Radhanath_Swami.mp3")</f>
        <v>Lord_Sees_The_Sincerity_And_Integrity_In_Our_Efforts_-_Radhanath_Swami.mp3</v>
      </c>
      <c r="D6292" s="11"/>
      <c r="E6292" s="11"/>
    </row>
    <row r="6293" spans="1:5">
      <c r="A6293" s="12" t="s">
        <v>12774</v>
      </c>
      <c r="B6293" s="12" t="s">
        <v>12868</v>
      </c>
      <c r="C6293" s="13" t="str">
        <f>HYPERLINK("https://audio.iskcondesiretree.com/02_-_ISKCON_Swamis/ISKCON_Swamis_-_R_to_Y/His_Holiness_Radhanath_Swami/Lectures/Short_Clips/Love_In_Gods_Home_-_Radhanath_Swami.mp3", "Love_In_Gods_Home_-_Radhanath_Swami.mp3")</f>
        <v>Love_In_Gods_Home_-_Radhanath_Swami.mp3</v>
      </c>
      <c r="D6293" s="11"/>
      <c r="E6293" s="11"/>
    </row>
    <row r="6294" spans="1:5">
      <c r="A6294" s="12" t="s">
        <v>12774</v>
      </c>
      <c r="B6294" s="12" t="s">
        <v>12869</v>
      </c>
      <c r="C6294" s="13" t="str">
        <f>HYPERLINK("https://audio.iskcondesiretree.com/02_-_ISKCON_Swamis/ISKCON_Swamis_-_R_to_Y/His_Holiness_Radhanath_Swami/Lectures/Short_Clips/Love_Of_God_Our_Essential_Nature_-_Radhanath_Swami.mp3", "Love_Of_God_Our_Essential_Nature_-_Radhanath_Swami.mp3")</f>
        <v>Love_Of_God_Our_Essential_Nature_-_Radhanath_Swami.mp3</v>
      </c>
      <c r="D6294" s="11"/>
      <c r="E6294" s="11"/>
    </row>
    <row r="6295" spans="1:5">
      <c r="A6295" s="12" t="s">
        <v>12774</v>
      </c>
      <c r="B6295" s="12" t="s">
        <v>12870</v>
      </c>
      <c r="C6295" s="13" t="str">
        <f>HYPERLINK("https://audio.iskcondesiretree.com/02_-_ISKCON_Swamis/ISKCON_Swamis_-_R_to_Y/His_Holiness_Radhanath_Swami/Lectures/Short_Clips/Maintaining_Integrity_Despite_Dualities_-_Radhanath_Swami.mp3", "Maintaining_Integrity_Despite_Dualities_-_Radhanath_Swami.mp3")</f>
        <v>Maintaining_Integrity_Despite_Dualities_-_Radhanath_Swami.mp3</v>
      </c>
      <c r="D6295" s="11"/>
      <c r="E6295" s="11"/>
    </row>
    <row r="6296" spans="1:5">
      <c r="A6296" s="12" t="s">
        <v>12774</v>
      </c>
      <c r="B6296" s="12" t="s">
        <v>12871</v>
      </c>
      <c r="C6296" s="13" t="str">
        <f>HYPERLINK("https://audio.iskcondesiretree.com/02_-_ISKCON_Swamis/ISKCON_Swamis_-_R_to_Y/His_Holiness_Radhanath_Swami/Lectures/Short_Clips/Marriage_Can_Be_The_Path_To_Perfection_-_Radhanath_Swami.mp3", "Marriage_Can_Be_The_Path_To_Perfection_-_Radhanath_Swami.mp3")</f>
        <v>Marriage_Can_Be_The_Path_To_Perfection_-_Radhanath_Swami.mp3</v>
      </c>
      <c r="D6296" s="11"/>
      <c r="E6296" s="11"/>
    </row>
    <row r="6297" spans="1:5">
      <c r="A6297" s="12" t="s">
        <v>12774</v>
      </c>
      <c r="B6297" s="12" t="s">
        <v>12872</v>
      </c>
      <c r="C6297" s="13" t="str">
        <f>HYPERLINK("https://audio.iskcondesiretree.com/02_-_ISKCON_Swamis/ISKCON_Swamis_-_R_to_Y/His_Holiness_Radhanath_Swami/Lectures/Short_Clips/Married_Life_-_Radhanath_Swami.mp3", "Married_Life_-_Radhanath_Swami.mp3")</f>
        <v>Married_Life_-_Radhanath_Swami.mp3</v>
      </c>
      <c r="D6297" s="11"/>
      <c r="E6297" s="11"/>
    </row>
    <row r="6298" spans="1:5">
      <c r="A6298" s="12" t="s">
        <v>12774</v>
      </c>
      <c r="B6298" s="12" t="s">
        <v>12873</v>
      </c>
      <c r="C6298" s="13" t="str">
        <f>HYPERLINK("https://audio.iskcondesiretree.com/02_-_ISKCON_Swamis/ISKCON_Swamis_-_R_to_Y/His_Holiness_Radhanath_Swami/Lectures/Short_Clips/Money_Cannot_Buy_Happiness_-_Radhanath_Swami.mp3", "Money_Cannot_Buy_Happiness_-_Radhanath_Swami.mp3")</f>
        <v>Money_Cannot_Buy_Happiness_-_Radhanath_Swami.mp3</v>
      </c>
      <c r="D6298" s="11"/>
      <c r="E6298" s="11"/>
    </row>
    <row r="6299" spans="1:5">
      <c r="A6299" s="12" t="s">
        <v>12774</v>
      </c>
      <c r="B6299" s="12" t="s">
        <v>12874</v>
      </c>
      <c r="C6299" s="13" t="str">
        <f>HYPERLINK("https://audio.iskcondesiretree.com/02_-_ISKCON_Swamis/ISKCON_Swamis_-_R_to_Y/His_Holiness_Radhanath_Swami/Lectures/Short_Clips/Mother_Nature_Teaches_-_Radhanath_Swami.mp3", "Mother_Nature_Teaches_-_Radhanath_Swami.mp3")</f>
        <v>Mother_Nature_Teaches_-_Radhanath_Swami.mp3</v>
      </c>
      <c r="D6299" s="11"/>
      <c r="E6299" s="11"/>
    </row>
    <row r="6300" spans="1:5">
      <c r="A6300" s="12" t="s">
        <v>12774</v>
      </c>
      <c r="B6300" s="12" t="s">
        <v>12875</v>
      </c>
      <c r="C6300" s="13" t="str">
        <f>HYPERLINK("https://audio.iskcondesiretree.com/02_-_ISKCON_Swamis/ISKCON_Swamis_-_R_to_Y/His_Holiness_Radhanath_Swami/Lectures/Short_Clips/Mutual_Respect_Love_And_Appreciation_In_A_Relationship_-_Radhanath_Swami.mp3", "Mutual_Respect_Love_And_Appreciation_In_A_Relationship_-_Radhanath_Swami.mp3")</f>
        <v>Mutual_Respect_Love_And_Appreciation_In_A_Relationship_-_Radhanath_Swami.mp3</v>
      </c>
      <c r="D6300" s="11"/>
      <c r="E6300" s="11"/>
    </row>
    <row r="6301" spans="1:5">
      <c r="A6301" s="12" t="s">
        <v>12774</v>
      </c>
      <c r="B6301" s="12" t="s">
        <v>12876</v>
      </c>
      <c r="C6301" s="13" t="str">
        <f>HYPERLINK("https://audio.iskcondesiretree.com/02_-_ISKCON_Swamis/ISKCON_Swamis_-_R_to_Y/His_Holiness_Radhanath_Swami/Lectures/Short_Clips/My_first_day_in_India_-_Radhanath_Swami.mp3", "My_first_day_in_India_-_Radhanath_Swami.mp3")</f>
        <v>My_first_day_in_India_-_Radhanath_Swami.mp3</v>
      </c>
      <c r="D6301" s="11"/>
      <c r="E6301" s="11"/>
    </row>
    <row r="6302" spans="1:5">
      <c r="A6302" s="12" t="s">
        <v>12774</v>
      </c>
      <c r="B6302" s="12" t="s">
        <v>12877</v>
      </c>
      <c r="C6302" s="13" t="str">
        <f>HYPERLINK("https://audio.iskcondesiretree.com/02_-_ISKCON_Swamis/ISKCON_Swamis_-_R_to_Y/His_Holiness_Radhanath_Swami/Lectures/Short_Clips/No%21_Spirituality_is_not_about_escaping_the_world_-_Radhanath_Swami.mp3", "No%21_Spirituality_is_not_about_escaping_the_world_-_Radhanath_Swami.mp3")</f>
        <v>No%21_Spirituality_is_not_about_escaping_the_world_-_Radhanath_Swami.mp3</v>
      </c>
      <c r="D6302" s="11"/>
      <c r="E6302" s="11"/>
    </row>
    <row r="6303" spans="1:5">
      <c r="A6303" s="12" t="s">
        <v>12774</v>
      </c>
      <c r="B6303" s="12" t="s">
        <v>12878</v>
      </c>
      <c r="C6303" s="13" t="str">
        <f>HYPERLINK("https://audio.iskcondesiretree.com/02_-_ISKCON_Swamis/ISKCON_Swamis_-_R_to_Y/His_Holiness_Radhanath_Swami/Lectures/Short_Clips/No_Spirituality_is_not_about_escaping_the_world_-_Radhanath_Swami.mp3", "No_Spirituality_is_not_about_escaping_the_world_-_Radhanath_Swami.mp3")</f>
        <v>No_Spirituality_is_not_about_escaping_the_world_-_Radhanath_Swami.mp3</v>
      </c>
      <c r="D6303" s="11"/>
      <c r="E6303" s="11"/>
    </row>
    <row r="6304" spans="1:5">
      <c r="A6304" s="12" t="s">
        <v>12774</v>
      </c>
      <c r="B6304" s="12" t="s">
        <v>12879</v>
      </c>
      <c r="C6304" s="13" t="str">
        <f>HYPERLINK("https://audio.iskcondesiretree.com/02_-_ISKCON_Swamis/ISKCON_Swamis_-_R_to_Y/His_Holiness_Radhanath_Swami/Lectures/Short_Clips/Offer_The_Best_You_Have_-_Radhanath_Swami.mp3", "Offer_The_Best_You_Have_-_Radhanath_Swami.mp3")</f>
        <v>Offer_The_Best_You_Have_-_Radhanath_Swami.mp3</v>
      </c>
      <c r="D6304" s="11"/>
      <c r="E6304" s="11"/>
    </row>
    <row r="6305" spans="1:5">
      <c r="A6305" s="12" t="s">
        <v>12774</v>
      </c>
      <c r="B6305" s="12" t="s">
        <v>12880</v>
      </c>
      <c r="C6305" s="13" t="str">
        <f>HYPERLINK("https://audio.iskcondesiretree.com/02_-_ISKCON_Swamis/ISKCON_Swamis_-_R_to_Y/His_Holiness_Radhanath_Swami/Lectures/Short_Clips/One_Common_Source_-_Radhanath_Swami.mp3", "One_Common_Source_-_Radhanath_Swami.mp3")</f>
        <v>One_Common_Source_-_Radhanath_Swami.mp3</v>
      </c>
      <c r="D6305" s="11"/>
      <c r="E6305" s="11"/>
    </row>
    <row r="6306" spans="1:5">
      <c r="A6306" s="12" t="s">
        <v>12774</v>
      </c>
      <c r="B6306" s="12" t="s">
        <v>12881</v>
      </c>
      <c r="C6306" s="13" t="str">
        <f>HYPERLINK("https://audio.iskcondesiretree.com/02_-_ISKCON_Swamis/ISKCON_Swamis_-_R_to_Y/His_Holiness_Radhanath_Swami/Lectures/Short_Clips/Our_Perception_of_Reality_-_Radhanath_Swami.mp3", "Our_Perception_of_Reality_-_Radhanath_Swami.mp3")</f>
        <v>Our_Perception_of_Reality_-_Radhanath_Swami.mp3</v>
      </c>
      <c r="D6306" s="11"/>
      <c r="E6306" s="11"/>
    </row>
    <row r="6307" spans="1:5">
      <c r="A6307" s="12" t="s">
        <v>12774</v>
      </c>
      <c r="B6307" s="12" t="s">
        <v>12882</v>
      </c>
      <c r="C6307" s="13" t="str">
        <f>HYPERLINK("https://audio.iskcondesiretree.com/02_-_ISKCON_Swamis/ISKCON_Swamis_-_R_to_Y/His_Holiness_Radhanath_Swami/Lectures/Short_Clips/Our_Sweet_Lord_Gopal_-_Radhanath_Swami.mp3", "Our_Sweet_Lord_Gopal_-_Radhanath_Swami.mp3")</f>
        <v>Our_Sweet_Lord_Gopal_-_Radhanath_Swami.mp3</v>
      </c>
      <c r="D6307" s="11"/>
      <c r="E6307" s="11"/>
    </row>
    <row r="6308" spans="1:5">
      <c r="A6308" s="12" t="s">
        <v>12774</v>
      </c>
      <c r="B6308" s="12" t="s">
        <v>12883</v>
      </c>
      <c r="C6308" s="13" t="str">
        <f>HYPERLINK("https://audio.iskcondesiretree.com/02_-_ISKCON_Swamis/ISKCON_Swamis_-_R_to_Y/His_Holiness_Radhanath_Swami/Lectures/Short_Clips/Our_Yearning_For_Love_-_Radhanath_Swami.mp3", "Our_Yearning_For_Love_-_Radhanath_Swami.mp3")</f>
        <v>Our_Yearning_For_Love_-_Radhanath_Swami.mp3</v>
      </c>
      <c r="D6308" s="11"/>
      <c r="E6308" s="11"/>
    </row>
    <row r="6309" spans="1:5">
      <c r="A6309" s="12" t="s">
        <v>12774</v>
      </c>
      <c r="B6309" s="12" t="s">
        <v>12884</v>
      </c>
      <c r="C6309" s="13" t="str">
        <f>HYPERLINK("https://audio.iskcondesiretree.com/02_-_ISKCON_Swamis/ISKCON_Swamis_-_R_to_Y/His_Holiness_Radhanath_Swami/Lectures/Short_Clips/Pain_Maybe_Inevitable_But_Suffering_Is_Optional_-_Radhanath_Swami.mp3", "Pain_Maybe_Inevitable_But_Suffering_Is_Optional_-_Radhanath_Swami.mp3")</f>
        <v>Pain_Maybe_Inevitable_But_Suffering_Is_Optional_-_Radhanath_Swami.mp3</v>
      </c>
      <c r="D6309" s="11"/>
      <c r="E6309" s="11"/>
    </row>
    <row r="6310" spans="1:5">
      <c r="A6310" s="12" t="s">
        <v>12774</v>
      </c>
      <c r="B6310" s="12" t="s">
        <v>12885</v>
      </c>
      <c r="C6310" s="13" t="str">
        <f>HYPERLINK("https://audio.iskcondesiretree.com/02_-_ISKCON_Swamis/ISKCON_Swamis_-_R_to_Y/His_Holiness_Radhanath_Swami/Lectures/Short_Clips/People_Take_Shelter_of_Anxieties_Due_To_Conditioning_-_Radhanath_Swami.mp3", "People_Take_Shelter_of_Anxieties_Due_To_Conditioning_-_Radhanath_Swami.mp3")</f>
        <v>People_Take_Shelter_of_Anxieties_Due_To_Conditioning_-_Radhanath_Swami.mp3</v>
      </c>
      <c r="D6310" s="11"/>
      <c r="E6310" s="11"/>
    </row>
    <row r="6311" spans="1:5">
      <c r="A6311" s="12" t="s">
        <v>12774</v>
      </c>
      <c r="B6311" s="12" t="s">
        <v>12886</v>
      </c>
      <c r="C6311" s="13" t="str">
        <f>HYPERLINK("https://audio.iskcondesiretree.com/02_-_ISKCON_Swamis/ISKCON_Swamis_-_R_to_Y/His_Holiness_Radhanath_Swami/Lectures/Short_Clips/Positive_Attitude_Is_Incomplete_Without_Spirituality_-_Radhanath_Swami.mp3", "Positive_Attitude_Is_Incomplete_Without_Spirituality_-_Radhanath_Swami.mp3")</f>
        <v>Positive_Attitude_Is_Incomplete_Without_Spirituality_-_Radhanath_Swami.mp3</v>
      </c>
      <c r="D6311" s="11"/>
      <c r="E6311" s="11"/>
    </row>
    <row r="6312" spans="1:5">
      <c r="A6312" s="12" t="s">
        <v>12774</v>
      </c>
      <c r="B6312" s="12" t="s">
        <v>12887</v>
      </c>
      <c r="C6312" s="13" t="str">
        <f>HYPERLINK("https://audio.iskcondesiretree.com/02_-_ISKCON_Swamis/ISKCON_Swamis_-_R_to_Y/His_Holiness_Radhanath_Swami/Lectures/Short_Clips/Positive_Outlook_Even_While_Dying_-_Radhanath_Swami.mp3", "Positive_Outlook_Even_While_Dying_-_Radhanath_Swami.mp3")</f>
        <v>Positive_Outlook_Even_While_Dying_-_Radhanath_Swami.mp3</v>
      </c>
      <c r="D6312" s="11"/>
      <c r="E6312" s="11"/>
    </row>
    <row r="6313" spans="1:5">
      <c r="A6313" s="12" t="s">
        <v>12774</v>
      </c>
      <c r="B6313" s="12" t="s">
        <v>12888</v>
      </c>
      <c r="C6313" s="13" t="str">
        <f>HYPERLINK("https://audio.iskcondesiretree.com/02_-_ISKCON_Swamis/ISKCON_Swamis_-_R_to_Y/His_Holiness_Radhanath_Swami/Lectures/Short_Clips/Power_Of_Forgiveness_Exemplified_-_Radhanath_Swami.mp3", "Power_Of_Forgiveness_Exemplified_-_Radhanath_Swami.mp3")</f>
        <v>Power_Of_Forgiveness_Exemplified_-_Radhanath_Swami.mp3</v>
      </c>
      <c r="D6313" s="11"/>
      <c r="E6313" s="11"/>
    </row>
    <row r="6314" spans="1:5">
      <c r="A6314" s="12" t="s">
        <v>12774</v>
      </c>
      <c r="B6314" s="12" t="s">
        <v>12889</v>
      </c>
      <c r="C6314" s="13" t="str">
        <f>HYPERLINK("https://audio.iskcondesiretree.com/02_-_ISKCON_Swamis/ISKCON_Swamis_-_R_to_Y/His_Holiness_Radhanath_Swami/Lectures/Short_Clips/Power_Of_Unity_-_Radhanath_Swami.mp3", "Power_Of_Unity_-_Radhanath_Swami.mp3")</f>
        <v>Power_Of_Unity_-_Radhanath_Swami.mp3</v>
      </c>
      <c r="D6314" s="11"/>
      <c r="E6314" s="11"/>
    </row>
    <row r="6315" spans="1:5">
      <c r="A6315" s="12" t="s">
        <v>12774</v>
      </c>
      <c r="B6315" s="12" t="s">
        <v>12890</v>
      </c>
      <c r="C6315" s="13" t="str">
        <f>HYPERLINK("https://audio.iskcondesiretree.com/02_-_ISKCON_Swamis/ISKCON_Swamis_-_R_to_Y/His_Holiness_Radhanath_Swami/Lectures/Short_Clips/Propaganda_Influences_Our_Perceptions_-_Radhanath_Swami.mp3", "Propaganda_Influences_Our_Perceptions_-_Radhanath_Swami.mp3")</f>
        <v>Propaganda_Influences_Our_Perceptions_-_Radhanath_Swami.mp3</v>
      </c>
      <c r="D6315" s="11"/>
      <c r="E6315" s="11"/>
    </row>
    <row r="6316" spans="1:5">
      <c r="A6316" s="12" t="s">
        <v>12774</v>
      </c>
      <c r="B6316" s="12" t="s">
        <v>12891</v>
      </c>
      <c r="C6316" s="13" t="str">
        <f>HYPERLINK("https://audio.iskcondesiretree.com/02_-_ISKCON_Swamis/ISKCON_Swamis_-_R_to_Y/His_Holiness_Radhanath_Swami/Lectures/Short_Clips/Radhe_Jaya_Jaya_Madhava_Daiyte_-_Radhanath_Swami.mp3", "Radhe_Jaya_Jaya_Madhava_Daiyte_-_Radhanath_Swami.mp3")</f>
        <v>Radhe_Jaya_Jaya_Madhava_Daiyte_-_Radhanath_Swami.mp3</v>
      </c>
      <c r="D6316" s="11"/>
      <c r="E6316" s="11"/>
    </row>
    <row r="6317" spans="1:5">
      <c r="A6317" s="12" t="s">
        <v>12774</v>
      </c>
      <c r="B6317" s="12" t="s">
        <v>12892</v>
      </c>
      <c r="C6317" s="13" t="str">
        <f>HYPERLINK("https://audio.iskcondesiretree.com/02_-_ISKCON_Swamis/ISKCON_Swamis_-_R_to_Y/His_Holiness_Radhanath_Swami/Lectures/Short_Clips/Ramayana%2C_From_An_Ecological_Perspective_-_Radhanath_Swami.mp3", "Ramayana%2C_From_An_Ecological_Perspective_-_Radhanath_Swami.mp3")</f>
        <v>Ramayana%2C_From_An_Ecological_Perspective_-_Radhanath_Swami.mp3</v>
      </c>
      <c r="D6317" s="11"/>
      <c r="E6317" s="11"/>
    </row>
    <row r="6318" spans="1:5">
      <c r="A6318" s="12" t="s">
        <v>12774</v>
      </c>
      <c r="B6318" s="12" t="s">
        <v>12893</v>
      </c>
      <c r="C6318" s="13" t="str">
        <f>HYPERLINK("https://audio.iskcondesiretree.com/02_-_ISKCON_Swamis/ISKCON_Swamis_-_R_to_Y/His_Holiness_Radhanath_Swami/Lectures/Short_Clips/Ramayana_From_An_Ecological_Perspective_-_Radhanath_Swami.mp3", "Ramayana_From_An_Ecological_Perspective_-_Radhanath_Swami.mp3")</f>
        <v>Ramayana_From_An_Ecological_Perspective_-_Radhanath_Swami.mp3</v>
      </c>
      <c r="D6318" s="11"/>
      <c r="E6318" s="11"/>
    </row>
    <row r="6319" spans="1:5">
      <c r="A6319" s="12" t="s">
        <v>12774</v>
      </c>
      <c r="B6319" s="12" t="s">
        <v>12894</v>
      </c>
      <c r="C6319" s="13" t="str">
        <f>HYPERLINK("https://audio.iskcondesiretree.com/02_-_ISKCON_Swamis/ISKCON_Swamis_-_R_to_Y/His_Holiness_Radhanath_Swami/Lectures/Short_Clips/Real_Compassion_-_Radhanath_Swami.mp3", "Real_Compassion_-_Radhanath_Swami.mp3")</f>
        <v>Real_Compassion_-_Radhanath_Swami.mp3</v>
      </c>
      <c r="D6319" s="11"/>
      <c r="E6319" s="11"/>
    </row>
    <row r="6320" spans="1:5">
      <c r="A6320" s="12" t="s">
        <v>12774</v>
      </c>
      <c r="B6320" s="12" t="s">
        <v>12895</v>
      </c>
      <c r="C6320" s="13" t="str">
        <f>HYPERLINK("https://audio.iskcondesiretree.com/02_-_ISKCON_Swamis/ISKCON_Swamis_-_R_to_Y/His_Holiness_Radhanath_Swami/Lectures/Short_Clips/Real_inner_strength_real_success_-_Radhanath_Swami.mp3", "Real_inner_strength_real_success_-_Radhanath_Swami.mp3")</f>
        <v>Real_inner_strength_real_success_-_Radhanath_Swami.mp3</v>
      </c>
      <c r="D6320" s="11"/>
      <c r="E6320" s="11"/>
    </row>
    <row r="6321" spans="1:5">
      <c r="A6321" s="12" t="s">
        <v>12774</v>
      </c>
      <c r="B6321" s="12" t="s">
        <v>12896</v>
      </c>
      <c r="C6321" s="13" t="str">
        <f>HYPERLINK("https://audio.iskcondesiretree.com/02_-_ISKCON_Swamis/ISKCON_Swamis_-_R_to_Y/His_Holiness_Radhanath_Swami/Lectures/Short_Clips/Real_Poverty_is_of_The_Heart_-_Radhanath_Swami.mp3", "Real_Poverty_is_of_The_Heart_-_Radhanath_Swami.mp3")</f>
        <v>Real_Poverty_is_of_The_Heart_-_Radhanath_Swami.mp3</v>
      </c>
      <c r="D6321" s="11"/>
      <c r="E6321" s="11"/>
    </row>
    <row r="6322" spans="1:5">
      <c r="A6322" s="12" t="s">
        <v>12774</v>
      </c>
      <c r="B6322" s="12" t="s">
        <v>12897</v>
      </c>
      <c r="C6322" s="13" t="str">
        <f>HYPERLINK("https://audio.iskcondesiretree.com/02_-_ISKCON_Swamis/ISKCON_Swamis_-_R_to_Y/His_Holiness_Radhanath_Swami/Lectures/Short_Clips/Real_Renunciation_Through_Humility_-_Radhanath_Swami.mp3", "Real_Renunciation_Through_Humility_-_Radhanath_Swami.mp3")</f>
        <v>Real_Renunciation_Through_Humility_-_Radhanath_Swami.mp3</v>
      </c>
      <c r="D6322" s="11"/>
      <c r="E6322" s="11"/>
    </row>
    <row r="6323" spans="1:5">
      <c r="A6323" s="12" t="s">
        <v>12774</v>
      </c>
      <c r="B6323" s="12" t="s">
        <v>12898</v>
      </c>
      <c r="C6323" s="13" t="str">
        <f>HYPERLINK("https://audio.iskcondesiretree.com/02_-_ISKCON_Swamis/ISKCON_Swamis_-_R_to_Y/His_Holiness_Radhanath_Swami/Lectures/Short_Clips/Real_spiritual_enlightenment_-_Radhanath_Swami.mp3", "Real_spiritual_enlightenment_-_Radhanath_Swami.mp3")</f>
        <v>Real_spiritual_enlightenment_-_Radhanath_Swami.mp3</v>
      </c>
      <c r="D6323" s="11"/>
      <c r="E6323" s="11"/>
    </row>
    <row r="6324" spans="1:5">
      <c r="A6324" s="12" t="s">
        <v>12774</v>
      </c>
      <c r="B6324" s="12" t="s">
        <v>12899</v>
      </c>
      <c r="C6324" s="13" t="str">
        <f>HYPERLINK("https://audio.iskcondesiretree.com/02_-_ISKCON_Swamis/ISKCON_Swamis_-_R_to_Y/His_Holiness_Radhanath_Swami/Lectures/Short_Clips/Real_Success_In_Life_Is_To_Please_God_-_Radhanath_Swami.mp3", "Real_Success_In_Life_Is_To_Please_God_-_Radhanath_Swami.mp3")</f>
        <v>Real_Success_In_Life_Is_To_Please_God_-_Radhanath_Swami.mp3</v>
      </c>
      <c r="D6324" s="11"/>
      <c r="E6324" s="11"/>
    </row>
    <row r="6325" spans="1:5">
      <c r="A6325" s="12" t="s">
        <v>12774</v>
      </c>
      <c r="B6325" s="12" t="s">
        <v>12900</v>
      </c>
      <c r="C6325" s="13" t="str">
        <f>HYPERLINK("https://audio.iskcondesiretree.com/02_-_ISKCON_Swamis/ISKCON_Swamis_-_R_to_Y/His_Holiness_Radhanath_Swami/Lectures/Short_Clips/Recognizing_The_Sacredness_Of_Our_Life_Leads_to_Compassion_for_others_-_Radhanath_Swami.mp3", "Recognizing_The_Sacredness_Of_Our_Life_Leads_to_Compassion_for_others_-_Radhanath_Swami.mp3")</f>
        <v>Recognizing_The_Sacredness_Of_Our_Life_Leads_to_Compassion_for_others_-_Radhanath_Swami.mp3</v>
      </c>
      <c r="D6325" s="11"/>
      <c r="E6325" s="11"/>
    </row>
    <row r="6326" spans="1:5">
      <c r="A6326" s="12" t="s">
        <v>12774</v>
      </c>
      <c r="B6326" s="12" t="s">
        <v>12901</v>
      </c>
      <c r="C6326" s="13" t="str">
        <f>HYPERLINK("https://audio.iskcondesiretree.com/02_-_ISKCON_Swamis/ISKCON_Swamis_-_R_to_Y/His_Holiness_Radhanath_Swami/Lectures/Short_Clips/Relationships_-_Radhanath_Swami.mp3", "Relationships_-_Radhanath_Swami.mp3")</f>
        <v>Relationships_-_Radhanath_Swami.mp3</v>
      </c>
      <c r="D6326" s="11"/>
      <c r="E6326" s="11"/>
    </row>
    <row r="6327" spans="1:5">
      <c r="A6327" s="12" t="s">
        <v>12774</v>
      </c>
      <c r="B6327" s="12" t="s">
        <v>12902</v>
      </c>
      <c r="C6327" s="13" t="str">
        <f>HYPERLINK("https://audio.iskcondesiretree.com/02_-_ISKCON_Swamis/ISKCON_Swamis_-_R_to_Y/His_Holiness_Radhanath_Swami/Lectures/Short_Clips/Religion_Is_Not_About_Cutting_Another%27s_Throat_-_Radhanath_Swami.mp3", "Religion_Is_Not_About_Cutting_Another%27s_Throat_-_Radhanath_Swami.mp3")</f>
        <v>Religion_Is_Not_About_Cutting_Another%27s_Throat_-_Radhanath_Swami.mp3</v>
      </c>
      <c r="D6327" s="11"/>
      <c r="E6327" s="11"/>
    </row>
    <row r="6328" spans="1:5">
      <c r="A6328" s="12" t="s">
        <v>12774</v>
      </c>
      <c r="B6328" s="12" t="s">
        <v>12903</v>
      </c>
      <c r="C6328" s="13" t="str">
        <f>HYPERLINK("https://audio.iskcondesiretree.com/02_-_ISKCON_Swamis/ISKCON_Swamis_-_R_to_Y/His_Holiness_Radhanath_Swami/Lectures/Short_Clips/Renounce_Your_Ego_-_Radhanath_Swami.mp3", "Renounce_Your_Ego_-_Radhanath_Swami.mp3")</f>
        <v>Renounce_Your_Ego_-_Radhanath_Swami.mp3</v>
      </c>
      <c r="D6328" s="11"/>
      <c r="E6328" s="11"/>
    </row>
    <row r="6329" spans="1:5">
      <c r="A6329" s="12" t="s">
        <v>12774</v>
      </c>
      <c r="B6329" s="12" t="s">
        <v>12904</v>
      </c>
      <c r="C6329" s="13" t="str">
        <f>HYPERLINK("https://audio.iskcondesiretree.com/02_-_ISKCON_Swamis/ISKCON_Swamis_-_R_to_Y/His_Holiness_Radhanath_Swami/Lectures/Short_Clips/Revelation_Of_The_Holy_Name_-_Radhanath_Swami.mp3", "Revelation_Of_The_Holy_Name_-_Radhanath_Swami.mp3")</f>
        <v>Revelation_Of_The_Holy_Name_-_Radhanath_Swami.mp3</v>
      </c>
      <c r="D6329" s="11"/>
      <c r="E6329" s="11"/>
    </row>
    <row r="6330" spans="1:5">
      <c r="A6330" s="12" t="s">
        <v>12774</v>
      </c>
      <c r="B6330" s="12" t="s">
        <v>12905</v>
      </c>
      <c r="C6330" s="13" t="str">
        <f>HYPERLINK("https://audio.iskcondesiretree.com/02_-_ISKCON_Swamis/ISKCON_Swamis_-_R_to_Y/His_Holiness_Radhanath_Swami/Lectures/Short_Clips/Root_Cause_Of_Envy_-_Radhanath_Swami.mp3", "Root_Cause_Of_Envy_-_Radhanath_Swami.mp3")</f>
        <v>Root_Cause_Of_Envy_-_Radhanath_Swami.mp3</v>
      </c>
      <c r="D6330" s="11"/>
      <c r="E6330" s="11"/>
    </row>
    <row r="6331" spans="1:5">
      <c r="A6331" s="12" t="s">
        <v>12774</v>
      </c>
      <c r="B6331" s="12" t="s">
        <v>12906</v>
      </c>
      <c r="C6331" s="13" t="str">
        <f>HYPERLINK("https://audio.iskcondesiretree.com/02_-_ISKCON_Swamis/ISKCON_Swamis_-_R_to_Y/His_Holiness_Radhanath_Swami/Lectures/Short_Clips/Sacisutashtakam_-_Radhanath_Swami.mp3", "Sacisutashtakam_-_Radhanath_Swami.mp3")</f>
        <v>Sacisutashtakam_-_Radhanath_Swami.mp3</v>
      </c>
      <c r="D6331" s="11"/>
      <c r="E6331" s="11"/>
    </row>
    <row r="6332" spans="1:5">
      <c r="A6332" s="12" t="s">
        <v>12774</v>
      </c>
      <c r="B6332" s="12" t="s">
        <v>12907</v>
      </c>
      <c r="C6332" s="13" t="str">
        <f>HYPERLINK("https://audio.iskcondesiretree.com/02_-_ISKCON_Swamis/ISKCON_Swamis_-_R_to_Y/His_Holiness_Radhanath_Swami/Lectures/Short_Clips/Seeing_The_Potential_-_Radhanath_Swami.mp3", "Seeing_The_Potential_-_Radhanath_Swami.mp3")</f>
        <v>Seeing_The_Potential_-_Radhanath_Swami.mp3</v>
      </c>
      <c r="D6332" s="11"/>
      <c r="E6332" s="11"/>
    </row>
    <row r="6333" spans="1:5">
      <c r="A6333" s="12" t="s">
        <v>12774</v>
      </c>
      <c r="B6333" s="12" t="s">
        <v>12908</v>
      </c>
      <c r="C6333" s="13" t="str">
        <f>HYPERLINK("https://audio.iskcondesiretree.com/02_-_ISKCON_Swamis/ISKCON_Swamis_-_R_to_Y/His_Holiness_Radhanath_Swami/Lectures/Short_Clips/Simple_Living_High_Thinking_-_Radhanath_Swami.mp3", "Simple_Living_High_Thinking_-_Radhanath_Swami.mp3")</f>
        <v>Simple_Living_High_Thinking_-_Radhanath_Swami.mp3</v>
      </c>
      <c r="D6333" s="11"/>
      <c r="E6333" s="11"/>
    </row>
    <row r="6334" spans="1:5">
      <c r="A6334" s="12" t="s">
        <v>12774</v>
      </c>
      <c r="B6334" s="12" t="s">
        <v>12909</v>
      </c>
      <c r="C6334" s="13" t="str">
        <f>HYPERLINK("https://audio.iskcondesiretree.com/02_-_ISKCON_Swamis/ISKCON_Swamis_-_R_to_Y/His_Holiness_Radhanath_Swami/Lectures/Short_Clips/Sincere_Prayers_Never_go_in_Vain_-_Radhanath_Swami.mp3", "Sincere_Prayers_Never_go_in_Vain_-_Radhanath_Swami.mp3")</f>
        <v>Sincere_Prayers_Never_go_in_Vain_-_Radhanath_Swami.mp3</v>
      </c>
      <c r="D6334" s="11"/>
      <c r="E6334" s="11"/>
    </row>
    <row r="6335" spans="1:5">
      <c r="A6335" s="12" t="s">
        <v>12774</v>
      </c>
      <c r="B6335" s="12" t="s">
        <v>12910</v>
      </c>
      <c r="C6335" s="13" t="str">
        <f>HYPERLINK("https://audio.iskcondesiretree.com/02_-_ISKCON_Swamis/ISKCON_Swamis_-_R_to_Y/His_Holiness_Radhanath_Swami/Lectures/Short_Clips/So_Many_Miracles_-_Radhanath_Swami.mp3", "So_Many_Miracles_-_Radhanath_Swami.mp3")</f>
        <v>So_Many_Miracles_-_Radhanath_Swami.mp3</v>
      </c>
      <c r="D6335" s="11"/>
      <c r="E6335" s="11"/>
    </row>
    <row r="6336" spans="1:5">
      <c r="A6336" s="12" t="s">
        <v>12774</v>
      </c>
      <c r="B6336" s="12" t="s">
        <v>12911</v>
      </c>
      <c r="C6336" s="13" t="str">
        <f>HYPERLINK("https://audio.iskcondesiretree.com/02_-_ISKCON_Swamis/ISKCON_Swamis_-_R_to_Y/His_Holiness_Radhanath_Swami/Lectures/Short_Clips/Spiritual_Globalization_-_Radhanath_Swami.mp3", "Spiritual_Globalization_-_Radhanath_Swami.mp3")</f>
        <v>Spiritual_Globalization_-_Radhanath_Swami.mp3</v>
      </c>
      <c r="D6336" s="11"/>
      <c r="E6336" s="11"/>
    </row>
    <row r="6337" spans="1:5">
      <c r="A6337" s="12" t="s">
        <v>12774</v>
      </c>
      <c r="B6337" s="12" t="s">
        <v>12912</v>
      </c>
      <c r="C6337" s="13" t="str">
        <f>HYPERLINK("https://audio.iskcondesiretree.com/02_-_ISKCON_Swamis/ISKCON_Swamis_-_R_to_Y/His_Holiness_Radhanath_Swami/Lectures/Short_Clips/Srila_Prabhupada-The_Perfect_Example_of_Renunciation_-_Radhanath_Swami.mp3", "Srila_Prabhupada-The_Perfect_Example_of_Renunciation_-_Radhanath_Swami.mp3")</f>
        <v>Srila_Prabhupada-The_Perfect_Example_of_Renunciation_-_Radhanath_Swami.mp3</v>
      </c>
      <c r="D6337" s="11"/>
      <c r="E6337" s="11"/>
    </row>
    <row r="6338" spans="1:5">
      <c r="A6338" s="12" t="s">
        <v>12774</v>
      </c>
      <c r="B6338" s="12" t="s">
        <v>12913</v>
      </c>
      <c r="C6338" s="13" t="str">
        <f>HYPERLINK("https://audio.iskcondesiretree.com/02_-_ISKCON_Swamis/ISKCON_Swamis_-_R_to_Y/His_Holiness_Radhanath_Swami/Lectures/Short_Clips/Stop_Worrying_Start_Living_-_Radhanath_Swami.mp3", "Stop_Worrying_Start_Living_-_Radhanath_Swami.mp3")</f>
        <v>Stop_Worrying_Start_Living_-_Radhanath_Swami.mp3</v>
      </c>
      <c r="D6338" s="11"/>
      <c r="E6338" s="11"/>
    </row>
    <row r="6339" spans="1:5">
      <c r="A6339" s="12" t="s">
        <v>12774</v>
      </c>
      <c r="B6339" s="12" t="s">
        <v>12914</v>
      </c>
      <c r="C6339" s="13" t="str">
        <f>HYPERLINK("https://audio.iskcondesiretree.com/02_-_ISKCON_Swamis/ISKCON_Swamis_-_R_to_Y/His_Holiness_Radhanath_Swami/Lectures/Short_Clips/Striving_For_The_Highest_Ideals_-_Radhanath_Swami.mp3", "Striving_For_The_Highest_Ideals_-_Radhanath_Swami.mp3")</f>
        <v>Striving_For_The_Highest_Ideals_-_Radhanath_Swami.mp3</v>
      </c>
      <c r="D6339" s="11"/>
      <c r="E6339" s="11"/>
    </row>
    <row r="6340" spans="1:5">
      <c r="A6340" s="12" t="s">
        <v>12774</v>
      </c>
      <c r="B6340" s="12" t="s">
        <v>12915</v>
      </c>
      <c r="C6340" s="13" t="str">
        <f>HYPERLINK("https://audio.iskcondesiretree.com/02_-_ISKCON_Swamis/ISKCON_Swamis_-_R_to_Y/His_Holiness_Radhanath_Swami/Lectures/Short_Clips/Surrender_Perhaps_Thats_The_Sacry_Part_-_Radhanath_Swami.mp3", "Surrender_Perhaps_Thats_The_Sacry_Part_-_Radhanath_Swami.mp3")</f>
        <v>Surrender_Perhaps_Thats_The_Sacry_Part_-_Radhanath_Swami.mp3</v>
      </c>
      <c r="D6340" s="11"/>
      <c r="E6340" s="11"/>
    </row>
    <row r="6341" spans="1:5">
      <c r="A6341" s="12" t="s">
        <v>12774</v>
      </c>
      <c r="B6341" s="12" t="s">
        <v>12916</v>
      </c>
      <c r="C6341" s="13" t="str">
        <f>HYPERLINK("https://audio.iskcondesiretree.com/02_-_ISKCON_Swamis/ISKCON_Swamis_-_R_to_Y/His_Holiness_Radhanath_Swami/Lectures/Short_Clips/That_Gives_Us_Life_Enthusiasm_And_Happiness_-_Radhanath_Swami.mp3", "That_Gives_Us_Life_Enthusiasm_And_Happiness_-_Radhanath_Swami.mp3")</f>
        <v>That_Gives_Us_Life_Enthusiasm_And_Happiness_-_Radhanath_Swami.mp3</v>
      </c>
      <c r="D6341" s="11"/>
      <c r="E6341" s="11"/>
    </row>
    <row r="6342" spans="1:5">
      <c r="A6342" s="12" t="s">
        <v>12774</v>
      </c>
      <c r="B6342" s="12" t="s">
        <v>12917</v>
      </c>
      <c r="C6342" s="13" t="str">
        <f>HYPERLINK("https://audio.iskcondesiretree.com/02_-_ISKCON_Swamis/ISKCON_Swamis_-_R_to_Y/His_Holiness_Radhanath_Swami/Lectures/Short_Clips/That_Is_The_Power_Of_The_Name_-_Radhanath_Swami.mp3", "That_Is_The_Power_Of_The_Name_-_Radhanath_Swami.mp3")</f>
        <v>That_Is_The_Power_Of_The_Name_-_Radhanath_Swami.mp3</v>
      </c>
      <c r="D6342" s="11"/>
      <c r="E6342" s="11"/>
    </row>
    <row r="6343" spans="1:5">
      <c r="A6343" s="12" t="s">
        <v>12774</v>
      </c>
      <c r="B6343" s="12" t="s">
        <v>12918</v>
      </c>
      <c r="C6343" s="13" t="str">
        <f>HYPERLINK("https://audio.iskcondesiretree.com/02_-_ISKCON_Swamis/ISKCON_Swamis_-_R_to_Y/His_Holiness_Radhanath_Swami/Lectures/Short_Clips/That_Is_Victory_-_Radhanath_Swami.mp3", "That_Is_Victory_-_Radhanath_Swami.mp3")</f>
        <v>That_Is_Victory_-_Radhanath_Swami.mp3</v>
      </c>
      <c r="D6343" s="11"/>
      <c r="E6343" s="11"/>
    </row>
    <row r="6344" spans="1:5">
      <c r="A6344" s="12" t="s">
        <v>12774</v>
      </c>
      <c r="B6344" s="12" t="s">
        <v>12919</v>
      </c>
      <c r="C6344" s="13" t="str">
        <f>HYPERLINK("https://audio.iskcondesiretree.com/02_-_ISKCON_Swamis/ISKCON_Swamis_-_R_to_Y/His_Holiness_Radhanath_Swami/Lectures/Short_Clips/Thats_what_it_means_to_be_an_advanced_devotee_-_Radhanath_Swami.mp3", "Thats_what_it_means_to_be_an_advanced_devotee_-_Radhanath_Swami.mp3")</f>
        <v>Thats_what_it_means_to_be_an_advanced_devotee_-_Radhanath_Swami.mp3</v>
      </c>
      <c r="D6344" s="11"/>
      <c r="E6344" s="11"/>
    </row>
    <row r="6345" spans="1:5">
      <c r="A6345" s="12" t="s">
        <v>12774</v>
      </c>
      <c r="B6345" s="12" t="s">
        <v>12920</v>
      </c>
      <c r="C6345" s="13" t="str">
        <f>HYPERLINK("https://audio.iskcondesiretree.com/02_-_ISKCON_Swamis/ISKCON_Swamis_-_R_to_Y/His_Holiness_Radhanath_Swami/Lectures/Short_Clips/The_Art_Of_Self_Confidence_-_Radhanath_Swami.mp3", "The_Art_Of_Self_Confidence_-_Radhanath_Swami.mp3")</f>
        <v>The_Art_Of_Self_Confidence_-_Radhanath_Swami.mp3</v>
      </c>
      <c r="D6345" s="11"/>
      <c r="E6345" s="11"/>
    </row>
    <row r="6346" spans="1:5">
      <c r="A6346" s="12" t="s">
        <v>12774</v>
      </c>
      <c r="B6346" s="12" t="s">
        <v>12921</v>
      </c>
      <c r="C6346" s="13" t="str">
        <f>HYPERLINK("https://audio.iskcondesiretree.com/02_-_ISKCON_Swamis/ISKCON_Swamis_-_R_to_Y/His_Holiness_Radhanath_Swami/Lectures/Short_Clips/The_Challenges_To_Bhakti_In_a_City_-_Radhanath_Swami.mp3", "The_Challenges_To_Bhakti_In_a_City_-_Radhanath_Swami.mp3")</f>
        <v>The_Challenges_To_Bhakti_In_a_City_-_Radhanath_Swami.mp3</v>
      </c>
      <c r="D6346" s="11"/>
      <c r="E6346" s="11"/>
    </row>
    <row r="6347" spans="1:5">
      <c r="A6347" s="12" t="s">
        <v>12774</v>
      </c>
      <c r="B6347" s="12" t="s">
        <v>12922</v>
      </c>
      <c r="C6347" s="13" t="str">
        <f>HYPERLINK("https://audio.iskcondesiretree.com/02_-_ISKCON_Swamis/ISKCON_Swamis_-_R_to_Y/His_Holiness_Radhanath_Swami/Lectures/Short_Clips/The_Connection_Between_Cleaning_Heart_And_Cleaning_Habits_-_Radhanath_Swami.mp3", "The_Connection_Between_Cleaning_Heart_And_Cleaning_Habits_-_Radhanath_Swami.mp3")</f>
        <v>The_Connection_Between_Cleaning_Heart_And_Cleaning_Habits_-_Radhanath_Swami.mp3</v>
      </c>
      <c r="D6347" s="11"/>
      <c r="E6347" s="11"/>
    </row>
    <row r="6348" spans="1:5">
      <c r="A6348" s="12" t="s">
        <v>12774</v>
      </c>
      <c r="B6348" s="12" t="s">
        <v>12923</v>
      </c>
      <c r="C6348" s="13" t="str">
        <f>HYPERLINK("https://audio.iskcondesiretree.com/02_-_ISKCON_Swamis/ISKCON_Swamis_-_R_to_Y/His_Holiness_Radhanath_Swami/Lectures/Short_Clips/The_Desire_To_Love_And_Be_Loved_-_Radhanath_Swami.mp3", "The_Desire_To_Love_And_Be_Loved_-_Radhanath_Swami.mp3")</f>
        <v>The_Desire_To_Love_And_Be_Loved_-_Radhanath_Swami.mp3</v>
      </c>
      <c r="D6348" s="11"/>
      <c r="E6348" s="11"/>
    </row>
    <row r="6349" spans="1:5">
      <c r="A6349" s="12" t="s">
        <v>12774</v>
      </c>
      <c r="B6349" s="12" t="s">
        <v>12924</v>
      </c>
      <c r="C6349" s="13" t="str">
        <f>HYPERLINK("https://audio.iskcondesiretree.com/02_-_ISKCON_Swamis/ISKCON_Swamis_-_R_to_Y/His_Holiness_Radhanath_Swami/Lectures/Short_Clips/The_Essential_Quality_Of_Renunciation_Is_Humility_-_Radhanath_Swami.mp3", "The_Essential_Quality_Of_Renunciation_Is_Humility_-_Radhanath_Swami.mp3")</f>
        <v>The_Essential_Quality_Of_Renunciation_Is_Humility_-_Radhanath_Swami.mp3</v>
      </c>
      <c r="D6349" s="11"/>
      <c r="E6349" s="11"/>
    </row>
    <row r="6350" spans="1:5">
      <c r="A6350" s="12" t="s">
        <v>12774</v>
      </c>
      <c r="B6350" s="12" t="s">
        <v>12925</v>
      </c>
      <c r="C6350" s="13" t="str">
        <f>HYPERLINK("https://audio.iskcondesiretree.com/02_-_ISKCON_Swamis/ISKCON_Swamis_-_R_to_Y/His_Holiness_Radhanath_Swami/Lectures/Short_Clips/The_Greatest_Problem_Is_The_Hungry_Heart_-_Radhanath_Swami.mp3", "The_Greatest_Problem_Is_The_Hungry_Heart_-_Radhanath_Swami.mp3")</f>
        <v>The_Greatest_Problem_Is_The_Hungry_Heart_-_Radhanath_Swami.mp3</v>
      </c>
      <c r="D6350" s="11"/>
      <c r="E6350" s="11"/>
    </row>
    <row r="6351" spans="1:5">
      <c r="A6351" s="12" t="s">
        <v>12774</v>
      </c>
      <c r="B6351" s="12" t="s">
        <v>12926</v>
      </c>
      <c r="C6351" s="13" t="str">
        <f>HYPERLINK("https://audio.iskcondesiretree.com/02_-_ISKCON_Swamis/ISKCON_Swamis_-_R_to_Y/His_Holiness_Radhanath_Swami/Lectures/Short_Clips/The_Hope_To_Be_An_Instrument_Of_God_Is_Incredibly_Wonderful_-_Radhanath_Swami.mp3", "The_Hope_To_Be_An_Instrument_Of_God_Is_Incredibly_Wonderful_-_Radhanath_Swami.mp3")</f>
        <v>The_Hope_To_Be_An_Instrument_Of_God_Is_Incredibly_Wonderful_-_Radhanath_Swami.mp3</v>
      </c>
      <c r="D6351" s="11"/>
      <c r="E6351" s="11"/>
    </row>
    <row r="6352" spans="1:5">
      <c r="A6352" s="12" t="s">
        <v>12774</v>
      </c>
      <c r="B6352" s="12" t="s">
        <v>12927</v>
      </c>
      <c r="C6352" s="13" t="str">
        <f>HYPERLINK("https://audio.iskcondesiretree.com/02_-_ISKCON_Swamis/ISKCON_Swamis_-_R_to_Y/His_Holiness_Radhanath_Swami/Lectures/Short_Clips/The_Medicine_Of_Holy_Name_-_Radhanath_Swami.mp3", "The_Medicine_Of_Holy_Name_-_Radhanath_Swami.mp3")</f>
        <v>The_Medicine_Of_Holy_Name_-_Radhanath_Swami.mp3</v>
      </c>
      <c r="D6352" s="11"/>
      <c r="E6352" s="11"/>
    </row>
    <row r="6353" spans="1:5">
      <c r="A6353" s="12" t="s">
        <v>12774</v>
      </c>
      <c r="B6353" s="12" t="s">
        <v>12928</v>
      </c>
      <c r="C6353" s="13" t="str">
        <f>HYPERLINK("https://audio.iskcondesiretree.com/02_-_ISKCON_Swamis/ISKCON_Swamis_-_R_to_Y/His_Holiness_Radhanath_Swami/Lectures/Short_Clips/The_Mind_Is_Like_A_Monkey_-_Radhanath_Swami.mp3", "The_Mind_Is_Like_A_Monkey_-_Radhanath_Swami.mp3")</f>
        <v>The_Mind_Is_Like_A_Monkey_-_Radhanath_Swami.mp3</v>
      </c>
      <c r="D6353" s="11"/>
      <c r="E6353" s="11"/>
    </row>
    <row r="6354" spans="1:5">
      <c r="A6354" s="12" t="s">
        <v>12774</v>
      </c>
      <c r="B6354" s="12" t="s">
        <v>12929</v>
      </c>
      <c r="C6354" s="13" t="str">
        <f>HYPERLINK("https://audio.iskcondesiretree.com/02_-_ISKCON_Swamis/ISKCON_Swamis_-_R_to_Y/His_Holiness_Radhanath_Swami/Lectures/Short_Clips/The_Power_To_Change_-_Radhanath_Swami.mp3", "The_Power_To_Change_-_Radhanath_Swami.mp3")</f>
        <v>The_Power_To_Change_-_Radhanath_Swami.mp3</v>
      </c>
      <c r="D6354" s="11"/>
      <c r="E6354" s="11"/>
    </row>
    <row r="6355" spans="1:5">
      <c r="A6355" s="12" t="s">
        <v>12774</v>
      </c>
      <c r="B6355" s="12" t="s">
        <v>12930</v>
      </c>
      <c r="C6355" s="13" t="str">
        <f>HYPERLINK("https://audio.iskcondesiretree.com/02_-_ISKCON_Swamis/ISKCON_Swamis_-_R_to_Y/His_Holiness_Radhanath_Swami/Lectures/Short_Clips/The_principle_of_Karma_-_Radhanath_Swami.mp3", "The_principle_of_Karma_-_Radhanath_Swami.mp3")</f>
        <v>The_principle_of_Karma_-_Radhanath_Swami.mp3</v>
      </c>
      <c r="D6355" s="11"/>
      <c r="E6355" s="11"/>
    </row>
    <row r="6356" spans="1:5">
      <c r="A6356" s="12" t="s">
        <v>12774</v>
      </c>
      <c r="B6356" s="12" t="s">
        <v>12931</v>
      </c>
      <c r="C6356" s="13" t="str">
        <f>HYPERLINK("https://audio.iskcondesiretree.com/02_-_ISKCON_Swamis/ISKCON_Swamis_-_R_to_Y/His_Holiness_Radhanath_Swami/Lectures/Short_Clips/The_reasons_behind_natural_calamities_-_Radhanath_Swami.mp3", "The_reasons_behind_natural_calamities_-_Radhanath_Swami.mp3")</f>
        <v>The_reasons_behind_natural_calamities_-_Radhanath_Swami.mp3</v>
      </c>
      <c r="D6356" s="11"/>
      <c r="E6356" s="11"/>
    </row>
    <row r="6357" spans="1:5">
      <c r="A6357" s="12" t="s">
        <v>12774</v>
      </c>
      <c r="B6357" s="12" t="s">
        <v>12932</v>
      </c>
      <c r="C6357" s="13" t="str">
        <f>HYPERLINK("https://audio.iskcondesiretree.com/02_-_ISKCON_Swamis/ISKCON_Swamis_-_R_to_Y/His_Holiness_Radhanath_Swami/Lectures/Short_Clips/The_Root_Cause_Of_Fear_-_Radhanath_Swami.mp3", "The_Root_Cause_Of_Fear_-_Radhanath_Swami.mp3")</f>
        <v>The_Root_Cause_Of_Fear_-_Radhanath_Swami.mp3</v>
      </c>
      <c r="D6357" s="11"/>
      <c r="E6357" s="11"/>
    </row>
    <row r="6358" spans="1:5">
      <c r="A6358" s="12" t="s">
        <v>12774</v>
      </c>
      <c r="B6358" s="12" t="s">
        <v>12933</v>
      </c>
      <c r="C6358" s="13" t="str">
        <f>HYPERLINK("https://audio.iskcondesiretree.com/02_-_ISKCON_Swamis/ISKCON_Swamis_-_R_to_Y/His_Holiness_Radhanath_Swami/Lectures/Short_Clips/The_Secret_Of_Enthusiasm_And_Happiness_-_Radhanath_Swami.mp3", "The_Secret_Of_Enthusiasm_And_Happiness_-_Radhanath_Swami.mp3")</f>
        <v>The_Secret_Of_Enthusiasm_And_Happiness_-_Radhanath_Swami.mp3</v>
      </c>
      <c r="D6358" s="11"/>
      <c r="E6358" s="11"/>
    </row>
    <row r="6359" spans="1:5">
      <c r="A6359" s="12" t="s">
        <v>12774</v>
      </c>
      <c r="B6359" s="12" t="s">
        <v>12934</v>
      </c>
      <c r="C6359" s="13" t="str">
        <f>HYPERLINK("https://audio.iskcondesiretree.com/02_-_ISKCON_Swamis/ISKCON_Swamis_-_R_to_Y/His_Holiness_Radhanath_Swami/Lectures/Short_Clips/The_Spoilt_Child_-_Radhanath_Swami.mp3", "The_Spoilt_Child_-_Radhanath_Swami.mp3")</f>
        <v>The_Spoilt_Child_-_Radhanath_Swami.mp3</v>
      </c>
      <c r="D6359" s="11"/>
      <c r="E6359" s="11"/>
    </row>
    <row r="6360" spans="1:5">
      <c r="A6360" s="12" t="s">
        <v>12774</v>
      </c>
      <c r="B6360" s="12" t="s">
        <v>12935</v>
      </c>
      <c r="C6360" s="13" t="str">
        <f>HYPERLINK("https://audio.iskcondesiretree.com/02_-_ISKCON_Swamis/ISKCON_Swamis_-_R_to_Y/His_Holiness_Radhanath_Swami/Lectures/Short_Clips/The_Ultimate_Prayer_-_Radhanath_Swami.mp3", "The_Ultimate_Prayer_-_Radhanath_Swami.mp3")</f>
        <v>The_Ultimate_Prayer_-_Radhanath_Swami.mp3</v>
      </c>
      <c r="D6360" s="11"/>
      <c r="E6360" s="11"/>
    </row>
    <row r="6361" spans="1:5">
      <c r="A6361" s="12" t="s">
        <v>12774</v>
      </c>
      <c r="B6361" s="12" t="s">
        <v>12936</v>
      </c>
      <c r="C6361" s="13" t="str">
        <f>HYPERLINK("https://audio.iskcondesiretree.com/02_-_ISKCON_Swamis/ISKCON_Swamis_-_R_to_Y/His_Holiness_Radhanath_Swami/Lectures/Short_Clips/The_Way_To_Complete_Confidence_Enthusiasm_and_Preseverance_-_Radhanath_Swami.mp3", "The_Way_To_Complete_Confidence_Enthusiasm_and_Preseverance_-_Radhanath_Swami.mp3")</f>
        <v>The_Way_To_Complete_Confidence_Enthusiasm_and_Preseverance_-_Radhanath_Swami.mp3</v>
      </c>
      <c r="D6361" s="11"/>
      <c r="E6361" s="11"/>
    </row>
    <row r="6362" spans="1:5">
      <c r="A6362" s="12" t="s">
        <v>12774</v>
      </c>
      <c r="B6362" s="12" t="s">
        <v>12937</v>
      </c>
      <c r="C6362" s="13" t="str">
        <f>HYPERLINK("https://audio.iskcondesiretree.com/02_-_ISKCON_Swamis/ISKCON_Swamis_-_R_to_Y/His_Holiness_Radhanath_Swami/Lectures/Short_Clips/The_Yuga_Avatar_-_Radhanath_Swami.mp3", "The_Yuga_Avatar_-_Radhanath_Swami.mp3")</f>
        <v>The_Yuga_Avatar_-_Radhanath_Swami.mp3</v>
      </c>
      <c r="D6362" s="11"/>
      <c r="E6362" s="11"/>
    </row>
    <row r="6363" spans="1:5">
      <c r="A6363" s="12" t="s">
        <v>12774</v>
      </c>
      <c r="B6363" s="12" t="s">
        <v>12938</v>
      </c>
      <c r="C6363" s="13" t="str">
        <f>HYPERLINK("https://audio.iskcondesiretree.com/02_-_ISKCON_Swamis/ISKCON_Swamis_-_R_to_Y/His_Holiness_Radhanath_Swami/Lectures/Short_Clips/There_Is_No_Environmental_Crisis._-_Radhanath_Swami.mp3", "There_Is_No_Environmental_Crisis._-_Radhanath_Swami.mp3")</f>
        <v>There_Is_No_Environmental_Crisis._-_Radhanath_Swami.mp3</v>
      </c>
      <c r="D6363" s="11"/>
      <c r="E6363" s="11"/>
    </row>
    <row r="6364" spans="1:5">
      <c r="A6364" s="12" t="s">
        <v>12774</v>
      </c>
      <c r="B6364" s="12" t="s">
        <v>12939</v>
      </c>
      <c r="C6364" s="13" t="str">
        <f>HYPERLINK("https://audio.iskcondesiretree.com/02_-_ISKCON_Swamis/ISKCON_Swamis_-_R_to_Y/His_Holiness_Radhanath_Swami/Lectures/Short_Clips/This_Is_Real_Kirtan_-_Radhanath_Swami.mp3", "This_Is_Real_Kirtan_-_Radhanath_Swami.mp3")</f>
        <v>This_Is_Real_Kirtan_-_Radhanath_Swami.mp3</v>
      </c>
      <c r="D6364" s="11"/>
      <c r="E6364" s="11"/>
    </row>
    <row r="6365" spans="1:5">
      <c r="A6365" s="12" t="s">
        <v>12774</v>
      </c>
      <c r="B6365" s="12" t="s">
        <v>12940</v>
      </c>
      <c r="C6365" s="13" t="str">
        <f>HYPERLINK("https://audio.iskcondesiretree.com/02_-_ISKCON_Swamis/ISKCON_Swamis_-_R_to_Y/His_Holiness_Radhanath_Swami/Lectures/Short_Clips/This_world_is_a_mirror_of_our_own_consiousness_-_Radhanath_Swami.mp3", "This_world_is_a_mirror_of_our_own_consiousness_-_Radhanath_Swami.mp3")</f>
        <v>This_world_is_a_mirror_of_our_own_consiousness_-_Radhanath_Swami.mp3</v>
      </c>
      <c r="D6365" s="11"/>
      <c r="E6365" s="11"/>
    </row>
    <row r="6366" spans="1:5">
      <c r="A6366" s="12" t="s">
        <v>12774</v>
      </c>
      <c r="B6366" s="12" t="s">
        <v>12941</v>
      </c>
      <c r="C6366" s="13" t="str">
        <f>HYPERLINK("https://audio.iskcondesiretree.com/02_-_ISKCON_Swamis/ISKCON_Swamis_-_R_to_Y/His_Holiness_Radhanath_Swami/Lectures/Short_Clips/Three_Types_Of_Persons_Performing_their_Duties_-_Radhanath_Swami.mp3", "Three_Types_Of_Persons_Performing_their_Duties_-_Radhanath_Swami.mp3")</f>
        <v>Three_Types_Of_Persons_Performing_their_Duties_-_Radhanath_Swami.mp3</v>
      </c>
      <c r="D6366" s="11"/>
      <c r="E6366" s="11"/>
    </row>
    <row r="6367" spans="1:5">
      <c r="A6367" s="12" t="s">
        <v>12774</v>
      </c>
      <c r="B6367" s="12" t="s">
        <v>12942</v>
      </c>
      <c r="C6367" s="13" t="str">
        <f>HYPERLINK("https://audio.iskcondesiretree.com/02_-_ISKCON_Swamis/ISKCON_Swamis_-_R_to_Y/His_Holiness_Radhanath_Swami/Lectures/Short_Clips/Three_Views_Of_The_World_-_Radhanath_Swami.mp3", "Three_Views_Of_The_World_-_Radhanath_Swami.mp3")</f>
        <v>Three_Views_Of_The_World_-_Radhanath_Swami.mp3</v>
      </c>
      <c r="D6367" s="11"/>
      <c r="E6367" s="11"/>
    </row>
    <row r="6368" spans="1:5">
      <c r="A6368" s="12" t="s">
        <v>12774</v>
      </c>
      <c r="B6368" s="12" t="s">
        <v>12943</v>
      </c>
      <c r="C6368" s="13" t="str">
        <f>HYPERLINK("https://audio.iskcondesiretree.com/02_-_ISKCON_Swamis/ISKCON_Swamis_-_R_to_Y/His_Holiness_Radhanath_Swami/Lectures/Short_Clips/Thus_Spake_An_American_Indian_-_Radhanath_Swami.mp3", "Thus_Spake_An_American_Indian_-_Radhanath_Swami.mp3")</f>
        <v>Thus_Spake_An_American_Indian_-_Radhanath_Swami.mp3</v>
      </c>
      <c r="D6368" s="11"/>
      <c r="E6368" s="11"/>
    </row>
    <row r="6369" spans="1:5">
      <c r="A6369" s="12" t="s">
        <v>12774</v>
      </c>
      <c r="B6369" s="12" t="s">
        <v>12944</v>
      </c>
      <c r="C6369" s="13" t="str">
        <f>HYPERLINK("https://audio.iskcondesiretree.com/02_-_ISKCON_Swamis/ISKCON_Swamis_-_R_to_Y/His_Holiness_Radhanath_Swami/Lectures/Short_Clips/Time_is_so_Precious_01_-_Radhanath_Swami.mp3", "Time_is_so_Precious_01_-_Radhanath_Swami.mp3")</f>
        <v>Time_is_so_Precious_01_-_Radhanath_Swami.mp3</v>
      </c>
      <c r="D6369" s="11"/>
      <c r="E6369" s="11"/>
    </row>
    <row r="6370" spans="1:5">
      <c r="A6370" s="12" t="s">
        <v>12774</v>
      </c>
      <c r="B6370" s="12" t="s">
        <v>12945</v>
      </c>
      <c r="C6370" s="13" t="str">
        <f>HYPERLINK("https://audio.iskcondesiretree.com/02_-_ISKCON_Swamis/ISKCON_Swamis_-_R_to_Y/His_Holiness_Radhanath_Swami/Lectures/Short_Clips/Time_is_so_Precious_02_-_Radhanath_Swami.mp3", "Time_is_so_Precious_02_-_Radhanath_Swami.mp3")</f>
        <v>Time_is_so_Precious_02_-_Radhanath_Swami.mp3</v>
      </c>
      <c r="D6370" s="11"/>
      <c r="E6370" s="11"/>
    </row>
    <row r="6371" spans="1:5">
      <c r="A6371" s="12" t="s">
        <v>12774</v>
      </c>
      <c r="B6371" s="12" t="s">
        <v>12946</v>
      </c>
      <c r="C6371" s="13" t="str">
        <f>HYPERLINK("https://audio.iskcondesiretree.com/02_-_ISKCON_Swamis/ISKCON_Swamis_-_R_to_Y/His_Holiness_Radhanath_Swami/Lectures/Short_Clips/To_fail_is_not_much_of_a_loss_-_Radhanath_Swami.mp3", "To_fail_is_not_much_of_a_loss_-_Radhanath_Swami.mp3")</f>
        <v>To_fail_is_not_much_of_a_loss_-_Radhanath_Swami.mp3</v>
      </c>
      <c r="D6371" s="11"/>
      <c r="E6371" s="11"/>
    </row>
    <row r="6372" spans="1:5">
      <c r="A6372" s="12" t="s">
        <v>12774</v>
      </c>
      <c r="B6372" s="12" t="s">
        <v>12947</v>
      </c>
      <c r="C6372" s="13" t="str">
        <f>HYPERLINK("https://audio.iskcondesiretree.com/02_-_ISKCON_Swamis/ISKCON_Swamis_-_R_to_Y/His_Holiness_Radhanath_Swami/Lectures/Short_Clips/Tolerate_Honor_without_Becoming_Arrogant_-_Radhanath_Swami.mp3", "Tolerate_Honor_without_Becoming_Arrogant_-_Radhanath_Swami.mp3")</f>
        <v>Tolerate_Honor_without_Becoming_Arrogant_-_Radhanath_Swami.mp3</v>
      </c>
      <c r="D6372" s="11"/>
      <c r="E6372" s="11"/>
    </row>
    <row r="6373" spans="1:5">
      <c r="A6373" s="12" t="s">
        <v>12774</v>
      </c>
      <c r="B6373" s="12" t="s">
        <v>12948</v>
      </c>
      <c r="C6373" s="13" t="str">
        <f>HYPERLINK("https://audio.iskcondesiretree.com/02_-_ISKCON_Swamis/ISKCON_Swamis_-_R_to_Y/His_Holiness_Radhanath_Swami/Lectures/Short_Clips/True_Greatness_-_Radhanath_Swami.mp3", "True_Greatness_-_Radhanath_Swami.mp3")</f>
        <v>True_Greatness_-_Radhanath_Swami.mp3</v>
      </c>
      <c r="D6373" s="11"/>
      <c r="E6373" s="11"/>
    </row>
    <row r="6374" spans="1:5">
      <c r="A6374" s="12" t="s">
        <v>12774</v>
      </c>
      <c r="B6374" s="12" t="s">
        <v>12949</v>
      </c>
      <c r="C6374" s="13" t="str">
        <f>HYPERLINK("https://audio.iskcondesiretree.com/02_-_ISKCON_Swamis/ISKCON_Swamis_-_R_to_Y/His_Holiness_Radhanath_Swami/Lectures/Short_Clips/Unity_Is_Strength_-_Radhanath_Swami.mp3", "Unity_Is_Strength_-_Radhanath_Swami.mp3")</f>
        <v>Unity_Is_Strength_-_Radhanath_Swami.mp3</v>
      </c>
      <c r="D6374" s="11"/>
      <c r="E6374" s="11"/>
    </row>
    <row r="6375" spans="1:5">
      <c r="A6375" s="12" t="s">
        <v>12774</v>
      </c>
      <c r="B6375" s="12" t="s">
        <v>12950</v>
      </c>
      <c r="C6375" s="13" t="str">
        <f>HYPERLINK("https://audio.iskcondesiretree.com/02_-_ISKCON_Swamis/ISKCON_Swamis_-_R_to_Y/His_Holiness_Radhanath_Swami/Lectures/Short_Clips/Uprooting_The_Weeds_Of_Bad_Habits_-_Radhanath_Swami.mp3", "Uprooting_The_Weeds_Of_Bad_Habits_-_Radhanath_Swami.mp3")</f>
        <v>Uprooting_The_Weeds_Of_Bad_Habits_-_Radhanath_Swami.mp3</v>
      </c>
      <c r="D6375" s="11"/>
      <c r="E6375" s="11"/>
    </row>
    <row r="6376" spans="1:5">
      <c r="A6376" s="12" t="s">
        <v>12774</v>
      </c>
      <c r="B6376" s="12" t="s">
        <v>12951</v>
      </c>
      <c r="C6376" s="13" t="str">
        <f>HYPERLINK("https://audio.iskcondesiretree.com/02_-_ISKCON_Swamis/ISKCON_Swamis_-_R_to_Y/His_Holiness_Radhanath_Swami/Lectures/Short_Clips/Utilizing_Technology_for_a_Higher_Cause_-_Radhanath_Swami.mp3", "Utilizing_Technology_for_a_Higher_Cause_-_Radhanath_Swami.mp3")</f>
        <v>Utilizing_Technology_for_a_Higher_Cause_-_Radhanath_Swami.mp3</v>
      </c>
      <c r="D6376" s="11"/>
      <c r="E6376" s="11"/>
    </row>
    <row r="6377" spans="1:5">
      <c r="A6377" s="12" t="s">
        <v>12774</v>
      </c>
      <c r="B6377" s="12" t="s">
        <v>12952</v>
      </c>
      <c r="C6377" s="13" t="str">
        <f>HYPERLINK("https://audio.iskcondesiretree.com/02_-_ISKCON_Swamis/ISKCON_Swamis_-_R_to_Y/His_Holiness_Radhanath_Swami/Lectures/Short_Clips/Vedas_Teach_Us_the_Ultimate_Goal_of_Life_-_Radhanath_Swami.mp3", "Vedas_Teach_Us_the_Ultimate_Goal_of_Life_-_Radhanath_Swami.mp3")</f>
        <v>Vedas_Teach_Us_the_Ultimate_Goal_of_Life_-_Radhanath_Swami.mp3</v>
      </c>
      <c r="D6377" s="11"/>
      <c r="E6377" s="11"/>
    </row>
    <row r="6378" spans="1:5">
      <c r="A6378" s="12" t="s">
        <v>12774</v>
      </c>
      <c r="B6378" s="12" t="s">
        <v>12953</v>
      </c>
      <c r="C6378" s="13" t="str">
        <f>HYPERLINK("https://audio.iskcondesiretree.com/02_-_ISKCON_Swamis/ISKCON_Swamis_-_R_to_Y/His_Holiness_Radhanath_Swami/Lectures/Short_Clips/Vedic_Perspective_On_Climatic_Change_-_Radhanath_Swami.mp3", "Vedic_Perspective_On_Climatic_Change_-_Radhanath_Swami.mp3")</f>
        <v>Vedic_Perspective_On_Climatic_Change_-_Radhanath_Swami.mp3</v>
      </c>
      <c r="D6378" s="11"/>
      <c r="E6378" s="11"/>
    </row>
    <row r="6379" spans="1:5">
      <c r="A6379" s="12" t="s">
        <v>12774</v>
      </c>
      <c r="B6379" s="12" t="s">
        <v>12954</v>
      </c>
      <c r="C6379" s="13" t="str">
        <f>HYPERLINK("https://audio.iskcondesiretree.com/02_-_ISKCON_Swamis/ISKCON_Swamis_-_R_to_Y/His_Holiness_Radhanath_Swami/Lectures/Short_Clips/Vision_means_seeing_the_invisible_-_Radhanath_Swami.mp3", "Vision_means_seeing_the_invisible_-_Radhanath_Swami.mp3")</f>
        <v>Vision_means_seeing_the_invisible_-_Radhanath_Swami.mp3</v>
      </c>
      <c r="D6379" s="11"/>
      <c r="E6379" s="11"/>
    </row>
    <row r="6380" spans="1:5">
      <c r="A6380" s="12" t="s">
        <v>12774</v>
      </c>
      <c r="B6380" s="12" t="s">
        <v>12955</v>
      </c>
      <c r="C6380" s="13" t="str">
        <f>HYPERLINK("https://audio.iskcondesiretree.com/02_-_ISKCON_Swamis/ISKCON_Swamis_-_R_to_Y/His_Holiness_Radhanath_Swami/Lectures/Short_Clips/We_All_Have_An_Opportunity_To_Do_Something_Wonderful_-_Radhanath_Swami.mp3", "We_All_Have_An_Opportunity_To_Do_Something_Wonderful_-_Radhanath_Swami.mp3")</f>
        <v>We_All_Have_An_Opportunity_To_Do_Something_Wonderful_-_Radhanath_Swami.mp3</v>
      </c>
      <c r="D6380" s="11"/>
      <c r="E6380" s="11"/>
    </row>
    <row r="6381" spans="1:5">
      <c r="A6381" s="12" t="s">
        <v>12774</v>
      </c>
      <c r="B6381" s="12" t="s">
        <v>12956</v>
      </c>
      <c r="C6381" s="13" t="str">
        <f>HYPERLINK("https://audio.iskcondesiretree.com/02_-_ISKCON_Swamis/ISKCON_Swamis_-_R_to_Y/His_Holiness_Radhanath_Swami/Lectures/Short_Clips/We_Always_Have_The_Free_Will_Power_To_Choose_-_Radhanath_Swami.mp3", "We_Always_Have_The_Free_Will_Power_To_Choose_-_Radhanath_Swami.mp3")</f>
        <v>We_Always_Have_The_Free_Will_Power_To_Choose_-_Radhanath_Swami.mp3</v>
      </c>
      <c r="D6381" s="11"/>
      <c r="E6381" s="11"/>
    </row>
    <row r="6382" spans="1:5">
      <c r="A6382" s="12" t="s">
        <v>12774</v>
      </c>
      <c r="B6382" s="12" t="s">
        <v>12957</v>
      </c>
      <c r="C6382" s="13" t="str">
        <f>HYPERLINK("https://audio.iskcondesiretree.com/02_-_ISKCON_Swamis/ISKCON_Swamis_-_R_to_Y/His_Holiness_Radhanath_Swami/Lectures/Short_Clips/We_Become_One_With_The_Supreme_Through_Our_Love_-_Radhanath_Swami.mp3", "We_Become_One_With_The_Supreme_Through_Our_Love_-_Radhanath_Swami.mp3")</f>
        <v>We_Become_One_With_The_Supreme_Through_Our_Love_-_Radhanath_Swami.mp3</v>
      </c>
      <c r="D6382" s="11"/>
      <c r="E6382" s="11"/>
    </row>
    <row r="6383" spans="1:5">
      <c r="A6383" s="12" t="s">
        <v>12774</v>
      </c>
      <c r="B6383" s="12" t="s">
        <v>12958</v>
      </c>
      <c r="C6383" s="13" t="str">
        <f>HYPERLINK("https://audio.iskcondesiretree.com/02_-_ISKCON_Swamis/ISKCON_Swamis_-_R_to_Y/His_Holiness_Radhanath_Swami/Lectures/Short_Clips/What_is_Death_-_Radhanath_Swami.mp3", "What_is_Death_-_Radhanath_Swami.mp3")</f>
        <v>What_is_Death_-_Radhanath_Swami.mp3</v>
      </c>
      <c r="D6383" s="11"/>
      <c r="E6383" s="11"/>
    </row>
    <row r="6384" spans="1:5">
      <c r="A6384" s="12" t="s">
        <v>12774</v>
      </c>
      <c r="B6384" s="12" t="s">
        <v>12959</v>
      </c>
      <c r="C6384" s="13" t="str">
        <f>HYPERLINK("https://audio.iskcondesiretree.com/02_-_ISKCON_Swamis/ISKCON_Swamis_-_R_to_Y/His_Holiness_Radhanath_Swami/Lectures/Short_Clips/What_Is_Real_Self_Confidence_-_Radhanath_Swami.mp3", "What_Is_Real_Self_Confidence_-_Radhanath_Swami.mp3")</f>
        <v>What_Is_Real_Self_Confidence_-_Radhanath_Swami.mp3</v>
      </c>
      <c r="D6384" s="11"/>
      <c r="E6384" s="11"/>
    </row>
    <row r="6385" spans="1:5">
      <c r="A6385" s="12" t="s">
        <v>12774</v>
      </c>
      <c r="B6385" s="12" t="s">
        <v>12960</v>
      </c>
      <c r="C6385" s="13" t="str">
        <f>HYPERLINK("https://audio.iskcondesiretree.com/02_-_ISKCON_Swamis/ISKCON_Swamis_-_R_to_Y/His_Holiness_Radhanath_Swami/Lectures/Short_Clips/What_Makes_a_Person_Great_-_Radhanath_Swami.mp3", "What_Makes_a_Person_Great_-_Radhanath_Swami.mp3")</f>
        <v>What_Makes_a_Person_Great_-_Radhanath_Swami.mp3</v>
      </c>
      <c r="D6385" s="11"/>
      <c r="E6385" s="11"/>
    </row>
    <row r="6386" spans="1:5">
      <c r="A6386" s="12" t="s">
        <v>12774</v>
      </c>
      <c r="B6386" s="12" t="s">
        <v>12961</v>
      </c>
      <c r="C6386" s="13" t="str">
        <f>HYPERLINK("https://audio.iskcondesiretree.com/02_-_ISKCON_Swamis/ISKCON_Swamis_-_R_to_Y/His_Holiness_Radhanath_Swami/Lectures/Short_Clips/What_Should_Be_Our_Consciousness_While_Helping_Others_-_Radhanath_Swami.mp3", "What_Should_Be_Our_Consciousness_While_Helping_Others_-_Radhanath_Swami.mp3")</f>
        <v>What_Should_Be_Our_Consciousness_While_Helping_Others_-_Radhanath_Swami.mp3</v>
      </c>
      <c r="D6386" s="11"/>
      <c r="E6386" s="11"/>
    </row>
    <row r="6387" spans="1:5">
      <c r="A6387" s="12" t="s">
        <v>12774</v>
      </c>
      <c r="B6387" s="12" t="s">
        <v>12962</v>
      </c>
      <c r="C6387" s="13" t="str">
        <f>HYPERLINK("https://audio.iskcondesiretree.com/02_-_ISKCON_Swamis/ISKCON_Swamis_-_R_to_Y/His_Holiness_Radhanath_Swami/Lectures/Short_Clips/What_We_Should_Be_Striving_For_At_Each_Moment_-_Radhanath_Swami.mp3", "What_We_Should_Be_Striving_For_At_Each_Moment_-_Radhanath_Swami.mp3")</f>
        <v>What_We_Should_Be_Striving_For_At_Each_Moment_-_Radhanath_Swami.mp3</v>
      </c>
      <c r="D6387" s="11"/>
      <c r="E6387" s="11"/>
    </row>
    <row r="6388" spans="1:5">
      <c r="A6388" s="12" t="s">
        <v>12774</v>
      </c>
      <c r="B6388" s="12" t="s">
        <v>12963</v>
      </c>
      <c r="C6388" s="13" t="str">
        <f>HYPERLINK("https://audio.iskcondesiretree.com/02_-_ISKCON_Swamis/ISKCON_Swamis_-_R_to_Y/His_Holiness_Radhanath_Swami/Lectures/Short_Clips/When_A_Devotee_Prays_For_Us_-_Radhanath_Swami.mp3", "When_A_Devotee_Prays_For_Us_-_Radhanath_Swami.mp3")</f>
        <v>When_A_Devotee_Prays_For_Us_-_Radhanath_Swami.mp3</v>
      </c>
      <c r="D6388" s="11"/>
      <c r="E6388" s="11"/>
    </row>
    <row r="6389" spans="1:5">
      <c r="A6389" s="12" t="s">
        <v>12774</v>
      </c>
      <c r="B6389" s="12" t="s">
        <v>12964</v>
      </c>
      <c r="C6389" s="13" t="str">
        <f>HYPERLINK("https://audio.iskcondesiretree.com/02_-_ISKCON_Swamis/ISKCON_Swamis_-_R_to_Y/His_Holiness_Radhanath_Swami/Lectures/Short_Clips/When_Agitated_Lonely_Or_Bored_-_Radhanath_Swami.mp3", "When_Agitated_Lonely_Or_Bored_-_Radhanath_Swami.mp3")</f>
        <v>When_Agitated_Lonely_Or_Bored_-_Radhanath_Swami.mp3</v>
      </c>
      <c r="D6389" s="11"/>
      <c r="E6389" s="11"/>
    </row>
    <row r="6390" spans="1:5">
      <c r="A6390" s="12" t="s">
        <v>12774</v>
      </c>
      <c r="B6390" s="12" t="s">
        <v>12965</v>
      </c>
      <c r="C6390" s="13" t="str">
        <f>HYPERLINK("https://audio.iskcondesiretree.com/02_-_ISKCON_Swamis/ISKCON_Swamis_-_R_to_Y/His_Holiness_Radhanath_Swami/Lectures/Short_Clips/When_Hell_Became_Heaven_For_Me_-_Radhanath_Swami.mp3", "When_Hell_Became_Heaven_For_Me_-_Radhanath_Swami.mp3")</f>
        <v>When_Hell_Became_Heaven_For_Me_-_Radhanath_Swami.mp3</v>
      </c>
      <c r="D6390" s="11"/>
      <c r="E6390" s="11"/>
    </row>
    <row r="6391" spans="1:5">
      <c r="A6391" s="12" t="s">
        <v>12774</v>
      </c>
      <c r="B6391" s="12" t="s">
        <v>12966</v>
      </c>
      <c r="C6391" s="13" t="str">
        <f>HYPERLINK("https://audio.iskcondesiretree.com/02_-_ISKCON_Swamis/ISKCON_Swamis_-_R_to_Y/His_Holiness_Radhanath_Swami/Lectures/Short_Clips/When_You_Taste_The_Nectar_Of_Krishna_-_Radhanath_Swami.mp3", "When_You_Taste_The_Nectar_Of_Krishna_-_Radhanath_Swami.mp3")</f>
        <v>When_You_Taste_The_Nectar_Of_Krishna_-_Radhanath_Swami.mp3</v>
      </c>
      <c r="D6391" s="11"/>
      <c r="E6391" s="11"/>
    </row>
    <row r="6392" spans="1:5">
      <c r="A6392" s="12" t="s">
        <v>12774</v>
      </c>
      <c r="B6392" s="12" t="s">
        <v>12967</v>
      </c>
      <c r="C6392" s="13" t="str">
        <f>HYPERLINK("https://audio.iskcondesiretree.com/02_-_ISKCON_Swamis/ISKCON_Swamis_-_R_to_Y/His_Holiness_Radhanath_Swami/Lectures/Short_Clips/Where_Is_God_-_Radhanath_Swami.mp3", "Where_Is_God_-_Radhanath_Swami.mp3")</f>
        <v>Where_Is_God_-_Radhanath_Swami.mp3</v>
      </c>
      <c r="D6392" s="11"/>
      <c r="E6392" s="11"/>
    </row>
    <row r="6393" spans="1:5">
      <c r="A6393" s="12" t="s">
        <v>12774</v>
      </c>
      <c r="B6393" s="12" t="s">
        <v>12968</v>
      </c>
      <c r="C6393" s="13" t="str">
        <f>HYPERLINK("https://audio.iskcondesiretree.com/02_-_ISKCON_Swamis/ISKCON_Swamis_-_R_to_Y/His_Holiness_Radhanath_Swami/Lectures/Short_Clips/Wheres_the_Bhava_-_Radhanath_Swami.mp3", "Wheres_the_Bhava_-_Radhanath_Swami.mp3")</f>
        <v>Wheres_the_Bhava_-_Radhanath_Swami.mp3</v>
      </c>
      <c r="D6393" s="11"/>
      <c r="E6393" s="11"/>
    </row>
    <row r="6394" spans="1:5">
      <c r="A6394" s="12" t="s">
        <v>12774</v>
      </c>
      <c r="B6394" s="12" t="s">
        <v>12969</v>
      </c>
      <c r="C6394" s="13" t="str">
        <f>HYPERLINK("https://audio.iskcondesiretree.com/02_-_ISKCON_Swamis/ISKCON_Swamis_-_R_to_Y/His_Holiness_Radhanath_Swami/Lectures/Short_Clips/Whether_I_Win_Or_Lose_Let_It_Be_But_I%E2%80%99m_Going_To_Try_-_Radhanath_Swami.mp3", "Whether_I_Win_Or_Lose_Let_It_Be_But_I%E2%80%99m_Going_To_Try_-_Radhanath_Swami.mp3")</f>
        <v>Whether_I_Win_Or_Lose_Let_It_Be_But_I%E2%80%99m_Going_To_Try_-_Radhanath_Swami.mp3</v>
      </c>
      <c r="D6394" s="11"/>
      <c r="E6394" s="11"/>
    </row>
    <row r="6395" spans="1:5">
      <c r="A6395" s="12" t="s">
        <v>12774</v>
      </c>
      <c r="B6395" s="12" t="s">
        <v>12970</v>
      </c>
      <c r="C6395" s="13" t="str">
        <f>HYPERLINK("https://audio.iskcondesiretree.com/02_-_ISKCON_Swamis/ISKCON_Swamis_-_R_to_Y/His_Holiness_Radhanath_Swami/Lectures/Short_Clips/Whom_To_Associate_With_-_Radhanath_Swami.mp3", "Whom_To_Associate_With_-_Radhanath_Swami.mp3")</f>
        <v>Whom_To_Associate_With_-_Radhanath_Swami.mp3</v>
      </c>
      <c r="D6395" s="11"/>
      <c r="E6395" s="11"/>
    </row>
    <row r="6396" spans="1:5">
      <c r="A6396" s="12" t="s">
        <v>12774</v>
      </c>
      <c r="B6396" s="12" t="s">
        <v>12971</v>
      </c>
      <c r="C6396" s="13" t="str">
        <f>HYPERLINK("https://audio.iskcondesiretree.com/02_-_ISKCON_Swamis/ISKCON_Swamis_-_R_to_Y/His_Holiness_Radhanath_Swami/Lectures/Short_Clips/Why_common_sense_is_so_uncommon_-_Radhanath_Swami.mp3", "Why_common_sense_is_so_uncommon_-_Radhanath_Swami.mp3")</f>
        <v>Why_common_sense_is_so_uncommon_-_Radhanath_Swami.mp3</v>
      </c>
      <c r="D6396" s="11"/>
      <c r="E6396" s="11"/>
    </row>
    <row r="6397" spans="1:5">
      <c r="A6397" s="12" t="s">
        <v>12774</v>
      </c>
      <c r="B6397" s="12" t="s">
        <v>12972</v>
      </c>
      <c r="C6397" s="13" t="str">
        <f>HYPERLINK("https://audio.iskcondesiretree.com/02_-_ISKCON_Swamis/ISKCON_Swamis_-_R_to_Y/His_Holiness_Radhanath_Swami/Lectures/Short_Clips/Why_Do_We_Offer_A_Garland_-_Radhanath_Swami.mp3", "Why_Do_We_Offer_A_Garland_-_Radhanath_Swami.mp3")</f>
        <v>Why_Do_We_Offer_A_Garland_-_Radhanath_Swami.mp3</v>
      </c>
      <c r="D6397" s="11"/>
      <c r="E6397" s="11"/>
    </row>
    <row r="6398" spans="1:5">
      <c r="A6398" s="12" t="s">
        <v>12774</v>
      </c>
      <c r="B6398" s="12" t="s">
        <v>12973</v>
      </c>
      <c r="C6398" s="13" t="str">
        <f>HYPERLINK("https://audio.iskcondesiretree.com/02_-_ISKCON_Swamis/ISKCON_Swamis_-_R_to_Y/His_Holiness_Radhanath_Swami/Lectures/Short_Clips/Why_Is_It_Called_Mahamantra_-_Radhanath_Swami.mp3", "Why_Is_It_Called_Mahamantra_-_Radhanath_Swami.mp3")</f>
        <v>Why_Is_It_Called_Mahamantra_-_Radhanath_Swami.mp3</v>
      </c>
      <c r="D6398" s="11"/>
      <c r="E6398" s="11"/>
    </row>
    <row r="6399" spans="1:5">
      <c r="A6399" s="12" t="s">
        <v>12774</v>
      </c>
      <c r="B6399" s="12" t="s">
        <v>12974</v>
      </c>
      <c r="C6399" s="13" t="str">
        <f>HYPERLINK("https://audio.iskcondesiretree.com/02_-_ISKCON_Swamis/ISKCON_Swamis_-_R_to_Y/His_Holiness_Radhanath_Swami/Lectures/Short_Clips/Why_Should_We_Pray_-_Radhanath_Swami.mp3", "Why_Should_We_Pray_-_Radhanath_Swami.mp3")</f>
        <v>Why_Should_We_Pray_-_Radhanath_Swami.mp3</v>
      </c>
      <c r="D6399" s="11"/>
      <c r="E6399" s="11"/>
    </row>
    <row r="6400" spans="1:5">
      <c r="A6400" s="12" t="s">
        <v>12774</v>
      </c>
      <c r="B6400" s="12" t="s">
        <v>12975</v>
      </c>
      <c r="C6400" s="13" t="str">
        <f>HYPERLINK("https://audio.iskcondesiretree.com/02_-_ISKCON_Swamis/ISKCON_Swamis_-_R_to_Y/His_Holiness_Radhanath_Swami/Lectures/Short_Clips/Winning_The_Game_Of_Life_-_Radhanath_Swami.mp3", "Winning_The_Game_Of_Life_-_Radhanath_Swami.mp3")</f>
        <v>Winning_The_Game_Of_Life_-_Radhanath_Swami.mp3</v>
      </c>
      <c r="D6400" s="11"/>
      <c r="E6400" s="11"/>
    </row>
    <row r="6401" spans="1:5">
      <c r="A6401" s="12" t="s">
        <v>12774</v>
      </c>
      <c r="B6401" s="12" t="s">
        <v>12976</v>
      </c>
      <c r="C6401" s="13" t="str">
        <f>HYPERLINK("https://audio.iskcondesiretree.com/02_-_ISKCON_Swamis/ISKCON_Swamis_-_R_to_Y/His_Holiness_Radhanath_Swami/Lectures/Short_Clips/With_Inner_Peace_We_Can_Tolerate_Anger_-_Radhanath_Swami.mp3", "With_Inner_Peace_We_Can_Tolerate_Anger_-_Radhanath_Swami.mp3")</f>
        <v>With_Inner_Peace_We_Can_Tolerate_Anger_-_Radhanath_Swami.mp3</v>
      </c>
      <c r="D6401" s="11"/>
      <c r="E6401" s="11"/>
    </row>
    <row r="6402" spans="1:5">
      <c r="A6402" s="12" t="s">
        <v>12774</v>
      </c>
      <c r="B6402" s="12" t="s">
        <v>12977</v>
      </c>
      <c r="C6402" s="13" t="str">
        <f>HYPERLINK("https://audio.iskcondesiretree.com/02_-_ISKCON_Swamis/ISKCON_Swamis_-_R_to_Y/His_Holiness_Radhanath_Swami/Lectures/Short_Clips/Yoga_Of_Marriage_-_Radhanath_Swami.mp3", "Yoga_Of_Marriage_-_Radhanath_Swami.mp3")</f>
        <v>Yoga_Of_Marriage_-_Radhanath_Swami.mp3</v>
      </c>
      <c r="D6402" s="11"/>
      <c r="E6402" s="11"/>
    </row>
    <row r="6403" spans="1:5">
      <c r="A6403" s="12" t="s">
        <v>12774</v>
      </c>
      <c r="B6403" s="12" t="s">
        <v>12978</v>
      </c>
      <c r="C6403" s="13" t="str">
        <f>HYPERLINK("https://audio.iskcondesiretree.com/02_-_ISKCON_Swamis/ISKCON_Swamis_-_R_to_Y/His_Holiness_Radhanath_Swami/Lectures/Short_Clips/Yoga_Of_The_Ocean_and_The_Drop_-_Radhanath_Swami.mp3", "Yoga_Of_The_Ocean_and_The_Drop_-_Radhanath_Swami.mp3")</f>
        <v>Yoga_Of_The_Ocean_and_The_Drop_-_Radhanath_Swami.mp3</v>
      </c>
      <c r="D6403" s="11"/>
      <c r="E6403" s="11"/>
    </row>
    <row r="6404" spans="1:5">
      <c r="A6404" s="12" t="s">
        <v>12774</v>
      </c>
      <c r="B6404" s="12" t="s">
        <v>12979</v>
      </c>
      <c r="C6404" s="13" t="str">
        <f>HYPERLINK("https://audio.iskcondesiretree.com/02_-_ISKCON_Swamis/ISKCON_Swamis_-_R_to_Y/His_Holiness_Radhanath_Swami/Lectures/Short_Clips/You%E2%80%99ve_Got_The_Boat_Get_The_Compass_And_Captain_-_Radhanath_Swami.mp3", "You%E2%80%99ve_Got_The_Boat_Get_The_Compass_And_Captain_-_Radhanath_Swami.mp3")</f>
        <v>You%E2%80%99ve_Got_The_Boat_Get_The_Compass_And_Captain_-_Radhanath_Swami.mp3</v>
      </c>
      <c r="D6404" s="11"/>
      <c r="E6404" s="11"/>
    </row>
    <row r="6405" spans="1:5">
      <c r="A6405" s="12" t="s">
        <v>12980</v>
      </c>
      <c r="B6405" s="12" t="s">
        <v>18383</v>
      </c>
      <c r="C6405" s="13" t="str">
        <f>HYPERLINK("https://audio.iskcondesiretree.com/02_-_ISKCON_Swamis/ISKCON_Swamis_-_R_to_Y/His_Holiness_Radhanath_Swami/Lectures/The_Journey_Home-Audio_Book/01_-_Before_Start-Prology/The_Journey_Home_-_Prology_-_Radhanath_Swami.mp3", "The_Journey_Home_-_Prology_-_Radhanath_Swami.mp3")</f>
        <v>The_Journey_Home_-_Prology_-_Radhanath_Swami.mp3</v>
      </c>
      <c r="D6405" s="11"/>
      <c r="E6405" s="11"/>
    </row>
    <row r="6406" spans="1:5">
      <c r="A6406" s="12" t="s">
        <v>12980</v>
      </c>
      <c r="B6406" s="12" t="s">
        <v>18384</v>
      </c>
      <c r="C6406" s="13" t="str">
        <f>HYPERLINK("https://audio.iskcondesiretree.com/02_-_ISKCON_Swamis/ISKCON_Swamis_-_R_to_Y/His_Holiness_Radhanath_Swami/Lectures/The_Journey_Home-Audio_Book/02_-_Journey_to_the_East/The_Journey_Home_-_Journey_to_the_East_Chapter-01_-_Radhanath_Swami.mp3", "The_Journey_Home_-_Journey_to_the_East_Chapter-01_-_Radhanath_Swami.mp3")</f>
        <v>The_Journey_Home_-_Journey_to_the_East_Chapter-01_-_Radhanath_Swami.mp3</v>
      </c>
      <c r="D6406" s="11"/>
      <c r="E6406" s="11"/>
    </row>
    <row r="6407" spans="1:5">
      <c r="A6407" s="12" t="s">
        <v>12980</v>
      </c>
      <c r="B6407" s="12" t="s">
        <v>18385</v>
      </c>
      <c r="C6407" s="13" t="str">
        <f>HYPERLINK("https://audio.iskcondesiretree.com/02_-_ISKCON_Swamis/ISKCON_Swamis_-_R_to_Y/His_Holiness_Radhanath_Swami/Lectures/The_Journey_Home-Audio_Book/02_-_Journey_to_the_East/The_Journey_Home_-_Journey_to_the_East_Chapter-02_-_Radhanath_Swami.mp3", "The_Journey_Home_-_Journey_to_the_East_Chapter-02_-_Radhanath_Swami.mp3")</f>
        <v>The_Journey_Home_-_Journey_to_the_East_Chapter-02_-_Radhanath_Swami.mp3</v>
      </c>
      <c r="D6407" s="11"/>
      <c r="E6407" s="11"/>
    </row>
    <row r="6408" spans="1:5">
      <c r="A6408" s="12" t="s">
        <v>12980</v>
      </c>
      <c r="B6408" s="12" t="s">
        <v>18386</v>
      </c>
      <c r="C6408" s="13" t="str">
        <f>HYPERLINK("https://audio.iskcondesiretree.com/02_-_ISKCON_Swamis/ISKCON_Swamis_-_R_to_Y/His_Holiness_Radhanath_Swami/Lectures/The_Journey_Home-Audio_Book/02_-_Journey_to_the_East/The_Journey_Home_-_Journey_to_the_East_Chapter-03_-_Radhanath_Swami.mp3", "The_Journey_Home_-_Journey_to_the_East_Chapter-03_-_Radhanath_Swami.mp3")</f>
        <v>The_Journey_Home_-_Journey_to_the_East_Chapter-03_-_Radhanath_Swami.mp3</v>
      </c>
      <c r="D6408" s="11"/>
      <c r="E6408" s="11"/>
    </row>
    <row r="6409" spans="1:5">
      <c r="A6409" s="12" t="s">
        <v>12980</v>
      </c>
      <c r="B6409" s="12" t="s">
        <v>18387</v>
      </c>
      <c r="C6409" s="13" t="str">
        <f>HYPERLINK("https://audio.iskcondesiretree.com/02_-_ISKCON_Swamis/ISKCON_Swamis_-_R_to_Y/His_Holiness_Radhanath_Swami/Lectures/The_Journey_Home-Audio_Book/02_-_Journey_to_the_East/The_Journey_Home_-_Journey_to_the_East_Chapter-04_-_Radhanath_Swami.mp3", "The_Journey_Home_-_Journey_to_the_East_Chapter-04_-_Radhanath_Swami.mp3")</f>
        <v>The_Journey_Home_-_Journey_to_the_East_Chapter-04_-_Radhanath_Swami.mp3</v>
      </c>
      <c r="D6409" s="11"/>
      <c r="E6409" s="11"/>
    </row>
    <row r="6410" spans="1:5">
      <c r="A6410" s="12" t="s">
        <v>12980</v>
      </c>
      <c r="B6410" s="12" t="s">
        <v>18388</v>
      </c>
      <c r="C6410" s="13" t="str">
        <f>HYPERLINK("https://audio.iskcondesiretree.com/02_-_ISKCON_Swamis/ISKCON_Swamis_-_R_to_Y/His_Holiness_Radhanath_Swami/Lectures/The_Journey_Home-Audio_Book/02_-_Journey_to_the_East/The_Journey_Home_-_Journey_to_the_East_Chapter-05_-_Radhanath_Swami.mp3", "The_Journey_Home_-_Journey_to_the_East_Chapter-05_-_Radhanath_Swami.mp3")</f>
        <v>The_Journey_Home_-_Journey_to_the_East_Chapter-05_-_Radhanath_Swami.mp3</v>
      </c>
      <c r="D6410" s="11"/>
      <c r="E6410" s="11"/>
    </row>
    <row r="6411" spans="1:5">
      <c r="A6411" s="12" t="s">
        <v>12980</v>
      </c>
      <c r="B6411" s="12" t="s">
        <v>18389</v>
      </c>
      <c r="C6411" s="13" t="str">
        <f>HYPERLINK("https://audio.iskcondesiretree.com/02_-_ISKCON_Swamis/ISKCON_Swamis_-_R_to_Y/His_Holiness_Radhanath_Swami/Lectures/The_Journey_Home-Audio_Book/02_-_Journey_to_the_East/The_Journey_Home_-_Journey_to_the_East_Chapter-06_-_Radhanath_Swami.mp3", "The_Journey_Home_-_Journey_to_the_East_Chapter-06_-_Radhanath_Swami.mp3")</f>
        <v>The_Journey_Home_-_Journey_to_the_East_Chapter-06_-_Radhanath_Swami.mp3</v>
      </c>
      <c r="D6411" s="11"/>
      <c r="E6411" s="11"/>
    </row>
    <row r="6412" spans="1:5">
      <c r="A6412" s="12" t="s">
        <v>12980</v>
      </c>
      <c r="B6412" s="12" t="s">
        <v>18390</v>
      </c>
      <c r="C6412" s="13" t="str">
        <f>HYPERLINK("https://audio.iskcondesiretree.com/02_-_ISKCON_Swamis/ISKCON_Swamis_-_R_to_Y/His_Holiness_Radhanath_Swami/Lectures/The_Journey_Home-Audio_Book/02_-_Journey_to_the_East/The_Journey_Home_-_Journey_to_the_East_Chapter-07_-_Radhanath_Swami.mp3", "The_Journey_Home_-_Journey_to_the_East_Chapter-07_-_Radhanath_Swami.mp3")</f>
        <v>The_Journey_Home_-_Journey_to_the_East_Chapter-07_-_Radhanath_Swami.mp3</v>
      </c>
      <c r="D6412" s="11"/>
      <c r="E6412" s="11"/>
    </row>
    <row r="6413" spans="1:5">
      <c r="A6413" s="12" t="s">
        <v>12980</v>
      </c>
      <c r="B6413" s="12" t="s">
        <v>18391</v>
      </c>
      <c r="C6413" s="13" t="str">
        <f>HYPERLINK("https://audio.iskcondesiretree.com/02_-_ISKCON_Swamis/ISKCON_Swamis_-_R_to_Y/His_Holiness_Radhanath_Swami/Lectures/The_Journey_Home-Audio_Book/02_-_Journey_to_the_East/The_Journey_Home_-_Journey_to_the_East_Chapter-08_-_Radhanath_Swami.mp3", "The_Journey_Home_-_Journey_to_the_East_Chapter-08_-_Radhanath_Swami.mp3")</f>
        <v>The_Journey_Home_-_Journey_to_the_East_Chapter-08_-_Radhanath_Swami.mp3</v>
      </c>
      <c r="D6413" s="11"/>
      <c r="E6413" s="11"/>
    </row>
    <row r="6414" spans="1:5">
      <c r="A6414" s="12" t="s">
        <v>12980</v>
      </c>
      <c r="B6414" s="12" t="s">
        <v>18392</v>
      </c>
      <c r="C6414" s="13" t="str">
        <f>HYPERLINK("https://audio.iskcondesiretree.com/02_-_ISKCON_Swamis/ISKCON_Swamis_-_R_to_Y/His_Holiness_Radhanath_Swami/Lectures/The_Journey_Home-Audio_Book/02_-_Journey_to_the_East/The_Journey_Home_-_Journey_to_the_East_Chapter-09_-_Radhanath_Swami.mp3", "The_Journey_Home_-_Journey_to_the_East_Chapter-09_-_Radhanath_Swami.mp3")</f>
        <v>The_Journey_Home_-_Journey_to_the_East_Chapter-09_-_Radhanath_Swami.mp3</v>
      </c>
      <c r="D6414" s="11"/>
      <c r="E6414" s="11"/>
    </row>
    <row r="6415" spans="1:5">
      <c r="A6415" s="12" t="s">
        <v>12980</v>
      </c>
      <c r="B6415" s="12" t="s">
        <v>18393</v>
      </c>
      <c r="C6415" s="13" t="str">
        <f>HYPERLINK("https://audio.iskcondesiretree.com/02_-_ISKCON_Swamis/ISKCON_Swamis_-_R_to_Y/His_Holiness_Radhanath_Swami/Lectures/The_Journey_Home-Audio_Book/02_-_Journey_to_the_East/The_Journey_Home_-_Journey_to_the_East_Chapter-10_-_Radhanath_Swami.mp3", "The_Journey_Home_-_Journey_to_the_East_Chapter-10_-_Radhanath_Swami.mp3")</f>
        <v>The_Journey_Home_-_Journey_to_the_East_Chapter-10_-_Radhanath_Swami.mp3</v>
      </c>
      <c r="D6415" s="11"/>
      <c r="E6415" s="11"/>
    </row>
    <row r="6416" spans="1:5">
      <c r="A6416" s="12" t="s">
        <v>12980</v>
      </c>
      <c r="B6416" s="12" t="s">
        <v>18394</v>
      </c>
      <c r="C6416" s="13" t="str">
        <f>HYPERLINK("https://audio.iskcondesiretree.com/02_-_ISKCON_Swamis/ISKCON_Swamis_-_R_to_Y/His_Holiness_Radhanath_Swami/Lectures/The_Journey_Home-Audio_Book/02_-_Journey_to_the_East/The_Journey_Home_-_Journey_to_the_East_Chapter-11_-_Radhanath_Swami.mp3", "The_Journey_Home_-_Journey_to_the_East_Chapter-11_-_Radhanath_Swami.mp3")</f>
        <v>The_Journey_Home_-_Journey_to_the_East_Chapter-11_-_Radhanath_Swami.mp3</v>
      </c>
      <c r="D6416" s="11"/>
      <c r="E6416" s="11"/>
    </row>
    <row r="6417" spans="1:5">
      <c r="A6417" s="12" t="s">
        <v>12980</v>
      </c>
      <c r="B6417" s="12" t="s">
        <v>18395</v>
      </c>
      <c r="C6417" s="13" t="str">
        <f>HYPERLINK("https://audio.iskcondesiretree.com/02_-_ISKCON_Swamis/ISKCON_Swamis_-_R_to_Y/His_Holiness_Radhanath_Swami/Lectures/The_Journey_Home-Audio_Book/02_-_Journey_to_the_East/The_Journey_Home_-_Journey_to_the_East_Chapter-12_-_Radhanath_Swami.mp3", "The_Journey_Home_-_Journey_to_the_East_Chapter-12_-_Radhanath_Swami.mp3")</f>
        <v>The_Journey_Home_-_Journey_to_the_East_Chapter-12_-_Radhanath_Swami.mp3</v>
      </c>
      <c r="D6417" s="11"/>
      <c r="E6417" s="11"/>
    </row>
    <row r="6418" spans="1:5">
      <c r="A6418" s="12" t="s">
        <v>12980</v>
      </c>
      <c r="B6418" s="12" t="s">
        <v>18396</v>
      </c>
      <c r="C6418" s="13" t="str">
        <f>HYPERLINK("https://audio.iskcondesiretree.com/02_-_ISKCON_Swamis/ISKCON_Swamis_-_R_to_Y/His_Holiness_Radhanath_Swami/Lectures/The_Journey_Home-Audio_Book/03_-_Mother_India/The_Journey_Home_-_Mother_India_Chapter-01_-_Radhanath_Swami.mp3", "The_Journey_Home_-_Mother_India_Chapter-01_-_Radhanath_Swami.mp3")</f>
        <v>The_Journey_Home_-_Mother_India_Chapter-01_-_Radhanath_Swami.mp3</v>
      </c>
      <c r="D6418" s="11"/>
      <c r="E6418" s="11"/>
    </row>
    <row r="6419" spans="1:5">
      <c r="A6419" s="12" t="s">
        <v>12980</v>
      </c>
      <c r="B6419" s="12" t="s">
        <v>18397</v>
      </c>
      <c r="C6419" s="13" t="str">
        <f>HYPERLINK("https://audio.iskcondesiretree.com/02_-_ISKCON_Swamis/ISKCON_Swamis_-_R_to_Y/His_Holiness_Radhanath_Swami/Lectures/The_Journey_Home-Audio_Book/03_-_Mother_India/The_Journey_Home_-_Mother_India_Chapter-02_-_Radhanath_Swami.mp3", "The_Journey_Home_-_Mother_India_Chapter-02_-_Radhanath_Swami.mp3")</f>
        <v>The_Journey_Home_-_Mother_India_Chapter-02_-_Radhanath_Swami.mp3</v>
      </c>
      <c r="D6419" s="11"/>
      <c r="E6419" s="11"/>
    </row>
    <row r="6420" spans="1:5">
      <c r="A6420" s="12" t="s">
        <v>12980</v>
      </c>
      <c r="B6420" s="12" t="s">
        <v>18398</v>
      </c>
      <c r="C6420" s="13" t="str">
        <f>HYPERLINK("https://audio.iskcondesiretree.com/02_-_ISKCON_Swamis/ISKCON_Swamis_-_R_to_Y/His_Holiness_Radhanath_Swami/Lectures/The_Journey_Home-Audio_Book/03_-_Mother_India/The_Journey_Home_-_Mother_India_Chapter-03_-_Radhanath_Swami.mp3", "The_Journey_Home_-_Mother_India_Chapter-03_-_Radhanath_Swami.mp3")</f>
        <v>The_Journey_Home_-_Mother_India_Chapter-03_-_Radhanath_Swami.mp3</v>
      </c>
      <c r="D6420" s="11"/>
      <c r="E6420" s="11"/>
    </row>
    <row r="6421" spans="1:5">
      <c r="A6421" s="12" t="s">
        <v>12980</v>
      </c>
      <c r="B6421" s="12" t="s">
        <v>18399</v>
      </c>
      <c r="C6421" s="13" t="str">
        <f>HYPERLINK("https://audio.iskcondesiretree.com/02_-_ISKCON_Swamis/ISKCON_Swamis_-_R_to_Y/His_Holiness_Radhanath_Swami/Lectures/The_Journey_Home-Audio_Book/03_-_Mother_India/The_Journey_Home_-_Mother_India_Chapter-04_-_Radhanath_Swami.mp3", "The_Journey_Home_-_Mother_India_Chapter-04_-_Radhanath_Swami.mp3")</f>
        <v>The_Journey_Home_-_Mother_India_Chapter-04_-_Radhanath_Swami.mp3</v>
      </c>
      <c r="D6421" s="11"/>
      <c r="E6421" s="11"/>
    </row>
    <row r="6422" spans="1:5">
      <c r="A6422" s="12" t="s">
        <v>12980</v>
      </c>
      <c r="B6422" s="12" t="s">
        <v>18400</v>
      </c>
      <c r="C6422" s="13" t="str">
        <f>HYPERLINK("https://audio.iskcondesiretree.com/02_-_ISKCON_Swamis/ISKCON_Swamis_-_R_to_Y/His_Holiness_Radhanath_Swami/Lectures/The_Journey_Home-Audio_Book/03_-_Mother_India/The_Journey_Home_-_Mother_India_Chapter-05_-_Radhanath_Swami.mp3", "The_Journey_Home_-_Mother_India_Chapter-05_-_Radhanath_Swami.mp3")</f>
        <v>The_Journey_Home_-_Mother_India_Chapter-05_-_Radhanath_Swami.mp3</v>
      </c>
      <c r="D6422" s="11"/>
      <c r="E6422" s="11"/>
    </row>
    <row r="6423" spans="1:5">
      <c r="A6423" s="12" t="s">
        <v>12980</v>
      </c>
      <c r="B6423" s="12" t="s">
        <v>18401</v>
      </c>
      <c r="C6423" s="13" t="str">
        <f>HYPERLINK("https://audio.iskcondesiretree.com/02_-_ISKCON_Swamis/ISKCON_Swamis_-_R_to_Y/His_Holiness_Radhanath_Swami/Lectures/The_Journey_Home-Audio_Book/03_-_Mother_India/The_Journey_Home_-_Mother_India_Chapter-06_-_Radhanath_Swami.mp3", "The_Journey_Home_-_Mother_India_Chapter-06_-_Radhanath_Swami.mp3")</f>
        <v>The_Journey_Home_-_Mother_India_Chapter-06_-_Radhanath_Swami.mp3</v>
      </c>
      <c r="D6423" s="11"/>
      <c r="E6423" s="11"/>
    </row>
    <row r="6424" spans="1:5">
      <c r="A6424" s="12" t="s">
        <v>12980</v>
      </c>
      <c r="B6424" s="12" t="s">
        <v>18402</v>
      </c>
      <c r="C6424" s="13" t="str">
        <f>HYPERLINK("https://audio.iskcondesiretree.com/02_-_ISKCON_Swamis/ISKCON_Swamis_-_R_to_Y/His_Holiness_Radhanath_Swami/Lectures/The_Journey_Home-Audio_Book/03_-_Mother_India/The_Journey_Home_-_Mother_India_Chapter-07_-_Radhanath_Swami.mp3", "The_Journey_Home_-_Mother_India_Chapter-07_-_Radhanath_Swami.mp3")</f>
        <v>The_Journey_Home_-_Mother_India_Chapter-07_-_Radhanath_Swami.mp3</v>
      </c>
      <c r="D6424" s="11"/>
      <c r="E6424" s="11"/>
    </row>
    <row r="6425" spans="1:5">
      <c r="A6425" s="12" t="s">
        <v>12980</v>
      </c>
      <c r="B6425" s="12" t="s">
        <v>18403</v>
      </c>
      <c r="C6425" s="13" t="str">
        <f>HYPERLINK("https://audio.iskcondesiretree.com/02_-_ISKCON_Swamis/ISKCON_Swamis_-_R_to_Y/His_Holiness_Radhanath_Swami/Lectures/The_Journey_Home-Audio_Book/03_-_Mother_India/The_Journey_Home_-_Mother_India_Chapter-08_-_Radhanath_Swami.mp3", "The_Journey_Home_-_Mother_India_Chapter-08_-_Radhanath_Swami.mp3")</f>
        <v>The_Journey_Home_-_Mother_India_Chapter-08_-_Radhanath_Swami.mp3</v>
      </c>
      <c r="D6425" s="11"/>
      <c r="E6425" s="11"/>
    </row>
    <row r="6426" spans="1:5">
      <c r="A6426" s="12" t="s">
        <v>12980</v>
      </c>
      <c r="B6426" s="12" t="s">
        <v>18404</v>
      </c>
      <c r="C6426" s="13" t="str">
        <f>HYPERLINK("https://audio.iskcondesiretree.com/02_-_ISKCON_Swamis/ISKCON_Swamis_-_R_to_Y/His_Holiness_Radhanath_Swami/Lectures/The_Journey_Home-Audio_Book/04_-_Himalayan_Pilgrimage/The_Journey_Home_-_Himalayan_Pilgrimage_Chapter-01_-_Radhanath_Swami.mp3", "The_Journey_Home_-_Himalayan_Pilgrimage_Chapter-01_-_Radhanath_Swami.mp3")</f>
        <v>The_Journey_Home_-_Himalayan_Pilgrimage_Chapter-01_-_Radhanath_Swami.mp3</v>
      </c>
      <c r="D6426" s="11"/>
      <c r="E6426" s="11"/>
    </row>
    <row r="6427" spans="1:5">
      <c r="A6427" s="12" t="s">
        <v>12980</v>
      </c>
      <c r="B6427" s="12" t="s">
        <v>18405</v>
      </c>
      <c r="C6427" s="13" t="str">
        <f>HYPERLINK("https://audio.iskcondesiretree.com/02_-_ISKCON_Swamis/ISKCON_Swamis_-_R_to_Y/His_Holiness_Radhanath_Swami/Lectures/The_Journey_Home-Audio_Book/04_-_Himalayan_Pilgrimage/The_Journey_Home_-_Himalayan_Pilgrimage_Chapter-02_-_Radhanath_Swami.mp3", "The_Journey_Home_-_Himalayan_Pilgrimage_Chapter-02_-_Radhanath_Swami.mp3")</f>
        <v>The_Journey_Home_-_Himalayan_Pilgrimage_Chapter-02_-_Radhanath_Swami.mp3</v>
      </c>
      <c r="D6427" s="11"/>
      <c r="E6427" s="11"/>
    </row>
    <row r="6428" spans="1:5">
      <c r="A6428" s="12" t="s">
        <v>12980</v>
      </c>
      <c r="B6428" s="12" t="s">
        <v>18406</v>
      </c>
      <c r="C6428" s="13" t="str">
        <f>HYPERLINK("https://audio.iskcondesiretree.com/02_-_ISKCON_Swamis/ISKCON_Swamis_-_R_to_Y/His_Holiness_Radhanath_Swami/Lectures/The_Journey_Home-Audio_Book/04_-_Himalayan_Pilgrimage/The_Journey_Home_-_Himalayan_Pilgrimage_Chapter-03_-_Radhanath_Swami.mp3", "The_Journey_Home_-_Himalayan_Pilgrimage_Chapter-03_-_Radhanath_Swami.mp3")</f>
        <v>The_Journey_Home_-_Himalayan_Pilgrimage_Chapter-03_-_Radhanath_Swami.mp3</v>
      </c>
      <c r="D6428" s="11"/>
      <c r="E6428" s="11"/>
    </row>
    <row r="6429" spans="1:5">
      <c r="A6429" s="12" t="s">
        <v>12980</v>
      </c>
      <c r="B6429" s="12" t="s">
        <v>18407</v>
      </c>
      <c r="C6429" s="13" t="str">
        <f>HYPERLINK("https://audio.iskcondesiretree.com/02_-_ISKCON_Swamis/ISKCON_Swamis_-_R_to_Y/His_Holiness_Radhanath_Swami/Lectures/The_Journey_Home-Audio_Book/04_-_Himalayan_Pilgrimage/The_Journey_Home_-_Himalayan_Pilgrimage_Chapter-04_-_Radhanath_Swami.mp3", "The_Journey_Home_-_Himalayan_Pilgrimage_Chapter-04_-_Radhanath_Swami.mp3")</f>
        <v>The_Journey_Home_-_Himalayan_Pilgrimage_Chapter-04_-_Radhanath_Swami.mp3</v>
      </c>
      <c r="D6429" s="11"/>
      <c r="E6429" s="11"/>
    </row>
    <row r="6430" spans="1:5">
      <c r="A6430" s="12" t="s">
        <v>12980</v>
      </c>
      <c r="B6430" s="12" t="s">
        <v>18408</v>
      </c>
      <c r="C6430" s="13" t="str">
        <f>HYPERLINK("https://audio.iskcondesiretree.com/02_-_ISKCON_Swamis/ISKCON_Swamis_-_R_to_Y/His_Holiness_Radhanath_Swami/Lectures/The_Journey_Home-Audio_Book/04_-_Himalayan_Pilgrimage/The_Journey_Home_-_Himalayan_Pilgrimage_Chapter-05_-_Radhanath_Swami.mp3", "The_Journey_Home_-_Himalayan_Pilgrimage_Chapter-05_-_Radhanath_Swami.mp3")</f>
        <v>The_Journey_Home_-_Himalayan_Pilgrimage_Chapter-05_-_Radhanath_Swami.mp3</v>
      </c>
      <c r="D6430" s="11"/>
      <c r="E6430" s="11"/>
    </row>
    <row r="6431" spans="1:5">
      <c r="A6431" s="12" t="s">
        <v>12980</v>
      </c>
      <c r="B6431" s="12" t="s">
        <v>18409</v>
      </c>
      <c r="C6431" s="13" t="str">
        <f>HYPERLINK("https://audio.iskcondesiretree.com/02_-_ISKCON_Swamis/ISKCON_Swamis_-_R_to_Y/His_Holiness_Radhanath_Swami/Lectures/The_Journey_Home-Audio_Book/04_-_Himalayan_Pilgrimage/The_Journey_Home_-_Himalayan_Pilgrimage_Chapter-06_-_Radhanath_Swami.mp3", "The_Journey_Home_-_Himalayan_Pilgrimage_Chapter-06_-_Radhanath_Swami.mp3")</f>
        <v>The_Journey_Home_-_Himalayan_Pilgrimage_Chapter-06_-_Radhanath_Swami.mp3</v>
      </c>
      <c r="D6431" s="11"/>
      <c r="E6431" s="11"/>
    </row>
    <row r="6432" spans="1:5">
      <c r="A6432" s="12" t="s">
        <v>12980</v>
      </c>
      <c r="B6432" s="12" t="s">
        <v>18410</v>
      </c>
      <c r="C6432" s="13" t="str">
        <f>HYPERLINK("https://audio.iskcondesiretree.com/02_-_ISKCON_Swamis/ISKCON_Swamis_-_R_to_Y/His_Holiness_Radhanath_Swami/Lectures/The_Journey_Home-Audio_Book/04_-_Himalayan_Pilgrimage/The_Journey_Home_-_Himalayan_Pilgrimage_Chapter-07_-_Radhanath_Swami.mp3", "The_Journey_Home_-_Himalayan_Pilgrimage_Chapter-07_-_Radhanath_Swami.mp3")</f>
        <v>The_Journey_Home_-_Himalayan_Pilgrimage_Chapter-07_-_Radhanath_Swami.mp3</v>
      </c>
      <c r="D6432" s="11"/>
      <c r="E6432" s="11"/>
    </row>
    <row r="6433" spans="1:5">
      <c r="A6433" s="12" t="s">
        <v>12980</v>
      </c>
      <c r="B6433" s="12" t="s">
        <v>18411</v>
      </c>
      <c r="C6433" s="13" t="str">
        <f>HYPERLINK("https://audio.iskcondesiretree.com/02_-_ISKCON_Swamis/ISKCON_Swamis_-_R_to_Y/His_Holiness_Radhanath_Swami/Lectures/The_Journey_Home-Audio_Book/04_-_Himalayan_Pilgrimage/The_Journey_Home_-_Himalayan_Pilgrimage_Chapter-08_-_Radhanath_Swami.mp3", "The_Journey_Home_-_Himalayan_Pilgrimage_Chapter-08_-_Radhanath_Swami.mp3")</f>
        <v>The_Journey_Home_-_Himalayan_Pilgrimage_Chapter-08_-_Radhanath_Swami.mp3</v>
      </c>
      <c r="D6433" s="11"/>
      <c r="E6433" s="11"/>
    </row>
    <row r="6434" spans="1:5">
      <c r="A6434" s="12" t="s">
        <v>12980</v>
      </c>
      <c r="B6434" s="12" t="s">
        <v>18412</v>
      </c>
      <c r="C6434" s="13" t="str">
        <f>HYPERLINK("https://audio.iskcondesiretree.com/02_-_ISKCON_Swamis/ISKCON_Swamis_-_R_to_Y/His_Holiness_Radhanath_Swami/Lectures/The_Journey_Home-Audio_Book/04_-_Himalayan_Pilgrimage/The_Journey_Home_-_Himalayan_Pilgrimage_Chapter-09_-_Radhanath_Swami.mp3", "The_Journey_Home_-_Himalayan_Pilgrimage_Chapter-09_-_Radhanath_Swami.mp3")</f>
        <v>The_Journey_Home_-_Himalayan_Pilgrimage_Chapter-09_-_Radhanath_Swami.mp3</v>
      </c>
      <c r="D6434" s="11"/>
      <c r="E6434" s="11"/>
    </row>
    <row r="6435" spans="1:5">
      <c r="A6435" s="12" t="s">
        <v>12980</v>
      </c>
      <c r="B6435" s="12" t="s">
        <v>18413</v>
      </c>
      <c r="C6435" s="13" t="str">
        <f>HYPERLINK("https://audio.iskcondesiretree.com/02_-_ISKCON_Swamis/ISKCON_Swamis_-_R_to_Y/His_Holiness_Radhanath_Swami/Lectures/The_Journey_Home-Audio_Book/05_-_Forest_of_Grace/The_Journey_Home_-_Forest_of_Grace_Chapter-01_-_Radhanath_Swami.mp3", "The_Journey_Home_-_Forest_of_Grace_Chapter-01_-_Radhanath_Swami.mp3")</f>
        <v>The_Journey_Home_-_Forest_of_Grace_Chapter-01_-_Radhanath_Swami.mp3</v>
      </c>
      <c r="D6435" s="11"/>
      <c r="E6435" s="11"/>
    </row>
    <row r="6436" spans="1:5">
      <c r="A6436" s="12" t="s">
        <v>12980</v>
      </c>
      <c r="B6436" s="12" t="s">
        <v>18414</v>
      </c>
      <c r="C6436" s="13" t="str">
        <f>HYPERLINK("https://audio.iskcondesiretree.com/02_-_ISKCON_Swamis/ISKCON_Swamis_-_R_to_Y/His_Holiness_Radhanath_Swami/Lectures/The_Journey_Home-Audio_Book/05_-_Forest_of_Grace/The_Journey_Home_-_Forest_of_Grace_Chapter-02_-_Radhanath_Swami.mp3", "The_Journey_Home_-_Forest_of_Grace_Chapter-02_-_Radhanath_Swami.mp3")</f>
        <v>The_Journey_Home_-_Forest_of_Grace_Chapter-02_-_Radhanath_Swami.mp3</v>
      </c>
      <c r="D6436" s="11"/>
      <c r="E6436" s="11"/>
    </row>
    <row r="6437" spans="1:5">
      <c r="A6437" s="12" t="s">
        <v>12980</v>
      </c>
      <c r="B6437" s="12" t="s">
        <v>18415</v>
      </c>
      <c r="C6437" s="13" t="str">
        <f>HYPERLINK("https://audio.iskcondesiretree.com/02_-_ISKCON_Swamis/ISKCON_Swamis_-_R_to_Y/His_Holiness_Radhanath_Swami/Lectures/The_Journey_Home-Audio_Book/05_-_Forest_of_Grace/The_Journey_Home_-_Forest_of_Grace_Chapter-03_-_Radhanath_Swami.mp3", "The_Journey_Home_-_Forest_of_Grace_Chapter-03_-_Radhanath_Swami.mp3")</f>
        <v>The_Journey_Home_-_Forest_of_Grace_Chapter-03_-_Radhanath_Swami.mp3</v>
      </c>
      <c r="D6437" s="11"/>
      <c r="E6437" s="11"/>
    </row>
    <row r="6438" spans="1:5">
      <c r="A6438" s="12" t="s">
        <v>12980</v>
      </c>
      <c r="B6438" s="12" t="s">
        <v>18416</v>
      </c>
      <c r="C6438" s="13" t="str">
        <f>HYPERLINK("https://audio.iskcondesiretree.com/02_-_ISKCON_Swamis/ISKCON_Swamis_-_R_to_Y/His_Holiness_Radhanath_Swami/Lectures/The_Journey_Home-Audio_Book/05_-_Forest_of_Grace/The_Journey_Home_-_Forest_of_Grace_Chapter-04_-_Radhanath_Swami.mp3", "The_Journey_Home_-_Forest_of_Grace_Chapter-04_-_Radhanath_Swami.mp3")</f>
        <v>The_Journey_Home_-_Forest_of_Grace_Chapter-04_-_Radhanath_Swami.mp3</v>
      </c>
      <c r="D6438" s="11"/>
      <c r="E6438" s="11"/>
    </row>
    <row r="6439" spans="1:5">
      <c r="A6439" s="12" t="s">
        <v>12980</v>
      </c>
      <c r="B6439" s="12" t="s">
        <v>18417</v>
      </c>
      <c r="C6439" s="13" t="str">
        <f>HYPERLINK("https://audio.iskcondesiretree.com/02_-_ISKCON_Swamis/ISKCON_Swamis_-_R_to_Y/His_Holiness_Radhanath_Swami/Lectures/The_Journey_Home-Audio_Book/05_-_Forest_of_Grace/The_Journey_Home_-_Forest_of_Grace_Chapter-05_-_Radhanath_Swami.mp3", "The_Journey_Home_-_Forest_of_Grace_Chapter-05_-_Radhanath_Swami.mp3")</f>
        <v>The_Journey_Home_-_Forest_of_Grace_Chapter-05_-_Radhanath_Swami.mp3</v>
      </c>
      <c r="D6439" s="11"/>
      <c r="E6439" s="11"/>
    </row>
    <row r="6440" spans="1:5">
      <c r="A6440" s="12" t="s">
        <v>12980</v>
      </c>
      <c r="B6440" s="12" t="s">
        <v>18418</v>
      </c>
      <c r="C6440" s="13" t="str">
        <f>HYPERLINK("https://audio.iskcondesiretree.com/02_-_ISKCON_Swamis/ISKCON_Swamis_-_R_to_Y/His_Holiness_Radhanath_Swami/Lectures/The_Journey_Home-Audio_Book/05_-_Forest_of_Grace/The_Journey_Home_-_Forest_of_Grace_Chapter-06_-_Radhanath_Swami.mp3", "The_Journey_Home_-_Forest_of_Grace_Chapter-06_-_Radhanath_Swami.mp3")</f>
        <v>The_Journey_Home_-_Forest_of_Grace_Chapter-06_-_Radhanath_Swami.mp3</v>
      </c>
      <c r="D6440" s="11"/>
      <c r="E6440" s="11"/>
    </row>
    <row r="6441" spans="1:5">
      <c r="A6441" s="12" t="s">
        <v>12980</v>
      </c>
      <c r="B6441" s="12" t="s">
        <v>18419</v>
      </c>
      <c r="C6441" s="13" t="str">
        <f>HYPERLINK("https://audio.iskcondesiretree.com/02_-_ISKCON_Swamis/ISKCON_Swamis_-_R_to_Y/His_Holiness_Radhanath_Swami/Lectures/The_Journey_Home-Audio_Book/05_-_Forest_of_Grace/The_Journey_Home_-_Forest_of_Grace_Chapter-07_-_Radhanath_Swami.mp3", "The_Journey_Home_-_Forest_of_Grace_Chapter-07_-_Radhanath_Swami.mp3")</f>
        <v>The_Journey_Home_-_Forest_of_Grace_Chapter-07_-_Radhanath_Swami.mp3</v>
      </c>
      <c r="D6441" s="11"/>
      <c r="E6441" s="11"/>
    </row>
    <row r="6442" spans="1:5">
      <c r="A6442" s="12" t="s">
        <v>12980</v>
      </c>
      <c r="B6442" s="12" t="s">
        <v>18420</v>
      </c>
      <c r="C6442" s="13" t="str">
        <f>HYPERLINK("https://audio.iskcondesiretree.com/02_-_ISKCON_Swamis/ISKCON_Swamis_-_R_to_Y/His_Holiness_Radhanath_Swami/Lectures/The_Journey_Home-Audio_Book/05_-_Forest_of_Grace/The_Journey_Home_-_Forest_of_Grace_Chapter-08_-_Radhanath_Swami.mp3", "The_Journey_Home_-_Forest_of_Grace_Chapter-08_-_Radhanath_Swami.mp3")</f>
        <v>The_Journey_Home_-_Forest_of_Grace_Chapter-08_-_Radhanath_Swami.mp3</v>
      </c>
      <c r="D6442" s="11"/>
      <c r="E6442" s="11"/>
    </row>
    <row r="6443" spans="1:5">
      <c r="A6443" s="12" t="s">
        <v>12980</v>
      </c>
      <c r="B6443" s="12" t="s">
        <v>18421</v>
      </c>
      <c r="C6443" s="13" t="str">
        <f>HYPERLINK("https://audio.iskcondesiretree.com/02_-_ISKCON_Swamis/ISKCON_Swamis_-_R_to_Y/His_Holiness_Radhanath_Swami/Lectures/The_Journey_Home-Audio_Book/05_-_Forest_of_Grace/The_Journey_Home_-_Forest_of_Grace_Chapter-09_-_Radhanath_Swami.mp3", "The_Journey_Home_-_Forest_of_Grace_Chapter-09_-_Radhanath_Swami.mp3")</f>
        <v>The_Journey_Home_-_Forest_of_Grace_Chapter-09_-_Radhanath_Swami.mp3</v>
      </c>
      <c r="D6443" s="11"/>
      <c r="E6443" s="11"/>
    </row>
    <row r="6444" spans="1:5">
      <c r="A6444" s="12" t="s">
        <v>12980</v>
      </c>
      <c r="B6444" s="12" t="s">
        <v>18422</v>
      </c>
      <c r="C6444" s="13" t="str">
        <f>HYPERLINK("https://audio.iskcondesiretree.com/02_-_ISKCON_Swamis/ISKCON_Swamis_-_R_to_Y/His_Holiness_Radhanath_Swami/Lectures/The_Journey_Home-Audio_Book/05_-_Forest_of_Grace/The_Journey_Home_-_Forest_of_Grace_Chapter-10_-_Radhanath_Swami.mp3", "The_Journey_Home_-_Forest_of_Grace_Chapter-10_-_Radhanath_Swami.mp3")</f>
        <v>The_Journey_Home_-_Forest_of_Grace_Chapter-10_-_Radhanath_Swami.mp3</v>
      </c>
      <c r="D6444" s="11"/>
      <c r="E6444" s="11"/>
    </row>
    <row r="6445" spans="1:5">
      <c r="A6445" s="12" t="s">
        <v>12980</v>
      </c>
      <c r="B6445" s="12" t="s">
        <v>18423</v>
      </c>
      <c r="C6445" s="13" t="str">
        <f>HYPERLINK("https://audio.iskcondesiretree.com/02_-_ISKCON_Swamis/ISKCON_Swamis_-_R_to_Y/His_Holiness_Radhanath_Swami/Lectures/The_Journey_Home-Audio_Book/05_-_Forest_of_Grace/The_Journey_Home_-_Forest_of_Grace_Chapter-11_-_Radhanath_Swami.mp3", "The_Journey_Home_-_Forest_of_Grace_Chapter-11_-_Radhanath_Swami.mp3")</f>
        <v>The_Journey_Home_-_Forest_of_Grace_Chapter-11_-_Radhanath_Swami.mp3</v>
      </c>
      <c r="D6445" s="11"/>
      <c r="E6445" s="11"/>
    </row>
    <row r="6446" spans="1:5">
      <c r="A6446" s="12" t="s">
        <v>12980</v>
      </c>
      <c r="B6446" s="12" t="s">
        <v>18424</v>
      </c>
      <c r="C6446" s="13" t="str">
        <f>HYPERLINK("https://audio.iskcondesiretree.com/02_-_ISKCON_Swamis/ISKCON_Swamis_-_R_to_Y/His_Holiness_Radhanath_Swami/Lectures/The_Journey_Home-Audio_Book/05_-_Forest_of_Grace/The_Journey_Home_-_Forest_of_Grace_Chapter-12_-_Radhanath_Swami.mp3", "The_Journey_Home_-_Forest_of_Grace_Chapter-12_-_Radhanath_Swami.mp3")</f>
        <v>The_Journey_Home_-_Forest_of_Grace_Chapter-12_-_Radhanath_Swami.mp3</v>
      </c>
      <c r="D6446" s="11"/>
      <c r="E6446" s="11"/>
    </row>
    <row r="6447" spans="1:5">
      <c r="A6447" s="12" t="s">
        <v>12980</v>
      </c>
      <c r="B6447" s="12" t="s">
        <v>18425</v>
      </c>
      <c r="C6447" s="13" t="str">
        <f>HYPERLINK("https://audio.iskcondesiretree.com/02_-_ISKCON_Swamis/ISKCON_Swamis_-_R_to_Y/His_Holiness_Radhanath_Swami/Lectures/The_Journey_Home-Audio_Book/05_-_Forest_of_Grace/The_Journey_Home_-_Forest_of_Grace_Chapter-13_-_Radhanath_Swami.mp3", "The_Journey_Home_-_Forest_of_Grace_Chapter-13_-_Radhanath_Swami.mp3")</f>
        <v>The_Journey_Home_-_Forest_of_Grace_Chapter-13_-_Radhanath_Swami.mp3</v>
      </c>
      <c r="D6447" s="11"/>
      <c r="E6447" s="11"/>
    </row>
    <row r="6448" spans="1:5">
      <c r="A6448" s="12" t="s">
        <v>12980</v>
      </c>
      <c r="B6448" s="12" t="s">
        <v>18426</v>
      </c>
      <c r="C6448" s="13" t="str">
        <f>HYPERLINK("https://audio.iskcondesiretree.com/02_-_ISKCON_Swamis/ISKCON_Swamis_-_R_to_Y/His_Holiness_Radhanath_Swami/Lectures/The_Journey_Home-Audio_Book/05_-_Forest_of_Grace/The_Journey_Home_-_Forest_of_Grace_Chapter-14_-_Radhanath_Swami.mp3", "The_Journey_Home_-_Forest_of_Grace_Chapter-14_-_Radhanath_Swami.mp3")</f>
        <v>The_Journey_Home_-_Forest_of_Grace_Chapter-14_-_Radhanath_Swami.mp3</v>
      </c>
      <c r="D6448" s="11"/>
      <c r="E6448" s="11"/>
    </row>
    <row r="6449" spans="1:5">
      <c r="A6449" s="12" t="s">
        <v>12980</v>
      </c>
      <c r="B6449" s="12" t="s">
        <v>18427</v>
      </c>
      <c r="C6449" s="13" t="str">
        <f>HYPERLINK("https://audio.iskcondesiretree.com/02_-_ISKCON_Swamis/ISKCON_Swamis_-_R_to_Y/His_Holiness_Radhanath_Swami/Lectures/The_Journey_Home-Audio_Book/06_-_Part_End-Afterword/The_Journey_Home_-_Afterword_-_Radhanath_Swami.mp3", "The_Journey_Home_-_Afterword_-_Radhanath_Swami.mp3")</f>
        <v>The_Journey_Home_-_Afterword_-_Radhanath_Swami.mp3</v>
      </c>
      <c r="D6449" s="11"/>
      <c r="E6449" s="11"/>
    </row>
    <row r="6450" spans="1:5">
      <c r="A6450" s="12" t="s">
        <v>12980</v>
      </c>
      <c r="B6450" s="12" t="s">
        <v>18428</v>
      </c>
      <c r="C6450" s="13" t="str">
        <f>HYPERLINK("https://audio.iskcondesiretree.com/02_-_ISKCON_Swamis/ISKCON_Swamis_-_R_to_Y/His_Holiness_Radhanath_Swami/Lectures/The_Journey_Home-Audio_Book/07_-_Part_End-Authors_Note/The_Journey_Home_-_Authors_Note_-_Radhanath_Swami.mp3", "The_Journey_Home_-_Authors_Note_-_Radhanath_Swami.mp3")</f>
        <v>The_Journey_Home_-_Authors_Note_-_Radhanath_Swami.mp3</v>
      </c>
      <c r="D6450" s="11"/>
      <c r="E6450" s="11"/>
    </row>
    <row r="6451" spans="1:5">
      <c r="A6451" s="12" t="s">
        <v>12981</v>
      </c>
      <c r="B6451" s="12" t="s">
        <v>18429</v>
      </c>
      <c r="C6451" s="13" t="str">
        <f t="shared" ref="C6451:C6452" si="0">HYPERLINK("https://audio.iskcondesiretree.com/02_-_ISKCON_Swamis/ISKCON_Swamis_-_R_to_Y/His_Holiness_Radhanath_Swami/Bhajans/Hare_Krishna_Dhun/2012-02-22_Bhajans_-_Kirtan_Mela_2012_-_Hare_Krishna_Kirtan_Day-01_-_Radhanath_Swami_ISKCON_Mayapur.mp3", "2012-02-22_Bhajans_-_Kirtan_Mela_2012_-_Hare_Krishna_Kirtan_Day-01_-_Radhanath_Swami_ISKCON_Mayapur.mp3")</f>
        <v>2012-02-22_Bhajans_-_Kirtan_Mela_2012_-_Hare_Krishna_Kirtan_Day-01_-_Radhanath_Swami_ISKCON_Mayapur.mp3</v>
      </c>
      <c r="D6451" s="11"/>
      <c r="E6451" s="11"/>
    </row>
    <row r="6452" spans="1:5">
      <c r="A6452" s="12" t="s">
        <v>12981</v>
      </c>
      <c r="B6452" s="12" t="s">
        <v>18429</v>
      </c>
      <c r="C6452" s="13" t="str">
        <f t="shared" si="0"/>
        <v>2012-02-22_Bhajans_-_Kirtan_Mela_2012_-_Hare_Krishna_Kirtan_Day-01_-_Radhanath_Swami_ISKCON_Mayapur.mp3</v>
      </c>
      <c r="D6452" s="11"/>
      <c r="E6452" s="11"/>
    </row>
    <row r="6453" spans="1:5">
      <c r="A6453" s="12" t="s">
        <v>12981</v>
      </c>
      <c r="B6453" s="12" t="s">
        <v>18430</v>
      </c>
      <c r="C6453" s="13" t="str">
        <f t="shared" ref="C6453:C6454" si="1">HYPERLINK("https://audio.iskcondesiretree.com/02_-_ISKCON_Swamis/ISKCON_Swamis_-_R_to_Y/His_Holiness_Radhanath_Swami/Bhajans/Hare_Krishna_Dhun/2013-02-06_Bhajans_-_Hare_Krishna_Kirtan_-_Radhanath_Swami_Barsana.mp3", "2013-02-06_Bhajans_-_Hare_Krishna_Kirtan_-_Radhanath_Swami_Barsana.mp3")</f>
        <v>2013-02-06_Bhajans_-_Hare_Krishna_Kirtan_-_Radhanath_Swami_Barsana.mp3</v>
      </c>
      <c r="D6453" s="11"/>
      <c r="E6453" s="11"/>
    </row>
    <row r="6454" spans="1:5">
      <c r="A6454" s="12" t="s">
        <v>12981</v>
      </c>
      <c r="B6454" s="12" t="s">
        <v>18430</v>
      </c>
      <c r="C6454" s="13" t="str">
        <f t="shared" si="1"/>
        <v>2013-02-06_Bhajans_-_Hare_Krishna_Kirtan_-_Radhanath_Swami_Barsana.mp3</v>
      </c>
      <c r="D6454" s="11"/>
      <c r="E6454" s="11"/>
    </row>
    <row r="6455" spans="1:5">
      <c r="A6455" s="12" t="s">
        <v>12981</v>
      </c>
      <c r="B6455" s="12" t="s">
        <v>18431</v>
      </c>
      <c r="C6455" s="13" t="str">
        <f t="shared" ref="C6455:C6456" si="2">HYPERLINK("https://audio.iskcondesiretree.com/02_-_ISKCON_Swamis/ISKCON_Swamis_-_R_to_Y/His_Holiness_Radhanath_Swami/Bhajans/Hare_Krishna_Dhun/2013-03-11_Bhajans_-_Kirtan_Mela_2013_Hare_Krishna_Kirtan_Day-01_-_Radhanath_Swami_ISKCON_Mayapur.mp3", "2013-03-11_Bhajans_-_Kirtan_Mela_2013_Hare_Krishna_Kirtan_Day-01_-_Radhanath_Swami_ISKCON_Mayapur.mp3")</f>
        <v>2013-03-11_Bhajans_-_Kirtan_Mela_2013_Hare_Krishna_Kirtan_Day-01_-_Radhanath_Swami_ISKCON_Mayapur.mp3</v>
      </c>
      <c r="D6455" s="11"/>
      <c r="E6455" s="11"/>
    </row>
    <row r="6456" spans="1:5">
      <c r="A6456" s="12" t="s">
        <v>12981</v>
      </c>
      <c r="B6456" s="12" t="s">
        <v>18431</v>
      </c>
      <c r="C6456" s="13" t="str">
        <f t="shared" si="2"/>
        <v>2013-03-11_Bhajans_-_Kirtan_Mela_2013_Hare_Krishna_Kirtan_Day-01_-_Radhanath_Swami_ISKCON_Mayapur.mp3</v>
      </c>
      <c r="D6456" s="11"/>
      <c r="E6456" s="11"/>
    </row>
    <row r="6457" spans="1:5">
      <c r="A6457" s="12" t="s">
        <v>12981</v>
      </c>
      <c r="B6457" s="12" t="s">
        <v>18432</v>
      </c>
      <c r="C6457" s="13" t="str">
        <f t="shared" ref="C6457:C6458" si="3">HYPERLINK("https://audio.iskcondesiretree.com/02_-_ISKCON_Swamis/ISKCON_Swamis_-_R_to_Y/His_Holiness_Radhanath_Swami/Bhajans/Hare_Krishna_Dhun/2013-12-31_Bhajans_-_Hare_Krishna_Kirtan_-_Radhanath_Swami_ISKCON_Chowpatty.mp3", "2013-12-31_Bhajans_-_Hare_Krishna_Kirtan_-_Radhanath_Swami_ISKCON_Chowpatty.mp3")</f>
        <v>2013-12-31_Bhajans_-_Hare_Krishna_Kirtan_-_Radhanath_Swami_ISKCON_Chowpatty.mp3</v>
      </c>
      <c r="D6457" s="11"/>
      <c r="E6457" s="11"/>
    </row>
    <row r="6458" spans="1:5">
      <c r="A6458" s="12" t="s">
        <v>12981</v>
      </c>
      <c r="B6458" s="12" t="s">
        <v>18432</v>
      </c>
      <c r="C6458" s="13" t="str">
        <f t="shared" si="3"/>
        <v>2013-12-31_Bhajans_-_Hare_Krishna_Kirtan_-_Radhanath_Swami_ISKCON_Chowpatty.mp3</v>
      </c>
      <c r="D6458" s="11"/>
      <c r="E6458" s="11"/>
    </row>
    <row r="6459" spans="1:5">
      <c r="A6459" s="12" t="s">
        <v>12981</v>
      </c>
      <c r="B6459" s="12" t="s">
        <v>18433</v>
      </c>
      <c r="C6459" s="13" t="str">
        <f t="shared" ref="C6459:C6460" si="4">HYPERLINK("https://audio.iskcondesiretree.com/02_-_ISKCON_Swamis/ISKCON_Swamis_-_R_to_Y/His_Holiness_Radhanath_Swami/Bhajans/Hare_Krishna_Dhun/2014-02-28_Kirtan_Mela_2014_-_Hare_Krishna_Kirtan_Day-01_-_Radhanath_Swami_ISKCON_Mayapur.mp3", "2014-02-28_Kirtan_Mela_2014_-_Hare_Krishna_Kirtan_Day-01_-_Radhanath_Swami_ISKCON_Mayapur.mp3")</f>
        <v>2014-02-28_Kirtan_Mela_2014_-_Hare_Krishna_Kirtan_Day-01_-_Radhanath_Swami_ISKCON_Mayapur.mp3</v>
      </c>
      <c r="D6459" s="11"/>
      <c r="E6459" s="11"/>
    </row>
    <row r="6460" spans="1:5">
      <c r="A6460" s="12" t="s">
        <v>12981</v>
      </c>
      <c r="B6460" s="12" t="s">
        <v>18433</v>
      </c>
      <c r="C6460" s="13" t="str">
        <f t="shared" si="4"/>
        <v>2014-02-28_Kirtan_Mela_2014_-_Hare_Krishna_Kirtan_Day-01_-_Radhanath_Swami_ISKCON_Mayapur.mp3</v>
      </c>
      <c r="D6460" s="11"/>
      <c r="E6460" s="11"/>
    </row>
    <row r="6461" spans="1:5">
      <c r="A6461" s="12" t="s">
        <v>12981</v>
      </c>
      <c r="B6461" s="12" t="s">
        <v>18434</v>
      </c>
      <c r="C6461" s="13" t="str">
        <f t="shared" ref="C6461:C6462" si="5">HYPERLINK("https://audio.iskcondesiretree.com/02_-_ISKCON_Swamis/ISKCON_Swamis_-_R_to_Y/His_Holiness_Radhanath_Swami/Bhajans/Hare_Krishna_Dhun/2014-05-15_Bhajans_-_Hare_Krishna_Kirtan_-_Radhanath_Swami.mp3", "2014-05-15_Bhajans_-_Hare_Krishna_Kirtan_-_Radhanath_Swami.mp3")</f>
        <v>2014-05-15_Bhajans_-_Hare_Krishna_Kirtan_-_Radhanath_Swami.mp3</v>
      </c>
      <c r="D6461" s="11"/>
      <c r="E6461" s="11"/>
    </row>
    <row r="6462" spans="1:5">
      <c r="A6462" s="12" t="s">
        <v>12981</v>
      </c>
      <c r="B6462" s="12" t="s">
        <v>18434</v>
      </c>
      <c r="C6462" s="13" t="str">
        <f t="shared" si="5"/>
        <v>2014-05-15_Bhajans_-_Hare_Krishna_Kirtan_-_Radhanath_Swami.mp3</v>
      </c>
      <c r="D6462" s="11"/>
      <c r="E6462" s="11"/>
    </row>
    <row r="6463" spans="1:5">
      <c r="A6463" s="12" t="s">
        <v>12981</v>
      </c>
      <c r="B6463" s="12" t="s">
        <v>18435</v>
      </c>
      <c r="C6463" s="13" t="str">
        <f t="shared" ref="C6463:C6464" si="6">HYPERLINK("https://audio.iskcondesiretree.com/02_-_ISKCON_Swamis/ISKCON_Swamis_-_R_to_Y/His_Holiness_Radhanath_Swami/Bhajans/Hare_Krishna_Dhun/2014-07-01_Bhajans_-_Hare_Krishna_Kirtan_-_Radhanath_Swami_Govardha_Eco_Village.mp3", "2014-07-01_Bhajans_-_Hare_Krishna_Kirtan_-_Radhanath_Swami_Govardha_Eco_Village.mp3")</f>
        <v>2014-07-01_Bhajans_-_Hare_Krishna_Kirtan_-_Radhanath_Swami_Govardha_Eco_Village.mp3</v>
      </c>
      <c r="D6463" s="11"/>
      <c r="E6463" s="11"/>
    </row>
    <row r="6464" spans="1:5">
      <c r="A6464" s="12" t="s">
        <v>12981</v>
      </c>
      <c r="B6464" s="12" t="s">
        <v>18435</v>
      </c>
      <c r="C6464" s="13" t="str">
        <f t="shared" si="6"/>
        <v>2014-07-01_Bhajans_-_Hare_Krishna_Kirtan_-_Radhanath_Swami_Govardha_Eco_Village.mp3</v>
      </c>
      <c r="D6464" s="11"/>
      <c r="E6464" s="11"/>
    </row>
    <row r="6465" spans="1:5">
      <c r="A6465" s="12" t="s">
        <v>12981</v>
      </c>
      <c r="B6465" s="12" t="s">
        <v>18436</v>
      </c>
      <c r="C6465" s="13" t="str">
        <f t="shared" ref="C6465:C6466" si="7">HYPERLINK("https://audio.iskcondesiretree.com/02_-_ISKCON_Swamis/ISKCON_Swamis_-_R_to_Y/His_Holiness_Radhanath_Swami/Bhajans/Hare_Krishna_Dhun/2014-07-19_Bhajans_-_Hare_Krishna_Kirtan_-_Radhanath_Swami_TBC.mp3", "2014-07-19_Bhajans_-_Hare_Krishna_Kirtan_-_Radhanath_Swami_TBC.mp3")</f>
        <v>2014-07-19_Bhajans_-_Hare_Krishna_Kirtan_-_Radhanath_Swami_TBC.mp3</v>
      </c>
      <c r="D6465" s="11"/>
      <c r="E6465" s="11"/>
    </row>
    <row r="6466" spans="1:5">
      <c r="A6466" s="12" t="s">
        <v>12981</v>
      </c>
      <c r="B6466" s="12" t="s">
        <v>18436</v>
      </c>
      <c r="C6466" s="13" t="str">
        <f t="shared" si="7"/>
        <v>2014-07-19_Bhajans_-_Hare_Krishna_Kirtan_-_Radhanath_Swami_TBC.mp3</v>
      </c>
      <c r="D6466" s="11"/>
      <c r="E6466" s="11"/>
    </row>
    <row r="6467" spans="1:5">
      <c r="A6467" s="12" t="s">
        <v>12981</v>
      </c>
      <c r="B6467" s="12" t="s">
        <v>18437</v>
      </c>
      <c r="C6467" s="13" t="str">
        <f t="shared" ref="C6467:C6468" si="8">HYPERLINK("https://audio.iskcondesiretree.com/02_-_ISKCON_Swamis/ISKCON_Swamis_-_R_to_Y/His_Holiness_Radhanath_Swami/Bhajans/Hare_Krishna_Dhun/2014-08-04_Bhajans_-_Hare_Krishna_Kirtan_-_Radhanath_Swami.mp3", "2014-08-04_Bhajans_-_Hare_Krishna_Kirtan_-_Radhanath_Swami.mp3")</f>
        <v>2014-08-04_Bhajans_-_Hare_Krishna_Kirtan_-_Radhanath_Swami.mp3</v>
      </c>
      <c r="D6467" s="11"/>
      <c r="E6467" s="11"/>
    </row>
    <row r="6468" spans="1:5">
      <c r="A6468" s="12" t="s">
        <v>12981</v>
      </c>
      <c r="B6468" s="12" t="s">
        <v>18437</v>
      </c>
      <c r="C6468" s="13" t="str">
        <f t="shared" si="8"/>
        <v>2014-08-04_Bhajans_-_Hare_Krishna_Kirtan_-_Radhanath_Swami.mp3</v>
      </c>
      <c r="D6468" s="11"/>
      <c r="E6468" s="11"/>
    </row>
    <row r="6469" spans="1:5">
      <c r="A6469" s="12" t="s">
        <v>12981</v>
      </c>
      <c r="B6469" s="12" t="s">
        <v>18438</v>
      </c>
      <c r="C6469" s="13" t="str">
        <f t="shared" ref="C6469:C6470" si="9">HYPERLINK("https://audio.iskcondesiretree.com/02_-_ISKCON_Swamis/ISKCON_Swamis_-_R_to_Y/His_Holiness_Radhanath_Swami/Bhajans/Hare_Krishna_Dhun/2014-08-15_Bhajans_-_Hare_Krishna_Kirtan_-_Radhanath_Swami_Bhakti_Center.mp3", "2014-08-15_Bhajans_-_Hare_Krishna_Kirtan_-_Radhanath_Swami_Bhakti_Center.mp3")</f>
        <v>2014-08-15_Bhajans_-_Hare_Krishna_Kirtan_-_Radhanath_Swami_Bhakti_Center.mp3</v>
      </c>
      <c r="D6469" s="11"/>
      <c r="E6469" s="11"/>
    </row>
    <row r="6470" spans="1:5">
      <c r="A6470" s="12" t="s">
        <v>12981</v>
      </c>
      <c r="B6470" s="12" t="s">
        <v>18438</v>
      </c>
      <c r="C6470" s="13" t="str">
        <f t="shared" si="9"/>
        <v>2014-08-15_Bhajans_-_Hare_Krishna_Kirtan_-_Radhanath_Swami_Bhakti_Center.mp3</v>
      </c>
      <c r="D6470" s="11"/>
      <c r="E6470" s="11"/>
    </row>
    <row r="6471" spans="1:5">
      <c r="A6471" s="12" t="s">
        <v>12981</v>
      </c>
      <c r="B6471" s="12" t="s">
        <v>18439</v>
      </c>
      <c r="C6471" s="13" t="str">
        <f t="shared" ref="C6471:C6472" si="10">HYPERLINK("https://audio.iskcondesiretree.com/02_-_ISKCON_Swamis/ISKCON_Swamis_-_R_to_Y/His_Holiness_Radhanath_Swami/Bhajans/Hare_Krishna_Dhun/2014-08-17_Bhajans_-_Hare_Krishna_Kirtan_-_Radhanath_Swami_Bhakti_Center.mp3", "2014-08-17_Bhajans_-_Hare_Krishna_Kirtan_-_Radhanath_Swami_Bhakti_Center.mp3")</f>
        <v>2014-08-17_Bhajans_-_Hare_Krishna_Kirtan_-_Radhanath_Swami_Bhakti_Center.mp3</v>
      </c>
      <c r="D6471" s="11"/>
      <c r="E6471" s="11"/>
    </row>
    <row r="6472" spans="1:5">
      <c r="A6472" s="12" t="s">
        <v>12981</v>
      </c>
      <c r="B6472" s="12" t="s">
        <v>18439</v>
      </c>
      <c r="C6472" s="13" t="str">
        <f t="shared" si="10"/>
        <v>2014-08-17_Bhajans_-_Hare_Krishna_Kirtan_-_Radhanath_Swami_Bhakti_Center.mp3</v>
      </c>
      <c r="D6472" s="11"/>
      <c r="E6472" s="11"/>
    </row>
    <row r="6473" spans="1:5">
      <c r="A6473" s="12" t="s">
        <v>12981</v>
      </c>
      <c r="B6473" s="12" t="s">
        <v>18440</v>
      </c>
      <c r="C6473" s="13" t="str">
        <f t="shared" ref="C6473:C6474" si="11">HYPERLINK("https://audio.iskcondesiretree.com/02_-_ISKCON_Swamis/ISKCON_Swamis_-_R_to_Y/His_Holiness_Radhanath_Swami/Bhajans/Hare_Krishna_Dhun/2015-02-16_Bhajans_-_Kirtan_Mela_2015-Hare_Krishna_Kirtan_Day-01_-_Radhanath_Swami_ISKCON_Mayapur.mp3", "2015-02-16_Bhajans_-_Kirtan_Mela_2015-Hare_Krishna_Kirtan_Day-01_-_Radhanath_Swami_ISKCON_Mayapur.mp3")</f>
        <v>2015-02-16_Bhajans_-_Kirtan_Mela_2015-Hare_Krishna_Kirtan_Day-01_-_Radhanath_Swami_ISKCON_Mayapur.mp3</v>
      </c>
      <c r="D6473" s="11"/>
      <c r="E6473" s="11"/>
    </row>
    <row r="6474" spans="1:5">
      <c r="A6474" s="12" t="s">
        <v>12981</v>
      </c>
      <c r="B6474" s="12" t="s">
        <v>18440</v>
      </c>
      <c r="C6474" s="13" t="str">
        <f t="shared" si="11"/>
        <v>2015-02-16_Bhajans_-_Kirtan_Mela_2015-Hare_Krishna_Kirtan_Day-01_-_Radhanath_Swami_ISKCON_Mayapur.mp3</v>
      </c>
      <c r="D6474" s="11"/>
      <c r="E6474" s="11"/>
    </row>
    <row r="6475" spans="1:5">
      <c r="A6475" s="12" t="s">
        <v>12981</v>
      </c>
      <c r="B6475" s="12" t="s">
        <v>18441</v>
      </c>
      <c r="C6475" s="13" t="str">
        <f t="shared" ref="C6475:C6476" si="12">HYPERLINK("https://audio.iskcondesiretree.com/02_-_ISKCON_Swamis/ISKCON_Swamis_-_R_to_Y/His_Holiness_Radhanath_Swami/Bhajans/Hare_Krishna_Dhun/IDT_001-Hare_Krishna_-_Radhanath_Swami.mp3", "IDT_001-Hare_Krishna_-_Radhanath_Swami.mp3")</f>
        <v>IDT_001-Hare_Krishna_-_Radhanath_Swami.mp3</v>
      </c>
      <c r="D6475" s="11"/>
      <c r="E6475" s="11"/>
    </row>
    <row r="6476" spans="1:5">
      <c r="A6476" s="12" t="s">
        <v>12981</v>
      </c>
      <c r="B6476" s="12" t="s">
        <v>18441</v>
      </c>
      <c r="C6476" s="13" t="str">
        <f t="shared" si="12"/>
        <v>IDT_001-Hare_Krishna_-_Radhanath_Swami.mp3</v>
      </c>
      <c r="D6476" s="11"/>
      <c r="E6476" s="11"/>
    </row>
    <row r="6477" spans="1:5">
      <c r="A6477" s="12" t="s">
        <v>12981</v>
      </c>
      <c r="B6477" s="12" t="s">
        <v>18442</v>
      </c>
      <c r="C6477" s="13" t="str">
        <f t="shared" ref="C6477:C6478" si="13">HYPERLINK("https://audio.iskcondesiretree.com/02_-_ISKCON_Swamis/ISKCON_Swamis_-_R_to_Y/His_Holiness_Radhanath_Swami/Bhajans/Hare_Krishna_Dhun/IDT_002-Hare_Krishna_-_Radhanath_Swami.mp3", "IDT_002-Hare_Krishna_-_Radhanath_Swami.mp3")</f>
        <v>IDT_002-Hare_Krishna_-_Radhanath_Swami.mp3</v>
      </c>
      <c r="D6477" s="11"/>
      <c r="E6477" s="11"/>
    </row>
    <row r="6478" spans="1:5">
      <c r="A6478" s="12" t="s">
        <v>12981</v>
      </c>
      <c r="B6478" s="12" t="s">
        <v>18442</v>
      </c>
      <c r="C6478" s="13" t="str">
        <f t="shared" si="13"/>
        <v>IDT_002-Hare_Krishna_-_Radhanath_Swami.mp3</v>
      </c>
      <c r="D6478" s="11"/>
      <c r="E6478" s="11"/>
    </row>
    <row r="6479" spans="1:5">
      <c r="A6479" s="12" t="s">
        <v>12981</v>
      </c>
      <c r="B6479" s="12" t="s">
        <v>18443</v>
      </c>
      <c r="C6479" s="13" t="str">
        <f t="shared" ref="C6479:C6480" si="14">HYPERLINK("https://audio.iskcondesiretree.com/02_-_ISKCON_Swamis/ISKCON_Swamis_-_R_to_Y/His_Holiness_Radhanath_Swami/Bhajans/Hare_Krishna_Dhun/IDT_003-Hare_Krishna_-_Radhanath_Swami.MP3", "IDT_003-Hare_Krishna_-_Radhanath_Swami.MP3")</f>
        <v>IDT_003-Hare_Krishna_-_Radhanath_Swami.MP3</v>
      </c>
      <c r="D6479" s="11"/>
      <c r="E6479" s="11"/>
    </row>
    <row r="6480" spans="1:5">
      <c r="A6480" s="12" t="s">
        <v>12981</v>
      </c>
      <c r="B6480" s="12" t="s">
        <v>18443</v>
      </c>
      <c r="C6480" s="13" t="str">
        <f t="shared" si="14"/>
        <v>IDT_003-Hare_Krishna_-_Radhanath_Swami.MP3</v>
      </c>
      <c r="D6480" s="11"/>
      <c r="E6480" s="11"/>
    </row>
    <row r="6481" spans="1:5">
      <c r="A6481" s="12" t="s">
        <v>12981</v>
      </c>
      <c r="B6481" s="12" t="s">
        <v>18444</v>
      </c>
      <c r="C6481" s="13" t="str">
        <f t="shared" ref="C6481:C6482" si="15">HYPERLINK("https://audio.iskcondesiretree.com/02_-_ISKCON_Swamis/ISKCON_Swamis_-_R_to_Y/His_Holiness_Radhanath_Swami/Bhajans/Hare_Krishna_Dhun/IDT_004-Hare_Krishna_-_Radhanath_Swami.mp3", "IDT_004-Hare_Krishna_-_Radhanath_Swami.mp3")</f>
        <v>IDT_004-Hare_Krishna_-_Radhanath_Swami.mp3</v>
      </c>
      <c r="D6481" s="11"/>
      <c r="E6481" s="11"/>
    </row>
    <row r="6482" spans="1:5">
      <c r="A6482" s="12" t="s">
        <v>12981</v>
      </c>
      <c r="B6482" s="12" t="s">
        <v>18444</v>
      </c>
      <c r="C6482" s="13" t="str">
        <f t="shared" si="15"/>
        <v>IDT_004-Hare_Krishna_-_Radhanath_Swami.mp3</v>
      </c>
      <c r="D6482" s="11"/>
      <c r="E6482" s="11"/>
    </row>
    <row r="6483" spans="1:5">
      <c r="A6483" s="12" t="s">
        <v>12981</v>
      </c>
      <c r="B6483" s="12" t="s">
        <v>18445</v>
      </c>
      <c r="C6483" s="13" t="str">
        <f t="shared" ref="C6483:C6484" si="16">HYPERLINK("https://audio.iskcondesiretree.com/02_-_ISKCON_Swamis/ISKCON_Swamis_-_R_to_Y/His_Holiness_Radhanath_Swami/Bhajans/Hare_Krishna_Dhun/IDT_005-Hare_Krishna_-_Radhanath_Swami.MP3", "IDT_005-Hare_Krishna_-_Radhanath_Swami.MP3")</f>
        <v>IDT_005-Hare_Krishna_-_Radhanath_Swami.MP3</v>
      </c>
      <c r="D6483" s="11"/>
      <c r="E6483" s="11"/>
    </row>
    <row r="6484" spans="1:5">
      <c r="A6484" s="12" t="s">
        <v>12981</v>
      </c>
      <c r="B6484" s="12" t="s">
        <v>18445</v>
      </c>
      <c r="C6484" s="13" t="str">
        <f t="shared" si="16"/>
        <v>IDT_005-Hare_Krishna_-_Radhanath_Swami.MP3</v>
      </c>
      <c r="D6484" s="11"/>
      <c r="E6484" s="11"/>
    </row>
    <row r="6485" spans="1:5">
      <c r="A6485" s="12" t="s">
        <v>12981</v>
      </c>
      <c r="B6485" s="12" t="s">
        <v>18446</v>
      </c>
      <c r="C6485" s="13" t="str">
        <f t="shared" ref="C6485:C6486" si="17">HYPERLINK("https://audio.iskcondesiretree.com/02_-_ISKCON_Swamis/ISKCON_Swamis_-_R_to_Y/His_Holiness_Radhanath_Swami/Bhajans/Hare_Krishna_Dhun/IDT_006-Hare_Krishna_-_Radhanath_Swami.MP3", "IDT_006-Hare_Krishna_-_Radhanath_Swami.MP3")</f>
        <v>IDT_006-Hare_Krishna_-_Radhanath_Swami.MP3</v>
      </c>
      <c r="D6485" s="11"/>
      <c r="E6485" s="11"/>
    </row>
    <row r="6486" spans="1:5">
      <c r="A6486" s="12" t="s">
        <v>12981</v>
      </c>
      <c r="B6486" s="12" t="s">
        <v>18446</v>
      </c>
      <c r="C6486" s="13" t="str">
        <f t="shared" si="17"/>
        <v>IDT_006-Hare_Krishna_-_Radhanath_Swami.MP3</v>
      </c>
      <c r="D6486" s="11"/>
      <c r="E6486" s="11"/>
    </row>
    <row r="6487" spans="1:5">
      <c r="A6487" s="12" t="s">
        <v>12981</v>
      </c>
      <c r="B6487" s="12" t="s">
        <v>18447</v>
      </c>
      <c r="C6487" s="13" t="str">
        <f t="shared" ref="C6487:C6488" si="18">HYPERLINK("https://audio.iskcondesiretree.com/02_-_ISKCON_Swamis/ISKCON_Swamis_-_R_to_Y/His_Holiness_Radhanath_Swami/Bhajans/Hare_Krishna_Dhun/IDT_007-Hare_Krishna_-_Radhanath_Swami.MP3", "IDT_007-Hare_Krishna_-_Radhanath_Swami.MP3")</f>
        <v>IDT_007-Hare_Krishna_-_Radhanath_Swami.MP3</v>
      </c>
      <c r="D6487" s="11"/>
      <c r="E6487" s="11"/>
    </row>
    <row r="6488" spans="1:5">
      <c r="A6488" s="12" t="s">
        <v>12981</v>
      </c>
      <c r="B6488" s="12" t="s">
        <v>18447</v>
      </c>
      <c r="C6488" s="13" t="str">
        <f t="shared" si="18"/>
        <v>IDT_007-Hare_Krishna_-_Radhanath_Swami.MP3</v>
      </c>
      <c r="D6488" s="11"/>
      <c r="E6488" s="11"/>
    </row>
    <row r="6489" spans="1:5">
      <c r="A6489" s="12" t="s">
        <v>12981</v>
      </c>
      <c r="B6489" s="12" t="s">
        <v>18448</v>
      </c>
      <c r="C6489" s="13" t="str">
        <f t="shared" ref="C6489:C6490" si="19">HYPERLINK("https://audio.iskcondesiretree.com/02_-_ISKCON_Swamis/ISKCON_Swamis_-_R_to_Y/His_Holiness_Radhanath_Swami/Bhajans/Hare_Krishna_Dhun/IDT_008-Hare_Krishna_-_Radhanath_Swami.MP3", "IDT_008-Hare_Krishna_-_Radhanath_Swami.MP3")</f>
        <v>IDT_008-Hare_Krishna_-_Radhanath_Swami.MP3</v>
      </c>
      <c r="D6489" s="11"/>
      <c r="E6489" s="11"/>
    </row>
    <row r="6490" spans="1:5">
      <c r="A6490" s="12" t="s">
        <v>12981</v>
      </c>
      <c r="B6490" s="12" t="s">
        <v>18448</v>
      </c>
      <c r="C6490" s="13" t="str">
        <f t="shared" si="19"/>
        <v>IDT_008-Hare_Krishna_-_Radhanath_Swami.MP3</v>
      </c>
      <c r="D6490" s="11"/>
      <c r="E6490" s="11"/>
    </row>
    <row r="6491" spans="1:5">
      <c r="A6491" s="12" t="s">
        <v>12981</v>
      </c>
      <c r="B6491" s="12" t="s">
        <v>18449</v>
      </c>
      <c r="C6491" s="13" t="str">
        <f t="shared" ref="C6491:C6492" si="20">HYPERLINK("https://audio.iskcondesiretree.com/02_-_ISKCON_Swamis/ISKCON_Swamis_-_R_to_Y/His_Holiness_Radhanath_Swami/Bhajans/Hare_Krishna_Dhun/IDT_009-Hare_Krishna_-_Radhanath_Swami.MP3", "IDT_009-Hare_Krishna_-_Radhanath_Swami.MP3")</f>
        <v>IDT_009-Hare_Krishna_-_Radhanath_Swami.MP3</v>
      </c>
      <c r="D6491" s="11"/>
      <c r="E6491" s="11"/>
    </row>
    <row r="6492" spans="1:5">
      <c r="A6492" s="12" t="s">
        <v>12981</v>
      </c>
      <c r="B6492" s="12" t="s">
        <v>18449</v>
      </c>
      <c r="C6492" s="13" t="str">
        <f t="shared" si="20"/>
        <v>IDT_009-Hare_Krishna_-_Radhanath_Swami.MP3</v>
      </c>
      <c r="D6492" s="11"/>
      <c r="E6492" s="11"/>
    </row>
    <row r="6493" spans="1:5">
      <c r="A6493" s="12" t="s">
        <v>12981</v>
      </c>
      <c r="B6493" s="12" t="s">
        <v>18450</v>
      </c>
      <c r="C6493" s="13" t="str">
        <f t="shared" ref="C6493:C6494" si="21">HYPERLINK("https://audio.iskcondesiretree.com/02_-_ISKCON_Swamis/ISKCON_Swamis_-_R_to_Y/His_Holiness_Radhanath_Swami/Bhajans/Hare_Krishna_Dhun/IDT_010-Hare_Krishna_-_Radhanath_Swami.MP3", "IDT_010-Hare_Krishna_-_Radhanath_Swami.MP3")</f>
        <v>IDT_010-Hare_Krishna_-_Radhanath_Swami.MP3</v>
      </c>
      <c r="D6493" s="11"/>
      <c r="E6493" s="11"/>
    </row>
    <row r="6494" spans="1:5">
      <c r="A6494" s="12" t="s">
        <v>12981</v>
      </c>
      <c r="B6494" s="12" t="s">
        <v>18450</v>
      </c>
      <c r="C6494" s="13" t="str">
        <f t="shared" si="21"/>
        <v>IDT_010-Hare_Krishna_-_Radhanath_Swami.MP3</v>
      </c>
      <c r="D6494" s="11"/>
      <c r="E6494" s="11"/>
    </row>
    <row r="6495" spans="1:5">
      <c r="A6495" s="12" t="s">
        <v>12981</v>
      </c>
      <c r="B6495" s="12" t="s">
        <v>18451</v>
      </c>
      <c r="C6495" s="13" t="str">
        <f t="shared" ref="C6495:C6496" si="22">HYPERLINK("https://audio.iskcondesiretree.com/02_-_ISKCON_Swamis/ISKCON_Swamis_-_R_to_Y/His_Holiness_Radhanath_Swami/Bhajans/Hare_Krishna_Dhun/IDT_011-Hare_Krishna_-_Radhanath_Swami.MP3", "IDT_011-Hare_Krishna_-_Radhanath_Swami.MP3")</f>
        <v>IDT_011-Hare_Krishna_-_Radhanath_Swami.MP3</v>
      </c>
      <c r="D6495" s="11"/>
      <c r="E6495" s="11"/>
    </row>
    <row r="6496" spans="1:5">
      <c r="A6496" s="12" t="s">
        <v>12981</v>
      </c>
      <c r="B6496" s="12" t="s">
        <v>18451</v>
      </c>
      <c r="C6496" s="13" t="str">
        <f t="shared" si="22"/>
        <v>IDT_011-Hare_Krishna_-_Radhanath_Swami.MP3</v>
      </c>
      <c r="D6496" s="11"/>
      <c r="E6496" s="11"/>
    </row>
    <row r="6497" spans="1:5">
      <c r="A6497" s="12" t="s">
        <v>12981</v>
      </c>
      <c r="B6497" s="12" t="s">
        <v>18452</v>
      </c>
      <c r="C6497" s="13" t="str">
        <f t="shared" ref="C6497:C6498" si="23">HYPERLINK("https://audio.iskcondesiretree.com/02_-_ISKCON_Swamis/ISKCON_Swamis_-_R_to_Y/His_Holiness_Radhanath_Swami/Bhajans/Hare_Krishna_Dhun/IDT_012-Hare_Krishna_-_Radhanath_Swami.MP3", "IDT_012-Hare_Krishna_-_Radhanath_Swami.MP3")</f>
        <v>IDT_012-Hare_Krishna_-_Radhanath_Swami.MP3</v>
      </c>
      <c r="D6497" s="11"/>
      <c r="E6497" s="11"/>
    </row>
    <row r="6498" spans="1:5">
      <c r="A6498" s="12" t="s">
        <v>12981</v>
      </c>
      <c r="B6498" s="12" t="s">
        <v>18452</v>
      </c>
      <c r="C6498" s="13" t="str">
        <f t="shared" si="23"/>
        <v>IDT_012-Hare_Krishna_-_Radhanath_Swami.MP3</v>
      </c>
      <c r="D6498" s="11"/>
      <c r="E6498" s="11"/>
    </row>
    <row r="6499" spans="1:5">
      <c r="A6499" s="12" t="s">
        <v>12981</v>
      </c>
      <c r="B6499" s="12" t="s">
        <v>18453</v>
      </c>
      <c r="C6499" s="13" t="str">
        <f t="shared" ref="C6499:C6500" si="24">HYPERLINK("https://audio.iskcondesiretree.com/02_-_ISKCON_Swamis/ISKCON_Swamis_-_R_to_Y/His_Holiness_Radhanath_Swami/Bhajans/Hare_Krishna_Dhun/IDT_013-Hare_Krishna_-_Radhanath_Swami.MP3", "IDT_013-Hare_Krishna_-_Radhanath_Swami.MP3")</f>
        <v>IDT_013-Hare_Krishna_-_Radhanath_Swami.MP3</v>
      </c>
      <c r="D6499" s="11"/>
      <c r="E6499" s="11"/>
    </row>
    <row r="6500" spans="1:5">
      <c r="A6500" s="12" t="s">
        <v>12981</v>
      </c>
      <c r="B6500" s="12" t="s">
        <v>18453</v>
      </c>
      <c r="C6500" s="13" t="str">
        <f t="shared" si="24"/>
        <v>IDT_013-Hare_Krishna_-_Radhanath_Swami.MP3</v>
      </c>
      <c r="D6500" s="11"/>
      <c r="E6500" s="11"/>
    </row>
    <row r="6501" spans="1:5">
      <c r="A6501" s="12" t="s">
        <v>12981</v>
      </c>
      <c r="B6501" s="12" t="s">
        <v>18454</v>
      </c>
      <c r="C6501" s="13" t="str">
        <f t="shared" ref="C6501:C6502" si="25">HYPERLINK("https://audio.iskcondesiretree.com/02_-_ISKCON_Swamis/ISKCON_Swamis_-_R_to_Y/His_Holiness_Radhanath_Swami/Bhajans/Hare_Krishna_Dhun/IDT_014-Hare_Krishna_-_Radhanath_Swami.MP3", "IDT_014-Hare_Krishna_-_Radhanath_Swami.MP3")</f>
        <v>IDT_014-Hare_Krishna_-_Radhanath_Swami.MP3</v>
      </c>
      <c r="D6501" s="11"/>
      <c r="E6501" s="11"/>
    </row>
    <row r="6502" spans="1:5">
      <c r="A6502" s="12" t="s">
        <v>12981</v>
      </c>
      <c r="B6502" s="12" t="s">
        <v>18454</v>
      </c>
      <c r="C6502" s="13" t="str">
        <f t="shared" si="25"/>
        <v>IDT_014-Hare_Krishna_-_Radhanath_Swami.MP3</v>
      </c>
      <c r="D6502" s="11"/>
      <c r="E6502" s="11"/>
    </row>
    <row r="6503" spans="1:5">
      <c r="A6503" s="12" t="s">
        <v>12981</v>
      </c>
      <c r="B6503" s="12" t="s">
        <v>18455</v>
      </c>
      <c r="C6503" s="13" t="str">
        <f t="shared" ref="C6503:C6504" si="26">HYPERLINK("https://audio.iskcondesiretree.com/02_-_ISKCON_Swamis/ISKCON_Swamis_-_R_to_Y/His_Holiness_Radhanath_Swami/Bhajans/Hare_Krishna_Dhun/IDT_015-Hare_Krishna_-_Radhanath_Swami.MP3", "IDT_015-Hare_Krishna_-_Radhanath_Swami.MP3")</f>
        <v>IDT_015-Hare_Krishna_-_Radhanath_Swami.MP3</v>
      </c>
      <c r="D6503" s="11"/>
      <c r="E6503" s="11"/>
    </row>
    <row r="6504" spans="1:5">
      <c r="A6504" s="12" t="s">
        <v>12981</v>
      </c>
      <c r="B6504" s="12" t="s">
        <v>18455</v>
      </c>
      <c r="C6504" s="13" t="str">
        <f t="shared" si="26"/>
        <v>IDT_015-Hare_Krishna_-_Radhanath_Swami.MP3</v>
      </c>
      <c r="D6504" s="11"/>
      <c r="E6504" s="11"/>
    </row>
    <row r="6505" spans="1:5">
      <c r="A6505" s="12" t="s">
        <v>12981</v>
      </c>
      <c r="B6505" s="12" t="s">
        <v>18456</v>
      </c>
      <c r="C6505" s="13" t="str">
        <f t="shared" ref="C6505:C6506" si="27">HYPERLINK("https://audio.iskcondesiretree.com/02_-_ISKCON_Swamis/ISKCON_Swamis_-_R_to_Y/His_Holiness_Radhanath_Swami/Bhajans/Hare_Krishna_Dhun/IDT_016-Hare_Krishna_-_Radhanath_Swami.MP3", "IDT_016-Hare_Krishna_-_Radhanath_Swami.MP3")</f>
        <v>IDT_016-Hare_Krishna_-_Radhanath_Swami.MP3</v>
      </c>
      <c r="D6505" s="11"/>
      <c r="E6505" s="11"/>
    </row>
    <row r="6506" spans="1:5">
      <c r="A6506" s="12" t="s">
        <v>12981</v>
      </c>
      <c r="B6506" s="12" t="s">
        <v>18456</v>
      </c>
      <c r="C6506" s="13" t="str">
        <f t="shared" si="27"/>
        <v>IDT_016-Hare_Krishna_-_Radhanath_Swami.MP3</v>
      </c>
      <c r="D6506" s="11"/>
      <c r="E6506" s="11"/>
    </row>
    <row r="6507" spans="1:5">
      <c r="A6507" s="12" t="s">
        <v>12981</v>
      </c>
      <c r="B6507" s="12" t="s">
        <v>18457</v>
      </c>
      <c r="C6507" s="13" t="str">
        <f t="shared" ref="C6507:C6508" si="28">HYPERLINK("https://audio.iskcondesiretree.com/02_-_ISKCON_Swamis/ISKCON_Swamis_-_R_to_Y/His_Holiness_Radhanath_Swami/Bhajans/Hare_Krishna_Dhun/IDT_017-Hare_Krishna_-_Radhanath_Swami.MP3", "IDT_017-Hare_Krishna_-_Radhanath_Swami.MP3")</f>
        <v>IDT_017-Hare_Krishna_-_Radhanath_Swami.MP3</v>
      </c>
      <c r="D6507" s="11"/>
      <c r="E6507" s="11"/>
    </row>
    <row r="6508" spans="1:5">
      <c r="A6508" s="12" t="s">
        <v>12981</v>
      </c>
      <c r="B6508" s="12" t="s">
        <v>18457</v>
      </c>
      <c r="C6508" s="13" t="str">
        <f t="shared" si="28"/>
        <v>IDT_017-Hare_Krishna_-_Radhanath_Swami.MP3</v>
      </c>
      <c r="D6508" s="11"/>
      <c r="E6508" s="11"/>
    </row>
    <row r="6509" spans="1:5">
      <c r="A6509" s="12" t="s">
        <v>12981</v>
      </c>
      <c r="B6509" s="12" t="s">
        <v>18458</v>
      </c>
      <c r="C6509" s="13" t="str">
        <f t="shared" ref="C6509:C6510" si="29">HYPERLINK("https://audio.iskcondesiretree.com/02_-_ISKCON_Swamis/ISKCON_Swamis_-_R_to_Y/His_Holiness_Radhanath_Swami/Bhajans/Hare_Krishna_Dhun/IDT_018-Hare_Krishna_-_Radhanath_Swami.MP3", "IDT_018-Hare_Krishna_-_Radhanath_Swami.MP3")</f>
        <v>IDT_018-Hare_Krishna_-_Radhanath_Swami.MP3</v>
      </c>
      <c r="D6509" s="11"/>
      <c r="E6509" s="11"/>
    </row>
    <row r="6510" spans="1:5">
      <c r="A6510" s="12" t="s">
        <v>12981</v>
      </c>
      <c r="B6510" s="12" t="s">
        <v>18458</v>
      </c>
      <c r="C6510" s="13" t="str">
        <f t="shared" si="29"/>
        <v>IDT_018-Hare_Krishna_-_Radhanath_Swami.MP3</v>
      </c>
      <c r="D6510" s="11"/>
      <c r="E6510" s="11"/>
    </row>
    <row r="6511" spans="1:5">
      <c r="A6511" s="12" t="s">
        <v>12981</v>
      </c>
      <c r="B6511" s="12" t="s">
        <v>18459</v>
      </c>
      <c r="C6511" s="13" t="str">
        <f t="shared" ref="C6511:C6512" si="30">HYPERLINK("https://audio.iskcondesiretree.com/02_-_ISKCON_Swamis/ISKCON_Swamis_-_R_to_Y/His_Holiness_Radhanath_Swami/Bhajans/Hare_Krishna_Dhun/IDT_019-Hare_Krishna_-_Radhanath_Swami.MP3", "IDT_019-Hare_Krishna_-_Radhanath_Swami.MP3")</f>
        <v>IDT_019-Hare_Krishna_-_Radhanath_Swami.MP3</v>
      </c>
      <c r="D6511" s="11"/>
      <c r="E6511" s="11"/>
    </row>
    <row r="6512" spans="1:5">
      <c r="A6512" s="12" t="s">
        <v>12981</v>
      </c>
      <c r="B6512" s="12" t="s">
        <v>18459</v>
      </c>
      <c r="C6512" s="13" t="str">
        <f t="shared" si="30"/>
        <v>IDT_019-Hare_Krishna_-_Radhanath_Swami.MP3</v>
      </c>
      <c r="D6512" s="11"/>
      <c r="E6512" s="11"/>
    </row>
    <row r="6513" spans="1:5">
      <c r="A6513" s="12" t="s">
        <v>12981</v>
      </c>
      <c r="B6513" s="12" t="s">
        <v>18460</v>
      </c>
      <c r="C6513" s="13" t="str">
        <f t="shared" ref="C6513:C6514" si="31">HYPERLINK("https://audio.iskcondesiretree.com/02_-_ISKCON_Swamis/ISKCON_Swamis_-_R_to_Y/His_Holiness_Radhanath_Swami/Bhajans/Hare_Krishna_Dhun/IDT_020-Hare_Krishna_-_Radhanath_Swami.MP3", "IDT_020-Hare_Krishna_-_Radhanath_Swami.MP3")</f>
        <v>IDT_020-Hare_Krishna_-_Radhanath_Swami.MP3</v>
      </c>
      <c r="D6513" s="11"/>
      <c r="E6513" s="11"/>
    </row>
    <row r="6514" spans="1:5">
      <c r="A6514" s="12" t="s">
        <v>12981</v>
      </c>
      <c r="B6514" s="12" t="s">
        <v>18460</v>
      </c>
      <c r="C6514" s="13" t="str">
        <f t="shared" si="31"/>
        <v>IDT_020-Hare_Krishna_-_Radhanath_Swami.MP3</v>
      </c>
      <c r="D6514" s="11"/>
      <c r="E6514" s="11"/>
    </row>
    <row r="6515" spans="1:5">
      <c r="A6515" s="12" t="s">
        <v>12981</v>
      </c>
      <c r="B6515" s="12" t="s">
        <v>18461</v>
      </c>
      <c r="C6515" s="13" t="str">
        <f t="shared" ref="C6515:C6516" si="32">HYPERLINK("https://audio.iskcondesiretree.com/02_-_ISKCON_Swamis/ISKCON_Swamis_-_R_to_Y/His_Holiness_Radhanath_Swami/Bhajans/Hare_Krishna_Dhun/IDT_021-Hare_Krishna_-_Radhanath_Swami.MP3", "IDT_021-Hare_Krishna_-_Radhanath_Swami.MP3")</f>
        <v>IDT_021-Hare_Krishna_-_Radhanath_Swami.MP3</v>
      </c>
      <c r="D6515" s="11"/>
      <c r="E6515" s="11"/>
    </row>
    <row r="6516" spans="1:5">
      <c r="A6516" s="12" t="s">
        <v>12981</v>
      </c>
      <c r="B6516" s="12" t="s">
        <v>18461</v>
      </c>
      <c r="C6516" s="13" t="str">
        <f t="shared" si="32"/>
        <v>IDT_021-Hare_Krishna_-_Radhanath_Swami.MP3</v>
      </c>
      <c r="D6516" s="11"/>
      <c r="E6516" s="11"/>
    </row>
    <row r="6517" spans="1:5">
      <c r="A6517" s="12" t="s">
        <v>12981</v>
      </c>
      <c r="B6517" s="12" t="s">
        <v>18462</v>
      </c>
      <c r="C6517" s="13" t="str">
        <f t="shared" ref="C6517:C6518" si="33">HYPERLINK("https://audio.iskcondesiretree.com/02_-_ISKCON_Swamis/ISKCON_Swamis_-_R_to_Y/His_Holiness_Radhanath_Swami/Bhajans/Hare_Krishna_Dhun/IDT_022-Hare_Krishna_-_Radhanath_Swami.MP3", "IDT_022-Hare_Krishna_-_Radhanath_Swami.MP3")</f>
        <v>IDT_022-Hare_Krishna_-_Radhanath_Swami.MP3</v>
      </c>
      <c r="D6517" s="11"/>
      <c r="E6517" s="11"/>
    </row>
    <row r="6518" spans="1:5">
      <c r="A6518" s="12" t="s">
        <v>12981</v>
      </c>
      <c r="B6518" s="12" t="s">
        <v>18462</v>
      </c>
      <c r="C6518" s="13" t="str">
        <f t="shared" si="33"/>
        <v>IDT_022-Hare_Krishna_-_Radhanath_Swami.MP3</v>
      </c>
      <c r="D6518" s="11"/>
      <c r="E6518" s="11"/>
    </row>
    <row r="6519" spans="1:5">
      <c r="A6519" s="12" t="s">
        <v>12981</v>
      </c>
      <c r="B6519" s="12" t="s">
        <v>18463</v>
      </c>
      <c r="C6519" s="13" t="str">
        <f t="shared" ref="C6519:C6520" si="34">HYPERLINK("https://audio.iskcondesiretree.com/02_-_ISKCON_Swamis/ISKCON_Swamis_-_R_to_Y/His_Holiness_Radhanath_Swami/Bhajans/Hare_Krishna_Dhun/IDT_023-Hare_Krishna_-_Radhanath_Swami.MP3", "IDT_023-Hare_Krishna_-_Radhanath_Swami.MP3")</f>
        <v>IDT_023-Hare_Krishna_-_Radhanath_Swami.MP3</v>
      </c>
      <c r="D6519" s="11"/>
      <c r="E6519" s="11"/>
    </row>
    <row r="6520" spans="1:5">
      <c r="A6520" s="12" t="s">
        <v>12981</v>
      </c>
      <c r="B6520" s="12" t="s">
        <v>18463</v>
      </c>
      <c r="C6520" s="13" t="str">
        <f t="shared" si="34"/>
        <v>IDT_023-Hare_Krishna_-_Radhanath_Swami.MP3</v>
      </c>
      <c r="D6520" s="11"/>
      <c r="E6520" s="11"/>
    </row>
    <row r="6521" spans="1:5">
      <c r="A6521" s="12" t="s">
        <v>12981</v>
      </c>
      <c r="B6521" s="12" t="s">
        <v>18464</v>
      </c>
      <c r="C6521" s="13" t="str">
        <f t="shared" ref="C6521:C6522" si="35">HYPERLINK("https://audio.iskcondesiretree.com/02_-_ISKCON_Swamis/ISKCON_Swamis_-_R_to_Y/His_Holiness_Radhanath_Swami/Bhajans/Hare_Krishna_Dhun/IDT_024-Hare_Krishna_-_Radhanath_Swami.MP3", "IDT_024-Hare_Krishna_-_Radhanath_Swami.MP3")</f>
        <v>IDT_024-Hare_Krishna_-_Radhanath_Swami.MP3</v>
      </c>
      <c r="D6521" s="11"/>
      <c r="E6521" s="11"/>
    </row>
    <row r="6522" spans="1:5">
      <c r="A6522" s="12" t="s">
        <v>12981</v>
      </c>
      <c r="B6522" s="12" t="s">
        <v>18464</v>
      </c>
      <c r="C6522" s="13" t="str">
        <f t="shared" si="35"/>
        <v>IDT_024-Hare_Krishna_-_Radhanath_Swami.MP3</v>
      </c>
      <c r="D6522" s="11"/>
      <c r="E6522" s="11"/>
    </row>
    <row r="6523" spans="1:5">
      <c r="A6523" s="12" t="s">
        <v>12981</v>
      </c>
      <c r="B6523" s="12" t="s">
        <v>18465</v>
      </c>
      <c r="C6523" s="13" t="str">
        <f t="shared" ref="C6523:C6524" si="36">HYPERLINK("https://audio.iskcondesiretree.com/02_-_ISKCON_Swamis/ISKCON_Swamis_-_R_to_Y/His_Holiness_Radhanath_Swami/Bhajans/Hare_Krishna_Dhun/IDT_025-Hare_Krishna_-_Radhanath_Swami.mp3", "IDT_025-Hare_Krishna_-_Radhanath_Swami.mp3")</f>
        <v>IDT_025-Hare_Krishna_-_Radhanath_Swami.mp3</v>
      </c>
      <c r="D6523" s="11"/>
      <c r="E6523" s="11"/>
    </row>
    <row r="6524" spans="1:5">
      <c r="A6524" s="12" t="s">
        <v>12981</v>
      </c>
      <c r="B6524" s="12" t="s">
        <v>18465</v>
      </c>
      <c r="C6524" s="13" t="str">
        <f t="shared" si="36"/>
        <v>IDT_025-Hare_Krishna_-_Radhanath_Swami.mp3</v>
      </c>
      <c r="D6524" s="11"/>
      <c r="E6524" s="11"/>
    </row>
    <row r="6525" spans="1:5">
      <c r="A6525" s="12" t="s">
        <v>12981</v>
      </c>
      <c r="B6525" s="12" t="s">
        <v>18466</v>
      </c>
      <c r="C6525" s="13" t="str">
        <f t="shared" ref="C6525:C6526" si="37">HYPERLINK("https://audio.iskcondesiretree.com/02_-_ISKCON_Swamis/ISKCON_Swamis_-_R_to_Y/His_Holiness_Radhanath_Swami/Bhajans/Hare_Krishna_Dhun/IDT_026-Hare_Krishna_-_Radhanath_Swami.mp3", "IDT_026-Hare_Krishna_-_Radhanath_Swami.mp3")</f>
        <v>IDT_026-Hare_Krishna_-_Radhanath_Swami.mp3</v>
      </c>
      <c r="D6525" s="11"/>
      <c r="E6525" s="11"/>
    </row>
    <row r="6526" spans="1:5">
      <c r="A6526" s="12" t="s">
        <v>12981</v>
      </c>
      <c r="B6526" s="12" t="s">
        <v>18466</v>
      </c>
      <c r="C6526" s="13" t="str">
        <f t="shared" si="37"/>
        <v>IDT_026-Hare_Krishna_-_Radhanath_Swami.mp3</v>
      </c>
      <c r="D6526" s="11"/>
      <c r="E6526" s="11"/>
    </row>
    <row r="6527" spans="1:5">
      <c r="A6527" s="12" t="s">
        <v>12981</v>
      </c>
      <c r="B6527" s="12" t="s">
        <v>18467</v>
      </c>
      <c r="C6527" s="13" t="str">
        <f t="shared" ref="C6527:C6528" si="38">HYPERLINK("https://audio.iskcondesiretree.com/02_-_ISKCON_Swamis/ISKCON_Swamis_-_R_to_Y/His_Holiness_Radhanath_Swami/Bhajans/Hare_Krishna_Dhun/IDT_027-Hare_Krishna_-_Radhanath_Swami.MP3", "IDT_027-Hare_Krishna_-_Radhanath_Swami.MP3")</f>
        <v>IDT_027-Hare_Krishna_-_Radhanath_Swami.MP3</v>
      </c>
      <c r="D6527" s="11"/>
      <c r="E6527" s="11"/>
    </row>
    <row r="6528" spans="1:5">
      <c r="A6528" s="12" t="s">
        <v>12981</v>
      </c>
      <c r="B6528" s="12" t="s">
        <v>18467</v>
      </c>
      <c r="C6528" s="13" t="str">
        <f t="shared" si="38"/>
        <v>IDT_027-Hare_Krishna_-_Radhanath_Swami.MP3</v>
      </c>
      <c r="D6528" s="11"/>
      <c r="E6528" s="11"/>
    </row>
    <row r="6529" spans="1:5">
      <c r="A6529" s="12" t="s">
        <v>12981</v>
      </c>
      <c r="B6529" s="12" t="s">
        <v>18468</v>
      </c>
      <c r="C6529" s="13" t="str">
        <f t="shared" ref="C6529:C6530" si="39">HYPERLINK("https://audio.iskcondesiretree.com/02_-_ISKCON_Swamis/ISKCON_Swamis_-_R_to_Y/His_Holiness_Radhanath_Swami/Bhajans/Hare_Krishna_Dhun/IDT_028-Hare_Krishna_-_Radhanath_Swami%20.mp3", "IDT_028-Hare_Krishna_-_Radhanath_Swami%20.mp3")</f>
        <v>IDT_028-Hare_Krishna_-_Radhanath_Swami%20.mp3</v>
      </c>
      <c r="D6529" s="11"/>
      <c r="E6529" s="11"/>
    </row>
    <row r="6530" spans="1:5">
      <c r="A6530" s="12" t="s">
        <v>12981</v>
      </c>
      <c r="B6530" s="12" t="s">
        <v>18468</v>
      </c>
      <c r="C6530" s="13" t="str">
        <f t="shared" si="39"/>
        <v>IDT_028-Hare_Krishna_-_Radhanath_Swami%20.mp3</v>
      </c>
      <c r="D6530" s="11"/>
      <c r="E6530" s="11"/>
    </row>
    <row r="6531" spans="1:5">
      <c r="A6531" s="12" t="s">
        <v>12981</v>
      </c>
      <c r="B6531" s="12" t="s">
        <v>18469</v>
      </c>
      <c r="C6531" s="13" t="str">
        <f t="shared" ref="C6531:C6532" si="40">HYPERLINK("https://audio.iskcondesiretree.com/02_-_ISKCON_Swamis/ISKCON_Swamis_-_R_to_Y/His_Holiness_Radhanath_Swami/Bhajans/Hare_Krishna_Dhun/IDT_029-Hare_Krishna_-_Radhanath_Swami.mp3", "IDT_029-Hare_Krishna_-_Radhanath_Swami.mp3")</f>
        <v>IDT_029-Hare_Krishna_-_Radhanath_Swami.mp3</v>
      </c>
      <c r="D6531" s="11"/>
      <c r="E6531" s="11"/>
    </row>
    <row r="6532" spans="1:5">
      <c r="A6532" s="12" t="s">
        <v>12981</v>
      </c>
      <c r="B6532" s="12" t="s">
        <v>18469</v>
      </c>
      <c r="C6532" s="13" t="str">
        <f t="shared" si="40"/>
        <v>IDT_029-Hare_Krishna_-_Radhanath_Swami.mp3</v>
      </c>
      <c r="D6532" s="11"/>
      <c r="E6532" s="11"/>
    </row>
    <row r="6533" spans="1:5">
      <c r="A6533" s="12" t="s">
        <v>12981</v>
      </c>
      <c r="B6533" s="12" t="s">
        <v>18470</v>
      </c>
      <c r="C6533" s="13" t="str">
        <f t="shared" ref="C6533:C6534" si="41">HYPERLINK("https://audio.iskcondesiretree.com/02_-_ISKCON_Swamis/ISKCON_Swamis_-_R_to_Y/His_Holiness_Radhanath_Swami/Bhajans/Hare_Krishna_Dhun/IDT_030-Hare_Krishna_-_Radhanath_Swami.mp3", "IDT_030-Hare_Krishna_-_Radhanath_Swami.mp3")</f>
        <v>IDT_030-Hare_Krishna_-_Radhanath_Swami.mp3</v>
      </c>
      <c r="D6533" s="11"/>
      <c r="E6533" s="11"/>
    </row>
    <row r="6534" spans="1:5">
      <c r="A6534" s="12" t="s">
        <v>12981</v>
      </c>
      <c r="B6534" s="12" t="s">
        <v>18470</v>
      </c>
      <c r="C6534" s="13" t="str">
        <f t="shared" si="41"/>
        <v>IDT_030-Hare_Krishna_-_Radhanath_Swami.mp3</v>
      </c>
      <c r="D6534" s="11"/>
      <c r="E6534" s="11"/>
    </row>
    <row r="6535" spans="1:5">
      <c r="A6535" s="12" t="s">
        <v>12981</v>
      </c>
      <c r="B6535" s="12" t="s">
        <v>18471</v>
      </c>
      <c r="C6535" s="13" t="str">
        <f t="shared" ref="C6535:C6536" si="42">HYPERLINK("https://audio.iskcondesiretree.com/02_-_ISKCON_Swamis/ISKCON_Swamis_-_R_to_Y/His_Holiness_Radhanath_Swami/Bhajans/Hare_Krishna_Dhun/IDT_031-Hare_Krishna_-_Radhanath_Swami.mp3", "IDT_031-Hare_Krishna_-_Radhanath_Swami.mp3")</f>
        <v>IDT_031-Hare_Krishna_-_Radhanath_Swami.mp3</v>
      </c>
      <c r="D6535" s="11"/>
      <c r="E6535" s="11"/>
    </row>
    <row r="6536" spans="1:5">
      <c r="A6536" s="12" t="s">
        <v>12981</v>
      </c>
      <c r="B6536" s="12" t="s">
        <v>18471</v>
      </c>
      <c r="C6536" s="13" t="str">
        <f t="shared" si="42"/>
        <v>IDT_031-Hare_Krishna_-_Radhanath_Swami.mp3</v>
      </c>
      <c r="D6536" s="11"/>
      <c r="E6536" s="11"/>
    </row>
    <row r="6537" spans="1:5">
      <c r="A6537" s="12" t="s">
        <v>12981</v>
      </c>
      <c r="B6537" s="12" t="s">
        <v>18472</v>
      </c>
      <c r="C6537" s="13" t="str">
        <f t="shared" ref="C6537:C6538" si="43">HYPERLINK("https://audio.iskcondesiretree.com/02_-_ISKCON_Swamis/ISKCON_Swamis_-_R_to_Y/His_Holiness_Radhanath_Swami/Bhajans/Hare_Krishna_Dhun/IDT_032-Hare_Krishna_-_Radhanath_Swami.MP3", "IDT_032-Hare_Krishna_-_Radhanath_Swami.MP3")</f>
        <v>IDT_032-Hare_Krishna_-_Radhanath_Swami.MP3</v>
      </c>
      <c r="D6537" s="11"/>
      <c r="E6537" s="11"/>
    </row>
    <row r="6538" spans="1:5">
      <c r="A6538" s="12" t="s">
        <v>12981</v>
      </c>
      <c r="B6538" s="12" t="s">
        <v>18472</v>
      </c>
      <c r="C6538" s="13" t="str">
        <f t="shared" si="43"/>
        <v>IDT_032-Hare_Krishna_-_Radhanath_Swami.MP3</v>
      </c>
      <c r="D6538" s="11"/>
      <c r="E6538" s="11"/>
    </row>
    <row r="6539" spans="1:5">
      <c r="A6539" s="12" t="s">
        <v>12981</v>
      </c>
      <c r="B6539" s="12" t="s">
        <v>18473</v>
      </c>
      <c r="C6539" s="13" t="str">
        <f t="shared" ref="C6539:C6540" si="44">HYPERLINK("https://audio.iskcondesiretree.com/02_-_ISKCON_Swamis/ISKCON_Swamis_-_R_to_Y/His_Holiness_Radhanath_Swami/Bhajans/Hare_Krishna_Dhun/IDT_033-Hare_Krishna_-_Radhanath_Swami.mp3", "IDT_033-Hare_Krishna_-_Radhanath_Swami.mp3")</f>
        <v>IDT_033-Hare_Krishna_-_Radhanath_Swami.mp3</v>
      </c>
      <c r="D6539" s="11"/>
      <c r="E6539" s="11"/>
    </row>
    <row r="6540" spans="1:5">
      <c r="A6540" s="12" t="s">
        <v>12981</v>
      </c>
      <c r="B6540" s="12" t="s">
        <v>18473</v>
      </c>
      <c r="C6540" s="13" t="str">
        <f t="shared" si="44"/>
        <v>IDT_033-Hare_Krishna_-_Radhanath_Swami.mp3</v>
      </c>
      <c r="D6540" s="11"/>
      <c r="E6540" s="11"/>
    </row>
    <row r="6541" spans="1:5">
      <c r="A6541" s="12" t="s">
        <v>12981</v>
      </c>
      <c r="B6541" s="12" t="s">
        <v>18474</v>
      </c>
      <c r="C6541" s="13" t="str">
        <f t="shared" ref="C6541:C6542" si="45">HYPERLINK("https://audio.iskcondesiretree.com/02_-_ISKCON_Swamis/ISKCON_Swamis_-_R_to_Y/His_Holiness_Radhanath_Swami/Bhajans/Hare_Krishna_Dhun/IDT_033-Hare_Krishna_-_Radhanath_Swamii.mp3", "IDT_033-Hare_Krishna_-_Radhanath_Swamii.mp3")</f>
        <v>IDT_033-Hare_Krishna_-_Radhanath_Swamii.mp3</v>
      </c>
      <c r="D6541" s="11"/>
      <c r="E6541" s="11"/>
    </row>
    <row r="6542" spans="1:5">
      <c r="A6542" s="12" t="s">
        <v>12981</v>
      </c>
      <c r="B6542" s="12" t="s">
        <v>18474</v>
      </c>
      <c r="C6542" s="13" t="str">
        <f t="shared" si="45"/>
        <v>IDT_033-Hare_Krishna_-_Radhanath_Swamii.mp3</v>
      </c>
      <c r="D6542" s="11"/>
      <c r="E6542" s="11"/>
    </row>
    <row r="6543" spans="1:5">
      <c r="A6543" s="12" t="s">
        <v>12981</v>
      </c>
      <c r="B6543" s="12" t="s">
        <v>18475</v>
      </c>
      <c r="C6543" s="13" t="str">
        <f t="shared" ref="C6543:C6544" si="46">HYPERLINK("https://audio.iskcondesiretree.com/02_-_ISKCON_Swamis/ISKCON_Swamis_-_R_to_Y/His_Holiness_Radhanath_Swami/Bhajans/Hare_Krishna_Dhun/IDT_034-Hare_Krishna_-_Radhanath_Swami.mp3", "IDT_034-Hare_Krishna_-_Radhanath_Swami.mp3")</f>
        <v>IDT_034-Hare_Krishna_-_Radhanath_Swami.mp3</v>
      </c>
      <c r="D6543" s="11"/>
      <c r="E6543" s="11"/>
    </row>
    <row r="6544" spans="1:5">
      <c r="A6544" s="12" t="s">
        <v>12981</v>
      </c>
      <c r="B6544" s="12" t="s">
        <v>18475</v>
      </c>
      <c r="C6544" s="13" t="str">
        <f t="shared" si="46"/>
        <v>IDT_034-Hare_Krishna_-_Radhanath_Swami.mp3</v>
      </c>
      <c r="D6544" s="11"/>
      <c r="E6544" s="11"/>
    </row>
    <row r="6545" spans="1:5">
      <c r="A6545" s="12" t="s">
        <v>12981</v>
      </c>
      <c r="B6545" s="12" t="s">
        <v>18476</v>
      </c>
      <c r="C6545" s="13" t="str">
        <f t="shared" ref="C6545:C6546" si="47">HYPERLINK("https://audio.iskcondesiretree.com/02_-_ISKCON_Swamis/ISKCON_Swamis_-_R_to_Y/His_Holiness_Radhanath_Swami/Bhajans/Hare_Krishna_Dhun/IDT_035-Hare_Krishna_-_Radhanath_Swami.MP3", "IDT_035-Hare_Krishna_-_Radhanath_Swami.MP3")</f>
        <v>IDT_035-Hare_Krishna_-_Radhanath_Swami.MP3</v>
      </c>
      <c r="D6545" s="11"/>
      <c r="E6545" s="11"/>
    </row>
    <row r="6546" spans="1:5">
      <c r="A6546" s="12" t="s">
        <v>12981</v>
      </c>
      <c r="B6546" s="12" t="s">
        <v>18476</v>
      </c>
      <c r="C6546" s="13" t="str">
        <f t="shared" si="47"/>
        <v>IDT_035-Hare_Krishna_-_Radhanath_Swami.MP3</v>
      </c>
      <c r="D6546" s="11"/>
      <c r="E6546" s="11"/>
    </row>
    <row r="6547" spans="1:5">
      <c r="A6547" s="12" t="s">
        <v>12981</v>
      </c>
      <c r="B6547" s="12" t="s">
        <v>18477</v>
      </c>
      <c r="C6547" s="13" t="str">
        <f t="shared" ref="C6547:C6548" si="48">HYPERLINK("https://audio.iskcondesiretree.com/02_-_ISKCON_Swamis/ISKCON_Swamis_-_R_to_Y/His_Holiness_Radhanath_Swami/Bhajans/Hare_Krishna_Dhun/IDT_036-Hare_Krishna_-_Radhanath_Swami.MP3", "IDT_036-Hare_Krishna_-_Radhanath_Swami.MP3")</f>
        <v>IDT_036-Hare_Krishna_-_Radhanath_Swami.MP3</v>
      </c>
      <c r="D6547" s="11"/>
      <c r="E6547" s="11"/>
    </row>
    <row r="6548" spans="1:5">
      <c r="A6548" s="12" t="s">
        <v>12981</v>
      </c>
      <c r="B6548" s="12" t="s">
        <v>18477</v>
      </c>
      <c r="C6548" s="13" t="str">
        <f t="shared" si="48"/>
        <v>IDT_036-Hare_Krishna_-_Radhanath_Swami.MP3</v>
      </c>
      <c r="D6548" s="11"/>
      <c r="E6548" s="11"/>
    </row>
    <row r="6549" spans="1:5">
      <c r="A6549" s="12" t="s">
        <v>12981</v>
      </c>
      <c r="B6549" s="12" t="s">
        <v>18478</v>
      </c>
      <c r="C6549" s="13" t="str">
        <f t="shared" ref="C6549:C6550" si="49">HYPERLINK("https://audio.iskcondesiretree.com/02_-_ISKCON_Swamis/ISKCON_Swamis_-_R_to_Y/His_Holiness_Radhanath_Swami/Bhajans/Hare_Krishna_Dhun/IDT_037-Hare_Krishna_-_Radhanath_Swami.MP3", "IDT_037-Hare_Krishna_-_Radhanath_Swami.MP3")</f>
        <v>IDT_037-Hare_Krishna_-_Radhanath_Swami.MP3</v>
      </c>
      <c r="D6549" s="11"/>
      <c r="E6549" s="11"/>
    </row>
    <row r="6550" spans="1:5">
      <c r="A6550" s="12" t="s">
        <v>12981</v>
      </c>
      <c r="B6550" s="12" t="s">
        <v>18478</v>
      </c>
      <c r="C6550" s="13" t="str">
        <f t="shared" si="49"/>
        <v>IDT_037-Hare_Krishna_-_Radhanath_Swami.MP3</v>
      </c>
      <c r="D6550" s="11"/>
      <c r="E6550" s="11"/>
    </row>
    <row r="6551" spans="1:5">
      <c r="A6551" s="12" t="s">
        <v>12981</v>
      </c>
      <c r="B6551" s="12" t="s">
        <v>18479</v>
      </c>
      <c r="C6551" s="13" t="str">
        <f t="shared" ref="C6551:C6552" si="50">HYPERLINK("https://audio.iskcondesiretree.com/02_-_ISKCON_Swamis/ISKCON_Swamis_-_R_to_Y/His_Holiness_Radhanath_Swami/Bhajans/Hare_Krishna_Dhun/IDT_038-Hare_Krishna_-_Radhanath_Swami.MP3", "IDT_038-Hare_Krishna_-_Radhanath_Swami.MP3")</f>
        <v>IDT_038-Hare_Krishna_-_Radhanath_Swami.MP3</v>
      </c>
      <c r="D6551" s="11"/>
      <c r="E6551" s="11"/>
    </row>
    <row r="6552" spans="1:5">
      <c r="A6552" s="12" t="s">
        <v>12981</v>
      </c>
      <c r="B6552" s="12" t="s">
        <v>18479</v>
      </c>
      <c r="C6552" s="13" t="str">
        <f t="shared" si="50"/>
        <v>IDT_038-Hare_Krishna_-_Radhanath_Swami.MP3</v>
      </c>
      <c r="D6552" s="11"/>
      <c r="E6552" s="11"/>
    </row>
    <row r="6553" spans="1:5">
      <c r="A6553" s="12" t="s">
        <v>12981</v>
      </c>
      <c r="B6553" s="12" t="s">
        <v>18480</v>
      </c>
      <c r="C6553" s="13" t="str">
        <f t="shared" ref="C6553:C6554" si="51">HYPERLINK("https://audio.iskcondesiretree.com/02_-_ISKCON_Swamis/ISKCON_Swamis_-_R_to_Y/His_Holiness_Radhanath_Swami/Bhajans/Hare_Krishna_Dhun/IDT_039-Hare_Krishna_-_Radhanath_Swami.MP3", "IDT_039-Hare_Krishna_-_Radhanath_Swami.MP3")</f>
        <v>IDT_039-Hare_Krishna_-_Radhanath_Swami.MP3</v>
      </c>
      <c r="D6553" s="11"/>
      <c r="E6553" s="11"/>
    </row>
    <row r="6554" spans="1:5">
      <c r="A6554" s="12" t="s">
        <v>12981</v>
      </c>
      <c r="B6554" s="12" t="s">
        <v>18480</v>
      </c>
      <c r="C6554" s="13" t="str">
        <f t="shared" si="51"/>
        <v>IDT_039-Hare_Krishna_-_Radhanath_Swami.MP3</v>
      </c>
      <c r="D6554" s="11"/>
      <c r="E6554" s="11"/>
    </row>
    <row r="6555" spans="1:5">
      <c r="A6555" s="12" t="s">
        <v>12981</v>
      </c>
      <c r="B6555" s="12" t="s">
        <v>18481</v>
      </c>
      <c r="C6555" s="13" t="str">
        <f t="shared" ref="C6555:C6556" si="52">HYPERLINK("https://audio.iskcondesiretree.com/02_-_ISKCON_Swamis/ISKCON_Swamis_-_R_to_Y/His_Holiness_Radhanath_Swami/Bhajans/Hare_Krishna_Dhun/IDT_040-Hare_Krishna_-_Radhanath_Swami.MP3", "IDT_040-Hare_Krishna_-_Radhanath_Swami.MP3")</f>
        <v>IDT_040-Hare_Krishna_-_Radhanath_Swami.MP3</v>
      </c>
      <c r="D6555" s="11"/>
      <c r="E6555" s="11"/>
    </row>
    <row r="6556" spans="1:5">
      <c r="A6556" s="12" t="s">
        <v>12981</v>
      </c>
      <c r="B6556" s="12" t="s">
        <v>18481</v>
      </c>
      <c r="C6556" s="13" t="str">
        <f t="shared" si="52"/>
        <v>IDT_040-Hare_Krishna_-_Radhanath_Swami.MP3</v>
      </c>
      <c r="D6556" s="11"/>
      <c r="E6556" s="11"/>
    </row>
    <row r="6557" spans="1:5">
      <c r="A6557" s="12" t="s">
        <v>12981</v>
      </c>
      <c r="B6557" s="12" t="s">
        <v>18482</v>
      </c>
      <c r="C6557" s="13" t="str">
        <f t="shared" ref="C6557:C6558" si="53">HYPERLINK("https://audio.iskcondesiretree.com/02_-_ISKCON_Swamis/ISKCON_Swamis_-_R_to_Y/His_Holiness_Radhanath_Swami/Bhajans/Hare_Krishna_Dhun/IDT_041-Hare_Krishna_-_Radhanath_Swami.MP3", "IDT_041-Hare_Krishna_-_Radhanath_Swami.MP3")</f>
        <v>IDT_041-Hare_Krishna_-_Radhanath_Swami.MP3</v>
      </c>
      <c r="D6557" s="11"/>
      <c r="E6557" s="11"/>
    </row>
    <row r="6558" spans="1:5">
      <c r="A6558" s="12" t="s">
        <v>12981</v>
      </c>
      <c r="B6558" s="12" t="s">
        <v>18482</v>
      </c>
      <c r="C6558" s="13" t="str">
        <f t="shared" si="53"/>
        <v>IDT_041-Hare_Krishna_-_Radhanath_Swami.MP3</v>
      </c>
      <c r="D6558" s="11"/>
      <c r="E6558" s="11"/>
    </row>
    <row r="6559" spans="1:5">
      <c r="A6559" s="12" t="s">
        <v>12981</v>
      </c>
      <c r="B6559" s="12" t="s">
        <v>18483</v>
      </c>
      <c r="C6559" s="13" t="str">
        <f t="shared" ref="C6559:C6560" si="54">HYPERLINK("https://audio.iskcondesiretree.com/02_-_ISKCON_Swamis/ISKCON_Swamis_-_R_to_Y/His_Holiness_Radhanath_Swami/Bhajans/Hare_Krishna_Dhun/IDT_042-Hare_Krishna_-_Radhanath_Swami.MP3", "IDT_042-Hare_Krishna_-_Radhanath_Swami.MP3")</f>
        <v>IDT_042-Hare_Krishna_-_Radhanath_Swami.MP3</v>
      </c>
      <c r="D6559" s="11"/>
      <c r="E6559" s="11"/>
    </row>
    <row r="6560" spans="1:5">
      <c r="A6560" s="12" t="s">
        <v>12981</v>
      </c>
      <c r="B6560" s="12" t="s">
        <v>18483</v>
      </c>
      <c r="C6560" s="13" t="str">
        <f t="shared" si="54"/>
        <v>IDT_042-Hare_Krishna_-_Radhanath_Swami.MP3</v>
      </c>
      <c r="D6560" s="11"/>
      <c r="E6560" s="11"/>
    </row>
    <row r="6561" spans="1:5">
      <c r="A6561" s="12" t="s">
        <v>12981</v>
      </c>
      <c r="B6561" s="12" t="s">
        <v>18484</v>
      </c>
      <c r="C6561" s="13" t="str">
        <f t="shared" ref="C6561:C6562" si="55">HYPERLINK("https://audio.iskcondesiretree.com/02_-_ISKCON_Swamis/ISKCON_Swamis_-_R_to_Y/His_Holiness_Radhanath_Swami/Bhajans/Hare_Krishna_Dhun/IDT_043-Hare_Krishna_-_Radhanath_Swami.MP3", "IDT_043-Hare_Krishna_-_Radhanath_Swami.MP3")</f>
        <v>IDT_043-Hare_Krishna_-_Radhanath_Swami.MP3</v>
      </c>
      <c r="D6561" s="11"/>
      <c r="E6561" s="11"/>
    </row>
    <row r="6562" spans="1:5">
      <c r="A6562" s="12" t="s">
        <v>12981</v>
      </c>
      <c r="B6562" s="12" t="s">
        <v>18484</v>
      </c>
      <c r="C6562" s="13" t="str">
        <f t="shared" si="55"/>
        <v>IDT_043-Hare_Krishna_-_Radhanath_Swami.MP3</v>
      </c>
      <c r="D6562" s="11"/>
      <c r="E6562" s="11"/>
    </row>
    <row r="6563" spans="1:5">
      <c r="A6563" s="12" t="s">
        <v>12981</v>
      </c>
      <c r="B6563" s="12" t="s">
        <v>18485</v>
      </c>
      <c r="C6563" s="13" t="str">
        <f t="shared" ref="C6563:C6564" si="56">HYPERLINK("https://audio.iskcondesiretree.com/02_-_ISKCON_Swamis/ISKCON_Swamis_-_R_to_Y/His_Holiness_Radhanath_Swami/Bhajans/Hare_Krishna_Dhun/IDT_044-Hare_Krishna_-_Radhanath_Swami.MP3", "IDT_044-Hare_Krishna_-_Radhanath_Swami.MP3")</f>
        <v>IDT_044-Hare_Krishna_-_Radhanath_Swami.MP3</v>
      </c>
      <c r="D6563" s="11"/>
      <c r="E6563" s="11"/>
    </row>
    <row r="6564" spans="1:5">
      <c r="A6564" s="12" t="s">
        <v>12981</v>
      </c>
      <c r="B6564" s="12" t="s">
        <v>18485</v>
      </c>
      <c r="C6564" s="13" t="str">
        <f t="shared" si="56"/>
        <v>IDT_044-Hare_Krishna_-_Radhanath_Swami.MP3</v>
      </c>
      <c r="D6564" s="11"/>
      <c r="E6564" s="11"/>
    </row>
    <row r="6565" spans="1:5">
      <c r="A6565" s="12" t="s">
        <v>12981</v>
      </c>
      <c r="B6565" s="12" t="s">
        <v>18486</v>
      </c>
      <c r="C6565" s="13" t="str">
        <f t="shared" ref="C6565:C6566" si="57">HYPERLINK("https://audio.iskcondesiretree.com/02_-_ISKCON_Swamis/ISKCON_Swamis_-_R_to_Y/His_Holiness_Radhanath_Swami/Bhajans/Hare_Krishna_Dhun/IDT_045-Hare_Krishna_-_Radhanath_Swami.MP3", "IDT_045-Hare_Krishna_-_Radhanath_Swami.MP3")</f>
        <v>IDT_045-Hare_Krishna_-_Radhanath_Swami.MP3</v>
      </c>
      <c r="D6565" s="11"/>
      <c r="E6565" s="11"/>
    </row>
    <row r="6566" spans="1:5">
      <c r="A6566" s="12" t="s">
        <v>12981</v>
      </c>
      <c r="B6566" s="12" t="s">
        <v>18486</v>
      </c>
      <c r="C6566" s="13" t="str">
        <f t="shared" si="57"/>
        <v>IDT_045-Hare_Krishna_-_Radhanath_Swami.MP3</v>
      </c>
      <c r="D6566" s="11"/>
      <c r="E6566" s="11"/>
    </row>
    <row r="6567" spans="1:5">
      <c r="A6567" s="12" t="s">
        <v>12981</v>
      </c>
      <c r="B6567" s="12" t="s">
        <v>18487</v>
      </c>
      <c r="C6567" s="13" t="str">
        <f t="shared" ref="C6567:C6568" si="58">HYPERLINK("https://audio.iskcondesiretree.com/02_-_ISKCON_Swamis/ISKCON_Swamis_-_R_to_Y/His_Holiness_Radhanath_Swami/Bhajans/Hare_Krishna_Dhun/IDT_046-Hare_Krishna_-_Radhanath_Swami.MP3", "IDT_046-Hare_Krishna_-_Radhanath_Swami.MP3")</f>
        <v>IDT_046-Hare_Krishna_-_Radhanath_Swami.MP3</v>
      </c>
      <c r="D6567" s="11"/>
      <c r="E6567" s="11"/>
    </row>
    <row r="6568" spans="1:5">
      <c r="A6568" s="12" t="s">
        <v>12981</v>
      </c>
      <c r="B6568" s="12" t="s">
        <v>18487</v>
      </c>
      <c r="C6568" s="13" t="str">
        <f t="shared" si="58"/>
        <v>IDT_046-Hare_Krishna_-_Radhanath_Swami.MP3</v>
      </c>
      <c r="D6568" s="11"/>
      <c r="E6568" s="11"/>
    </row>
    <row r="6569" spans="1:5">
      <c r="A6569" s="12" t="s">
        <v>12981</v>
      </c>
      <c r="B6569" s="12" t="s">
        <v>18488</v>
      </c>
      <c r="C6569" s="13" t="str">
        <f t="shared" ref="C6569:C6570" si="59">HYPERLINK("https://audio.iskcondesiretree.com/02_-_ISKCON_Swamis/ISKCON_Swamis_-_R_to_Y/His_Holiness_Radhanath_Swami/Bhajans/Hare_Krishna_Dhun/IDT_047-Hare_Krishna_-_Radhanath_Swami.MP3", "IDT_047-Hare_Krishna_-_Radhanath_Swami.MP3")</f>
        <v>IDT_047-Hare_Krishna_-_Radhanath_Swami.MP3</v>
      </c>
      <c r="D6569" s="11"/>
      <c r="E6569" s="11"/>
    </row>
    <row r="6570" spans="1:5">
      <c r="A6570" s="12" t="s">
        <v>12981</v>
      </c>
      <c r="B6570" s="12" t="s">
        <v>18488</v>
      </c>
      <c r="C6570" s="13" t="str">
        <f t="shared" si="59"/>
        <v>IDT_047-Hare_Krishna_-_Radhanath_Swami.MP3</v>
      </c>
      <c r="D6570" s="11"/>
      <c r="E6570" s="11"/>
    </row>
    <row r="6571" spans="1:5">
      <c r="A6571" s="12" t="s">
        <v>12981</v>
      </c>
      <c r="B6571" s="12" t="s">
        <v>18489</v>
      </c>
      <c r="C6571" s="13" t="str">
        <f t="shared" ref="C6571:C6572" si="60">HYPERLINK("https://audio.iskcondesiretree.com/02_-_ISKCON_Swamis/ISKCON_Swamis_-_R_to_Y/His_Holiness_Radhanath_Swami/Bhajans/Hare_Krishna_Dhun/IDT_048-Hare_Krishna_-_Radhanath_Swami.MP3", "IDT_048-Hare_Krishna_-_Radhanath_Swami.MP3")</f>
        <v>IDT_048-Hare_Krishna_-_Radhanath_Swami.MP3</v>
      </c>
      <c r="D6571" s="11"/>
      <c r="E6571" s="11"/>
    </row>
    <row r="6572" spans="1:5">
      <c r="A6572" s="12" t="s">
        <v>12981</v>
      </c>
      <c r="B6572" s="12" t="s">
        <v>18489</v>
      </c>
      <c r="C6572" s="13" t="str">
        <f t="shared" si="60"/>
        <v>IDT_048-Hare_Krishna_-_Radhanath_Swami.MP3</v>
      </c>
      <c r="D6572" s="11"/>
      <c r="E6572" s="11"/>
    </row>
    <row r="6573" spans="1:5">
      <c r="A6573" s="12" t="s">
        <v>12981</v>
      </c>
      <c r="B6573" s="12" t="s">
        <v>18490</v>
      </c>
      <c r="C6573" s="13" t="str">
        <f t="shared" ref="C6573:C6574" si="61">HYPERLINK("https://audio.iskcondesiretree.com/02_-_ISKCON_Swamis/ISKCON_Swamis_-_R_to_Y/His_Holiness_Radhanath_Swami/Bhajans/Hare_Krishna_Dhun/IDT_049-Hare_Krishna_-_Radhanath_Swami.mp3", "IDT_049-Hare_Krishna_-_Radhanath_Swami.mp3")</f>
        <v>IDT_049-Hare_Krishna_-_Radhanath_Swami.mp3</v>
      </c>
      <c r="D6573" s="11"/>
      <c r="E6573" s="11"/>
    </row>
    <row r="6574" spans="1:5">
      <c r="A6574" s="12" t="s">
        <v>12981</v>
      </c>
      <c r="B6574" s="12" t="s">
        <v>18490</v>
      </c>
      <c r="C6574" s="13" t="str">
        <f t="shared" si="61"/>
        <v>IDT_049-Hare_Krishna_-_Radhanath_Swami.mp3</v>
      </c>
      <c r="D6574" s="11"/>
      <c r="E6574" s="11"/>
    </row>
    <row r="6575" spans="1:5">
      <c r="A6575" s="12" t="s">
        <v>12981</v>
      </c>
      <c r="B6575" s="12" t="s">
        <v>18491</v>
      </c>
      <c r="C6575" s="13" t="str">
        <f t="shared" ref="C6575:C6576" si="62">HYPERLINK("https://audio.iskcondesiretree.com/02_-_ISKCON_Swamis/ISKCON_Swamis_-_R_to_Y/His_Holiness_Radhanath_Swami/Bhajans/Hare_Krishna_Dhun/IDT_050-Hare_Krishna_-_Radhanath_Swami.mp3", "IDT_050-Hare_Krishna_-_Radhanath_Swami.mp3")</f>
        <v>IDT_050-Hare_Krishna_-_Radhanath_Swami.mp3</v>
      </c>
      <c r="D6575" s="11"/>
      <c r="E6575" s="11"/>
    </row>
    <row r="6576" spans="1:5">
      <c r="A6576" s="12" t="s">
        <v>12981</v>
      </c>
      <c r="B6576" s="12" t="s">
        <v>18491</v>
      </c>
      <c r="C6576" s="13" t="str">
        <f t="shared" si="62"/>
        <v>IDT_050-Hare_Krishna_-_Radhanath_Swami.mp3</v>
      </c>
      <c r="D6576" s="11"/>
      <c r="E6576" s="11"/>
    </row>
    <row r="6577" spans="1:5">
      <c r="A6577" s="12" t="s">
        <v>12981</v>
      </c>
      <c r="B6577" s="12" t="s">
        <v>18492</v>
      </c>
      <c r="C6577" s="13" t="str">
        <f t="shared" ref="C6577:C6578" si="63">HYPERLINK("https://audio.iskcondesiretree.com/02_-_ISKCON_Swamis/ISKCON_Swamis_-_R_to_Y/His_Holiness_Radhanath_Swami/Bhajans/Hare_Krishna_Dhun/IDT_051-Hare_Krishna_-_Radhanath_Swami.mp3", "IDT_051-Hare_Krishna_-_Radhanath_Swami.mp3")</f>
        <v>IDT_051-Hare_Krishna_-_Radhanath_Swami.mp3</v>
      </c>
      <c r="D6577" s="11"/>
      <c r="E6577" s="11"/>
    </row>
    <row r="6578" spans="1:5">
      <c r="A6578" s="12" t="s">
        <v>12981</v>
      </c>
      <c r="B6578" s="12" t="s">
        <v>18492</v>
      </c>
      <c r="C6578" s="13" t="str">
        <f t="shared" si="63"/>
        <v>IDT_051-Hare_Krishna_-_Radhanath_Swami.mp3</v>
      </c>
      <c r="D6578" s="11"/>
      <c r="E6578" s="11"/>
    </row>
    <row r="6579" spans="1:5">
      <c r="A6579" s="12" t="s">
        <v>12981</v>
      </c>
      <c r="B6579" s="12" t="s">
        <v>18493</v>
      </c>
      <c r="C6579" s="13" t="str">
        <f t="shared" ref="C6579:C6580" si="64">HYPERLINK("https://audio.iskcondesiretree.com/02_-_ISKCON_Swamis/ISKCON_Swamis_-_R_to_Y/His_Holiness_Radhanath_Swami/Bhajans/Hare_Krishna_Dhun/IDT_052-Hare_Krishna_-_Radhanath_Swami.mp3", "IDT_052-Hare_Krishna_-_Radhanath_Swami.mp3")</f>
        <v>IDT_052-Hare_Krishna_-_Radhanath_Swami.mp3</v>
      </c>
      <c r="D6579" s="11"/>
      <c r="E6579" s="11"/>
    </row>
    <row r="6580" spans="1:5">
      <c r="A6580" s="12" t="s">
        <v>12981</v>
      </c>
      <c r="B6580" s="12" t="s">
        <v>18493</v>
      </c>
      <c r="C6580" s="13" t="str">
        <f t="shared" si="64"/>
        <v>IDT_052-Hare_Krishna_-_Radhanath_Swami.mp3</v>
      </c>
      <c r="D6580" s="11"/>
      <c r="E6580" s="11"/>
    </row>
    <row r="6581" spans="1:5">
      <c r="A6581" s="12" t="s">
        <v>12981</v>
      </c>
      <c r="B6581" s="12" t="s">
        <v>18494</v>
      </c>
      <c r="C6581" s="13" t="str">
        <f t="shared" ref="C6581:C6582" si="65">HYPERLINK("https://audio.iskcondesiretree.com/02_-_ISKCON_Swamis/ISKCON_Swamis_-_R_to_Y/His_Holiness_Radhanath_Swami/Bhajans/Hare_Krishna_Dhun/IDT_053-Hare_Krishna_-_Radhanath_Swami.mp3", "IDT_053-Hare_Krishna_-_Radhanath_Swami.mp3")</f>
        <v>IDT_053-Hare_Krishna_-_Radhanath_Swami.mp3</v>
      </c>
      <c r="D6581" s="11"/>
      <c r="E6581" s="11"/>
    </row>
    <row r="6582" spans="1:5">
      <c r="A6582" s="12" t="s">
        <v>12981</v>
      </c>
      <c r="B6582" s="12" t="s">
        <v>18494</v>
      </c>
      <c r="C6582" s="13" t="str">
        <f t="shared" si="65"/>
        <v>IDT_053-Hare_Krishna_-_Radhanath_Swami.mp3</v>
      </c>
      <c r="D6582" s="11"/>
      <c r="E6582" s="11"/>
    </row>
    <row r="6583" spans="1:5">
      <c r="A6583" s="12" t="s">
        <v>12981</v>
      </c>
      <c r="B6583" s="12" t="s">
        <v>18495</v>
      </c>
      <c r="C6583" s="13" t="str">
        <f t="shared" ref="C6583:C6584" si="66">HYPERLINK("https://audio.iskcondesiretree.com/02_-_ISKCON_Swamis/ISKCON_Swamis_-_R_to_Y/His_Holiness_Radhanath_Swami/Bhajans/Hare_Krishna_Dhun/IDT_054-Hare_Krishna_-_Radhanath_Swami.mp3", "IDT_054-Hare_Krishna_-_Radhanath_Swami.mp3")</f>
        <v>IDT_054-Hare_Krishna_-_Radhanath_Swami.mp3</v>
      </c>
      <c r="D6583" s="11"/>
      <c r="E6583" s="11"/>
    </row>
    <row r="6584" spans="1:5">
      <c r="A6584" s="12" t="s">
        <v>12981</v>
      </c>
      <c r="B6584" s="12" t="s">
        <v>18495</v>
      </c>
      <c r="C6584" s="13" t="str">
        <f t="shared" si="66"/>
        <v>IDT_054-Hare_Krishna_-_Radhanath_Swami.mp3</v>
      </c>
      <c r="D6584" s="11"/>
      <c r="E6584" s="11"/>
    </row>
    <row r="6585" spans="1:5">
      <c r="A6585" s="12" t="s">
        <v>12981</v>
      </c>
      <c r="B6585" s="12" t="s">
        <v>18496</v>
      </c>
      <c r="C6585" s="13" t="str">
        <f t="shared" ref="C6585:C6586" si="67">HYPERLINK("https://audio.iskcondesiretree.com/02_-_ISKCON_Swamis/ISKCON_Swamis_-_R_to_Y/His_Holiness_Radhanath_Swami/Bhajans/Hare_Krishna_Dhun/IDT_055-Hare_Krishna_-_Radhanath_Swami.mp3", "IDT_055-Hare_Krishna_-_Radhanath_Swami.mp3")</f>
        <v>IDT_055-Hare_Krishna_-_Radhanath_Swami.mp3</v>
      </c>
      <c r="D6585" s="11"/>
      <c r="E6585" s="11"/>
    </row>
    <row r="6586" spans="1:5">
      <c r="A6586" s="12" t="s">
        <v>12981</v>
      </c>
      <c r="B6586" s="12" t="s">
        <v>18496</v>
      </c>
      <c r="C6586" s="13" t="str">
        <f t="shared" si="67"/>
        <v>IDT_055-Hare_Krishna_-_Radhanath_Swami.mp3</v>
      </c>
      <c r="D6586" s="11"/>
      <c r="E6586" s="11"/>
    </row>
    <row r="6587" spans="1:5">
      <c r="A6587" s="12" t="s">
        <v>12981</v>
      </c>
      <c r="B6587" s="12" t="s">
        <v>18497</v>
      </c>
      <c r="C6587" s="13" t="str">
        <f t="shared" ref="C6587:C6588" si="68">HYPERLINK("https://audio.iskcondesiretree.com/02_-_ISKCON_Swamis/ISKCON_Swamis_-_R_to_Y/His_Holiness_Radhanath_Swami/Bhajans/Hare_Krishna_Dhun/IDT_056-Hare_Krishna_-_Radhanath_Swami.mp3", "IDT_056-Hare_Krishna_-_Radhanath_Swami.mp3")</f>
        <v>IDT_056-Hare_Krishna_-_Radhanath_Swami.mp3</v>
      </c>
      <c r="D6587" s="11"/>
      <c r="E6587" s="11"/>
    </row>
    <row r="6588" spans="1:5">
      <c r="A6588" s="12" t="s">
        <v>12981</v>
      </c>
      <c r="B6588" s="12" t="s">
        <v>18497</v>
      </c>
      <c r="C6588" s="13" t="str">
        <f t="shared" si="68"/>
        <v>IDT_056-Hare_Krishna_-_Radhanath_Swami.mp3</v>
      </c>
      <c r="D6588" s="11"/>
      <c r="E6588" s="11"/>
    </row>
    <row r="6589" spans="1:5">
      <c r="A6589" s="12" t="s">
        <v>12981</v>
      </c>
      <c r="B6589" s="12" t="s">
        <v>18498</v>
      </c>
      <c r="C6589" s="13" t="str">
        <f t="shared" ref="C6589:C6590" si="69">HYPERLINK("https://audio.iskcondesiretree.com/02_-_ISKCON_Swamis/ISKCON_Swamis_-_R_to_Y/His_Holiness_Radhanath_Swami/Bhajans/Hare_Krishna_Dhun/IDT_057-Hare_Krishna_-_Radhanath_Swami.mp3", "IDT_057-Hare_Krishna_-_Radhanath_Swami.mp3")</f>
        <v>IDT_057-Hare_Krishna_-_Radhanath_Swami.mp3</v>
      </c>
      <c r="D6589" s="11"/>
      <c r="E6589" s="11"/>
    </row>
    <row r="6590" spans="1:5">
      <c r="A6590" s="12" t="s">
        <v>12981</v>
      </c>
      <c r="B6590" s="12" t="s">
        <v>18498</v>
      </c>
      <c r="C6590" s="13" t="str">
        <f t="shared" si="69"/>
        <v>IDT_057-Hare_Krishna_-_Radhanath_Swami.mp3</v>
      </c>
      <c r="D6590" s="11"/>
      <c r="E6590" s="11"/>
    </row>
    <row r="6591" spans="1:5">
      <c r="A6591" s="12" t="s">
        <v>12981</v>
      </c>
      <c r="B6591" s="12" t="s">
        <v>18499</v>
      </c>
      <c r="C6591" s="13" t="str">
        <f t="shared" ref="C6591:C6592" si="70">HYPERLINK("https://audio.iskcondesiretree.com/02_-_ISKCON_Swamis/ISKCON_Swamis_-_R_to_Y/His_Holiness_Radhanath_Swami/Bhajans/Hare_Krishna_Dhun/IDT_058-Hare_Krishna_-_Radhanath_Swami.mp3", "IDT_058-Hare_Krishna_-_Radhanath_Swami.mp3")</f>
        <v>IDT_058-Hare_Krishna_-_Radhanath_Swami.mp3</v>
      </c>
      <c r="D6591" s="11"/>
      <c r="E6591" s="11"/>
    </row>
    <row r="6592" spans="1:5">
      <c r="A6592" s="12" t="s">
        <v>12981</v>
      </c>
      <c r="B6592" s="12" t="s">
        <v>18499</v>
      </c>
      <c r="C6592" s="13" t="str">
        <f t="shared" si="70"/>
        <v>IDT_058-Hare_Krishna_-_Radhanath_Swami.mp3</v>
      </c>
      <c r="D6592" s="11"/>
      <c r="E6592" s="11"/>
    </row>
    <row r="6593" spans="1:5">
      <c r="A6593" s="12" t="s">
        <v>12981</v>
      </c>
      <c r="B6593" s="12" t="s">
        <v>18500</v>
      </c>
      <c r="C6593" s="13" t="str">
        <f t="shared" ref="C6593:C6594" si="71">HYPERLINK("https://audio.iskcondesiretree.com/02_-_ISKCON_Swamis/ISKCON_Swamis_-_R_to_Y/His_Holiness_Radhanath_Swami/Bhajans/Hare_Krishna_Dhun/IDT_059-Hare_Krishna_-_Radhanath_Swami.mp3", "IDT_059-Hare_Krishna_-_Radhanath_Swami.mp3")</f>
        <v>IDT_059-Hare_Krishna_-_Radhanath_Swami.mp3</v>
      </c>
      <c r="D6593" s="11"/>
      <c r="E6593" s="11"/>
    </row>
    <row r="6594" spans="1:5">
      <c r="A6594" s="12" t="s">
        <v>12981</v>
      </c>
      <c r="B6594" s="12" t="s">
        <v>18500</v>
      </c>
      <c r="C6594" s="13" t="str">
        <f t="shared" si="71"/>
        <v>IDT_059-Hare_Krishna_-_Radhanath_Swami.mp3</v>
      </c>
      <c r="D6594" s="11"/>
      <c r="E6594" s="11"/>
    </row>
    <row r="6595" spans="1:5">
      <c r="A6595" s="12" t="s">
        <v>12981</v>
      </c>
      <c r="B6595" s="12" t="s">
        <v>18501</v>
      </c>
      <c r="C6595" s="13" t="str">
        <f t="shared" ref="C6595:C6596" si="72">HYPERLINK("https://audio.iskcondesiretree.com/02_-_ISKCON_Swamis/ISKCON_Swamis_-_R_to_Y/His_Holiness_Radhanath_Swami/Bhajans/Hare_Krishna_Dhun/IDT_060-Hare_Krishna_-_Radhanath_Swami.mp3", "IDT_060-Hare_Krishna_-_Radhanath_Swami.mp3")</f>
        <v>IDT_060-Hare_Krishna_-_Radhanath_Swami.mp3</v>
      </c>
      <c r="D6595" s="11"/>
      <c r="E6595" s="11"/>
    </row>
    <row r="6596" spans="1:5">
      <c r="A6596" s="12" t="s">
        <v>12981</v>
      </c>
      <c r="B6596" s="12" t="s">
        <v>18501</v>
      </c>
      <c r="C6596" s="13" t="str">
        <f t="shared" si="72"/>
        <v>IDT_060-Hare_Krishna_-_Radhanath_Swami.mp3</v>
      </c>
      <c r="D6596" s="11"/>
      <c r="E6596" s="11"/>
    </row>
    <row r="6597" spans="1:5">
      <c r="A6597" s="12" t="s">
        <v>12981</v>
      </c>
      <c r="B6597" s="12" t="s">
        <v>18502</v>
      </c>
      <c r="C6597" s="13" t="str">
        <f t="shared" ref="C6597:C6598" si="73">HYPERLINK("https://audio.iskcondesiretree.com/02_-_ISKCON_Swamis/ISKCON_Swamis_-_R_to_Y/His_Holiness_Radhanath_Swami/Bhajans/Hare_Krishna_Dhun/IDT_061-Hare_Krishna_-_Radhanath_Swami.mp3", "IDT_061-Hare_Krishna_-_Radhanath_Swami.mp3")</f>
        <v>IDT_061-Hare_Krishna_-_Radhanath_Swami.mp3</v>
      </c>
      <c r="D6597" s="11"/>
      <c r="E6597" s="11"/>
    </row>
    <row r="6598" spans="1:5">
      <c r="A6598" s="12" t="s">
        <v>12981</v>
      </c>
      <c r="B6598" s="12" t="s">
        <v>18502</v>
      </c>
      <c r="C6598" s="13" t="str">
        <f t="shared" si="73"/>
        <v>IDT_061-Hare_Krishna_-_Radhanath_Swami.mp3</v>
      </c>
      <c r="D6598" s="11"/>
      <c r="E6598" s="11"/>
    </row>
    <row r="6599" spans="1:5">
      <c r="A6599" s="12" t="s">
        <v>12981</v>
      </c>
      <c r="B6599" s="12" t="s">
        <v>18503</v>
      </c>
      <c r="C6599" s="13" t="str">
        <f t="shared" ref="C6599:C6600" si="74">HYPERLINK("https://audio.iskcondesiretree.com/02_-_ISKCON_Swamis/ISKCON_Swamis_-_R_to_Y/His_Holiness_Radhanath_Swami/Bhajans/Hare_Krishna_Dhun/IDT_062-Hare_Krishna_-_Radhanath_Swami.mp3", "IDT_062-Hare_Krishna_-_Radhanath_Swami.mp3")</f>
        <v>IDT_062-Hare_Krishna_-_Radhanath_Swami.mp3</v>
      </c>
      <c r="D6599" s="11"/>
      <c r="E6599" s="11"/>
    </row>
    <row r="6600" spans="1:5">
      <c r="A6600" s="12" t="s">
        <v>12981</v>
      </c>
      <c r="B6600" s="12" t="s">
        <v>18503</v>
      </c>
      <c r="C6600" s="13" t="str">
        <f t="shared" si="74"/>
        <v>IDT_062-Hare_Krishna_-_Radhanath_Swami.mp3</v>
      </c>
      <c r="D6600" s="11"/>
      <c r="E6600" s="11"/>
    </row>
    <row r="6601" spans="1:5">
      <c r="A6601" s="12" t="s">
        <v>12981</v>
      </c>
      <c r="B6601" s="12" t="s">
        <v>18504</v>
      </c>
      <c r="C6601" s="13" t="str">
        <f t="shared" ref="C6601:C6602" si="75">HYPERLINK("https://audio.iskcondesiretree.com/02_-_ISKCON_Swamis/ISKCON_Swamis_-_R_to_Y/His_Holiness_Radhanath_Swami/Bhajans/Hare_Krishna_Dhun/IDT_063-Hare_Krishna_-_Radhanath_Swami.mp3", "IDT_063-Hare_Krishna_-_Radhanath_Swami.mp3")</f>
        <v>IDT_063-Hare_Krishna_-_Radhanath_Swami.mp3</v>
      </c>
      <c r="D6601" s="11"/>
      <c r="E6601" s="11"/>
    </row>
    <row r="6602" spans="1:5">
      <c r="A6602" s="12" t="s">
        <v>12981</v>
      </c>
      <c r="B6602" s="12" t="s">
        <v>18504</v>
      </c>
      <c r="C6602" s="13" t="str">
        <f t="shared" si="75"/>
        <v>IDT_063-Hare_Krishna_-_Radhanath_Swami.mp3</v>
      </c>
      <c r="D6602" s="11"/>
      <c r="E6602" s="11"/>
    </row>
    <row r="6603" spans="1:5">
      <c r="A6603" s="12" t="s">
        <v>12981</v>
      </c>
      <c r="B6603" s="12" t="s">
        <v>18505</v>
      </c>
      <c r="C6603" s="13" t="str">
        <f t="shared" ref="C6603:C6604" si="76">HYPERLINK("https://audio.iskcondesiretree.com/02_-_ISKCON_Swamis/ISKCON_Swamis_-_R_to_Y/His_Holiness_Radhanath_Swami/Bhajans/Hare_Krishna_Dhun/IDT_064-Hare_Krishna_-_Radhanath_Swami.mp3", "IDT_064-Hare_Krishna_-_Radhanath_Swami.mp3")</f>
        <v>IDT_064-Hare_Krishna_-_Radhanath_Swami.mp3</v>
      </c>
      <c r="D6603" s="11"/>
      <c r="E6603" s="11"/>
    </row>
    <row r="6604" spans="1:5">
      <c r="A6604" s="12" t="s">
        <v>12981</v>
      </c>
      <c r="B6604" s="12" t="s">
        <v>18505</v>
      </c>
      <c r="C6604" s="13" t="str">
        <f t="shared" si="76"/>
        <v>IDT_064-Hare_Krishna_-_Radhanath_Swami.mp3</v>
      </c>
      <c r="D6604" s="11"/>
      <c r="E6604" s="11"/>
    </row>
    <row r="6605" spans="1:5">
      <c r="A6605" s="12" t="s">
        <v>12981</v>
      </c>
      <c r="B6605" s="12" t="s">
        <v>18506</v>
      </c>
      <c r="C6605" s="13" t="str">
        <f t="shared" ref="C6605:C6606" si="77">HYPERLINK("https://audio.iskcondesiretree.com/02_-_ISKCON_Swamis/ISKCON_Swamis_-_R_to_Y/His_Holiness_Radhanath_Swami/Bhajans/Hare_Krishna_Dhun/IDT_065-Hare_Krishna_-_Radhanath_Swami.mp3", "IDT_065-Hare_Krishna_-_Radhanath_Swami.mp3")</f>
        <v>IDT_065-Hare_Krishna_-_Radhanath_Swami.mp3</v>
      </c>
      <c r="D6605" s="11"/>
      <c r="E6605" s="11"/>
    </row>
    <row r="6606" spans="1:5">
      <c r="A6606" s="12" t="s">
        <v>12981</v>
      </c>
      <c r="B6606" s="12" t="s">
        <v>18506</v>
      </c>
      <c r="C6606" s="13" t="str">
        <f t="shared" si="77"/>
        <v>IDT_065-Hare_Krishna_-_Radhanath_Swami.mp3</v>
      </c>
      <c r="D6606" s="11"/>
      <c r="E6606" s="11"/>
    </row>
    <row r="6607" spans="1:5">
      <c r="A6607" s="12" t="s">
        <v>12981</v>
      </c>
      <c r="B6607" s="12" t="s">
        <v>18507</v>
      </c>
      <c r="C6607" s="13" t="str">
        <f t="shared" ref="C6607:C6608" si="78">HYPERLINK("https://audio.iskcondesiretree.com/02_-_ISKCON_Swamis/ISKCON_Swamis_-_R_to_Y/His_Holiness_Radhanath_Swami/Bhajans/Hare_Krishna_Dhun/IDT_066-Hare_Krishna_-_Radhanath_Swami.MP3", "IDT_066-Hare_Krishna_-_Radhanath_Swami.MP3")</f>
        <v>IDT_066-Hare_Krishna_-_Radhanath_Swami.MP3</v>
      </c>
      <c r="D6607" s="11"/>
      <c r="E6607" s="11"/>
    </row>
    <row r="6608" spans="1:5">
      <c r="A6608" s="12" t="s">
        <v>12981</v>
      </c>
      <c r="B6608" s="12" t="s">
        <v>18507</v>
      </c>
      <c r="C6608" s="13" t="str">
        <f t="shared" si="78"/>
        <v>IDT_066-Hare_Krishna_-_Radhanath_Swami.MP3</v>
      </c>
      <c r="D6608" s="11"/>
      <c r="E6608" s="11"/>
    </row>
    <row r="6609" spans="1:5">
      <c r="A6609" s="12" t="s">
        <v>12981</v>
      </c>
      <c r="B6609" s="12" t="s">
        <v>18508</v>
      </c>
      <c r="C6609" s="13" t="str">
        <f t="shared" ref="C6609:C6610" si="79">HYPERLINK("https://audio.iskcondesiretree.com/02_-_ISKCON_Swamis/ISKCON_Swamis_-_R_to_Y/His_Holiness_Radhanath_Swami/Bhajans/Hare_Krishna_Dhun/IDT_067-Hare_Krishna_-_Radhanath_Swami.MP3", "IDT_067-Hare_Krishna_-_Radhanath_Swami.MP3")</f>
        <v>IDT_067-Hare_Krishna_-_Radhanath_Swami.MP3</v>
      </c>
      <c r="D6609" s="11"/>
      <c r="E6609" s="11"/>
    </row>
    <row r="6610" spans="1:5">
      <c r="A6610" s="12" t="s">
        <v>12981</v>
      </c>
      <c r="B6610" s="12" t="s">
        <v>18508</v>
      </c>
      <c r="C6610" s="13" t="str">
        <f t="shared" si="79"/>
        <v>IDT_067-Hare_Krishna_-_Radhanath_Swami.MP3</v>
      </c>
      <c r="D6610" s="11"/>
      <c r="E6610" s="11"/>
    </row>
    <row r="6611" spans="1:5">
      <c r="A6611" s="12" t="s">
        <v>12981</v>
      </c>
      <c r="B6611" s="12" t="s">
        <v>18509</v>
      </c>
      <c r="C6611" s="13" t="str">
        <f t="shared" ref="C6611:C6612" si="80">HYPERLINK("https://audio.iskcondesiretree.com/02_-_ISKCON_Swamis/ISKCON_Swamis_-_R_to_Y/His_Holiness_Radhanath_Swami/Bhajans/Hare_Krishna_Dhun/IDT_068-Hare_Krishna_-_Radhanath_Swami.mp3", "IDT_068-Hare_Krishna_-_Radhanath_Swami.mp3")</f>
        <v>IDT_068-Hare_Krishna_-_Radhanath_Swami.mp3</v>
      </c>
      <c r="D6611" s="11"/>
      <c r="E6611" s="11"/>
    </row>
    <row r="6612" spans="1:5">
      <c r="A6612" s="12" t="s">
        <v>12981</v>
      </c>
      <c r="B6612" s="12" t="s">
        <v>18509</v>
      </c>
      <c r="C6612" s="13" t="str">
        <f t="shared" si="80"/>
        <v>IDT_068-Hare_Krishna_-_Radhanath_Swami.mp3</v>
      </c>
      <c r="D6612" s="11"/>
      <c r="E6612" s="11"/>
    </row>
    <row r="6613" spans="1:5">
      <c r="A6613" s="12" t="s">
        <v>12981</v>
      </c>
      <c r="B6613" s="12" t="s">
        <v>18510</v>
      </c>
      <c r="C6613" s="13" t="str">
        <f t="shared" ref="C6613:C6614" si="81">HYPERLINK("https://audio.iskcondesiretree.com/02_-_ISKCON_Swamis/ISKCON_Swamis_-_R_to_Y/His_Holiness_Radhanath_Swami/Bhajans/Hare_Krishna_Dhun/IDT_069-Hare_Krishna_-_Radhanath_Swami.mp3", "IDT_069-Hare_Krishna_-_Radhanath_Swami.mp3")</f>
        <v>IDT_069-Hare_Krishna_-_Radhanath_Swami.mp3</v>
      </c>
      <c r="D6613" s="11"/>
      <c r="E6613" s="11"/>
    </row>
    <row r="6614" spans="1:5">
      <c r="A6614" s="12" t="s">
        <v>12981</v>
      </c>
      <c r="B6614" s="12" t="s">
        <v>18510</v>
      </c>
      <c r="C6614" s="13" t="str">
        <f t="shared" si="81"/>
        <v>IDT_069-Hare_Krishna_-_Radhanath_Swami.mp3</v>
      </c>
      <c r="D6614" s="11"/>
      <c r="E6614" s="11"/>
    </row>
    <row r="6615" spans="1:5">
      <c r="A6615" s="12" t="s">
        <v>12981</v>
      </c>
      <c r="B6615" s="12" t="s">
        <v>18511</v>
      </c>
      <c r="C6615" s="13" t="str">
        <f t="shared" ref="C6615:C6616" si="82">HYPERLINK("https://audio.iskcondesiretree.com/02_-_ISKCON_Swamis/ISKCON_Swamis_-_R_to_Y/His_Holiness_Radhanath_Swami/Bhajans/Hare_Krishna_Dhun/IDT_070-Hare_Krishna_-_Radhanath_Swami.mp3", "IDT_070-Hare_Krishna_-_Radhanath_Swami.mp3")</f>
        <v>IDT_070-Hare_Krishna_-_Radhanath_Swami.mp3</v>
      </c>
      <c r="D6615" s="11"/>
      <c r="E6615" s="11"/>
    </row>
    <row r="6616" spans="1:5">
      <c r="A6616" s="12" t="s">
        <v>12981</v>
      </c>
      <c r="B6616" s="12" t="s">
        <v>18511</v>
      </c>
      <c r="C6616" s="13" t="str">
        <f t="shared" si="82"/>
        <v>IDT_070-Hare_Krishna_-_Radhanath_Swami.mp3</v>
      </c>
      <c r="D6616" s="11"/>
      <c r="E6616" s="11"/>
    </row>
    <row r="6617" spans="1:5">
      <c r="A6617" s="12" t="s">
        <v>12981</v>
      </c>
      <c r="B6617" s="12" t="s">
        <v>18512</v>
      </c>
      <c r="C6617" s="13" t="str">
        <f t="shared" ref="C6617:C6618" si="83">HYPERLINK("https://audio.iskcondesiretree.com/02_-_ISKCON_Swamis/ISKCON_Swamis_-_R_to_Y/His_Holiness_Radhanath_Swami/Bhajans/Hare_Krishna_Dhun/IDT_071-Hare_Krishna_-_Radhanath_Swami.mp3", "IDT_071-Hare_Krishna_-_Radhanath_Swami.mp3")</f>
        <v>IDT_071-Hare_Krishna_-_Radhanath_Swami.mp3</v>
      </c>
      <c r="D6617" s="11"/>
      <c r="E6617" s="11"/>
    </row>
    <row r="6618" spans="1:5">
      <c r="A6618" s="12" t="s">
        <v>12981</v>
      </c>
      <c r="B6618" s="12" t="s">
        <v>18512</v>
      </c>
      <c r="C6618" s="13" t="str">
        <f t="shared" si="83"/>
        <v>IDT_071-Hare_Krishna_-_Radhanath_Swami.mp3</v>
      </c>
      <c r="D6618" s="11"/>
      <c r="E6618" s="11"/>
    </row>
    <row r="6619" spans="1:5">
      <c r="A6619" s="12" t="s">
        <v>12981</v>
      </c>
      <c r="B6619" s="12" t="s">
        <v>18513</v>
      </c>
      <c r="C6619" s="13" t="str">
        <f t="shared" ref="C6619:C6620" si="84">HYPERLINK("https://audio.iskcondesiretree.com/02_-_ISKCON_Swamis/ISKCON_Swamis_-_R_to_Y/His_Holiness_Radhanath_Swami/Bhajans/Hare_Krishna_Dhun/IDT_071-Hare_Krishna_-_Radhanath_Swami_Brooklyn.mp3", "IDT_071-Hare_Krishna_-_Radhanath_Swami_Brooklyn.mp3")</f>
        <v>IDT_071-Hare_Krishna_-_Radhanath_Swami_Brooklyn.mp3</v>
      </c>
      <c r="D6619" s="11"/>
      <c r="E6619" s="11"/>
    </row>
    <row r="6620" spans="1:5">
      <c r="A6620" s="12" t="s">
        <v>12981</v>
      </c>
      <c r="B6620" s="12" t="s">
        <v>18513</v>
      </c>
      <c r="C6620" s="13" t="str">
        <f t="shared" si="84"/>
        <v>IDT_071-Hare_Krishna_-_Radhanath_Swami_Brooklyn.mp3</v>
      </c>
      <c r="D6620" s="11"/>
      <c r="E6620" s="11"/>
    </row>
    <row r="6621" spans="1:5">
      <c r="A6621" s="12" t="s">
        <v>12981</v>
      </c>
      <c r="B6621" s="12" t="s">
        <v>18514</v>
      </c>
      <c r="C6621" s="13" t="str">
        <f t="shared" ref="C6621:C6622" si="85">HYPERLINK("https://audio.iskcondesiretree.com/02_-_ISKCON_Swamis/ISKCON_Swamis_-_R_to_Y/His_Holiness_Radhanath_Swami/Bhajans/Hare_Krishna_Dhun/IDT_072-Hare_Krishna_-_Radhanath_Swami.mp3", "IDT_072-Hare_Krishna_-_Radhanath_Swami.mp3")</f>
        <v>IDT_072-Hare_Krishna_-_Radhanath_Swami.mp3</v>
      </c>
      <c r="D6621" s="11"/>
      <c r="E6621" s="11"/>
    </row>
    <row r="6622" spans="1:5">
      <c r="A6622" s="12" t="s">
        <v>12981</v>
      </c>
      <c r="B6622" s="12" t="s">
        <v>18514</v>
      </c>
      <c r="C6622" s="13" t="str">
        <f t="shared" si="85"/>
        <v>IDT_072-Hare_Krishna_-_Radhanath_Swami.mp3</v>
      </c>
      <c r="D6622" s="11"/>
      <c r="E6622" s="11"/>
    </row>
    <row r="6623" spans="1:5">
      <c r="A6623" s="12" t="s">
        <v>12981</v>
      </c>
      <c r="B6623" s="12" t="s">
        <v>18515</v>
      </c>
      <c r="C6623" s="13" t="str">
        <f t="shared" ref="C6623:C6624" si="86">HYPERLINK("https://audio.iskcondesiretree.com/02_-_ISKCON_Swamis/ISKCON_Swamis_-_R_to_Y/His_Holiness_Radhanath_Swami/Bhajans/Hare_Krishna_Dhun/IDT_073-Hare_Krishna_-_Radhanath_Swami.mp3", "IDT_073-Hare_Krishna_-_Radhanath_Swami.mp3")</f>
        <v>IDT_073-Hare_Krishna_-_Radhanath_Swami.mp3</v>
      </c>
      <c r="D6623" s="11"/>
      <c r="E6623" s="11"/>
    </row>
    <row r="6624" spans="1:5">
      <c r="A6624" s="12" t="s">
        <v>12981</v>
      </c>
      <c r="B6624" s="12" t="s">
        <v>18515</v>
      </c>
      <c r="C6624" s="13" t="str">
        <f t="shared" si="86"/>
        <v>IDT_073-Hare_Krishna_-_Radhanath_Swami.mp3</v>
      </c>
      <c r="D6624" s="11"/>
      <c r="E6624" s="11"/>
    </row>
    <row r="6625" spans="1:5">
      <c r="A6625" s="12" t="s">
        <v>12981</v>
      </c>
      <c r="B6625" s="12" t="s">
        <v>18516</v>
      </c>
      <c r="C6625" s="13" t="str">
        <f t="shared" ref="C6625:C6626" si="87">HYPERLINK("https://audio.iskcondesiretree.com/02_-_ISKCON_Swamis/ISKCON_Swamis_-_R_to_Y/His_Holiness_Radhanath_Swami/Bhajans/Hare_Krishna_Dhun/IDT_074-Hare_Krishna_-_Radhanath_Swami.mp3", "IDT_074-Hare_Krishna_-_Radhanath_Swami.mp3")</f>
        <v>IDT_074-Hare_Krishna_-_Radhanath_Swami.mp3</v>
      </c>
      <c r="D6625" s="11"/>
      <c r="E6625" s="11"/>
    </row>
    <row r="6626" spans="1:5">
      <c r="A6626" s="12" t="s">
        <v>12981</v>
      </c>
      <c r="B6626" s="12" t="s">
        <v>18516</v>
      </c>
      <c r="C6626" s="13" t="str">
        <f t="shared" si="87"/>
        <v>IDT_074-Hare_Krishna_-_Radhanath_Swami.mp3</v>
      </c>
      <c r="D6626" s="11"/>
      <c r="E6626" s="11"/>
    </row>
    <row r="6627" spans="1:5">
      <c r="A6627" s="12" t="s">
        <v>12981</v>
      </c>
      <c r="B6627" s="12" t="s">
        <v>18517</v>
      </c>
      <c r="C6627" s="13" t="str">
        <f t="shared" ref="C6627:C6628" si="88">HYPERLINK("https://audio.iskcondesiretree.com/02_-_ISKCON_Swamis/ISKCON_Swamis_-_R_to_Y/His_Holiness_Radhanath_Swami/Bhajans/Hare_Krishna_Dhun/IDT_075-Hare_Krishna_-_Radhanath_Swami.mp3", "IDT_075-Hare_Krishna_-_Radhanath_Swami.mp3")</f>
        <v>IDT_075-Hare_Krishna_-_Radhanath_Swami.mp3</v>
      </c>
      <c r="D6627" s="11"/>
      <c r="E6627" s="11"/>
    </row>
    <row r="6628" spans="1:5">
      <c r="A6628" s="12" t="s">
        <v>12981</v>
      </c>
      <c r="B6628" s="12" t="s">
        <v>18517</v>
      </c>
      <c r="C6628" s="13" t="str">
        <f t="shared" si="88"/>
        <v>IDT_075-Hare_Krishna_-_Radhanath_Swami.mp3</v>
      </c>
      <c r="D6628" s="11"/>
      <c r="E6628" s="11"/>
    </row>
    <row r="6629" spans="1:5">
      <c r="A6629" s="12" t="s">
        <v>12981</v>
      </c>
      <c r="B6629" s="12" t="s">
        <v>18518</v>
      </c>
      <c r="C6629" s="13" t="str">
        <f t="shared" ref="C6629:C6630" si="89">HYPERLINK("https://audio.iskcondesiretree.com/02_-_ISKCON_Swamis/ISKCON_Swamis_-_R_to_Y/His_Holiness_Radhanath_Swami/Bhajans/Hare_Krishna_Dhun/IDT_076-Hare_Krishna_-_Radhanath_Swami.mp3", "IDT_076-Hare_Krishna_-_Radhanath_Swami.mp3")</f>
        <v>IDT_076-Hare_Krishna_-_Radhanath_Swami.mp3</v>
      </c>
      <c r="D6629" s="11"/>
      <c r="E6629" s="11"/>
    </row>
    <row r="6630" spans="1:5">
      <c r="A6630" s="12" t="s">
        <v>12981</v>
      </c>
      <c r="B6630" s="12" t="s">
        <v>18518</v>
      </c>
      <c r="C6630" s="13" t="str">
        <f t="shared" si="89"/>
        <v>IDT_076-Hare_Krishna_-_Radhanath_Swami.mp3</v>
      </c>
      <c r="D6630" s="11"/>
      <c r="E6630" s="11"/>
    </row>
    <row r="6631" spans="1:5">
      <c r="A6631" s="12" t="s">
        <v>12981</v>
      </c>
      <c r="B6631" s="12" t="s">
        <v>18519</v>
      </c>
      <c r="C6631" s="13" t="str">
        <f t="shared" ref="C6631:C6632" si="90">HYPERLINK("https://audio.iskcondesiretree.com/02_-_ISKCON_Swamis/ISKCON_Swamis_-_R_to_Y/His_Holiness_Radhanath_Swami/Bhajans/Hare_Krishna_Dhun/IDT_077-Hare_Krishna_-_Radhanath_Swami.mp3", "IDT_077-Hare_Krishna_-_Radhanath_Swami.mp3")</f>
        <v>IDT_077-Hare_Krishna_-_Radhanath_Swami.mp3</v>
      </c>
      <c r="D6631" s="11"/>
      <c r="E6631" s="11"/>
    </row>
    <row r="6632" spans="1:5">
      <c r="A6632" s="12" t="s">
        <v>12981</v>
      </c>
      <c r="B6632" s="12" t="s">
        <v>18519</v>
      </c>
      <c r="C6632" s="13" t="str">
        <f t="shared" si="90"/>
        <v>IDT_077-Hare_Krishna_-_Radhanath_Swami.mp3</v>
      </c>
      <c r="D6632" s="11"/>
      <c r="E6632" s="11"/>
    </row>
    <row r="6633" spans="1:5">
      <c r="A6633" s="12" t="s">
        <v>12981</v>
      </c>
      <c r="B6633" s="12" t="s">
        <v>18520</v>
      </c>
      <c r="C6633" s="13" t="str">
        <f t="shared" ref="C6633:C6634" si="91">HYPERLINK("https://audio.iskcondesiretree.com/02_-_ISKCON_Swamis/ISKCON_Swamis_-_R_to_Y/His_Holiness_Radhanath_Swami/Bhajans/Hare_Krishna_Dhun/IDT_078-Hare_Krishna_-_Radhanath_Swami.mp3", "IDT_078-Hare_Krishna_-_Radhanath_Swami.mp3")</f>
        <v>IDT_078-Hare_Krishna_-_Radhanath_Swami.mp3</v>
      </c>
      <c r="D6633" s="11"/>
      <c r="E6633" s="11"/>
    </row>
    <row r="6634" spans="1:5">
      <c r="A6634" s="12" t="s">
        <v>12981</v>
      </c>
      <c r="B6634" s="12" t="s">
        <v>18520</v>
      </c>
      <c r="C6634" s="13" t="str">
        <f t="shared" si="91"/>
        <v>IDT_078-Hare_Krishna_-_Radhanath_Swami.mp3</v>
      </c>
      <c r="D6634" s="11"/>
      <c r="E6634" s="11"/>
    </row>
    <row r="6635" spans="1:5">
      <c r="A6635" s="12" t="s">
        <v>12981</v>
      </c>
      <c r="B6635" s="12" t="s">
        <v>18521</v>
      </c>
      <c r="C6635" s="13" t="str">
        <f t="shared" ref="C6635:C6636" si="92">HYPERLINK("https://audio.iskcondesiretree.com/02_-_ISKCON_Swamis/ISKCON_Swamis_-_R_to_Y/His_Holiness_Radhanath_Swami/Bhajans/Hare_Krishna_Dhun/IDT_079-Hare_Krishna_-_Radhanath_Swami.mp3", "IDT_079-Hare_Krishna_-_Radhanath_Swami.mp3")</f>
        <v>IDT_079-Hare_Krishna_-_Radhanath_Swami.mp3</v>
      </c>
      <c r="D6635" s="11"/>
      <c r="E6635" s="11"/>
    </row>
    <row r="6636" spans="1:5">
      <c r="A6636" s="12" t="s">
        <v>12981</v>
      </c>
      <c r="B6636" s="12" t="s">
        <v>18521</v>
      </c>
      <c r="C6636" s="13" t="str">
        <f t="shared" si="92"/>
        <v>IDT_079-Hare_Krishna_-_Radhanath_Swami.mp3</v>
      </c>
      <c r="D6636" s="11"/>
      <c r="E6636" s="11"/>
    </row>
    <row r="6637" spans="1:5">
      <c r="A6637" s="12" t="s">
        <v>12981</v>
      </c>
      <c r="B6637" s="12" t="s">
        <v>18522</v>
      </c>
      <c r="C6637" s="13" t="str">
        <f t="shared" ref="C6637:C6638" si="93">HYPERLINK("https://audio.iskcondesiretree.com/02_-_ISKCON_Swamis/ISKCON_Swamis_-_R_to_Y/His_Holiness_Radhanath_Swami/Bhajans/Hare_Krishna_Dhun/IDT_080-Hare_Krishna_-_Radhanath_Swami_Cross_Maidan.mp3", "IDT_080-Hare_Krishna_-_Radhanath_Swami_Cross_Maidan.mp3")</f>
        <v>IDT_080-Hare_Krishna_-_Radhanath_Swami_Cross_Maidan.mp3</v>
      </c>
      <c r="D6637" s="11"/>
      <c r="E6637" s="11"/>
    </row>
    <row r="6638" spans="1:5">
      <c r="A6638" s="12" t="s">
        <v>12981</v>
      </c>
      <c r="B6638" s="12" t="s">
        <v>18522</v>
      </c>
      <c r="C6638" s="13" t="str">
        <f t="shared" si="93"/>
        <v>IDT_080-Hare_Krishna_-_Radhanath_Swami_Cross_Maidan.mp3</v>
      </c>
      <c r="D6638" s="11"/>
      <c r="E6638" s="11"/>
    </row>
    <row r="6639" spans="1:5">
      <c r="A6639" s="12" t="s">
        <v>12981</v>
      </c>
      <c r="B6639" s="12" t="s">
        <v>18523</v>
      </c>
      <c r="C6639" s="13" t="str">
        <f t="shared" ref="C6639:C6640" si="94">HYPERLINK("https://audio.iskcondesiretree.com/02_-_ISKCON_Swamis/ISKCON_Swamis_-_R_to_Y/His_Holiness_Radhanath_Swami/Bhajans/Hare_Krishna_Dhun/IDT_081-Hare_Krishna_-_Radhanath_Swami.mp3", "IDT_081-Hare_Krishna_-_Radhanath_Swami.mp3")</f>
        <v>IDT_081-Hare_Krishna_-_Radhanath_Swami.mp3</v>
      </c>
      <c r="D6639" s="11"/>
      <c r="E6639" s="11"/>
    </row>
    <row r="6640" spans="1:5">
      <c r="A6640" s="12" t="s">
        <v>12981</v>
      </c>
      <c r="B6640" s="12" t="s">
        <v>18523</v>
      </c>
      <c r="C6640" s="13" t="str">
        <f t="shared" si="94"/>
        <v>IDT_081-Hare_Krishna_-_Radhanath_Swami.mp3</v>
      </c>
      <c r="D6640" s="11"/>
      <c r="E6640" s="11"/>
    </row>
    <row r="6641" spans="1:5">
      <c r="A6641" s="12" t="s">
        <v>12981</v>
      </c>
      <c r="B6641" s="12" t="s">
        <v>18524</v>
      </c>
      <c r="C6641" s="13" t="str">
        <f t="shared" ref="C6641:C6642" si="95">HYPERLINK("https://audio.iskcondesiretree.com/02_-_ISKCON_Swamis/ISKCON_Swamis_-_R_to_Y/His_Holiness_Radhanath_Swami/Bhajans/Hare_Krishna_Dhun/IDT_082-Hare_Krishna_-_Radhanath_Swami_Tirupati.mp3", "IDT_082-Hare_Krishna_-_Radhanath_Swami_Tirupati.mp3")</f>
        <v>IDT_082-Hare_Krishna_-_Radhanath_Swami_Tirupati.mp3</v>
      </c>
      <c r="D6641" s="11"/>
      <c r="E6641" s="11"/>
    </row>
    <row r="6642" spans="1:5">
      <c r="A6642" s="12" t="s">
        <v>12981</v>
      </c>
      <c r="B6642" s="12" t="s">
        <v>18524</v>
      </c>
      <c r="C6642" s="13" t="str">
        <f t="shared" si="95"/>
        <v>IDT_082-Hare_Krishna_-_Radhanath_Swami_Tirupati.mp3</v>
      </c>
      <c r="D6642" s="11"/>
      <c r="E6642" s="11"/>
    </row>
    <row r="6643" spans="1:5">
      <c r="A6643" s="12" t="s">
        <v>12981</v>
      </c>
      <c r="B6643" s="12" t="s">
        <v>18525</v>
      </c>
      <c r="C6643" s="13" t="str">
        <f t="shared" ref="C6643:C6644" si="96">HYPERLINK("https://audio.iskcondesiretree.com/02_-_ISKCON_Swamis/ISKCON_Swamis_-_R_to_Y/His_Holiness_Radhanath_Swami/Bhajans/Hare_Krishna_Dhun/IDT_083-Hare_Krishna_-_Radhanath_Swami.mp3", "IDT_083-Hare_Krishna_-_Radhanath_Swami.mp3")</f>
        <v>IDT_083-Hare_Krishna_-_Radhanath_Swami.mp3</v>
      </c>
      <c r="D6643" s="11"/>
      <c r="E6643" s="11"/>
    </row>
    <row r="6644" spans="1:5">
      <c r="A6644" s="12" t="s">
        <v>12981</v>
      </c>
      <c r="B6644" s="12" t="s">
        <v>18525</v>
      </c>
      <c r="C6644" s="13" t="str">
        <f t="shared" si="96"/>
        <v>IDT_083-Hare_Krishna_-_Radhanath_Swami.mp3</v>
      </c>
      <c r="D6644" s="11"/>
      <c r="E6644" s="11"/>
    </row>
    <row r="6645" spans="1:5">
      <c r="A6645" s="12" t="s">
        <v>12981</v>
      </c>
      <c r="B6645" s="12" t="s">
        <v>18526</v>
      </c>
      <c r="C6645" s="13" t="str">
        <f t="shared" ref="C6645:C6646" si="97">HYPERLINK("https://audio.iskcondesiretree.com/02_-_ISKCON_Swamis/ISKCON_Swamis_-_R_to_Y/His_Holiness_Radhanath_Swami/Bhajans/Hare_Krishna_Dhun/IDT_084-Hare_Krishna_-_Radhanath_Swami.mp3", "IDT_084-Hare_Krishna_-_Radhanath_Swami.mp3")</f>
        <v>IDT_084-Hare_Krishna_-_Radhanath_Swami.mp3</v>
      </c>
      <c r="D6645" s="11"/>
      <c r="E6645" s="11"/>
    </row>
    <row r="6646" spans="1:5">
      <c r="A6646" s="12" t="s">
        <v>12981</v>
      </c>
      <c r="B6646" s="12" t="s">
        <v>18526</v>
      </c>
      <c r="C6646" s="13" t="str">
        <f t="shared" si="97"/>
        <v>IDT_084-Hare_Krishna_-_Radhanath_Swami.mp3</v>
      </c>
      <c r="D6646" s="11"/>
      <c r="E6646" s="11"/>
    </row>
    <row r="6647" spans="1:5">
      <c r="A6647" s="12" t="s">
        <v>12981</v>
      </c>
      <c r="B6647" s="12" t="s">
        <v>18527</v>
      </c>
      <c r="C6647" s="13" t="str">
        <f t="shared" ref="C6647:C6648" si="98">HYPERLINK("https://audio.iskcondesiretree.com/02_-_ISKCON_Swamis/ISKCON_Swamis_-_R_to_Y/His_Holiness_Radhanath_Swami/Bhajans/Hare_Krishna_Dhun/IDT_085-Hare_Krishna_-_Radhanath_Swami.mp3", "IDT_085-Hare_Krishna_-_Radhanath_Swami.mp3")</f>
        <v>IDT_085-Hare_Krishna_-_Radhanath_Swami.mp3</v>
      </c>
      <c r="D6647" s="11"/>
      <c r="E6647" s="11"/>
    </row>
    <row r="6648" spans="1:5">
      <c r="A6648" s="12" t="s">
        <v>12981</v>
      </c>
      <c r="B6648" s="12" t="s">
        <v>18527</v>
      </c>
      <c r="C6648" s="13" t="str">
        <f t="shared" si="98"/>
        <v>IDT_085-Hare_Krishna_-_Radhanath_Swami.mp3</v>
      </c>
      <c r="D6648" s="11"/>
      <c r="E6648" s="11"/>
    </row>
    <row r="6649" spans="1:5">
      <c r="A6649" s="12" t="s">
        <v>12981</v>
      </c>
      <c r="B6649" s="12" t="s">
        <v>18528</v>
      </c>
      <c r="C6649" s="13" t="str">
        <f t="shared" ref="C6649:C6650" si="99">HYPERLINK("https://audio.iskcondesiretree.com/02_-_ISKCON_Swamis/ISKCON_Swamis_-_R_to_Y/His_Holiness_Radhanath_Swami/Bhajans/Hare_Krishna_Dhun/IDT_086-Hare_Krishna_-_2011-10-25_Radhanath_Swami_Vrindavan.MP3", "IDT_086-Hare_Krishna_-_2011-10-25_Radhanath_Swami_Vrindavan.MP3")</f>
        <v>IDT_086-Hare_Krishna_-_2011-10-25_Radhanath_Swami_Vrindavan.MP3</v>
      </c>
      <c r="D6649" s="11"/>
      <c r="E6649" s="11"/>
    </row>
    <row r="6650" spans="1:5">
      <c r="A6650" s="12" t="s">
        <v>12981</v>
      </c>
      <c r="B6650" s="12" t="s">
        <v>18528</v>
      </c>
      <c r="C6650" s="13" t="str">
        <f t="shared" si="99"/>
        <v>IDT_086-Hare_Krishna_-_2011-10-25_Radhanath_Swami_Vrindavan.MP3</v>
      </c>
      <c r="D6650" s="11"/>
      <c r="E6650" s="11"/>
    </row>
    <row r="6651" spans="1:5">
      <c r="A6651" s="12" t="s">
        <v>12981</v>
      </c>
      <c r="B6651" s="12" t="s">
        <v>18529</v>
      </c>
      <c r="C6651" s="13" t="str">
        <f t="shared" ref="C6651:C6652" si="100">HYPERLINK("https://audio.iskcondesiretree.com/02_-_ISKCON_Swamis/ISKCON_Swamis_-_R_to_Y/His_Holiness_Radhanath_Swami/Bhajans/Hare_Krishna_Dhun/IDT_087-Hare_Krishna_-_2011-10-26_Radhanath_Swami_Vrindavan.MP3", "IDT_087-Hare_Krishna_-_2011-10-26_Radhanath_Swami_Vrindavan.MP3")</f>
        <v>IDT_087-Hare_Krishna_-_2011-10-26_Radhanath_Swami_Vrindavan.MP3</v>
      </c>
      <c r="D6651" s="11"/>
      <c r="E6651" s="11"/>
    </row>
    <row r="6652" spans="1:5">
      <c r="A6652" s="12" t="s">
        <v>12981</v>
      </c>
      <c r="B6652" s="12" t="s">
        <v>18529</v>
      </c>
      <c r="C6652" s="13" t="str">
        <f t="shared" si="100"/>
        <v>IDT_087-Hare_Krishna_-_2011-10-26_Radhanath_Swami_Vrindavan.MP3</v>
      </c>
      <c r="D6652" s="11"/>
      <c r="E6652" s="11"/>
    </row>
    <row r="6653" spans="1:5">
      <c r="A6653" s="12" t="s">
        <v>12981</v>
      </c>
      <c r="B6653" s="12" t="s">
        <v>18530</v>
      </c>
      <c r="C6653" s="13" t="str">
        <f t="shared" ref="C6653:C6654" si="101">HYPERLINK("https://audio.iskcondesiretree.com/02_-_ISKCON_Swamis/ISKCON_Swamis_-_R_to_Y/His_Holiness_Radhanath_Swami/Bhajans/Hare_Krishna_Dhun/IDT_088-Hare_Krishna_-_2011-10-27_Radhanath_Swami_Vrindavan.MP3", "IDT_088-Hare_Krishna_-_2011-10-27_Radhanath_Swami_Vrindavan.MP3")</f>
        <v>IDT_088-Hare_Krishna_-_2011-10-27_Radhanath_Swami_Vrindavan.MP3</v>
      </c>
      <c r="D6653" s="11"/>
      <c r="E6653" s="11"/>
    </row>
    <row r="6654" spans="1:5">
      <c r="A6654" s="12" t="s">
        <v>12981</v>
      </c>
      <c r="B6654" s="12" t="s">
        <v>18530</v>
      </c>
      <c r="C6654" s="13" t="str">
        <f t="shared" si="101"/>
        <v>IDT_088-Hare_Krishna_-_2011-10-27_Radhanath_Swami_Vrindavan.MP3</v>
      </c>
      <c r="D6654" s="11"/>
      <c r="E6654" s="11"/>
    </row>
    <row r="6655" spans="1:5">
      <c r="A6655" s="12" t="s">
        <v>12981</v>
      </c>
      <c r="B6655" s="12" t="s">
        <v>18531</v>
      </c>
      <c r="C6655" s="13" t="str">
        <f t="shared" ref="C6655:C6656" si="102">HYPERLINK("https://audio.iskcondesiretree.com/02_-_ISKCON_Swamis/ISKCON_Swamis_-_R_to_Y/His_Holiness_Radhanath_Swami/Bhajans/Hare_Krishna_Dhun/IDT_089-Hare_Krishna_-_2011-10-28_Radhanath_Swami_Vrindavan.MP3", "IDT_089-Hare_Krishna_-_2011-10-28_Radhanath_Swami_Vrindavan.MP3")</f>
        <v>IDT_089-Hare_Krishna_-_2011-10-28_Radhanath_Swami_Vrindavan.MP3</v>
      </c>
      <c r="D6655" s="11"/>
      <c r="E6655" s="11"/>
    </row>
    <row r="6656" spans="1:5">
      <c r="A6656" s="12" t="s">
        <v>12981</v>
      </c>
      <c r="B6656" s="12" t="s">
        <v>18531</v>
      </c>
      <c r="C6656" s="13" t="str">
        <f t="shared" si="102"/>
        <v>IDT_089-Hare_Krishna_-_2011-10-28_Radhanath_Swami_Vrindavan.MP3</v>
      </c>
      <c r="D6656" s="11"/>
      <c r="E6656" s="11"/>
    </row>
    <row r="6657" spans="1:5">
      <c r="A6657" s="12" t="s">
        <v>12981</v>
      </c>
      <c r="B6657" s="12" t="s">
        <v>18532</v>
      </c>
      <c r="C6657" s="13" t="str">
        <f t="shared" ref="C6657:C6658" si="103">HYPERLINK("https://audio.iskcondesiretree.com/02_-_ISKCON_Swamis/ISKCON_Swamis_-_R_to_Y/His_Holiness_Radhanath_Swami/Bhajans/Hare_Krishna_Dhun/IDT_090-Hare_Krishna_-_2011-10-29_Radhanath_Swami_Govardhan.MP3", "IDT_090-Hare_Krishna_-_2011-10-29_Radhanath_Swami_Govardhan.MP3")</f>
        <v>IDT_090-Hare_Krishna_-_2011-10-29_Radhanath_Swami_Govardhan.MP3</v>
      </c>
      <c r="D6657" s="11"/>
      <c r="E6657" s="11"/>
    </row>
    <row r="6658" spans="1:5">
      <c r="A6658" s="12" t="s">
        <v>12981</v>
      </c>
      <c r="B6658" s="12" t="s">
        <v>18532</v>
      </c>
      <c r="C6658" s="13" t="str">
        <f t="shared" si="103"/>
        <v>IDT_090-Hare_Krishna_-_2011-10-29_Radhanath_Swami_Govardhan.MP3</v>
      </c>
      <c r="D6658" s="11"/>
      <c r="E6658" s="11"/>
    </row>
    <row r="6659" spans="1:5">
      <c r="A6659" s="12" t="s">
        <v>12981</v>
      </c>
      <c r="B6659" s="12" t="s">
        <v>18533</v>
      </c>
      <c r="C6659" s="13" t="str">
        <f t="shared" ref="C6659:C6660" si="104">HYPERLINK("https://audio.iskcondesiretree.com/02_-_ISKCON_Swamis/ISKCON_Swamis_-_R_to_Y/His_Holiness_Radhanath_Swami/Bhajans/Hare_Krishna_Dhun/IDT_091-Hare_Krishna_-_1997-12-04_Radhanath_Swami.mp3", "IDT_091-Hare_Krishna_-_1997-12-04_Radhanath_Swami.mp3")</f>
        <v>IDT_091-Hare_Krishna_-_1997-12-04_Radhanath_Swami.mp3</v>
      </c>
      <c r="D6659" s="11"/>
      <c r="E6659" s="11"/>
    </row>
    <row r="6660" spans="1:5">
      <c r="A6660" s="12" t="s">
        <v>12981</v>
      </c>
      <c r="B6660" s="12" t="s">
        <v>18533</v>
      </c>
      <c r="C6660" s="13" t="str">
        <f t="shared" si="104"/>
        <v>IDT_091-Hare_Krishna_-_1997-12-04_Radhanath_Swami.mp3</v>
      </c>
      <c r="D6660" s="11"/>
      <c r="E6660" s="11"/>
    </row>
    <row r="6661" spans="1:5">
      <c r="A6661" s="12" t="s">
        <v>12981</v>
      </c>
      <c r="B6661" s="12" t="s">
        <v>18534</v>
      </c>
      <c r="C6661" s="13" t="str">
        <f t="shared" ref="C6661:C6662" si="105">HYPERLINK("https://audio.iskcondesiretree.com/02_-_ISKCON_Swamis/ISKCON_Swamis_-_R_to_Y/His_Holiness_Radhanath_Swami/Bhajans/Hare_Krishna_Dhun/IDT_092-Hare_Krishna_-_2010-06-24_Radhanath_Swami.mp3", "IDT_092-Hare_Krishna_-_2010-06-24_Radhanath_Swami.mp3")</f>
        <v>IDT_092-Hare_Krishna_-_2010-06-24_Radhanath_Swami.mp3</v>
      </c>
      <c r="D6661" s="11"/>
      <c r="E6661" s="11"/>
    </row>
    <row r="6662" spans="1:5">
      <c r="A6662" s="12" t="s">
        <v>12981</v>
      </c>
      <c r="B6662" s="12" t="s">
        <v>18534</v>
      </c>
      <c r="C6662" s="13" t="str">
        <f t="shared" si="105"/>
        <v>IDT_092-Hare_Krishna_-_2010-06-24_Radhanath_Swami.mp3</v>
      </c>
      <c r="D6662" s="11"/>
      <c r="E6662" s="11"/>
    </row>
    <row r="6663" spans="1:5">
      <c r="A6663" s="12" t="s">
        <v>12981</v>
      </c>
      <c r="B6663" s="12" t="s">
        <v>18535</v>
      </c>
      <c r="C6663" s="13" t="str">
        <f t="shared" ref="C6663:C6664" si="106">HYPERLINK("https://audio.iskcondesiretree.com/02_-_ISKCON_Swamis/ISKCON_Swamis_-_R_to_Y/His_Holiness_Radhanath_Swami/Bhajans/Hare_Krishna_Dhun/IDT_093-Hare_Krishna_-_2010-06-25_Radhanath_Swami.mp3", "IDT_093-Hare_Krishna_-_2010-06-25_Radhanath_Swami.mp3")</f>
        <v>IDT_093-Hare_Krishna_-_2010-06-25_Radhanath_Swami.mp3</v>
      </c>
      <c r="D6663" s="11"/>
      <c r="E6663" s="11"/>
    </row>
    <row r="6664" spans="1:5">
      <c r="A6664" s="12" t="s">
        <v>12981</v>
      </c>
      <c r="B6664" s="12" t="s">
        <v>18535</v>
      </c>
      <c r="C6664" s="13" t="str">
        <f t="shared" si="106"/>
        <v>IDT_093-Hare_Krishna_-_2010-06-25_Radhanath_Swami.mp3</v>
      </c>
      <c r="D6664" s="11"/>
      <c r="E6664" s="11"/>
    </row>
    <row r="6665" spans="1:5">
      <c r="A6665" s="12" t="s">
        <v>12981</v>
      </c>
      <c r="B6665" s="12" t="s">
        <v>18536</v>
      </c>
      <c r="C6665" s="13" t="str">
        <f t="shared" ref="C6665:C6666" si="107">HYPERLINK("https://audio.iskcondesiretree.com/02_-_ISKCON_Swamis/ISKCON_Swamis_-_R_to_Y/His_Holiness_Radhanath_Swami/Bhajans/Hare_Krishna_Dhun/IDT_095-Hare_Krishna_-_2010-06-28_Radhanath_Swami.mp3", "IDT_095-Hare_Krishna_-_2010-06-28_Radhanath_Swami.mp3")</f>
        <v>IDT_095-Hare_Krishna_-_2010-06-28_Radhanath_Swami.mp3</v>
      </c>
      <c r="D6665" s="11"/>
      <c r="E6665" s="11"/>
    </row>
    <row r="6666" spans="1:5">
      <c r="A6666" s="12" t="s">
        <v>12981</v>
      </c>
      <c r="B6666" s="12" t="s">
        <v>18536</v>
      </c>
      <c r="C6666" s="13" t="str">
        <f t="shared" si="107"/>
        <v>IDT_095-Hare_Krishna_-_2010-06-28_Radhanath_Swami.mp3</v>
      </c>
      <c r="D6666" s="11"/>
      <c r="E6666" s="11"/>
    </row>
    <row r="6667" spans="1:5">
      <c r="A6667" s="12" t="s">
        <v>12981</v>
      </c>
      <c r="B6667" s="12" t="s">
        <v>18537</v>
      </c>
      <c r="C6667" s="13" t="str">
        <f t="shared" ref="C6667:C6668" si="108">HYPERLINK("https://audio.iskcondesiretree.com/02_-_ISKCON_Swamis/ISKCON_Swamis_-_R_to_Y/His_Holiness_Radhanath_Swami/Bhajans/Hare_Krishna_Dhun/IDT_096-Hare_Krishna_-_2009-09-25_Radhanath_Swami_Mumbai.MP3", "IDT_096-Hare_Krishna_-_2009-09-25_Radhanath_Swami_Mumbai.MP3")</f>
        <v>IDT_096-Hare_Krishna_-_2009-09-25_Radhanath_Swami_Mumbai.MP3</v>
      </c>
      <c r="D6667" s="11"/>
      <c r="E6667" s="11"/>
    </row>
    <row r="6668" spans="1:5">
      <c r="A6668" s="12" t="s">
        <v>12981</v>
      </c>
      <c r="B6668" s="12" t="s">
        <v>18537</v>
      </c>
      <c r="C6668" s="13" t="str">
        <f t="shared" si="108"/>
        <v>IDT_096-Hare_Krishna_-_2009-09-25_Radhanath_Swami_Mumbai.MP3</v>
      </c>
      <c r="D6668" s="11"/>
      <c r="E6668" s="11"/>
    </row>
    <row r="6669" spans="1:5">
      <c r="A6669" s="12" t="s">
        <v>12981</v>
      </c>
      <c r="B6669" s="12" t="s">
        <v>18538</v>
      </c>
      <c r="C6669" s="13" t="str">
        <f t="shared" ref="C6669:C6670" si="109">HYPERLINK("https://audio.iskcondesiretree.com/02_-_ISKCON_Swamis/ISKCON_Swamis_-_R_to_Y/His_Holiness_Radhanath_Swami/Bhajans/Hare_Krishna_Dhun/IDT_097-Hare_Krishna_-_Radhanath_Swami.mp3", "IDT_097-Hare_Krishna_-_Radhanath_Swami.mp3")</f>
        <v>IDT_097-Hare_Krishna_-_Radhanath_Swami.mp3</v>
      </c>
      <c r="D6669" s="11"/>
      <c r="E6669" s="11"/>
    </row>
    <row r="6670" spans="1:5">
      <c r="A6670" s="12" t="s">
        <v>12981</v>
      </c>
      <c r="B6670" s="12" t="s">
        <v>18538</v>
      </c>
      <c r="C6670" s="13" t="str">
        <f t="shared" si="109"/>
        <v>IDT_097-Hare_Krishna_-_Radhanath_Swami.mp3</v>
      </c>
      <c r="D6670" s="11"/>
      <c r="E6670" s="11"/>
    </row>
    <row r="6671" spans="1:5">
      <c r="A6671" s="12" t="s">
        <v>12981</v>
      </c>
      <c r="B6671" s="12" t="s">
        <v>18539</v>
      </c>
      <c r="C6671" s="13" t="str">
        <f t="shared" ref="C6671:C6672" si="110">HYPERLINK("https://audio.iskcondesiretree.com/02_-_ISKCON_Swamis/ISKCON_Swamis_-_R_to_Y/His_Holiness_Radhanath_Swami/Bhajans/Hare_Krishna_Dhun/IDT_098-Hare_Krishna_-_Radhanath_Swami.mp3", "IDT_098-Hare_Krishna_-_Radhanath_Swami.mp3")</f>
        <v>IDT_098-Hare_Krishna_-_Radhanath_Swami.mp3</v>
      </c>
      <c r="D6671" s="11"/>
      <c r="E6671" s="11"/>
    </row>
    <row r="6672" spans="1:5">
      <c r="A6672" s="12" t="s">
        <v>12981</v>
      </c>
      <c r="B6672" s="12" t="s">
        <v>18539</v>
      </c>
      <c r="C6672" s="13" t="str">
        <f t="shared" si="110"/>
        <v>IDT_098-Hare_Krishna_-_Radhanath_Swami.mp3</v>
      </c>
      <c r="D6672" s="11"/>
      <c r="E6672" s="11"/>
    </row>
    <row r="6673" spans="1:5">
      <c r="A6673" s="12" t="s">
        <v>12981</v>
      </c>
      <c r="B6673" s="12" t="s">
        <v>18540</v>
      </c>
      <c r="C6673" s="13" t="str">
        <f t="shared" ref="C6673:C6674" si="111">HYPERLINK("https://audio.iskcondesiretree.com/02_-_ISKCON_Swamis/ISKCON_Swamis_-_R_to_Y/His_Holiness_Radhanath_Swami/Bhajans/Hare_Krishna_Dhun/IDT_099-Hare_Krishna_Sunday_Feast_Kirtan_-_2012-01-15_Radhanath_Swami_ISKCON_Chowpatty.mp3", "IDT_099-Hare_Krishna_Sunday_Feast_Kirtan_-_2012-01-15_Radhanath_Swami_ISKCON_Chowpatty.mp3")</f>
        <v>IDT_099-Hare_Krishna_Sunday_Feast_Kirtan_-_2012-01-15_Radhanath_Swami_ISKCON_Chowpatty.mp3</v>
      </c>
      <c r="D6673" s="11"/>
      <c r="E6673" s="11"/>
    </row>
    <row r="6674" spans="1:5">
      <c r="A6674" s="12" t="s">
        <v>12981</v>
      </c>
      <c r="B6674" s="12" t="s">
        <v>18540</v>
      </c>
      <c r="C6674" s="13" t="str">
        <f t="shared" si="111"/>
        <v>IDT_099-Hare_Krishna_Sunday_Feast_Kirtan_-_2012-01-15_Radhanath_Swami_ISKCON_Chowpatty.mp3</v>
      </c>
      <c r="D6674" s="11"/>
      <c r="E6674" s="11"/>
    </row>
    <row r="6675" spans="1:5">
      <c r="A6675" s="12" t="s">
        <v>12981</v>
      </c>
      <c r="B6675" s="12" t="s">
        <v>18541</v>
      </c>
      <c r="C6675" s="13" t="str">
        <f t="shared" ref="C6675:C6676" si="112">HYPERLINK("https://audio.iskcondesiretree.com/02_-_ISKCON_Swamis/ISKCON_Swamis_-_R_to_Y/His_Holiness_Radhanath_Swami/Bhajans/Hare_Krishna_Dhun/IDT_100-Hare_Krishna_Pushya_Abhishek_Kirtan_-_2012-01-28_Radhanath_Swami_ISKCON_Chowpatty.mp3", "IDT_100-Hare_Krishna_Pushya_Abhishek_Kirtan_-_2012-01-28_Radhanath_Swami_ISKCON_Chowpatty.mp3")</f>
        <v>IDT_100-Hare_Krishna_Pushya_Abhishek_Kirtan_-_2012-01-28_Radhanath_Swami_ISKCON_Chowpatty.mp3</v>
      </c>
      <c r="D6675" s="11"/>
      <c r="E6675" s="11"/>
    </row>
    <row r="6676" spans="1:5">
      <c r="A6676" s="12" t="s">
        <v>12981</v>
      </c>
      <c r="B6676" s="12" t="s">
        <v>18541</v>
      </c>
      <c r="C6676" s="13" t="str">
        <f t="shared" si="112"/>
        <v>IDT_100-Hare_Krishna_Pushya_Abhishek_Kirtan_-_2012-01-28_Radhanath_Swami_ISKCON_Chowpatty.mp3</v>
      </c>
      <c r="D6676" s="11"/>
      <c r="E6676" s="11"/>
    </row>
    <row r="6677" spans="1:5">
      <c r="A6677" s="12" t="s">
        <v>12981</v>
      </c>
      <c r="B6677" s="12" t="s">
        <v>18542</v>
      </c>
      <c r="C6677" s="13" t="str">
        <f t="shared" ref="C6677:C6678" si="113">HYPERLINK("https://audio.iskcondesiretree.com/02_-_ISKCON_Swamis/ISKCON_Swamis_-_R_to_Y/His_Holiness_Radhanath_Swami/Bhajans/Hare_Krishna_Dhun/IDT_101-Hare_Krishna_-_Radhanath_Swami.mp3", "IDT_101-Hare_Krishna_-_Radhanath_Swami.mp3")</f>
        <v>IDT_101-Hare_Krishna_-_Radhanath_Swami.mp3</v>
      </c>
      <c r="D6677" s="11"/>
      <c r="E6677" s="11"/>
    </row>
    <row r="6678" spans="1:5">
      <c r="A6678" s="12" t="s">
        <v>12981</v>
      </c>
      <c r="B6678" s="12" t="s">
        <v>18542</v>
      </c>
      <c r="C6678" s="13" t="str">
        <f t="shared" si="113"/>
        <v>IDT_101-Hare_Krishna_-_Radhanath_Swami.mp3</v>
      </c>
      <c r="D6678" s="11"/>
      <c r="E6678" s="11"/>
    </row>
    <row r="6679" spans="1:5">
      <c r="A6679" s="12" t="s">
        <v>12981</v>
      </c>
      <c r="B6679" s="12" t="s">
        <v>18543</v>
      </c>
      <c r="C6679" s="13" t="str">
        <f t="shared" ref="C6679:C6680" si="114">HYPERLINK("https://audio.iskcondesiretree.com/02_-_ISKCON_Swamis/ISKCON_Swamis_-_R_to_Y/His_Holiness_Radhanath_Swami/Bhajans/Hare_Krishna_Dhun/IDT_102-Hare_Krishna_-_Radhanath_Swami.mp3", "IDT_102-Hare_Krishna_-_Radhanath_Swami.mp3")</f>
        <v>IDT_102-Hare_Krishna_-_Radhanath_Swami.mp3</v>
      </c>
      <c r="D6679" s="11"/>
      <c r="E6679" s="11"/>
    </row>
    <row r="6680" spans="1:5">
      <c r="A6680" s="12" t="s">
        <v>12981</v>
      </c>
      <c r="B6680" s="12" t="s">
        <v>18543</v>
      </c>
      <c r="C6680" s="13" t="str">
        <f t="shared" si="114"/>
        <v>IDT_102-Hare_Krishna_-_Radhanath_Swami.mp3</v>
      </c>
      <c r="D6680" s="11"/>
      <c r="E6680" s="11"/>
    </row>
    <row r="6681" spans="1:5">
      <c r="A6681" s="12" t="s">
        <v>12981</v>
      </c>
      <c r="B6681" s="12" t="s">
        <v>18544</v>
      </c>
      <c r="C6681" s="13" t="str">
        <f t="shared" ref="C6681:C6682" si="115">HYPERLINK("https://audio.iskcondesiretree.com/02_-_ISKCON_Swamis/ISKCON_Swamis_-_R_to_Y/His_Holiness_Radhanath_Swami/Bhajans/Hare_Krishna_Dhun/IDT_102-Jaya_Radhe_Jaye_Radhe_Radhe_-_2012-02-01_Radhanath_Swami_Barsana.mp3", "IDT_102-Jaya_Radhe_Jaye_Radhe_Radhe_-_2012-02-01_Radhanath_Swami_Barsana.mp3")</f>
        <v>IDT_102-Jaya_Radhe_Jaye_Radhe_Radhe_-_2012-02-01_Radhanath_Swami_Barsana.mp3</v>
      </c>
      <c r="D6681" s="11"/>
      <c r="E6681" s="11"/>
    </row>
    <row r="6682" spans="1:5">
      <c r="A6682" s="12" t="s">
        <v>12981</v>
      </c>
      <c r="B6682" s="12" t="s">
        <v>18544</v>
      </c>
      <c r="C6682" s="13" t="str">
        <f t="shared" si="115"/>
        <v>IDT_102-Jaya_Radhe_Jaye_Radhe_Radhe_-_2012-02-01_Radhanath_Swami_Barsana.mp3</v>
      </c>
      <c r="D6682" s="11"/>
      <c r="E6682" s="11"/>
    </row>
    <row r="6683" spans="1:5">
      <c r="A6683" s="12" t="s">
        <v>12981</v>
      </c>
      <c r="B6683" s="12" t="s">
        <v>18545</v>
      </c>
      <c r="C6683" s="13" t="str">
        <f t="shared" ref="C6683:C6684" si="116">HYPERLINK("https://audio.iskcondesiretree.com/02_-_ISKCON_Swamis/ISKCON_Swamis_-_R_to_Y/His_Holiness_Radhanath_Swami/Bhajans/Hare_Krishna_Dhun/IDT_103-Hare_Krishna_Kirtan_-_Radhanath_Swami_-_2008.mp3", "IDT_103-Hare_Krishna_Kirtan_-_Radhanath_Swami_-_2008.mp3")</f>
        <v>IDT_103-Hare_Krishna_Kirtan_-_Radhanath_Swami_-_2008.mp3</v>
      </c>
      <c r="D6683" s="11"/>
      <c r="E6683" s="11"/>
    </row>
    <row r="6684" spans="1:5">
      <c r="A6684" s="12" t="s">
        <v>12981</v>
      </c>
      <c r="B6684" s="12" t="s">
        <v>18545</v>
      </c>
      <c r="C6684" s="13" t="str">
        <f t="shared" si="116"/>
        <v>IDT_103-Hare_Krishna_Kirtan_-_Radhanath_Swami_-_2008.mp3</v>
      </c>
      <c r="D6684" s="11"/>
      <c r="E6684" s="11"/>
    </row>
    <row r="6685" spans="1:5">
      <c r="A6685" s="12" t="s">
        <v>12981</v>
      </c>
      <c r="B6685" s="12" t="s">
        <v>18546</v>
      </c>
      <c r="C6685" s="13" t="str">
        <f t="shared" ref="C6685:C6686" si="117">HYPERLINK("https://audio.iskcondesiretree.com/02_-_ISKCON_Swamis/ISKCON_Swamis_-_R_to_Y/His_Holiness_Radhanath_Swami/Bhajans/Hare_Krishna_Dhun/IDT_104-Hare_Krishna_Kirtan_-_Radhanath_Swami_-_2008.mp3", "IDT_104-Hare_Krishna_Kirtan_-_Radhanath_Swami_-_2008.mp3")</f>
        <v>IDT_104-Hare_Krishna_Kirtan_-_Radhanath_Swami_-_2008.mp3</v>
      </c>
      <c r="D6685" s="11"/>
      <c r="E6685" s="11"/>
    </row>
    <row r="6686" spans="1:5">
      <c r="A6686" s="12" t="s">
        <v>12981</v>
      </c>
      <c r="B6686" s="12" t="s">
        <v>18546</v>
      </c>
      <c r="C6686" s="13" t="str">
        <f t="shared" si="117"/>
        <v>IDT_104-Hare_Krishna_Kirtan_-_Radhanath_Swami_-_2008.mp3</v>
      </c>
      <c r="D6686" s="11"/>
      <c r="E6686" s="11"/>
    </row>
    <row r="6687" spans="1:5">
      <c r="A6687" s="12" t="s">
        <v>12981</v>
      </c>
      <c r="B6687" s="12" t="s">
        <v>18547</v>
      </c>
      <c r="C6687" s="13" t="str">
        <f t="shared" ref="C6687:C6688" si="118">HYPERLINK("https://audio.iskcondesiretree.com/02_-_ISKCON_Swamis/ISKCON_Swamis_-_R_to_Y/His_Holiness_Radhanath_Swami/Bhajans/Hare_Krishna_Dhun/IDT_105-Hare_Krishna_-_Radhanath_Swami.mp3", "IDT_105-Hare_Krishna_-_Radhanath_Swami.mp3")</f>
        <v>IDT_105-Hare_Krishna_-_Radhanath_Swami.mp3</v>
      </c>
      <c r="D6687" s="11"/>
      <c r="E6687" s="11"/>
    </row>
    <row r="6688" spans="1:5">
      <c r="A6688" s="12" t="s">
        <v>12981</v>
      </c>
      <c r="B6688" s="12" t="s">
        <v>18547</v>
      </c>
      <c r="C6688" s="13" t="str">
        <f t="shared" si="118"/>
        <v>IDT_105-Hare_Krishna_-_Radhanath_Swami.mp3</v>
      </c>
      <c r="D6688" s="11"/>
      <c r="E6688" s="11"/>
    </row>
    <row r="6689" spans="1:5">
      <c r="A6689" s="12" t="s">
        <v>12981</v>
      </c>
      <c r="B6689" s="12" t="s">
        <v>18548</v>
      </c>
      <c r="C6689" s="13" t="str">
        <f t="shared" ref="C6689:C6690" si="119">HYPERLINK("https://audio.iskcondesiretree.com/02_-_ISKCON_Swamis/ISKCON_Swamis_-_R_to_Y/His_Holiness_Radhanath_Swami/Bhajans/Hare_Krishna_Dhun/IDT_106-Hare_Krishna_-_Radhanath_Swami.mp3", "IDT_106-Hare_Krishna_-_Radhanath_Swami.mp3")</f>
        <v>IDT_106-Hare_Krishna_-_Radhanath_Swami.mp3</v>
      </c>
      <c r="D6689" s="11"/>
      <c r="E6689" s="11"/>
    </row>
    <row r="6690" spans="1:5">
      <c r="A6690" s="12" t="s">
        <v>12981</v>
      </c>
      <c r="B6690" s="12" t="s">
        <v>18548</v>
      </c>
      <c r="C6690" s="13" t="str">
        <f t="shared" si="119"/>
        <v>IDT_106-Hare_Krishna_-_Radhanath_Swami.mp3</v>
      </c>
      <c r="D6690" s="11"/>
      <c r="E6690" s="11"/>
    </row>
    <row r="6691" spans="1:5">
      <c r="A6691" s="12" t="s">
        <v>12981</v>
      </c>
      <c r="B6691" s="12" t="s">
        <v>18549</v>
      </c>
      <c r="C6691" s="13" t="str">
        <f t="shared" ref="C6691:C6692" si="120">HYPERLINK("https://audio.iskcondesiretree.com/02_-_ISKCON_Swamis/ISKCON_Swamis_-_R_to_Y/His_Holiness_Radhanath_Swami/Bhajans/Hare_Krishna_Dhun/IDT_107-Hare_Krishna_-_Radhanath_Swami.mp3", "IDT_107-Hare_Krishna_-_Radhanath_Swami.mp3")</f>
        <v>IDT_107-Hare_Krishna_-_Radhanath_Swami.mp3</v>
      </c>
      <c r="D6691" s="11"/>
      <c r="E6691" s="11"/>
    </row>
    <row r="6692" spans="1:5">
      <c r="A6692" s="12" t="s">
        <v>12981</v>
      </c>
      <c r="B6692" s="12" t="s">
        <v>18549</v>
      </c>
      <c r="C6692" s="13" t="str">
        <f t="shared" si="120"/>
        <v>IDT_107-Hare_Krishna_-_Radhanath_Swami.mp3</v>
      </c>
      <c r="D6692" s="11"/>
      <c r="E6692" s="11"/>
    </row>
    <row r="6693" spans="1:5">
      <c r="A6693" s="12" t="s">
        <v>12981</v>
      </c>
      <c r="B6693" s="12" t="s">
        <v>18550</v>
      </c>
      <c r="C6693" s="13" t="str">
        <f t="shared" ref="C6693:C6694" si="121">HYPERLINK("https://audio.iskcondesiretree.com/02_-_ISKCON_Swamis/ISKCON_Swamis_-_R_to_Y/His_Holiness_Radhanath_Swami/Bhajans/Hare_Krishna_Dhun/IDT_108-Hare_Krishna_Kirtan_-_Radhanath_Sw_-_2010_New_York.mp3", "IDT_108-Hare_Krishna_Kirtan_-_Radhanath_Sw_-_2010_New_York.mp3")</f>
        <v>IDT_108-Hare_Krishna_Kirtan_-_Radhanath_Sw_-_2010_New_York.mp3</v>
      </c>
      <c r="D6693" s="11"/>
      <c r="E6693" s="11"/>
    </row>
    <row r="6694" spans="1:5">
      <c r="A6694" s="12" t="s">
        <v>12981</v>
      </c>
      <c r="B6694" s="12" t="s">
        <v>18550</v>
      </c>
      <c r="C6694" s="13" t="str">
        <f t="shared" si="121"/>
        <v>IDT_108-Hare_Krishna_Kirtan_-_Radhanath_Sw_-_2010_New_York.mp3</v>
      </c>
      <c r="D6694" s="11"/>
      <c r="E6694" s="11"/>
    </row>
    <row r="6695" spans="1:5">
      <c r="A6695" s="12" t="s">
        <v>12981</v>
      </c>
      <c r="B6695" s="12" t="s">
        <v>18551</v>
      </c>
      <c r="C6695" s="13" t="str">
        <f t="shared" ref="C6695:C6696" si="122">HYPERLINK("https://audio.iskcondesiretree.com/02_-_ISKCON_Swamis/ISKCON_Swamis_-_R_to_Y/His_Holiness_Radhanath_Swami/Bhajans/Hare_Krishna_Dhun/IDT_109_Hare_Krishna_Kirtan_Mela_Day-01_-_2012-02-22_Radhanath_Swami_ISKCON_Mayapur.mp3", "IDT_109_Hare_Krishna_Kirtan_Mela_Day-01_-_2012-02-22_Radhanath_Swami_ISKCON_Mayapur.mp3")</f>
        <v>IDT_109_Hare_Krishna_Kirtan_Mela_Day-01_-_2012-02-22_Radhanath_Swami_ISKCON_Mayapur.mp3</v>
      </c>
      <c r="D6695" s="11"/>
      <c r="E6695" s="11"/>
    </row>
    <row r="6696" spans="1:5">
      <c r="A6696" s="12" t="s">
        <v>12981</v>
      </c>
      <c r="B6696" s="12" t="s">
        <v>18551</v>
      </c>
      <c r="C6696" s="13" t="str">
        <f t="shared" si="122"/>
        <v>IDT_109_Hare_Krishna_Kirtan_Mela_Day-01_-_2012-02-22_Radhanath_Swami_ISKCON_Mayapur.mp3</v>
      </c>
      <c r="D6696" s="11"/>
      <c r="E6696" s="11"/>
    </row>
    <row r="6697" spans="1:5">
      <c r="A6697" s="12" t="s">
        <v>12981</v>
      </c>
      <c r="B6697" s="12" t="s">
        <v>18552</v>
      </c>
      <c r="C6697" s="13" t="str">
        <f t="shared" ref="C6697:C6698" si="123">HYPERLINK("https://audio.iskcondesiretree.com/02_-_ISKCON_Swamis/ISKCON_Swamis_-_R_to_Y/His_Holiness_Radhanath_Swami/Bhajans/Hare_Krishna_Dhun/IDT_110_-_Hare_Krishna_Kirtan_-_Radhanath_Swami_2013-09-17.mp3", "IDT_110_-_Hare_Krishna_Kirtan_-_Radhanath_Swami_2013-09-17.mp3")</f>
        <v>IDT_110_-_Hare_Krishna_Kirtan_-_Radhanath_Swami_2013-09-17.mp3</v>
      </c>
      <c r="D6697" s="11"/>
      <c r="E6697" s="11"/>
    </row>
    <row r="6698" spans="1:5">
      <c r="A6698" s="12" t="s">
        <v>12981</v>
      </c>
      <c r="B6698" s="12" t="s">
        <v>18552</v>
      </c>
      <c r="C6698" s="13" t="str">
        <f t="shared" si="123"/>
        <v>IDT_110_-_Hare_Krishna_Kirtan_-_Radhanath_Swami_2013-09-17.mp3</v>
      </c>
      <c r="D6698" s="11"/>
      <c r="E6698" s="11"/>
    </row>
    <row r="6699" spans="1:5">
      <c r="A6699" s="12" t="s">
        <v>12981</v>
      </c>
      <c r="B6699" s="12" t="s">
        <v>18553</v>
      </c>
      <c r="C6699" s="13" t="str">
        <f t="shared" ref="C6699:C6700" si="124">HYPERLINK("https://audio.iskcondesiretree.com/02_-_ISKCON_Swamis/ISKCON_Swamis_-_R_to_Y/His_Holiness_Radhanath_Swami/Bhajans/Hare_Krishna_Dhun/IDT_111_-_Hare_Krishna_Kirtan_-_2013-02-06_Radhanath_Swami_Barsana.mp3", "IDT_111_-_Hare_Krishna_Kirtan_-_2013-02-06_Radhanath_Swami_Barsana.mp3")</f>
        <v>IDT_111_-_Hare_Krishna_Kirtan_-_2013-02-06_Radhanath_Swami_Barsana.mp3</v>
      </c>
      <c r="D6699" s="11"/>
      <c r="E6699" s="11"/>
    </row>
    <row r="6700" spans="1:5">
      <c r="A6700" s="12" t="s">
        <v>12981</v>
      </c>
      <c r="B6700" s="12" t="s">
        <v>18553</v>
      </c>
      <c r="C6700" s="13" t="str">
        <f t="shared" si="124"/>
        <v>IDT_111_-_Hare_Krishna_Kirtan_-_2013-02-06_Radhanath_Swami_Barsana.mp3</v>
      </c>
      <c r="D6700" s="11"/>
      <c r="E6700" s="11"/>
    </row>
    <row r="6701" spans="1:5">
      <c r="A6701" s="12" t="s">
        <v>12981</v>
      </c>
      <c r="B6701" s="12" t="s">
        <v>18554</v>
      </c>
      <c r="C6701" s="13" t="str">
        <f t="shared" ref="C6701:C6702" si="125">HYPERLINK("https://audio.iskcondesiretree.com/02_-_ISKCON_Swamis/ISKCON_Swamis_-_R_to_Y/His_Holiness_Radhanath_Swami/Bhajans/Hare_Krishna_Dhun/IDT_112_-_Kirtan_Mela_2013_Hare_Krishna_Kirtan_Day-01_-_2013-03-11_Radhanath_Swami_ISKCON_Mayapur.mp3", "IDT_112_-_Kirtan_Mela_2013_Hare_Krishna_Kirtan_Day-01_-_2013-03-11_Radhanath_Swami_ISKCON_Mayapur.mp3")</f>
        <v>IDT_112_-_Kirtan_Mela_2013_Hare_Krishna_Kirtan_Day-01_-_2013-03-11_Radhanath_Swami_ISKCON_Mayapur.mp3</v>
      </c>
      <c r="D6701" s="11"/>
      <c r="E6701" s="11"/>
    </row>
    <row r="6702" spans="1:5">
      <c r="A6702" s="12" t="s">
        <v>12981</v>
      </c>
      <c r="B6702" s="12" t="s">
        <v>18554</v>
      </c>
      <c r="C6702" s="13" t="str">
        <f t="shared" si="125"/>
        <v>IDT_112_-_Kirtan_Mela_2013_Hare_Krishna_Kirtan_Day-01_-_2013-03-11_Radhanath_Swami_ISKCON_Mayapur.mp3</v>
      </c>
      <c r="D6702" s="11"/>
      <c r="E6702" s="11"/>
    </row>
    <row r="6703" spans="1:5">
      <c r="A6703" s="12" t="s">
        <v>12981</v>
      </c>
      <c r="B6703" s="12" t="s">
        <v>18555</v>
      </c>
      <c r="C6703" s="13" t="str">
        <f t="shared" ref="C6703:C6704" si="126">HYPERLINK("https://audio.iskcondesiretree.com/02_-_ISKCON_Swamis/ISKCON_Swamis_-_R_to_Y/His_Holiness_Radhanath_Swami/Bhajans/Hare_Krishna_Dhun/IDT_113_-_Sadhu_Sanga_2013-Hare_Krishna_Kirtan_-_2013-09-24_Radhanath_Swami.mp3", "IDT_113_-_Sadhu_Sanga_2013-Hare_Krishna_Kirtan_-_2013-09-24_Radhanath_Swami.mp3")</f>
        <v>IDT_113_-_Sadhu_Sanga_2013-Hare_Krishna_Kirtan_-_2013-09-24_Radhanath_Swami.mp3</v>
      </c>
      <c r="D6703" s="11"/>
      <c r="E6703" s="11"/>
    </row>
    <row r="6704" spans="1:5">
      <c r="A6704" s="12" t="s">
        <v>12981</v>
      </c>
      <c r="B6704" s="12" t="s">
        <v>18555</v>
      </c>
      <c r="C6704" s="13" t="str">
        <f t="shared" si="126"/>
        <v>IDT_113_-_Sadhu_Sanga_2013-Hare_Krishna_Kirtan_-_2013-09-24_Radhanath_Swami.mp3</v>
      </c>
      <c r="D6704" s="11"/>
      <c r="E6704" s="11"/>
    </row>
    <row r="6705" spans="1:5">
      <c r="A6705" s="12" t="s">
        <v>12981</v>
      </c>
      <c r="B6705" s="12" t="s">
        <v>18556</v>
      </c>
      <c r="C6705" s="13" t="str">
        <f t="shared" ref="C6705:C6706" si="127">HYPERLINK("https://audio.iskcondesiretree.com/02_-_ISKCON_Swamis/ISKCON_Swamis_-_R_to_Y/His_Holiness_Radhanath_Swami/Bhajans/Hare_Krishna_Dhun/IDT_114_-_Sadhu_Sanga_2013-Hare_Krishna_Kirtan_01_-_2013-09-26_-_Radhanath_Swami.mp3", "IDT_114_-_Sadhu_Sanga_2013-Hare_Krishna_Kirtan_01_-_2013-09-26_-_Radhanath_Swami.mp3")</f>
        <v>IDT_114_-_Sadhu_Sanga_2013-Hare_Krishna_Kirtan_01_-_2013-09-26_-_Radhanath_Swami.mp3</v>
      </c>
      <c r="D6705" s="11"/>
      <c r="E6705" s="11"/>
    </row>
    <row r="6706" spans="1:5">
      <c r="A6706" s="12" t="s">
        <v>12981</v>
      </c>
      <c r="B6706" s="12" t="s">
        <v>18556</v>
      </c>
      <c r="C6706" s="13" t="str">
        <f t="shared" si="127"/>
        <v>IDT_114_-_Sadhu_Sanga_2013-Hare_Krishna_Kirtan_01_-_2013-09-26_-_Radhanath_Swami.mp3</v>
      </c>
      <c r="D6706" s="11"/>
      <c r="E6706" s="11"/>
    </row>
    <row r="6707" spans="1:5">
      <c r="A6707" s="12" t="s">
        <v>12981</v>
      </c>
      <c r="B6707" s="12" t="s">
        <v>18557</v>
      </c>
      <c r="C6707" s="13" t="str">
        <f t="shared" ref="C6707:C6708" si="128">HYPERLINK("https://audio.iskcondesiretree.com/02_-_ISKCON_Swamis/ISKCON_Swamis_-_R_to_Y/His_Holiness_Radhanath_Swami/Bhajans/Hare_Krishna_Dhun/IDT_115_-_Sadhu_Sanga_2013-Hare_Krishna_Kirtan_02_-_2013-09-26_Radhanath_Swami.mp3", "IDT_115_-_Sadhu_Sanga_2013-Hare_Krishna_Kirtan_02_-_2013-09-26_Radhanath_Swami.mp3")</f>
        <v>IDT_115_-_Sadhu_Sanga_2013-Hare_Krishna_Kirtan_02_-_2013-09-26_Radhanath_Swami.mp3</v>
      </c>
      <c r="D6707" s="11"/>
      <c r="E6707" s="11"/>
    </row>
    <row r="6708" spans="1:5">
      <c r="A6708" s="12" t="s">
        <v>12981</v>
      </c>
      <c r="B6708" s="12" t="s">
        <v>18557</v>
      </c>
      <c r="C6708" s="13" t="str">
        <f t="shared" si="128"/>
        <v>IDT_115_-_Sadhu_Sanga_2013-Hare_Krishna_Kirtan_02_-_2013-09-26_Radhanath_Swami.mp3</v>
      </c>
      <c r="D6708" s="11"/>
      <c r="E6708" s="11"/>
    </row>
    <row r="6709" spans="1:5">
      <c r="A6709" s="12" t="s">
        <v>12981</v>
      </c>
      <c r="B6709" s="12" t="s">
        <v>18558</v>
      </c>
      <c r="C6709" s="13" t="str">
        <f t="shared" ref="C6709:C6710" si="129">HYPERLINK("https://audio.iskcondesiretree.com/02_-_ISKCON_Swamis/ISKCON_Swamis_-_R_to_Y/His_Holiness_Radhanath_Swami/Bhajans/Hare_Krishna_Dhun/IDT_116-Hare_Krishna_-_Radhanath_Swami.mp3", "IDT_116-Hare_Krishna_-_Radhanath_Swami.mp3")</f>
        <v>IDT_116-Hare_Krishna_-_Radhanath_Swami.mp3</v>
      </c>
      <c r="D6709" s="11"/>
      <c r="E6709" s="11"/>
    </row>
    <row r="6710" spans="1:5">
      <c r="A6710" s="12" t="s">
        <v>12981</v>
      </c>
      <c r="B6710" s="12" t="s">
        <v>18558</v>
      </c>
      <c r="C6710" s="13" t="str">
        <f t="shared" si="129"/>
        <v>IDT_116-Hare_Krishna_-_Radhanath_Swami.mp3</v>
      </c>
      <c r="D6710" s="11"/>
      <c r="E6710" s="11"/>
    </row>
    <row r="6711" spans="1:5">
      <c r="A6711" s="12" t="s">
        <v>12981</v>
      </c>
      <c r="B6711" s="12" t="s">
        <v>18559</v>
      </c>
      <c r="C6711" s="13" t="str">
        <f t="shared" ref="C6711:C6712" si="130">HYPERLINK("https://audio.iskcondesiretree.com/02_-_ISKCON_Swamis/ISKCON_Swamis_-_R_to_Y/His_Holiness_Radhanath_Swami/Bhajans/Hare_Krishna_Dhun/IDT_117-Hare_Krishna_-_Radhanath_Swami.mp3", "IDT_117-Hare_Krishna_-_Radhanath_Swami.mp3")</f>
        <v>IDT_117-Hare_Krishna_-_Radhanath_Swami.mp3</v>
      </c>
      <c r="D6711" s="11"/>
      <c r="E6711" s="11"/>
    </row>
    <row r="6712" spans="1:5">
      <c r="A6712" s="12" t="s">
        <v>12981</v>
      </c>
      <c r="B6712" s="12" t="s">
        <v>18559</v>
      </c>
      <c r="C6712" s="13" t="str">
        <f t="shared" si="130"/>
        <v>IDT_117-Hare_Krishna_-_Radhanath_Swami.mp3</v>
      </c>
      <c r="D6712" s="11"/>
      <c r="E6712" s="11"/>
    </row>
    <row r="6713" spans="1:5">
      <c r="A6713" s="12" t="s">
        <v>12981</v>
      </c>
      <c r="B6713" s="12" t="s">
        <v>18560</v>
      </c>
      <c r="C6713" s="13" t="str">
        <f t="shared" ref="C6713:C6714" si="131">HYPERLINK("https://audio.iskcondesiretree.com/02_-_ISKCON_Swamis/ISKCON_Swamis_-_R_to_Y/His_Holiness_Radhanath_Swami/Bhajans/Hare_Krishna_Dhun/IDT_118-Hare_Krishna_-_Radhanath_Swami.mp3", "IDT_118-Hare_Krishna_-_Radhanath_Swami.mp3")</f>
        <v>IDT_118-Hare_Krishna_-_Radhanath_Swami.mp3</v>
      </c>
      <c r="D6713" s="11"/>
      <c r="E6713" s="11"/>
    </row>
    <row r="6714" spans="1:5">
      <c r="A6714" s="12" t="s">
        <v>12981</v>
      </c>
      <c r="B6714" s="12" t="s">
        <v>18560</v>
      </c>
      <c r="C6714" s="13" t="str">
        <f t="shared" si="131"/>
        <v>IDT_118-Hare_Krishna_-_Radhanath_Swami.mp3</v>
      </c>
      <c r="D6714" s="11"/>
      <c r="E6714" s="11"/>
    </row>
    <row r="6715" spans="1:5">
      <c r="A6715" s="12" t="s">
        <v>12981</v>
      </c>
      <c r="B6715" s="12" t="s">
        <v>18561</v>
      </c>
      <c r="C6715" s="13" t="str">
        <f t="shared" ref="C6715:C6716" si="132">HYPERLINK("https://audio.iskcondesiretree.com/02_-_ISKCON_Swamis/ISKCON_Swamis_-_R_to_Y/His_Holiness_Radhanath_Swami/Bhajans/Hare_Krishna_Dhun/IDT_119-Hare_Krishna_-_Radhanath_Swami.mp3", "IDT_119-Hare_Krishna_-_Radhanath_Swami.mp3")</f>
        <v>IDT_119-Hare_Krishna_-_Radhanath_Swami.mp3</v>
      </c>
      <c r="D6715" s="11"/>
      <c r="E6715" s="11"/>
    </row>
    <row r="6716" spans="1:5">
      <c r="A6716" s="12" t="s">
        <v>12981</v>
      </c>
      <c r="B6716" s="12" t="s">
        <v>18561</v>
      </c>
      <c r="C6716" s="13" t="str">
        <f t="shared" si="132"/>
        <v>IDT_119-Hare_Krishna_-_Radhanath_Swami.mp3</v>
      </c>
      <c r="D6716" s="11"/>
      <c r="E6716" s="11"/>
    </row>
    <row r="6717" spans="1:5">
      <c r="A6717" s="12" t="s">
        <v>12981</v>
      </c>
      <c r="B6717" s="12" t="s">
        <v>18562</v>
      </c>
      <c r="C6717" s="13" t="str">
        <f t="shared" ref="C6717:C6718" si="133">HYPERLINK("https://audio.iskcondesiretree.com/02_-_ISKCON_Swamis/ISKCON_Swamis_-_R_to_Y/His_Holiness_Radhanath_Swami/Bhajans/Hare_Krishna_Dhun/IDT_120-Hare_Krishna_-_Radhanath_Swami.mp3", "IDT_120-Hare_Krishna_-_Radhanath_Swami.mp3")</f>
        <v>IDT_120-Hare_Krishna_-_Radhanath_Swami.mp3</v>
      </c>
      <c r="D6717" s="11"/>
      <c r="E6717" s="11"/>
    </row>
    <row r="6718" spans="1:5">
      <c r="A6718" s="12" t="s">
        <v>12981</v>
      </c>
      <c r="B6718" s="12" t="s">
        <v>18562</v>
      </c>
      <c r="C6718" s="13" t="str">
        <f t="shared" si="133"/>
        <v>IDT_120-Hare_Krishna_-_Radhanath_Swami.mp3</v>
      </c>
      <c r="D6718" s="11"/>
      <c r="E6718" s="11"/>
    </row>
    <row r="6719" spans="1:5">
      <c r="A6719" s="12" t="s">
        <v>12981</v>
      </c>
      <c r="B6719" s="12" t="s">
        <v>18563</v>
      </c>
      <c r="C6719" s="13" t="str">
        <f t="shared" ref="C6719:C6720" si="134">HYPERLINK("https://audio.iskcondesiretree.com/02_-_ISKCON_Swamis/ISKCON_Swamis_-_R_to_Y/His_Holiness_Radhanath_Swami/Bhajans/Hare_Krishna_Dhun/IDT_121-Hare_Krishna_-_Radhanath_Swami.mp3", "IDT_121-Hare_Krishna_-_Radhanath_Swami.mp3")</f>
        <v>IDT_121-Hare_Krishna_-_Radhanath_Swami.mp3</v>
      </c>
      <c r="D6719" s="11"/>
      <c r="E6719" s="11"/>
    </row>
    <row r="6720" spans="1:5">
      <c r="A6720" s="12" t="s">
        <v>12981</v>
      </c>
      <c r="B6720" s="12" t="s">
        <v>18563</v>
      </c>
      <c r="C6720" s="13" t="str">
        <f t="shared" si="134"/>
        <v>IDT_121-Hare_Krishna_-_Radhanath_Swami.mp3</v>
      </c>
      <c r="D6720" s="11"/>
      <c r="E6720" s="11"/>
    </row>
    <row r="6721" spans="1:5">
      <c r="A6721" s="12" t="s">
        <v>12981</v>
      </c>
      <c r="B6721" s="12" t="s">
        <v>18564</v>
      </c>
      <c r="C6721" s="13" t="str">
        <f t="shared" ref="C6721:C6722" si="135">HYPERLINK("https://audio.iskcondesiretree.com/02_-_ISKCON_Swamis/ISKCON_Swamis_-_R_to_Y/His_Holiness_Radhanath_Swami/Bhajans/Hare_Krishna_Dhun/IDT_94-Hare_Krishna_Kirtan_-_2010-06-28_Radhanath_Swami.mp3", "IDT_94-Hare_Krishna_Kirtan_-_2010-06-28_Radhanath_Swami.mp3")</f>
        <v>IDT_94-Hare_Krishna_Kirtan_-_2010-06-28_Radhanath_Swami.mp3</v>
      </c>
      <c r="D6721" s="11"/>
      <c r="E6721" s="11"/>
    </row>
    <row r="6722" spans="1:5">
      <c r="A6722" s="12" t="s">
        <v>12981</v>
      </c>
      <c r="B6722" s="12" t="s">
        <v>18564</v>
      </c>
      <c r="C6722" s="13" t="str">
        <f t="shared" si="135"/>
        <v>IDT_94-Hare_Krishna_Kirtan_-_2010-06-28_Radhanath_Swami.mp3</v>
      </c>
      <c r="D6722" s="11"/>
      <c r="E6722" s="11"/>
    </row>
    <row r="6723" spans="1:5">
      <c r="A6723" s="12" t="s">
        <v>12981</v>
      </c>
      <c r="B6723" s="12" t="s">
        <v>18565</v>
      </c>
      <c r="C6723" s="13" t="str">
        <f t="shared" ref="C6723:C6724" si="136">HYPERLINK("https://audio.iskcondesiretree.com/02_-_ISKCON_Swamis/ISKCON_Swamis_-_R_to_Y/His_Holiness_Radhanath_Swami/Bhajans/Hare_Krishna_Dhun/Kirtan_-_Radhanath_Swami.mp3", "Kirtan_-_Radhanath_Swami.mp3")</f>
        <v>Kirtan_-_Radhanath_Swami.mp3</v>
      </c>
      <c r="D6723" s="11"/>
      <c r="E6723" s="11"/>
    </row>
    <row r="6724" spans="1:5">
      <c r="A6724" s="12" t="s">
        <v>12981</v>
      </c>
      <c r="B6724" s="12" t="s">
        <v>18565</v>
      </c>
      <c r="C6724" s="13" t="str">
        <f t="shared" si="136"/>
        <v>Kirtan_-_Radhanath_Swami.mp3</v>
      </c>
      <c r="D6724" s="11"/>
      <c r="E6724" s="11"/>
    </row>
    <row r="6725" spans="1:5">
      <c r="A6725" s="12" t="s">
        <v>12981</v>
      </c>
      <c r="B6725" s="12" t="s">
        <v>18566</v>
      </c>
      <c r="C6725" s="13" t="str">
        <f t="shared" ref="C6725:C6726" si="137">HYPERLINK("https://audio.iskcondesiretree.com/02_-_ISKCON_Swamis/ISKCON_Swamis_-_R_to_Y/His_Holiness_Radhanath_Swami/Bhajans/Vaishnava_Bhajans/2014-08-17_Bhajans_-_Vande_Krishna_Nanda_Kumara_-_Radhanath_Swami_Bhakti_Center.mp3", "2014-08-17_Bhajans_-_Vande_Krishna_Nanda_Kumara_-_Radhanath_Swami_Bhakti_Center.mp3")</f>
        <v>2014-08-17_Bhajans_-_Vande_Krishna_Nanda_Kumara_-_Radhanath_Swami_Bhakti_Center.mp3</v>
      </c>
      <c r="D6725" s="11"/>
      <c r="E6725" s="11"/>
    </row>
    <row r="6726" spans="1:5">
      <c r="A6726" s="12" t="s">
        <v>12981</v>
      </c>
      <c r="B6726" s="12" t="s">
        <v>18566</v>
      </c>
      <c r="C6726" s="13" t="str">
        <f t="shared" si="137"/>
        <v>2014-08-17_Bhajans_-_Vande_Krishna_Nanda_Kumara_-_Radhanath_Swami_Bhakti_Center.mp3</v>
      </c>
      <c r="D6726" s="11"/>
      <c r="E6726" s="11"/>
    </row>
    <row r="6727" spans="1:5">
      <c r="A6727" s="12" t="s">
        <v>12981</v>
      </c>
      <c r="B6727" s="12" t="s">
        <v>18567</v>
      </c>
      <c r="C6727" s="13" t="str">
        <f t="shared" ref="C6727:C6728" si="138">HYPERLINK("https://audio.iskcondesiretree.com/02_-_ISKCON_Swamis/ISKCON_Swamis_-_R_to_Y/His_Holiness_Radhanath_Swami/Bhajans/Vaishnava_Bhajans/Bhajans_-_Narsimha_Arti_-_Radhanath_Swami_ISKCON_Brooklyn.mp3", "Bhajans_-_Narsimha_Arti_-_Radhanath_Swami_ISKCON_Brooklyn.mp3")</f>
        <v>Bhajans_-_Narsimha_Arti_-_Radhanath_Swami_ISKCON_Brooklyn.mp3</v>
      </c>
      <c r="D6727" s="11"/>
      <c r="E6727" s="11"/>
    </row>
    <row r="6728" spans="1:5">
      <c r="A6728" s="12" t="s">
        <v>12981</v>
      </c>
      <c r="B6728" s="12" t="s">
        <v>18567</v>
      </c>
      <c r="C6728" s="13" t="str">
        <f t="shared" si="138"/>
        <v>Bhajans_-_Narsimha_Arti_-_Radhanath_Swami_ISKCON_Brooklyn.mp3</v>
      </c>
      <c r="D6728" s="11"/>
      <c r="E6728" s="11"/>
    </row>
    <row r="6729" spans="1:5">
      <c r="A6729" s="12" t="s">
        <v>12981</v>
      </c>
      <c r="B6729" s="12" t="s">
        <v>18568</v>
      </c>
      <c r="C6729" s="13" t="str">
        <f t="shared" ref="C6729:C6730" si="139">HYPERLINK("https://audio.iskcondesiretree.com/02_-_ISKCON_Swamis/ISKCON_Swamis_-_R_to_Y/His_Holiness_Radhanath_Swami/Bhajans/Vaishnava_Bhajans/IDT_102-Jaya_Radhe_Jaye_Radhe_Radhe_-_2012-02-01_Barsana.mp3", "IDT_102-Jaya_Radhe_Jaye_Radhe_Radhe_-_2012-02-01_Barsana.mp3")</f>
        <v>IDT_102-Jaya_Radhe_Jaye_Radhe_Radhe_-_2012-02-01_Barsana.mp3</v>
      </c>
      <c r="D6729" s="11"/>
      <c r="E6729" s="11"/>
    </row>
    <row r="6730" spans="1:5">
      <c r="A6730" s="12" t="s">
        <v>12981</v>
      </c>
      <c r="B6730" s="12" t="s">
        <v>18568</v>
      </c>
      <c r="C6730" s="13" t="str">
        <f t="shared" si="139"/>
        <v>IDT_102-Jaya_Radhe_Jaye_Radhe_Radhe_-_2012-02-01_Barsana.mp3</v>
      </c>
      <c r="D6730" s="11"/>
      <c r="E6730" s="11"/>
    </row>
    <row r="6731" spans="1:5">
      <c r="A6731" s="12" t="s">
        <v>12981</v>
      </c>
      <c r="B6731" s="12" t="s">
        <v>18569</v>
      </c>
      <c r="C6731" s="13" t="str">
        <f t="shared" ref="C6731:C6732" si="140">HYPERLINK("https://audio.iskcondesiretree.com/02_-_ISKCON_Swamis/ISKCON_Swamis_-_R_to_Y/His_Holiness_Radhanath_Swami/Bhajans/Vaishnava_Bhajans/IDT_Bhajans_-_Akrodha_Paramananda_Nityananda_Rai_-_Radhanath_Swami.mp3", "IDT_Bhajans_-_Akrodha_Paramananda_Nityananda_Rai_-_Radhanath_Swami.mp3")</f>
        <v>IDT_Bhajans_-_Akrodha_Paramananda_Nityananda_Rai_-_Radhanath_Swami.mp3</v>
      </c>
      <c r="D6731" s="11"/>
      <c r="E6731" s="11"/>
    </row>
    <row r="6732" spans="1:5">
      <c r="A6732" s="12" t="s">
        <v>12981</v>
      </c>
      <c r="B6732" s="12" t="s">
        <v>18569</v>
      </c>
      <c r="C6732" s="13" t="str">
        <f t="shared" si="140"/>
        <v>IDT_Bhajans_-_Akrodha_Paramananda_Nityananda_Rai_-_Radhanath_Swami.mp3</v>
      </c>
      <c r="D6732" s="11"/>
      <c r="E6732" s="11"/>
    </row>
    <row r="6733" spans="1:5">
      <c r="A6733" s="12" t="s">
        <v>12981</v>
      </c>
      <c r="B6733" s="12" t="s">
        <v>18570</v>
      </c>
      <c r="C6733" s="13" t="str">
        <f t="shared" ref="C6733:C6734" si="141">HYPERLINK("https://audio.iskcondesiretree.com/02_-_ISKCON_Swamis/ISKCON_Swamis_-_R_to_Y/His_Holiness_Radhanath_Swami/Bhajans/Vaishnava_Bhajans/IDT_Bhajans_-_Ami_Jamuna_Puline_-_Radhanath_Swami.mp3", "IDT_Bhajans_-_Ami_Jamuna_Puline_-_Radhanath_Swami.mp3")</f>
        <v>IDT_Bhajans_-_Ami_Jamuna_Puline_-_Radhanath_Swami.mp3</v>
      </c>
      <c r="D6733" s="11"/>
      <c r="E6733" s="11"/>
    </row>
    <row r="6734" spans="1:5">
      <c r="A6734" s="12" t="s">
        <v>12981</v>
      </c>
      <c r="B6734" s="12" t="s">
        <v>18570</v>
      </c>
      <c r="C6734" s="13" t="str">
        <f t="shared" si="141"/>
        <v>IDT_Bhajans_-_Ami_Jamuna_Puline_-_Radhanath_Swami.mp3</v>
      </c>
      <c r="D6734" s="11"/>
      <c r="E6734" s="11"/>
    </row>
    <row r="6735" spans="1:5">
      <c r="A6735" s="12" t="s">
        <v>12981</v>
      </c>
      <c r="B6735" s="12" t="s">
        <v>18571</v>
      </c>
      <c r="C6735" s="13" t="str">
        <f t="shared" ref="C6735:C6736" si="142">HYPERLINK("https://audio.iskcondesiretree.com/02_-_ISKCON_Swamis/ISKCON_Swamis_-_R_to_Y/His_Holiness_Radhanath_Swami/Bhajans/Vaishnava_Bhajans/IDT_Bhajans_-_Boro_Krpa_Koile_Krsna_-_Sung_by_HH_Radhanath_Swami_IDT_-_Radhanath_Swami.mp3", "IDT_Bhajans_-_Boro_Krpa_Koile_Krsna_-_Sung_by_HH_Radhanath_Swami_IDT_-_Radhanath_Swami.mp3")</f>
        <v>IDT_Bhajans_-_Boro_Krpa_Koile_Krsna_-_Sung_by_HH_Radhanath_Swami_IDT_-_Radhanath_Swami.mp3</v>
      </c>
      <c r="D6735" s="11"/>
      <c r="E6735" s="11"/>
    </row>
    <row r="6736" spans="1:5">
      <c r="A6736" s="12" t="s">
        <v>12981</v>
      </c>
      <c r="B6736" s="12" t="s">
        <v>18571</v>
      </c>
      <c r="C6736" s="13" t="str">
        <f t="shared" si="142"/>
        <v>IDT_Bhajans_-_Boro_Krpa_Koile_Krsna_-_Sung_by_HH_Radhanath_Swami_IDT_-_Radhanath_Swami.mp3</v>
      </c>
      <c r="D6736" s="11"/>
      <c r="E6736" s="11"/>
    </row>
    <row r="6737" spans="1:5">
      <c r="A6737" s="12" t="s">
        <v>12981</v>
      </c>
      <c r="B6737" s="12" t="s">
        <v>18572</v>
      </c>
      <c r="C6737" s="13" t="str">
        <f t="shared" ref="C6737:C6738" si="143">HYPERLINK("https://audio.iskcondesiretree.com/02_-_ISKCON_Swamis/ISKCON_Swamis_-_R_to_Y/His_Holiness_Radhanath_Swami/Bhajans/Vaishnava_Bhajans/IDT_Bhajans_-_Boro_Sukher_Khabor_Gai_-_Radhanath_Swami.mp3", "IDT_Bhajans_-_Boro_Sukher_Khabor_Gai_-_Radhanath_Swami.mp3")</f>
        <v>IDT_Bhajans_-_Boro_Sukher_Khabor_Gai_-_Radhanath_Swami.mp3</v>
      </c>
      <c r="D6737" s="11"/>
      <c r="E6737" s="11"/>
    </row>
    <row r="6738" spans="1:5">
      <c r="A6738" s="12" t="s">
        <v>12981</v>
      </c>
      <c r="B6738" s="12" t="s">
        <v>18572</v>
      </c>
      <c r="C6738" s="13" t="str">
        <f t="shared" si="143"/>
        <v>IDT_Bhajans_-_Boro_Sukher_Khabor_Gai_-_Radhanath_Swami.mp3</v>
      </c>
      <c r="D6738" s="11"/>
      <c r="E6738" s="11"/>
    </row>
    <row r="6739" spans="1:5">
      <c r="A6739" s="12" t="s">
        <v>12981</v>
      </c>
      <c r="B6739" s="12" t="s">
        <v>18573</v>
      </c>
      <c r="C6739" s="13" t="str">
        <f t="shared" ref="C6739:C6740" si="144">HYPERLINK("https://audio.iskcondesiretree.com/02_-_ISKCON_Swamis/ISKCON_Swamis_-_R_to_Y/His_Holiness_Radhanath_Swami/Bhajans/Vaishnava_Bhajans/IDT_Bhajans_-_Damodarastakam-01_-_Radhanath_Swami.MP3", "IDT_Bhajans_-_Damodarastakam-01_-_Radhanath_Swami.MP3")</f>
        <v>IDT_Bhajans_-_Damodarastakam-01_-_Radhanath_Swami.MP3</v>
      </c>
      <c r="D6739" s="11"/>
      <c r="E6739" s="11"/>
    </row>
    <row r="6740" spans="1:5">
      <c r="A6740" s="12" t="s">
        <v>12981</v>
      </c>
      <c r="B6740" s="12" t="s">
        <v>18573</v>
      </c>
      <c r="C6740" s="13" t="str">
        <f t="shared" si="144"/>
        <v>IDT_Bhajans_-_Damodarastakam-01_-_Radhanath_Swami.MP3</v>
      </c>
      <c r="D6740" s="11"/>
      <c r="E6740" s="11"/>
    </row>
    <row r="6741" spans="1:5">
      <c r="A6741" s="12" t="s">
        <v>12981</v>
      </c>
      <c r="B6741" s="12" t="s">
        <v>18574</v>
      </c>
      <c r="C6741" s="13" t="str">
        <f t="shared" ref="C6741:C6742" si="145">HYPERLINK("https://audio.iskcondesiretree.com/02_-_ISKCON_Swamis/ISKCON_Swamis_-_R_to_Y/His_Holiness_Radhanath_Swami/Bhajans/Vaishnava_Bhajans/IDT_Bhajans_-_Damodarastakam-02_-_Radhanath_Swami.mp3", "IDT_Bhajans_-_Damodarastakam-02_-_Radhanath_Swami.mp3")</f>
        <v>IDT_Bhajans_-_Damodarastakam-02_-_Radhanath_Swami.mp3</v>
      </c>
      <c r="D6741" s="11"/>
      <c r="E6741" s="11"/>
    </row>
    <row r="6742" spans="1:5">
      <c r="A6742" s="12" t="s">
        <v>12981</v>
      </c>
      <c r="B6742" s="12" t="s">
        <v>18574</v>
      </c>
      <c r="C6742" s="13" t="str">
        <f t="shared" si="145"/>
        <v>IDT_Bhajans_-_Damodarastakam-02_-_Radhanath_Swami.mp3</v>
      </c>
      <c r="D6742" s="11"/>
      <c r="E6742" s="11"/>
    </row>
    <row r="6743" spans="1:5">
      <c r="A6743" s="12" t="s">
        <v>12981</v>
      </c>
      <c r="B6743" s="12" t="s">
        <v>18575</v>
      </c>
      <c r="C6743" s="13" t="str">
        <f t="shared" ref="C6743:C6744" si="146">HYPERLINK("https://audio.iskcondesiretree.com/02_-_ISKCON_Swamis/ISKCON_Swamis_-_R_to_Y/His_Holiness_Radhanath_Swami/Bhajans/Vaishnava_Bhajans/IDT_Bhajans_-_Damodarastakam-03_-_Radhanath_Swami.mp3", "IDT_Bhajans_-_Damodarastakam-03_-_Radhanath_Swami.mp3")</f>
        <v>IDT_Bhajans_-_Damodarastakam-03_-_Radhanath_Swami.mp3</v>
      </c>
      <c r="D6743" s="11"/>
      <c r="E6743" s="11"/>
    </row>
    <row r="6744" spans="1:5">
      <c r="A6744" s="12" t="s">
        <v>12981</v>
      </c>
      <c r="B6744" s="12" t="s">
        <v>18575</v>
      </c>
      <c r="C6744" s="13" t="str">
        <f t="shared" si="146"/>
        <v>IDT_Bhajans_-_Damodarastakam-03_-_Radhanath_Swami.mp3</v>
      </c>
      <c r="D6744" s="11"/>
      <c r="E6744" s="11"/>
    </row>
    <row r="6745" spans="1:5">
      <c r="A6745" s="12" t="s">
        <v>12981</v>
      </c>
      <c r="B6745" s="12" t="s">
        <v>18576</v>
      </c>
      <c r="C6745" s="13" t="str">
        <f t="shared" ref="C6745:C6746" si="147">HYPERLINK("https://audio.iskcondesiretree.com/02_-_ISKCON_Swamis/ISKCON_Swamis_-_R_to_Y/His_Holiness_Radhanath_Swami/Bhajans/Vaishnava_Bhajans/IDT_Bhajans_-_Damodarastakam_-_2001_Radhanath_Sw_Vrindavan.mp3", "IDT_Bhajans_-_Damodarastakam_-_2001_Radhanath_Sw_Vrindavan.mp3")</f>
        <v>IDT_Bhajans_-_Damodarastakam_-_2001_Radhanath_Sw_Vrindavan.mp3</v>
      </c>
      <c r="D6745" s="11"/>
      <c r="E6745" s="11"/>
    </row>
    <row r="6746" spans="1:5">
      <c r="A6746" s="12" t="s">
        <v>12981</v>
      </c>
      <c r="B6746" s="12" t="s">
        <v>18576</v>
      </c>
      <c r="C6746" s="13" t="str">
        <f t="shared" si="147"/>
        <v>IDT_Bhajans_-_Damodarastakam_-_2001_Radhanath_Sw_Vrindavan.mp3</v>
      </c>
      <c r="D6746" s="11"/>
      <c r="E6746" s="11"/>
    </row>
    <row r="6747" spans="1:5">
      <c r="A6747" s="12" t="s">
        <v>12981</v>
      </c>
      <c r="B6747" s="12" t="s">
        <v>18577</v>
      </c>
      <c r="C6747" s="13" t="str">
        <f t="shared" ref="C6747:C6748" si="148">HYPERLINK("https://audio.iskcondesiretree.com/02_-_ISKCON_Swamis/ISKCON_Swamis_-_R_to_Y/His_Holiness_Radhanath_Swami/Bhajans/Vaishnava_Bhajans/IDT_Bhajans_-_Damodarastakam_-_2011-10-26_Radhanath_Swami_Vrindavan.MP3", "IDT_Bhajans_-_Damodarastakam_-_2011-10-26_Radhanath_Swami_Vrindavan.MP3")</f>
        <v>IDT_Bhajans_-_Damodarastakam_-_2011-10-26_Radhanath_Swami_Vrindavan.MP3</v>
      </c>
      <c r="D6747" s="11"/>
      <c r="E6747" s="11"/>
    </row>
    <row r="6748" spans="1:5">
      <c r="A6748" s="12" t="s">
        <v>12981</v>
      </c>
      <c r="B6748" s="12" t="s">
        <v>18577</v>
      </c>
      <c r="C6748" s="13" t="str">
        <f t="shared" si="148"/>
        <v>IDT_Bhajans_-_Damodarastakam_-_2011-10-26_Radhanath_Swami_Vrindavan.MP3</v>
      </c>
      <c r="D6748" s="11"/>
      <c r="E6748" s="11"/>
    </row>
    <row r="6749" spans="1:5">
      <c r="A6749" s="12" t="s">
        <v>12981</v>
      </c>
      <c r="B6749" s="12" t="s">
        <v>18578</v>
      </c>
      <c r="C6749" s="13" t="str">
        <f t="shared" ref="C6749:C6750" si="149">HYPERLINK("https://audio.iskcondesiretree.com/02_-_ISKCON_Swamis/ISKCON_Swamis_-_R_to_Y/His_Holiness_Radhanath_Swami/Bhajans/Vaishnava_Bhajans/IDT_Bhajans_-_Damodarastakam_-_Radhanath_Swami_2007-10-27.mp3", "IDT_Bhajans_-_Damodarastakam_-_Radhanath_Swami_2007-10-27.mp3")</f>
        <v>IDT_Bhajans_-_Damodarastakam_-_Radhanath_Swami_2007-10-27.mp3</v>
      </c>
      <c r="D6749" s="11"/>
      <c r="E6749" s="11"/>
    </row>
    <row r="6750" spans="1:5">
      <c r="A6750" s="12" t="s">
        <v>12981</v>
      </c>
      <c r="B6750" s="12" t="s">
        <v>18578</v>
      </c>
      <c r="C6750" s="13" t="str">
        <f t="shared" si="149"/>
        <v>IDT_Bhajans_-_Damodarastakam_-_Radhanath_Swami_2007-10-27.mp3</v>
      </c>
      <c r="D6750" s="11"/>
      <c r="E6750" s="11"/>
    </row>
    <row r="6751" spans="1:5">
      <c r="A6751" s="12" t="s">
        <v>12981</v>
      </c>
      <c r="B6751" s="12" t="s">
        <v>18579</v>
      </c>
      <c r="C6751" s="13" t="str">
        <f t="shared" ref="C6751:C6752" si="150">HYPERLINK("https://audio.iskcondesiretree.com/02_-_ISKCON_Swamis/ISKCON_Swamis_-_R_to_Y/His_Holiness_Radhanath_Swami/Bhajans/Vaishnava_Bhajans/IDT_Bhajans_-_Damodarastakam_-_Radhanath_Swami_2007-10-28.mp3", "IDT_Bhajans_-_Damodarastakam_-_Radhanath_Swami_2007-10-28.mp3")</f>
        <v>IDT_Bhajans_-_Damodarastakam_-_Radhanath_Swami_2007-10-28.mp3</v>
      </c>
      <c r="D6751" s="11"/>
      <c r="E6751" s="11"/>
    </row>
    <row r="6752" spans="1:5">
      <c r="A6752" s="12" t="s">
        <v>12981</v>
      </c>
      <c r="B6752" s="12" t="s">
        <v>18579</v>
      </c>
      <c r="C6752" s="13" t="str">
        <f t="shared" si="150"/>
        <v>IDT_Bhajans_-_Damodarastakam_-_Radhanath_Swami_2007-10-28.mp3</v>
      </c>
      <c r="D6752" s="11"/>
      <c r="E6752" s="11"/>
    </row>
    <row r="6753" spans="1:5">
      <c r="A6753" s="12" t="s">
        <v>12981</v>
      </c>
      <c r="B6753" s="12" t="s">
        <v>18580</v>
      </c>
      <c r="C6753" s="13" t="str">
        <f t="shared" ref="C6753:C6754" si="151">HYPERLINK("https://audio.iskcondesiretree.com/02_-_ISKCON_Swamis/ISKCON_Swamis_-_R_to_Y/His_Holiness_Radhanath_Swami/Bhajans/Vaishnava_Bhajans/IDT_Bhajans_-_Dashavatara_Stotra_-_Radhanath_Swami.mp3", "IDT_Bhajans_-_Dashavatara_Stotra_-_Radhanath_Swami.mp3")</f>
        <v>IDT_Bhajans_-_Dashavatara_Stotra_-_Radhanath_Swami.mp3</v>
      </c>
      <c r="D6753" s="11"/>
      <c r="E6753" s="11"/>
    </row>
    <row r="6754" spans="1:5">
      <c r="A6754" s="12" t="s">
        <v>12981</v>
      </c>
      <c r="B6754" s="12" t="s">
        <v>18580</v>
      </c>
      <c r="C6754" s="13" t="str">
        <f t="shared" si="151"/>
        <v>IDT_Bhajans_-_Dashavatara_Stotra_-_Radhanath_Swami.mp3</v>
      </c>
      <c r="D6754" s="11"/>
      <c r="E6754" s="11"/>
    </row>
    <row r="6755" spans="1:5">
      <c r="A6755" s="12" t="s">
        <v>12981</v>
      </c>
      <c r="B6755" s="12" t="s">
        <v>18581</v>
      </c>
      <c r="C6755" s="13" t="str">
        <f t="shared" ref="C6755:C6756" si="152">HYPERLINK("https://audio.iskcondesiretree.com/02_-_ISKCON_Swamis/ISKCON_Swamis_-_R_to_Y/His_Holiness_Radhanath_Swami/Bhajans/Vaishnava_Bhajans/IDT_Bhajans_-_Doyal_Nitai_Caitanya_Bole_-_Radhanath_Swami.mp3", "IDT_Bhajans_-_Doyal_Nitai_Caitanya_Bole_-_Radhanath_Swami.mp3")</f>
        <v>IDT_Bhajans_-_Doyal_Nitai_Caitanya_Bole_-_Radhanath_Swami.mp3</v>
      </c>
      <c r="D6755" s="11"/>
      <c r="E6755" s="11"/>
    </row>
    <row r="6756" spans="1:5">
      <c r="A6756" s="12" t="s">
        <v>12981</v>
      </c>
      <c r="B6756" s="12" t="s">
        <v>18581</v>
      </c>
      <c r="C6756" s="13" t="str">
        <f t="shared" si="152"/>
        <v>IDT_Bhajans_-_Doyal_Nitai_Caitanya_Bole_-_Radhanath_Swami.mp3</v>
      </c>
      <c r="D6756" s="11"/>
      <c r="E6756" s="11"/>
    </row>
    <row r="6757" spans="1:5">
      <c r="A6757" s="12" t="s">
        <v>12981</v>
      </c>
      <c r="B6757" s="12" t="s">
        <v>18582</v>
      </c>
      <c r="C6757" s="13" t="str">
        <f t="shared" ref="C6757:C6758" si="153">HYPERLINK("https://audio.iskcondesiretree.com/02_-_ISKCON_Swamis/ISKCON_Swamis_-_R_to_Y/His_Holiness_Radhanath_Swami/Bhajans/Vaishnava_Bhajans/IDT_Bhajans_-_Durlabh_Manava_Janma_-_Radhanath_Swami.mp3", "IDT_Bhajans_-_Durlabh_Manava_Janma_-_Radhanath_Swami.mp3")</f>
        <v>IDT_Bhajans_-_Durlabh_Manava_Janma_-_Radhanath_Swami.mp3</v>
      </c>
      <c r="D6757" s="11"/>
      <c r="E6757" s="11"/>
    </row>
    <row r="6758" spans="1:5">
      <c r="A6758" s="12" t="s">
        <v>12981</v>
      </c>
      <c r="B6758" s="12" t="s">
        <v>18582</v>
      </c>
      <c r="C6758" s="13" t="str">
        <f t="shared" si="153"/>
        <v>IDT_Bhajans_-_Durlabh_Manava_Janma_-_Radhanath_Swami.mp3</v>
      </c>
      <c r="D6758" s="11"/>
      <c r="E6758" s="11"/>
    </row>
    <row r="6759" spans="1:5">
      <c r="A6759" s="12" t="s">
        <v>12981</v>
      </c>
      <c r="B6759" s="12" t="s">
        <v>18583</v>
      </c>
      <c r="C6759" s="13" t="str">
        <f t="shared" ref="C6759:C6760" si="154">HYPERLINK("https://audio.iskcondesiretree.com/02_-_ISKCON_Swamis/ISKCON_Swamis_-_R_to_Y/His_Holiness_Radhanath_Swami/Bhajans/Vaishnava_Bhajans/IDT_Bhajans_-_Durlabha_Manava_Janma_-_Radhanath_Swami.mp3", "IDT_Bhajans_-_Durlabha_Manava_Janma_-_Radhanath_Swami.mp3")</f>
        <v>IDT_Bhajans_-_Durlabha_Manava_Janma_-_Radhanath_Swami.mp3</v>
      </c>
      <c r="D6759" s="11"/>
      <c r="E6759" s="11"/>
    </row>
    <row r="6760" spans="1:5">
      <c r="A6760" s="12" t="s">
        <v>12981</v>
      </c>
      <c r="B6760" s="12" t="s">
        <v>18583</v>
      </c>
      <c r="C6760" s="13" t="str">
        <f t="shared" si="154"/>
        <v>IDT_Bhajans_-_Durlabha_Manava_Janma_-_Radhanath_Swami.mp3</v>
      </c>
      <c r="D6760" s="11"/>
      <c r="E6760" s="11"/>
    </row>
    <row r="6761" spans="1:5">
      <c r="A6761" s="12" t="s">
        <v>12981</v>
      </c>
      <c r="B6761" s="12" t="s">
        <v>18584</v>
      </c>
      <c r="C6761" s="13" t="str">
        <f t="shared" ref="C6761:C6762" si="155">HYPERLINK("https://audio.iskcondesiretree.com/02_-_ISKCON_Swamis/ISKCON_Swamis_-_R_to_Y/His_Holiness_Radhanath_Swami/Bhajans/Vaishnava_Bhajans/IDT_Bhajans_-_Ekhona_Bujhinu-01_-_Radhanath_Swami.mp3", "IDT_Bhajans_-_Ekhona_Bujhinu-01_-_Radhanath_Swami.mp3")</f>
        <v>IDT_Bhajans_-_Ekhona_Bujhinu-01_-_Radhanath_Swami.mp3</v>
      </c>
      <c r="D6761" s="11"/>
      <c r="E6761" s="11"/>
    </row>
    <row r="6762" spans="1:5">
      <c r="A6762" s="12" t="s">
        <v>12981</v>
      </c>
      <c r="B6762" s="12" t="s">
        <v>18584</v>
      </c>
      <c r="C6762" s="13" t="str">
        <f t="shared" si="155"/>
        <v>IDT_Bhajans_-_Ekhona_Bujhinu-01_-_Radhanath_Swami.mp3</v>
      </c>
      <c r="D6762" s="11"/>
      <c r="E6762" s="11"/>
    </row>
    <row r="6763" spans="1:5">
      <c r="A6763" s="12" t="s">
        <v>12981</v>
      </c>
      <c r="B6763" s="12" t="s">
        <v>18585</v>
      </c>
      <c r="C6763" s="13" t="str">
        <f t="shared" ref="C6763:C6764" si="156">HYPERLINK("https://audio.iskcondesiretree.com/02_-_ISKCON_Swamis/ISKCON_Swamis_-_R_to_Y/His_Holiness_Radhanath_Swami/Bhajans/Vaishnava_Bhajans/IDT_Bhajans_-_Gaur_Purnima_Bhajan_Sachisutashtakam_-_Radhanath_Swami_-_2011-03-19_ISKCON_Chowpatty.mp3", "IDT_Bhajans_-_Gaur_Purnima_Bhajan_Sachisutashtakam_-_Radhanath_Swami_-_2011-03-19_ISKCON_Chowpatty.mp3")</f>
        <v>IDT_Bhajans_-_Gaur_Purnima_Bhajan_Sachisutashtakam_-_Radhanath_Swami_-_2011-03-19_ISKCON_Chowpatty.mp3</v>
      </c>
      <c r="D6763" s="11"/>
      <c r="E6763" s="11"/>
    </row>
    <row r="6764" spans="1:5">
      <c r="A6764" s="12" t="s">
        <v>12981</v>
      </c>
      <c r="B6764" s="12" t="s">
        <v>18585</v>
      </c>
      <c r="C6764" s="13" t="str">
        <f t="shared" si="156"/>
        <v>IDT_Bhajans_-_Gaur_Purnima_Bhajan_Sachisutashtakam_-_Radhanath_Swami_-_2011-03-19_ISKCON_Chowpatty.mp3</v>
      </c>
      <c r="D6764" s="11"/>
      <c r="E6764" s="11"/>
    </row>
    <row r="6765" spans="1:5">
      <c r="A6765" s="12" t="s">
        <v>12981</v>
      </c>
      <c r="B6765" s="12" t="s">
        <v>18586</v>
      </c>
      <c r="C6765" s="13" t="str">
        <f t="shared" ref="C6765:C6766" si="157">HYPERLINK("https://audio.iskcondesiretree.com/02_-_ISKCON_Swamis/ISKCON_Swamis_-_R_to_Y/His_Holiness_Radhanath_Swami/Bhajans/Vaishnava_Bhajans/IDT_Bhajans_-_Gauranga_Bolite_Habe-01_-_Radhanath_Swami.mp3", "IDT_Bhajans_-_Gauranga_Bolite_Habe-01_-_Radhanath_Swami.mp3")</f>
        <v>IDT_Bhajans_-_Gauranga_Bolite_Habe-01_-_Radhanath_Swami.mp3</v>
      </c>
      <c r="D6765" s="11"/>
      <c r="E6765" s="11"/>
    </row>
    <row r="6766" spans="1:5">
      <c r="A6766" s="12" t="s">
        <v>12981</v>
      </c>
      <c r="B6766" s="12" t="s">
        <v>18586</v>
      </c>
      <c r="C6766" s="13" t="str">
        <f t="shared" si="157"/>
        <v>IDT_Bhajans_-_Gauranga_Bolite_Habe-01_-_Radhanath_Swami.mp3</v>
      </c>
      <c r="D6766" s="11"/>
      <c r="E6766" s="11"/>
    </row>
    <row r="6767" spans="1:5">
      <c r="A6767" s="12" t="s">
        <v>12981</v>
      </c>
      <c r="B6767" s="12" t="s">
        <v>18587</v>
      </c>
      <c r="C6767" s="13" t="str">
        <f t="shared" ref="C6767:C6768" si="158">HYPERLINK("https://audio.iskcondesiretree.com/02_-_ISKCON_Swamis/ISKCON_Swamis_-_R_to_Y/His_Holiness_Radhanath_Swami/Bhajans/Vaishnava_Bhajans/IDT_Bhajans_-_Gauranga_Bolite_Habe-02_-_Radhanath_Swami.mp3", "IDT_Bhajans_-_Gauranga_Bolite_Habe-02_-_Radhanath_Swami.mp3")</f>
        <v>IDT_Bhajans_-_Gauranga_Bolite_Habe-02_-_Radhanath_Swami.mp3</v>
      </c>
      <c r="D6767" s="11"/>
      <c r="E6767" s="11"/>
    </row>
    <row r="6768" spans="1:5">
      <c r="A6768" s="12" t="s">
        <v>12981</v>
      </c>
      <c r="B6768" s="12" t="s">
        <v>18587</v>
      </c>
      <c r="C6768" s="13" t="str">
        <f t="shared" si="158"/>
        <v>IDT_Bhajans_-_Gauranga_Bolite_Habe-02_-_Radhanath_Swami.mp3</v>
      </c>
      <c r="D6768" s="11"/>
      <c r="E6768" s="11"/>
    </row>
    <row r="6769" spans="1:5">
      <c r="A6769" s="12" t="s">
        <v>12981</v>
      </c>
      <c r="B6769" s="12" t="s">
        <v>18588</v>
      </c>
      <c r="C6769" s="13" t="str">
        <f t="shared" ref="C6769:C6770" si="159">HYPERLINK("https://audio.iskcondesiretree.com/02_-_ISKCON_Swamis/ISKCON_Swamis_-_R_to_Y/His_Holiness_Radhanath_Swami/Bhajans/Vaishnava_Bhajans/IDT_Bhajans_-_Gauranga_Bolite_Habe-03_-_Radhanath_Swami.mp3", "IDT_Bhajans_-_Gauranga_Bolite_Habe-03_-_Radhanath_Swami.mp3")</f>
        <v>IDT_Bhajans_-_Gauranga_Bolite_Habe-03_-_Radhanath_Swami.mp3</v>
      </c>
      <c r="D6769" s="11"/>
      <c r="E6769" s="11"/>
    </row>
    <row r="6770" spans="1:5">
      <c r="A6770" s="12" t="s">
        <v>12981</v>
      </c>
      <c r="B6770" s="12" t="s">
        <v>18588</v>
      </c>
      <c r="C6770" s="13" t="str">
        <f t="shared" si="159"/>
        <v>IDT_Bhajans_-_Gauranga_Bolite_Habe-03_-_Radhanath_Swami.mp3</v>
      </c>
      <c r="D6770" s="11"/>
      <c r="E6770" s="11"/>
    </row>
    <row r="6771" spans="1:5">
      <c r="A6771" s="12" t="s">
        <v>12981</v>
      </c>
      <c r="B6771" s="12" t="s">
        <v>18589</v>
      </c>
      <c r="C6771" s="13" t="str">
        <f t="shared" ref="C6771:C6772" si="160">HYPERLINK("https://audio.iskcondesiretree.com/02_-_ISKCON_Swamis/ISKCON_Swamis_-_R_to_Y/His_Holiness_Radhanath_Swami/Bhajans/Vaishnava_Bhajans/IDT_Bhajans_-_Gauranga_Bolite_Habe_-_Radhanath_Swami_-_2008-03-23.mp3", "IDT_Bhajans_-_Gauranga_Bolite_Habe_-_Radhanath_Swami_-_2008-03-23.mp3")</f>
        <v>IDT_Bhajans_-_Gauranga_Bolite_Habe_-_Radhanath_Swami_-_2008-03-23.mp3</v>
      </c>
      <c r="D6771" s="11"/>
      <c r="E6771" s="11"/>
    </row>
    <row r="6772" spans="1:5">
      <c r="A6772" s="12" t="s">
        <v>12981</v>
      </c>
      <c r="B6772" s="12" t="s">
        <v>18589</v>
      </c>
      <c r="C6772" s="13" t="str">
        <f t="shared" si="160"/>
        <v>IDT_Bhajans_-_Gauranga_Bolite_Habe_-_Radhanath_Swami_-_2008-03-23.mp3</v>
      </c>
      <c r="D6772" s="11"/>
      <c r="E6772" s="11"/>
    </row>
    <row r="6773" spans="1:5">
      <c r="A6773" s="12" t="s">
        <v>12981</v>
      </c>
      <c r="B6773" s="12" t="s">
        <v>18590</v>
      </c>
      <c r="C6773" s="13" t="str">
        <f t="shared" ref="C6773:C6774" si="161">HYPERLINK("https://audio.iskcondesiretree.com/02_-_ISKCON_Swamis/ISKCON_Swamis_-_R_to_Y/His_Holiness_Radhanath_Swami/Bhajans/Vaishnava_Bhajans/IDT_Bhajans_-_Gauranga_Tumi_More-01_-_Radhanath_Swami.mp3", "IDT_Bhajans_-_Gauranga_Tumi_More-01_-_Radhanath_Swami.mp3")</f>
        <v>IDT_Bhajans_-_Gauranga_Tumi_More-01_-_Radhanath_Swami.mp3</v>
      </c>
      <c r="D6773" s="11"/>
      <c r="E6773" s="11"/>
    </row>
    <row r="6774" spans="1:5">
      <c r="A6774" s="12" t="s">
        <v>12981</v>
      </c>
      <c r="B6774" s="12" t="s">
        <v>18590</v>
      </c>
      <c r="C6774" s="13" t="str">
        <f t="shared" si="161"/>
        <v>IDT_Bhajans_-_Gauranga_Tumi_More-01_-_Radhanath_Swami.mp3</v>
      </c>
      <c r="D6774" s="11"/>
      <c r="E6774" s="11"/>
    </row>
    <row r="6775" spans="1:5">
      <c r="A6775" s="12" t="s">
        <v>12981</v>
      </c>
      <c r="B6775" s="12" t="s">
        <v>18591</v>
      </c>
      <c r="C6775" s="13" t="str">
        <f t="shared" ref="C6775:C6776" si="162">HYPERLINK("https://audio.iskcondesiretree.com/02_-_ISKCON_Swamis/ISKCON_Swamis_-_R_to_Y/His_Holiness_Radhanath_Swami/Bhajans/Vaishnava_Bhajans/IDT_Bhajans_-_Gauranga_Tumi_More-02_-_Radhanath_Swami.mp3", "IDT_Bhajans_-_Gauranga_Tumi_More-02_-_Radhanath_Swami.mp3")</f>
        <v>IDT_Bhajans_-_Gauranga_Tumi_More-02_-_Radhanath_Swami.mp3</v>
      </c>
      <c r="D6775" s="11"/>
      <c r="E6775" s="11"/>
    </row>
    <row r="6776" spans="1:5">
      <c r="A6776" s="12" t="s">
        <v>12981</v>
      </c>
      <c r="B6776" s="12" t="s">
        <v>18591</v>
      </c>
      <c r="C6776" s="13" t="str">
        <f t="shared" si="162"/>
        <v>IDT_Bhajans_-_Gauranga_Tumi_More-02_-_Radhanath_Swami.mp3</v>
      </c>
      <c r="D6776" s="11"/>
      <c r="E6776" s="11"/>
    </row>
    <row r="6777" spans="1:5">
      <c r="A6777" s="12" t="s">
        <v>12981</v>
      </c>
      <c r="B6777" s="12" t="s">
        <v>18592</v>
      </c>
      <c r="C6777" s="13" t="str">
        <f t="shared" ref="C6777:C6778" si="163">HYPERLINK("https://audio.iskcondesiretree.com/02_-_ISKCON_Swamis/ISKCON_Swamis_-_R_to_Y/His_Holiness_Radhanath_Swami/Bhajans/Vaishnava_Bhajans/IDT_Bhajans_-_Gay_Gaur_Madhur_Sware_-_Radhanath_Swami.mp3", "IDT_Bhajans_-_Gay_Gaur_Madhur_Sware_-_Radhanath_Swami.mp3")</f>
        <v>IDT_Bhajans_-_Gay_Gaur_Madhur_Sware_-_Radhanath_Swami.mp3</v>
      </c>
      <c r="D6777" s="11"/>
      <c r="E6777" s="11"/>
    </row>
    <row r="6778" spans="1:5">
      <c r="A6778" s="12" t="s">
        <v>12981</v>
      </c>
      <c r="B6778" s="12" t="s">
        <v>18592</v>
      </c>
      <c r="C6778" s="13" t="str">
        <f t="shared" si="163"/>
        <v>IDT_Bhajans_-_Gay_Gaur_Madhur_Sware_-_Radhanath_Swami.mp3</v>
      </c>
      <c r="D6778" s="11"/>
      <c r="E6778" s="11"/>
    </row>
    <row r="6779" spans="1:5">
      <c r="A6779" s="12" t="s">
        <v>12981</v>
      </c>
      <c r="B6779" s="12" t="s">
        <v>18593</v>
      </c>
      <c r="C6779" s="13" t="str">
        <f t="shared" ref="C6779:C6780" si="164">HYPERLINK("https://audio.iskcondesiretree.com/02_-_ISKCON_Swamis/ISKCON_Swamis_-_R_to_Y/His_Holiness_Radhanath_Swami/Bhajans/Vaishnava_Bhajans/IDT_Bhajans_-_Gopinath-01_-_Radhanath_Swami.mp3", "IDT_Bhajans_-_Gopinath-01_-_Radhanath_Swami.mp3")</f>
        <v>IDT_Bhajans_-_Gopinath-01_-_Radhanath_Swami.mp3</v>
      </c>
      <c r="D6779" s="11"/>
      <c r="E6779" s="11"/>
    </row>
    <row r="6780" spans="1:5">
      <c r="A6780" s="12" t="s">
        <v>12981</v>
      </c>
      <c r="B6780" s="12" t="s">
        <v>18593</v>
      </c>
      <c r="C6780" s="13" t="str">
        <f t="shared" si="164"/>
        <v>IDT_Bhajans_-_Gopinath-01_-_Radhanath_Swami.mp3</v>
      </c>
      <c r="D6780" s="11"/>
      <c r="E6780" s="11"/>
    </row>
    <row r="6781" spans="1:5">
      <c r="A6781" s="12" t="s">
        <v>12981</v>
      </c>
      <c r="B6781" s="12" t="s">
        <v>18594</v>
      </c>
      <c r="C6781" s="13" t="str">
        <f t="shared" ref="C6781:C6782" si="165">HYPERLINK("https://audio.iskcondesiretree.com/02_-_ISKCON_Swamis/ISKCON_Swamis_-_R_to_Y/His_Holiness_Radhanath_Swami/Bhajans/Vaishnava_Bhajans/IDT_Bhajans_-_Gopinath-02_-_Radhanath_Swami.mp3", "IDT_Bhajans_-_Gopinath-02_-_Radhanath_Swami.mp3")</f>
        <v>IDT_Bhajans_-_Gopinath-02_-_Radhanath_Swami.mp3</v>
      </c>
      <c r="D6781" s="11"/>
      <c r="E6781" s="11"/>
    </row>
    <row r="6782" spans="1:5">
      <c r="A6782" s="12" t="s">
        <v>12981</v>
      </c>
      <c r="B6782" s="12" t="s">
        <v>18594</v>
      </c>
      <c r="C6782" s="13" t="str">
        <f t="shared" si="165"/>
        <v>IDT_Bhajans_-_Gopinath-02_-_Radhanath_Swami.mp3</v>
      </c>
      <c r="D6782" s="11"/>
      <c r="E6782" s="11"/>
    </row>
    <row r="6783" spans="1:5">
      <c r="A6783" s="12" t="s">
        <v>12981</v>
      </c>
      <c r="B6783" s="12" t="s">
        <v>18595</v>
      </c>
      <c r="C6783" s="13" t="str">
        <f t="shared" ref="C6783:C6784" si="166">HYPERLINK("https://audio.iskcondesiretree.com/02_-_ISKCON_Swamis/ISKCON_Swamis_-_R_to_Y/His_Holiness_Radhanath_Swami/Bhajans/Vaishnava_Bhajans/IDT_Bhajans_-_Gopinath-03_-_Radhanath_Swami.mp3", "IDT_Bhajans_-_Gopinath-03_-_Radhanath_Swami.mp3")</f>
        <v>IDT_Bhajans_-_Gopinath-03_-_Radhanath_Swami.mp3</v>
      </c>
      <c r="D6783" s="11"/>
      <c r="E6783" s="11"/>
    </row>
    <row r="6784" spans="1:5">
      <c r="A6784" s="12" t="s">
        <v>12981</v>
      </c>
      <c r="B6784" s="12" t="s">
        <v>18595</v>
      </c>
      <c r="C6784" s="13" t="str">
        <f t="shared" si="166"/>
        <v>IDT_Bhajans_-_Gopinath-03_-_Radhanath_Swami.mp3</v>
      </c>
      <c r="D6784" s="11"/>
      <c r="E6784" s="11"/>
    </row>
    <row r="6785" spans="1:5">
      <c r="A6785" s="12" t="s">
        <v>12981</v>
      </c>
      <c r="B6785" s="12" t="s">
        <v>18596</v>
      </c>
      <c r="C6785" s="13" t="str">
        <f t="shared" ref="C6785:C6786" si="167">HYPERLINK("https://audio.iskcondesiretree.com/02_-_ISKCON_Swamis/ISKCON_Swamis_-_R_to_Y/His_Holiness_Radhanath_Swami/Bhajans/Vaishnava_Bhajans/IDT_Bhajans_-_Govind_Hari_Gopal_Hari_-_Radhanath_Swami.mp3", "IDT_Bhajans_-_Govind_Hari_Gopal_Hari_-_Radhanath_Swami.mp3")</f>
        <v>IDT_Bhajans_-_Govind_Hari_Gopal_Hari_-_Radhanath_Swami.mp3</v>
      </c>
      <c r="D6785" s="11"/>
      <c r="E6785" s="11"/>
    </row>
    <row r="6786" spans="1:5">
      <c r="A6786" s="12" t="s">
        <v>12981</v>
      </c>
      <c r="B6786" s="12" t="s">
        <v>18596</v>
      </c>
      <c r="C6786" s="13" t="str">
        <f t="shared" si="167"/>
        <v>IDT_Bhajans_-_Govind_Hari_Gopal_Hari_-_Radhanath_Swami.mp3</v>
      </c>
      <c r="D6786" s="11"/>
      <c r="E6786" s="11"/>
    </row>
    <row r="6787" spans="1:5">
      <c r="A6787" s="12" t="s">
        <v>12981</v>
      </c>
      <c r="B6787" s="12" t="s">
        <v>18597</v>
      </c>
      <c r="C6787" s="13" t="str">
        <f t="shared" ref="C6787:C6788" si="168">HYPERLINK("https://audio.iskcondesiretree.com/02_-_ISKCON_Swamis/ISKCON_Swamis_-_R_to_Y/His_Holiness_Radhanath_Swami/Bhajans/Vaishnava_Bhajans/IDT_Bhajans_-_Hari_He_Doyala_Mora_-_Radhanath_Swami.mp3", "IDT_Bhajans_-_Hari_He_Doyala_Mora_-_Radhanath_Swami.mp3")</f>
        <v>IDT_Bhajans_-_Hari_He_Doyala_Mora_-_Radhanath_Swami.mp3</v>
      </c>
      <c r="D6787" s="11"/>
      <c r="E6787" s="11"/>
    </row>
    <row r="6788" spans="1:5">
      <c r="A6788" s="12" t="s">
        <v>12981</v>
      </c>
      <c r="B6788" s="12" t="s">
        <v>18597</v>
      </c>
      <c r="C6788" s="13" t="str">
        <f t="shared" si="168"/>
        <v>IDT_Bhajans_-_Hari_He_Doyala_Mora_-_Radhanath_Swami.mp3</v>
      </c>
      <c r="D6788" s="11"/>
      <c r="E6788" s="11"/>
    </row>
    <row r="6789" spans="1:5">
      <c r="A6789" s="12" t="s">
        <v>12981</v>
      </c>
      <c r="B6789" s="12" t="s">
        <v>18598</v>
      </c>
      <c r="C6789" s="13" t="str">
        <f t="shared" ref="C6789:C6790" si="169">HYPERLINK("https://audio.iskcondesiretree.com/02_-_ISKCON_Swamis/ISKCON_Swamis_-_R_to_Y/His_Holiness_Radhanath_Swami/Bhajans/Vaishnava_Bhajans/IDT_Bhajans_-_Jay_Jay_Radhe_Jay_Jay_Shyam_-_Radhanath_Swami.mp3", "IDT_Bhajans_-_Jay_Jay_Radhe_Jay_Jay_Shyam_-_Radhanath_Swami.mp3")</f>
        <v>IDT_Bhajans_-_Jay_Jay_Radhe_Jay_Jay_Shyam_-_Radhanath_Swami.mp3</v>
      </c>
      <c r="D6789" s="11"/>
      <c r="E6789" s="11"/>
    </row>
    <row r="6790" spans="1:5">
      <c r="A6790" s="12" t="s">
        <v>12981</v>
      </c>
      <c r="B6790" s="12" t="s">
        <v>18598</v>
      </c>
      <c r="C6790" s="13" t="str">
        <f t="shared" si="169"/>
        <v>IDT_Bhajans_-_Jay_Jay_Radhe_Jay_Jay_Shyam_-_Radhanath_Swami.mp3</v>
      </c>
      <c r="D6790" s="11"/>
      <c r="E6790" s="11"/>
    </row>
    <row r="6791" spans="1:5">
      <c r="A6791" s="12" t="s">
        <v>12981</v>
      </c>
      <c r="B6791" s="12" t="s">
        <v>18599</v>
      </c>
      <c r="C6791" s="13" t="str">
        <f t="shared" ref="C6791:C6792" si="170">HYPERLINK("https://audio.iskcondesiretree.com/02_-_ISKCON_Swamis/ISKCON_Swamis_-_R_to_Y/His_Holiness_Radhanath_Swami/Bhajans/Vaishnava_Bhajans/IDT_Bhajans_-_Jay_Radhe_Jay_Radhe_Radhe_-_Radhanath_Swami_Hyderabad_2011-03-28.mp3", "IDT_Bhajans_-_Jay_Radhe_Jay_Radhe_Radhe_-_Radhanath_Swami_Hyderabad_2011-03-28.mp3")</f>
        <v>IDT_Bhajans_-_Jay_Radhe_Jay_Radhe_Radhe_-_Radhanath_Swami_Hyderabad_2011-03-28.mp3</v>
      </c>
      <c r="D6791" s="11"/>
      <c r="E6791" s="11"/>
    </row>
    <row r="6792" spans="1:5">
      <c r="A6792" s="12" t="s">
        <v>12981</v>
      </c>
      <c r="B6792" s="12" t="s">
        <v>18599</v>
      </c>
      <c r="C6792" s="13" t="str">
        <f t="shared" si="170"/>
        <v>IDT_Bhajans_-_Jay_Radhe_Jay_Radhe_Radhe_-_Radhanath_Swami_Hyderabad_2011-03-28.mp3</v>
      </c>
      <c r="D6792" s="11"/>
      <c r="E6792" s="11"/>
    </row>
    <row r="6793" spans="1:5">
      <c r="A6793" s="12" t="s">
        <v>12981</v>
      </c>
      <c r="B6793" s="12" t="s">
        <v>18600</v>
      </c>
      <c r="C6793" s="13" t="str">
        <f t="shared" ref="C6793:C6794" si="171">HYPERLINK("https://audio.iskcondesiretree.com/02_-_ISKCON_Swamis/ISKCON_Swamis_-_R_to_Y/His_Holiness_Radhanath_Swami/Bhajans/Vaishnava_Bhajans/IDT_Bhajans_-_Jaya_Jaya_Jagannath-01_-_Radhanath_Swami.mp3", "IDT_Bhajans_-_Jaya_Jaya_Jagannath-01_-_Radhanath_Swami.mp3")</f>
        <v>IDT_Bhajans_-_Jaya_Jaya_Jagannath-01_-_Radhanath_Swami.mp3</v>
      </c>
      <c r="D6793" s="11"/>
      <c r="E6793" s="11"/>
    </row>
    <row r="6794" spans="1:5">
      <c r="A6794" s="12" t="s">
        <v>12981</v>
      </c>
      <c r="B6794" s="12" t="s">
        <v>18600</v>
      </c>
      <c r="C6794" s="13" t="str">
        <f t="shared" si="171"/>
        <v>IDT_Bhajans_-_Jaya_Jaya_Jagannath-01_-_Radhanath_Swami.mp3</v>
      </c>
      <c r="D6794" s="11"/>
      <c r="E6794" s="11"/>
    </row>
    <row r="6795" spans="1:5">
      <c r="A6795" s="12" t="s">
        <v>12981</v>
      </c>
      <c r="B6795" s="12" t="s">
        <v>18601</v>
      </c>
      <c r="C6795" s="13" t="str">
        <f t="shared" ref="C6795:C6796" si="172">HYPERLINK("https://audio.iskcondesiretree.com/02_-_ISKCON_Swamis/ISKCON_Swamis_-_R_to_Y/His_Holiness_Radhanath_Swami/Bhajans/Vaishnava_Bhajans/IDT_Bhajans_-_Jaya_Jaya_Jagannath-02_-_Radhanath_Swami.mp3", "IDT_Bhajans_-_Jaya_Jaya_Jagannath-02_-_Radhanath_Swami.mp3")</f>
        <v>IDT_Bhajans_-_Jaya_Jaya_Jagannath-02_-_Radhanath_Swami.mp3</v>
      </c>
      <c r="D6795" s="11"/>
      <c r="E6795" s="11"/>
    </row>
    <row r="6796" spans="1:5">
      <c r="A6796" s="12" t="s">
        <v>12981</v>
      </c>
      <c r="B6796" s="12" t="s">
        <v>18601</v>
      </c>
      <c r="C6796" s="13" t="str">
        <f t="shared" si="172"/>
        <v>IDT_Bhajans_-_Jaya_Jaya_Jagannath-02_-_Radhanath_Swami.mp3</v>
      </c>
      <c r="D6796" s="11"/>
      <c r="E6796" s="11"/>
    </row>
    <row r="6797" spans="1:5">
      <c r="A6797" s="12" t="s">
        <v>12981</v>
      </c>
      <c r="B6797" s="12" t="s">
        <v>18602</v>
      </c>
      <c r="C6797" s="13" t="str">
        <f t="shared" ref="C6797:C6798" si="173">HYPERLINK("https://audio.iskcondesiretree.com/02_-_ISKCON_Swamis/ISKCON_Swamis_-_R_to_Y/His_Holiness_Radhanath_Swami/Bhajans/Vaishnava_Bhajans/IDT_Bhajans_-_Jaya_Jaya_Jagannath-03_-_Radhanath_Swami.mp3", "IDT_Bhajans_-_Jaya_Jaya_Jagannath-03_-_Radhanath_Swami.mp3")</f>
        <v>IDT_Bhajans_-_Jaya_Jaya_Jagannath-03_-_Radhanath_Swami.mp3</v>
      </c>
      <c r="D6797" s="11"/>
      <c r="E6797" s="11"/>
    </row>
    <row r="6798" spans="1:5">
      <c r="A6798" s="12" t="s">
        <v>12981</v>
      </c>
      <c r="B6798" s="12" t="s">
        <v>18602</v>
      </c>
      <c r="C6798" s="13" t="str">
        <f t="shared" si="173"/>
        <v>IDT_Bhajans_-_Jaya_Jaya_Jagannath-03_-_Radhanath_Swami.mp3</v>
      </c>
      <c r="D6798" s="11"/>
      <c r="E6798" s="11"/>
    </row>
    <row r="6799" spans="1:5">
      <c r="A6799" s="12" t="s">
        <v>12981</v>
      </c>
      <c r="B6799" s="12" t="s">
        <v>18603</v>
      </c>
      <c r="C6799" s="13" t="str">
        <f t="shared" ref="C6799:C6800" si="174">HYPERLINK("https://audio.iskcondesiretree.com/02_-_ISKCON_Swamis/ISKCON_Swamis_-_R_to_Y/His_Holiness_Radhanath_Swami/Bhajans/Vaishnava_Bhajans/IDT_Bhajans_-_Jaya_Jaya_Radha_Krishna_Yugal_Milan-01_-_Radhanath_Swami.mp3", "IDT_Bhajans_-_Jaya_Jaya_Radha_Krishna_Yugal_Milan-01_-_Radhanath_Swami.mp3")</f>
        <v>IDT_Bhajans_-_Jaya_Jaya_Radha_Krishna_Yugal_Milan-01_-_Radhanath_Swami.mp3</v>
      </c>
      <c r="D6799" s="11"/>
      <c r="E6799" s="11"/>
    </row>
    <row r="6800" spans="1:5">
      <c r="A6800" s="12" t="s">
        <v>12981</v>
      </c>
      <c r="B6800" s="12" t="s">
        <v>18603</v>
      </c>
      <c r="C6800" s="13" t="str">
        <f t="shared" si="174"/>
        <v>IDT_Bhajans_-_Jaya_Jaya_Radha_Krishna_Yugal_Milan-01_-_Radhanath_Swami.mp3</v>
      </c>
      <c r="D6800" s="11"/>
      <c r="E6800" s="11"/>
    </row>
    <row r="6801" spans="1:5">
      <c r="A6801" s="12" t="s">
        <v>12981</v>
      </c>
      <c r="B6801" s="12" t="s">
        <v>18604</v>
      </c>
      <c r="C6801" s="13" t="str">
        <f t="shared" ref="C6801:C6802" si="175">HYPERLINK("https://audio.iskcondesiretree.com/02_-_ISKCON_Swamis/ISKCON_Swamis_-_R_to_Y/His_Holiness_Radhanath_Swami/Bhajans/Vaishnava_Bhajans/IDT_Bhajans_-_Jaya_Jaya_Radha_Krishna_Yugal_Milan-02_-_Radhanath_Swami.mp3", "IDT_Bhajans_-_Jaya_Jaya_Radha_Krishna_Yugal_Milan-02_-_Radhanath_Swami.mp3")</f>
        <v>IDT_Bhajans_-_Jaya_Jaya_Radha_Krishna_Yugal_Milan-02_-_Radhanath_Swami.mp3</v>
      </c>
      <c r="D6801" s="11"/>
      <c r="E6801" s="11"/>
    </row>
    <row r="6802" spans="1:5">
      <c r="A6802" s="12" t="s">
        <v>12981</v>
      </c>
      <c r="B6802" s="12" t="s">
        <v>18604</v>
      </c>
      <c r="C6802" s="13" t="str">
        <f t="shared" si="175"/>
        <v>IDT_Bhajans_-_Jaya_Jaya_Radha_Krishna_Yugal_Milan-02_-_Radhanath_Swami.mp3</v>
      </c>
      <c r="D6802" s="11"/>
      <c r="E6802" s="11"/>
    </row>
    <row r="6803" spans="1:5">
      <c r="A6803" s="12" t="s">
        <v>12981</v>
      </c>
      <c r="B6803" s="12" t="s">
        <v>18605</v>
      </c>
      <c r="C6803" s="13" t="str">
        <f t="shared" ref="C6803:C6804" si="176">HYPERLINK("https://audio.iskcondesiretree.com/02_-_ISKCON_Swamis/ISKCON_Swamis_-_R_to_Y/His_Holiness_Radhanath_Swami/Bhajans/Vaishnava_Bhajans/IDT_Bhajans_-_Jaya_Radha_Govind_Radhe_-_Radhanath_Swami.mp3", "IDT_Bhajans_-_Jaya_Radha_Govind_Radhe_-_Radhanath_Swami.mp3")</f>
        <v>IDT_Bhajans_-_Jaya_Radha_Govind_Radhe_-_Radhanath_Swami.mp3</v>
      </c>
      <c r="D6803" s="11"/>
      <c r="E6803" s="11"/>
    </row>
    <row r="6804" spans="1:5">
      <c r="A6804" s="12" t="s">
        <v>12981</v>
      </c>
      <c r="B6804" s="12" t="s">
        <v>18605</v>
      </c>
      <c r="C6804" s="13" t="str">
        <f t="shared" si="176"/>
        <v>IDT_Bhajans_-_Jaya_Radha_Govind_Radhe_-_Radhanath_Swami.mp3</v>
      </c>
      <c r="D6804" s="11"/>
      <c r="E6804" s="11"/>
    </row>
    <row r="6805" spans="1:5">
      <c r="A6805" s="12" t="s">
        <v>12981</v>
      </c>
      <c r="B6805" s="12" t="s">
        <v>18606</v>
      </c>
      <c r="C6805" s="13" t="str">
        <f t="shared" ref="C6805:C6806" si="177">HYPERLINK("https://audio.iskcondesiretree.com/02_-_ISKCON_Swamis/ISKCON_Swamis_-_R_to_Y/His_Holiness_Radhanath_Swami/Bhajans/Vaishnava_Bhajans/IDT_Bhajans_-_Jaya_Radha_Madhava-01_-_Radhanath_Swami.mp3", "IDT_Bhajans_-_Jaya_Radha_Madhava-01_-_Radhanath_Swami.mp3")</f>
        <v>IDT_Bhajans_-_Jaya_Radha_Madhava-01_-_Radhanath_Swami.mp3</v>
      </c>
      <c r="D6805" s="11"/>
      <c r="E6805" s="11"/>
    </row>
    <row r="6806" spans="1:5">
      <c r="A6806" s="12" t="s">
        <v>12981</v>
      </c>
      <c r="B6806" s="12" t="s">
        <v>18606</v>
      </c>
      <c r="C6806" s="13" t="str">
        <f t="shared" si="177"/>
        <v>IDT_Bhajans_-_Jaya_Radha_Madhava-01_-_Radhanath_Swami.mp3</v>
      </c>
      <c r="D6806" s="11"/>
      <c r="E6806" s="11"/>
    </row>
    <row r="6807" spans="1:5">
      <c r="A6807" s="12" t="s">
        <v>12981</v>
      </c>
      <c r="B6807" s="12" t="s">
        <v>18607</v>
      </c>
      <c r="C6807" s="13" t="str">
        <f t="shared" ref="C6807:C6808" si="178">HYPERLINK("https://audio.iskcondesiretree.com/02_-_ISKCON_Swamis/ISKCON_Swamis_-_R_to_Y/His_Holiness_Radhanath_Swami/Bhajans/Vaishnava_Bhajans/IDT_Bhajans_-_Jaya_Radha_Madhava-02_-_Radhanath_Swami.mp3", "IDT_Bhajans_-_Jaya_Radha_Madhava-02_-_Radhanath_Swami.mp3")</f>
        <v>IDT_Bhajans_-_Jaya_Radha_Madhava-02_-_Radhanath_Swami.mp3</v>
      </c>
      <c r="D6807" s="11"/>
      <c r="E6807" s="11"/>
    </row>
    <row r="6808" spans="1:5">
      <c r="A6808" s="12" t="s">
        <v>12981</v>
      </c>
      <c r="B6808" s="12" t="s">
        <v>18607</v>
      </c>
      <c r="C6808" s="13" t="str">
        <f t="shared" si="178"/>
        <v>IDT_Bhajans_-_Jaya_Radha_Madhava-02_-_Radhanath_Swami.mp3</v>
      </c>
      <c r="D6808" s="11"/>
      <c r="E6808" s="11"/>
    </row>
    <row r="6809" spans="1:5">
      <c r="A6809" s="12" t="s">
        <v>12981</v>
      </c>
      <c r="B6809" s="12" t="s">
        <v>18608</v>
      </c>
      <c r="C6809" s="13" t="str">
        <f t="shared" ref="C6809:C6810" si="179">HYPERLINK("https://audio.iskcondesiretree.com/02_-_ISKCON_Swamis/ISKCON_Swamis_-_R_to_Y/His_Holiness_Radhanath_Swami/Bhajans/Vaishnava_Bhajans/IDT_Bhajans_-_Jaya_Radha_Madhava_-_1997_Radhanath_Sw.mp3", "IDT_Bhajans_-_Jaya_Radha_Madhava_-_1997_Radhanath_Sw.mp3")</f>
        <v>IDT_Bhajans_-_Jaya_Radha_Madhava_-_1997_Radhanath_Sw.mp3</v>
      </c>
      <c r="D6809" s="11"/>
      <c r="E6809" s="11"/>
    </row>
    <row r="6810" spans="1:5">
      <c r="A6810" s="12" t="s">
        <v>12981</v>
      </c>
      <c r="B6810" s="12" t="s">
        <v>18608</v>
      </c>
      <c r="C6810" s="13" t="str">
        <f t="shared" si="179"/>
        <v>IDT_Bhajans_-_Jaya_Radha_Madhava_-_1997_Radhanath_Sw.mp3</v>
      </c>
      <c r="D6810" s="11"/>
      <c r="E6810" s="11"/>
    </row>
    <row r="6811" spans="1:5">
      <c r="A6811" s="12" t="s">
        <v>12981</v>
      </c>
      <c r="B6811" s="12" t="s">
        <v>18609</v>
      </c>
      <c r="C6811" s="13" t="str">
        <f t="shared" ref="C6811:C6812" si="180">HYPERLINK("https://audio.iskcondesiretree.com/02_-_ISKCON_Swamis/ISKCON_Swamis_-_R_to_Y/His_Holiness_Radhanath_Swami/Bhajans/Vaishnava_Bhajans/IDT_Bhajans_-_Jaya_Radha_Madhava_-_2010-06-24_-_Radhanath_Swami.mp3", "IDT_Bhajans_-_Jaya_Radha_Madhava_-_2010-06-24_-_Radhanath_Swami.mp3")</f>
        <v>IDT_Bhajans_-_Jaya_Radha_Madhava_-_2010-06-24_-_Radhanath_Swami.mp3</v>
      </c>
      <c r="D6811" s="11"/>
      <c r="E6811" s="11"/>
    </row>
    <row r="6812" spans="1:5">
      <c r="A6812" s="12" t="s">
        <v>12981</v>
      </c>
      <c r="B6812" s="12" t="s">
        <v>18609</v>
      </c>
      <c r="C6812" s="13" t="str">
        <f t="shared" si="180"/>
        <v>IDT_Bhajans_-_Jaya_Radha_Madhava_-_2010-06-24_-_Radhanath_Swami.mp3</v>
      </c>
      <c r="D6812" s="11"/>
      <c r="E6812" s="11"/>
    </row>
    <row r="6813" spans="1:5">
      <c r="A6813" s="12" t="s">
        <v>12981</v>
      </c>
      <c r="B6813" s="12" t="s">
        <v>18610</v>
      </c>
      <c r="C6813" s="13" t="str">
        <f t="shared" ref="C6813:C6814" si="181">HYPERLINK("https://audio.iskcondesiretree.com/02_-_ISKCON_Swamis/ISKCON_Swamis_-_R_to_Y/His_Holiness_Radhanath_Swami/Bhajans/Vaishnava_Bhajans/IDT_Bhajans_-_Jaya_Radha_Madhava_-_2010-06-28_Radhanath_Swami.mp3", "IDT_Bhajans_-_Jaya_Radha_Madhava_-_2010-06-28_Radhanath_Swami.mp3")</f>
        <v>IDT_Bhajans_-_Jaya_Radha_Madhava_-_2010-06-28_Radhanath_Swami.mp3</v>
      </c>
      <c r="D6813" s="11"/>
      <c r="E6813" s="11"/>
    </row>
    <row r="6814" spans="1:5">
      <c r="A6814" s="12" t="s">
        <v>12981</v>
      </c>
      <c r="B6814" s="12" t="s">
        <v>18610</v>
      </c>
      <c r="C6814" s="13" t="str">
        <f t="shared" si="181"/>
        <v>IDT_Bhajans_-_Jaya_Radha_Madhava_-_2010-06-28_Radhanath_Swami.mp3</v>
      </c>
      <c r="D6814" s="11"/>
      <c r="E6814" s="11"/>
    </row>
    <row r="6815" spans="1:5">
      <c r="A6815" s="12" t="s">
        <v>12981</v>
      </c>
      <c r="B6815" s="12" t="s">
        <v>18611</v>
      </c>
      <c r="C6815" s="13" t="str">
        <f t="shared" ref="C6815:C6816" si="182">HYPERLINK("https://audio.iskcondesiretree.com/02_-_ISKCON_Swamis/ISKCON_Swamis_-_R_to_Y/His_Holiness_Radhanath_Swami/Bhajans/Vaishnava_Bhajans/IDT_Bhajans_-_Jaya_Radha_Madhava_-_Radhanath_Swami_ISKCON_Secunderabad_30-03-2011.mp3", "IDT_Bhajans_-_Jaya_Radha_Madhava_-_Radhanath_Swami_ISKCON_Secunderabad_30-03-2011.mp3")</f>
        <v>IDT_Bhajans_-_Jaya_Radha_Madhava_-_Radhanath_Swami_ISKCON_Secunderabad_30-03-2011.mp3</v>
      </c>
      <c r="D6815" s="11"/>
      <c r="E6815" s="11"/>
    </row>
    <row r="6816" spans="1:5">
      <c r="A6816" s="12" t="s">
        <v>12981</v>
      </c>
      <c r="B6816" s="12" t="s">
        <v>18611</v>
      </c>
      <c r="C6816" s="13" t="str">
        <f t="shared" si="182"/>
        <v>IDT_Bhajans_-_Jaya_Radha_Madhava_-_Radhanath_Swami_ISKCON_Secunderabad_30-03-2011.mp3</v>
      </c>
      <c r="D6816" s="11"/>
      <c r="E6816" s="11"/>
    </row>
    <row r="6817" spans="1:5">
      <c r="A6817" s="12" t="s">
        <v>12981</v>
      </c>
      <c r="B6817" s="12" t="s">
        <v>18612</v>
      </c>
      <c r="C6817" s="13" t="str">
        <f t="shared" ref="C6817:C6818" si="183">HYPERLINK("https://audio.iskcondesiretree.com/02_-_ISKCON_Swamis/ISKCON_Swamis_-_R_to_Y/His_Holiness_Radhanath_Swami/Bhajans/Vaishnava_Bhajans/IDT_Bhajans_-_Jaya_Radha_Madhava_at_-_Radhanath_Swami_ISKCON_Hyderabad_-_2011-03-29.mp3", "IDT_Bhajans_-_Jaya_Radha_Madhava_at_-_Radhanath_Swami_ISKCON_Hyderabad_-_2011-03-29.mp3")</f>
        <v>IDT_Bhajans_-_Jaya_Radha_Madhava_at_-_Radhanath_Swami_ISKCON_Hyderabad_-_2011-03-29.mp3</v>
      </c>
      <c r="D6817" s="11"/>
      <c r="E6817" s="11"/>
    </row>
    <row r="6818" spans="1:5">
      <c r="A6818" s="12" t="s">
        <v>12981</v>
      </c>
      <c r="B6818" s="12" t="s">
        <v>18612</v>
      </c>
      <c r="C6818" s="13" t="str">
        <f t="shared" si="183"/>
        <v>IDT_Bhajans_-_Jaya_Radha_Madhava_at_-_Radhanath_Swami_ISKCON_Hyderabad_-_2011-03-29.mp3</v>
      </c>
      <c r="D6818" s="11"/>
      <c r="E6818" s="11"/>
    </row>
    <row r="6819" spans="1:5">
      <c r="A6819" s="12" t="s">
        <v>12981</v>
      </c>
      <c r="B6819" s="12" t="s">
        <v>18613</v>
      </c>
      <c r="C6819" s="13" t="str">
        <f t="shared" ref="C6819:C6820" si="184">HYPERLINK("https://audio.iskcondesiretree.com/02_-_ISKCON_Swamis/ISKCON_Swamis_-_R_to_Y/His_Holiness_Radhanath_Swami/Bhajans/Vaishnava_Bhajans/IDT_Bhajans_-_Jaya_Radhe_Jaya_Krishna-01_-_Radhanath_Swami.mp3", "IDT_Bhajans_-_Jaya_Radhe_Jaya_Krishna-01_-_Radhanath_Swami.mp3")</f>
        <v>IDT_Bhajans_-_Jaya_Radhe_Jaya_Krishna-01_-_Radhanath_Swami.mp3</v>
      </c>
      <c r="D6819" s="11"/>
      <c r="E6819" s="11"/>
    </row>
    <row r="6820" spans="1:5">
      <c r="A6820" s="12" t="s">
        <v>12981</v>
      </c>
      <c r="B6820" s="12" t="s">
        <v>18613</v>
      </c>
      <c r="C6820" s="13" t="str">
        <f t="shared" si="184"/>
        <v>IDT_Bhajans_-_Jaya_Radhe_Jaya_Krishna-01_-_Radhanath_Swami.mp3</v>
      </c>
      <c r="D6820" s="11"/>
      <c r="E6820" s="11"/>
    </row>
    <row r="6821" spans="1:5">
      <c r="A6821" s="12" t="s">
        <v>12981</v>
      </c>
      <c r="B6821" s="12" t="s">
        <v>18614</v>
      </c>
      <c r="C6821" s="13" t="str">
        <f t="shared" ref="C6821:C6822" si="185">HYPERLINK("https://audio.iskcondesiretree.com/02_-_ISKCON_Swamis/ISKCON_Swamis_-_R_to_Y/His_Holiness_Radhanath_Swami/Bhajans/Vaishnava_Bhajans/IDT_Bhajans_-_Jaya_Radhe_Jaya_Krishna-02_-_Radhanath_Swami.mp3", "IDT_Bhajans_-_Jaya_Radhe_Jaya_Krishna-02_-_Radhanath_Swami.mp3")</f>
        <v>IDT_Bhajans_-_Jaya_Radhe_Jaya_Krishna-02_-_Radhanath_Swami.mp3</v>
      </c>
      <c r="D6821" s="11"/>
      <c r="E6821" s="11"/>
    </row>
    <row r="6822" spans="1:5">
      <c r="A6822" s="12" t="s">
        <v>12981</v>
      </c>
      <c r="B6822" s="12" t="s">
        <v>18614</v>
      </c>
      <c r="C6822" s="13" t="str">
        <f t="shared" si="185"/>
        <v>IDT_Bhajans_-_Jaya_Radhe_Jaya_Krishna-02_-_Radhanath_Swami.mp3</v>
      </c>
      <c r="D6822" s="11"/>
      <c r="E6822" s="11"/>
    </row>
    <row r="6823" spans="1:5">
      <c r="A6823" s="12" t="s">
        <v>12981</v>
      </c>
      <c r="B6823" s="12" t="s">
        <v>18615</v>
      </c>
      <c r="C6823" s="13" t="str">
        <f t="shared" ref="C6823:C6824" si="186">HYPERLINK("https://audio.iskcondesiretree.com/02_-_ISKCON_Swamis/ISKCON_Swamis_-_R_to_Y/His_Holiness_Radhanath_Swami/Bhajans/Vaishnava_Bhajans/IDT_Bhajans_-_Jaya_Radhey_Jaya_Radhey_Radhey_-_Radhanath_Swami_-_2005-10-01.mp3", "IDT_Bhajans_-_Jaya_Radhey_Jaya_Radhey_Radhey_-_Radhanath_Swami_-_2005-10-01.mp3")</f>
        <v>IDT_Bhajans_-_Jaya_Radhey_Jaya_Radhey_Radhey_-_Radhanath_Swami_-_2005-10-01.mp3</v>
      </c>
      <c r="D6823" s="11"/>
      <c r="E6823" s="11"/>
    </row>
    <row r="6824" spans="1:5">
      <c r="A6824" s="12" t="s">
        <v>12981</v>
      </c>
      <c r="B6824" s="12" t="s">
        <v>18615</v>
      </c>
      <c r="C6824" s="13" t="str">
        <f t="shared" si="186"/>
        <v>IDT_Bhajans_-_Jaya_Radhey_Jaya_Radhey_Radhey_-_Radhanath_Swami_-_2005-10-01.mp3</v>
      </c>
      <c r="D6824" s="11"/>
      <c r="E6824" s="11"/>
    </row>
    <row r="6825" spans="1:5">
      <c r="A6825" s="12" t="s">
        <v>12981</v>
      </c>
      <c r="B6825" s="12" t="s">
        <v>18616</v>
      </c>
      <c r="C6825" s="13" t="str">
        <f t="shared" ref="C6825:C6826" si="187">HYPERLINK("https://audio.iskcondesiretree.com/02_-_ISKCON_Swamis/ISKCON_Swamis_-_R_to_Y/His_Holiness_Radhanath_Swami/Bhajans/Vaishnava_Bhajans/IDT_Bhajans_-_Je_Anilo_Prema_Dhana_-_Radhanath_Swami.mp3", "IDT_Bhajans_-_Je_Anilo_Prema_Dhana_-_Radhanath_Swami.mp3")</f>
        <v>IDT_Bhajans_-_Je_Anilo_Prema_Dhana_-_Radhanath_Swami.mp3</v>
      </c>
      <c r="D6825" s="11"/>
      <c r="E6825" s="11"/>
    </row>
    <row r="6826" spans="1:5">
      <c r="A6826" s="12" t="s">
        <v>12981</v>
      </c>
      <c r="B6826" s="12" t="s">
        <v>18616</v>
      </c>
      <c r="C6826" s="13" t="str">
        <f t="shared" si="187"/>
        <v>IDT_Bhajans_-_Je_Anilo_Prema_Dhana_-_Radhanath_Swami.mp3</v>
      </c>
      <c r="D6826" s="11"/>
      <c r="E6826" s="11"/>
    </row>
    <row r="6827" spans="1:5">
      <c r="A6827" s="12" t="s">
        <v>12981</v>
      </c>
      <c r="B6827" s="12" t="s">
        <v>18617</v>
      </c>
      <c r="C6827" s="13" t="str">
        <f t="shared" ref="C6827:C6828" si="188">HYPERLINK("https://audio.iskcondesiretree.com/02_-_ISKCON_Swamis/ISKCON_Swamis_-_R_to_Y/His_Holiness_Radhanath_Swami/Bhajans/Vaishnava_Bhajans/IDT_Bhajans_-_Je_Anilo_Premadhan_-_2011-10-30_Radhanath_Swami_Govardhan.MP3", "IDT_Bhajans_-_Je_Anilo_Premadhan_-_2011-10-30_Radhanath_Swami_Govardhan.MP3")</f>
        <v>IDT_Bhajans_-_Je_Anilo_Premadhan_-_2011-10-30_Radhanath_Swami_Govardhan.MP3</v>
      </c>
      <c r="D6827" s="11"/>
      <c r="E6827" s="11"/>
    </row>
    <row r="6828" spans="1:5">
      <c r="A6828" s="12" t="s">
        <v>12981</v>
      </c>
      <c r="B6828" s="12" t="s">
        <v>18617</v>
      </c>
      <c r="C6828" s="13" t="str">
        <f t="shared" si="188"/>
        <v>IDT_Bhajans_-_Je_Anilo_Premadhan_-_2011-10-30_Radhanath_Swami_Govardhan.MP3</v>
      </c>
      <c r="D6828" s="11"/>
      <c r="E6828" s="11"/>
    </row>
    <row r="6829" spans="1:5">
      <c r="A6829" s="12" t="s">
        <v>12981</v>
      </c>
      <c r="B6829" s="12" t="s">
        <v>18618</v>
      </c>
      <c r="C6829" s="13" t="str">
        <f t="shared" ref="C6829:C6830" si="189">HYPERLINK("https://audio.iskcondesiretree.com/02_-_ISKCON_Swamis/ISKCON_Swamis_-_R_to_Y/His_Holiness_Radhanath_Swami/Bhajans/Vaishnava_Bhajans/IDT_Bhajans_-_Kadacit_Kalindi_Tata_Vipina-01_-_Radhanath_Swami.mp3", "IDT_Bhajans_-_Kadacit_Kalindi_Tata_Vipina-01_-_Radhanath_Swami.mp3")</f>
        <v>IDT_Bhajans_-_Kadacit_Kalindi_Tata_Vipina-01_-_Radhanath_Swami.mp3</v>
      </c>
      <c r="D6829" s="11"/>
      <c r="E6829" s="11"/>
    </row>
    <row r="6830" spans="1:5">
      <c r="A6830" s="12" t="s">
        <v>12981</v>
      </c>
      <c r="B6830" s="12" t="s">
        <v>18618</v>
      </c>
      <c r="C6830" s="13" t="str">
        <f t="shared" si="189"/>
        <v>IDT_Bhajans_-_Kadacit_Kalindi_Tata_Vipina-01_-_Radhanath_Swami.mp3</v>
      </c>
      <c r="D6830" s="11"/>
      <c r="E6830" s="11"/>
    </row>
    <row r="6831" spans="1:5">
      <c r="A6831" s="12" t="s">
        <v>12981</v>
      </c>
      <c r="B6831" s="12" t="s">
        <v>18619</v>
      </c>
      <c r="C6831" s="13" t="str">
        <f t="shared" ref="C6831:C6832" si="190">HYPERLINK("https://audio.iskcondesiretree.com/02_-_ISKCON_Swamis/ISKCON_Swamis_-_R_to_Y/His_Holiness_Radhanath_Swami/Bhajans/Vaishnava_Bhajans/IDT_Bhajans_-_Kadacit_Kalindi_Tata_Vipina-02_-_Radhanath_Swami.mp3", "IDT_Bhajans_-_Kadacit_Kalindi_Tata_Vipina-02_-_Radhanath_Swami.mp3")</f>
        <v>IDT_Bhajans_-_Kadacit_Kalindi_Tata_Vipina-02_-_Radhanath_Swami.mp3</v>
      </c>
      <c r="D6831" s="11"/>
      <c r="E6831" s="11"/>
    </row>
    <row r="6832" spans="1:5">
      <c r="A6832" s="12" t="s">
        <v>12981</v>
      </c>
      <c r="B6832" s="12" t="s">
        <v>18619</v>
      </c>
      <c r="C6832" s="13" t="str">
        <f t="shared" si="190"/>
        <v>IDT_Bhajans_-_Kadacit_Kalindi_Tata_Vipina-02_-_Radhanath_Swami.mp3</v>
      </c>
      <c r="D6832" s="11"/>
      <c r="E6832" s="11"/>
    </row>
    <row r="6833" spans="1:5">
      <c r="A6833" s="12" t="s">
        <v>12981</v>
      </c>
      <c r="B6833" s="12" t="s">
        <v>18620</v>
      </c>
      <c r="C6833" s="13" t="str">
        <f t="shared" ref="C6833:C6834" si="191">HYPERLINK("https://audio.iskcondesiretree.com/02_-_ISKCON_Swamis/ISKCON_Swamis_-_R_to_Y/His_Holiness_Radhanath_Swami/Bhajans/Vaishnava_Bhajans/IDT_Bhajans_-_Kali_Kukkur_Kadan_-_Radhanath_Swami.mp3", "IDT_Bhajans_-_Kali_Kukkur_Kadan_-_Radhanath_Swami.mp3")</f>
        <v>IDT_Bhajans_-_Kali_Kukkur_Kadan_-_Radhanath_Swami.mp3</v>
      </c>
      <c r="D6833" s="11"/>
      <c r="E6833" s="11"/>
    </row>
    <row r="6834" spans="1:5">
      <c r="A6834" s="12" t="s">
        <v>12981</v>
      </c>
      <c r="B6834" s="12" t="s">
        <v>18620</v>
      </c>
      <c r="C6834" s="13" t="str">
        <f t="shared" si="191"/>
        <v>IDT_Bhajans_-_Kali_Kukkur_Kadan_-_Radhanath_Swami.mp3</v>
      </c>
      <c r="D6834" s="11"/>
      <c r="E6834" s="11"/>
    </row>
    <row r="6835" spans="1:5">
      <c r="A6835" s="12" t="s">
        <v>12981</v>
      </c>
      <c r="B6835" s="12" t="s">
        <v>18621</v>
      </c>
      <c r="C6835" s="13" t="str">
        <f t="shared" ref="C6835:C6836" si="192">HYPERLINK("https://audio.iskcondesiretree.com/02_-_ISKCON_Swamis/ISKCON_Swamis_-_R_to_Y/His_Holiness_Radhanath_Swami/Bhajans/Vaishnava_Bhajans/IDT_Bhajans_-_Kali_Kukkura_-_2009_Radhanath_Sw_Mayapur.mp3", "IDT_Bhajans_-_Kali_Kukkura_-_2009_Radhanath_Sw_Mayapur.mp3")</f>
        <v>IDT_Bhajans_-_Kali_Kukkura_-_2009_Radhanath_Sw_Mayapur.mp3</v>
      </c>
      <c r="D6835" s="11"/>
      <c r="E6835" s="11"/>
    </row>
    <row r="6836" spans="1:5">
      <c r="A6836" s="12" t="s">
        <v>12981</v>
      </c>
      <c r="B6836" s="12" t="s">
        <v>18621</v>
      </c>
      <c r="C6836" s="13" t="str">
        <f t="shared" si="192"/>
        <v>IDT_Bhajans_-_Kali_Kukkura_-_2009_Radhanath_Sw_Mayapur.mp3</v>
      </c>
      <c r="D6836" s="11"/>
      <c r="E6836" s="11"/>
    </row>
    <row r="6837" spans="1:5">
      <c r="A6837" s="12" t="s">
        <v>12981</v>
      </c>
      <c r="B6837" s="12" t="s">
        <v>18622</v>
      </c>
      <c r="C6837" s="13" t="str">
        <f t="shared" ref="C6837:C6838" si="193">HYPERLINK("https://audio.iskcondesiretree.com/02_-_ISKCON_Swamis/ISKCON_Swamis_-_R_to_Y/His_Holiness_Radhanath_Swami/Bhajans/Vaishnava_Bhajans/IDT_Bhajans_-_Nadiya_Godrume_Nityanand_Mahajan_-_Radhanath_Swami.mp3", "IDT_Bhajans_-_Nadiya_Godrume_Nityanand_Mahajan_-_Radhanath_Swami.mp3")</f>
        <v>IDT_Bhajans_-_Nadiya_Godrume_Nityanand_Mahajan_-_Radhanath_Swami.mp3</v>
      </c>
      <c r="D6837" s="11"/>
      <c r="E6837" s="11"/>
    </row>
    <row r="6838" spans="1:5">
      <c r="A6838" s="12" t="s">
        <v>12981</v>
      </c>
      <c r="B6838" s="12" t="s">
        <v>18622</v>
      </c>
      <c r="C6838" s="13" t="str">
        <f t="shared" si="193"/>
        <v>IDT_Bhajans_-_Nadiya_Godrume_Nityanand_Mahajan_-_Radhanath_Swami.mp3</v>
      </c>
      <c r="D6838" s="11"/>
      <c r="E6838" s="11"/>
    </row>
    <row r="6839" spans="1:5">
      <c r="A6839" s="12" t="s">
        <v>12981</v>
      </c>
      <c r="B6839" s="12" t="s">
        <v>18623</v>
      </c>
      <c r="C6839" s="13" t="str">
        <f t="shared" ref="C6839:C6840" si="194">HYPERLINK("https://audio.iskcondesiretree.com/02_-_ISKCON_Swamis/ISKCON_Swamis_-_R_to_Y/His_Holiness_Radhanath_Swami/Bhajans/Vaishnava_Bhajans/IDT_Bhajans_-_Nadiya_Godrume_Nityanand_Mahajana_-_Radhanath_Swami.mp3", "IDT_Bhajans_-_Nadiya_Godrume_Nityanand_Mahajana_-_Radhanath_Swami.mp3")</f>
        <v>IDT_Bhajans_-_Nadiya_Godrume_Nityanand_Mahajana_-_Radhanath_Swami.mp3</v>
      </c>
      <c r="D6839" s="11"/>
      <c r="E6839" s="11"/>
    </row>
    <row r="6840" spans="1:5">
      <c r="A6840" s="12" t="s">
        <v>12981</v>
      </c>
      <c r="B6840" s="12" t="s">
        <v>18623</v>
      </c>
      <c r="C6840" s="13" t="str">
        <f t="shared" si="194"/>
        <v>IDT_Bhajans_-_Nadiya_Godrume_Nityanand_Mahajana_-_Radhanath_Swami.mp3</v>
      </c>
      <c r="D6840" s="11"/>
      <c r="E6840" s="11"/>
    </row>
    <row r="6841" spans="1:5">
      <c r="A6841" s="12" t="s">
        <v>12981</v>
      </c>
      <c r="B6841" s="12" t="s">
        <v>18624</v>
      </c>
      <c r="C6841" s="13" t="str">
        <f t="shared" ref="C6841:C6842" si="195">HYPERLINK("https://audio.iskcondesiretree.com/02_-_ISKCON_Swamis/ISKCON_Swamis_-_R_to_Y/His_Holiness_Radhanath_Swami/Bhajans/Vaishnava_Bhajans/IDT_Bhajans_-_Nadiya_Godrume_Nityananda_Mahajan_-_2009_Radhanath_Sw_Mayapur.mp3", "IDT_Bhajans_-_Nadiya_Godrume_Nityananda_Mahajan_-_2009_Radhanath_Sw_Mayapur.mp3")</f>
        <v>IDT_Bhajans_-_Nadiya_Godrume_Nityananda_Mahajan_-_2009_Radhanath_Sw_Mayapur.mp3</v>
      </c>
      <c r="D6841" s="11"/>
      <c r="E6841" s="11"/>
    </row>
    <row r="6842" spans="1:5">
      <c r="A6842" s="12" t="s">
        <v>12981</v>
      </c>
      <c r="B6842" s="12" t="s">
        <v>18624</v>
      </c>
      <c r="C6842" s="13" t="str">
        <f t="shared" si="195"/>
        <v>IDT_Bhajans_-_Nadiya_Godrume_Nityananda_Mahajan_-_2009_Radhanath_Sw_Mayapur.mp3</v>
      </c>
      <c r="D6842" s="11"/>
      <c r="E6842" s="11"/>
    </row>
    <row r="6843" spans="1:5">
      <c r="A6843" s="12" t="s">
        <v>12981</v>
      </c>
      <c r="B6843" s="12" t="s">
        <v>18625</v>
      </c>
      <c r="C6843" s="13" t="str">
        <f t="shared" ref="C6843:C6844" si="196">HYPERLINK("https://audio.iskcondesiretree.com/02_-_ISKCON_Swamis/ISKCON_Swamis_-_R_to_Y/His_Holiness_Radhanath_Swami/Bhajans/Vaishnava_Bhajans/IDT_Bhajans_-_Param_Karuna_Nityananda_Trayodashi_Festivals_-_2012-02-05_Radhanath_Swami_ISKCON_Kolkata.mp3", "IDT_Bhajans_-_Param_Karuna_Nityananda_Trayodashi_Festivals_-_2012-02-05_Radhanath_Swami_ISKCON_Kolkata.mp3")</f>
        <v>IDT_Bhajans_-_Param_Karuna_Nityananda_Trayodashi_Festivals_-_2012-02-05_Radhanath_Swami_ISKCON_Kolkata.mp3</v>
      </c>
      <c r="D6843" s="11"/>
      <c r="E6843" s="11"/>
    </row>
    <row r="6844" spans="1:5">
      <c r="A6844" s="12" t="s">
        <v>12981</v>
      </c>
      <c r="B6844" s="12" t="s">
        <v>18625</v>
      </c>
      <c r="C6844" s="13" t="str">
        <f t="shared" si="196"/>
        <v>IDT_Bhajans_-_Param_Karuna_Nityananda_Trayodashi_Festivals_-_2012-02-05_Radhanath_Swami_ISKCON_Kolkata.mp3</v>
      </c>
      <c r="D6844" s="11"/>
      <c r="E6844" s="11"/>
    </row>
    <row r="6845" spans="1:5">
      <c r="A6845" s="12" t="s">
        <v>12981</v>
      </c>
      <c r="B6845" s="12" t="s">
        <v>18626</v>
      </c>
      <c r="C6845" s="13" t="str">
        <f t="shared" ref="C6845:C6846" si="197">HYPERLINK("https://audio.iskcondesiretree.com/02_-_ISKCON_Swamis/ISKCON_Swamis_-_R_to_Y/His_Holiness_Radhanath_Swami/Bhajans/Vaishnava_Bhajans/IDT_Bhajans_-_Radha_Krishna_Praan_Mora_-_Radhanath_Swami.mp3", "IDT_Bhajans_-_Radha_Krishna_Praan_Mora_-_Radhanath_Swami.mp3")</f>
        <v>IDT_Bhajans_-_Radha_Krishna_Praan_Mora_-_Radhanath_Swami.mp3</v>
      </c>
      <c r="D6845" s="11"/>
      <c r="E6845" s="11"/>
    </row>
    <row r="6846" spans="1:5">
      <c r="A6846" s="12" t="s">
        <v>12981</v>
      </c>
      <c r="B6846" s="12" t="s">
        <v>18626</v>
      </c>
      <c r="C6846" s="13" t="str">
        <f t="shared" si="197"/>
        <v>IDT_Bhajans_-_Radha_Krishna_Praan_Mora_-_Radhanath_Swami.mp3</v>
      </c>
      <c r="D6846" s="11"/>
      <c r="E6846" s="11"/>
    </row>
    <row r="6847" spans="1:5">
      <c r="A6847" s="12" t="s">
        <v>12981</v>
      </c>
      <c r="B6847" s="12" t="s">
        <v>18627</v>
      </c>
      <c r="C6847" s="13" t="str">
        <f t="shared" ref="C6847:C6848" si="198">HYPERLINK("https://audio.iskcondesiretree.com/02_-_ISKCON_Swamis/ISKCON_Swamis_-_R_to_Y/His_Holiness_Radhanath_Swami/Bhajans/Vaishnava_Bhajans/IDT_Bhajans_-_Radhanath_Sw_Bhajans_-_Ami_jamuna_puline_kadamba-kanane_-_Radhanath_Swami.mp3", "IDT_Bhajans_-_Radhanath_Sw_Bhajans_-_Ami_jamuna_puline_kadamba-kanane_-_Radhanath_Swami.mp3")</f>
        <v>IDT_Bhajans_-_Radhanath_Sw_Bhajans_-_Ami_jamuna_puline_kadamba-kanane_-_Radhanath_Swami.mp3</v>
      </c>
      <c r="D6847" s="11"/>
      <c r="E6847" s="11"/>
    </row>
    <row r="6848" spans="1:5">
      <c r="A6848" s="12" t="s">
        <v>12981</v>
      </c>
      <c r="B6848" s="12" t="s">
        <v>18627</v>
      </c>
      <c r="C6848" s="13" t="str">
        <f t="shared" si="198"/>
        <v>IDT_Bhajans_-_Radhanath_Sw_Bhajans_-_Ami_jamuna_puline_kadamba-kanane_-_Radhanath_Swami.mp3</v>
      </c>
      <c r="D6848" s="11"/>
      <c r="E6848" s="11"/>
    </row>
    <row r="6849" spans="1:5">
      <c r="A6849" s="12" t="s">
        <v>12981</v>
      </c>
      <c r="B6849" s="12" t="s">
        <v>18628</v>
      </c>
      <c r="C6849" s="13" t="str">
        <f t="shared" ref="C6849:C6850" si="199">HYPERLINK("https://audio.iskcondesiretree.com/02_-_ISKCON_Swamis/ISKCON_Swamis_-_R_to_Y/His_Holiness_Radhanath_Swami/Bhajans/Vaishnava_Bhajans/IDT_Bhajans_-_Radhe_Jaya_Jaya_Madhava_Dayite_-_Radhanath_Swami.mp3", "IDT_Bhajans_-_Radhe_Jaya_Jaya_Madhava_Dayite_-_Radhanath_Swami.mp3")</f>
        <v>IDT_Bhajans_-_Radhe_Jaya_Jaya_Madhava_Dayite_-_Radhanath_Swami.mp3</v>
      </c>
      <c r="D6849" s="11"/>
      <c r="E6849" s="11"/>
    </row>
    <row r="6850" spans="1:5">
      <c r="A6850" s="12" t="s">
        <v>12981</v>
      </c>
      <c r="B6850" s="12" t="s">
        <v>18628</v>
      </c>
      <c r="C6850" s="13" t="str">
        <f t="shared" si="199"/>
        <v>IDT_Bhajans_-_Radhe_Jaya_Jaya_Madhava_Dayite_-_Radhanath_Swami.mp3</v>
      </c>
      <c r="D6850" s="11"/>
      <c r="E6850" s="11"/>
    </row>
    <row r="6851" spans="1:5">
      <c r="A6851" s="12" t="s">
        <v>12981</v>
      </c>
      <c r="B6851" s="12" t="s">
        <v>18629</v>
      </c>
      <c r="C6851" s="13" t="str">
        <f t="shared" ref="C6851:C6852" si="200">HYPERLINK("https://audio.iskcondesiretree.com/02_-_ISKCON_Swamis/ISKCON_Swamis_-_R_to_Y/His_Holiness_Radhanath_Swami/Bhajans/Vaishnava_Bhajans/IDT_Bhajans_-_Radhe_Radhe_Govinda_Govinda_Radhe_-_Radhanath_Swami.mp3", "IDT_Bhajans_-_Radhe_Radhe_Govinda_Govinda_Radhe_-_Radhanath_Swami.mp3")</f>
        <v>IDT_Bhajans_-_Radhe_Radhe_Govinda_Govinda_Radhe_-_Radhanath_Swami.mp3</v>
      </c>
      <c r="D6851" s="11"/>
      <c r="E6851" s="11"/>
    </row>
    <row r="6852" spans="1:5">
      <c r="A6852" s="12" t="s">
        <v>12981</v>
      </c>
      <c r="B6852" s="12" t="s">
        <v>18629</v>
      </c>
      <c r="C6852" s="13" t="str">
        <f t="shared" si="200"/>
        <v>IDT_Bhajans_-_Radhe_Radhe_Govinda_Govinda_Radhe_-_Radhanath_Swami.mp3</v>
      </c>
      <c r="D6852" s="11"/>
      <c r="E6852" s="11"/>
    </row>
    <row r="6853" spans="1:5">
      <c r="A6853" s="12" t="s">
        <v>12981</v>
      </c>
      <c r="B6853" s="12" t="s">
        <v>18630</v>
      </c>
      <c r="C6853" s="13" t="str">
        <f t="shared" ref="C6853:C6854" si="201">HYPERLINK("https://audio.iskcondesiretree.com/02_-_ISKCON_Swamis/ISKCON_Swamis_-_R_to_Y/His_Holiness_Radhanath_Swami/Bhajans/Vaishnava_Bhajans/IDT_Bhajans_-_Sachisutastakam_-_Radhanath_Swami_-_2012-03-08_ISKCON_Chowpatty.mp3", "IDT_Bhajans_-_Sachisutastakam_-_Radhanath_Swami_-_2012-03-08_ISKCON_Chowpatty.mp3")</f>
        <v>IDT_Bhajans_-_Sachisutastakam_-_Radhanath_Swami_-_2012-03-08_ISKCON_Chowpatty.mp3</v>
      </c>
      <c r="D6853" s="11"/>
      <c r="E6853" s="11"/>
    </row>
    <row r="6854" spans="1:5">
      <c r="A6854" s="12" t="s">
        <v>12981</v>
      </c>
      <c r="B6854" s="12" t="s">
        <v>18630</v>
      </c>
      <c r="C6854" s="13" t="str">
        <f t="shared" si="201"/>
        <v>IDT_Bhajans_-_Sachisutastakam_-_Radhanath_Swami_-_2012-03-08_ISKCON_Chowpatty.mp3</v>
      </c>
      <c r="D6854" s="11"/>
      <c r="E6854" s="11"/>
    </row>
    <row r="6855" spans="1:5">
      <c r="A6855" s="12" t="s">
        <v>12981</v>
      </c>
      <c r="B6855" s="12" t="s">
        <v>18631</v>
      </c>
      <c r="C6855" s="13" t="str">
        <f t="shared" ref="C6855:C6856" si="202">HYPERLINK("https://audio.iskcondesiretree.com/02_-_ISKCON_Swamis/ISKCON_Swamis_-_R_to_Y/His_Holiness_Radhanath_Swami/Bhajans/Vaishnava_Bhajans/IDT_Bhajans_-_Sri_Krishna_Caitanya_Doya_Koro_More_-_Radhanath_Swami.mp3", "IDT_Bhajans_-_Sri_Krishna_Caitanya_Doya_Koro_More_-_Radhanath_Swami.mp3")</f>
        <v>IDT_Bhajans_-_Sri_Krishna_Caitanya_Doya_Koro_More_-_Radhanath_Swami.mp3</v>
      </c>
      <c r="D6855" s="11"/>
      <c r="E6855" s="11"/>
    </row>
    <row r="6856" spans="1:5">
      <c r="A6856" s="12" t="s">
        <v>12981</v>
      </c>
      <c r="B6856" s="12" t="s">
        <v>18631</v>
      </c>
      <c r="C6856" s="13" t="str">
        <f t="shared" si="202"/>
        <v>IDT_Bhajans_-_Sri_Krishna_Caitanya_Doya_Koro_More_-_Radhanath_Swami.mp3</v>
      </c>
      <c r="D6856" s="11"/>
      <c r="E6856" s="11"/>
    </row>
    <row r="6857" spans="1:5">
      <c r="A6857" s="12" t="s">
        <v>12981</v>
      </c>
      <c r="B6857" s="12" t="s">
        <v>18632</v>
      </c>
      <c r="C6857" s="13" t="str">
        <f t="shared" ref="C6857:C6858" si="203">HYPERLINK("https://audio.iskcondesiretree.com/02_-_ISKCON_Swamis/ISKCON_Swamis_-_R_to_Y/His_Holiness_Radhanath_Swami/Bhajans/Vaishnava_Bhajans/IDT_Bhajans_-_Sri_Sacisuta_Astakam_-_Radhanath_Swami.mp3", "IDT_Bhajans_-_Sri_Sacisuta_Astakam_-_Radhanath_Swami.mp3")</f>
        <v>IDT_Bhajans_-_Sri_Sacisuta_Astakam_-_Radhanath_Swami.mp3</v>
      </c>
      <c r="D6857" s="11"/>
      <c r="E6857" s="11"/>
    </row>
    <row r="6858" spans="1:5">
      <c r="A6858" s="12" t="s">
        <v>12981</v>
      </c>
      <c r="B6858" s="12" t="s">
        <v>18632</v>
      </c>
      <c r="C6858" s="13" t="str">
        <f t="shared" si="203"/>
        <v>IDT_Bhajans_-_Sri_Sacisuta_Astakam_-_Radhanath_Swami.mp3</v>
      </c>
      <c r="D6858" s="11"/>
      <c r="E6858" s="11"/>
    </row>
    <row r="6859" spans="1:5">
      <c r="A6859" s="12" t="s">
        <v>12981</v>
      </c>
      <c r="B6859" s="12" t="s">
        <v>18633</v>
      </c>
      <c r="C6859" s="13" t="str">
        <f t="shared" ref="C6859:C6860" si="204">HYPERLINK("https://audio.iskcondesiretree.com/02_-_ISKCON_Swamis/ISKCON_Swamis_-_R_to_Y/His_Holiness_Radhanath_Swami/Bhajans/Vaishnava_Bhajans/IDT_Bhajans_-_Sundara_Kundala_Naina_Visala-01_-_Radhanath_Swami.mp3", "IDT_Bhajans_-_Sundara_Kundala_Naina_Visala-01_-_Radhanath_Swami.mp3")</f>
        <v>IDT_Bhajans_-_Sundara_Kundala_Naina_Visala-01_-_Radhanath_Swami.mp3</v>
      </c>
      <c r="D6859" s="11"/>
      <c r="E6859" s="11"/>
    </row>
    <row r="6860" spans="1:5">
      <c r="A6860" s="12" t="s">
        <v>12981</v>
      </c>
      <c r="B6860" s="12" t="s">
        <v>18633</v>
      </c>
      <c r="C6860" s="13" t="str">
        <f t="shared" si="204"/>
        <v>IDT_Bhajans_-_Sundara_Kundala_Naina_Visala-01_-_Radhanath_Swami.mp3</v>
      </c>
      <c r="D6860" s="11"/>
      <c r="E6860" s="11"/>
    </row>
    <row r="6861" spans="1:5">
      <c r="A6861" s="12" t="s">
        <v>12981</v>
      </c>
      <c r="B6861" s="12" t="s">
        <v>18634</v>
      </c>
      <c r="C6861" s="13" t="str">
        <f t="shared" ref="C6861:C6862" si="205">HYPERLINK("https://audio.iskcondesiretree.com/02_-_ISKCON_Swamis/ISKCON_Swamis_-_R_to_Y/His_Holiness_Radhanath_Swami/Bhajans/Vaishnava_Bhajans/IDT_Bhajans_-_Vande_Krishna_Nanda_-_Radhanath_Swami.mp3", "IDT_Bhajans_-_Vande_Krishna_Nanda_-_Radhanath_Swami.mp3")</f>
        <v>IDT_Bhajans_-_Vande_Krishna_Nanda_-_Radhanath_Swami.mp3</v>
      </c>
      <c r="D6861" s="11"/>
      <c r="E6861" s="11"/>
    </row>
    <row r="6862" spans="1:5">
      <c r="A6862" s="12" t="s">
        <v>12981</v>
      </c>
      <c r="B6862" s="12" t="s">
        <v>18634</v>
      </c>
      <c r="C6862" s="13" t="str">
        <f t="shared" si="205"/>
        <v>IDT_Bhajans_-_Vande_Krishna_Nanda_-_Radhanath_Swami.mp3</v>
      </c>
      <c r="D6862" s="11"/>
      <c r="E6862" s="11"/>
    </row>
    <row r="6863" spans="1:5">
      <c r="A6863" s="12" t="s">
        <v>12981</v>
      </c>
      <c r="B6863" s="12" t="s">
        <v>18635</v>
      </c>
      <c r="C6863" s="13" t="str">
        <f t="shared" ref="C6863:C6864" si="206">HYPERLINK("https://audio.iskcondesiretree.com/02_-_ISKCON_Swamis/ISKCON_Swamis_-_R_to_Y/His_Holiness_Radhanath_Swami/Bhajans/Vaishnava_Bhajans/IDT_Bhajans_-_Vande_Krsna_Nanda_Kumara_-_Radhanath_Swami.mp3", "IDT_Bhajans_-_Vande_Krsna_Nanda_Kumara_-_Radhanath_Swami.mp3")</f>
        <v>IDT_Bhajans_-_Vande_Krsna_Nanda_Kumara_-_Radhanath_Swami.mp3</v>
      </c>
      <c r="D6863" s="11"/>
      <c r="E6863" s="11"/>
    </row>
    <row r="6864" spans="1:5">
      <c r="A6864" s="12" t="s">
        <v>12981</v>
      </c>
      <c r="B6864" s="12" t="s">
        <v>18635</v>
      </c>
      <c r="C6864" s="13" t="str">
        <f t="shared" si="206"/>
        <v>IDT_Bhajans_-_Vande_Krsna_Nanda_Kumara_-_Radhanath_Swami.mp3</v>
      </c>
      <c r="D6864" s="11"/>
      <c r="E6864" s="11"/>
    </row>
    <row r="6865" spans="1:5">
      <c r="A6865" s="12" t="s">
        <v>12981</v>
      </c>
      <c r="B6865" s="12" t="s">
        <v>18636</v>
      </c>
      <c r="C6865" s="13" t="str">
        <f t="shared" ref="C6865:C6866" si="207">HYPERLINK("https://audio.iskcondesiretree.com/02_-_ISKCON_Swamis/ISKCON_Swamis_-_R_to_Y/His_Holiness_Radhanath_Swami/Bhajans/Vaishnava_Bhajans/IDT_Bhajans_-_Yashomati_Nandan_-_Radhanath_Swami.mp3", "IDT_Bhajans_-_Yashomati_Nandan_-_Radhanath_Swami.mp3")</f>
        <v>IDT_Bhajans_-_Yashomati_Nandan_-_Radhanath_Swami.mp3</v>
      </c>
      <c r="D6865" s="11"/>
      <c r="E6865" s="11"/>
    </row>
    <row r="6866" spans="1:5">
      <c r="A6866" s="12" t="s">
        <v>12981</v>
      </c>
      <c r="B6866" s="12" t="s">
        <v>18636</v>
      </c>
      <c r="C6866" s="13" t="str">
        <f t="shared" si="207"/>
        <v>IDT_Bhajans_-_Yashomati_Nandan_-_Radhanath_Swami.mp3</v>
      </c>
      <c r="D6866" s="11"/>
      <c r="E6866" s="11"/>
    </row>
    <row r="6867" spans="1:5">
      <c r="A6867" s="12" t="s">
        <v>12981</v>
      </c>
      <c r="B6867" s="12" t="s">
        <v>18637</v>
      </c>
      <c r="C6867" s="13" t="str">
        <f t="shared" ref="C6867:C6868" si="208">HYPERLINK("https://audio.iskcondesiretree.com/02_-_ISKCON_Swamis/ISKCON_Swamis_-_R_to_Y/His_Holiness_Radhanath_Swami/Bhajans/Vaishnava_Bhajans/IDT_Bhajans_-_Yashomati_Nandana_-_Radhanath_Swami.mp3", "IDT_Bhajans_-_Yashomati_Nandana_-_Radhanath_Swami.mp3")</f>
        <v>IDT_Bhajans_-_Yashomati_Nandana_-_Radhanath_Swami.mp3</v>
      </c>
      <c r="D6867" s="11"/>
      <c r="E6867" s="11"/>
    </row>
    <row r="6868" spans="1:5">
      <c r="A6868" s="12" t="s">
        <v>12981</v>
      </c>
      <c r="B6868" s="12" t="s">
        <v>18637</v>
      </c>
      <c r="C6868" s="13" t="str">
        <f t="shared" si="208"/>
        <v>IDT_Bhajans_-_Yashomati_Nandana_-_Radhanath_Swami.mp3</v>
      </c>
      <c r="D6868" s="11"/>
      <c r="E6868" s="11"/>
    </row>
    <row r="6869" spans="1:5">
      <c r="A6869" s="12" t="s">
        <v>12981</v>
      </c>
      <c r="B6869" s="12" t="s">
        <v>18638</v>
      </c>
      <c r="C6869" s="13" t="str">
        <f t="shared" ref="C6869:C6870" si="209">HYPERLINK("https://audio.iskcondesiretree.com/02_-_ISKCON_Swamis/ISKCON_Swamis_-_R_to_Y/His_Holiness_Radhanath_Swami/Bhajans/Vaishnava_Bhajans/IDT_Bhajans_-_Yashomatnandan_-_Radhanath_Swami.mp3", "IDT_Bhajans_-_Yashomatnandan_-_Radhanath_Swami.mp3")</f>
        <v>IDT_Bhajans_-_Yashomatnandan_-_Radhanath_Swami.mp3</v>
      </c>
      <c r="D6869" s="11"/>
      <c r="E6869" s="11"/>
    </row>
    <row r="6870" spans="1:5">
      <c r="A6870" s="12" t="s">
        <v>12981</v>
      </c>
      <c r="B6870" s="12" t="s">
        <v>18638</v>
      </c>
      <c r="C6870" s="13" t="str">
        <f t="shared" si="209"/>
        <v>IDT_Bhajans_-_Yashomatnandan_-_Radhanath_Swami.mp3</v>
      </c>
      <c r="D6870" s="11"/>
      <c r="E6870" s="11"/>
    </row>
    <row r="6871" spans="1:5">
      <c r="A6871" s="12" t="s">
        <v>12981</v>
      </c>
      <c r="B6871" s="12" t="s">
        <v>18639</v>
      </c>
      <c r="C6871" s="13" t="str">
        <f t="shared" ref="C6871:C6872" si="210">HYPERLINK("https://audio.iskcondesiretree.com/02_-_ISKCON_Swamis/ISKCON_Swamis_-_R_to_Y/His_Holiness_Radhanath_Swami/Bhajans/Vaishnava_Bhajans/Jagannathashtakam_-_Radhanath_Swami.mp3", "Jagannathashtakam_-_Radhanath_Swami.mp3")</f>
        <v>Jagannathashtakam_-_Radhanath_Swami.mp3</v>
      </c>
      <c r="D6871" s="11"/>
      <c r="E6871" s="11"/>
    </row>
    <row r="6872" spans="1:5">
      <c r="A6872" s="12" t="s">
        <v>12981</v>
      </c>
      <c r="B6872" s="12" t="s">
        <v>18639</v>
      </c>
      <c r="C6872" s="13" t="str">
        <f t="shared" si="210"/>
        <v>Jagannathashtakam_-_Radhanath_Swami.mp3</v>
      </c>
      <c r="D6872" s="11"/>
      <c r="E6872" s="11"/>
    </row>
    <row r="6873" spans="1:5">
      <c r="A6873" s="12" t="s">
        <v>12981</v>
      </c>
      <c r="B6873" s="12" t="s">
        <v>18640</v>
      </c>
      <c r="C6873" s="13" t="str">
        <f t="shared" ref="C6873:C6874" si="211">HYPERLINK("https://audio.iskcondesiretree.com/02_-_ISKCON_Swamis/ISKCON_Swamis_-_R_to_Y/His_Holiness_Radhanath_Swami/Bhajans/Vaishnava_Bhajans/Jaya_Jaya_Jagannatha_Sacira_Nandan_-_Radhanath_Swami.mp3", "Jaya_Jaya_Jagannatha_Sacira_Nandan_-_Radhanath_Swami.mp3")</f>
        <v>Jaya_Jaya_Jagannatha_Sacira_Nandan_-_Radhanath_Swami.mp3</v>
      </c>
      <c r="D6873" s="11"/>
      <c r="E6873" s="11"/>
    </row>
    <row r="6874" spans="1:5">
      <c r="A6874" s="12" t="s">
        <v>12981</v>
      </c>
      <c r="B6874" s="12" t="s">
        <v>18640</v>
      </c>
      <c r="C6874" s="13" t="str">
        <f t="shared" si="211"/>
        <v>Jaya_Jaya_Jagannatha_Sacira_Nandan_-_Radhanath_Swami.mp3</v>
      </c>
      <c r="D6874" s="11"/>
      <c r="E6874" s="11"/>
    </row>
    <row r="6875" spans="1:5">
      <c r="A6875" s="12" t="s">
        <v>12981</v>
      </c>
      <c r="B6875" s="12" t="s">
        <v>18641</v>
      </c>
      <c r="C6875" s="13" t="str">
        <f t="shared" ref="C6875:C6876" si="212">HYPERLINK("https://audio.iskcondesiretree.com/02_-_ISKCON_Swamis/ISKCON_Swamis_-_R_to_Y/His_Holiness_Radhanath_Swami/Bhajans/Vaishnava_Bhajans/Jaya_Radha_Madhava_-_Radhanath_Swami.mp3", "Jaya_Radha_Madhava_-_Radhanath_Swami.mp3")</f>
        <v>Jaya_Radha_Madhava_-_Radhanath_Swami.mp3</v>
      </c>
      <c r="D6875" s="11"/>
      <c r="E6875" s="11"/>
    </row>
    <row r="6876" spans="1:5">
      <c r="A6876" s="12" t="s">
        <v>12981</v>
      </c>
      <c r="B6876" s="12" t="s">
        <v>18641</v>
      </c>
      <c r="C6876" s="13" t="str">
        <f t="shared" si="212"/>
        <v>Jaya_Radha_Madhava_-_Radhanath_Swami.mp3</v>
      </c>
      <c r="D6876" s="11"/>
      <c r="E6876" s="11"/>
    </row>
    <row r="6877" spans="1:5">
      <c r="A6877" s="12" t="s">
        <v>12981</v>
      </c>
      <c r="B6877" s="12" t="s">
        <v>18642</v>
      </c>
      <c r="C6877" s="13" t="str">
        <f t="shared" ref="C6877:C6878" si="213">HYPERLINK("https://audio.iskcondesiretree.com/02_-_ISKCON_Swamis/ISKCON_Swamis_-_R_to_Y/His_Holiness_Radhanath_Swami/Bhajans/Vaishnava_Bhajans/Jaya_Radhe_Jaya_Krishna_Jaya_Vrindavana_-_Radhanath_Swami.mp3", "Jaya_Radhe_Jaya_Krishna_Jaya_Vrindavana_-_Radhanath_Swami.mp3")</f>
        <v>Jaya_Radhe_Jaya_Krishna_Jaya_Vrindavana_-_Radhanath_Swami.mp3</v>
      </c>
      <c r="D6877" s="11"/>
      <c r="E6877" s="11"/>
    </row>
    <row r="6878" spans="1:5">
      <c r="A6878" s="12" t="s">
        <v>12981</v>
      </c>
      <c r="B6878" s="12" t="s">
        <v>18642</v>
      </c>
      <c r="C6878" s="13" t="str">
        <f t="shared" si="213"/>
        <v>Jaya_Radhe_Jaya_Krishna_Jaya_Vrindavana_-_Radhanath_Swami.mp3</v>
      </c>
      <c r="D6878" s="11"/>
      <c r="E6878" s="11"/>
    </row>
    <row r="6879" spans="1:5">
      <c r="A6879" s="12" t="s">
        <v>12981</v>
      </c>
      <c r="B6879" s="12" t="s">
        <v>18643</v>
      </c>
      <c r="C6879" s="13" t="str">
        <f t="shared" ref="C6879:C6880" si="214">HYPERLINK("https://audio.iskcondesiretree.com/02_-_ISKCON_Swamis/ISKCON_Swamis_-_R_to_Y/His_Holiness_Radhanath_Swami/Bhajans/Vaishnava_Bhajans/Narasimha_Arati_-_Radhanath_Swami.mp3", "Narasimha_Arati_-_Radhanath_Swami.mp3")</f>
        <v>Narasimha_Arati_-_Radhanath_Swami.mp3</v>
      </c>
      <c r="D6879" s="11"/>
      <c r="E6879" s="11"/>
    </row>
    <row r="6880" spans="1:5">
      <c r="A6880" s="12" t="s">
        <v>12981</v>
      </c>
      <c r="B6880" s="12" t="s">
        <v>18643</v>
      </c>
      <c r="C6880" s="13" t="str">
        <f t="shared" si="214"/>
        <v>Narasimha_Arati_-_Radhanath_Swami.mp3</v>
      </c>
      <c r="D6880" s="11"/>
      <c r="E6880" s="11"/>
    </row>
    <row r="6881" spans="1:5">
      <c r="A6881" s="12" t="s">
        <v>12981</v>
      </c>
      <c r="B6881" s="12" t="s">
        <v>18644</v>
      </c>
      <c r="C6881" s="13" t="str">
        <f t="shared" ref="C6881:C6882" si="215">HYPERLINK("https://audio.iskcondesiretree.com/02_-_ISKCON_Swamis/ISKCON_Swamis_-_R_to_Y/His_Holiness_Radhanath_Swami/Bhajans/Vaishnava_Bhajans/Parama_Karuna_-_Radhanath_Swami.mp3", "Parama_Karuna_-_Radhanath_Swami.mp3")</f>
        <v>Parama_Karuna_-_Radhanath_Swami.mp3</v>
      </c>
      <c r="D6881" s="11"/>
      <c r="E6881" s="11"/>
    </row>
    <row r="6882" spans="1:5">
      <c r="A6882" s="12" t="s">
        <v>12981</v>
      </c>
      <c r="B6882" s="12" t="s">
        <v>18644</v>
      </c>
      <c r="C6882" s="13" t="str">
        <f t="shared" si="215"/>
        <v>Parama_Karuna_-_Radhanath_Swami.mp3</v>
      </c>
      <c r="D6882" s="11"/>
      <c r="E6882" s="11"/>
    </row>
    <row r="6883" spans="1:5">
      <c r="A6883" s="11"/>
      <c r="B6883" s="11"/>
      <c r="C6883" s="11"/>
      <c r="D6883" s="11"/>
      <c r="E6883" s="11"/>
    </row>
    <row r="6884" spans="1:5">
      <c r="A6884" s="11"/>
      <c r="B6884" s="11"/>
      <c r="C6884" s="11"/>
      <c r="D6884" s="11"/>
      <c r="E688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36"/>
  <sheetViews>
    <sheetView workbookViewId="0">
      <selection activeCell="A4" sqref="A4"/>
    </sheetView>
  </sheetViews>
  <sheetFormatPr defaultColWidth="12.5703125" defaultRowHeight="15.75" customHeight="1"/>
  <cols>
    <col min="1" max="1" width="96" customWidth="1"/>
    <col min="2" max="2" width="114.85546875" bestFit="1" customWidth="1"/>
  </cols>
  <sheetData>
    <row r="1" spans="1:3" ht="15.75" customHeight="1">
      <c r="A1" s="14" t="s">
        <v>0</v>
      </c>
      <c r="B1" s="14" t="s">
        <v>1</v>
      </c>
      <c r="C1" s="14"/>
    </row>
    <row r="2" spans="1:3" ht="15.75" customHeight="1">
      <c r="A2" s="15" t="s">
        <v>18645</v>
      </c>
      <c r="B2" s="16" t="s">
        <v>18646</v>
      </c>
      <c r="C2" s="17"/>
    </row>
    <row r="3" spans="1:3" ht="15.75" customHeight="1">
      <c r="A3" s="17" t="s">
        <v>18647</v>
      </c>
      <c r="B3" s="18" t="s">
        <v>18648</v>
      </c>
      <c r="C3" s="17"/>
    </row>
    <row r="4" spans="1:3" ht="15.75" customHeight="1">
      <c r="A4" s="17" t="s">
        <v>18649</v>
      </c>
      <c r="B4" s="18" t="s">
        <v>18650</v>
      </c>
      <c r="C4" s="17"/>
    </row>
    <row r="5" spans="1:3" ht="15.75" customHeight="1">
      <c r="A5" s="17" t="s">
        <v>18651</v>
      </c>
      <c r="B5" s="18" t="s">
        <v>18652</v>
      </c>
      <c r="C5" s="17"/>
    </row>
    <row r="6" spans="1:3" ht="15.75" customHeight="1">
      <c r="A6" s="17" t="s">
        <v>18653</v>
      </c>
      <c r="B6" s="18" t="s">
        <v>18654</v>
      </c>
      <c r="C6" s="17"/>
    </row>
    <row r="7" spans="1:3" ht="15.75" customHeight="1">
      <c r="A7" s="17" t="s">
        <v>18655</v>
      </c>
      <c r="B7" s="18" t="s">
        <v>18656</v>
      </c>
      <c r="C7" s="17"/>
    </row>
    <row r="8" spans="1:3" ht="15.75" customHeight="1">
      <c r="A8" s="17" t="s">
        <v>18657</v>
      </c>
      <c r="B8" s="18" t="s">
        <v>18658</v>
      </c>
      <c r="C8" s="17"/>
    </row>
    <row r="9" spans="1:3" ht="15.75" customHeight="1">
      <c r="A9" s="15" t="s">
        <v>18659</v>
      </c>
      <c r="B9" s="18" t="s">
        <v>18660</v>
      </c>
      <c r="C9" s="17"/>
    </row>
    <row r="10" spans="1:3" ht="15.75" customHeight="1">
      <c r="A10" s="15" t="s">
        <v>18661</v>
      </c>
      <c r="B10" s="18" t="s">
        <v>18662</v>
      </c>
      <c r="C10" s="17"/>
    </row>
    <row r="11" spans="1:3" ht="15.75" customHeight="1">
      <c r="A11" s="17" t="s">
        <v>18663</v>
      </c>
      <c r="B11" s="18" t="s">
        <v>18664</v>
      </c>
      <c r="C11" s="17"/>
    </row>
    <row r="12" spans="1:3" ht="15.75" customHeight="1">
      <c r="A12" s="17" t="s">
        <v>18665</v>
      </c>
      <c r="B12" s="18" t="s">
        <v>18666</v>
      </c>
      <c r="C12" s="17"/>
    </row>
    <row r="13" spans="1:3" ht="15.75" customHeight="1">
      <c r="A13" s="17" t="s">
        <v>18667</v>
      </c>
      <c r="B13" s="18" t="s">
        <v>18668</v>
      </c>
      <c r="C13" s="17"/>
    </row>
    <row r="14" spans="1:3" ht="15.75" customHeight="1">
      <c r="A14" s="17" t="s">
        <v>18669</v>
      </c>
      <c r="B14" s="18" t="s">
        <v>18670</v>
      </c>
      <c r="C14" s="17"/>
    </row>
    <row r="15" spans="1:3" ht="15.75" customHeight="1">
      <c r="A15" s="15" t="s">
        <v>18671</v>
      </c>
      <c r="B15" s="18" t="s">
        <v>18672</v>
      </c>
      <c r="C15" s="17"/>
    </row>
    <row r="16" spans="1:3" ht="15.75" customHeight="1">
      <c r="A16" s="17" t="s">
        <v>18673</v>
      </c>
      <c r="B16" s="18" t="s">
        <v>18674</v>
      </c>
      <c r="C16" s="17"/>
    </row>
    <row r="17" spans="1:3" ht="15.75" customHeight="1">
      <c r="A17" s="17" t="s">
        <v>18675</v>
      </c>
      <c r="B17" s="18" t="s">
        <v>18676</v>
      </c>
      <c r="C17" s="17"/>
    </row>
    <row r="18" spans="1:3" ht="15.75" customHeight="1">
      <c r="A18" s="17" t="s">
        <v>18677</v>
      </c>
      <c r="B18" s="18" t="s">
        <v>18678</v>
      </c>
      <c r="C18" s="17"/>
    </row>
    <row r="19" spans="1:3" ht="15.75" customHeight="1">
      <c r="A19" s="17" t="s">
        <v>18679</v>
      </c>
      <c r="B19" s="18" t="s">
        <v>18680</v>
      </c>
      <c r="C19" s="17"/>
    </row>
    <row r="20" spans="1:3" ht="15.75" customHeight="1">
      <c r="A20" s="17" t="s">
        <v>18681</v>
      </c>
      <c r="B20" s="18" t="s">
        <v>18682</v>
      </c>
      <c r="C20" s="17"/>
    </row>
    <row r="21" spans="1:3" ht="15.75" customHeight="1">
      <c r="A21" s="17" t="s">
        <v>18683</v>
      </c>
      <c r="B21" s="18" t="s">
        <v>18684</v>
      </c>
      <c r="C21" s="17"/>
    </row>
    <row r="22" spans="1:3" ht="15.75" customHeight="1">
      <c r="A22" s="17" t="s">
        <v>18685</v>
      </c>
      <c r="B22" s="18" t="s">
        <v>18686</v>
      </c>
      <c r="C22" s="17"/>
    </row>
    <row r="23" spans="1:3" ht="15.75" customHeight="1">
      <c r="A23" s="17" t="s">
        <v>18687</v>
      </c>
      <c r="B23" s="18" t="s">
        <v>18688</v>
      </c>
      <c r="C23" s="17"/>
    </row>
    <row r="24" spans="1:3" ht="15.75" customHeight="1">
      <c r="A24" s="17" t="s">
        <v>18689</v>
      </c>
      <c r="B24" s="18" t="s">
        <v>18690</v>
      </c>
      <c r="C24" s="17"/>
    </row>
    <row r="25" spans="1:3" ht="15.75" customHeight="1">
      <c r="A25" s="17" t="s">
        <v>18691</v>
      </c>
      <c r="B25" s="18" t="s">
        <v>18692</v>
      </c>
      <c r="C25" s="17"/>
    </row>
    <row r="26" spans="1:3" ht="15.75" customHeight="1">
      <c r="A26" s="17" t="s">
        <v>18693</v>
      </c>
      <c r="B26" s="18" t="s">
        <v>18694</v>
      </c>
      <c r="C26" s="17"/>
    </row>
    <row r="27" spans="1:3" ht="15.75" customHeight="1">
      <c r="A27" s="17" t="s">
        <v>18695</v>
      </c>
      <c r="B27" s="18" t="s">
        <v>18696</v>
      </c>
      <c r="C27" s="17"/>
    </row>
    <row r="28" spans="1:3" ht="15.75" customHeight="1">
      <c r="A28" s="17" t="s">
        <v>18697</v>
      </c>
      <c r="B28" s="18" t="s">
        <v>18698</v>
      </c>
      <c r="C28" s="17"/>
    </row>
    <row r="29" spans="1:3" ht="15.75" customHeight="1">
      <c r="A29" s="17" t="s">
        <v>18699</v>
      </c>
      <c r="B29" s="18" t="s">
        <v>18700</v>
      </c>
      <c r="C29" s="17"/>
    </row>
    <row r="30" spans="1:3" ht="15.75" customHeight="1">
      <c r="A30" s="17" t="s">
        <v>18701</v>
      </c>
      <c r="B30" s="18" t="s">
        <v>18702</v>
      </c>
      <c r="C30" s="17"/>
    </row>
    <row r="31" spans="1:3" ht="15.75" customHeight="1">
      <c r="A31" s="17" t="s">
        <v>18703</v>
      </c>
      <c r="B31" s="18" t="s">
        <v>18704</v>
      </c>
      <c r="C31" s="17"/>
    </row>
    <row r="32" spans="1:3" ht="15.75" customHeight="1">
      <c r="A32" s="17" t="s">
        <v>18705</v>
      </c>
      <c r="B32" s="18" t="s">
        <v>18706</v>
      </c>
      <c r="C32" s="17"/>
    </row>
    <row r="33" spans="1:3" ht="15.75" customHeight="1">
      <c r="A33" s="17" t="s">
        <v>18707</v>
      </c>
      <c r="B33" s="18" t="s">
        <v>18708</v>
      </c>
      <c r="C33" s="17"/>
    </row>
    <row r="34" spans="1:3" ht="15.75" customHeight="1">
      <c r="A34" s="17" t="s">
        <v>18709</v>
      </c>
      <c r="B34" s="18" t="s">
        <v>18710</v>
      </c>
      <c r="C34" s="17"/>
    </row>
    <row r="35" spans="1:3" ht="15.75" customHeight="1">
      <c r="A35" s="17" t="s">
        <v>18711</v>
      </c>
      <c r="B35" s="18" t="s">
        <v>18712</v>
      </c>
      <c r="C35" s="17"/>
    </row>
    <row r="36" spans="1:3" ht="15.75" customHeight="1">
      <c r="A36" s="17" t="s">
        <v>18713</v>
      </c>
      <c r="B36" s="18" t="s">
        <v>18714</v>
      </c>
      <c r="C36" s="17"/>
    </row>
    <row r="37" spans="1:3" ht="15">
      <c r="A37" s="17" t="s">
        <v>18715</v>
      </c>
      <c r="B37" s="18" t="s">
        <v>18716</v>
      </c>
      <c r="C37" s="17"/>
    </row>
    <row r="38" spans="1:3" ht="15">
      <c r="A38" s="17" t="s">
        <v>18717</v>
      </c>
      <c r="B38" s="18" t="s">
        <v>18718</v>
      </c>
      <c r="C38" s="17"/>
    </row>
    <row r="39" spans="1:3" ht="15">
      <c r="A39" s="17" t="s">
        <v>18719</v>
      </c>
      <c r="B39" s="18" t="s">
        <v>18720</v>
      </c>
      <c r="C39" s="17"/>
    </row>
    <row r="40" spans="1:3" ht="15">
      <c r="A40" s="17" t="s">
        <v>18721</v>
      </c>
      <c r="B40" s="18" t="s">
        <v>18722</v>
      </c>
      <c r="C40" s="17"/>
    </row>
    <row r="41" spans="1:3" ht="15">
      <c r="A41" s="17" t="s">
        <v>18723</v>
      </c>
      <c r="B41" s="18" t="s">
        <v>18724</v>
      </c>
      <c r="C41" s="17"/>
    </row>
    <row r="42" spans="1:3" ht="15">
      <c r="A42" s="17" t="s">
        <v>18725</v>
      </c>
      <c r="B42" s="18" t="s">
        <v>18726</v>
      </c>
      <c r="C42" s="17"/>
    </row>
    <row r="43" spans="1:3" ht="15">
      <c r="A43" s="17" t="s">
        <v>18727</v>
      </c>
      <c r="B43" s="18" t="s">
        <v>18728</v>
      </c>
      <c r="C43" s="17"/>
    </row>
    <row r="44" spans="1:3" ht="15">
      <c r="A44" s="17" t="s">
        <v>18729</v>
      </c>
      <c r="B44" s="18" t="s">
        <v>18730</v>
      </c>
      <c r="C44" s="17"/>
    </row>
    <row r="45" spans="1:3" ht="15">
      <c r="A45" s="17" t="s">
        <v>18731</v>
      </c>
      <c r="B45" s="18" t="s">
        <v>18732</v>
      </c>
      <c r="C45" s="17"/>
    </row>
    <row r="46" spans="1:3" ht="15">
      <c r="A46" s="17" t="s">
        <v>18733</v>
      </c>
      <c r="B46" s="18" t="s">
        <v>18734</v>
      </c>
      <c r="C46" s="17"/>
    </row>
    <row r="47" spans="1:3" ht="15">
      <c r="A47" s="17" t="s">
        <v>18735</v>
      </c>
      <c r="B47" s="18" t="s">
        <v>18736</v>
      </c>
      <c r="C47" s="17"/>
    </row>
    <row r="48" spans="1:3" ht="15">
      <c r="A48" s="17" t="s">
        <v>18737</v>
      </c>
      <c r="B48" s="18" t="s">
        <v>18738</v>
      </c>
      <c r="C48" s="17"/>
    </row>
    <row r="49" spans="1:3" ht="15">
      <c r="A49" s="17" t="s">
        <v>18739</v>
      </c>
      <c r="B49" s="18" t="s">
        <v>18740</v>
      </c>
      <c r="C49" s="17"/>
    </row>
    <row r="50" spans="1:3" ht="15">
      <c r="A50" s="17" t="s">
        <v>18741</v>
      </c>
      <c r="B50" s="18" t="s">
        <v>18742</v>
      </c>
      <c r="C50" s="17"/>
    </row>
    <row r="51" spans="1:3" ht="15">
      <c r="A51" s="17" t="s">
        <v>18743</v>
      </c>
      <c r="B51" s="18" t="s">
        <v>18744</v>
      </c>
      <c r="C51" s="17"/>
    </row>
    <row r="52" spans="1:3" ht="15">
      <c r="A52" s="17" t="s">
        <v>18745</v>
      </c>
      <c r="B52" s="18" t="s">
        <v>18746</v>
      </c>
      <c r="C52" s="17"/>
    </row>
    <row r="53" spans="1:3" ht="15">
      <c r="A53" s="17" t="s">
        <v>18747</v>
      </c>
      <c r="B53" s="18" t="s">
        <v>18748</v>
      </c>
      <c r="C53" s="17"/>
    </row>
    <row r="54" spans="1:3" ht="15">
      <c r="A54" s="17" t="s">
        <v>18749</v>
      </c>
      <c r="B54" s="18" t="s">
        <v>18750</v>
      </c>
      <c r="C54" s="17"/>
    </row>
    <row r="55" spans="1:3" ht="15">
      <c r="A55" s="17" t="s">
        <v>18751</v>
      </c>
      <c r="B55" s="18" t="s">
        <v>18752</v>
      </c>
      <c r="C55" s="17"/>
    </row>
    <row r="56" spans="1:3" ht="15">
      <c r="A56" s="17" t="s">
        <v>18753</v>
      </c>
      <c r="B56" s="18" t="s">
        <v>18754</v>
      </c>
      <c r="C56" s="17"/>
    </row>
    <row r="57" spans="1:3" ht="15">
      <c r="A57" s="17" t="s">
        <v>18755</v>
      </c>
      <c r="B57" s="18" t="s">
        <v>18756</v>
      </c>
      <c r="C57" s="17"/>
    </row>
    <row r="58" spans="1:3" ht="15">
      <c r="A58" s="17" t="s">
        <v>18757</v>
      </c>
      <c r="B58" s="18" t="s">
        <v>18758</v>
      </c>
      <c r="C58" s="17"/>
    </row>
    <row r="59" spans="1:3" ht="15">
      <c r="A59" s="17" t="s">
        <v>18759</v>
      </c>
      <c r="B59" s="18" t="s">
        <v>18760</v>
      </c>
      <c r="C59" s="17"/>
    </row>
    <row r="60" spans="1:3" ht="15">
      <c r="A60" s="17" t="s">
        <v>18761</v>
      </c>
      <c r="B60" s="18" t="s">
        <v>18762</v>
      </c>
      <c r="C60" s="17"/>
    </row>
    <row r="61" spans="1:3" ht="15">
      <c r="A61" s="17" t="s">
        <v>18763</v>
      </c>
      <c r="B61" s="18" t="s">
        <v>18764</v>
      </c>
      <c r="C61" s="17"/>
    </row>
    <row r="62" spans="1:3" ht="15">
      <c r="A62" s="17" t="s">
        <v>18765</v>
      </c>
      <c r="B62" s="18" t="s">
        <v>18766</v>
      </c>
      <c r="C62" s="17"/>
    </row>
    <row r="63" spans="1:3" ht="15">
      <c r="A63" s="17" t="s">
        <v>18767</v>
      </c>
      <c r="B63" s="18" t="s">
        <v>18768</v>
      </c>
      <c r="C63" s="17"/>
    </row>
    <row r="64" spans="1:3" ht="15">
      <c r="A64" s="17" t="s">
        <v>18769</v>
      </c>
      <c r="B64" s="18" t="s">
        <v>18770</v>
      </c>
      <c r="C64" s="17"/>
    </row>
    <row r="65" spans="1:3" ht="15">
      <c r="A65" s="17" t="s">
        <v>18771</v>
      </c>
      <c r="B65" s="18" t="s">
        <v>18772</v>
      </c>
      <c r="C65" s="17"/>
    </row>
    <row r="66" spans="1:3" ht="15">
      <c r="A66" s="17" t="s">
        <v>18773</v>
      </c>
      <c r="B66" s="18" t="s">
        <v>18774</v>
      </c>
      <c r="C66" s="17"/>
    </row>
    <row r="67" spans="1:3" ht="15">
      <c r="A67" s="17" t="s">
        <v>18775</v>
      </c>
      <c r="B67" s="18" t="s">
        <v>18776</v>
      </c>
      <c r="C67" s="17"/>
    </row>
    <row r="68" spans="1:3" ht="15">
      <c r="A68" s="17" t="s">
        <v>18777</v>
      </c>
      <c r="B68" s="18" t="s">
        <v>18778</v>
      </c>
      <c r="C68" s="17"/>
    </row>
    <row r="69" spans="1:3" ht="15">
      <c r="A69" s="17" t="s">
        <v>18779</v>
      </c>
      <c r="B69" s="18" t="s">
        <v>18780</v>
      </c>
      <c r="C69" s="17"/>
    </row>
    <row r="70" spans="1:3" ht="15">
      <c r="A70" s="17" t="s">
        <v>18781</v>
      </c>
      <c r="B70" s="18" t="s">
        <v>18782</v>
      </c>
      <c r="C70" s="17"/>
    </row>
    <row r="71" spans="1:3" ht="15">
      <c r="A71" s="17" t="s">
        <v>18783</v>
      </c>
      <c r="B71" s="18" t="s">
        <v>18784</v>
      </c>
      <c r="C71" s="17"/>
    </row>
    <row r="72" spans="1:3" ht="15">
      <c r="A72" s="17" t="s">
        <v>18785</v>
      </c>
      <c r="B72" s="18" t="s">
        <v>18786</v>
      </c>
      <c r="C72" s="17"/>
    </row>
    <row r="73" spans="1:3" ht="15">
      <c r="A73" s="17" t="s">
        <v>18787</v>
      </c>
      <c r="B73" s="18" t="s">
        <v>18788</v>
      </c>
      <c r="C73" s="17"/>
    </row>
    <row r="74" spans="1:3" ht="15">
      <c r="A74" s="17" t="s">
        <v>18789</v>
      </c>
      <c r="B74" s="18" t="s">
        <v>18790</v>
      </c>
      <c r="C74" s="17"/>
    </row>
    <row r="75" spans="1:3" ht="15">
      <c r="A75" s="17" t="s">
        <v>18791</v>
      </c>
      <c r="B75" s="18" t="s">
        <v>18792</v>
      </c>
      <c r="C75" s="17"/>
    </row>
    <row r="76" spans="1:3" ht="15">
      <c r="A76" s="17" t="s">
        <v>18793</v>
      </c>
      <c r="B76" s="18" t="s">
        <v>18794</v>
      </c>
      <c r="C76" s="17"/>
    </row>
    <row r="77" spans="1:3" ht="15">
      <c r="A77" s="17" t="s">
        <v>18795</v>
      </c>
      <c r="B77" s="18" t="s">
        <v>18796</v>
      </c>
      <c r="C77" s="17"/>
    </row>
    <row r="78" spans="1:3" ht="15">
      <c r="A78" s="17" t="s">
        <v>18797</v>
      </c>
      <c r="B78" s="18" t="s">
        <v>18798</v>
      </c>
      <c r="C78" s="17"/>
    </row>
    <row r="79" spans="1:3" ht="15">
      <c r="A79" s="17" t="s">
        <v>18799</v>
      </c>
      <c r="B79" s="18" t="s">
        <v>18800</v>
      </c>
      <c r="C79" s="17"/>
    </row>
    <row r="80" spans="1:3" ht="15">
      <c r="A80" s="17" t="s">
        <v>18801</v>
      </c>
      <c r="B80" s="18" t="s">
        <v>18802</v>
      </c>
      <c r="C80" s="17"/>
    </row>
    <row r="81" spans="1:3" ht="15">
      <c r="A81" s="17" t="s">
        <v>18803</v>
      </c>
      <c r="B81" s="18" t="s">
        <v>18804</v>
      </c>
      <c r="C81" s="17"/>
    </row>
    <row r="82" spans="1:3" ht="15">
      <c r="A82" s="17" t="s">
        <v>18805</v>
      </c>
      <c r="B82" s="18" t="s">
        <v>18806</v>
      </c>
      <c r="C82" s="17"/>
    </row>
    <row r="83" spans="1:3" ht="15">
      <c r="A83" s="17" t="s">
        <v>18807</v>
      </c>
      <c r="B83" s="18" t="s">
        <v>18808</v>
      </c>
      <c r="C83" s="17"/>
    </row>
    <row r="84" spans="1:3" ht="15">
      <c r="A84" s="17" t="s">
        <v>18809</v>
      </c>
      <c r="B84" s="18" t="s">
        <v>18810</v>
      </c>
      <c r="C84" s="17"/>
    </row>
    <row r="85" spans="1:3" ht="15">
      <c r="A85" s="17" t="s">
        <v>18811</v>
      </c>
      <c r="B85" s="18" t="s">
        <v>18812</v>
      </c>
      <c r="C85" s="17"/>
    </row>
    <row r="86" spans="1:3" ht="15">
      <c r="A86" s="17" t="s">
        <v>18813</v>
      </c>
      <c r="B86" s="18" t="s">
        <v>18814</v>
      </c>
      <c r="C86" s="17"/>
    </row>
    <row r="87" spans="1:3" ht="15">
      <c r="A87" s="17" t="s">
        <v>18815</v>
      </c>
      <c r="B87" s="18" t="s">
        <v>18816</v>
      </c>
      <c r="C87" s="17"/>
    </row>
    <row r="88" spans="1:3" ht="15">
      <c r="A88" s="17" t="s">
        <v>18817</v>
      </c>
      <c r="B88" s="18" t="s">
        <v>18818</v>
      </c>
      <c r="C88" s="17"/>
    </row>
    <row r="89" spans="1:3" ht="15">
      <c r="A89" s="17" t="s">
        <v>18819</v>
      </c>
      <c r="B89" s="18" t="s">
        <v>18820</v>
      </c>
      <c r="C89" s="17"/>
    </row>
    <row r="90" spans="1:3" ht="15">
      <c r="A90" s="17" t="s">
        <v>18821</v>
      </c>
      <c r="B90" s="18" t="s">
        <v>18822</v>
      </c>
      <c r="C90" s="17"/>
    </row>
    <row r="91" spans="1:3" ht="15">
      <c r="A91" s="17" t="s">
        <v>18823</v>
      </c>
      <c r="B91" s="18" t="s">
        <v>18824</v>
      </c>
      <c r="C91" s="17"/>
    </row>
    <row r="92" spans="1:3" ht="15">
      <c r="A92" s="17" t="s">
        <v>18825</v>
      </c>
      <c r="B92" s="18" t="s">
        <v>18826</v>
      </c>
      <c r="C92" s="17"/>
    </row>
    <row r="93" spans="1:3" ht="15">
      <c r="A93" s="17" t="s">
        <v>18827</v>
      </c>
      <c r="B93" s="18" t="s">
        <v>18828</v>
      </c>
      <c r="C93" s="17"/>
    </row>
    <row r="94" spans="1:3" ht="15">
      <c r="A94" s="17" t="s">
        <v>18829</v>
      </c>
      <c r="B94" s="18" t="s">
        <v>18830</v>
      </c>
      <c r="C94" s="17"/>
    </row>
    <row r="95" spans="1:3" ht="15">
      <c r="A95" s="17" t="s">
        <v>18831</v>
      </c>
      <c r="B95" s="18" t="s">
        <v>18832</v>
      </c>
      <c r="C95" s="17"/>
    </row>
    <row r="96" spans="1:3" ht="15">
      <c r="A96" s="17" t="s">
        <v>18833</v>
      </c>
      <c r="B96" s="18" t="s">
        <v>18834</v>
      </c>
      <c r="C96" s="17"/>
    </row>
    <row r="97" spans="1:3" ht="15">
      <c r="A97" s="17" t="s">
        <v>18835</v>
      </c>
      <c r="B97" s="18" t="s">
        <v>18836</v>
      </c>
      <c r="C97" s="17"/>
    </row>
    <row r="98" spans="1:3" ht="15">
      <c r="A98" s="17" t="s">
        <v>18837</v>
      </c>
      <c r="B98" s="18" t="s">
        <v>18838</v>
      </c>
      <c r="C98" s="17"/>
    </row>
    <row r="99" spans="1:3" ht="15">
      <c r="A99" s="17" t="s">
        <v>18839</v>
      </c>
      <c r="B99" s="18" t="s">
        <v>18840</v>
      </c>
      <c r="C99" s="17"/>
    </row>
    <row r="100" spans="1:3" ht="15">
      <c r="A100" s="17" t="s">
        <v>18841</v>
      </c>
      <c r="B100" s="18" t="s">
        <v>18842</v>
      </c>
      <c r="C100" s="17"/>
    </row>
    <row r="101" spans="1:3" ht="15">
      <c r="A101" s="17" t="s">
        <v>18843</v>
      </c>
      <c r="B101" s="18" t="s">
        <v>18844</v>
      </c>
      <c r="C101" s="17"/>
    </row>
    <row r="102" spans="1:3" ht="15">
      <c r="A102" s="17" t="s">
        <v>18845</v>
      </c>
      <c r="B102" s="18" t="s">
        <v>18846</v>
      </c>
      <c r="C102" s="17"/>
    </row>
    <row r="103" spans="1:3" ht="15">
      <c r="A103" s="17" t="s">
        <v>18847</v>
      </c>
      <c r="B103" s="18" t="s">
        <v>18848</v>
      </c>
      <c r="C103" s="17"/>
    </row>
    <row r="104" spans="1:3" ht="15">
      <c r="A104" s="17" t="s">
        <v>18849</v>
      </c>
      <c r="B104" s="18" t="s">
        <v>18850</v>
      </c>
      <c r="C104" s="17"/>
    </row>
    <row r="105" spans="1:3" ht="15">
      <c r="A105" s="17" t="s">
        <v>18851</v>
      </c>
      <c r="B105" s="18" t="s">
        <v>18852</v>
      </c>
      <c r="C105" s="17"/>
    </row>
    <row r="106" spans="1:3" ht="15">
      <c r="A106" s="17" t="s">
        <v>18853</v>
      </c>
      <c r="B106" s="18" t="s">
        <v>18854</v>
      </c>
      <c r="C106" s="17"/>
    </row>
    <row r="107" spans="1:3" ht="15">
      <c r="A107" s="17" t="s">
        <v>18855</v>
      </c>
      <c r="B107" s="18" t="s">
        <v>18856</v>
      </c>
      <c r="C107" s="17"/>
    </row>
    <row r="108" spans="1:3" ht="15">
      <c r="A108" s="17" t="s">
        <v>18857</v>
      </c>
      <c r="B108" s="18" t="s">
        <v>18858</v>
      </c>
      <c r="C108" s="17"/>
    </row>
    <row r="109" spans="1:3" ht="15">
      <c r="A109" s="17" t="s">
        <v>18859</v>
      </c>
      <c r="B109" s="18" t="s">
        <v>18860</v>
      </c>
      <c r="C109" s="17"/>
    </row>
    <row r="110" spans="1:3" ht="15">
      <c r="A110" s="17" t="s">
        <v>18861</v>
      </c>
      <c r="B110" s="18" t="s">
        <v>18862</v>
      </c>
      <c r="C110" s="17"/>
    </row>
    <row r="111" spans="1:3" ht="15">
      <c r="A111" s="17" t="s">
        <v>18863</v>
      </c>
      <c r="B111" s="18" t="s">
        <v>18864</v>
      </c>
      <c r="C111" s="17"/>
    </row>
    <row r="112" spans="1:3" ht="15">
      <c r="A112" s="17" t="s">
        <v>18865</v>
      </c>
      <c r="B112" s="18" t="s">
        <v>18866</v>
      </c>
      <c r="C112" s="17"/>
    </row>
    <row r="113" spans="1:3" ht="15">
      <c r="A113" s="17" t="s">
        <v>18867</v>
      </c>
      <c r="B113" s="18" t="s">
        <v>18868</v>
      </c>
      <c r="C113" s="17"/>
    </row>
    <row r="114" spans="1:3" ht="15">
      <c r="A114" s="17" t="s">
        <v>18869</v>
      </c>
      <c r="B114" s="18" t="s">
        <v>18870</v>
      </c>
      <c r="C114" s="17"/>
    </row>
    <row r="115" spans="1:3" ht="15">
      <c r="A115" s="17" t="s">
        <v>18871</v>
      </c>
      <c r="B115" s="18" t="s">
        <v>18872</v>
      </c>
      <c r="C115" s="17"/>
    </row>
    <row r="116" spans="1:3" ht="15">
      <c r="A116" s="17" t="s">
        <v>18873</v>
      </c>
      <c r="B116" s="18" t="s">
        <v>18874</v>
      </c>
      <c r="C116" s="17"/>
    </row>
    <row r="117" spans="1:3" ht="15">
      <c r="A117" s="17" t="s">
        <v>18875</v>
      </c>
      <c r="B117" s="18" t="s">
        <v>18876</v>
      </c>
      <c r="C117" s="17"/>
    </row>
    <row r="118" spans="1:3" ht="15">
      <c r="A118" s="17" t="s">
        <v>18877</v>
      </c>
      <c r="B118" s="18" t="s">
        <v>18878</v>
      </c>
      <c r="C118" s="17"/>
    </row>
    <row r="119" spans="1:3" ht="15">
      <c r="A119" s="17" t="s">
        <v>18879</v>
      </c>
      <c r="B119" s="18" t="s">
        <v>18880</v>
      </c>
      <c r="C119" s="17"/>
    </row>
    <row r="120" spans="1:3" ht="15">
      <c r="A120" s="17" t="s">
        <v>18881</v>
      </c>
      <c r="B120" s="18" t="s">
        <v>18882</v>
      </c>
      <c r="C120" s="17"/>
    </row>
    <row r="121" spans="1:3" ht="15">
      <c r="A121" s="17" t="s">
        <v>18883</v>
      </c>
      <c r="B121" s="18" t="s">
        <v>18884</v>
      </c>
      <c r="C121" s="17"/>
    </row>
    <row r="122" spans="1:3" ht="15">
      <c r="A122" s="17" t="s">
        <v>18885</v>
      </c>
      <c r="B122" s="18" t="s">
        <v>18886</v>
      </c>
      <c r="C122" s="17"/>
    </row>
    <row r="123" spans="1:3" ht="15">
      <c r="A123" s="17" t="s">
        <v>18887</v>
      </c>
      <c r="B123" s="18" t="s">
        <v>18888</v>
      </c>
      <c r="C123" s="17"/>
    </row>
    <row r="124" spans="1:3" ht="15">
      <c r="A124" s="17" t="s">
        <v>18889</v>
      </c>
      <c r="B124" s="18" t="s">
        <v>18890</v>
      </c>
      <c r="C124" s="17"/>
    </row>
    <row r="125" spans="1:3" ht="15">
      <c r="A125" s="17" t="s">
        <v>18891</v>
      </c>
      <c r="B125" s="18" t="s">
        <v>18892</v>
      </c>
      <c r="C125" s="17"/>
    </row>
    <row r="126" spans="1:3" ht="15">
      <c r="A126" s="17" t="s">
        <v>18893</v>
      </c>
      <c r="B126" s="18" t="s">
        <v>18894</v>
      </c>
      <c r="C126" s="17"/>
    </row>
    <row r="127" spans="1:3" ht="15">
      <c r="A127" s="17" t="s">
        <v>18895</v>
      </c>
      <c r="B127" s="18" t="s">
        <v>18896</v>
      </c>
      <c r="C127" s="17"/>
    </row>
    <row r="128" spans="1:3" ht="15">
      <c r="A128" s="17" t="s">
        <v>18897</v>
      </c>
      <c r="B128" s="18" t="s">
        <v>18898</v>
      </c>
      <c r="C128" s="17"/>
    </row>
    <row r="129" spans="1:3" ht="15">
      <c r="A129" s="17" t="s">
        <v>18899</v>
      </c>
      <c r="B129" s="18" t="s">
        <v>18900</v>
      </c>
      <c r="C129" s="17"/>
    </row>
    <row r="130" spans="1:3" ht="15">
      <c r="A130" s="17" t="s">
        <v>18901</v>
      </c>
      <c r="B130" s="18" t="s">
        <v>18902</v>
      </c>
      <c r="C130" s="17"/>
    </row>
    <row r="131" spans="1:3" ht="15">
      <c r="A131" s="17" t="s">
        <v>18903</v>
      </c>
      <c r="B131" s="18" t="s">
        <v>18904</v>
      </c>
      <c r="C131" s="17"/>
    </row>
    <row r="132" spans="1:3" ht="15">
      <c r="A132" s="17" t="s">
        <v>18905</v>
      </c>
      <c r="B132" s="18" t="s">
        <v>18906</v>
      </c>
      <c r="C132" s="17"/>
    </row>
    <row r="133" spans="1:3" ht="15">
      <c r="A133" s="17" t="s">
        <v>18907</v>
      </c>
      <c r="B133" s="18" t="s">
        <v>18908</v>
      </c>
      <c r="C133" s="17"/>
    </row>
    <row r="134" spans="1:3" ht="15">
      <c r="A134" s="17" t="s">
        <v>18909</v>
      </c>
      <c r="B134" s="18" t="s">
        <v>18910</v>
      </c>
      <c r="C134" s="17"/>
    </row>
    <row r="135" spans="1:3" ht="15">
      <c r="A135" s="17"/>
      <c r="B135" s="18"/>
      <c r="C135" s="17"/>
    </row>
    <row r="136" spans="1:3" ht="15">
      <c r="A136" s="17"/>
      <c r="B136" s="18"/>
      <c r="C136" s="17"/>
    </row>
    <row r="137" spans="1:3" ht="15">
      <c r="A137" s="17"/>
      <c r="B137" s="18"/>
      <c r="C137" s="17"/>
    </row>
    <row r="138" spans="1:3" ht="15">
      <c r="A138" s="17"/>
      <c r="B138" s="18"/>
      <c r="C138" s="17"/>
    </row>
    <row r="139" spans="1:3" ht="15">
      <c r="A139" s="17"/>
      <c r="B139" s="18"/>
      <c r="C139" s="17"/>
    </row>
    <row r="140" spans="1:3" ht="15">
      <c r="A140" s="17"/>
      <c r="B140" s="18"/>
      <c r="C140" s="17"/>
    </row>
    <row r="141" spans="1:3" ht="15">
      <c r="A141" s="17"/>
      <c r="B141" s="18"/>
      <c r="C141" s="17"/>
    </row>
    <row r="142" spans="1:3" ht="15">
      <c r="A142" s="17"/>
      <c r="B142" s="18"/>
      <c r="C142" s="17"/>
    </row>
    <row r="143" spans="1:3" ht="15">
      <c r="A143" s="17"/>
      <c r="B143" s="18"/>
      <c r="C143" s="17"/>
    </row>
    <row r="144" spans="1:3" ht="15">
      <c r="A144" s="17"/>
      <c r="B144" s="18"/>
      <c r="C144" s="17"/>
    </row>
    <row r="145" spans="1:3" ht="15">
      <c r="A145" s="17"/>
      <c r="B145" s="18"/>
      <c r="C145" s="17"/>
    </row>
    <row r="146" spans="1:3" ht="15">
      <c r="A146" s="17"/>
      <c r="B146" s="18"/>
      <c r="C146" s="17"/>
    </row>
    <row r="147" spans="1:3" ht="15">
      <c r="A147" s="17"/>
      <c r="B147" s="18"/>
      <c r="C147" s="17"/>
    </row>
    <row r="148" spans="1:3" ht="15">
      <c r="A148" s="17"/>
      <c r="B148" s="18"/>
      <c r="C148" s="17"/>
    </row>
    <row r="149" spans="1:3" ht="15">
      <c r="A149" s="17"/>
      <c r="B149" s="18"/>
      <c r="C149" s="17"/>
    </row>
    <row r="150" spans="1:3" ht="15">
      <c r="A150" s="17"/>
      <c r="B150" s="18"/>
      <c r="C150" s="17"/>
    </row>
    <row r="151" spans="1:3" ht="15">
      <c r="A151" s="17"/>
      <c r="B151" s="18"/>
      <c r="C151" s="17"/>
    </row>
    <row r="152" spans="1:3" ht="15">
      <c r="A152" s="17"/>
      <c r="B152" s="18"/>
      <c r="C152" s="17"/>
    </row>
    <row r="153" spans="1:3" ht="15">
      <c r="A153" s="17"/>
      <c r="B153" s="18"/>
      <c r="C153" s="17"/>
    </row>
    <row r="154" spans="1:3" ht="15">
      <c r="A154" s="17"/>
      <c r="B154" s="18"/>
      <c r="C154" s="17"/>
    </row>
    <row r="155" spans="1:3" ht="15">
      <c r="A155" s="17"/>
      <c r="B155" s="18"/>
      <c r="C155" s="17"/>
    </row>
    <row r="156" spans="1:3" ht="15">
      <c r="A156" s="17"/>
      <c r="B156" s="18"/>
      <c r="C156" s="17"/>
    </row>
    <row r="157" spans="1:3" ht="15">
      <c r="A157" s="17"/>
      <c r="B157" s="18"/>
      <c r="C157" s="17"/>
    </row>
    <row r="158" spans="1:3" ht="15">
      <c r="A158" s="17"/>
      <c r="B158" s="18"/>
      <c r="C158" s="17"/>
    </row>
    <row r="159" spans="1:3" ht="15">
      <c r="A159" s="17"/>
      <c r="B159" s="18"/>
      <c r="C159" s="17"/>
    </row>
    <row r="160" spans="1:3" ht="15">
      <c r="A160" s="17"/>
      <c r="B160" s="18"/>
      <c r="C160" s="17"/>
    </row>
    <row r="161" spans="1:3" ht="15">
      <c r="A161" s="17"/>
      <c r="B161" s="18"/>
      <c r="C161" s="17"/>
    </row>
    <row r="162" spans="1:3" ht="15">
      <c r="A162" s="17"/>
      <c r="B162" s="18"/>
      <c r="C162" s="17"/>
    </row>
    <row r="163" spans="1:3" ht="15">
      <c r="A163" s="17"/>
      <c r="B163" s="18"/>
      <c r="C163" s="17"/>
    </row>
    <row r="164" spans="1:3" ht="15">
      <c r="A164" s="17"/>
      <c r="B164" s="18"/>
      <c r="C164" s="17"/>
    </row>
    <row r="165" spans="1:3" ht="15">
      <c r="A165" s="17"/>
      <c r="B165" s="18"/>
      <c r="C165" s="17"/>
    </row>
    <row r="166" spans="1:3" ht="15">
      <c r="A166" s="17"/>
      <c r="B166" s="18"/>
      <c r="C166" s="17"/>
    </row>
    <row r="167" spans="1:3" ht="15">
      <c r="A167" s="17"/>
      <c r="B167" s="18"/>
      <c r="C167" s="17"/>
    </row>
    <row r="168" spans="1:3" ht="15">
      <c r="A168" s="17"/>
      <c r="B168" s="18"/>
      <c r="C168" s="17"/>
    </row>
    <row r="169" spans="1:3" ht="15">
      <c r="A169" s="17"/>
      <c r="B169" s="18"/>
      <c r="C169" s="17"/>
    </row>
    <row r="170" spans="1:3" ht="15">
      <c r="A170" s="17"/>
      <c r="B170" s="18"/>
      <c r="C170" s="17"/>
    </row>
    <row r="171" spans="1:3" ht="15">
      <c r="A171" s="17"/>
      <c r="B171" s="18"/>
      <c r="C171" s="17"/>
    </row>
    <row r="172" spans="1:3" ht="15">
      <c r="A172" s="17"/>
      <c r="B172" s="18"/>
      <c r="C172" s="17"/>
    </row>
    <row r="173" spans="1:3" ht="15">
      <c r="A173" s="17"/>
      <c r="B173" s="18"/>
      <c r="C173" s="17"/>
    </row>
    <row r="174" spans="1:3" ht="15">
      <c r="A174" s="17"/>
      <c r="B174" s="18"/>
      <c r="C174" s="17"/>
    </row>
    <row r="175" spans="1:3" ht="15">
      <c r="A175" s="17"/>
      <c r="B175" s="18"/>
      <c r="C175" s="17"/>
    </row>
    <row r="176" spans="1:3" ht="15">
      <c r="A176" s="17"/>
      <c r="B176" s="18"/>
      <c r="C176" s="17"/>
    </row>
    <row r="177" spans="1:3" ht="15">
      <c r="A177" s="17"/>
      <c r="B177" s="18"/>
      <c r="C177" s="17"/>
    </row>
    <row r="178" spans="1:3" ht="15">
      <c r="A178" s="17"/>
      <c r="B178" s="18"/>
      <c r="C178" s="17"/>
    </row>
    <row r="179" spans="1:3" ht="15">
      <c r="A179" s="17"/>
      <c r="B179" s="18"/>
      <c r="C179" s="17"/>
    </row>
    <row r="180" spans="1:3" ht="15">
      <c r="A180" s="17"/>
      <c r="B180" s="18"/>
      <c r="C180" s="17"/>
    </row>
    <row r="181" spans="1:3" ht="15">
      <c r="A181" s="17"/>
      <c r="B181" s="18"/>
      <c r="C181" s="17"/>
    </row>
    <row r="182" spans="1:3" ht="15">
      <c r="A182" s="17"/>
      <c r="B182" s="18"/>
      <c r="C182" s="17"/>
    </row>
    <row r="183" spans="1:3" ht="15">
      <c r="A183" s="17"/>
      <c r="B183" s="18"/>
      <c r="C183" s="17"/>
    </row>
    <row r="184" spans="1:3" ht="15">
      <c r="A184" s="17"/>
      <c r="B184" s="18"/>
      <c r="C184" s="17"/>
    </row>
    <row r="185" spans="1:3" ht="15">
      <c r="A185" s="17"/>
      <c r="B185" s="18"/>
      <c r="C185" s="17"/>
    </row>
    <row r="186" spans="1:3" ht="15">
      <c r="A186" s="17"/>
      <c r="B186" s="18"/>
      <c r="C186" s="17"/>
    </row>
    <row r="187" spans="1:3" ht="15">
      <c r="A187" s="17"/>
      <c r="B187" s="18"/>
      <c r="C187" s="17"/>
    </row>
    <row r="188" spans="1:3" ht="15">
      <c r="A188" s="17"/>
      <c r="B188" s="18"/>
      <c r="C188" s="17"/>
    </row>
    <row r="189" spans="1:3" ht="15">
      <c r="A189" s="17"/>
      <c r="B189" s="18"/>
      <c r="C189" s="17"/>
    </row>
    <row r="190" spans="1:3" ht="15">
      <c r="A190" s="17"/>
      <c r="B190" s="18"/>
      <c r="C190" s="17"/>
    </row>
    <row r="191" spans="1:3" ht="15">
      <c r="A191" s="17"/>
      <c r="B191" s="18"/>
      <c r="C191" s="17"/>
    </row>
    <row r="192" spans="1:3" ht="15">
      <c r="A192" s="17"/>
      <c r="B192" s="18"/>
      <c r="C192" s="17"/>
    </row>
    <row r="193" spans="1:3" ht="15">
      <c r="A193" s="17"/>
      <c r="B193" s="18"/>
      <c r="C193" s="17"/>
    </row>
    <row r="194" spans="1:3" ht="15">
      <c r="A194" s="17"/>
      <c r="B194" s="18"/>
      <c r="C194" s="17"/>
    </row>
    <row r="195" spans="1:3" ht="15">
      <c r="A195" s="17"/>
      <c r="B195" s="18"/>
      <c r="C195" s="17"/>
    </row>
    <row r="196" spans="1:3" ht="15">
      <c r="A196" s="17"/>
      <c r="B196" s="18"/>
      <c r="C196" s="17"/>
    </row>
    <row r="197" spans="1:3" ht="15">
      <c r="A197" s="17"/>
      <c r="B197" s="18"/>
      <c r="C197" s="17"/>
    </row>
    <row r="198" spans="1:3" ht="15">
      <c r="A198" s="17"/>
      <c r="B198" s="18"/>
      <c r="C198" s="17"/>
    </row>
    <row r="199" spans="1:3" ht="15">
      <c r="A199" s="17"/>
      <c r="B199" s="18"/>
      <c r="C199" s="17"/>
    </row>
    <row r="200" spans="1:3" ht="15">
      <c r="A200" s="17"/>
      <c r="B200" s="18"/>
      <c r="C200" s="17"/>
    </row>
    <row r="201" spans="1:3" ht="15">
      <c r="A201" s="17"/>
      <c r="B201" s="18"/>
      <c r="C201" s="17"/>
    </row>
    <row r="202" spans="1:3" ht="15">
      <c r="A202" s="17"/>
      <c r="B202" s="18"/>
      <c r="C202" s="17"/>
    </row>
    <row r="203" spans="1:3" ht="15">
      <c r="A203" s="17"/>
      <c r="B203" s="18"/>
      <c r="C203" s="17"/>
    </row>
    <row r="204" spans="1:3" ht="15">
      <c r="A204" s="17"/>
      <c r="B204" s="18"/>
      <c r="C204" s="17"/>
    </row>
    <row r="205" spans="1:3" ht="15">
      <c r="A205" s="17"/>
      <c r="B205" s="18"/>
      <c r="C205" s="17"/>
    </row>
    <row r="206" spans="1:3" ht="15">
      <c r="A206" s="17"/>
      <c r="B206" s="18"/>
      <c r="C206" s="17"/>
    </row>
    <row r="207" spans="1:3" ht="15">
      <c r="A207" s="17"/>
      <c r="B207" s="18"/>
      <c r="C207" s="17"/>
    </row>
    <row r="208" spans="1:3" ht="15">
      <c r="A208" s="17"/>
      <c r="B208" s="18"/>
      <c r="C208" s="17"/>
    </row>
    <row r="209" spans="1:3" ht="15">
      <c r="A209" s="17"/>
      <c r="B209" s="18"/>
      <c r="C209" s="17"/>
    </row>
    <row r="210" spans="1:3" ht="15">
      <c r="A210" s="17"/>
      <c r="B210" s="18"/>
      <c r="C210" s="17"/>
    </row>
    <row r="211" spans="1:3" ht="15">
      <c r="A211" s="17"/>
      <c r="B211" s="18"/>
      <c r="C211" s="17"/>
    </row>
    <row r="212" spans="1:3" ht="15">
      <c r="A212" s="17"/>
      <c r="B212" s="18"/>
      <c r="C212" s="17"/>
    </row>
    <row r="213" spans="1:3" ht="15">
      <c r="A213" s="17"/>
      <c r="B213" s="18"/>
      <c r="C213" s="17"/>
    </row>
    <row r="214" spans="1:3" ht="15">
      <c r="A214" s="17"/>
      <c r="B214" s="18"/>
      <c r="C214" s="17"/>
    </row>
    <row r="215" spans="1:3" ht="15">
      <c r="A215" s="17"/>
      <c r="B215" s="18"/>
      <c r="C215" s="17"/>
    </row>
    <row r="216" spans="1:3" ht="15">
      <c r="A216" s="17"/>
      <c r="B216" s="18"/>
      <c r="C216" s="17"/>
    </row>
    <row r="217" spans="1:3" ht="15">
      <c r="A217" s="17"/>
      <c r="B217" s="18"/>
      <c r="C217" s="17"/>
    </row>
    <row r="218" spans="1:3" ht="15">
      <c r="A218" s="17"/>
      <c r="B218" s="18"/>
      <c r="C218" s="17"/>
    </row>
    <row r="219" spans="1:3" ht="15">
      <c r="A219" s="17"/>
      <c r="B219" s="18"/>
      <c r="C219" s="17"/>
    </row>
    <row r="220" spans="1:3" ht="15">
      <c r="A220" s="17"/>
      <c r="B220" s="18"/>
      <c r="C220" s="17"/>
    </row>
    <row r="221" spans="1:3" ht="15">
      <c r="A221" s="17"/>
      <c r="B221" s="18"/>
      <c r="C221" s="17"/>
    </row>
    <row r="222" spans="1:3" ht="15">
      <c r="A222" s="17"/>
      <c r="B222" s="18"/>
      <c r="C222" s="17"/>
    </row>
    <row r="223" spans="1:3" ht="15">
      <c r="A223" s="17"/>
      <c r="B223" s="18"/>
      <c r="C223" s="17"/>
    </row>
    <row r="224" spans="1:3" ht="15">
      <c r="A224" s="17"/>
      <c r="B224" s="18"/>
      <c r="C224" s="17"/>
    </row>
    <row r="225" spans="1:3" ht="15">
      <c r="A225" s="17"/>
      <c r="B225" s="18"/>
      <c r="C225" s="17"/>
    </row>
    <row r="226" spans="1:3" ht="15">
      <c r="A226" s="17"/>
      <c r="B226" s="18"/>
      <c r="C226" s="17"/>
    </row>
    <row r="227" spans="1:3" ht="15">
      <c r="A227" s="17"/>
      <c r="B227" s="18"/>
      <c r="C227" s="17"/>
    </row>
    <row r="228" spans="1:3" ht="15">
      <c r="A228" s="17"/>
      <c r="B228" s="18"/>
      <c r="C228" s="17"/>
    </row>
    <row r="229" spans="1:3" ht="15">
      <c r="A229" s="17"/>
      <c r="B229" s="18"/>
      <c r="C229" s="17"/>
    </row>
    <row r="230" spans="1:3" ht="15">
      <c r="A230" s="17"/>
      <c r="B230" s="18"/>
      <c r="C230" s="17"/>
    </row>
    <row r="231" spans="1:3" ht="15">
      <c r="A231" s="17"/>
      <c r="B231" s="18"/>
      <c r="C231" s="17"/>
    </row>
    <row r="232" spans="1:3" ht="15">
      <c r="A232" s="17"/>
      <c r="B232" s="18"/>
      <c r="C232" s="17"/>
    </row>
    <row r="233" spans="1:3" ht="15">
      <c r="A233" s="17"/>
      <c r="B233" s="18"/>
      <c r="C233" s="17"/>
    </row>
    <row r="234" spans="1:3" ht="15">
      <c r="A234" s="17"/>
      <c r="B234" s="18"/>
      <c r="C234" s="17"/>
    </row>
    <row r="235" spans="1:3" ht="15">
      <c r="A235" s="17"/>
      <c r="B235" s="18"/>
      <c r="C235" s="17"/>
    </row>
    <row r="236" spans="1:3" ht="15">
      <c r="A236" s="17"/>
      <c r="B236" s="18"/>
      <c r="C236" s="17"/>
    </row>
    <row r="237" spans="1:3" ht="15">
      <c r="A237" s="17"/>
      <c r="B237" s="18"/>
      <c r="C237" s="17"/>
    </row>
    <row r="238" spans="1:3" ht="15">
      <c r="A238" s="17"/>
      <c r="B238" s="18"/>
      <c r="C238" s="17"/>
    </row>
    <row r="239" spans="1:3" ht="15">
      <c r="A239" s="17"/>
      <c r="B239" s="18"/>
      <c r="C239" s="17"/>
    </row>
    <row r="240" spans="1:3" ht="15">
      <c r="A240" s="17"/>
      <c r="B240" s="18"/>
      <c r="C240" s="17"/>
    </row>
    <row r="241" spans="1:3" ht="15">
      <c r="A241" s="17"/>
      <c r="B241" s="18"/>
      <c r="C241" s="17"/>
    </row>
    <row r="242" spans="1:3" ht="15">
      <c r="A242" s="17"/>
      <c r="B242" s="18"/>
      <c r="C242" s="17"/>
    </row>
    <row r="243" spans="1:3" ht="15">
      <c r="A243" s="17"/>
      <c r="B243" s="18"/>
      <c r="C243" s="17"/>
    </row>
    <row r="244" spans="1:3" ht="15">
      <c r="A244" s="17"/>
      <c r="B244" s="18"/>
      <c r="C244" s="17"/>
    </row>
    <row r="245" spans="1:3" ht="15">
      <c r="A245" s="17"/>
      <c r="B245" s="18"/>
      <c r="C245" s="17"/>
    </row>
    <row r="246" spans="1:3" ht="15">
      <c r="A246" s="17"/>
      <c r="B246" s="18"/>
      <c r="C246" s="17"/>
    </row>
    <row r="247" spans="1:3" ht="15">
      <c r="A247" s="17"/>
      <c r="B247" s="18"/>
      <c r="C247" s="17"/>
    </row>
    <row r="248" spans="1:3" ht="15">
      <c r="A248" s="17"/>
      <c r="B248" s="18"/>
      <c r="C248" s="17"/>
    </row>
    <row r="249" spans="1:3" ht="15">
      <c r="A249" s="17"/>
      <c r="B249" s="18"/>
      <c r="C249" s="17"/>
    </row>
    <row r="250" spans="1:3" ht="15">
      <c r="A250" s="17"/>
      <c r="B250" s="18"/>
      <c r="C250" s="17"/>
    </row>
    <row r="251" spans="1:3" ht="15">
      <c r="A251" s="17"/>
      <c r="B251" s="18"/>
      <c r="C251" s="17"/>
    </row>
    <row r="252" spans="1:3" ht="15">
      <c r="A252" s="17"/>
      <c r="B252" s="18"/>
      <c r="C252" s="17"/>
    </row>
    <row r="253" spans="1:3" ht="15">
      <c r="A253" s="17"/>
      <c r="B253" s="18"/>
      <c r="C253" s="17"/>
    </row>
    <row r="254" spans="1:3" ht="15">
      <c r="A254" s="17"/>
      <c r="B254" s="18"/>
      <c r="C254" s="17"/>
    </row>
    <row r="255" spans="1:3" ht="15">
      <c r="A255" s="17"/>
      <c r="B255" s="18"/>
      <c r="C255" s="17"/>
    </row>
    <row r="256" spans="1:3" ht="15">
      <c r="A256" s="17"/>
      <c r="B256" s="18"/>
      <c r="C256" s="17"/>
    </row>
    <row r="257" spans="1:3" ht="15">
      <c r="A257" s="17"/>
      <c r="B257" s="18"/>
      <c r="C257" s="17"/>
    </row>
    <row r="258" spans="1:3" ht="15">
      <c r="A258" s="17"/>
      <c r="B258" s="18"/>
      <c r="C258" s="17"/>
    </row>
    <row r="259" spans="1:3" ht="15">
      <c r="A259" s="17"/>
      <c r="B259" s="18"/>
      <c r="C259" s="17"/>
    </row>
    <row r="260" spans="1:3" ht="15">
      <c r="A260" s="17"/>
      <c r="B260" s="18"/>
      <c r="C260" s="17"/>
    </row>
    <row r="261" spans="1:3" ht="15">
      <c r="A261" s="17"/>
      <c r="B261" s="18"/>
      <c r="C261" s="17"/>
    </row>
    <row r="262" spans="1:3" ht="15">
      <c r="A262" s="17"/>
      <c r="B262" s="18"/>
      <c r="C262" s="17"/>
    </row>
    <row r="263" spans="1:3" ht="15">
      <c r="A263" s="17"/>
      <c r="B263" s="18"/>
      <c r="C263" s="17"/>
    </row>
    <row r="264" spans="1:3" ht="15">
      <c r="A264" s="17"/>
      <c r="B264" s="18"/>
      <c r="C264" s="17"/>
    </row>
    <row r="265" spans="1:3" ht="15">
      <c r="A265" s="17"/>
      <c r="B265" s="18"/>
      <c r="C265" s="17"/>
    </row>
    <row r="266" spans="1:3" ht="15">
      <c r="A266" s="17"/>
      <c r="B266" s="18"/>
      <c r="C266" s="17"/>
    </row>
    <row r="267" spans="1:3" ht="15">
      <c r="A267" s="17"/>
      <c r="B267" s="18"/>
      <c r="C267" s="17"/>
    </row>
    <row r="268" spans="1:3" ht="15">
      <c r="A268" s="17"/>
      <c r="B268" s="18"/>
      <c r="C268" s="17"/>
    </row>
    <row r="269" spans="1:3" ht="15">
      <c r="A269" s="17"/>
      <c r="B269" s="18"/>
      <c r="C269" s="17"/>
    </row>
    <row r="270" spans="1:3" ht="15">
      <c r="A270" s="17"/>
      <c r="B270" s="18"/>
      <c r="C270" s="17"/>
    </row>
    <row r="271" spans="1:3" ht="15">
      <c r="A271" s="17"/>
      <c r="B271" s="18"/>
      <c r="C271" s="17"/>
    </row>
    <row r="272" spans="1:3" ht="15">
      <c r="A272" s="17"/>
      <c r="B272" s="18"/>
      <c r="C272" s="17"/>
    </row>
    <row r="273" spans="1:3" ht="15">
      <c r="A273" s="17"/>
      <c r="B273" s="18"/>
      <c r="C273" s="17"/>
    </row>
    <row r="274" spans="1:3" ht="15">
      <c r="A274" s="17"/>
      <c r="B274" s="18"/>
      <c r="C274" s="17"/>
    </row>
    <row r="275" spans="1:3" ht="15">
      <c r="A275" s="17"/>
      <c r="B275" s="18"/>
      <c r="C275" s="17"/>
    </row>
    <row r="276" spans="1:3" ht="15">
      <c r="A276" s="17"/>
      <c r="B276" s="18"/>
      <c r="C276" s="17"/>
    </row>
    <row r="277" spans="1:3" ht="15">
      <c r="A277" s="17"/>
      <c r="B277" s="18"/>
      <c r="C277" s="17"/>
    </row>
    <row r="278" spans="1:3" ht="15">
      <c r="A278" s="17"/>
      <c r="B278" s="18"/>
      <c r="C278" s="17"/>
    </row>
    <row r="279" spans="1:3" ht="15">
      <c r="A279" s="17"/>
      <c r="B279" s="18"/>
      <c r="C279" s="17"/>
    </row>
    <row r="280" spans="1:3" ht="15">
      <c r="A280" s="17"/>
      <c r="B280" s="18"/>
      <c r="C280" s="17"/>
    </row>
    <row r="281" spans="1:3" ht="15">
      <c r="A281" s="17"/>
      <c r="B281" s="18"/>
      <c r="C281" s="17"/>
    </row>
    <row r="282" spans="1:3" ht="15">
      <c r="A282" s="17"/>
      <c r="B282" s="18"/>
      <c r="C282" s="17"/>
    </row>
    <row r="283" spans="1:3" ht="15">
      <c r="A283" s="17"/>
      <c r="B283" s="18"/>
      <c r="C283" s="17"/>
    </row>
    <row r="284" spans="1:3" ht="15">
      <c r="A284" s="17"/>
      <c r="B284" s="18"/>
      <c r="C284" s="17"/>
    </row>
    <row r="285" spans="1:3" ht="15">
      <c r="A285" s="17"/>
      <c r="B285" s="18"/>
      <c r="C285" s="17"/>
    </row>
    <row r="286" spans="1:3" ht="15">
      <c r="A286" s="17"/>
      <c r="B286" s="18"/>
      <c r="C286" s="17"/>
    </row>
    <row r="287" spans="1:3" ht="15">
      <c r="A287" s="17"/>
      <c r="B287" s="18"/>
      <c r="C287" s="17"/>
    </row>
    <row r="288" spans="1:3" ht="15">
      <c r="A288" s="17"/>
      <c r="B288" s="18"/>
      <c r="C288" s="17"/>
    </row>
    <row r="289" spans="1:3" ht="15">
      <c r="A289" s="17"/>
      <c r="B289" s="18"/>
      <c r="C289" s="17"/>
    </row>
    <row r="290" spans="1:3" ht="15">
      <c r="A290" s="17"/>
      <c r="B290" s="18"/>
      <c r="C290" s="17"/>
    </row>
    <row r="291" spans="1:3" ht="15">
      <c r="A291" s="17"/>
      <c r="B291" s="18"/>
      <c r="C291" s="17"/>
    </row>
    <row r="292" spans="1:3" ht="15">
      <c r="A292" s="17"/>
      <c r="B292" s="18"/>
      <c r="C292" s="17"/>
    </row>
    <row r="293" spans="1:3" ht="15">
      <c r="A293" s="17"/>
      <c r="B293" s="18"/>
      <c r="C293" s="17"/>
    </row>
    <row r="294" spans="1:3" ht="15">
      <c r="A294" s="17"/>
      <c r="B294" s="18"/>
      <c r="C294" s="17"/>
    </row>
    <row r="295" spans="1:3" ht="15">
      <c r="A295" s="17"/>
      <c r="B295" s="18"/>
      <c r="C295" s="17"/>
    </row>
    <row r="296" spans="1:3" ht="15">
      <c r="A296" s="17"/>
      <c r="B296" s="18"/>
      <c r="C296" s="17"/>
    </row>
    <row r="297" spans="1:3" ht="15">
      <c r="A297" s="17"/>
      <c r="B297" s="18"/>
      <c r="C297" s="17"/>
    </row>
    <row r="298" spans="1:3" ht="15">
      <c r="A298" s="17"/>
      <c r="B298" s="18"/>
      <c r="C298" s="17"/>
    </row>
    <row r="299" spans="1:3" ht="15">
      <c r="A299" s="17"/>
      <c r="B299" s="18"/>
      <c r="C299" s="17"/>
    </row>
    <row r="300" spans="1:3" ht="15">
      <c r="A300" s="17"/>
      <c r="B300" s="18"/>
      <c r="C300" s="17"/>
    </row>
    <row r="301" spans="1:3" ht="15">
      <c r="A301" s="17"/>
      <c r="B301" s="18"/>
      <c r="C301" s="17"/>
    </row>
    <row r="302" spans="1:3" ht="15">
      <c r="A302" s="17"/>
      <c r="B302" s="18"/>
      <c r="C302" s="17"/>
    </row>
    <row r="303" spans="1:3" ht="15">
      <c r="A303" s="17"/>
      <c r="B303" s="18"/>
      <c r="C303" s="17"/>
    </row>
    <row r="304" spans="1:3" ht="15">
      <c r="A304" s="17"/>
      <c r="B304" s="18"/>
      <c r="C304" s="17"/>
    </row>
    <row r="305" spans="1:3" ht="15">
      <c r="A305" s="17"/>
      <c r="B305" s="18"/>
      <c r="C305" s="17"/>
    </row>
    <row r="306" spans="1:3" ht="15">
      <c r="A306" s="17"/>
      <c r="B306" s="18"/>
      <c r="C306" s="17"/>
    </row>
    <row r="307" spans="1:3" ht="15">
      <c r="A307" s="17"/>
      <c r="B307" s="18"/>
      <c r="C307" s="17"/>
    </row>
    <row r="308" spans="1:3" ht="15">
      <c r="A308" s="17"/>
      <c r="B308" s="18"/>
      <c r="C308" s="17"/>
    </row>
    <row r="309" spans="1:3" ht="15">
      <c r="A309" s="17"/>
      <c r="B309" s="18"/>
      <c r="C309" s="17"/>
    </row>
    <row r="310" spans="1:3" ht="15">
      <c r="A310" s="17"/>
      <c r="B310" s="18"/>
      <c r="C310" s="17"/>
    </row>
    <row r="311" spans="1:3" ht="15">
      <c r="A311" s="17"/>
      <c r="B311" s="18"/>
      <c r="C311" s="17"/>
    </row>
    <row r="312" spans="1:3" ht="15">
      <c r="A312" s="17"/>
      <c r="B312" s="18"/>
      <c r="C312" s="17"/>
    </row>
    <row r="313" spans="1:3" ht="15">
      <c r="A313" s="17"/>
      <c r="B313" s="18"/>
      <c r="C313" s="17"/>
    </row>
    <row r="314" spans="1:3" ht="15">
      <c r="A314" s="17"/>
      <c r="B314" s="18"/>
      <c r="C314" s="17"/>
    </row>
    <row r="315" spans="1:3" ht="15">
      <c r="A315" s="17"/>
      <c r="B315" s="18"/>
      <c r="C315" s="17"/>
    </row>
    <row r="316" spans="1:3" ht="15">
      <c r="A316" s="17"/>
      <c r="B316" s="18"/>
      <c r="C316" s="17"/>
    </row>
    <row r="317" spans="1:3" ht="15">
      <c r="A317" s="17"/>
      <c r="B317" s="18"/>
      <c r="C317" s="17"/>
    </row>
    <row r="318" spans="1:3" ht="15">
      <c r="A318" s="17"/>
      <c r="B318" s="18"/>
      <c r="C318" s="17"/>
    </row>
    <row r="319" spans="1:3" ht="15">
      <c r="A319" s="17"/>
      <c r="B319" s="18"/>
      <c r="C319" s="17"/>
    </row>
    <row r="320" spans="1:3" ht="15">
      <c r="A320" s="17"/>
      <c r="B320" s="18"/>
      <c r="C320" s="17"/>
    </row>
    <row r="321" spans="1:3" ht="15">
      <c r="A321" s="17"/>
      <c r="B321" s="18"/>
      <c r="C321" s="17"/>
    </row>
    <row r="322" spans="1:3" ht="15">
      <c r="A322" s="17"/>
      <c r="B322" s="18"/>
      <c r="C322" s="17"/>
    </row>
    <row r="323" spans="1:3" ht="15">
      <c r="A323" s="17"/>
      <c r="B323" s="18"/>
      <c r="C323" s="17"/>
    </row>
    <row r="324" spans="1:3" ht="15">
      <c r="A324" s="17"/>
      <c r="B324" s="18"/>
      <c r="C324" s="17"/>
    </row>
    <row r="325" spans="1:3" ht="15">
      <c r="A325" s="17"/>
      <c r="B325" s="18"/>
      <c r="C325" s="17"/>
    </row>
    <row r="326" spans="1:3" ht="15">
      <c r="A326" s="17"/>
      <c r="B326" s="18"/>
      <c r="C326" s="17"/>
    </row>
    <row r="327" spans="1:3" ht="15">
      <c r="A327" s="17"/>
      <c r="B327" s="18"/>
      <c r="C327" s="17"/>
    </row>
    <row r="328" spans="1:3" ht="15">
      <c r="A328" s="17"/>
      <c r="B328" s="18"/>
      <c r="C328" s="17"/>
    </row>
    <row r="329" spans="1:3" ht="15">
      <c r="A329" s="17"/>
      <c r="B329" s="18"/>
      <c r="C329" s="17"/>
    </row>
    <row r="330" spans="1:3" ht="15">
      <c r="A330" s="17"/>
      <c r="B330" s="18"/>
      <c r="C330" s="17"/>
    </row>
    <row r="331" spans="1:3" ht="15">
      <c r="A331" s="17"/>
      <c r="B331" s="18"/>
      <c r="C331" s="17"/>
    </row>
    <row r="332" spans="1:3" ht="15">
      <c r="A332" s="17"/>
      <c r="B332" s="18"/>
      <c r="C332" s="17"/>
    </row>
    <row r="333" spans="1:3" ht="15">
      <c r="A333" s="17"/>
      <c r="B333" s="18"/>
      <c r="C333" s="17"/>
    </row>
    <row r="334" spans="1:3" ht="15">
      <c r="A334" s="17"/>
      <c r="B334" s="18"/>
      <c r="C334" s="17"/>
    </row>
    <row r="335" spans="1:3" ht="15">
      <c r="A335" s="17"/>
      <c r="B335" s="18"/>
      <c r="C335" s="17"/>
    </row>
    <row r="336" spans="1:3" ht="15">
      <c r="A336" s="17"/>
      <c r="B336" s="18"/>
      <c r="C336" s="17"/>
    </row>
    <row r="337" spans="1:3" ht="15">
      <c r="A337" s="17"/>
      <c r="B337" s="18"/>
      <c r="C337" s="17"/>
    </row>
    <row r="338" spans="1:3" ht="15">
      <c r="A338" s="17"/>
      <c r="B338" s="18"/>
      <c r="C338" s="17"/>
    </row>
    <row r="339" spans="1:3" ht="15">
      <c r="A339" s="17"/>
      <c r="B339" s="18"/>
      <c r="C339" s="17"/>
    </row>
    <row r="340" spans="1:3" ht="15">
      <c r="A340" s="17"/>
      <c r="B340" s="18"/>
      <c r="C340" s="17"/>
    </row>
    <row r="341" spans="1:3" ht="15">
      <c r="A341" s="17"/>
      <c r="B341" s="18"/>
      <c r="C341" s="17"/>
    </row>
    <row r="342" spans="1:3" ht="15">
      <c r="A342" s="17"/>
      <c r="B342" s="18"/>
      <c r="C342" s="17"/>
    </row>
    <row r="343" spans="1:3" ht="15">
      <c r="A343" s="17"/>
      <c r="B343" s="18"/>
      <c r="C343" s="17"/>
    </row>
    <row r="344" spans="1:3" ht="15">
      <c r="A344" s="17"/>
      <c r="B344" s="18"/>
      <c r="C344" s="17"/>
    </row>
    <row r="345" spans="1:3" ht="15">
      <c r="A345" s="17"/>
      <c r="B345" s="18"/>
      <c r="C345" s="17"/>
    </row>
    <row r="346" spans="1:3" ht="15">
      <c r="A346" s="17"/>
      <c r="B346" s="18"/>
      <c r="C346" s="17"/>
    </row>
    <row r="347" spans="1:3" ht="15">
      <c r="A347" s="17"/>
      <c r="B347" s="18"/>
      <c r="C347" s="17"/>
    </row>
    <row r="348" spans="1:3" ht="15">
      <c r="A348" s="17"/>
      <c r="B348" s="18"/>
      <c r="C348" s="17"/>
    </row>
    <row r="349" spans="1:3" ht="15">
      <c r="A349" s="17"/>
      <c r="B349" s="18"/>
      <c r="C349" s="17"/>
    </row>
    <row r="350" spans="1:3" ht="15">
      <c r="A350" s="17"/>
      <c r="B350" s="18"/>
      <c r="C350" s="17"/>
    </row>
    <row r="351" spans="1:3" ht="15">
      <c r="A351" s="17"/>
      <c r="B351" s="18"/>
      <c r="C351" s="17"/>
    </row>
    <row r="352" spans="1:3" ht="15">
      <c r="A352" s="17"/>
      <c r="B352" s="18"/>
      <c r="C352" s="17"/>
    </row>
    <row r="353" spans="1:3" ht="15">
      <c r="A353" s="17"/>
      <c r="B353" s="18"/>
      <c r="C353" s="17"/>
    </row>
    <row r="354" spans="1:3" ht="15">
      <c r="A354" s="17"/>
      <c r="B354" s="18"/>
      <c r="C354" s="17"/>
    </row>
    <row r="355" spans="1:3" ht="15">
      <c r="A355" s="17"/>
      <c r="B355" s="18"/>
      <c r="C355" s="17"/>
    </row>
    <row r="356" spans="1:3" ht="15">
      <c r="A356" s="17"/>
      <c r="B356" s="18"/>
      <c r="C356" s="17"/>
    </row>
    <row r="357" spans="1:3" ht="15">
      <c r="A357" s="17"/>
      <c r="B357" s="18"/>
      <c r="C357" s="17"/>
    </row>
    <row r="358" spans="1:3" ht="15">
      <c r="A358" s="17"/>
      <c r="B358" s="18"/>
      <c r="C358" s="17"/>
    </row>
    <row r="359" spans="1:3" ht="15">
      <c r="A359" s="17"/>
      <c r="B359" s="18"/>
      <c r="C359" s="17"/>
    </row>
    <row r="360" spans="1:3" ht="15">
      <c r="A360" s="17"/>
      <c r="B360" s="18"/>
      <c r="C360" s="17"/>
    </row>
    <row r="361" spans="1:3" ht="15">
      <c r="A361" s="17"/>
      <c r="B361" s="18"/>
      <c r="C361" s="17"/>
    </row>
    <row r="362" spans="1:3" ht="15">
      <c r="A362" s="17"/>
      <c r="B362" s="18"/>
      <c r="C362" s="17"/>
    </row>
    <row r="363" spans="1:3" ht="15">
      <c r="A363" s="17"/>
      <c r="B363" s="18"/>
      <c r="C363" s="17"/>
    </row>
    <row r="364" spans="1:3" ht="15">
      <c r="A364" s="17"/>
      <c r="B364" s="18"/>
      <c r="C364" s="17"/>
    </row>
    <row r="365" spans="1:3" ht="15">
      <c r="A365" s="17"/>
      <c r="B365" s="18"/>
      <c r="C365" s="17"/>
    </row>
    <row r="366" spans="1:3" ht="15">
      <c r="A366" s="17"/>
      <c r="B366" s="18"/>
      <c r="C366" s="17"/>
    </row>
    <row r="367" spans="1:3" ht="15">
      <c r="A367" s="17"/>
      <c r="B367" s="18"/>
      <c r="C367" s="17"/>
    </row>
    <row r="368" spans="1:3" ht="15">
      <c r="A368" s="17"/>
      <c r="B368" s="18"/>
      <c r="C368" s="17"/>
    </row>
    <row r="369" spans="1:3" ht="15">
      <c r="A369" s="17"/>
      <c r="B369" s="18"/>
      <c r="C369" s="17"/>
    </row>
    <row r="370" spans="1:3" ht="15">
      <c r="A370" s="17"/>
      <c r="B370" s="18"/>
      <c r="C370" s="17"/>
    </row>
    <row r="371" spans="1:3" ht="15">
      <c r="A371" s="17"/>
      <c r="B371" s="18"/>
      <c r="C371" s="17"/>
    </row>
    <row r="372" spans="1:3" ht="15">
      <c r="A372" s="17"/>
      <c r="B372" s="18"/>
      <c r="C372" s="17"/>
    </row>
    <row r="373" spans="1:3" ht="15">
      <c r="A373" s="17"/>
      <c r="B373" s="18"/>
      <c r="C373" s="17"/>
    </row>
    <row r="374" spans="1:3" ht="15">
      <c r="A374" s="17"/>
      <c r="B374" s="18"/>
      <c r="C374" s="17"/>
    </row>
    <row r="375" spans="1:3" ht="15">
      <c r="A375" s="17"/>
      <c r="B375" s="18"/>
      <c r="C375" s="17"/>
    </row>
    <row r="376" spans="1:3" ht="15">
      <c r="A376" s="17"/>
      <c r="B376" s="18"/>
      <c r="C376" s="17"/>
    </row>
    <row r="377" spans="1:3" ht="15">
      <c r="A377" s="17"/>
      <c r="B377" s="18"/>
      <c r="C377" s="17"/>
    </row>
    <row r="378" spans="1:3" ht="15">
      <c r="A378" s="17"/>
      <c r="B378" s="18"/>
      <c r="C378" s="17"/>
    </row>
    <row r="379" spans="1:3" ht="15">
      <c r="A379" s="17"/>
      <c r="B379" s="18"/>
      <c r="C379" s="17"/>
    </row>
    <row r="380" spans="1:3" ht="15">
      <c r="A380" s="17"/>
      <c r="B380" s="18"/>
      <c r="C380" s="17"/>
    </row>
    <row r="381" spans="1:3" ht="15">
      <c r="A381" s="17"/>
      <c r="B381" s="18"/>
      <c r="C381" s="17"/>
    </row>
    <row r="382" spans="1:3" ht="15">
      <c r="A382" s="17"/>
      <c r="B382" s="18"/>
      <c r="C382" s="17"/>
    </row>
    <row r="383" spans="1:3" ht="15">
      <c r="A383" s="17"/>
      <c r="B383" s="18"/>
      <c r="C383" s="17"/>
    </row>
    <row r="384" spans="1:3" ht="15">
      <c r="A384" s="17"/>
      <c r="B384" s="18"/>
      <c r="C384" s="17"/>
    </row>
    <row r="385" spans="1:3" ht="15">
      <c r="A385" s="17"/>
      <c r="B385" s="18"/>
      <c r="C385" s="17"/>
    </row>
    <row r="386" spans="1:3" ht="15">
      <c r="A386" s="17"/>
      <c r="B386" s="18"/>
      <c r="C386" s="17"/>
    </row>
    <row r="387" spans="1:3" ht="15">
      <c r="A387" s="17"/>
      <c r="B387" s="18"/>
      <c r="C387" s="17"/>
    </row>
    <row r="388" spans="1:3" ht="15">
      <c r="A388" s="17"/>
      <c r="B388" s="18"/>
      <c r="C388" s="17"/>
    </row>
    <row r="389" spans="1:3" ht="15">
      <c r="A389" s="17"/>
      <c r="B389" s="18"/>
      <c r="C389" s="17"/>
    </row>
    <row r="390" spans="1:3" ht="15">
      <c r="A390" s="17"/>
      <c r="B390" s="18"/>
      <c r="C390" s="17"/>
    </row>
    <row r="391" spans="1:3" ht="15">
      <c r="A391" s="17"/>
      <c r="B391" s="18"/>
      <c r="C391" s="17"/>
    </row>
    <row r="392" spans="1:3" ht="15">
      <c r="A392" s="17"/>
      <c r="B392" s="18"/>
      <c r="C392" s="17"/>
    </row>
    <row r="393" spans="1:3" ht="15">
      <c r="A393" s="17"/>
      <c r="B393" s="18"/>
      <c r="C393" s="17"/>
    </row>
    <row r="394" spans="1:3" ht="15">
      <c r="A394" s="17"/>
      <c r="B394" s="18"/>
      <c r="C394" s="17"/>
    </row>
    <row r="395" spans="1:3" ht="15">
      <c r="A395" s="17"/>
      <c r="B395" s="18"/>
      <c r="C395" s="17"/>
    </row>
    <row r="396" spans="1:3" ht="15">
      <c r="A396" s="17"/>
      <c r="B396" s="18"/>
      <c r="C396" s="17"/>
    </row>
    <row r="397" spans="1:3" ht="15">
      <c r="A397" s="17"/>
      <c r="B397" s="18"/>
      <c r="C397" s="17"/>
    </row>
    <row r="398" spans="1:3" ht="15">
      <c r="A398" s="17"/>
      <c r="B398" s="18"/>
      <c r="C398" s="17"/>
    </row>
    <row r="399" spans="1:3" ht="15">
      <c r="A399" s="17"/>
      <c r="B399" s="18"/>
      <c r="C399" s="17"/>
    </row>
    <row r="400" spans="1:3" ht="15">
      <c r="A400" s="17"/>
      <c r="B400" s="18"/>
      <c r="C400" s="17"/>
    </row>
    <row r="401" spans="1:3" ht="15">
      <c r="A401" s="17"/>
      <c r="B401" s="18"/>
      <c r="C401" s="17"/>
    </row>
    <row r="402" spans="1:3" ht="15">
      <c r="A402" s="17"/>
      <c r="B402" s="18"/>
      <c r="C402" s="17"/>
    </row>
    <row r="403" spans="1:3" ht="15">
      <c r="A403" s="17"/>
      <c r="B403" s="18"/>
      <c r="C403" s="17"/>
    </row>
    <row r="404" spans="1:3" ht="15">
      <c r="A404" s="17"/>
      <c r="B404" s="18"/>
      <c r="C404" s="17"/>
    </row>
    <row r="405" spans="1:3" ht="15">
      <c r="A405" s="17"/>
      <c r="B405" s="18"/>
      <c r="C405" s="17"/>
    </row>
    <row r="406" spans="1:3" ht="15">
      <c r="A406" s="17"/>
      <c r="B406" s="18"/>
      <c r="C406" s="17"/>
    </row>
    <row r="407" spans="1:3" ht="15">
      <c r="A407" s="17"/>
      <c r="B407" s="18"/>
      <c r="C407" s="17"/>
    </row>
    <row r="408" spans="1:3" ht="15">
      <c r="A408" s="17"/>
      <c r="B408" s="18"/>
      <c r="C408" s="17"/>
    </row>
    <row r="409" spans="1:3" ht="15">
      <c r="A409" s="17"/>
      <c r="B409" s="18"/>
      <c r="C409" s="17"/>
    </row>
    <row r="410" spans="1:3" ht="15">
      <c r="A410" s="17"/>
      <c r="B410" s="18"/>
      <c r="C410" s="17"/>
    </row>
    <row r="411" spans="1:3" ht="15">
      <c r="A411" s="17"/>
      <c r="B411" s="18"/>
      <c r="C411" s="17"/>
    </row>
    <row r="412" spans="1:3" ht="15">
      <c r="A412" s="17"/>
      <c r="B412" s="18"/>
      <c r="C412" s="17"/>
    </row>
    <row r="413" spans="1:3" ht="15">
      <c r="A413" s="17"/>
      <c r="B413" s="18"/>
      <c r="C413" s="17"/>
    </row>
    <row r="414" spans="1:3" ht="15">
      <c r="A414" s="17"/>
      <c r="B414" s="18"/>
      <c r="C414" s="17"/>
    </row>
    <row r="415" spans="1:3" ht="15">
      <c r="A415" s="17"/>
      <c r="B415" s="18"/>
      <c r="C415" s="17"/>
    </row>
    <row r="416" spans="1:3" ht="15">
      <c r="A416" s="17"/>
      <c r="B416" s="18"/>
      <c r="C416" s="17"/>
    </row>
    <row r="417" spans="1:3" ht="15">
      <c r="A417" s="17"/>
      <c r="B417" s="18"/>
      <c r="C417" s="17"/>
    </row>
    <row r="418" spans="1:3" ht="15">
      <c r="A418" s="17"/>
      <c r="B418" s="18"/>
      <c r="C418" s="17"/>
    </row>
    <row r="419" spans="1:3" ht="15">
      <c r="A419" s="17"/>
      <c r="B419" s="18"/>
      <c r="C419" s="17"/>
    </row>
    <row r="420" spans="1:3" ht="15">
      <c r="A420" s="17"/>
      <c r="B420" s="18"/>
      <c r="C420" s="17"/>
    </row>
    <row r="421" spans="1:3" ht="15">
      <c r="A421" s="17"/>
      <c r="B421" s="18"/>
      <c r="C421" s="17"/>
    </row>
    <row r="422" spans="1:3" ht="15">
      <c r="A422" s="17"/>
      <c r="B422" s="18"/>
      <c r="C422" s="17"/>
    </row>
    <row r="423" spans="1:3" ht="15">
      <c r="A423" s="17"/>
      <c r="B423" s="18"/>
      <c r="C423" s="17"/>
    </row>
    <row r="424" spans="1:3" ht="15">
      <c r="A424" s="17"/>
      <c r="B424" s="18"/>
      <c r="C424" s="17"/>
    </row>
    <row r="425" spans="1:3" ht="15">
      <c r="A425" s="17"/>
      <c r="B425" s="18"/>
      <c r="C425" s="17"/>
    </row>
    <row r="426" spans="1:3" ht="15">
      <c r="A426" s="17"/>
      <c r="B426" s="18"/>
      <c r="C426" s="17"/>
    </row>
    <row r="427" spans="1:3" ht="15">
      <c r="A427" s="17"/>
      <c r="B427" s="18"/>
      <c r="C427" s="17"/>
    </row>
    <row r="428" spans="1:3" ht="15">
      <c r="A428" s="17"/>
      <c r="B428" s="18"/>
      <c r="C428" s="17"/>
    </row>
    <row r="429" spans="1:3" ht="15">
      <c r="A429" s="17"/>
      <c r="B429" s="18"/>
      <c r="C429" s="17"/>
    </row>
    <row r="430" spans="1:3" ht="15">
      <c r="A430" s="17"/>
      <c r="B430" s="18"/>
      <c r="C430" s="17"/>
    </row>
    <row r="431" spans="1:3" ht="15">
      <c r="A431" s="17"/>
      <c r="B431" s="18"/>
      <c r="C431" s="17"/>
    </row>
    <row r="432" spans="1:3" ht="15">
      <c r="A432" s="17"/>
      <c r="B432" s="18"/>
      <c r="C432" s="17"/>
    </row>
    <row r="433" spans="1:3" ht="15">
      <c r="A433" s="17"/>
      <c r="B433" s="18"/>
      <c r="C433" s="17"/>
    </row>
    <row r="434" spans="1:3" ht="15">
      <c r="A434" s="17"/>
      <c r="B434" s="18"/>
      <c r="C434" s="17"/>
    </row>
    <row r="435" spans="1:3" ht="15">
      <c r="A435" s="17"/>
      <c r="B435" s="18"/>
      <c r="C435" s="17"/>
    </row>
    <row r="436" spans="1:3" ht="15">
      <c r="A436" s="17"/>
      <c r="B436" s="18"/>
      <c r="C43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517E-146D-4B1B-AF4F-860BA07B4934}">
  <dimension ref="A1:B153"/>
  <sheetViews>
    <sheetView tabSelected="1" workbookViewId="0"/>
  </sheetViews>
  <sheetFormatPr defaultRowHeight="12.75"/>
  <cols>
    <col min="1" max="1" width="25.42578125" customWidth="1"/>
  </cols>
  <sheetData>
    <row r="1" spans="1:2">
      <c r="A1" t="s">
        <v>0</v>
      </c>
      <c r="B1" t="s">
        <v>1</v>
      </c>
    </row>
    <row r="2" spans="1:2">
      <c r="A2" t="s">
        <v>18983</v>
      </c>
      <c r="B2" t="s">
        <v>18984</v>
      </c>
    </row>
    <row r="3" spans="1:2">
      <c r="A3" t="s">
        <v>18985</v>
      </c>
      <c r="B3" t="s">
        <v>18986</v>
      </c>
    </row>
    <row r="4" spans="1:2">
      <c r="A4" t="s">
        <v>19193</v>
      </c>
      <c r="B4" t="s">
        <v>19194</v>
      </c>
    </row>
    <row r="5" spans="1:2">
      <c r="A5" t="s">
        <v>19195</v>
      </c>
      <c r="B5" t="s">
        <v>19196</v>
      </c>
    </row>
    <row r="6" spans="1:2">
      <c r="A6" t="s">
        <v>19197</v>
      </c>
      <c r="B6" t="s">
        <v>19198</v>
      </c>
    </row>
    <row r="7" spans="1:2">
      <c r="A7" t="s">
        <v>19199</v>
      </c>
      <c r="B7" t="s">
        <v>19200</v>
      </c>
    </row>
    <row r="8" spans="1:2">
      <c r="A8" t="s">
        <v>19201</v>
      </c>
      <c r="B8" t="s">
        <v>19202</v>
      </c>
    </row>
    <row r="9" spans="1:2">
      <c r="A9" t="s">
        <v>19203</v>
      </c>
      <c r="B9" t="s">
        <v>19204</v>
      </c>
    </row>
    <row r="10" spans="1:2">
      <c r="A10" t="s">
        <v>19205</v>
      </c>
      <c r="B10" t="s">
        <v>19206</v>
      </c>
    </row>
    <row r="11" spans="1:2">
      <c r="A11" t="s">
        <v>18987</v>
      </c>
      <c r="B11" t="s">
        <v>18988</v>
      </c>
    </row>
    <row r="12" spans="1:2">
      <c r="A12" t="s">
        <v>19207</v>
      </c>
      <c r="B12" t="s">
        <v>19208</v>
      </c>
    </row>
    <row r="13" spans="1:2">
      <c r="A13" t="s">
        <v>19209</v>
      </c>
      <c r="B13" t="s">
        <v>19210</v>
      </c>
    </row>
    <row r="14" spans="1:2">
      <c r="A14" t="s">
        <v>19211</v>
      </c>
      <c r="B14" t="s">
        <v>19212</v>
      </c>
    </row>
    <row r="15" spans="1:2">
      <c r="A15" t="s">
        <v>19213</v>
      </c>
      <c r="B15" t="s">
        <v>19214</v>
      </c>
    </row>
    <row r="16" spans="1:2">
      <c r="A16" t="s">
        <v>19051</v>
      </c>
      <c r="B16" t="s">
        <v>19052</v>
      </c>
    </row>
    <row r="17" spans="1:2">
      <c r="A17" t="s">
        <v>19053</v>
      </c>
      <c r="B17" t="s">
        <v>19054</v>
      </c>
    </row>
    <row r="18" spans="1:2">
      <c r="A18" t="s">
        <v>19057</v>
      </c>
      <c r="B18" t="s">
        <v>19058</v>
      </c>
    </row>
    <row r="19" spans="1:2">
      <c r="A19" t="s">
        <v>19055</v>
      </c>
      <c r="B19" t="s">
        <v>19056</v>
      </c>
    </row>
    <row r="20" spans="1:2">
      <c r="A20" t="s">
        <v>19059</v>
      </c>
      <c r="B20" t="s">
        <v>19060</v>
      </c>
    </row>
    <row r="21" spans="1:2">
      <c r="A21" t="s">
        <v>19061</v>
      </c>
      <c r="B21" t="s">
        <v>19062</v>
      </c>
    </row>
    <row r="22" spans="1:2">
      <c r="A22" t="s">
        <v>19063</v>
      </c>
      <c r="B22" t="s">
        <v>19064</v>
      </c>
    </row>
    <row r="23" spans="1:2">
      <c r="A23" t="s">
        <v>19065</v>
      </c>
      <c r="B23" t="s">
        <v>19066</v>
      </c>
    </row>
    <row r="24" spans="1:2">
      <c r="A24" t="s">
        <v>19067</v>
      </c>
      <c r="B24" t="s">
        <v>19068</v>
      </c>
    </row>
    <row r="25" spans="1:2">
      <c r="A25" t="s">
        <v>19069</v>
      </c>
      <c r="B25" t="s">
        <v>19070</v>
      </c>
    </row>
    <row r="26" spans="1:2">
      <c r="A26" t="s">
        <v>19071</v>
      </c>
      <c r="B26" t="s">
        <v>19072</v>
      </c>
    </row>
    <row r="27" spans="1:2">
      <c r="A27" t="s">
        <v>19073</v>
      </c>
      <c r="B27" t="s">
        <v>19074</v>
      </c>
    </row>
    <row r="28" spans="1:2">
      <c r="A28" t="s">
        <v>19075</v>
      </c>
      <c r="B28" t="s">
        <v>19076</v>
      </c>
    </row>
    <row r="29" spans="1:2">
      <c r="A29" t="s">
        <v>19077</v>
      </c>
      <c r="B29" t="s">
        <v>19078</v>
      </c>
    </row>
    <row r="30" spans="1:2">
      <c r="A30" t="s">
        <v>19079</v>
      </c>
      <c r="B30" t="s">
        <v>19080</v>
      </c>
    </row>
    <row r="31" spans="1:2">
      <c r="A31" t="s">
        <v>19081</v>
      </c>
      <c r="B31" t="s">
        <v>19082</v>
      </c>
    </row>
    <row r="32" spans="1:2">
      <c r="A32" t="s">
        <v>19083</v>
      </c>
      <c r="B32" t="s">
        <v>19084</v>
      </c>
    </row>
    <row r="33" spans="1:2">
      <c r="A33" t="s">
        <v>19085</v>
      </c>
      <c r="B33" t="s">
        <v>19086</v>
      </c>
    </row>
    <row r="34" spans="1:2">
      <c r="A34" t="s">
        <v>19087</v>
      </c>
      <c r="B34" t="s">
        <v>19088</v>
      </c>
    </row>
    <row r="35" spans="1:2">
      <c r="A35" t="s">
        <v>19089</v>
      </c>
      <c r="B35" t="s">
        <v>19090</v>
      </c>
    </row>
    <row r="36" spans="1:2">
      <c r="A36" t="s">
        <v>19091</v>
      </c>
      <c r="B36" t="s">
        <v>19092</v>
      </c>
    </row>
    <row r="37" spans="1:2">
      <c r="A37" t="s">
        <v>19093</v>
      </c>
      <c r="B37" t="s">
        <v>19094</v>
      </c>
    </row>
    <row r="38" spans="1:2">
      <c r="A38" t="s">
        <v>19005</v>
      </c>
      <c r="B38" t="s">
        <v>19006</v>
      </c>
    </row>
    <row r="39" spans="1:2">
      <c r="A39" t="s">
        <v>19007</v>
      </c>
      <c r="B39" t="s">
        <v>19008</v>
      </c>
    </row>
    <row r="40" spans="1:2">
      <c r="A40" t="s">
        <v>19009</v>
      </c>
      <c r="B40" t="s">
        <v>19010</v>
      </c>
    </row>
    <row r="41" spans="1:2">
      <c r="A41" t="s">
        <v>19011</v>
      </c>
      <c r="B41" t="s">
        <v>19012</v>
      </c>
    </row>
    <row r="42" spans="1:2">
      <c r="A42" t="s">
        <v>19013</v>
      </c>
      <c r="B42" t="s">
        <v>19014</v>
      </c>
    </row>
    <row r="43" spans="1:2">
      <c r="A43" t="s">
        <v>19015</v>
      </c>
      <c r="B43" t="s">
        <v>19016</v>
      </c>
    </row>
    <row r="44" spans="1:2">
      <c r="A44" t="s">
        <v>19017</v>
      </c>
      <c r="B44" t="s">
        <v>19018</v>
      </c>
    </row>
    <row r="45" spans="1:2">
      <c r="A45" t="s">
        <v>19019</v>
      </c>
      <c r="B45" t="s">
        <v>19020</v>
      </c>
    </row>
    <row r="46" spans="1:2">
      <c r="A46" t="s">
        <v>19021</v>
      </c>
      <c r="B46" t="s">
        <v>19022</v>
      </c>
    </row>
    <row r="47" spans="1:2">
      <c r="A47" t="s">
        <v>19025</v>
      </c>
      <c r="B47" t="s">
        <v>19026</v>
      </c>
    </row>
    <row r="48" spans="1:2">
      <c r="A48" t="s">
        <v>19023</v>
      </c>
      <c r="B48" t="s">
        <v>19024</v>
      </c>
    </row>
    <row r="49" spans="1:2">
      <c r="A49" t="s">
        <v>19027</v>
      </c>
      <c r="B49" t="s">
        <v>19028</v>
      </c>
    </row>
    <row r="50" spans="1:2">
      <c r="A50" t="s">
        <v>19029</v>
      </c>
      <c r="B50" t="s">
        <v>19030</v>
      </c>
    </row>
    <row r="51" spans="1:2">
      <c r="A51" t="s">
        <v>19031</v>
      </c>
      <c r="B51" t="s">
        <v>19032</v>
      </c>
    </row>
    <row r="52" spans="1:2">
      <c r="A52" t="s">
        <v>19033</v>
      </c>
      <c r="B52" t="s">
        <v>19034</v>
      </c>
    </row>
    <row r="53" spans="1:2">
      <c r="A53" t="s">
        <v>19035</v>
      </c>
      <c r="B53" t="s">
        <v>19036</v>
      </c>
    </row>
    <row r="54" spans="1:2">
      <c r="A54" t="s">
        <v>19037</v>
      </c>
      <c r="B54" t="s">
        <v>19038</v>
      </c>
    </row>
    <row r="55" spans="1:2">
      <c r="A55" t="s">
        <v>19039</v>
      </c>
      <c r="B55" t="s">
        <v>19040</v>
      </c>
    </row>
    <row r="56" spans="1:2">
      <c r="A56" t="s">
        <v>19041</v>
      </c>
      <c r="B56" t="s">
        <v>19042</v>
      </c>
    </row>
    <row r="57" spans="1:2">
      <c r="A57" t="s">
        <v>19043</v>
      </c>
      <c r="B57" t="s">
        <v>19044</v>
      </c>
    </row>
    <row r="58" spans="1:2">
      <c r="A58" t="s">
        <v>19047</v>
      </c>
      <c r="B58" t="s">
        <v>19048</v>
      </c>
    </row>
    <row r="59" spans="1:2">
      <c r="A59" t="s">
        <v>19045</v>
      </c>
      <c r="B59" t="s">
        <v>19046</v>
      </c>
    </row>
    <row r="60" spans="1:2">
      <c r="A60" t="s">
        <v>19049</v>
      </c>
      <c r="B60" t="s">
        <v>19050</v>
      </c>
    </row>
    <row r="61" spans="1:2">
      <c r="A61" t="s">
        <v>19135</v>
      </c>
      <c r="B61" t="s">
        <v>19136</v>
      </c>
    </row>
    <row r="62" spans="1:2">
      <c r="A62" t="s">
        <v>19137</v>
      </c>
      <c r="B62" t="s">
        <v>19138</v>
      </c>
    </row>
    <row r="63" spans="1:2">
      <c r="A63" t="s">
        <v>19139</v>
      </c>
      <c r="B63" t="s">
        <v>19140</v>
      </c>
    </row>
    <row r="64" spans="1:2">
      <c r="A64" t="s">
        <v>19141</v>
      </c>
      <c r="B64" t="s">
        <v>19142</v>
      </c>
    </row>
    <row r="65" spans="1:2">
      <c r="A65" t="s">
        <v>19145</v>
      </c>
      <c r="B65" t="s">
        <v>19146</v>
      </c>
    </row>
    <row r="66" spans="1:2">
      <c r="A66" t="s">
        <v>19147</v>
      </c>
      <c r="B66" t="s">
        <v>19148</v>
      </c>
    </row>
    <row r="67" spans="1:2">
      <c r="A67" t="s">
        <v>19149</v>
      </c>
      <c r="B67" t="s">
        <v>19150</v>
      </c>
    </row>
    <row r="68" spans="1:2">
      <c r="A68" t="s">
        <v>19143</v>
      </c>
      <c r="B68" t="s">
        <v>19144</v>
      </c>
    </row>
    <row r="69" spans="1:2">
      <c r="A69" t="s">
        <v>19151</v>
      </c>
      <c r="B69" t="s">
        <v>19152</v>
      </c>
    </row>
    <row r="70" spans="1:2">
      <c r="A70" t="s">
        <v>19153</v>
      </c>
      <c r="B70" t="s">
        <v>19154</v>
      </c>
    </row>
    <row r="71" spans="1:2">
      <c r="A71" t="s">
        <v>19155</v>
      </c>
      <c r="B71" t="s">
        <v>19156</v>
      </c>
    </row>
    <row r="72" spans="1:2">
      <c r="A72" t="s">
        <v>19159</v>
      </c>
      <c r="B72" t="s">
        <v>19160</v>
      </c>
    </row>
    <row r="73" spans="1:2">
      <c r="A73" t="s">
        <v>19157</v>
      </c>
      <c r="B73" t="s">
        <v>19158</v>
      </c>
    </row>
    <row r="74" spans="1:2">
      <c r="A74" t="s">
        <v>19161</v>
      </c>
      <c r="B74" t="s">
        <v>19162</v>
      </c>
    </row>
    <row r="75" spans="1:2">
      <c r="A75" t="s">
        <v>19163</v>
      </c>
      <c r="B75" t="s">
        <v>19164</v>
      </c>
    </row>
    <row r="76" spans="1:2">
      <c r="A76" t="s">
        <v>19165</v>
      </c>
      <c r="B76" t="s">
        <v>19166</v>
      </c>
    </row>
    <row r="77" spans="1:2">
      <c r="A77" t="s">
        <v>19167</v>
      </c>
      <c r="B77" t="s">
        <v>19168</v>
      </c>
    </row>
    <row r="78" spans="1:2">
      <c r="A78" t="s">
        <v>19169</v>
      </c>
      <c r="B78" t="s">
        <v>19170</v>
      </c>
    </row>
    <row r="79" spans="1:2">
      <c r="A79" t="s">
        <v>19171</v>
      </c>
      <c r="B79" t="s">
        <v>19172</v>
      </c>
    </row>
    <row r="80" spans="1:2">
      <c r="A80" t="s">
        <v>19173</v>
      </c>
      <c r="B80" t="s">
        <v>19174</v>
      </c>
    </row>
    <row r="81" spans="1:2">
      <c r="A81" t="s">
        <v>19175</v>
      </c>
      <c r="B81" t="s">
        <v>19176</v>
      </c>
    </row>
    <row r="82" spans="1:2">
      <c r="A82" t="s">
        <v>19177</v>
      </c>
      <c r="B82" t="s">
        <v>19178</v>
      </c>
    </row>
    <row r="83" spans="1:2">
      <c r="A83" t="s">
        <v>19179</v>
      </c>
      <c r="B83" t="s">
        <v>19180</v>
      </c>
    </row>
    <row r="84" spans="1:2">
      <c r="A84" t="s">
        <v>19181</v>
      </c>
      <c r="B84" t="s">
        <v>19182</v>
      </c>
    </row>
    <row r="85" spans="1:2">
      <c r="A85" t="s">
        <v>19095</v>
      </c>
      <c r="B85" t="s">
        <v>19096</v>
      </c>
    </row>
    <row r="86" spans="1:2">
      <c r="A86" t="s">
        <v>19097</v>
      </c>
      <c r="B86" t="s">
        <v>19098</v>
      </c>
    </row>
    <row r="87" spans="1:2">
      <c r="A87" t="s">
        <v>19099</v>
      </c>
      <c r="B87" t="s">
        <v>19100</v>
      </c>
    </row>
    <row r="88" spans="1:2">
      <c r="A88" t="s">
        <v>19103</v>
      </c>
      <c r="B88" t="s">
        <v>19104</v>
      </c>
    </row>
    <row r="89" spans="1:2">
      <c r="A89" t="s">
        <v>19101</v>
      </c>
      <c r="B89" t="s">
        <v>19102</v>
      </c>
    </row>
    <row r="90" spans="1:2">
      <c r="A90" t="s">
        <v>19105</v>
      </c>
      <c r="B90" t="s">
        <v>19106</v>
      </c>
    </row>
    <row r="91" spans="1:2">
      <c r="A91" t="s">
        <v>19107</v>
      </c>
      <c r="B91" t="s">
        <v>19108</v>
      </c>
    </row>
    <row r="92" spans="1:2">
      <c r="A92" t="s">
        <v>19109</v>
      </c>
      <c r="B92" t="s">
        <v>19110</v>
      </c>
    </row>
    <row r="93" spans="1:2">
      <c r="A93" t="s">
        <v>19111</v>
      </c>
      <c r="B93" t="s">
        <v>19112</v>
      </c>
    </row>
    <row r="94" spans="1:2">
      <c r="A94" t="s">
        <v>19113</v>
      </c>
      <c r="B94" t="s">
        <v>19114</v>
      </c>
    </row>
    <row r="95" spans="1:2">
      <c r="A95" t="s">
        <v>19115</v>
      </c>
      <c r="B95" t="s">
        <v>19116</v>
      </c>
    </row>
    <row r="96" spans="1:2">
      <c r="A96" t="s">
        <v>19117</v>
      </c>
      <c r="B96" t="s">
        <v>19118</v>
      </c>
    </row>
    <row r="97" spans="1:2">
      <c r="A97" t="s">
        <v>19119</v>
      </c>
      <c r="B97" t="s">
        <v>19120</v>
      </c>
    </row>
    <row r="98" spans="1:2">
      <c r="A98" t="s">
        <v>19121</v>
      </c>
      <c r="B98" t="s">
        <v>19122</v>
      </c>
    </row>
    <row r="99" spans="1:2">
      <c r="A99" t="s">
        <v>19123</v>
      </c>
      <c r="B99" t="s">
        <v>19124</v>
      </c>
    </row>
    <row r="100" spans="1:2">
      <c r="A100" t="s">
        <v>19125</v>
      </c>
      <c r="B100" t="s">
        <v>19126</v>
      </c>
    </row>
    <row r="101" spans="1:2">
      <c r="A101" t="s">
        <v>18935</v>
      </c>
      <c r="B101" t="s">
        <v>18936</v>
      </c>
    </row>
    <row r="102" spans="1:2">
      <c r="A102" t="s">
        <v>18937</v>
      </c>
      <c r="B102" t="s">
        <v>18938</v>
      </c>
    </row>
    <row r="103" spans="1:2">
      <c r="A103" t="s">
        <v>18941</v>
      </c>
      <c r="B103" t="s">
        <v>18942</v>
      </c>
    </row>
    <row r="104" spans="1:2">
      <c r="A104" t="s">
        <v>18939</v>
      </c>
      <c r="B104" t="s">
        <v>18940</v>
      </c>
    </row>
    <row r="105" spans="1:2">
      <c r="A105" t="s">
        <v>18943</v>
      </c>
      <c r="B105" t="s">
        <v>18944</v>
      </c>
    </row>
    <row r="106" spans="1:2">
      <c r="A106" t="s">
        <v>18945</v>
      </c>
      <c r="B106" t="s">
        <v>18946</v>
      </c>
    </row>
    <row r="107" spans="1:2">
      <c r="A107" t="s">
        <v>18947</v>
      </c>
      <c r="B107" t="s">
        <v>18948</v>
      </c>
    </row>
    <row r="108" spans="1:2">
      <c r="A108" t="s">
        <v>18949</v>
      </c>
      <c r="B108" t="s">
        <v>18950</v>
      </c>
    </row>
    <row r="109" spans="1:2">
      <c r="A109" t="s">
        <v>19183</v>
      </c>
      <c r="B109" t="s">
        <v>19184</v>
      </c>
    </row>
    <row r="110" spans="1:2">
      <c r="A110" t="s">
        <v>19185</v>
      </c>
      <c r="B110" t="s">
        <v>19186</v>
      </c>
    </row>
    <row r="111" spans="1:2">
      <c r="A111" t="s">
        <v>19187</v>
      </c>
      <c r="B111" t="s">
        <v>19188</v>
      </c>
    </row>
    <row r="112" spans="1:2">
      <c r="A112" t="s">
        <v>19189</v>
      </c>
      <c r="B112" t="s">
        <v>19190</v>
      </c>
    </row>
    <row r="113" spans="1:2">
      <c r="A113" t="s">
        <v>19191</v>
      </c>
      <c r="B113" t="s">
        <v>19192</v>
      </c>
    </row>
    <row r="114" spans="1:2">
      <c r="A114" t="s">
        <v>18999</v>
      </c>
      <c r="B114" t="s">
        <v>19000</v>
      </c>
    </row>
    <row r="115" spans="1:2">
      <c r="A115" t="s">
        <v>19001</v>
      </c>
      <c r="B115" t="s">
        <v>19002</v>
      </c>
    </row>
    <row r="116" spans="1:2">
      <c r="A116" t="s">
        <v>19003</v>
      </c>
      <c r="B116" t="s">
        <v>19004</v>
      </c>
    </row>
    <row r="117" spans="1:2">
      <c r="A117" t="s">
        <v>18967</v>
      </c>
      <c r="B117" t="s">
        <v>18968</v>
      </c>
    </row>
    <row r="118" spans="1:2">
      <c r="A118" t="s">
        <v>18951</v>
      </c>
      <c r="B118" t="s">
        <v>18952</v>
      </c>
    </row>
    <row r="119" spans="1:2">
      <c r="A119" t="s">
        <v>18953</v>
      </c>
      <c r="B119" t="s">
        <v>18954</v>
      </c>
    </row>
    <row r="120" spans="1:2">
      <c r="A120" t="s">
        <v>18955</v>
      </c>
      <c r="B120" t="s">
        <v>18956</v>
      </c>
    </row>
    <row r="121" spans="1:2">
      <c r="A121" t="s">
        <v>18957</v>
      </c>
      <c r="B121" t="s">
        <v>18958</v>
      </c>
    </row>
    <row r="122" spans="1:2">
      <c r="A122" t="s">
        <v>18959</v>
      </c>
      <c r="B122" t="s">
        <v>18960</v>
      </c>
    </row>
    <row r="123" spans="1:2">
      <c r="A123" t="s">
        <v>18961</v>
      </c>
      <c r="B123" t="s">
        <v>18962</v>
      </c>
    </row>
    <row r="124" spans="1:2">
      <c r="A124" t="s">
        <v>18963</v>
      </c>
      <c r="B124" t="s">
        <v>18964</v>
      </c>
    </row>
    <row r="125" spans="1:2">
      <c r="A125" t="s">
        <v>18965</v>
      </c>
      <c r="B125" t="s">
        <v>18966</v>
      </c>
    </row>
    <row r="126" spans="1:2">
      <c r="A126" t="s">
        <v>18981</v>
      </c>
      <c r="B126" t="s">
        <v>18982</v>
      </c>
    </row>
    <row r="127" spans="1:2">
      <c r="A127" t="s">
        <v>18973</v>
      </c>
      <c r="B127" t="s">
        <v>18974</v>
      </c>
    </row>
    <row r="128" spans="1:2">
      <c r="A128" t="s">
        <v>18975</v>
      </c>
      <c r="B128" t="s">
        <v>18976</v>
      </c>
    </row>
    <row r="129" spans="1:2">
      <c r="A129" t="s">
        <v>18977</v>
      </c>
      <c r="B129" t="s">
        <v>18978</v>
      </c>
    </row>
    <row r="130" spans="1:2">
      <c r="A130" t="s">
        <v>18979</v>
      </c>
      <c r="B130" t="s">
        <v>18980</v>
      </c>
    </row>
    <row r="131" spans="1:2">
      <c r="A131" t="s">
        <v>18921</v>
      </c>
      <c r="B131" t="s">
        <v>18922</v>
      </c>
    </row>
    <row r="132" spans="1:2">
      <c r="A132" t="s">
        <v>18923</v>
      </c>
      <c r="B132" t="s">
        <v>18924</v>
      </c>
    </row>
    <row r="133" spans="1:2">
      <c r="A133" t="s">
        <v>18925</v>
      </c>
      <c r="B133" t="s">
        <v>18926</v>
      </c>
    </row>
    <row r="134" spans="1:2">
      <c r="A134" t="s">
        <v>19127</v>
      </c>
      <c r="B134" t="s">
        <v>19128</v>
      </c>
    </row>
    <row r="135" spans="1:2">
      <c r="A135" t="s">
        <v>19129</v>
      </c>
      <c r="B135" t="s">
        <v>19130</v>
      </c>
    </row>
    <row r="136" spans="1:2">
      <c r="A136" t="s">
        <v>19131</v>
      </c>
      <c r="B136" t="s">
        <v>19132</v>
      </c>
    </row>
    <row r="137" spans="1:2">
      <c r="A137" t="s">
        <v>19133</v>
      </c>
      <c r="B137" t="s">
        <v>19134</v>
      </c>
    </row>
    <row r="138" spans="1:2">
      <c r="A138" t="s">
        <v>18989</v>
      </c>
      <c r="B138" t="s">
        <v>18990</v>
      </c>
    </row>
    <row r="139" spans="1:2">
      <c r="A139" t="s">
        <v>18911</v>
      </c>
      <c r="B139" t="s">
        <v>18912</v>
      </c>
    </row>
    <row r="140" spans="1:2">
      <c r="A140" t="s">
        <v>18913</v>
      </c>
      <c r="B140" t="s">
        <v>18914</v>
      </c>
    </row>
    <row r="141" spans="1:2">
      <c r="A141" t="s">
        <v>18915</v>
      </c>
      <c r="B141" t="s">
        <v>18916</v>
      </c>
    </row>
    <row r="142" spans="1:2">
      <c r="A142" t="s">
        <v>18917</v>
      </c>
      <c r="B142" t="s">
        <v>18918</v>
      </c>
    </row>
    <row r="143" spans="1:2">
      <c r="A143" t="s">
        <v>18919</v>
      </c>
      <c r="B143" t="s">
        <v>18920</v>
      </c>
    </row>
    <row r="144" spans="1:2">
      <c r="A144" t="s">
        <v>18969</v>
      </c>
      <c r="B144" t="s">
        <v>18970</v>
      </c>
    </row>
    <row r="145" spans="1:2">
      <c r="A145" t="s">
        <v>18971</v>
      </c>
      <c r="B145" t="s">
        <v>18972</v>
      </c>
    </row>
    <row r="146" spans="1:2">
      <c r="A146" t="s">
        <v>18927</v>
      </c>
      <c r="B146" t="s">
        <v>18928</v>
      </c>
    </row>
    <row r="147" spans="1:2">
      <c r="A147" t="s">
        <v>18929</v>
      </c>
      <c r="B147" t="s">
        <v>18930</v>
      </c>
    </row>
    <row r="148" spans="1:2">
      <c r="A148" t="s">
        <v>18931</v>
      </c>
      <c r="B148" t="s">
        <v>18932</v>
      </c>
    </row>
    <row r="149" spans="1:2">
      <c r="A149" t="s">
        <v>18933</v>
      </c>
      <c r="B149" t="s">
        <v>18934</v>
      </c>
    </row>
    <row r="150" spans="1:2">
      <c r="A150" t="s">
        <v>18991</v>
      </c>
      <c r="B150" t="s">
        <v>18992</v>
      </c>
    </row>
    <row r="151" spans="1:2">
      <c r="A151" t="s">
        <v>18993</v>
      </c>
      <c r="B151" t="s">
        <v>18994</v>
      </c>
    </row>
    <row r="152" spans="1:2">
      <c r="A152" t="s">
        <v>18995</v>
      </c>
      <c r="B152" t="s">
        <v>18996</v>
      </c>
    </row>
    <row r="153" spans="1:2">
      <c r="A153" t="s">
        <v>18997</v>
      </c>
      <c r="B153" t="s">
        <v>18998</v>
      </c>
    </row>
  </sheetData>
  <autoFilter ref="A1:B153" xr:uid="{940D517E-146D-4B1B-AF4F-860BA07B4934}">
    <sortState xmlns:xlrd2="http://schemas.microsoft.com/office/spreadsheetml/2017/richdata2" ref="A2:B153">
      <sortCondition ref="A1:A1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SP-Iskcon desire tree</vt:lpstr>
      <vt:lpstr>HHRNSM</vt:lpstr>
      <vt:lpstr>Vaishnav Songs</vt:lpstr>
      <vt:lpstr>HHBRSM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reddy</cp:lastModifiedBy>
  <dcterms:modified xsi:type="dcterms:W3CDTF">2026-01-26T17:13:54Z</dcterms:modified>
</cp:coreProperties>
</file>